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6101"/>
  <workbookPr/>
  <mc:AlternateContent xmlns:mc="http://schemas.openxmlformats.org/markup-compatibility/2006">
    <mc:Choice Requires="x15">
      <x15ac:absPath xmlns:x15ac="http://schemas.microsoft.com/office/spreadsheetml/2010/11/ac" url="/Users/shakhrutdin/Desktop/"/>
    </mc:Choice>
  </mc:AlternateContent>
  <bookViews>
    <workbookView xWindow="0" yWindow="700" windowWidth="15200" windowHeight="7200" tabRatio="902" firstSheet="1" activeTab="4"/>
  </bookViews>
  <sheets>
    <sheet name="Приложение № 7 (2)" sheetId="60" r:id="rId1"/>
    <sheet name="Приложение 1 " sheetId="61" r:id="rId2"/>
    <sheet name="Приложение № 1" sheetId="12" r:id="rId3"/>
    <sheet name="Приложение № 2" sheetId="23" r:id="rId4"/>
    <sheet name="Приложение № 3" sheetId="14" r:id="rId5"/>
    <sheet name="Приложение № 5" sheetId="15" r:id="rId6"/>
    <sheet name="Приложение № 6" sheetId="4" r:id="rId7"/>
    <sheet name="Приложение № 7" sheetId="11" r:id="rId8"/>
    <sheet name="2014" sheetId="53" r:id="rId9"/>
    <sheet name="2015" sheetId="54" r:id="rId10"/>
    <sheet name="Роспись 2015 год" sheetId="57" r:id="rId11"/>
    <sheet name="2016" sheetId="55" r:id="rId12"/>
    <sheet name="Доходы" sheetId="56" r:id="rId13"/>
    <sheet name="Дор карта" sheetId="51" r:id="rId14"/>
    <sheet name="Бюджет 2013" sheetId="49" r:id="rId15"/>
    <sheet name="Бюджет 2014 (1)" sheetId="50" r:id="rId16"/>
    <sheet name="Роспись 2015 год (3)" sheetId="59" r:id="rId17"/>
    <sheet name="Роспись 2015 год (2)" sheetId="58" r:id="rId18"/>
    <sheet name="ГосПрограмма (бюджет)" sheetId="48" r:id="rId19"/>
    <sheet name="ГосПрограмма (Индикаторы)" sheetId="52" r:id="rId20"/>
    <sheet name="Роспись 2014" sheetId="45" r:id="rId21"/>
    <sheet name="Роспись 2015" sheetId="46" r:id="rId22"/>
    <sheet name="Бюджет 2016-2017" sheetId="47" r:id="rId23"/>
    <sheet name="Лист2" sheetId="22" r:id="rId24"/>
    <sheet name="БЮДЖЕТ 2014" sheetId="42" r:id="rId25"/>
    <sheet name="Роспись 2014 (2)" sheetId="43" r:id="rId26"/>
    <sheet name="Индикаторы РЦП" sheetId="29" r:id="rId27"/>
    <sheet name="Лист5" sheetId="39" r:id="rId28"/>
    <sheet name="Лист4" sheetId="38" r:id="rId29"/>
    <sheet name="Роспись 2013" sheetId="36" r:id="rId30"/>
    <sheet name="Роспись 2012 Факт" sheetId="35" r:id="rId31"/>
    <sheet name="Для Баллов" sheetId="31" r:id="rId32"/>
    <sheet name="Салих" sheetId="32" r:id="rId33"/>
    <sheet name="Мадина" sheetId="33" r:id="rId34"/>
    <sheet name="Багаудин" sheetId="34" r:id="rId35"/>
    <sheet name="Анализ" sheetId="19" r:id="rId36"/>
    <sheet name="Роспись 2011 план" sheetId="26" r:id="rId37"/>
    <sheet name="Роспись 2012 план" sheetId="27" r:id="rId38"/>
    <sheet name="Приложение № 2 стар" sheetId="13" r:id="rId39"/>
    <sheet name="Лист3" sheetId="5" r:id="rId40"/>
    <sheet name="Музеи начальные" sheetId="20" r:id="rId41"/>
    <sheet name="Дорожная карта" sheetId="21" r:id="rId42"/>
    <sheet name="Лист1" sheetId="37" r:id="rId43"/>
    <sheet name="Лист6" sheetId="40" r:id="rId44"/>
    <sheet name="Лист7" sheetId="41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Par2074" localSheetId="18">'ГосПрограмма (бюджет)'!$B$5</definedName>
    <definedName name="_Par2298" localSheetId="18">'ГосПрограмма (бюджет)'!$B$26</definedName>
    <definedName name="_Par2714" localSheetId="18">'ГосПрограмма (бюджет)'!$B$74</definedName>
    <definedName name="OLE_LINK1" localSheetId="27">Лист5!$B$32</definedName>
    <definedName name="_xlnm.Print_Area" localSheetId="9">'2015'!$B$2:$J$44</definedName>
    <definedName name="_xlnm.Print_Area" localSheetId="11">'2016'!$B$2:$I$73</definedName>
    <definedName name="_xlnm.Print_Area" localSheetId="35">Анализ!$A$1:$L$49</definedName>
    <definedName name="_xlnm.Print_Area" localSheetId="34">Багаудин!$A$1:$O$14</definedName>
    <definedName name="_xlnm.Print_Area" localSheetId="14">'Бюджет 2013'!$B$1:$I$99</definedName>
    <definedName name="_xlnm.Print_Area" localSheetId="31">'Для Баллов'!$B$1:$O$71</definedName>
    <definedName name="_xlnm.Print_Area" localSheetId="12">Доходы!$A$3:$I$47</definedName>
    <definedName name="_xlnm.Print_Area" localSheetId="33">Мадина!$B$2:$O$27</definedName>
    <definedName name="_xlnm.Print_Area" localSheetId="2">'Приложение № 1'!$B$2:$Q$68</definedName>
    <definedName name="_xlnm.Print_Area" localSheetId="3">'Приложение № 2'!$B$2:$P$73</definedName>
    <definedName name="_xlnm.Print_Area" localSheetId="38">'Приложение № 2 стар'!$A$1:$M$58</definedName>
    <definedName name="_xlnm.Print_Area" localSheetId="4">'Приложение № 3'!$B$2:$K$27</definedName>
    <definedName name="_xlnm.Print_Area" localSheetId="5">'Приложение № 5'!$C$2:$M$33</definedName>
    <definedName name="_xlnm.Print_Area" localSheetId="6">'Приложение № 6'!$B$2:$Q$106</definedName>
    <definedName name="_xlnm.Print_Area" localSheetId="7">'Приложение № 7'!$B$2:$K$139</definedName>
    <definedName name="_xlnm.Print_Area" localSheetId="0">'Приложение № 7 (2)'!$B$2:$J$139</definedName>
    <definedName name="_xlnm.Print_Area" localSheetId="32">Салих!$B$1:$O$25</definedName>
    <definedName name="_xlnm.Print_Titles" localSheetId="6">'Приложение № 6'!$12:$12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3" i="55" l="1"/>
  <c r="F72" i="11"/>
  <c r="G72" i="11"/>
  <c r="H72" i="11"/>
  <c r="I72" i="11"/>
  <c r="J72" i="11"/>
  <c r="F48" i="11"/>
  <c r="G48" i="11"/>
  <c r="H48" i="11"/>
  <c r="I48" i="11"/>
  <c r="J48" i="11"/>
  <c r="F45" i="11"/>
  <c r="G45" i="11"/>
  <c r="H45" i="11"/>
  <c r="I45" i="11"/>
  <c r="J45" i="11"/>
  <c r="F27" i="11"/>
  <c r="G27" i="11"/>
  <c r="H27" i="11"/>
  <c r="I27" i="11"/>
  <c r="J27" i="11"/>
  <c r="F16" i="11"/>
  <c r="G16" i="11"/>
  <c r="H16" i="11"/>
  <c r="I16" i="11"/>
  <c r="J16" i="11"/>
  <c r="F17" i="11"/>
  <c r="G17" i="11"/>
  <c r="H17" i="11"/>
  <c r="I17" i="11"/>
  <c r="J17" i="11"/>
  <c r="F18" i="11"/>
  <c r="G18" i="11"/>
  <c r="H18" i="11"/>
  <c r="I18" i="11"/>
  <c r="J18" i="11"/>
  <c r="F19" i="11"/>
  <c r="G19" i="11"/>
  <c r="H19" i="11"/>
  <c r="I19" i="11"/>
  <c r="J19" i="11"/>
  <c r="F20" i="11"/>
  <c r="G20" i="11"/>
  <c r="H20" i="11"/>
  <c r="I20" i="11"/>
  <c r="J20" i="11"/>
  <c r="S31" i="12"/>
  <c r="F46" i="56"/>
  <c r="F20" i="56"/>
  <c r="F16" i="56"/>
  <c r="F47" i="56"/>
  <c r="M45" i="56"/>
  <c r="E46" i="56"/>
  <c r="I20" i="56"/>
  <c r="J15" i="14"/>
  <c r="K15" i="14"/>
  <c r="H20" i="56"/>
  <c r="I15" i="14"/>
  <c r="O21" i="14"/>
  <c r="J17" i="14"/>
  <c r="I17" i="14"/>
  <c r="J16" i="14"/>
  <c r="I16" i="14"/>
  <c r="I16" i="56"/>
  <c r="J14" i="14"/>
  <c r="H16" i="56"/>
  <c r="I14" i="14"/>
  <c r="H46" i="56"/>
  <c r="I13" i="14"/>
  <c r="Q19" i="14"/>
  <c r="I46" i="56"/>
  <c r="J13" i="14"/>
  <c r="K13" i="14"/>
  <c r="H13" i="14"/>
  <c r="D20" i="56"/>
  <c r="D16" i="56"/>
  <c r="G46" i="56"/>
  <c r="D46" i="56"/>
  <c r="E20" i="56"/>
  <c r="E16" i="56"/>
  <c r="E47" i="56"/>
  <c r="G20" i="56"/>
  <c r="G16" i="56"/>
  <c r="G47" i="56"/>
  <c r="H47" i="56"/>
  <c r="I47" i="56"/>
  <c r="D47" i="56"/>
  <c r="G86" i="4"/>
  <c r="G88" i="4"/>
  <c r="G94" i="4"/>
  <c r="G82" i="4"/>
  <c r="G81" i="4"/>
  <c r="G83" i="4"/>
  <c r="G79" i="4"/>
  <c r="G119" i="11"/>
  <c r="I82" i="4"/>
  <c r="K82" i="4"/>
  <c r="M82" i="4"/>
  <c r="M84" i="4"/>
  <c r="J120" i="11"/>
  <c r="K81" i="4"/>
  <c r="I83" i="4"/>
  <c r="K83" i="4"/>
  <c r="K79" i="4"/>
  <c r="M79" i="4"/>
  <c r="J119" i="11"/>
  <c r="I75" i="4"/>
  <c r="K75" i="4"/>
  <c r="M75" i="4"/>
  <c r="I77" i="4"/>
  <c r="K77" i="4"/>
  <c r="M77" i="4"/>
  <c r="J106" i="11"/>
  <c r="K74" i="4"/>
  <c r="K76" i="4"/>
  <c r="K78" i="4"/>
  <c r="K72" i="4"/>
  <c r="M72" i="4"/>
  <c r="J105" i="11"/>
  <c r="I63" i="4"/>
  <c r="K63" i="4"/>
  <c r="M63" i="4"/>
  <c r="I66" i="4"/>
  <c r="K66" i="4"/>
  <c r="M66" i="4"/>
  <c r="I69" i="4"/>
  <c r="K69" i="4"/>
  <c r="M69" i="4"/>
  <c r="J96" i="11"/>
  <c r="K62" i="4"/>
  <c r="K65" i="4"/>
  <c r="K68" i="4"/>
  <c r="K60" i="4"/>
  <c r="M60" i="4"/>
  <c r="J95" i="11"/>
  <c r="I57" i="4"/>
  <c r="K57" i="4"/>
  <c r="M57" i="4"/>
  <c r="J80" i="11"/>
  <c r="K56" i="4"/>
  <c r="K54" i="4"/>
  <c r="M54" i="4"/>
  <c r="J79" i="11"/>
  <c r="I45" i="4"/>
  <c r="K45" i="4"/>
  <c r="M45" i="4"/>
  <c r="J60" i="11"/>
  <c r="K44" i="4"/>
  <c r="I47" i="4"/>
  <c r="K47" i="4"/>
  <c r="K41" i="4"/>
  <c r="M41" i="4"/>
  <c r="J59" i="11"/>
  <c r="I24" i="4"/>
  <c r="K24" i="4"/>
  <c r="M24" i="4"/>
  <c r="M27" i="4"/>
  <c r="J40" i="11"/>
  <c r="K23" i="4"/>
  <c r="K26" i="4"/>
  <c r="K21" i="4"/>
  <c r="M21" i="4"/>
  <c r="J39" i="11"/>
  <c r="I18" i="4"/>
  <c r="K18" i="4"/>
  <c r="M18" i="4"/>
  <c r="J24" i="11"/>
  <c r="K17" i="4"/>
  <c r="K14" i="4"/>
  <c r="M14" i="4"/>
  <c r="J23" i="11"/>
  <c r="J121" i="60"/>
  <c r="I121" i="60"/>
  <c r="H121" i="60"/>
  <c r="G121" i="60"/>
  <c r="L82" i="4"/>
  <c r="L84" i="4"/>
  <c r="J120" i="60"/>
  <c r="I120" i="60"/>
  <c r="H120" i="60"/>
  <c r="G120" i="60"/>
  <c r="H305" i="45"/>
  <c r="H312" i="45"/>
  <c r="H313" i="45"/>
  <c r="H304" i="45"/>
  <c r="E82" i="4"/>
  <c r="F120" i="60"/>
  <c r="L79" i="4"/>
  <c r="J119" i="60"/>
  <c r="I119" i="60"/>
  <c r="I81" i="4"/>
  <c r="I79" i="4"/>
  <c r="H119" i="60"/>
  <c r="G119" i="60"/>
  <c r="E81" i="4"/>
  <c r="H281" i="45"/>
  <c r="H284" i="45"/>
  <c r="H280" i="45"/>
  <c r="H279" i="45"/>
  <c r="E83" i="4"/>
  <c r="E79" i="4"/>
  <c r="F119" i="60"/>
  <c r="J118" i="60"/>
  <c r="I118" i="60"/>
  <c r="H118" i="60"/>
  <c r="G118" i="60"/>
  <c r="F118" i="60"/>
  <c r="I116" i="60"/>
  <c r="H116" i="60"/>
  <c r="G116" i="60"/>
  <c r="F116" i="60"/>
  <c r="I115" i="60"/>
  <c r="H115" i="60"/>
  <c r="G115" i="60"/>
  <c r="F115" i="60"/>
  <c r="I114" i="60"/>
  <c r="H114" i="60"/>
  <c r="G114" i="60"/>
  <c r="F114" i="60"/>
  <c r="I113" i="60"/>
  <c r="H113" i="60"/>
  <c r="G113" i="60"/>
  <c r="F113" i="60"/>
  <c r="I112" i="60"/>
  <c r="H112" i="60"/>
  <c r="G112" i="60"/>
  <c r="F112" i="60"/>
  <c r="L75" i="4"/>
  <c r="L77" i="4"/>
  <c r="J106" i="60"/>
  <c r="I106" i="60"/>
  <c r="H106" i="60"/>
  <c r="G75" i="4"/>
  <c r="G77" i="4"/>
  <c r="G106" i="60"/>
  <c r="T53" i="45"/>
  <c r="H53" i="45"/>
  <c r="T69" i="45"/>
  <c r="H69" i="45"/>
  <c r="T85" i="45"/>
  <c r="H85" i="45"/>
  <c r="H101" i="45"/>
  <c r="H37" i="45"/>
  <c r="H54" i="45"/>
  <c r="H70" i="45"/>
  <c r="H86" i="45"/>
  <c r="H102" i="45"/>
  <c r="H38" i="45"/>
  <c r="T55" i="45"/>
  <c r="H55" i="45"/>
  <c r="T71" i="45"/>
  <c r="H71" i="45"/>
  <c r="T87" i="45"/>
  <c r="H87" i="45"/>
  <c r="H103" i="45"/>
  <c r="H39" i="45"/>
  <c r="H40" i="45"/>
  <c r="H105" i="45"/>
  <c r="H41" i="45"/>
  <c r="H58" i="45"/>
  <c r="H42" i="45"/>
  <c r="H91" i="45"/>
  <c r="H43" i="45"/>
  <c r="H60" i="45"/>
  <c r="H108" i="45"/>
  <c r="H44" i="45"/>
  <c r="H61" i="45"/>
  <c r="H93" i="45"/>
  <c r="H109" i="45"/>
  <c r="H45" i="45"/>
  <c r="H62" i="45"/>
  <c r="H94" i="45"/>
  <c r="H110" i="45"/>
  <c r="H46" i="45"/>
  <c r="H47" i="45"/>
  <c r="H80" i="45"/>
  <c r="H96" i="45"/>
  <c r="H112" i="45"/>
  <c r="H48" i="45"/>
  <c r="H97" i="45"/>
  <c r="H113" i="45"/>
  <c r="H49" i="45"/>
  <c r="H36" i="45"/>
  <c r="E75" i="4"/>
  <c r="T136" i="45"/>
  <c r="H136" i="45"/>
  <c r="T152" i="45"/>
  <c r="H152" i="45"/>
  <c r="H168" i="45"/>
  <c r="H184" i="45"/>
  <c r="H120" i="45"/>
  <c r="H153" i="45"/>
  <c r="H169" i="45"/>
  <c r="H185" i="45"/>
  <c r="H121" i="45"/>
  <c r="T138" i="45"/>
  <c r="H138" i="45"/>
  <c r="H154" i="45"/>
  <c r="H170" i="45"/>
  <c r="H186" i="45"/>
  <c r="H122" i="45"/>
  <c r="H155" i="45"/>
  <c r="H123" i="45"/>
  <c r="H156" i="45"/>
  <c r="H188" i="45"/>
  <c r="H124" i="45"/>
  <c r="H141" i="45"/>
  <c r="H189" i="45"/>
  <c r="H125" i="45"/>
  <c r="H126" i="45"/>
  <c r="H143" i="45"/>
  <c r="H159" i="45"/>
  <c r="H175" i="45"/>
  <c r="H191" i="45"/>
  <c r="H127" i="45"/>
  <c r="H144" i="45"/>
  <c r="H160" i="45"/>
  <c r="H176" i="45"/>
  <c r="H192" i="45"/>
  <c r="H128" i="45"/>
  <c r="H145" i="45"/>
  <c r="H161" i="45"/>
  <c r="H193" i="45"/>
  <c r="H129" i="45"/>
  <c r="H146" i="45"/>
  <c r="H194" i="45"/>
  <c r="H130" i="45"/>
  <c r="H147" i="45"/>
  <c r="H163" i="45"/>
  <c r="U179" i="45"/>
  <c r="H179" i="45"/>
  <c r="H195" i="45"/>
  <c r="H131" i="45"/>
  <c r="H148" i="45"/>
  <c r="H164" i="45"/>
  <c r="H180" i="45"/>
  <c r="H196" i="45"/>
  <c r="H132" i="45"/>
  <c r="H119" i="45"/>
  <c r="E77" i="4"/>
  <c r="F106" i="60"/>
  <c r="L72" i="4"/>
  <c r="J105" i="60"/>
  <c r="I105" i="60"/>
  <c r="I74" i="4"/>
  <c r="I76" i="4"/>
  <c r="I72" i="4"/>
  <c r="H105" i="60"/>
  <c r="G74" i="4"/>
  <c r="G76" i="4"/>
  <c r="G78" i="4"/>
  <c r="G72" i="4"/>
  <c r="G105" i="60"/>
  <c r="E74" i="4"/>
  <c r="E76" i="4"/>
  <c r="E72" i="4"/>
  <c r="F105" i="60"/>
  <c r="J104" i="60"/>
  <c r="I104" i="60"/>
  <c r="H104" i="60"/>
  <c r="G104" i="60"/>
  <c r="F104" i="60"/>
  <c r="J102" i="60"/>
  <c r="I102" i="60"/>
  <c r="H102" i="60"/>
  <c r="G102" i="60"/>
  <c r="F102" i="60"/>
  <c r="J101" i="60"/>
  <c r="I101" i="60"/>
  <c r="H101" i="60"/>
  <c r="G101" i="60"/>
  <c r="F101" i="60"/>
  <c r="F97" i="60"/>
  <c r="L63" i="4"/>
  <c r="L66" i="4"/>
  <c r="L69" i="4"/>
  <c r="J96" i="60"/>
  <c r="I96" i="60"/>
  <c r="H96" i="60"/>
  <c r="G63" i="4"/>
  <c r="G66" i="4"/>
  <c r="G69" i="4"/>
  <c r="G96" i="60"/>
  <c r="E63" i="4"/>
  <c r="E66" i="4"/>
  <c r="H203" i="45"/>
  <c r="H204" i="45"/>
  <c r="H205" i="45"/>
  <c r="H211" i="45"/>
  <c r="H212" i="45"/>
  <c r="H214" i="45"/>
  <c r="H202" i="45"/>
  <c r="E69" i="4"/>
  <c r="F96" i="60"/>
  <c r="L60" i="4"/>
  <c r="J95" i="60"/>
  <c r="I95" i="60"/>
  <c r="I62" i="4"/>
  <c r="I65" i="4"/>
  <c r="I68" i="4"/>
  <c r="I60" i="4"/>
  <c r="H95" i="60"/>
  <c r="G64" i="4"/>
  <c r="G62" i="4"/>
  <c r="G67" i="4"/>
  <c r="G65" i="4"/>
  <c r="G70" i="4"/>
  <c r="G68" i="4"/>
  <c r="G60" i="4"/>
  <c r="G95" i="60"/>
  <c r="I52" i="45"/>
  <c r="H66" i="45"/>
  <c r="I68" i="45"/>
  <c r="H82" i="45"/>
  <c r="I84" i="45"/>
  <c r="H98" i="45"/>
  <c r="I100" i="45"/>
  <c r="H114" i="45"/>
  <c r="H50" i="45"/>
  <c r="E64" i="4"/>
  <c r="E62" i="4"/>
  <c r="I135" i="45"/>
  <c r="H149" i="45"/>
  <c r="I151" i="45"/>
  <c r="H165" i="45"/>
  <c r="I167" i="45"/>
  <c r="H181" i="45"/>
  <c r="I183" i="45"/>
  <c r="H197" i="45"/>
  <c r="H133" i="45"/>
  <c r="E67" i="4"/>
  <c r="E65" i="4"/>
  <c r="I202" i="45"/>
  <c r="H216" i="45"/>
  <c r="E70" i="4"/>
  <c r="E68" i="4"/>
  <c r="E60" i="4"/>
  <c r="F95" i="60"/>
  <c r="F94" i="60"/>
  <c r="J92" i="60"/>
  <c r="I92" i="60"/>
  <c r="H92" i="60"/>
  <c r="G92" i="60"/>
  <c r="F92" i="60"/>
  <c r="J91" i="60"/>
  <c r="I91" i="60"/>
  <c r="H91" i="60"/>
  <c r="G91" i="60"/>
  <c r="F91" i="60"/>
  <c r="I90" i="60"/>
  <c r="H90" i="60"/>
  <c r="G90" i="60"/>
  <c r="F90" i="60"/>
  <c r="I89" i="60"/>
  <c r="H89" i="60"/>
  <c r="G89" i="60"/>
  <c r="F89" i="60"/>
  <c r="I88" i="60"/>
  <c r="H88" i="60"/>
  <c r="G88" i="60"/>
  <c r="F88" i="60"/>
  <c r="I86" i="60"/>
  <c r="H86" i="60"/>
  <c r="G86" i="60"/>
  <c r="F86" i="60"/>
  <c r="J81" i="60"/>
  <c r="L54" i="4"/>
  <c r="J79" i="60"/>
  <c r="J78" i="60"/>
  <c r="I81" i="60"/>
  <c r="I79" i="60"/>
  <c r="I78" i="60"/>
  <c r="F81" i="60"/>
  <c r="L57" i="4"/>
  <c r="J80" i="60"/>
  <c r="I80" i="60"/>
  <c r="H80" i="60"/>
  <c r="G57" i="4"/>
  <c r="G80" i="60"/>
  <c r="H454" i="45"/>
  <c r="H438" i="45"/>
  <c r="H439" i="45"/>
  <c r="H456" i="45"/>
  <c r="H440" i="45"/>
  <c r="H505" i="45"/>
  <c r="H441" i="45"/>
  <c r="H442" i="45"/>
  <c r="H459" i="45"/>
  <c r="H491" i="45"/>
  <c r="H443" i="45"/>
  <c r="H492" i="45"/>
  <c r="H444" i="45"/>
  <c r="H461" i="45"/>
  <c r="H477" i="45"/>
  <c r="H493" i="45"/>
  <c r="H509" i="45"/>
  <c r="H445" i="45"/>
  <c r="H462" i="45"/>
  <c r="H478" i="45"/>
  <c r="H494" i="45"/>
  <c r="H510" i="45"/>
  <c r="H446" i="45"/>
  <c r="H463" i="45"/>
  <c r="H495" i="45"/>
  <c r="H447" i="45"/>
  <c r="H448" i="45"/>
  <c r="H481" i="45"/>
  <c r="H513" i="45"/>
  <c r="H449" i="45"/>
  <c r="H498" i="45"/>
  <c r="H514" i="45"/>
  <c r="H450" i="45"/>
  <c r="H437" i="45"/>
  <c r="E57" i="4"/>
  <c r="F80" i="60"/>
  <c r="I56" i="4"/>
  <c r="I54" i="4"/>
  <c r="H79" i="60"/>
  <c r="G56" i="4"/>
  <c r="G54" i="4"/>
  <c r="G79" i="60"/>
  <c r="E56" i="4"/>
  <c r="E54" i="4"/>
  <c r="F79" i="60"/>
  <c r="F78" i="60"/>
  <c r="I76" i="60"/>
  <c r="H76" i="60"/>
  <c r="G76" i="60"/>
  <c r="F76" i="60"/>
  <c r="J75" i="60"/>
  <c r="I75" i="60"/>
  <c r="H75" i="60"/>
  <c r="G75" i="60"/>
  <c r="F75" i="60"/>
  <c r="J73" i="60"/>
  <c r="I73" i="60"/>
  <c r="H73" i="60"/>
  <c r="G73" i="60"/>
  <c r="F73" i="60"/>
  <c r="J72" i="60"/>
  <c r="I72" i="60"/>
  <c r="H72" i="60"/>
  <c r="G72" i="60"/>
  <c r="F72" i="60"/>
  <c r="F70" i="60"/>
  <c r="G53" i="4"/>
  <c r="G69" i="60"/>
  <c r="U420" i="45"/>
  <c r="H420" i="45"/>
  <c r="H340" i="45"/>
  <c r="H341" i="45"/>
  <c r="U422" i="45"/>
  <c r="H422" i="45"/>
  <c r="H342" i="45"/>
  <c r="H423" i="45"/>
  <c r="H343" i="45"/>
  <c r="H344" i="45"/>
  <c r="H361" i="45"/>
  <c r="H409" i="45"/>
  <c r="H425" i="45"/>
  <c r="H345" i="45"/>
  <c r="H426" i="45"/>
  <c r="H346" i="45"/>
  <c r="H363" i="45"/>
  <c r="H379" i="45"/>
  <c r="H395" i="45"/>
  <c r="H411" i="45"/>
  <c r="H347" i="45"/>
  <c r="H364" i="45"/>
  <c r="H380" i="45"/>
  <c r="H396" i="45"/>
  <c r="H412" i="45"/>
  <c r="H428" i="45"/>
  <c r="H348" i="45"/>
  <c r="H365" i="45"/>
  <c r="H397" i="45"/>
  <c r="H413" i="45"/>
  <c r="H429" i="45"/>
  <c r="H349" i="45"/>
  <c r="H350" i="45"/>
  <c r="H399" i="45"/>
  <c r="H431" i="45"/>
  <c r="H351" i="45"/>
  <c r="H368" i="45"/>
  <c r="H416" i="45"/>
  <c r="H352" i="45"/>
  <c r="H339" i="45"/>
  <c r="E53" i="4"/>
  <c r="F69" i="60"/>
  <c r="G52" i="4"/>
  <c r="G49" i="4"/>
  <c r="G68" i="60"/>
  <c r="E52" i="4"/>
  <c r="E49" i="4"/>
  <c r="F68" i="60"/>
  <c r="F67" i="60"/>
  <c r="J65" i="60"/>
  <c r="I65" i="60"/>
  <c r="H65" i="60"/>
  <c r="G65" i="60"/>
  <c r="F65" i="60"/>
  <c r="I64" i="60"/>
  <c r="H64" i="60"/>
  <c r="G64" i="60"/>
  <c r="F64" i="60"/>
  <c r="J63" i="60"/>
  <c r="I63" i="60"/>
  <c r="H63" i="60"/>
  <c r="G63" i="60"/>
  <c r="F63" i="60"/>
  <c r="L45" i="4"/>
  <c r="J60" i="60"/>
  <c r="I60" i="60"/>
  <c r="H60" i="60"/>
  <c r="G45" i="4"/>
  <c r="G60" i="60"/>
  <c r="H330" i="45"/>
  <c r="H331" i="45"/>
  <c r="H334" i="45"/>
  <c r="H321" i="45"/>
  <c r="E45" i="4"/>
  <c r="F60" i="60"/>
  <c r="L41" i="4"/>
  <c r="J59" i="60"/>
  <c r="I59" i="60"/>
  <c r="I44" i="4"/>
  <c r="I41" i="4"/>
  <c r="H59" i="60"/>
  <c r="G46" i="4"/>
  <c r="G44" i="4"/>
  <c r="G47" i="4"/>
  <c r="G41" i="4"/>
  <c r="G59" i="60"/>
  <c r="I329" i="45"/>
  <c r="I321" i="45"/>
  <c r="H335" i="45"/>
  <c r="E46" i="4"/>
  <c r="E44" i="4"/>
  <c r="H245" i="45"/>
  <c r="H246" i="45"/>
  <c r="H240" i="45"/>
  <c r="H249" i="45"/>
  <c r="H250" i="45"/>
  <c r="H251" i="45"/>
  <c r="H252" i="45"/>
  <c r="H241" i="45"/>
  <c r="H239" i="45"/>
  <c r="E47" i="4"/>
  <c r="E41" i="4"/>
  <c r="F59" i="60"/>
  <c r="J58" i="60"/>
  <c r="I58" i="60"/>
  <c r="H58" i="60"/>
  <c r="G58" i="60"/>
  <c r="F58" i="60"/>
  <c r="J56" i="60"/>
  <c r="I56" i="60"/>
  <c r="H56" i="60"/>
  <c r="G56" i="60"/>
  <c r="F56" i="60"/>
  <c r="J55" i="60"/>
  <c r="I55" i="60"/>
  <c r="H55" i="60"/>
  <c r="G55" i="60"/>
  <c r="F55" i="60"/>
  <c r="F53" i="60"/>
  <c r="G35" i="4"/>
  <c r="G38" i="4"/>
  <c r="G52" i="60"/>
  <c r="E35" i="4"/>
  <c r="E38" i="4"/>
  <c r="F52" i="60"/>
  <c r="G36" i="4"/>
  <c r="G34" i="4"/>
  <c r="G37" i="4"/>
  <c r="G32" i="4"/>
  <c r="G51" i="60"/>
  <c r="I363" i="45"/>
  <c r="I367" i="45"/>
  <c r="I355" i="45"/>
  <c r="H369" i="45"/>
  <c r="I380" i="45"/>
  <c r="I371" i="45"/>
  <c r="H385" i="45"/>
  <c r="I387" i="45"/>
  <c r="H401" i="45"/>
  <c r="I403" i="45"/>
  <c r="H417" i="45"/>
  <c r="H353" i="45"/>
  <c r="E36" i="4"/>
  <c r="E34" i="4"/>
  <c r="I438" i="45"/>
  <c r="I439" i="45"/>
  <c r="I440" i="45"/>
  <c r="I441" i="45"/>
  <c r="I442" i="45"/>
  <c r="I443" i="45"/>
  <c r="I444" i="45"/>
  <c r="I445" i="45"/>
  <c r="I446" i="45"/>
  <c r="I447" i="45"/>
  <c r="I448" i="45"/>
  <c r="I449" i="45"/>
  <c r="I450" i="45"/>
  <c r="I437" i="45"/>
  <c r="H451" i="45"/>
  <c r="E39" i="4"/>
  <c r="E37" i="4"/>
  <c r="E32" i="4"/>
  <c r="F51" i="60"/>
  <c r="F50" i="60"/>
  <c r="J48" i="60"/>
  <c r="I48" i="60"/>
  <c r="H48" i="60"/>
  <c r="G48" i="60"/>
  <c r="F48" i="60"/>
  <c r="I47" i="60"/>
  <c r="H47" i="60"/>
  <c r="G47" i="60"/>
  <c r="F47" i="60"/>
  <c r="J46" i="60"/>
  <c r="I46" i="60"/>
  <c r="H46" i="60"/>
  <c r="G46" i="60"/>
  <c r="F46" i="60"/>
  <c r="J45" i="60"/>
  <c r="I45" i="60"/>
  <c r="H45" i="60"/>
  <c r="G45" i="60"/>
  <c r="F45" i="60"/>
  <c r="F41" i="60"/>
  <c r="L24" i="4"/>
  <c r="L27" i="4"/>
  <c r="J40" i="60"/>
  <c r="I40" i="60"/>
  <c r="H40" i="60"/>
  <c r="G24" i="4"/>
  <c r="G27" i="4"/>
  <c r="G40" i="60"/>
  <c r="E24" i="4"/>
  <c r="H288" i="45"/>
  <c r="H290" i="45"/>
  <c r="H296" i="45"/>
  <c r="H299" i="45"/>
  <c r="H287" i="45"/>
  <c r="E27" i="4"/>
  <c r="F40" i="60"/>
  <c r="L21" i="4"/>
  <c r="J39" i="60"/>
  <c r="I39" i="60"/>
  <c r="I23" i="4"/>
  <c r="I26" i="4"/>
  <c r="I21" i="4"/>
  <c r="H39" i="60"/>
  <c r="G25" i="4"/>
  <c r="G23" i="4"/>
  <c r="G28" i="4"/>
  <c r="G26" i="4"/>
  <c r="G21" i="4"/>
  <c r="G39" i="60"/>
  <c r="I313" i="45"/>
  <c r="I316" i="45"/>
  <c r="I304" i="45"/>
  <c r="H318" i="45"/>
  <c r="E25" i="4"/>
  <c r="E23" i="4"/>
  <c r="I296" i="45"/>
  <c r="I287" i="45"/>
  <c r="H301" i="45"/>
  <c r="E28" i="4"/>
  <c r="E26" i="4"/>
  <c r="E21" i="4"/>
  <c r="F39" i="60"/>
  <c r="F38" i="60"/>
  <c r="J36" i="60"/>
  <c r="I36" i="60"/>
  <c r="H36" i="60"/>
  <c r="G36" i="60"/>
  <c r="F36" i="60"/>
  <c r="J35" i="60"/>
  <c r="I35" i="60"/>
  <c r="H35" i="60"/>
  <c r="G35" i="60"/>
  <c r="F35" i="60"/>
  <c r="J34" i="60"/>
  <c r="I34" i="60"/>
  <c r="H34" i="60"/>
  <c r="G34" i="60"/>
  <c r="F34" i="60"/>
  <c r="J33" i="60"/>
  <c r="I33" i="60"/>
  <c r="H33" i="60"/>
  <c r="G33" i="60"/>
  <c r="F33" i="60"/>
  <c r="J32" i="60"/>
  <c r="I32" i="60"/>
  <c r="H32" i="60"/>
  <c r="G32" i="60"/>
  <c r="F32" i="60"/>
  <c r="J31" i="60"/>
  <c r="I31" i="60"/>
  <c r="H31" i="60"/>
  <c r="G31" i="60"/>
  <c r="F31" i="60"/>
  <c r="J30" i="60"/>
  <c r="I30" i="60"/>
  <c r="H30" i="60"/>
  <c r="G30" i="60"/>
  <c r="F30" i="60"/>
  <c r="J29" i="60"/>
  <c r="I29" i="60"/>
  <c r="H29" i="60"/>
  <c r="G29" i="60"/>
  <c r="F29" i="60"/>
  <c r="J27" i="60"/>
  <c r="I27" i="60"/>
  <c r="H27" i="60"/>
  <c r="G27" i="60"/>
  <c r="F27" i="60"/>
  <c r="F25" i="60"/>
  <c r="F126" i="60"/>
  <c r="L18" i="4"/>
  <c r="J24" i="60"/>
  <c r="I24" i="60"/>
  <c r="H24" i="60"/>
  <c r="G18" i="4"/>
  <c r="G24" i="60"/>
  <c r="G125" i="60"/>
  <c r="H552" i="45"/>
  <c r="H568" i="45"/>
  <c r="H600" i="45"/>
  <c r="H649" i="45"/>
  <c r="H665" i="45"/>
  <c r="H697" i="45"/>
  <c r="H729" i="45"/>
  <c r="H761" i="45"/>
  <c r="H793" i="45"/>
  <c r="H841" i="45"/>
  <c r="H857" i="45"/>
  <c r="H905" i="45"/>
  <c r="H520" i="45"/>
  <c r="H521" i="45"/>
  <c r="H554" i="45"/>
  <c r="H570" i="45"/>
  <c r="H651" i="45"/>
  <c r="H667" i="45"/>
  <c r="H699" i="45"/>
  <c r="H731" i="45"/>
  <c r="H763" i="45"/>
  <c r="H795" i="45"/>
  <c r="H843" i="45"/>
  <c r="H859" i="45"/>
  <c r="H907" i="45"/>
  <c r="H522" i="45"/>
  <c r="H523" i="45"/>
  <c r="H861" i="45"/>
  <c r="H893" i="45"/>
  <c r="H524" i="45"/>
  <c r="H541" i="45"/>
  <c r="H557" i="45"/>
  <c r="H573" i="45"/>
  <c r="H589" i="45"/>
  <c r="H605" i="45"/>
  <c r="H702" i="45"/>
  <c r="H525" i="45"/>
  <c r="H895" i="45"/>
  <c r="H927" i="45"/>
  <c r="H526" i="45"/>
  <c r="H543" i="45"/>
  <c r="H559" i="45"/>
  <c r="H575" i="45"/>
  <c r="H591" i="45"/>
  <c r="H607" i="45"/>
  <c r="H640" i="45"/>
  <c r="H672" i="45"/>
  <c r="H688" i="45"/>
  <c r="H704" i="45"/>
  <c r="H736" i="45"/>
  <c r="H800" i="45"/>
  <c r="H816" i="45"/>
  <c r="H912" i="45"/>
  <c r="H928" i="45"/>
  <c r="H527" i="45"/>
  <c r="H544" i="45"/>
  <c r="H560" i="45"/>
  <c r="H576" i="45"/>
  <c r="H592" i="45"/>
  <c r="H608" i="45"/>
  <c r="H624" i="45"/>
  <c r="H641" i="45"/>
  <c r="H657" i="45"/>
  <c r="H673" i="45"/>
  <c r="H689" i="45"/>
  <c r="H705" i="45"/>
  <c r="H737" i="45"/>
  <c r="H753" i="45"/>
  <c r="H769" i="45"/>
  <c r="H785" i="45"/>
  <c r="H801" i="45"/>
  <c r="H817" i="45"/>
  <c r="H833" i="45"/>
  <c r="H849" i="45"/>
  <c r="H865" i="45"/>
  <c r="H881" i="45"/>
  <c r="H897" i="45"/>
  <c r="H913" i="45"/>
  <c r="H929" i="45"/>
  <c r="H528" i="45"/>
  <c r="H545" i="45"/>
  <c r="H577" i="45"/>
  <c r="H609" i="45"/>
  <c r="H658" i="45"/>
  <c r="H706" i="45"/>
  <c r="H738" i="45"/>
  <c r="H770" i="45"/>
  <c r="H834" i="45"/>
  <c r="H898" i="45"/>
  <c r="H529" i="45"/>
  <c r="H530" i="45"/>
  <c r="H547" i="45"/>
  <c r="H660" i="45"/>
  <c r="H676" i="45"/>
  <c r="H804" i="45"/>
  <c r="H820" i="45"/>
  <c r="H836" i="45"/>
  <c r="H884" i="45"/>
  <c r="H531" i="45"/>
  <c r="U548" i="45"/>
  <c r="H548" i="45"/>
  <c r="H596" i="45"/>
  <c r="H661" i="45"/>
  <c r="H693" i="45"/>
  <c r="H709" i="45"/>
  <c r="H741" i="45"/>
  <c r="H901" i="45"/>
  <c r="H532" i="45"/>
  <c r="H519" i="45"/>
  <c r="E18" i="4"/>
  <c r="F24" i="60"/>
  <c r="F125" i="60"/>
  <c r="L14" i="4"/>
  <c r="J23" i="60"/>
  <c r="I23" i="60"/>
  <c r="I17" i="4"/>
  <c r="I14" i="4"/>
  <c r="H23" i="60"/>
  <c r="G19" i="4"/>
  <c r="G17" i="4"/>
  <c r="G14" i="4"/>
  <c r="G23" i="60"/>
  <c r="G124" i="60"/>
  <c r="H950" i="45"/>
  <c r="H949" i="45"/>
  <c r="E16" i="4"/>
  <c r="I520" i="45"/>
  <c r="I521" i="45"/>
  <c r="I522" i="45"/>
  <c r="I523" i="45"/>
  <c r="I524" i="45"/>
  <c r="I525" i="45"/>
  <c r="I526" i="45"/>
  <c r="I607" i="45"/>
  <c r="I527" i="45"/>
  <c r="I544" i="45"/>
  <c r="I576" i="45"/>
  <c r="I608" i="45"/>
  <c r="I624" i="45"/>
  <c r="I657" i="45"/>
  <c r="I737" i="45"/>
  <c r="I769" i="45"/>
  <c r="I785" i="45"/>
  <c r="I833" i="45"/>
  <c r="T897" i="45"/>
  <c r="I897" i="45"/>
  <c r="I913" i="45"/>
  <c r="I528" i="45"/>
  <c r="I529" i="45"/>
  <c r="I530" i="45"/>
  <c r="I547" i="45"/>
  <c r="I563" i="45"/>
  <c r="I579" i="45"/>
  <c r="I611" i="45"/>
  <c r="I628" i="45"/>
  <c r="I676" i="45"/>
  <c r="I692" i="45"/>
  <c r="I708" i="45"/>
  <c r="I740" i="45"/>
  <c r="I772" i="45"/>
  <c r="I788" i="45"/>
  <c r="I916" i="45"/>
  <c r="I932" i="45"/>
  <c r="I531" i="45"/>
  <c r="I612" i="45"/>
  <c r="I532" i="45"/>
  <c r="I519" i="45"/>
  <c r="H533" i="45"/>
  <c r="E19" i="4"/>
  <c r="E17" i="4"/>
  <c r="E14" i="4"/>
  <c r="F23" i="60"/>
  <c r="F124" i="60"/>
  <c r="F22" i="60"/>
  <c r="F123" i="60"/>
  <c r="J20" i="60"/>
  <c r="I20" i="60"/>
  <c r="H20" i="60"/>
  <c r="G20" i="60"/>
  <c r="F20" i="60"/>
  <c r="J19" i="60"/>
  <c r="I19" i="60"/>
  <c r="H19" i="60"/>
  <c r="G19" i="60"/>
  <c r="F19" i="60"/>
  <c r="J18" i="60"/>
  <c r="I18" i="60"/>
  <c r="H18" i="60"/>
  <c r="G18" i="60"/>
  <c r="F18" i="60"/>
  <c r="J17" i="60"/>
  <c r="I17" i="60"/>
  <c r="H17" i="60"/>
  <c r="G17" i="60"/>
  <c r="F17" i="60"/>
  <c r="J16" i="60"/>
  <c r="I16" i="60"/>
  <c r="H16" i="60"/>
  <c r="G16" i="60"/>
  <c r="F16" i="60"/>
  <c r="I81" i="11"/>
  <c r="J81" i="11"/>
  <c r="F70" i="11"/>
  <c r="F53" i="11"/>
  <c r="F41" i="11"/>
  <c r="L15" i="4"/>
  <c r="L16" i="4"/>
  <c r="L19" i="4"/>
  <c r="L20" i="4"/>
  <c r="L22" i="4"/>
  <c r="L25" i="4"/>
  <c r="L28" i="4"/>
  <c r="L29" i="4"/>
  <c r="L30" i="4"/>
  <c r="L33" i="4"/>
  <c r="L36" i="4"/>
  <c r="L39" i="4"/>
  <c r="L40" i="4"/>
  <c r="L42" i="4"/>
  <c r="L43" i="4"/>
  <c r="L46" i="4"/>
  <c r="L48" i="4"/>
  <c r="L50" i="4"/>
  <c r="L51" i="4"/>
  <c r="L55" i="4"/>
  <c r="L58" i="4"/>
  <c r="L61" i="4"/>
  <c r="L64" i="4"/>
  <c r="L67" i="4"/>
  <c r="L70" i="4"/>
  <c r="L71" i="4"/>
  <c r="L73" i="4"/>
  <c r="L80" i="4"/>
  <c r="L85" i="4"/>
  <c r="L87" i="4"/>
  <c r="L89" i="4"/>
  <c r="L90" i="4"/>
  <c r="L91" i="4"/>
  <c r="L92" i="4"/>
  <c r="L93" i="4"/>
  <c r="L94" i="4"/>
  <c r="L96" i="4"/>
  <c r="J15" i="4"/>
  <c r="J16" i="4"/>
  <c r="J19" i="4"/>
  <c r="J20" i="4"/>
  <c r="J22" i="4"/>
  <c r="J25" i="4"/>
  <c r="J27" i="4"/>
  <c r="J28" i="4"/>
  <c r="J29" i="4"/>
  <c r="J30" i="4"/>
  <c r="J33" i="4"/>
  <c r="J40" i="4"/>
  <c r="J42" i="4"/>
  <c r="J43" i="4"/>
  <c r="J46" i="4"/>
  <c r="J48" i="4"/>
  <c r="J50" i="4"/>
  <c r="J51" i="4"/>
  <c r="J55" i="4"/>
  <c r="J58" i="4"/>
  <c r="J61" i="4"/>
  <c r="J64" i="4"/>
  <c r="J67" i="4"/>
  <c r="J70" i="4"/>
  <c r="J71" i="4"/>
  <c r="J73" i="4"/>
  <c r="J78" i="4"/>
  <c r="J80" i="4"/>
  <c r="J84" i="4"/>
  <c r="J85" i="4"/>
  <c r="J87" i="4"/>
  <c r="J89" i="4"/>
  <c r="J90" i="4"/>
  <c r="J91" i="4"/>
  <c r="J92" i="4"/>
  <c r="J93" i="4"/>
  <c r="J94" i="4"/>
  <c r="J96" i="4"/>
  <c r="H15" i="4"/>
  <c r="H16" i="4"/>
  <c r="H20" i="4"/>
  <c r="H22" i="4"/>
  <c r="H29" i="4"/>
  <c r="H30" i="4"/>
  <c r="H33" i="4"/>
  <c r="H39" i="4"/>
  <c r="H40" i="4"/>
  <c r="H42" i="4"/>
  <c r="H43" i="4"/>
  <c r="H48" i="4"/>
  <c r="H50" i="4"/>
  <c r="H51" i="4"/>
  <c r="H55" i="4"/>
  <c r="H58" i="4"/>
  <c r="H61" i="4"/>
  <c r="H71" i="4"/>
  <c r="H73" i="4"/>
  <c r="H80" i="4"/>
  <c r="H84" i="4"/>
  <c r="H85" i="4"/>
  <c r="H87" i="4"/>
  <c r="H89" i="4"/>
  <c r="H90" i="4"/>
  <c r="H91" i="4"/>
  <c r="H92" i="4"/>
  <c r="H93" i="4"/>
  <c r="H96" i="4"/>
  <c r="J121" i="11"/>
  <c r="J102" i="11"/>
  <c r="J101" i="11"/>
  <c r="J92" i="11"/>
  <c r="J91" i="11"/>
  <c r="J75" i="11"/>
  <c r="J73" i="11"/>
  <c r="J65" i="11"/>
  <c r="J63" i="11"/>
  <c r="J56" i="11"/>
  <c r="J55" i="11"/>
  <c r="J36" i="11"/>
  <c r="J35" i="11"/>
  <c r="J34" i="11"/>
  <c r="J33" i="11"/>
  <c r="J32" i="11"/>
  <c r="J46" i="11"/>
  <c r="J31" i="11"/>
  <c r="J30" i="11"/>
  <c r="J29" i="11"/>
  <c r="I36" i="4"/>
  <c r="J36" i="4"/>
  <c r="I53" i="4"/>
  <c r="I88" i="4"/>
  <c r="J88" i="4"/>
  <c r="I86" i="4"/>
  <c r="J86" i="4"/>
  <c r="J83" i="4"/>
  <c r="J82" i="4"/>
  <c r="J77" i="4"/>
  <c r="J75" i="4"/>
  <c r="J69" i="4"/>
  <c r="J63" i="4"/>
  <c r="J57" i="4"/>
  <c r="J47" i="4"/>
  <c r="J45" i="4"/>
  <c r="I39" i="4"/>
  <c r="J39" i="4"/>
  <c r="I38" i="4"/>
  <c r="K38" i="4"/>
  <c r="L38" i="4"/>
  <c r="I35" i="4"/>
  <c r="J24" i="4"/>
  <c r="J18" i="4"/>
  <c r="J39" i="54"/>
  <c r="J40" i="54"/>
  <c r="H94" i="4"/>
  <c r="J35" i="4"/>
  <c r="H52" i="60"/>
  <c r="J53" i="4"/>
  <c r="H69" i="60"/>
  <c r="L47" i="4"/>
  <c r="K86" i="4"/>
  <c r="L86" i="4"/>
  <c r="K35" i="4"/>
  <c r="K53" i="4"/>
  <c r="L83" i="4"/>
  <c r="K88" i="4"/>
  <c r="L88" i="4"/>
  <c r="J66" i="4"/>
  <c r="J38" i="4"/>
  <c r="H88" i="4"/>
  <c r="H86" i="4"/>
  <c r="H78" i="4"/>
  <c r="H24" i="4"/>
  <c r="H83" i="4"/>
  <c r="H82" i="4"/>
  <c r="H77" i="4"/>
  <c r="H75" i="4"/>
  <c r="H69" i="4"/>
  <c r="H66" i="4"/>
  <c r="H63" i="4"/>
  <c r="H53" i="4"/>
  <c r="H57" i="4"/>
  <c r="H38" i="4"/>
  <c r="H35" i="4"/>
  <c r="H47" i="4"/>
  <c r="H46" i="4"/>
  <c r="H45" i="4"/>
  <c r="H36" i="4"/>
  <c r="H28" i="4"/>
  <c r="H27" i="4"/>
  <c r="H25" i="4"/>
  <c r="H19" i="4"/>
  <c r="H18" i="4"/>
  <c r="J40" i="23"/>
  <c r="K90" i="59"/>
  <c r="K88" i="59"/>
  <c r="K86" i="59"/>
  <c r="K85" i="59"/>
  <c r="K84" i="59"/>
  <c r="K83" i="59"/>
  <c r="K81" i="59"/>
  <c r="K79" i="59"/>
  <c r="K77" i="59"/>
  <c r="K75" i="59"/>
  <c r="K74" i="59"/>
  <c r="K73" i="59"/>
  <c r="K72" i="59"/>
  <c r="K71" i="59"/>
  <c r="K59" i="59"/>
  <c r="K58" i="59"/>
  <c r="K41" i="59"/>
  <c r="K40" i="59"/>
  <c r="K39" i="59"/>
  <c r="K38" i="59"/>
  <c r="K33" i="59"/>
  <c r="K32" i="59"/>
  <c r="K31" i="59"/>
  <c r="K29" i="59"/>
  <c r="K27" i="59"/>
  <c r="K25" i="59"/>
  <c r="K22" i="59"/>
  <c r="K19" i="59"/>
  <c r="K15" i="59"/>
  <c r="K14" i="59"/>
  <c r="K13" i="59"/>
  <c r="K11" i="59"/>
  <c r="K10" i="59"/>
  <c r="L10" i="59"/>
  <c r="K9" i="59"/>
  <c r="J10" i="58"/>
  <c r="K10" i="58"/>
  <c r="K14" i="58"/>
  <c r="J9" i="57"/>
  <c r="K9" i="57"/>
  <c r="J8" i="58"/>
  <c r="K8" i="58"/>
  <c r="L3" i="54"/>
  <c r="J13" i="58"/>
  <c r="K13" i="58"/>
  <c r="J12" i="58"/>
  <c r="K12" i="58"/>
  <c r="J11" i="58"/>
  <c r="K11" i="58"/>
  <c r="J9" i="58"/>
  <c r="K9" i="58"/>
  <c r="K211" i="57"/>
  <c r="K212" i="57"/>
  <c r="K232" i="57"/>
  <c r="K958" i="57"/>
  <c r="K956" i="57"/>
  <c r="K960" i="57"/>
  <c r="K962" i="57"/>
  <c r="K971" i="57"/>
  <c r="K969" i="57"/>
  <c r="K967" i="57"/>
  <c r="K966" i="57"/>
  <c r="K965" i="57"/>
  <c r="K964" i="57"/>
  <c r="K955" i="57"/>
  <c r="K954" i="57"/>
  <c r="K953" i="57"/>
  <c r="K952" i="57"/>
  <c r="K940" i="57"/>
  <c r="K939" i="57"/>
  <c r="K922" i="57"/>
  <c r="K921" i="57"/>
  <c r="K920" i="57"/>
  <c r="K919" i="57"/>
  <c r="K914" i="57"/>
  <c r="K903" i="57"/>
  <c r="K468" i="57"/>
  <c r="K387" i="57"/>
  <c r="K289" i="57"/>
  <c r="K272" i="57"/>
  <c r="K254" i="57"/>
  <c r="K236" i="57"/>
  <c r="K193" i="57"/>
  <c r="K111" i="57"/>
  <c r="L111" i="57"/>
  <c r="K29" i="57"/>
  <c r="H31" i="15"/>
  <c r="E19" i="14"/>
  <c r="D19" i="14"/>
  <c r="H12" i="14"/>
  <c r="G12" i="14"/>
  <c r="H23" i="14"/>
  <c r="H22" i="14"/>
  <c r="L53" i="4"/>
  <c r="J69" i="60"/>
  <c r="I69" i="60"/>
  <c r="L35" i="4"/>
  <c r="J52" i="60"/>
  <c r="J125" i="60"/>
  <c r="I52" i="60"/>
  <c r="I125" i="60"/>
  <c r="H125" i="60"/>
  <c r="H25" i="14"/>
  <c r="K92" i="59"/>
  <c r="K973" i="57"/>
  <c r="M3" i="54"/>
  <c r="N3" i="54"/>
  <c r="G23" i="14"/>
  <c r="F23" i="14"/>
  <c r="G24" i="14"/>
  <c r="F24" i="14"/>
  <c r="G22" i="14"/>
  <c r="F22" i="14"/>
  <c r="F25" i="14"/>
  <c r="G25" i="14"/>
  <c r="G17" i="14"/>
  <c r="H17" i="14"/>
  <c r="F17" i="14"/>
  <c r="G16" i="14"/>
  <c r="H16" i="14"/>
  <c r="F16" i="14"/>
  <c r="F13" i="14"/>
  <c r="G13" i="14"/>
  <c r="H15" i="14"/>
  <c r="G15" i="14"/>
  <c r="F15" i="14"/>
  <c r="G14" i="14"/>
  <c r="H81" i="60"/>
  <c r="H78" i="60"/>
  <c r="H81" i="11"/>
  <c r="G25" i="60"/>
  <c r="G25" i="11"/>
  <c r="G19" i="14"/>
  <c r="G26" i="14"/>
  <c r="G53" i="60"/>
  <c r="G50" i="60"/>
  <c r="G41" i="11"/>
  <c r="G70" i="60"/>
  <c r="G67" i="60"/>
  <c r="G41" i="60"/>
  <c r="G38" i="60"/>
  <c r="G70" i="11"/>
  <c r="G53" i="11"/>
  <c r="G81" i="11"/>
  <c r="G81" i="60"/>
  <c r="G78" i="60"/>
  <c r="G97" i="11"/>
  <c r="G97" i="60"/>
  <c r="G94" i="60"/>
  <c r="F14" i="14"/>
  <c r="F19" i="14"/>
  <c r="F26" i="14"/>
  <c r="H97" i="60"/>
  <c r="H94" i="60"/>
  <c r="P21" i="14"/>
  <c r="H97" i="11"/>
  <c r="S18" i="14"/>
  <c r="H14" i="14"/>
  <c r="H25" i="60"/>
  <c r="H25" i="11"/>
  <c r="L46" i="23"/>
  <c r="L45" i="23"/>
  <c r="L41" i="23"/>
  <c r="L40" i="23"/>
  <c r="I58" i="23"/>
  <c r="I56" i="23"/>
  <c r="I51" i="23"/>
  <c r="I49" i="23"/>
  <c r="I48" i="23"/>
  <c r="I45" i="23"/>
  <c r="J41" i="23"/>
  <c r="I41" i="23"/>
  <c r="I40" i="23"/>
  <c r="K52" i="23"/>
  <c r="K65" i="23"/>
  <c r="K42" i="23"/>
  <c r="L42" i="23"/>
  <c r="M42" i="23"/>
  <c r="K37" i="23"/>
  <c r="L37" i="23"/>
  <c r="M37" i="23"/>
  <c r="K32" i="23"/>
  <c r="L32" i="23"/>
  <c r="M32" i="23"/>
  <c r="K27" i="23"/>
  <c r="L27" i="23"/>
  <c r="M27" i="23"/>
  <c r="K23" i="23"/>
  <c r="L23" i="23"/>
  <c r="M23" i="23"/>
  <c r="K20" i="23"/>
  <c r="L20" i="23"/>
  <c r="M20" i="23"/>
  <c r="K17" i="23"/>
  <c r="L17" i="23"/>
  <c r="M17" i="23"/>
  <c r="K14" i="23"/>
  <c r="L14" i="23"/>
  <c r="M14" i="23"/>
  <c r="N14" i="23"/>
  <c r="J47" i="23"/>
  <c r="I47" i="23"/>
  <c r="J62" i="23"/>
  <c r="I62" i="23"/>
  <c r="J59" i="23"/>
  <c r="I59" i="23"/>
  <c r="J61" i="23"/>
  <c r="I61" i="23"/>
  <c r="J57" i="23"/>
  <c r="I57" i="23"/>
  <c r="J65" i="23"/>
  <c r="J60" i="23"/>
  <c r="I60" i="23"/>
  <c r="J53" i="23"/>
  <c r="I53" i="23"/>
  <c r="J52" i="23"/>
  <c r="I52" i="23"/>
  <c r="J46" i="23"/>
  <c r="I46" i="23"/>
  <c r="J50" i="23"/>
  <c r="I50" i="23"/>
  <c r="J42" i="23"/>
  <c r="I42" i="23"/>
  <c r="J37" i="23"/>
  <c r="I37" i="23"/>
  <c r="J32" i="23"/>
  <c r="I32" i="23"/>
  <c r="J27" i="23"/>
  <c r="I27" i="23"/>
  <c r="J23" i="23"/>
  <c r="I23" i="23"/>
  <c r="J20" i="23"/>
  <c r="I20" i="23"/>
  <c r="J17" i="23"/>
  <c r="I17" i="23"/>
  <c r="J14" i="23"/>
  <c r="I14" i="23"/>
  <c r="H35" i="45"/>
  <c r="G14" i="23"/>
  <c r="H118" i="45"/>
  <c r="G17" i="23"/>
  <c r="H17" i="23"/>
  <c r="N17" i="23"/>
  <c r="H201" i="45"/>
  <c r="G20" i="23"/>
  <c r="H20" i="23"/>
  <c r="N20" i="23"/>
  <c r="S20" i="23"/>
  <c r="H320" i="45"/>
  <c r="G23" i="23"/>
  <c r="H23" i="23"/>
  <c r="N23" i="23"/>
  <c r="H436" i="45"/>
  <c r="G27" i="23"/>
  <c r="H27" i="23"/>
  <c r="N27" i="23"/>
  <c r="H338" i="45"/>
  <c r="G32" i="23"/>
  <c r="H32" i="23"/>
  <c r="N32" i="23"/>
  <c r="H286" i="45"/>
  <c r="H303" i="45"/>
  <c r="H518" i="45"/>
  <c r="H941" i="45"/>
  <c r="H948" i="45"/>
  <c r="H938" i="45"/>
  <c r="G37" i="23"/>
  <c r="H37" i="23"/>
  <c r="N37" i="23"/>
  <c r="H40" i="23"/>
  <c r="N40" i="23"/>
  <c r="H41" i="23"/>
  <c r="N41" i="23"/>
  <c r="H977" i="45"/>
  <c r="H976" i="45"/>
  <c r="H975" i="45"/>
  <c r="G42" i="23"/>
  <c r="H42" i="23"/>
  <c r="N42" i="23"/>
  <c r="G45" i="23"/>
  <c r="H45" i="23"/>
  <c r="N45" i="23"/>
  <c r="G46" i="23"/>
  <c r="H46" i="23"/>
  <c r="N46" i="23"/>
  <c r="G48" i="23"/>
  <c r="H48" i="23"/>
  <c r="L48" i="23"/>
  <c r="M48" i="23"/>
  <c r="N48" i="23"/>
  <c r="H978" i="45"/>
  <c r="G50" i="23"/>
  <c r="H50" i="23"/>
  <c r="N50" i="23"/>
  <c r="H958" i="45"/>
  <c r="H959" i="45"/>
  <c r="H960" i="45"/>
  <c r="H961" i="45"/>
  <c r="H962" i="45"/>
  <c r="H967" i="45"/>
  <c r="H954" i="45"/>
  <c r="H963" i="45"/>
  <c r="H964" i="45"/>
  <c r="H965" i="45"/>
  <c r="H966" i="45"/>
  <c r="H968" i="45"/>
  <c r="H969" i="45"/>
  <c r="H955" i="45"/>
  <c r="H970" i="45"/>
  <c r="H971" i="45"/>
  <c r="H956" i="45"/>
  <c r="H953" i="45"/>
  <c r="H952" i="45"/>
  <c r="H951" i="45"/>
  <c r="G52" i="23"/>
  <c r="H52" i="23"/>
  <c r="L52" i="23"/>
  <c r="M52" i="23"/>
  <c r="N52" i="23"/>
  <c r="H53" i="23"/>
  <c r="N53" i="23"/>
  <c r="G56" i="23"/>
  <c r="H56" i="23"/>
  <c r="N56" i="23"/>
  <c r="G58" i="23"/>
  <c r="H58" i="23"/>
  <c r="N58" i="23"/>
  <c r="G60" i="23"/>
  <c r="H60" i="23"/>
  <c r="N60" i="23"/>
  <c r="H61" i="23"/>
  <c r="N61" i="23"/>
  <c r="G65" i="23"/>
  <c r="H65" i="23"/>
  <c r="S28" i="12"/>
  <c r="R26" i="12"/>
  <c r="H236" i="45"/>
  <c r="H29" i="45"/>
  <c r="H1023" i="45"/>
  <c r="R17" i="12"/>
  <c r="R16" i="12"/>
  <c r="R15" i="12"/>
  <c r="G126" i="60"/>
  <c r="G22" i="60"/>
  <c r="G123" i="60"/>
  <c r="I25" i="60"/>
  <c r="I22" i="60"/>
  <c r="I25" i="11"/>
  <c r="H70" i="60"/>
  <c r="H70" i="11"/>
  <c r="H53" i="11"/>
  <c r="H53" i="60"/>
  <c r="H41" i="60"/>
  <c r="H38" i="60"/>
  <c r="H41" i="11"/>
  <c r="H19" i="14"/>
  <c r="H26" i="14"/>
  <c r="H22" i="60"/>
  <c r="S65" i="23"/>
  <c r="L65" i="23"/>
  <c r="M65" i="23"/>
  <c r="N65" i="23"/>
  <c r="K63" i="23"/>
  <c r="I65" i="23"/>
  <c r="J63" i="23"/>
  <c r="G63" i="23"/>
  <c r="H63" i="23"/>
  <c r="H14" i="23"/>
  <c r="F15" i="4"/>
  <c r="F20" i="4"/>
  <c r="F22" i="4"/>
  <c r="F29" i="4"/>
  <c r="F30" i="4"/>
  <c r="F33" i="4"/>
  <c r="F40" i="4"/>
  <c r="F42" i="4"/>
  <c r="F43" i="4"/>
  <c r="F48" i="4"/>
  <c r="F50" i="4"/>
  <c r="F51" i="4"/>
  <c r="F55" i="4"/>
  <c r="F58" i="4"/>
  <c r="F61" i="4"/>
  <c r="F71" i="4"/>
  <c r="F73" i="4"/>
  <c r="F78" i="4"/>
  <c r="F80" i="4"/>
  <c r="F84" i="4"/>
  <c r="F85" i="4"/>
  <c r="F87" i="4"/>
  <c r="F89" i="4"/>
  <c r="F90" i="4"/>
  <c r="F91" i="4"/>
  <c r="F93" i="4"/>
  <c r="F95" i="4"/>
  <c r="F96" i="4"/>
  <c r="J25" i="60"/>
  <c r="J22" i="60"/>
  <c r="J25" i="11"/>
  <c r="I53" i="60"/>
  <c r="I41" i="60"/>
  <c r="I41" i="11"/>
  <c r="I70" i="60"/>
  <c r="I70" i="11"/>
  <c r="I53" i="11"/>
  <c r="H126" i="60"/>
  <c r="I63" i="23"/>
  <c r="J66" i="23"/>
  <c r="G66" i="23"/>
  <c r="H66" i="23"/>
  <c r="I31" i="15"/>
  <c r="J31" i="15"/>
  <c r="K31" i="15"/>
  <c r="L31" i="15"/>
  <c r="G23" i="15"/>
  <c r="G25" i="15"/>
  <c r="G30" i="15"/>
  <c r="K14" i="14"/>
  <c r="J70" i="60"/>
  <c r="J70" i="11"/>
  <c r="J53" i="11"/>
  <c r="J53" i="60"/>
  <c r="J41" i="60"/>
  <c r="J41" i="11"/>
  <c r="I38" i="60"/>
  <c r="I66" i="23"/>
  <c r="F63" i="11"/>
  <c r="G63" i="11"/>
  <c r="H63" i="11"/>
  <c r="I63" i="11"/>
  <c r="F101" i="11"/>
  <c r="G101" i="11"/>
  <c r="H101" i="11"/>
  <c r="I101" i="11"/>
  <c r="F102" i="11"/>
  <c r="G102" i="11"/>
  <c r="H102" i="11"/>
  <c r="I102" i="11"/>
  <c r="F91" i="11"/>
  <c r="G91" i="11"/>
  <c r="H91" i="11"/>
  <c r="I91" i="11"/>
  <c r="F92" i="11"/>
  <c r="G92" i="11"/>
  <c r="H92" i="11"/>
  <c r="I92" i="11"/>
  <c r="F75" i="11"/>
  <c r="G75" i="11"/>
  <c r="H75" i="11"/>
  <c r="I75" i="11"/>
  <c r="F73" i="11"/>
  <c r="G73" i="11"/>
  <c r="H73" i="11"/>
  <c r="I73" i="11"/>
  <c r="F65" i="11"/>
  <c r="H65" i="11"/>
  <c r="I65" i="11"/>
  <c r="F56" i="11"/>
  <c r="G56" i="11"/>
  <c r="H56" i="11"/>
  <c r="I56" i="11"/>
  <c r="F55" i="11"/>
  <c r="G55" i="11"/>
  <c r="H55" i="11"/>
  <c r="I55" i="11"/>
  <c r="F36" i="11"/>
  <c r="G36" i="11"/>
  <c r="H36" i="11"/>
  <c r="I36" i="11"/>
  <c r="F32" i="11"/>
  <c r="G32" i="11"/>
  <c r="H32" i="11"/>
  <c r="I32" i="11"/>
  <c r="F46" i="11"/>
  <c r="G46" i="11"/>
  <c r="H46" i="11"/>
  <c r="I46" i="11"/>
  <c r="F29" i="11"/>
  <c r="G29" i="11"/>
  <c r="H29" i="11"/>
  <c r="I29" i="11"/>
  <c r="F97" i="11"/>
  <c r="F81" i="11"/>
  <c r="F25" i="11"/>
  <c r="AA104" i="4"/>
  <c r="Y104" i="4"/>
  <c r="W104" i="4"/>
  <c r="I104" i="50"/>
  <c r="U104" i="4"/>
  <c r="I105" i="50"/>
  <c r="S104" i="4"/>
  <c r="D22" i="14"/>
  <c r="D21" i="14"/>
  <c r="O26" i="14"/>
  <c r="E22" i="14"/>
  <c r="E21" i="14"/>
  <c r="M15" i="4"/>
  <c r="M16" i="4"/>
  <c r="M19" i="4"/>
  <c r="M20" i="4"/>
  <c r="M22" i="4"/>
  <c r="M25" i="4"/>
  <c r="M28" i="4"/>
  <c r="M30" i="4"/>
  <c r="M33" i="4"/>
  <c r="M36" i="4"/>
  <c r="M39" i="4"/>
  <c r="M40" i="4"/>
  <c r="M42" i="4"/>
  <c r="M43" i="4"/>
  <c r="M46" i="4"/>
  <c r="M48" i="4"/>
  <c r="M50" i="4"/>
  <c r="M51" i="4"/>
  <c r="M55" i="4"/>
  <c r="M58" i="4"/>
  <c r="M61" i="4"/>
  <c r="M64" i="4"/>
  <c r="M67" i="4"/>
  <c r="M70" i="4"/>
  <c r="M71" i="4"/>
  <c r="M73" i="4"/>
  <c r="M80" i="4"/>
  <c r="M85" i="4"/>
  <c r="M87" i="4"/>
  <c r="M89" i="4"/>
  <c r="M90" i="4"/>
  <c r="M91" i="4"/>
  <c r="M92" i="4"/>
  <c r="M93" i="4"/>
  <c r="M96" i="4"/>
  <c r="V60" i="23"/>
  <c r="I97" i="11"/>
  <c r="I97" i="60"/>
  <c r="I19" i="14"/>
  <c r="J38" i="60"/>
  <c r="N92" i="4"/>
  <c r="O92" i="4"/>
  <c r="P92" i="4"/>
  <c r="N90" i="4"/>
  <c r="O90" i="4"/>
  <c r="P90" i="4"/>
  <c r="N87" i="4"/>
  <c r="O87" i="4"/>
  <c r="P87" i="4"/>
  <c r="N73" i="4"/>
  <c r="O73" i="4"/>
  <c r="P73" i="4"/>
  <c r="N70" i="4"/>
  <c r="O70" i="4"/>
  <c r="P70" i="4"/>
  <c r="N61" i="4"/>
  <c r="O61" i="4"/>
  <c r="P61" i="4"/>
  <c r="N50" i="4"/>
  <c r="O50" i="4"/>
  <c r="P50" i="4"/>
  <c r="N93" i="4"/>
  <c r="O93" i="4"/>
  <c r="P93" i="4"/>
  <c r="N91" i="4"/>
  <c r="O91" i="4"/>
  <c r="P91" i="4"/>
  <c r="N89" i="4"/>
  <c r="O89" i="4"/>
  <c r="P89" i="4"/>
  <c r="N85" i="4"/>
  <c r="O85" i="4"/>
  <c r="P85" i="4"/>
  <c r="N80" i="4"/>
  <c r="O80" i="4"/>
  <c r="P80" i="4"/>
  <c r="N71" i="4"/>
  <c r="O71" i="4"/>
  <c r="P71" i="4"/>
  <c r="N64" i="4"/>
  <c r="O64" i="4"/>
  <c r="P64" i="4"/>
  <c r="N58" i="4"/>
  <c r="O58" i="4"/>
  <c r="P58" i="4"/>
  <c r="N51" i="4"/>
  <c r="O51" i="4"/>
  <c r="P51" i="4"/>
  <c r="N48" i="4"/>
  <c r="O48" i="4"/>
  <c r="P48" i="4"/>
  <c r="N43" i="4"/>
  <c r="O43" i="4"/>
  <c r="P43" i="4"/>
  <c r="N40" i="4"/>
  <c r="O40" i="4"/>
  <c r="P40" i="4"/>
  <c r="N36" i="4"/>
  <c r="O36" i="4"/>
  <c r="P36" i="4"/>
  <c r="N30" i="4"/>
  <c r="O30" i="4"/>
  <c r="P30" i="4"/>
  <c r="N25" i="4"/>
  <c r="O25" i="4"/>
  <c r="P25" i="4"/>
  <c r="N20" i="4"/>
  <c r="O20" i="4"/>
  <c r="P20" i="4"/>
  <c r="N16" i="4"/>
  <c r="O16" i="4"/>
  <c r="P16" i="4"/>
  <c r="N96" i="4"/>
  <c r="O96" i="4"/>
  <c r="P96" i="4"/>
  <c r="N84" i="4"/>
  <c r="O84" i="4"/>
  <c r="P84" i="4"/>
  <c r="N67" i="4"/>
  <c r="O67" i="4"/>
  <c r="P67" i="4"/>
  <c r="N55" i="4"/>
  <c r="O55" i="4"/>
  <c r="P55" i="4"/>
  <c r="N46" i="4"/>
  <c r="O46" i="4"/>
  <c r="P46" i="4"/>
  <c r="N42" i="4"/>
  <c r="O42" i="4"/>
  <c r="P42" i="4"/>
  <c r="N39" i="4"/>
  <c r="O39" i="4"/>
  <c r="P39" i="4"/>
  <c r="N33" i="4"/>
  <c r="O33" i="4"/>
  <c r="P33" i="4"/>
  <c r="N28" i="4"/>
  <c r="O28" i="4"/>
  <c r="P28" i="4"/>
  <c r="N22" i="4"/>
  <c r="O22" i="4"/>
  <c r="P22" i="4"/>
  <c r="N19" i="4"/>
  <c r="O19" i="4"/>
  <c r="P19" i="4"/>
  <c r="N15" i="4"/>
  <c r="O15" i="4"/>
  <c r="P15" i="4"/>
  <c r="K17" i="14"/>
  <c r="D12" i="14"/>
  <c r="E12" i="14"/>
  <c r="E126" i="4"/>
  <c r="E124" i="4"/>
  <c r="E122" i="4"/>
  <c r="E121" i="4"/>
  <c r="L8" i="47"/>
  <c r="L22" i="47"/>
  <c r="L21" i="47"/>
  <c r="L18" i="47"/>
  <c r="L17" i="47"/>
  <c r="L16" i="47"/>
  <c r="L15" i="47"/>
  <c r="L14" i="47"/>
  <c r="L13" i="47"/>
  <c r="L12" i="47"/>
  <c r="L11" i="47"/>
  <c r="L10" i="47"/>
  <c r="L7" i="47"/>
  <c r="L6" i="47"/>
  <c r="L78" i="4"/>
  <c r="K95" i="4"/>
  <c r="L95" i="4"/>
  <c r="J81" i="4"/>
  <c r="I117" i="4"/>
  <c r="I119" i="4"/>
  <c r="I121" i="4"/>
  <c r="I122" i="4"/>
  <c r="I124" i="4"/>
  <c r="G123" i="4"/>
  <c r="G119" i="4"/>
  <c r="H70" i="4"/>
  <c r="H67" i="4"/>
  <c r="H64" i="4"/>
  <c r="I94" i="60"/>
  <c r="I126" i="60"/>
  <c r="K16" i="14"/>
  <c r="K19" i="14"/>
  <c r="J97" i="60"/>
  <c r="J97" i="11"/>
  <c r="J126" i="11"/>
  <c r="J19" i="14"/>
  <c r="G96" i="11"/>
  <c r="I118" i="4"/>
  <c r="J65" i="4"/>
  <c r="M86" i="4"/>
  <c r="N86" i="4"/>
  <c r="M29" i="4"/>
  <c r="N29" i="4"/>
  <c r="G24" i="11"/>
  <c r="H37" i="4"/>
  <c r="I37" i="4"/>
  <c r="J37" i="4"/>
  <c r="J79" i="4"/>
  <c r="I120" i="4"/>
  <c r="J68" i="4"/>
  <c r="J76" i="4"/>
  <c r="H120" i="11"/>
  <c r="M88" i="4"/>
  <c r="N88" i="4"/>
  <c r="M83" i="4"/>
  <c r="N83" i="4"/>
  <c r="M47" i="4"/>
  <c r="N47" i="4"/>
  <c r="E117" i="4"/>
  <c r="M94" i="4"/>
  <c r="N94" i="4"/>
  <c r="M95" i="4"/>
  <c r="M78" i="4"/>
  <c r="H56" i="4"/>
  <c r="G80" i="11"/>
  <c r="J23" i="4"/>
  <c r="H40" i="11"/>
  <c r="J56" i="4"/>
  <c r="H80" i="11"/>
  <c r="J74" i="4"/>
  <c r="H106" i="11"/>
  <c r="L26" i="4"/>
  <c r="N27" i="4"/>
  <c r="L23" i="4"/>
  <c r="N24" i="4"/>
  <c r="I40" i="11"/>
  <c r="L17" i="4"/>
  <c r="N18" i="4"/>
  <c r="I24" i="11"/>
  <c r="E119" i="4"/>
  <c r="E125" i="4"/>
  <c r="E118" i="4"/>
  <c r="G40" i="11"/>
  <c r="G52" i="11"/>
  <c r="H44" i="4"/>
  <c r="G60" i="11"/>
  <c r="H52" i="4"/>
  <c r="G69" i="11"/>
  <c r="H65" i="4"/>
  <c r="G106" i="11"/>
  <c r="H81" i="4"/>
  <c r="G120" i="11"/>
  <c r="J17" i="4"/>
  <c r="H24" i="11"/>
  <c r="I34" i="4"/>
  <c r="J34" i="4"/>
  <c r="H52" i="11"/>
  <c r="J44" i="4"/>
  <c r="H60" i="11"/>
  <c r="I52" i="4"/>
  <c r="J52" i="4"/>
  <c r="H69" i="11"/>
  <c r="J62" i="4"/>
  <c r="H96" i="11"/>
  <c r="I120" i="11"/>
  <c r="N82" i="4"/>
  <c r="L76" i="4"/>
  <c r="N77" i="4"/>
  <c r="I106" i="11"/>
  <c r="N75" i="4"/>
  <c r="L68" i="4"/>
  <c r="N69" i="4"/>
  <c r="L65" i="4"/>
  <c r="N66" i="4"/>
  <c r="L62" i="4"/>
  <c r="I96" i="11"/>
  <c r="N63" i="4"/>
  <c r="L56" i="4"/>
  <c r="N57" i="4"/>
  <c r="I80" i="11"/>
  <c r="K52" i="4"/>
  <c r="L52" i="4"/>
  <c r="M53" i="4"/>
  <c r="I69" i="11"/>
  <c r="L44" i="4"/>
  <c r="N45" i="4"/>
  <c r="I60" i="11"/>
  <c r="K37" i="4"/>
  <c r="L37" i="4"/>
  <c r="M38" i="4"/>
  <c r="N38" i="4"/>
  <c r="K34" i="4"/>
  <c r="M35" i="4"/>
  <c r="I52" i="11"/>
  <c r="E115" i="4"/>
  <c r="E120" i="4"/>
  <c r="E123" i="4"/>
  <c r="L4" i="47"/>
  <c r="H26" i="4"/>
  <c r="E113" i="4"/>
  <c r="E108" i="4"/>
  <c r="H41" i="4"/>
  <c r="J41" i="4"/>
  <c r="E116" i="4"/>
  <c r="J26" i="4"/>
  <c r="J94" i="11"/>
  <c r="J38" i="11"/>
  <c r="I125" i="4"/>
  <c r="H23" i="4"/>
  <c r="H62" i="4"/>
  <c r="H17" i="4"/>
  <c r="H34" i="4"/>
  <c r="N35" i="4"/>
  <c r="J52" i="11"/>
  <c r="N53" i="4"/>
  <c r="J69" i="11"/>
  <c r="J94" i="60"/>
  <c r="J126" i="60"/>
  <c r="J104" i="11"/>
  <c r="L74" i="4"/>
  <c r="N95" i="4"/>
  <c r="O95" i="4"/>
  <c r="P95" i="4"/>
  <c r="K32" i="4"/>
  <c r="L34" i="4"/>
  <c r="J118" i="11"/>
  <c r="L81" i="4"/>
  <c r="N78" i="4"/>
  <c r="O78" i="4"/>
  <c r="P78" i="4"/>
  <c r="O94" i="4"/>
  <c r="P94" i="4"/>
  <c r="O88" i="4"/>
  <c r="P88" i="4"/>
  <c r="O86" i="4"/>
  <c r="P86" i="4"/>
  <c r="O83" i="4"/>
  <c r="P83" i="4"/>
  <c r="O82" i="4"/>
  <c r="P82" i="4"/>
  <c r="O77" i="4"/>
  <c r="P77" i="4"/>
  <c r="O75" i="4"/>
  <c r="P75" i="4"/>
  <c r="O69" i="4"/>
  <c r="P69" i="4"/>
  <c r="O66" i="4"/>
  <c r="P66" i="4"/>
  <c r="O63" i="4"/>
  <c r="P63" i="4"/>
  <c r="O57" i="4"/>
  <c r="P57" i="4"/>
  <c r="O53" i="4"/>
  <c r="P53" i="4"/>
  <c r="O47" i="4"/>
  <c r="P47" i="4"/>
  <c r="O45" i="4"/>
  <c r="P45" i="4"/>
  <c r="O38" i="4"/>
  <c r="P38" i="4"/>
  <c r="O35" i="4"/>
  <c r="P35" i="4"/>
  <c r="O29" i="4"/>
  <c r="P29" i="4"/>
  <c r="O27" i="4"/>
  <c r="P27" i="4"/>
  <c r="O24" i="4"/>
  <c r="P24" i="4"/>
  <c r="O18" i="4"/>
  <c r="P18" i="4"/>
  <c r="J60" i="4"/>
  <c r="I32" i="4"/>
  <c r="I115" i="4"/>
  <c r="J21" i="4"/>
  <c r="G59" i="11"/>
  <c r="G58" i="11"/>
  <c r="E112" i="4"/>
  <c r="M44" i="4"/>
  <c r="N44" i="4"/>
  <c r="M74" i="4"/>
  <c r="N74" i="4"/>
  <c r="M76" i="4"/>
  <c r="N76" i="4"/>
  <c r="E110" i="4"/>
  <c r="H119" i="11"/>
  <c r="H95" i="11"/>
  <c r="I112" i="4"/>
  <c r="E109" i="4"/>
  <c r="M34" i="4"/>
  <c r="N34" i="4"/>
  <c r="M37" i="4"/>
  <c r="N37" i="4"/>
  <c r="M62" i="4"/>
  <c r="N62" i="4"/>
  <c r="M65" i="4"/>
  <c r="N65" i="4"/>
  <c r="M68" i="4"/>
  <c r="N68" i="4"/>
  <c r="M81" i="4"/>
  <c r="N81" i="4"/>
  <c r="I49" i="4"/>
  <c r="J14" i="4"/>
  <c r="H79" i="4"/>
  <c r="H49" i="4"/>
  <c r="I113" i="4"/>
  <c r="M23" i="4"/>
  <c r="N23" i="4"/>
  <c r="M26" i="4"/>
  <c r="N26" i="4"/>
  <c r="J54" i="4"/>
  <c r="H54" i="4"/>
  <c r="E114" i="4"/>
  <c r="I51" i="11"/>
  <c r="M32" i="4"/>
  <c r="N79" i="4"/>
  <c r="I119" i="11"/>
  <c r="H59" i="11"/>
  <c r="H58" i="11"/>
  <c r="J78" i="11"/>
  <c r="M56" i="4"/>
  <c r="N56" i="4"/>
  <c r="M17" i="4"/>
  <c r="N17" i="4"/>
  <c r="K13" i="4"/>
  <c r="L13" i="4"/>
  <c r="N21" i="4"/>
  <c r="I39" i="11"/>
  <c r="N60" i="4"/>
  <c r="I95" i="11"/>
  <c r="I94" i="11"/>
  <c r="J58" i="11"/>
  <c r="E111" i="4"/>
  <c r="K49" i="4"/>
  <c r="M52" i="4"/>
  <c r="N52" i="4"/>
  <c r="I105" i="11"/>
  <c r="I104" i="11"/>
  <c r="N72" i="4"/>
  <c r="E127" i="4"/>
  <c r="I116" i="4"/>
  <c r="H14" i="4"/>
  <c r="I114" i="4"/>
  <c r="H32" i="4"/>
  <c r="K59" i="4"/>
  <c r="L59" i="4"/>
  <c r="I111" i="4"/>
  <c r="H21" i="4"/>
  <c r="E94" i="4"/>
  <c r="F94" i="4"/>
  <c r="H14" i="45"/>
  <c r="H12" i="45"/>
  <c r="H11" i="45"/>
  <c r="H253" i="45"/>
  <c r="E5" i="20"/>
  <c r="E6" i="20"/>
  <c r="E7" i="20"/>
  <c r="E9" i="20"/>
  <c r="H5" i="20"/>
  <c r="K5" i="20"/>
  <c r="K6" i="20"/>
  <c r="K7" i="20"/>
  <c r="K8" i="20"/>
  <c r="K9" i="20"/>
  <c r="N5" i="20"/>
  <c r="Q5" i="20"/>
  <c r="H6" i="20"/>
  <c r="N6" i="20"/>
  <c r="O6" i="20"/>
  <c r="Q6" i="20"/>
  <c r="H7" i="20"/>
  <c r="N7" i="20"/>
  <c r="Q7" i="20"/>
  <c r="H8" i="20"/>
  <c r="N8" i="20"/>
  <c r="Q8" i="20"/>
  <c r="C9" i="20"/>
  <c r="D9" i="20"/>
  <c r="F9" i="20"/>
  <c r="G9" i="20"/>
  <c r="H9" i="20"/>
  <c r="I9" i="20"/>
  <c r="J9" i="20"/>
  <c r="L9" i="20"/>
  <c r="M9" i="20"/>
  <c r="N9" i="20"/>
  <c r="O9" i="20"/>
  <c r="P9" i="20"/>
  <c r="C2" i="5"/>
  <c r="F2" i="5"/>
  <c r="C3" i="5"/>
  <c r="F3" i="5"/>
  <c r="D4" i="5"/>
  <c r="C5" i="5"/>
  <c r="F5" i="5"/>
  <c r="C6" i="5"/>
  <c r="F6" i="5"/>
  <c r="C7" i="5"/>
  <c r="F7" i="5"/>
  <c r="C8" i="5"/>
  <c r="F8" i="5"/>
  <c r="C9" i="5"/>
  <c r="F9" i="5"/>
  <c r="C10" i="5"/>
  <c r="F10" i="5"/>
  <c r="K10" i="5"/>
  <c r="C11" i="5"/>
  <c r="F11" i="5"/>
  <c r="C12" i="5"/>
  <c r="F12" i="5"/>
  <c r="C13" i="5"/>
  <c r="C15" i="5"/>
  <c r="C17" i="5"/>
  <c r="C18" i="5"/>
  <c r="C19" i="5"/>
  <c r="C21" i="5"/>
  <c r="B22" i="5"/>
  <c r="C22" i="5"/>
  <c r="D22" i="5"/>
  <c r="C23" i="5"/>
  <c r="D24" i="5"/>
  <c r="B26" i="5"/>
  <c r="C26" i="5"/>
  <c r="E12" i="13"/>
  <c r="E50" i="13"/>
  <c r="F12" i="13"/>
  <c r="F50" i="13"/>
  <c r="G12" i="13"/>
  <c r="H12" i="13"/>
  <c r="H50" i="13"/>
  <c r="H53" i="13"/>
  <c r="J12" i="13"/>
  <c r="K12" i="13"/>
  <c r="L12" i="13"/>
  <c r="E13" i="13"/>
  <c r="F13" i="13"/>
  <c r="G13" i="13"/>
  <c r="H13" i="13"/>
  <c r="J13" i="13"/>
  <c r="K13" i="13"/>
  <c r="L13" i="13"/>
  <c r="N13" i="13"/>
  <c r="E16" i="13"/>
  <c r="F16" i="13"/>
  <c r="G16" i="13"/>
  <c r="H16" i="13"/>
  <c r="J16" i="13"/>
  <c r="K16" i="13"/>
  <c r="L16" i="13"/>
  <c r="E19" i="13"/>
  <c r="F19" i="13"/>
  <c r="G19" i="13"/>
  <c r="H19" i="13"/>
  <c r="I19" i="13"/>
  <c r="I50" i="13"/>
  <c r="J19" i="13"/>
  <c r="K19" i="13"/>
  <c r="L19" i="13"/>
  <c r="N19" i="13"/>
  <c r="E21" i="13"/>
  <c r="F21" i="13"/>
  <c r="G21" i="13"/>
  <c r="H21" i="13"/>
  <c r="I21" i="13"/>
  <c r="J21" i="13"/>
  <c r="K21" i="13"/>
  <c r="L21" i="13"/>
  <c r="N21" i="13"/>
  <c r="E25" i="13"/>
  <c r="F25" i="13"/>
  <c r="G25" i="13"/>
  <c r="H25" i="13"/>
  <c r="J25" i="13"/>
  <c r="K25" i="13"/>
  <c r="L25" i="13"/>
  <c r="E29" i="13"/>
  <c r="F29" i="13"/>
  <c r="G29" i="13"/>
  <c r="H29" i="13"/>
  <c r="J29" i="13"/>
  <c r="K29" i="13"/>
  <c r="L29" i="13"/>
  <c r="O32" i="13"/>
  <c r="E34" i="13"/>
  <c r="F34" i="13"/>
  <c r="G34" i="13"/>
  <c r="H34" i="13"/>
  <c r="J34" i="13"/>
  <c r="K34" i="13"/>
  <c r="E37" i="13"/>
  <c r="F37" i="13"/>
  <c r="G37" i="13"/>
  <c r="H37" i="13"/>
  <c r="J37" i="13"/>
  <c r="K37" i="13"/>
  <c r="L37" i="13"/>
  <c r="E40" i="13"/>
  <c r="F40" i="13"/>
  <c r="G40" i="13"/>
  <c r="H40" i="13"/>
  <c r="J40" i="13"/>
  <c r="K40" i="13"/>
  <c r="L40" i="13"/>
  <c r="E42" i="13"/>
  <c r="F42" i="13"/>
  <c r="G42" i="13"/>
  <c r="L42" i="13"/>
  <c r="N42" i="13"/>
  <c r="E44" i="13"/>
  <c r="F44" i="13"/>
  <c r="G44" i="13"/>
  <c r="H44" i="13"/>
  <c r="J44" i="13"/>
  <c r="K44" i="13"/>
  <c r="L44" i="13"/>
  <c r="E45" i="13"/>
  <c r="G45" i="13"/>
  <c r="J45" i="13"/>
  <c r="K45" i="13"/>
  <c r="L45" i="13"/>
  <c r="E46" i="13"/>
  <c r="G46" i="13"/>
  <c r="L46" i="13"/>
  <c r="E47" i="13"/>
  <c r="F47" i="13"/>
  <c r="G47" i="13"/>
  <c r="H47" i="13"/>
  <c r="J47" i="13"/>
  <c r="K47" i="13"/>
  <c r="L47" i="13"/>
  <c r="I48" i="13"/>
  <c r="J48" i="13"/>
  <c r="N48" i="13"/>
  <c r="I49" i="13"/>
  <c r="J49" i="13"/>
  <c r="N49" i="13"/>
  <c r="G50" i="13"/>
  <c r="E52" i="13"/>
  <c r="F52" i="13"/>
  <c r="F53" i="13"/>
  <c r="G52" i="13"/>
  <c r="G53" i="13"/>
  <c r="I52" i="13"/>
  <c r="J52" i="13"/>
  <c r="K52" i="13"/>
  <c r="L52" i="13"/>
  <c r="N52" i="13"/>
  <c r="P55" i="13"/>
  <c r="P53" i="13"/>
  <c r="H7" i="27"/>
  <c r="H8" i="27"/>
  <c r="H9" i="27"/>
  <c r="H10" i="27"/>
  <c r="H11" i="27"/>
  <c r="H12" i="27"/>
  <c r="H14" i="27"/>
  <c r="H15" i="27"/>
  <c r="H17" i="27"/>
  <c r="H18" i="27"/>
  <c r="H22" i="27"/>
  <c r="H24" i="27"/>
  <c r="H25" i="27"/>
  <c r="H27" i="27"/>
  <c r="H31" i="27"/>
  <c r="H32" i="27"/>
  <c r="H35" i="27"/>
  <c r="H72" i="27"/>
  <c r="H87" i="27"/>
  <c r="H37" i="27"/>
  <c r="H39" i="27"/>
  <c r="H46" i="27"/>
  <c r="H50" i="27"/>
  <c r="H61" i="27"/>
  <c r="H76" i="27"/>
  <c r="H91" i="27"/>
  <c r="H53" i="27"/>
  <c r="H83" i="27"/>
  <c r="H62" i="27"/>
  <c r="H64" i="27"/>
  <c r="H67" i="27"/>
  <c r="H82" i="27"/>
  <c r="H69" i="27"/>
  <c r="H70" i="27"/>
  <c r="H85" i="27"/>
  <c r="H75" i="27"/>
  <c r="H77" i="27"/>
  <c r="H78" i="27"/>
  <c r="H80" i="27"/>
  <c r="H84" i="27"/>
  <c r="H86" i="27"/>
  <c r="H88" i="27"/>
  <c r="H89" i="27"/>
  <c r="H90" i="27"/>
  <c r="H92" i="27"/>
  <c r="H93" i="27"/>
  <c r="H94" i="27"/>
  <c r="H98" i="27"/>
  <c r="H100" i="27"/>
  <c r="H101" i="27"/>
  <c r="H102" i="27"/>
  <c r="H105" i="27"/>
  <c r="H106" i="27"/>
  <c r="H107" i="27"/>
  <c r="H109" i="27"/>
  <c r="H110" i="27"/>
  <c r="H132" i="27"/>
  <c r="H162" i="27"/>
  <c r="H194" i="27"/>
  <c r="H121" i="27"/>
  <c r="H136" i="27"/>
  <c r="H151" i="27"/>
  <c r="H166" i="27"/>
  <c r="H186" i="27"/>
  <c r="H187" i="27"/>
  <c r="H198" i="27"/>
  <c r="H113" i="27"/>
  <c r="H116" i="27"/>
  <c r="H120" i="27"/>
  <c r="H122" i="27"/>
  <c r="H125" i="27"/>
  <c r="H127" i="27"/>
  <c r="H133" i="27"/>
  <c r="H134" i="27"/>
  <c r="H135" i="27"/>
  <c r="H137" i="27"/>
  <c r="H139" i="27"/>
  <c r="H143" i="27"/>
  <c r="H146" i="27"/>
  <c r="H150" i="27"/>
  <c r="H152" i="27"/>
  <c r="H155" i="27"/>
  <c r="H157" i="27"/>
  <c r="H159" i="27"/>
  <c r="H161" i="27"/>
  <c r="H176" i="27"/>
  <c r="H193" i="27"/>
  <c r="H163" i="27"/>
  <c r="H195" i="27"/>
  <c r="H164" i="27"/>
  <c r="H165" i="27"/>
  <c r="H167" i="27"/>
  <c r="H182" i="27"/>
  <c r="H199" i="27"/>
  <c r="H168" i="27"/>
  <c r="H169" i="27"/>
  <c r="H201" i="27"/>
  <c r="H172" i="27"/>
  <c r="H173" i="27"/>
  <c r="H174" i="27"/>
  <c r="H180" i="27"/>
  <c r="H183" i="27"/>
  <c r="H185" i="27"/>
  <c r="H191" i="27"/>
  <c r="H197" i="27"/>
  <c r="H196" i="27"/>
  <c r="H200" i="27"/>
  <c r="H204" i="27"/>
  <c r="H206" i="27"/>
  <c r="H208" i="27"/>
  <c r="H209" i="27"/>
  <c r="H212" i="27"/>
  <c r="H213" i="27"/>
  <c r="H214" i="27"/>
  <c r="H217" i="27"/>
  <c r="H219" i="27"/>
  <c r="H221" i="27"/>
  <c r="H227" i="27"/>
  <c r="H229" i="27"/>
  <c r="H234" i="27"/>
  <c r="H235" i="27"/>
  <c r="H236" i="27"/>
  <c r="H237" i="27"/>
  <c r="H238" i="27"/>
  <c r="H239" i="27"/>
  <c r="H240" i="27"/>
  <c r="H241" i="27"/>
  <c r="H242" i="27"/>
  <c r="H243" i="27"/>
  <c r="H244" i="27"/>
  <c r="H245" i="27"/>
  <c r="H246" i="27"/>
  <c r="H247" i="27"/>
  <c r="H249" i="27"/>
  <c r="H294" i="27"/>
  <c r="H309" i="27"/>
  <c r="H251" i="27"/>
  <c r="H254" i="27"/>
  <c r="H257" i="27"/>
  <c r="H258" i="27"/>
  <c r="H259" i="27"/>
  <c r="H262" i="27"/>
  <c r="H265" i="27"/>
  <c r="H268" i="27"/>
  <c r="H298" i="27"/>
  <c r="H313" i="27"/>
  <c r="H403" i="27"/>
  <c r="H508" i="27"/>
  <c r="H568" i="27"/>
  <c r="H598" i="27"/>
  <c r="H613" i="27"/>
  <c r="H673" i="27"/>
  <c r="H733" i="27"/>
  <c r="H748" i="27"/>
  <c r="H388" i="27"/>
  <c r="H763" i="27"/>
  <c r="H793" i="27"/>
  <c r="H269" i="27"/>
  <c r="H272" i="27"/>
  <c r="H302" i="27"/>
  <c r="H287" i="27"/>
  <c r="H317" i="27"/>
  <c r="H274" i="27"/>
  <c r="H275" i="27"/>
  <c r="H276" i="27"/>
  <c r="H277" i="27"/>
  <c r="H282" i="27"/>
  <c r="H284" i="27"/>
  <c r="H286" i="27"/>
  <c r="H288" i="27"/>
  <c r="H289" i="27"/>
  <c r="H304" i="27"/>
  <c r="H319" i="27"/>
  <c r="H295" i="27"/>
  <c r="H296" i="27"/>
  <c r="H297" i="27"/>
  <c r="H299" i="27"/>
  <c r="H301" i="27"/>
  <c r="H305" i="27"/>
  <c r="H306" i="27"/>
  <c r="H307" i="27"/>
  <c r="H310" i="27"/>
  <c r="H311" i="27"/>
  <c r="H312" i="27"/>
  <c r="H314" i="27"/>
  <c r="H315" i="27"/>
  <c r="H316" i="27"/>
  <c r="H318" i="27"/>
  <c r="H320" i="27"/>
  <c r="H321" i="27"/>
  <c r="H329" i="27"/>
  <c r="H332" i="27"/>
  <c r="H334" i="27"/>
  <c r="H337" i="27"/>
  <c r="H339" i="27"/>
  <c r="H341" i="27"/>
  <c r="H356" i="27"/>
  <c r="H386" i="27"/>
  <c r="H416" i="27"/>
  <c r="H431" i="27"/>
  <c r="H491" i="27"/>
  <c r="H506" i="27"/>
  <c r="H566" i="27"/>
  <c r="H581" i="27"/>
  <c r="H671" i="27"/>
  <c r="H701" i="27"/>
  <c r="H731" i="27"/>
  <c r="H746" i="27"/>
  <c r="H791" i="27"/>
  <c r="H344" i="27"/>
  <c r="H347" i="27"/>
  <c r="H349" i="27"/>
  <c r="H352" i="27"/>
  <c r="H359" i="27"/>
  <c r="H362" i="27"/>
  <c r="H364" i="27"/>
  <c r="H394" i="27"/>
  <c r="H409" i="27"/>
  <c r="H424" i="27"/>
  <c r="H439" i="27"/>
  <c r="H454" i="27"/>
  <c r="H469" i="27"/>
  <c r="H499" i="27"/>
  <c r="H514" i="27"/>
  <c r="H529" i="27"/>
  <c r="H544" i="27"/>
  <c r="H559" i="27"/>
  <c r="H574" i="27"/>
  <c r="H589" i="27"/>
  <c r="H604" i="27"/>
  <c r="H619" i="27"/>
  <c r="H634" i="27"/>
  <c r="H649" i="27"/>
  <c r="H679" i="27"/>
  <c r="H739" i="27"/>
  <c r="H754" i="27"/>
  <c r="H799" i="27"/>
  <c r="H365" i="27"/>
  <c r="H366" i="27"/>
  <c r="H396" i="27"/>
  <c r="H411" i="27"/>
  <c r="H426" i="27"/>
  <c r="H531" i="27"/>
  <c r="H561" i="27"/>
  <c r="H606" i="27"/>
  <c r="H741" i="27"/>
  <c r="H756" i="27"/>
  <c r="H771" i="27"/>
  <c r="H801" i="27"/>
  <c r="H369" i="27"/>
  <c r="H384" i="27"/>
  <c r="H377" i="27"/>
  <c r="H382" i="27"/>
  <c r="H385" i="27"/>
  <c r="H387" i="27"/>
  <c r="H389" i="27"/>
  <c r="H390" i="27"/>
  <c r="H391" i="27"/>
  <c r="H393" i="27"/>
  <c r="H395" i="27"/>
  <c r="H399" i="27"/>
  <c r="H407" i="27"/>
  <c r="H410" i="27"/>
  <c r="H414" i="27"/>
  <c r="H419" i="27"/>
  <c r="H421" i="27"/>
  <c r="H422" i="27"/>
  <c r="H427" i="27"/>
  <c r="H429" i="27"/>
  <c r="H434" i="27"/>
  <c r="H437" i="27"/>
  <c r="H442" i="27"/>
  <c r="H452" i="27"/>
  <c r="H457" i="27"/>
  <c r="H472" i="27"/>
  <c r="H487" i="27"/>
  <c r="H489" i="27"/>
  <c r="H494" i="27"/>
  <c r="H502" i="27"/>
  <c r="H504" i="27"/>
  <c r="H512" i="27"/>
  <c r="H517" i="27"/>
  <c r="H524" i="27"/>
  <c r="H527" i="27"/>
  <c r="H547" i="27"/>
  <c r="H560" i="27"/>
  <c r="H562" i="27"/>
  <c r="H564" i="27"/>
  <c r="H565" i="27"/>
  <c r="H572" i="27"/>
  <c r="H575" i="27"/>
  <c r="H577" i="27"/>
  <c r="H586" i="27"/>
  <c r="H590" i="27"/>
  <c r="H592" i="27"/>
  <c r="H595" i="27"/>
  <c r="H602" i="27"/>
  <c r="H607" i="27"/>
  <c r="H609" i="27"/>
  <c r="H610" i="27"/>
  <c r="H614" i="27"/>
  <c r="H617" i="27"/>
  <c r="H622" i="27"/>
  <c r="H637" i="27"/>
  <c r="H647" i="27"/>
  <c r="H667" i="27"/>
  <c r="H669" i="27"/>
  <c r="H670" i="27"/>
  <c r="H677" i="27"/>
  <c r="H697" i="27"/>
  <c r="H699" i="27"/>
  <c r="H729" i="27"/>
  <c r="H744" i="27"/>
  <c r="H722" i="27"/>
  <c r="H725" i="27"/>
  <c r="H727" i="27"/>
  <c r="H730" i="27"/>
  <c r="H736" i="27"/>
  <c r="H737" i="27"/>
  <c r="H740" i="27"/>
  <c r="H742" i="27"/>
  <c r="H745" i="27"/>
  <c r="H747" i="27"/>
  <c r="H749" i="27"/>
  <c r="H750" i="27"/>
  <c r="H751" i="27"/>
  <c r="H752" i="27"/>
  <c r="H753" i="27"/>
  <c r="H755" i="27"/>
  <c r="H760" i="27"/>
  <c r="H767" i="27"/>
  <c r="H772" i="27"/>
  <c r="H776" i="27"/>
  <c r="H777" i="27"/>
  <c r="H778" i="27"/>
  <c r="H786" i="27"/>
  <c r="H788" i="27"/>
  <c r="H790" i="27"/>
  <c r="H792" i="27"/>
  <c r="H794" i="27"/>
  <c r="H795" i="27"/>
  <c r="H796" i="27"/>
  <c r="H798" i="27"/>
  <c r="H800" i="27"/>
  <c r="H806" i="27"/>
  <c r="H809" i="27"/>
  <c r="H810" i="27"/>
  <c r="H813" i="27"/>
  <c r="H818" i="27"/>
  <c r="H820" i="27"/>
  <c r="H827" i="27"/>
  <c r="H829" i="27"/>
  <c r="H833" i="27"/>
  <c r="H837" i="27"/>
  <c r="H845" i="27"/>
  <c r="H7" i="26"/>
  <c r="H8" i="26"/>
  <c r="H9" i="26"/>
  <c r="H11" i="26"/>
  <c r="H13" i="26"/>
  <c r="H14" i="26"/>
  <c r="H15" i="26"/>
  <c r="H16" i="26"/>
  <c r="H17" i="26"/>
  <c r="H18" i="26"/>
  <c r="H20" i="26"/>
  <c r="H22" i="26"/>
  <c r="H24" i="26"/>
  <c r="H27" i="26"/>
  <c r="H28" i="26"/>
  <c r="H30" i="26"/>
  <c r="H31" i="26"/>
  <c r="H32" i="26"/>
  <c r="H34" i="26"/>
  <c r="H37" i="26"/>
  <c r="H52" i="26"/>
  <c r="H82" i="26"/>
  <c r="H39" i="26"/>
  <c r="H50" i="26"/>
  <c r="H54" i="26"/>
  <c r="H65" i="26"/>
  <c r="H68" i="26"/>
  <c r="H72" i="26"/>
  <c r="H76" i="26"/>
  <c r="H77" i="26"/>
  <c r="H80" i="26"/>
  <c r="H83" i="26"/>
  <c r="H85" i="26"/>
  <c r="H86" i="26"/>
  <c r="H88" i="26"/>
  <c r="H89" i="26"/>
  <c r="H90" i="26"/>
  <c r="H91" i="26"/>
  <c r="H92" i="26"/>
  <c r="H93" i="26"/>
  <c r="H94" i="26"/>
  <c r="H97" i="26"/>
  <c r="H98" i="26"/>
  <c r="H99" i="26"/>
  <c r="H100" i="26"/>
  <c r="H102" i="26"/>
  <c r="H105" i="26"/>
  <c r="H106" i="26"/>
  <c r="H107" i="26"/>
  <c r="H108" i="26"/>
  <c r="H109" i="26"/>
  <c r="H112" i="26"/>
  <c r="H113" i="26"/>
  <c r="H114" i="26"/>
  <c r="H120" i="26"/>
  <c r="H121" i="26"/>
  <c r="H122" i="26"/>
  <c r="H123" i="26"/>
  <c r="H127" i="26"/>
  <c r="H128" i="26"/>
  <c r="H129" i="26"/>
  <c r="H132" i="26"/>
  <c r="H136" i="26"/>
  <c r="H137" i="26"/>
  <c r="H140" i="26"/>
  <c r="H142" i="26"/>
  <c r="H143" i="26"/>
  <c r="H144" i="26"/>
  <c r="H147" i="26"/>
  <c r="H162" i="26"/>
  <c r="H151" i="26"/>
  <c r="H152" i="26"/>
  <c r="H167" i="26"/>
  <c r="H199" i="26"/>
  <c r="H157" i="26"/>
  <c r="H159" i="26"/>
  <c r="H160" i="26"/>
  <c r="H161" i="26"/>
  <c r="H163" i="26"/>
  <c r="H164" i="26"/>
  <c r="H165" i="26"/>
  <c r="H166" i="26"/>
  <c r="H168" i="26"/>
  <c r="H169" i="26"/>
  <c r="H172" i="26"/>
  <c r="H174" i="26"/>
  <c r="H185" i="26"/>
  <c r="H186" i="26"/>
  <c r="H192" i="26"/>
  <c r="H193" i="26"/>
  <c r="H195" i="26"/>
  <c r="H196" i="26"/>
  <c r="H197" i="26"/>
  <c r="H198" i="26"/>
  <c r="H200" i="26"/>
  <c r="H201" i="26"/>
  <c r="H204" i="26"/>
  <c r="H206" i="26"/>
  <c r="H208" i="26"/>
  <c r="H209" i="26"/>
  <c r="H211" i="26"/>
  <c r="H212" i="26"/>
  <c r="H213" i="26"/>
  <c r="H214" i="26"/>
  <c r="H215" i="26"/>
  <c r="H216" i="26"/>
  <c r="H217" i="26"/>
  <c r="H219" i="26"/>
  <c r="H221" i="26"/>
  <c r="H226" i="26"/>
  <c r="H227" i="26"/>
  <c r="H228" i="26"/>
  <c r="H229" i="26"/>
  <c r="H230" i="26"/>
  <c r="H232" i="26"/>
  <c r="H234" i="26"/>
  <c r="H235" i="26"/>
  <c r="H236" i="26"/>
  <c r="H237" i="26"/>
  <c r="H238" i="26"/>
  <c r="H239" i="26"/>
  <c r="H240" i="26"/>
  <c r="H241" i="26"/>
  <c r="H242" i="26"/>
  <c r="H243" i="26"/>
  <c r="H244" i="26"/>
  <c r="H245" i="26"/>
  <c r="H246" i="26"/>
  <c r="H247" i="26"/>
  <c r="H249" i="26"/>
  <c r="H251" i="26"/>
  <c r="H254" i="26"/>
  <c r="H257" i="26"/>
  <c r="H258" i="26"/>
  <c r="H259" i="26"/>
  <c r="H264" i="26"/>
  <c r="H265" i="26"/>
  <c r="H266" i="26"/>
  <c r="H268" i="26"/>
  <c r="H269" i="26"/>
  <c r="H272" i="26"/>
  <c r="H273" i="26"/>
  <c r="H274" i="26"/>
  <c r="H275" i="26"/>
  <c r="H276" i="26"/>
  <c r="H277" i="26"/>
  <c r="H279" i="26"/>
  <c r="H281" i="26"/>
  <c r="H284" i="26"/>
  <c r="H292" i="26"/>
  <c r="H294" i="26"/>
  <c r="H296" i="26"/>
  <c r="H298" i="26"/>
  <c r="H301" i="26"/>
  <c r="H302" i="26"/>
  <c r="H304" i="26"/>
  <c r="H305" i="26"/>
  <c r="H307" i="26"/>
  <c r="H309" i="26"/>
  <c r="H310" i="26"/>
  <c r="H311" i="26"/>
  <c r="H312" i="26"/>
  <c r="H313" i="26"/>
  <c r="H314" i="26"/>
  <c r="H315" i="26"/>
  <c r="H316" i="26"/>
  <c r="H317" i="26"/>
  <c r="H318" i="26"/>
  <c r="H319" i="26"/>
  <c r="H320" i="26"/>
  <c r="H321" i="26"/>
  <c r="H322" i="26"/>
  <c r="H324" i="26"/>
  <c r="H326" i="26"/>
  <c r="H329" i="26"/>
  <c r="H331" i="26"/>
  <c r="H334" i="26"/>
  <c r="H335" i="26"/>
  <c r="H336" i="26"/>
  <c r="H337" i="26"/>
  <c r="H339" i="26"/>
  <c r="H341" i="26"/>
  <c r="H344" i="26"/>
  <c r="H349" i="26"/>
  <c r="H350" i="26"/>
  <c r="H351" i="26"/>
  <c r="H354" i="26"/>
  <c r="H356" i="26"/>
  <c r="H357" i="26"/>
  <c r="H359" i="26"/>
  <c r="H360" i="26"/>
  <c r="H361" i="26"/>
  <c r="H362" i="26"/>
  <c r="H364" i="26"/>
  <c r="H366" i="26"/>
  <c r="H369" i="26"/>
  <c r="H384" i="26"/>
  <c r="H371" i="26"/>
  <c r="H374" i="26"/>
  <c r="H376" i="26"/>
  <c r="H382" i="26"/>
  <c r="H385" i="26"/>
  <c r="H386" i="26"/>
  <c r="H387" i="26"/>
  <c r="H388" i="26"/>
  <c r="H389" i="26"/>
  <c r="H390" i="26"/>
  <c r="H391" i="26"/>
  <c r="H392" i="26"/>
  <c r="H393" i="26"/>
  <c r="H394" i="26"/>
  <c r="H398" i="26"/>
  <c r="H395" i="26"/>
  <c r="H396" i="26"/>
  <c r="H399" i="26"/>
  <c r="H401" i="26"/>
  <c r="H403" i="26"/>
  <c r="H404" i="26"/>
  <c r="H406" i="26"/>
  <c r="H407" i="26"/>
  <c r="H409" i="26"/>
  <c r="H410" i="26"/>
  <c r="H411" i="26"/>
  <c r="H412" i="26"/>
  <c r="H414" i="26"/>
  <c r="H416" i="26"/>
  <c r="H419" i="26"/>
  <c r="H422" i="26"/>
  <c r="H424" i="26"/>
  <c r="H425" i="26"/>
  <c r="H426" i="26"/>
  <c r="H427" i="26"/>
  <c r="H429" i="26"/>
  <c r="H431" i="26"/>
  <c r="H433" i="26"/>
  <c r="H434" i="26"/>
  <c r="H437" i="26"/>
  <c r="H438" i="26"/>
  <c r="H439" i="26"/>
  <c r="H440" i="26"/>
  <c r="H441" i="26"/>
  <c r="H442" i="26"/>
  <c r="H444" i="26"/>
  <c r="H446" i="26"/>
  <c r="H449" i="26"/>
  <c r="H452" i="26"/>
  <c r="H454" i="26"/>
  <c r="H455" i="26"/>
  <c r="H456" i="26"/>
  <c r="H457" i="26"/>
  <c r="H459" i="26"/>
  <c r="H461" i="26"/>
  <c r="H464" i="26"/>
  <c r="H468" i="26"/>
  <c r="H469" i="26"/>
  <c r="H472" i="26"/>
  <c r="H474" i="26"/>
  <c r="H476" i="26"/>
  <c r="H482" i="26"/>
  <c r="H486" i="26"/>
  <c r="H489" i="26"/>
  <c r="H491" i="26"/>
  <c r="H494" i="26"/>
  <c r="H497" i="26"/>
  <c r="H499" i="26"/>
  <c r="H501" i="26"/>
  <c r="H502" i="26"/>
  <c r="H504" i="26"/>
  <c r="H506" i="26"/>
  <c r="H512" i="26"/>
  <c r="H515" i="26"/>
  <c r="H519" i="26"/>
  <c r="H521" i="26"/>
  <c r="H529" i="26"/>
  <c r="H534" i="26"/>
  <c r="H536" i="26"/>
  <c r="H547" i="26"/>
  <c r="H549" i="26"/>
  <c r="H551" i="26"/>
  <c r="H554" i="26"/>
  <c r="H558" i="26"/>
  <c r="H559" i="26"/>
  <c r="H562" i="26"/>
  <c r="H564" i="26"/>
  <c r="H566" i="26"/>
  <c r="H568" i="26"/>
  <c r="H569" i="26"/>
  <c r="H570" i="26"/>
  <c r="H572" i="26"/>
  <c r="H573" i="26"/>
  <c r="H574" i="26"/>
  <c r="H576" i="26"/>
  <c r="H577" i="26"/>
  <c r="H579" i="26"/>
  <c r="H581" i="26"/>
  <c r="H594" i="26"/>
  <c r="H595" i="26"/>
  <c r="H596" i="26"/>
  <c r="H598" i="26"/>
  <c r="H602" i="26"/>
  <c r="H604" i="26"/>
  <c r="H605" i="26"/>
  <c r="H609" i="26"/>
  <c r="H611" i="26"/>
  <c r="H614" i="26"/>
  <c r="H617" i="26"/>
  <c r="H618" i="26"/>
  <c r="H624" i="26"/>
  <c r="H626" i="26"/>
  <c r="H634" i="26"/>
  <c r="H639" i="26"/>
  <c r="H641" i="26"/>
  <c r="H648" i="26"/>
  <c r="H649" i="26"/>
  <c r="H652" i="26"/>
  <c r="H654" i="26"/>
  <c r="H656" i="26"/>
  <c r="H669" i="26"/>
  <c r="H671" i="26"/>
  <c r="H677" i="26"/>
  <c r="H684" i="26"/>
  <c r="H686" i="26"/>
  <c r="H692" i="26"/>
  <c r="H699" i="26"/>
  <c r="H701" i="26"/>
  <c r="H712" i="26"/>
  <c r="H714" i="26"/>
  <c r="H716" i="26"/>
  <c r="H720" i="26"/>
  <c r="H722" i="26"/>
  <c r="H725" i="26"/>
  <c r="H728" i="26"/>
  <c r="H727" i="26"/>
  <c r="H729" i="26"/>
  <c r="H731" i="26"/>
  <c r="H733" i="26"/>
  <c r="H734" i="26"/>
  <c r="H735" i="26"/>
  <c r="H737" i="26"/>
  <c r="H739" i="26"/>
  <c r="H744" i="26"/>
  <c r="H745" i="26"/>
  <c r="H746" i="26"/>
  <c r="H747" i="26"/>
  <c r="H748" i="26"/>
  <c r="H749" i="26"/>
  <c r="H750" i="26"/>
  <c r="H751" i="26"/>
  <c r="H752" i="26"/>
  <c r="H753" i="26"/>
  <c r="H754" i="26"/>
  <c r="H755" i="26"/>
  <c r="H756" i="26"/>
  <c r="H763" i="26"/>
  <c r="H765" i="26"/>
  <c r="H767" i="26"/>
  <c r="H771" i="26"/>
  <c r="H772" i="26"/>
  <c r="H774" i="26"/>
  <c r="H776" i="26"/>
  <c r="H786" i="26"/>
  <c r="H787" i="26"/>
  <c r="H788" i="26"/>
  <c r="H789" i="26"/>
  <c r="H791" i="26"/>
  <c r="H798" i="26"/>
  <c r="H813" i="26"/>
  <c r="H804" i="26"/>
  <c r="H805" i="26"/>
  <c r="H806" i="26"/>
  <c r="H807" i="26"/>
  <c r="H808" i="26"/>
  <c r="H809" i="26"/>
  <c r="H810" i="26"/>
  <c r="H811" i="26"/>
  <c r="H812" i="26"/>
  <c r="H814" i="26"/>
  <c r="H815" i="26"/>
  <c r="H816" i="26"/>
  <c r="H820" i="26"/>
  <c r="H821" i="26"/>
  <c r="H822" i="26"/>
  <c r="H823" i="26"/>
  <c r="H824" i="26"/>
  <c r="H825" i="26"/>
  <c r="H826" i="26"/>
  <c r="H827" i="26"/>
  <c r="H828" i="26"/>
  <c r="H829" i="26"/>
  <c r="H830" i="26"/>
  <c r="H831" i="26"/>
  <c r="H833" i="26"/>
  <c r="H834" i="26"/>
  <c r="H835" i="26"/>
  <c r="H836" i="26"/>
  <c r="H837" i="26"/>
  <c r="H838" i="26"/>
  <c r="H839" i="26"/>
  <c r="H840" i="26"/>
  <c r="H841" i="26"/>
  <c r="H842" i="26"/>
  <c r="H843" i="26"/>
  <c r="H847" i="26"/>
  <c r="H849" i="26"/>
  <c r="H851" i="26"/>
  <c r="H852" i="26"/>
  <c r="H853" i="26"/>
  <c r="H857" i="26"/>
  <c r="H858" i="26"/>
  <c r="H861" i="26"/>
  <c r="J864" i="26"/>
  <c r="D8" i="19"/>
  <c r="E8" i="19"/>
  <c r="G8" i="19"/>
  <c r="K8" i="19"/>
  <c r="D9" i="19"/>
  <c r="E9" i="19"/>
  <c r="D10" i="19"/>
  <c r="E10" i="19"/>
  <c r="D11" i="19"/>
  <c r="E11" i="19"/>
  <c r="G11" i="19"/>
  <c r="H11" i="19"/>
  <c r="K11" i="19"/>
  <c r="L11" i="19"/>
  <c r="D12" i="19"/>
  <c r="E12" i="19"/>
  <c r="G12" i="19"/>
  <c r="H12" i="19"/>
  <c r="J12" i="19"/>
  <c r="K12" i="19"/>
  <c r="D13" i="19"/>
  <c r="E13" i="19"/>
  <c r="G13" i="19"/>
  <c r="H13" i="19"/>
  <c r="K13" i="19"/>
  <c r="D14" i="19"/>
  <c r="E14" i="19"/>
  <c r="F14" i="19"/>
  <c r="G14" i="19"/>
  <c r="H14" i="19"/>
  <c r="J14" i="19"/>
  <c r="K14" i="19"/>
  <c r="L14" i="19"/>
  <c r="D15" i="19"/>
  <c r="E15" i="19"/>
  <c r="G15" i="19"/>
  <c r="K15" i="19"/>
  <c r="D18" i="19"/>
  <c r="E18" i="19"/>
  <c r="G18" i="19"/>
  <c r="H18" i="19"/>
  <c r="K18" i="19"/>
  <c r="L18" i="19"/>
  <c r="D19" i="19"/>
  <c r="E19" i="19"/>
  <c r="F19" i="19"/>
  <c r="G19" i="19"/>
  <c r="H19" i="19"/>
  <c r="K19" i="19"/>
  <c r="L19" i="19"/>
  <c r="D20" i="19"/>
  <c r="E20" i="19"/>
  <c r="G20" i="19"/>
  <c r="H20" i="19"/>
  <c r="K20" i="19"/>
  <c r="L20" i="19"/>
  <c r="D21" i="19"/>
  <c r="E21" i="19"/>
  <c r="G21" i="19"/>
  <c r="H21" i="19"/>
  <c r="K21" i="19"/>
  <c r="L21" i="19"/>
  <c r="D22" i="19"/>
  <c r="E22" i="19"/>
  <c r="G22" i="19"/>
  <c r="H22" i="19"/>
  <c r="K22" i="19"/>
  <c r="L22" i="19"/>
  <c r="D23" i="19"/>
  <c r="E23" i="19"/>
  <c r="G23" i="19"/>
  <c r="H23" i="19"/>
  <c r="K23" i="19"/>
  <c r="L23" i="19"/>
  <c r="D24" i="19"/>
  <c r="E24" i="19"/>
  <c r="G24" i="19"/>
  <c r="H24" i="19"/>
  <c r="K24" i="19"/>
  <c r="L24" i="19"/>
  <c r="N24" i="19"/>
  <c r="O24" i="19"/>
  <c r="P24" i="19"/>
  <c r="Q24" i="19"/>
  <c r="R24" i="19"/>
  <c r="S24" i="19"/>
  <c r="T24" i="19"/>
  <c r="D25" i="19"/>
  <c r="E25" i="19"/>
  <c r="G25" i="19"/>
  <c r="H25" i="19"/>
  <c r="K25" i="19"/>
  <c r="L25" i="19"/>
  <c r="D26" i="19"/>
  <c r="E26" i="19"/>
  <c r="G26" i="19"/>
  <c r="H26" i="19"/>
  <c r="K26" i="19"/>
  <c r="D27" i="19"/>
  <c r="E27" i="19"/>
  <c r="G27" i="19"/>
  <c r="H27" i="19"/>
  <c r="K27" i="19"/>
  <c r="L27" i="19"/>
  <c r="D28" i="19"/>
  <c r="E28" i="19"/>
  <c r="G28" i="19"/>
  <c r="H28" i="19"/>
  <c r="K28" i="19"/>
  <c r="L28" i="19"/>
  <c r="D29" i="19"/>
  <c r="E29" i="19"/>
  <c r="G29" i="19"/>
  <c r="K29" i="19"/>
  <c r="L29" i="19"/>
  <c r="D30" i="19"/>
  <c r="E30" i="19"/>
  <c r="G30" i="19"/>
  <c r="H30" i="19"/>
  <c r="K30" i="19"/>
  <c r="L30" i="19"/>
  <c r="D33" i="19"/>
  <c r="E33" i="19"/>
  <c r="G33" i="19"/>
  <c r="K33" i="19"/>
  <c r="D34" i="19"/>
  <c r="E34" i="19"/>
  <c r="G34" i="19"/>
  <c r="K34" i="19"/>
  <c r="L34" i="19"/>
  <c r="D35" i="19"/>
  <c r="E35" i="19"/>
  <c r="G35" i="19"/>
  <c r="K35" i="19"/>
  <c r="L35" i="19"/>
  <c r="D36" i="19"/>
  <c r="E36" i="19"/>
  <c r="G36" i="19"/>
  <c r="H36" i="19"/>
  <c r="J36" i="19"/>
  <c r="K36" i="19"/>
  <c r="D37" i="19"/>
  <c r="E37" i="19"/>
  <c r="G37" i="19"/>
  <c r="H37" i="19"/>
  <c r="K37" i="19"/>
  <c r="L37" i="19"/>
  <c r="D38" i="19"/>
  <c r="E38" i="19"/>
  <c r="G38" i="19"/>
  <c r="H38" i="19"/>
  <c r="K38" i="19"/>
  <c r="L38" i="19"/>
  <c r="D39" i="19"/>
  <c r="E39" i="19"/>
  <c r="G39" i="19"/>
  <c r="K39" i="19"/>
  <c r="L39" i="19"/>
  <c r="D40" i="19"/>
  <c r="E40" i="19"/>
  <c r="G40" i="19"/>
  <c r="H40" i="19"/>
  <c r="K40" i="19"/>
  <c r="L40" i="19"/>
  <c r="D41" i="19"/>
  <c r="E41" i="19"/>
  <c r="G41" i="19"/>
  <c r="H41" i="19"/>
  <c r="K41" i="19"/>
  <c r="L41" i="19"/>
  <c r="D42" i="19"/>
  <c r="E42" i="19"/>
  <c r="G42" i="19"/>
  <c r="H42" i="19"/>
  <c r="K42" i="19"/>
  <c r="L42" i="19"/>
  <c r="D8" i="34"/>
  <c r="E8" i="34"/>
  <c r="F8" i="34"/>
  <c r="G8" i="34"/>
  <c r="H8" i="34"/>
  <c r="J8" i="34"/>
  <c r="L8" i="34"/>
  <c r="M8" i="34"/>
  <c r="N8" i="34"/>
  <c r="O8" i="34"/>
  <c r="D9" i="34"/>
  <c r="E9" i="34"/>
  <c r="F9" i="34"/>
  <c r="G9" i="34"/>
  <c r="H9" i="34"/>
  <c r="I9" i="34"/>
  <c r="J9" i="34"/>
  <c r="K9" i="34"/>
  <c r="L9" i="34"/>
  <c r="M9" i="34"/>
  <c r="N9" i="34"/>
  <c r="O9" i="34"/>
  <c r="D10" i="34"/>
  <c r="E10" i="34"/>
  <c r="F10" i="34"/>
  <c r="G10" i="34"/>
  <c r="H10" i="34"/>
  <c r="I10" i="34"/>
  <c r="J10" i="34"/>
  <c r="K10" i="34"/>
  <c r="L10" i="34"/>
  <c r="M10" i="34"/>
  <c r="N10" i="34"/>
  <c r="O10" i="34"/>
  <c r="D8" i="33"/>
  <c r="E8" i="33"/>
  <c r="F8" i="33"/>
  <c r="G8" i="33"/>
  <c r="H8" i="33"/>
  <c r="I8" i="33"/>
  <c r="J8" i="33"/>
  <c r="K8" i="33"/>
  <c r="L8" i="33"/>
  <c r="M8" i="33"/>
  <c r="N8" i="33"/>
  <c r="O8" i="33"/>
  <c r="D9" i="33"/>
  <c r="E9" i="33"/>
  <c r="F9" i="33"/>
  <c r="G9" i="33"/>
  <c r="H9" i="33"/>
  <c r="I9" i="33"/>
  <c r="J9" i="33"/>
  <c r="K9" i="33"/>
  <c r="L9" i="33"/>
  <c r="M9" i="33"/>
  <c r="N9" i="33"/>
  <c r="D10" i="33"/>
  <c r="E10" i="33"/>
  <c r="F10" i="33"/>
  <c r="G10" i="33"/>
  <c r="H10" i="33"/>
  <c r="I10" i="33"/>
  <c r="J10" i="33"/>
  <c r="K10" i="33"/>
  <c r="L10" i="33"/>
  <c r="M10" i="33"/>
  <c r="N10" i="33"/>
  <c r="D11" i="33"/>
  <c r="E11" i="33"/>
  <c r="F11" i="33"/>
  <c r="G11" i="33"/>
  <c r="H11" i="33"/>
  <c r="I11" i="33"/>
  <c r="J11" i="33"/>
  <c r="K11" i="33"/>
  <c r="D12" i="33"/>
  <c r="E12" i="33"/>
  <c r="F12" i="33"/>
  <c r="G12" i="33"/>
  <c r="H12" i="33"/>
  <c r="I12" i="33"/>
  <c r="J12" i="33"/>
  <c r="K12" i="33"/>
  <c r="D13" i="33"/>
  <c r="E13" i="33"/>
  <c r="F13" i="33"/>
  <c r="G13" i="33"/>
  <c r="H13" i="33"/>
  <c r="J13" i="33"/>
  <c r="K13" i="33"/>
  <c r="L13" i="33"/>
  <c r="M13" i="33"/>
  <c r="N13" i="33"/>
  <c r="D14" i="33"/>
  <c r="E14" i="33"/>
  <c r="F14" i="33"/>
  <c r="G14" i="33"/>
  <c r="H14" i="33"/>
  <c r="I14" i="33"/>
  <c r="J14" i="33"/>
  <c r="K14" i="33"/>
  <c r="L14" i="33"/>
  <c r="M14" i="33"/>
  <c r="N14" i="33"/>
  <c r="O14" i="33"/>
  <c r="D15" i="33"/>
  <c r="E15" i="33"/>
  <c r="F15" i="33"/>
  <c r="G15" i="33"/>
  <c r="H15" i="33"/>
  <c r="I15" i="33"/>
  <c r="J15" i="33"/>
  <c r="K15" i="33"/>
  <c r="L15" i="33"/>
  <c r="M15" i="33"/>
  <c r="N15" i="33"/>
  <c r="O15" i="33"/>
  <c r="D16" i="33"/>
  <c r="E16" i="33"/>
  <c r="F16" i="33"/>
  <c r="G16" i="33"/>
  <c r="H16" i="33"/>
  <c r="I16" i="33"/>
  <c r="J16" i="33"/>
  <c r="K16" i="33"/>
  <c r="L16" i="33"/>
  <c r="M16" i="33"/>
  <c r="N16" i="33"/>
  <c r="O16" i="33"/>
  <c r="D17" i="33"/>
  <c r="E17" i="33"/>
  <c r="F17" i="33"/>
  <c r="G17" i="33"/>
  <c r="H17" i="33"/>
  <c r="I17" i="33"/>
  <c r="J17" i="33"/>
  <c r="K17" i="33"/>
  <c r="L17" i="33"/>
  <c r="M17" i="33"/>
  <c r="N17" i="33"/>
  <c r="O17" i="33"/>
  <c r="D18" i="33"/>
  <c r="E18" i="33"/>
  <c r="F18" i="33"/>
  <c r="G18" i="33"/>
  <c r="H18" i="33"/>
  <c r="I18" i="33"/>
  <c r="J18" i="33"/>
  <c r="K18" i="33"/>
  <c r="L18" i="33"/>
  <c r="M18" i="33"/>
  <c r="N18" i="33"/>
  <c r="O18" i="33"/>
  <c r="D19" i="33"/>
  <c r="E19" i="33"/>
  <c r="F19" i="33"/>
  <c r="G19" i="33"/>
  <c r="H19" i="33"/>
  <c r="I19" i="33"/>
  <c r="J19" i="33"/>
  <c r="K19" i="33"/>
  <c r="L19" i="33"/>
  <c r="M19" i="33"/>
  <c r="N19" i="33"/>
  <c r="O19" i="33"/>
  <c r="D20" i="33"/>
  <c r="E20" i="33"/>
  <c r="F20" i="33"/>
  <c r="G20" i="33"/>
  <c r="H20" i="33"/>
  <c r="J20" i="33"/>
  <c r="K20" i="33"/>
  <c r="L20" i="33"/>
  <c r="M20" i="33"/>
  <c r="N20" i="33"/>
  <c r="O20" i="33"/>
  <c r="D21" i="33"/>
  <c r="E21" i="33"/>
  <c r="F21" i="33"/>
  <c r="G21" i="33"/>
  <c r="H21" i="33"/>
  <c r="I21" i="33"/>
  <c r="J21" i="33"/>
  <c r="K21" i="33"/>
  <c r="L21" i="33"/>
  <c r="M21" i="33"/>
  <c r="N21" i="33"/>
  <c r="O21" i="33"/>
  <c r="D22" i="33"/>
  <c r="E22" i="33"/>
  <c r="F22" i="33"/>
  <c r="G22" i="33"/>
  <c r="H22" i="33"/>
  <c r="I22" i="33"/>
  <c r="J22" i="33"/>
  <c r="K22" i="33"/>
  <c r="L22" i="33"/>
  <c r="M22" i="33"/>
  <c r="N22" i="33"/>
  <c r="O22" i="33"/>
  <c r="D23" i="33"/>
  <c r="E23" i="33"/>
  <c r="F23" i="33"/>
  <c r="G23" i="33"/>
  <c r="H23" i="33"/>
  <c r="I23" i="33"/>
  <c r="J23" i="33"/>
  <c r="K23" i="33"/>
  <c r="L23" i="33"/>
  <c r="M23" i="33"/>
  <c r="N23" i="33"/>
  <c r="O23" i="33"/>
  <c r="D7" i="32"/>
  <c r="E7" i="32"/>
  <c r="F7" i="32"/>
  <c r="G7" i="32"/>
  <c r="H7" i="32"/>
  <c r="I7" i="32"/>
  <c r="J7" i="32"/>
  <c r="K7" i="32"/>
  <c r="L7" i="32"/>
  <c r="M7" i="32"/>
  <c r="N7" i="32"/>
  <c r="O7" i="32"/>
  <c r="D8" i="32"/>
  <c r="E8" i="32"/>
  <c r="F8" i="32"/>
  <c r="G8" i="32"/>
  <c r="H8" i="32"/>
  <c r="J8" i="32"/>
  <c r="K8" i="32"/>
  <c r="L8" i="32"/>
  <c r="M8" i="32"/>
  <c r="D9" i="32"/>
  <c r="E9" i="32"/>
  <c r="F9" i="32"/>
  <c r="G9" i="32"/>
  <c r="D10" i="32"/>
  <c r="E10" i="32"/>
  <c r="F10" i="32"/>
  <c r="G10" i="32"/>
  <c r="D11" i="32"/>
  <c r="E11" i="32"/>
  <c r="F11" i="32"/>
  <c r="G11" i="32"/>
  <c r="H11" i="32"/>
  <c r="I11" i="32"/>
  <c r="J11" i="32"/>
  <c r="K11" i="32"/>
  <c r="L11" i="32"/>
  <c r="M11" i="32"/>
  <c r="N11" i="32"/>
  <c r="O11" i="32"/>
  <c r="D12" i="32"/>
  <c r="E12" i="32"/>
  <c r="F12" i="32"/>
  <c r="G12" i="32"/>
  <c r="H12" i="32"/>
  <c r="I12" i="32"/>
  <c r="J12" i="32"/>
  <c r="L12" i="32"/>
  <c r="M12" i="32"/>
  <c r="N12" i="32"/>
  <c r="O12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D14" i="32"/>
  <c r="E14" i="32"/>
  <c r="F14" i="32"/>
  <c r="G14" i="32"/>
  <c r="H14" i="32"/>
  <c r="I14" i="32"/>
  <c r="J14" i="32"/>
  <c r="L14" i="32"/>
  <c r="M14" i="32"/>
  <c r="N14" i="32"/>
  <c r="O14" i="32"/>
  <c r="D15" i="32"/>
  <c r="E15" i="32"/>
  <c r="F15" i="32"/>
  <c r="G15" i="32"/>
  <c r="H15" i="32"/>
  <c r="I15" i="32"/>
  <c r="J15" i="32"/>
  <c r="K15" i="32"/>
  <c r="L15" i="32"/>
  <c r="M15" i="32"/>
  <c r="N15" i="32"/>
  <c r="O15" i="32"/>
  <c r="D16" i="32"/>
  <c r="E16" i="32"/>
  <c r="F16" i="32"/>
  <c r="G16" i="32"/>
  <c r="H16" i="32"/>
  <c r="I16" i="32"/>
  <c r="J16" i="32"/>
  <c r="L16" i="32"/>
  <c r="M16" i="32"/>
  <c r="N16" i="32"/>
  <c r="O16" i="32"/>
  <c r="D17" i="32"/>
  <c r="E17" i="32"/>
  <c r="F17" i="32"/>
  <c r="G17" i="32"/>
  <c r="H17" i="32"/>
  <c r="I17" i="32"/>
  <c r="J17" i="32"/>
  <c r="L17" i="32"/>
  <c r="M17" i="32"/>
  <c r="N17" i="32"/>
  <c r="O17" i="32"/>
  <c r="D18" i="32"/>
  <c r="E18" i="32"/>
  <c r="F18" i="32"/>
  <c r="G18" i="32"/>
  <c r="H18" i="32"/>
  <c r="J18" i="32"/>
  <c r="L18" i="32"/>
  <c r="M18" i="32"/>
  <c r="N18" i="32"/>
  <c r="O18" i="32"/>
  <c r="D19" i="32"/>
  <c r="E19" i="32"/>
  <c r="F19" i="32"/>
  <c r="G19" i="32"/>
  <c r="H19" i="32"/>
  <c r="I19" i="32"/>
  <c r="J19" i="32"/>
  <c r="K19" i="32"/>
  <c r="L19" i="32"/>
  <c r="M19" i="32"/>
  <c r="N19" i="32"/>
  <c r="O19" i="32"/>
  <c r="D20" i="32"/>
  <c r="E20" i="32"/>
  <c r="F20" i="32"/>
  <c r="G20" i="32"/>
  <c r="H20" i="32"/>
  <c r="I20" i="32"/>
  <c r="J20" i="32"/>
  <c r="L20" i="32"/>
  <c r="M20" i="32"/>
  <c r="N20" i="32"/>
  <c r="O20" i="32"/>
  <c r="D21" i="32"/>
  <c r="E21" i="32"/>
  <c r="F21" i="32"/>
  <c r="G21" i="32"/>
  <c r="H21" i="32"/>
  <c r="J21" i="32"/>
  <c r="K21" i="32"/>
  <c r="O21" i="32"/>
  <c r="D22" i="32"/>
  <c r="E22" i="32"/>
  <c r="F22" i="32"/>
  <c r="G22" i="32"/>
  <c r="H22" i="32"/>
  <c r="J22" i="32"/>
  <c r="K22" i="32"/>
  <c r="O22" i="32"/>
  <c r="D23" i="32"/>
  <c r="E23" i="32"/>
  <c r="F23" i="32"/>
  <c r="G23" i="32"/>
  <c r="H23" i="32"/>
  <c r="I23" i="32"/>
  <c r="J23" i="32"/>
  <c r="L23" i="32"/>
  <c r="M23" i="32"/>
  <c r="N23" i="32"/>
  <c r="O23" i="32"/>
  <c r="F13" i="31"/>
  <c r="G13" i="31"/>
  <c r="I13" i="31"/>
  <c r="L13" i="31"/>
  <c r="AA13" i="31"/>
  <c r="AB13" i="31"/>
  <c r="AC13" i="31"/>
  <c r="AD13" i="31"/>
  <c r="AE13" i="31"/>
  <c r="AF13" i="31"/>
  <c r="AG13" i="31"/>
  <c r="C14" i="31"/>
  <c r="AC14" i="31"/>
  <c r="AD14" i="31"/>
  <c r="AE14" i="31"/>
  <c r="F15" i="31"/>
  <c r="G15" i="31"/>
  <c r="I15" i="31"/>
  <c r="J15" i="31"/>
  <c r="L15" i="31"/>
  <c r="M15" i="31"/>
  <c r="F16" i="31"/>
  <c r="G16" i="31"/>
  <c r="I16" i="31"/>
  <c r="J16" i="31"/>
  <c r="L16" i="31"/>
  <c r="M16" i="31"/>
  <c r="F17" i="31"/>
  <c r="G17" i="31"/>
  <c r="I17" i="31"/>
  <c r="J17" i="31"/>
  <c r="O17" i="31"/>
  <c r="P17" i="31"/>
  <c r="L17" i="31"/>
  <c r="M17" i="31"/>
  <c r="F18" i="31"/>
  <c r="G18" i="31"/>
  <c r="I18" i="31"/>
  <c r="J18" i="31"/>
  <c r="O18" i="31"/>
  <c r="P18" i="31"/>
  <c r="L18" i="31"/>
  <c r="M18" i="31"/>
  <c r="F19" i="31"/>
  <c r="G19" i="31"/>
  <c r="I19" i="31"/>
  <c r="J19" i="31"/>
  <c r="L19" i="31"/>
  <c r="M19" i="31"/>
  <c r="AB19" i="31"/>
  <c r="AC19" i="31"/>
  <c r="AD19" i="31"/>
  <c r="AE19" i="31"/>
  <c r="AF19" i="31"/>
  <c r="AG19" i="31"/>
  <c r="AH19" i="31"/>
  <c r="F20" i="31"/>
  <c r="G20" i="31"/>
  <c r="I20" i="31"/>
  <c r="L20" i="31"/>
  <c r="M20" i="31"/>
  <c r="C21" i="31"/>
  <c r="F22" i="31"/>
  <c r="G22" i="31"/>
  <c r="I22" i="31"/>
  <c r="J22" i="31"/>
  <c r="L22" i="31"/>
  <c r="M22" i="31"/>
  <c r="F23" i="31"/>
  <c r="G23" i="31"/>
  <c r="I23" i="31"/>
  <c r="L23" i="31"/>
  <c r="M23" i="31"/>
  <c r="F24" i="31"/>
  <c r="G24" i="31"/>
  <c r="I24" i="31"/>
  <c r="J24" i="31"/>
  <c r="O24" i="31"/>
  <c r="P24" i="31"/>
  <c r="L24" i="31"/>
  <c r="M24" i="31"/>
  <c r="C25" i="31"/>
  <c r="F26" i="31"/>
  <c r="G26" i="31"/>
  <c r="I26" i="31"/>
  <c r="J26" i="31"/>
  <c r="L26" i="31"/>
  <c r="M26" i="31"/>
  <c r="F27" i="31"/>
  <c r="G27" i="31"/>
  <c r="I27" i="31"/>
  <c r="J27" i="31"/>
  <c r="L27" i="31"/>
  <c r="M27" i="31"/>
  <c r="F29" i="31"/>
  <c r="G29" i="31"/>
  <c r="F30" i="31"/>
  <c r="G30" i="31"/>
  <c r="C31" i="31"/>
  <c r="F32" i="31"/>
  <c r="G32" i="31"/>
  <c r="I32" i="31"/>
  <c r="J32" i="31"/>
  <c r="L32" i="31"/>
  <c r="M32" i="31"/>
  <c r="N32" i="31"/>
  <c r="F33" i="31"/>
  <c r="G33" i="31"/>
  <c r="I33" i="31"/>
  <c r="J33" i="31"/>
  <c r="L33" i="31"/>
  <c r="F34" i="31"/>
  <c r="G34" i="31"/>
  <c r="I34" i="31"/>
  <c r="J34" i="31"/>
  <c r="O34" i="31"/>
  <c r="P34" i="31"/>
  <c r="L34" i="31"/>
  <c r="M34" i="31"/>
  <c r="F35" i="31"/>
  <c r="G35" i="31"/>
  <c r="I35" i="31"/>
  <c r="J35" i="31"/>
  <c r="O35" i="31"/>
  <c r="P35" i="31"/>
  <c r="L35" i="31"/>
  <c r="F36" i="31"/>
  <c r="G36" i="31"/>
  <c r="I36" i="31"/>
  <c r="J36" i="31"/>
  <c r="L36" i="31"/>
  <c r="M36" i="31"/>
  <c r="P36" i="31"/>
  <c r="C37" i="31"/>
  <c r="F38" i="31"/>
  <c r="G38" i="31"/>
  <c r="I38" i="31"/>
  <c r="L38" i="31"/>
  <c r="F39" i="31"/>
  <c r="G39" i="31"/>
  <c r="I39" i="31"/>
  <c r="J39" i="31"/>
  <c r="K39" i="31"/>
  <c r="L39" i="31"/>
  <c r="M39" i="31"/>
  <c r="P39" i="31"/>
  <c r="F40" i="31"/>
  <c r="H40" i="31"/>
  <c r="I40" i="31"/>
  <c r="J40" i="31"/>
  <c r="O40" i="31"/>
  <c r="P40" i="31"/>
  <c r="L40" i="31"/>
  <c r="M40" i="31"/>
  <c r="C41" i="31"/>
  <c r="F42" i="31"/>
  <c r="G42" i="31"/>
  <c r="I42" i="31"/>
  <c r="J42" i="31"/>
  <c r="L42" i="31"/>
  <c r="F43" i="31"/>
  <c r="G43" i="31"/>
  <c r="I43" i="31"/>
  <c r="J43" i="31"/>
  <c r="L43" i="31"/>
  <c r="F44" i="31"/>
  <c r="G44" i="31"/>
  <c r="I44" i="31"/>
  <c r="L44" i="31"/>
  <c r="C45" i="31"/>
  <c r="F46" i="31"/>
  <c r="G46" i="31"/>
  <c r="I46" i="31"/>
  <c r="J46" i="31"/>
  <c r="O46" i="31"/>
  <c r="P46" i="31"/>
  <c r="L46" i="31"/>
  <c r="M46" i="31"/>
  <c r="F47" i="31"/>
  <c r="G47" i="31"/>
  <c r="I47" i="31"/>
  <c r="J47" i="31"/>
  <c r="L47" i="31"/>
  <c r="F48" i="31"/>
  <c r="G48" i="31"/>
  <c r="I48" i="31"/>
  <c r="L48" i="31"/>
  <c r="M48" i="31"/>
  <c r="F49" i="31"/>
  <c r="G49" i="31"/>
  <c r="I49" i="31"/>
  <c r="L49" i="31"/>
  <c r="M49" i="31"/>
  <c r="F50" i="31"/>
  <c r="G50" i="31"/>
  <c r="I50" i="31"/>
  <c r="J50" i="31"/>
  <c r="O50" i="31"/>
  <c r="P50" i="31"/>
  <c r="L50" i="31"/>
  <c r="F52" i="31"/>
  <c r="G52" i="31"/>
  <c r="I52" i="31"/>
  <c r="J52" i="31"/>
  <c r="L52" i="31"/>
  <c r="M52" i="31"/>
  <c r="C53" i="31"/>
  <c r="F54" i="31"/>
  <c r="G54" i="31"/>
  <c r="I54" i="31"/>
  <c r="J54" i="31"/>
  <c r="L54" i="31"/>
  <c r="M54" i="31"/>
  <c r="F55" i="31"/>
  <c r="G55" i="31"/>
  <c r="I55" i="31"/>
  <c r="J55" i="31"/>
  <c r="O55" i="31"/>
  <c r="P55" i="31"/>
  <c r="L55" i="31"/>
  <c r="M55" i="31"/>
  <c r="C56" i="31"/>
  <c r="F57" i="31"/>
  <c r="G57" i="31"/>
  <c r="I57" i="31"/>
  <c r="J57" i="31"/>
  <c r="L57" i="31"/>
  <c r="M57" i="31"/>
  <c r="F58" i="31"/>
  <c r="G58" i="31"/>
  <c r="I58" i="31"/>
  <c r="J58" i="31"/>
  <c r="L58" i="31"/>
  <c r="M58" i="31"/>
  <c r="X58" i="31"/>
  <c r="F59" i="31"/>
  <c r="G59" i="31"/>
  <c r="I59" i="31"/>
  <c r="L59" i="31"/>
  <c r="M59" i="31"/>
  <c r="C60" i="31"/>
  <c r="F61" i="31"/>
  <c r="G61" i="31"/>
  <c r="I61" i="31"/>
  <c r="J61" i="31"/>
  <c r="L61" i="31"/>
  <c r="M61" i="31"/>
  <c r="F62" i="31"/>
  <c r="G62" i="31"/>
  <c r="I62" i="31"/>
  <c r="J62" i="31"/>
  <c r="L62" i="31"/>
  <c r="M62" i="31"/>
  <c r="F63" i="31"/>
  <c r="G63" i="31"/>
  <c r="I63" i="31"/>
  <c r="J63" i="31"/>
  <c r="O63" i="31"/>
  <c r="P63" i="31"/>
  <c r="L63" i="31"/>
  <c r="M63" i="31"/>
  <c r="G101" i="31"/>
  <c r="L101" i="31"/>
  <c r="S101" i="31"/>
  <c r="V101" i="31"/>
  <c r="G102" i="31"/>
  <c r="L102" i="31"/>
  <c r="S102" i="31"/>
  <c r="V102" i="31"/>
  <c r="G103" i="31"/>
  <c r="L103" i="31"/>
  <c r="S103" i="31"/>
  <c r="V103" i="31"/>
  <c r="E105" i="31"/>
  <c r="F105" i="31"/>
  <c r="G105" i="31"/>
  <c r="I105" i="31"/>
  <c r="J105" i="31"/>
  <c r="L105" i="31"/>
  <c r="M105" i="31"/>
  <c r="S105" i="31"/>
  <c r="T105" i="31"/>
  <c r="U105" i="31"/>
  <c r="G110" i="31"/>
  <c r="I110" i="31"/>
  <c r="L110" i="31"/>
  <c r="M110" i="31"/>
  <c r="S110" i="31"/>
  <c r="S114" i="31"/>
  <c r="T110" i="31"/>
  <c r="V110" i="31"/>
  <c r="V114" i="31"/>
  <c r="G111" i="31"/>
  <c r="I111" i="31"/>
  <c r="L111" i="31"/>
  <c r="M111" i="31"/>
  <c r="S111" i="31"/>
  <c r="T111" i="31"/>
  <c r="V111" i="31"/>
  <c r="G112" i="31"/>
  <c r="I112" i="31"/>
  <c r="L112" i="31"/>
  <c r="M112" i="31"/>
  <c r="S112" i="31"/>
  <c r="T112" i="31"/>
  <c r="V112" i="31"/>
  <c r="I113" i="31"/>
  <c r="M113" i="31"/>
  <c r="S113" i="31"/>
  <c r="T113" i="31"/>
  <c r="V113" i="31"/>
  <c r="E114" i="31"/>
  <c r="F114" i="31"/>
  <c r="G114" i="31"/>
  <c r="J114" i="31"/>
  <c r="M114" i="31"/>
  <c r="T114" i="31"/>
  <c r="U114" i="31"/>
  <c r="V118" i="31"/>
  <c r="AA118" i="31"/>
  <c r="AF118" i="31"/>
  <c r="L119" i="31"/>
  <c r="M119" i="31"/>
  <c r="S119" i="31"/>
  <c r="T119" i="31"/>
  <c r="U119" i="31"/>
  <c r="V119" i="31"/>
  <c r="W119" i="31"/>
  <c r="X119" i="31"/>
  <c r="V120" i="31"/>
  <c r="Z119" i="31"/>
  <c r="V121" i="31"/>
  <c r="AA121" i="31"/>
  <c r="AF121" i="31"/>
  <c r="V122" i="31"/>
  <c r="Y119" i="31"/>
  <c r="V125" i="31"/>
  <c r="G135" i="31"/>
  <c r="L135" i="31"/>
  <c r="S135" i="31"/>
  <c r="A6" i="35"/>
  <c r="B6" i="35"/>
  <c r="C6" i="35"/>
  <c r="D6" i="35"/>
  <c r="E6" i="35"/>
  <c r="F6" i="35"/>
  <c r="G6" i="35"/>
  <c r="A7" i="35"/>
  <c r="B7" i="35"/>
  <c r="C7" i="35"/>
  <c r="D7" i="35"/>
  <c r="E7" i="35"/>
  <c r="F7" i="35"/>
  <c r="G7" i="35"/>
  <c r="H7" i="35"/>
  <c r="I7" i="35"/>
  <c r="K7" i="35"/>
  <c r="A8" i="35"/>
  <c r="B8" i="35"/>
  <c r="C8" i="35"/>
  <c r="D8" i="35"/>
  <c r="E8" i="35"/>
  <c r="F8" i="35"/>
  <c r="G8" i="35"/>
  <c r="H8" i="35"/>
  <c r="I8" i="35"/>
  <c r="K8" i="35"/>
  <c r="A9" i="35"/>
  <c r="B9" i="35"/>
  <c r="C9" i="35"/>
  <c r="D9" i="35"/>
  <c r="E9" i="35"/>
  <c r="F9" i="35"/>
  <c r="G9" i="35"/>
  <c r="H9" i="35"/>
  <c r="I9" i="35"/>
  <c r="K9" i="35"/>
  <c r="A10" i="35"/>
  <c r="B10" i="35"/>
  <c r="C10" i="35"/>
  <c r="D10" i="35"/>
  <c r="E10" i="35"/>
  <c r="F10" i="35"/>
  <c r="G10" i="35"/>
  <c r="H10" i="35"/>
  <c r="I10" i="35"/>
  <c r="K10" i="35"/>
  <c r="A11" i="35"/>
  <c r="B11" i="35"/>
  <c r="C11" i="35"/>
  <c r="D11" i="35"/>
  <c r="E11" i="35"/>
  <c r="F11" i="35"/>
  <c r="G11" i="35"/>
  <c r="H11" i="35"/>
  <c r="I11" i="35"/>
  <c r="K11" i="35"/>
  <c r="A12" i="35"/>
  <c r="B12" i="35"/>
  <c r="C12" i="35"/>
  <c r="D12" i="35"/>
  <c r="E12" i="35"/>
  <c r="F12" i="35"/>
  <c r="G12" i="35"/>
  <c r="H12" i="35"/>
  <c r="I12" i="35"/>
  <c r="K12" i="35"/>
  <c r="A13" i="35"/>
  <c r="B13" i="35"/>
  <c r="C13" i="35"/>
  <c r="D13" i="35"/>
  <c r="E13" i="35"/>
  <c r="F13" i="35"/>
  <c r="G13" i="35"/>
  <c r="H13" i="35"/>
  <c r="I13" i="35"/>
  <c r="A14" i="35"/>
  <c r="B14" i="35"/>
  <c r="C14" i="35"/>
  <c r="D14" i="35"/>
  <c r="E14" i="35"/>
  <c r="F14" i="35"/>
  <c r="G14" i="35"/>
  <c r="H14" i="35"/>
  <c r="I14" i="35"/>
  <c r="K14" i="35"/>
  <c r="A15" i="35"/>
  <c r="B15" i="35"/>
  <c r="C15" i="35"/>
  <c r="D15" i="35"/>
  <c r="E15" i="35"/>
  <c r="F15" i="35"/>
  <c r="G15" i="35"/>
  <c r="H15" i="35"/>
  <c r="I15" i="35"/>
  <c r="K15" i="35"/>
  <c r="A16" i="35"/>
  <c r="B16" i="35"/>
  <c r="C16" i="35"/>
  <c r="D16" i="35"/>
  <c r="E16" i="35"/>
  <c r="F16" i="35"/>
  <c r="G16" i="35"/>
  <c r="H16" i="35"/>
  <c r="I16" i="35"/>
  <c r="K16" i="35"/>
  <c r="A17" i="35"/>
  <c r="B17" i="35"/>
  <c r="C17" i="35"/>
  <c r="D17" i="35"/>
  <c r="E17" i="35"/>
  <c r="F17" i="35"/>
  <c r="G17" i="35"/>
  <c r="H17" i="35"/>
  <c r="I17" i="35"/>
  <c r="K17" i="35"/>
  <c r="A18" i="35"/>
  <c r="B18" i="35"/>
  <c r="C18" i="35"/>
  <c r="D18" i="35"/>
  <c r="E18" i="35"/>
  <c r="F18" i="35"/>
  <c r="G18" i="35"/>
  <c r="H18" i="35"/>
  <c r="I18" i="35"/>
  <c r="K18" i="35"/>
  <c r="A19" i="35"/>
  <c r="B19" i="35"/>
  <c r="C19" i="35"/>
  <c r="D19" i="35"/>
  <c r="E19" i="35"/>
  <c r="F19" i="35"/>
  <c r="G19" i="35"/>
  <c r="H19" i="35"/>
  <c r="I19" i="35"/>
  <c r="K19" i="35"/>
  <c r="H20" i="35"/>
  <c r="A21" i="35"/>
  <c r="B21" i="35"/>
  <c r="C21" i="35"/>
  <c r="D21" i="35"/>
  <c r="E21" i="35"/>
  <c r="F21" i="35"/>
  <c r="G21" i="35"/>
  <c r="A22" i="35"/>
  <c r="B22" i="35"/>
  <c r="C22" i="35"/>
  <c r="D22" i="35"/>
  <c r="E22" i="35"/>
  <c r="F22" i="35"/>
  <c r="G22" i="35"/>
  <c r="H22" i="35"/>
  <c r="I22" i="35"/>
  <c r="J22" i="35"/>
  <c r="M22" i="35"/>
  <c r="A23" i="35"/>
  <c r="B23" i="35"/>
  <c r="C23" i="35"/>
  <c r="D23" i="35"/>
  <c r="E23" i="35"/>
  <c r="F23" i="35"/>
  <c r="G23" i="35"/>
  <c r="H23" i="35"/>
  <c r="I23" i="35"/>
  <c r="J23" i="35"/>
  <c r="A24" i="35"/>
  <c r="B24" i="35"/>
  <c r="C24" i="35"/>
  <c r="D24" i="35"/>
  <c r="E24" i="35"/>
  <c r="F24" i="35"/>
  <c r="G24" i="35"/>
  <c r="H24" i="35"/>
  <c r="I24" i="35"/>
  <c r="J24" i="35"/>
  <c r="K24" i="35"/>
  <c r="M24" i="35"/>
  <c r="A25" i="35"/>
  <c r="B25" i="35"/>
  <c r="C25" i="35"/>
  <c r="D25" i="35"/>
  <c r="E25" i="35"/>
  <c r="F25" i="35"/>
  <c r="G25" i="35"/>
  <c r="H25" i="35"/>
  <c r="I25" i="35"/>
  <c r="J25" i="35"/>
  <c r="K25" i="35"/>
  <c r="M25" i="35"/>
  <c r="O25" i="35"/>
  <c r="A26" i="35"/>
  <c r="B26" i="35"/>
  <c r="C26" i="35"/>
  <c r="D26" i="35"/>
  <c r="E26" i="35"/>
  <c r="F26" i="35"/>
  <c r="G26" i="35"/>
  <c r="H26" i="35"/>
  <c r="I26" i="35"/>
  <c r="J26" i="35"/>
  <c r="M26" i="35"/>
  <c r="A27" i="35"/>
  <c r="B27" i="35"/>
  <c r="C27" i="35"/>
  <c r="D27" i="35"/>
  <c r="E27" i="35"/>
  <c r="F27" i="35"/>
  <c r="G27" i="35"/>
  <c r="H27" i="35"/>
  <c r="I27" i="35"/>
  <c r="J27" i="35"/>
  <c r="M27" i="35"/>
  <c r="A28" i="35"/>
  <c r="B28" i="35"/>
  <c r="C28" i="35"/>
  <c r="D28" i="35"/>
  <c r="E28" i="35"/>
  <c r="F28" i="35"/>
  <c r="G28" i="35"/>
  <c r="H28" i="35"/>
  <c r="I28" i="35"/>
  <c r="J28" i="35"/>
  <c r="A29" i="35"/>
  <c r="B29" i="35"/>
  <c r="C29" i="35"/>
  <c r="D29" i="35"/>
  <c r="E29" i="35"/>
  <c r="F29" i="35"/>
  <c r="G29" i="35"/>
  <c r="H29" i="35"/>
  <c r="I29" i="35"/>
  <c r="J29" i="35"/>
  <c r="K29" i="35"/>
  <c r="A30" i="35"/>
  <c r="B30" i="35"/>
  <c r="C30" i="35"/>
  <c r="D30" i="35"/>
  <c r="E30" i="35"/>
  <c r="F30" i="35"/>
  <c r="G30" i="35"/>
  <c r="H30" i="35"/>
  <c r="I30" i="35"/>
  <c r="J30" i="35"/>
  <c r="A31" i="35"/>
  <c r="B31" i="35"/>
  <c r="C31" i="35"/>
  <c r="D31" i="35"/>
  <c r="E31" i="35"/>
  <c r="F31" i="35"/>
  <c r="G31" i="35"/>
  <c r="H31" i="35"/>
  <c r="I31" i="35"/>
  <c r="J31" i="35"/>
  <c r="K31" i="35"/>
  <c r="A32" i="35"/>
  <c r="B32" i="35"/>
  <c r="C32" i="35"/>
  <c r="D32" i="35"/>
  <c r="E32" i="35"/>
  <c r="F32" i="35"/>
  <c r="G32" i="35"/>
  <c r="H32" i="35"/>
  <c r="I32" i="35"/>
  <c r="J32" i="35"/>
  <c r="M31" i="35"/>
  <c r="N31" i="35"/>
  <c r="A33" i="35"/>
  <c r="B33" i="35"/>
  <c r="C33" i="35"/>
  <c r="D33" i="35"/>
  <c r="E33" i="35"/>
  <c r="F33" i="35"/>
  <c r="G33" i="35"/>
  <c r="H33" i="35"/>
  <c r="I33" i="35"/>
  <c r="J33" i="35"/>
  <c r="K33" i="35"/>
  <c r="A34" i="35"/>
  <c r="B34" i="35"/>
  <c r="C34" i="35"/>
  <c r="D34" i="35"/>
  <c r="E34" i="35"/>
  <c r="F34" i="35"/>
  <c r="G34" i="35"/>
  <c r="H34" i="35"/>
  <c r="I34" i="35"/>
  <c r="J34" i="35"/>
  <c r="H35" i="35"/>
  <c r="J35" i="35"/>
  <c r="A36" i="35"/>
  <c r="F36" i="35"/>
  <c r="G36" i="35"/>
  <c r="H36" i="35"/>
  <c r="I36" i="35"/>
  <c r="K36" i="35"/>
  <c r="I37" i="35"/>
  <c r="A38" i="35"/>
  <c r="B38" i="35"/>
  <c r="C38" i="35"/>
  <c r="D38" i="35"/>
  <c r="E38" i="35"/>
  <c r="F38" i="35"/>
  <c r="G38" i="35"/>
  <c r="H38" i="35"/>
  <c r="I38" i="35"/>
  <c r="J38" i="35"/>
  <c r="M38" i="35"/>
  <c r="A39" i="35"/>
  <c r="B39" i="35"/>
  <c r="C39" i="35"/>
  <c r="D39" i="35"/>
  <c r="E39" i="35"/>
  <c r="F39" i="35"/>
  <c r="G39" i="35"/>
  <c r="H39" i="35"/>
  <c r="I39" i="35"/>
  <c r="J39" i="35"/>
  <c r="K39" i="35"/>
  <c r="M39" i="35"/>
  <c r="A40" i="35"/>
  <c r="B40" i="35"/>
  <c r="C40" i="35"/>
  <c r="D40" i="35"/>
  <c r="E40" i="35"/>
  <c r="F40" i="35"/>
  <c r="G40" i="35"/>
  <c r="H40" i="35"/>
  <c r="I40" i="35"/>
  <c r="J40" i="35"/>
  <c r="K40" i="35"/>
  <c r="M40" i="35"/>
  <c r="A41" i="35"/>
  <c r="B41" i="35"/>
  <c r="C41" i="35"/>
  <c r="D41" i="35"/>
  <c r="E41" i="35"/>
  <c r="F41" i="35"/>
  <c r="G41" i="35"/>
  <c r="H41" i="35"/>
  <c r="I41" i="35"/>
  <c r="J41" i="35"/>
  <c r="K41" i="35"/>
  <c r="A42" i="35"/>
  <c r="B42" i="35"/>
  <c r="C42" i="35"/>
  <c r="D42" i="35"/>
  <c r="E42" i="35"/>
  <c r="F42" i="35"/>
  <c r="G42" i="35"/>
  <c r="H42" i="35"/>
  <c r="I42" i="35"/>
  <c r="J42" i="35"/>
  <c r="A43" i="35"/>
  <c r="B43" i="35"/>
  <c r="C43" i="35"/>
  <c r="D43" i="35"/>
  <c r="E43" i="35"/>
  <c r="F43" i="35"/>
  <c r="G43" i="35"/>
  <c r="H43" i="35"/>
  <c r="I43" i="35"/>
  <c r="J43" i="35"/>
  <c r="K43" i="35"/>
  <c r="A44" i="35"/>
  <c r="B44" i="35"/>
  <c r="C44" i="35"/>
  <c r="D44" i="35"/>
  <c r="E44" i="35"/>
  <c r="F44" i="35"/>
  <c r="G44" i="35"/>
  <c r="H44" i="35"/>
  <c r="I44" i="35"/>
  <c r="J44" i="35"/>
  <c r="A45" i="35"/>
  <c r="B45" i="35"/>
  <c r="C45" i="35"/>
  <c r="D45" i="35"/>
  <c r="E45" i="35"/>
  <c r="F45" i="35"/>
  <c r="G45" i="35"/>
  <c r="H45" i="35"/>
  <c r="I45" i="35"/>
  <c r="J45" i="35"/>
  <c r="K45" i="35"/>
  <c r="A46" i="35"/>
  <c r="B46" i="35"/>
  <c r="C46" i="35"/>
  <c r="D46" i="35"/>
  <c r="E46" i="35"/>
  <c r="F46" i="35"/>
  <c r="G46" i="35"/>
  <c r="H46" i="35"/>
  <c r="I46" i="35"/>
  <c r="J46" i="35"/>
  <c r="A47" i="35"/>
  <c r="B47" i="35"/>
  <c r="C47" i="35"/>
  <c r="D47" i="35"/>
  <c r="E47" i="35"/>
  <c r="F47" i="35"/>
  <c r="G47" i="35"/>
  <c r="H47" i="35"/>
  <c r="I47" i="35"/>
  <c r="J47" i="35"/>
  <c r="K47" i="35"/>
  <c r="L47" i="35"/>
  <c r="A48" i="35"/>
  <c r="B48" i="35"/>
  <c r="C48" i="35"/>
  <c r="D48" i="35"/>
  <c r="E48" i="35"/>
  <c r="F48" i="35"/>
  <c r="G48" i="35"/>
  <c r="H48" i="35"/>
  <c r="I48" i="35"/>
  <c r="J48" i="35"/>
  <c r="K48" i="35"/>
  <c r="A49" i="35"/>
  <c r="B49" i="35"/>
  <c r="C49" i="35"/>
  <c r="D49" i="35"/>
  <c r="E49" i="35"/>
  <c r="F49" i="35"/>
  <c r="G49" i="35"/>
  <c r="H49" i="35"/>
  <c r="I49" i="35"/>
  <c r="J49" i="35"/>
  <c r="A50" i="35"/>
  <c r="B50" i="35"/>
  <c r="C50" i="35"/>
  <c r="D50" i="35"/>
  <c r="E50" i="35"/>
  <c r="F50" i="35"/>
  <c r="G50" i="35"/>
  <c r="H50" i="35"/>
  <c r="I50" i="35"/>
  <c r="J50" i="35"/>
  <c r="K50" i="35"/>
  <c r="I51" i="35"/>
  <c r="A52" i="35"/>
  <c r="F52" i="35"/>
  <c r="G52" i="35"/>
  <c r="H52" i="35"/>
  <c r="I52" i="35"/>
  <c r="K52" i="35"/>
  <c r="I53" i="35"/>
  <c r="A54" i="35"/>
  <c r="B54" i="35"/>
  <c r="C54" i="35"/>
  <c r="D54" i="35"/>
  <c r="E54" i="35"/>
  <c r="F54" i="35"/>
  <c r="G54" i="35"/>
  <c r="H54" i="35"/>
  <c r="I54" i="35"/>
  <c r="J54" i="35"/>
  <c r="K54" i="35"/>
  <c r="M54" i="35"/>
  <c r="A55" i="35"/>
  <c r="B55" i="35"/>
  <c r="C55" i="35"/>
  <c r="D55" i="35"/>
  <c r="E55" i="35"/>
  <c r="F55" i="35"/>
  <c r="G55" i="35"/>
  <c r="H55" i="35"/>
  <c r="I55" i="35"/>
  <c r="J55" i="35"/>
  <c r="K55" i="35"/>
  <c r="M55" i="35"/>
  <c r="A56" i="35"/>
  <c r="B56" i="35"/>
  <c r="C56" i="35"/>
  <c r="D56" i="35"/>
  <c r="E56" i="35"/>
  <c r="F56" i="35"/>
  <c r="G56" i="35"/>
  <c r="H56" i="35"/>
  <c r="I56" i="35"/>
  <c r="J56" i="35"/>
  <c r="K56" i="35"/>
  <c r="M56" i="35"/>
  <c r="A57" i="35"/>
  <c r="B57" i="35"/>
  <c r="C57" i="35"/>
  <c r="D57" i="35"/>
  <c r="E57" i="35"/>
  <c r="F57" i="35"/>
  <c r="G57" i="35"/>
  <c r="H57" i="35"/>
  <c r="I57" i="35"/>
  <c r="J57" i="35"/>
  <c r="K57" i="35"/>
  <c r="A58" i="35"/>
  <c r="B58" i="35"/>
  <c r="C58" i="35"/>
  <c r="D58" i="35"/>
  <c r="E58" i="35"/>
  <c r="F58" i="35"/>
  <c r="G58" i="35"/>
  <c r="H58" i="35"/>
  <c r="I58" i="35"/>
  <c r="J58" i="35"/>
  <c r="A59" i="35"/>
  <c r="B59" i="35"/>
  <c r="C59" i="35"/>
  <c r="D59" i="35"/>
  <c r="E59" i="35"/>
  <c r="F59" i="35"/>
  <c r="G59" i="35"/>
  <c r="H59" i="35"/>
  <c r="I59" i="35"/>
  <c r="J59" i="35"/>
  <c r="K59" i="35"/>
  <c r="A60" i="35"/>
  <c r="B60" i="35"/>
  <c r="C60" i="35"/>
  <c r="D60" i="35"/>
  <c r="E60" i="35"/>
  <c r="F60" i="35"/>
  <c r="G60" i="35"/>
  <c r="H60" i="35"/>
  <c r="I60" i="35"/>
  <c r="J60" i="35"/>
  <c r="A61" i="35"/>
  <c r="B61" i="35"/>
  <c r="C61" i="35"/>
  <c r="D61" i="35"/>
  <c r="E61" i="35"/>
  <c r="F61" i="35"/>
  <c r="G61" i="35"/>
  <c r="H61" i="35"/>
  <c r="I61" i="35"/>
  <c r="J61" i="35"/>
  <c r="K61" i="35"/>
  <c r="A62" i="35"/>
  <c r="B62" i="35"/>
  <c r="C62" i="35"/>
  <c r="D62" i="35"/>
  <c r="E62" i="35"/>
  <c r="F62" i="35"/>
  <c r="G62" i="35"/>
  <c r="H62" i="35"/>
  <c r="I62" i="35"/>
  <c r="J62" i="35"/>
  <c r="A63" i="35"/>
  <c r="B63" i="35"/>
  <c r="C63" i="35"/>
  <c r="D63" i="35"/>
  <c r="E63" i="35"/>
  <c r="F63" i="35"/>
  <c r="G63" i="35"/>
  <c r="H63" i="35"/>
  <c r="I63" i="35"/>
  <c r="J63" i="35"/>
  <c r="K63" i="35"/>
  <c r="M63" i="35"/>
  <c r="A64" i="35"/>
  <c r="B64" i="35"/>
  <c r="C64" i="35"/>
  <c r="D64" i="35"/>
  <c r="E64" i="35"/>
  <c r="F64" i="35"/>
  <c r="G64" i="35"/>
  <c r="H64" i="35"/>
  <c r="I64" i="35"/>
  <c r="J64" i="35"/>
  <c r="K64" i="35"/>
  <c r="A65" i="35"/>
  <c r="B65" i="35"/>
  <c r="C65" i="35"/>
  <c r="D65" i="35"/>
  <c r="E65" i="35"/>
  <c r="F65" i="35"/>
  <c r="G65" i="35"/>
  <c r="H65" i="35"/>
  <c r="I65" i="35"/>
  <c r="J65" i="35"/>
  <c r="A66" i="35"/>
  <c r="B66" i="35"/>
  <c r="C66" i="35"/>
  <c r="D66" i="35"/>
  <c r="E66" i="35"/>
  <c r="F66" i="35"/>
  <c r="G66" i="35"/>
  <c r="H66" i="35"/>
  <c r="I66" i="35"/>
  <c r="J66" i="35"/>
  <c r="K66" i="35"/>
  <c r="M66" i="35"/>
  <c r="H67" i="35"/>
  <c r="J67" i="35"/>
  <c r="L67" i="35"/>
  <c r="A68" i="35"/>
  <c r="F68" i="35"/>
  <c r="G68" i="35"/>
  <c r="H68" i="35"/>
  <c r="I68" i="35"/>
  <c r="K68" i="35"/>
  <c r="M68" i="35"/>
  <c r="I69" i="35"/>
  <c r="A70" i="35"/>
  <c r="B70" i="35"/>
  <c r="C70" i="35"/>
  <c r="D70" i="35"/>
  <c r="E70" i="35"/>
  <c r="F70" i="35"/>
  <c r="G70" i="35"/>
  <c r="H70" i="35"/>
  <c r="I70" i="35"/>
  <c r="J70" i="35"/>
  <c r="M70" i="35"/>
  <c r="A71" i="35"/>
  <c r="B71" i="35"/>
  <c r="C71" i="35"/>
  <c r="D71" i="35"/>
  <c r="E71" i="35"/>
  <c r="F71" i="35"/>
  <c r="G71" i="35"/>
  <c r="H71" i="35"/>
  <c r="I71" i="35"/>
  <c r="J71" i="35"/>
  <c r="M71" i="35"/>
  <c r="A72" i="35"/>
  <c r="B72" i="35"/>
  <c r="C72" i="35"/>
  <c r="D72" i="35"/>
  <c r="E72" i="35"/>
  <c r="F72" i="35"/>
  <c r="G72" i="35"/>
  <c r="H72" i="35"/>
  <c r="I72" i="35"/>
  <c r="J72" i="35"/>
  <c r="M72" i="35"/>
  <c r="A73" i="35"/>
  <c r="B73" i="35"/>
  <c r="C73" i="35"/>
  <c r="D73" i="35"/>
  <c r="E73" i="35"/>
  <c r="F73" i="35"/>
  <c r="G73" i="35"/>
  <c r="H73" i="35"/>
  <c r="I73" i="35"/>
  <c r="J73" i="35"/>
  <c r="M73" i="35"/>
  <c r="A74" i="35"/>
  <c r="B74" i="35"/>
  <c r="C74" i="35"/>
  <c r="D74" i="35"/>
  <c r="E74" i="35"/>
  <c r="F74" i="35"/>
  <c r="G74" i="35"/>
  <c r="H74" i="35"/>
  <c r="I74" i="35"/>
  <c r="J74" i="35"/>
  <c r="M74" i="35"/>
  <c r="A75" i="35"/>
  <c r="B75" i="35"/>
  <c r="C75" i="35"/>
  <c r="D75" i="35"/>
  <c r="E75" i="35"/>
  <c r="F75" i="35"/>
  <c r="G75" i="35"/>
  <c r="H75" i="35"/>
  <c r="I75" i="35"/>
  <c r="J75" i="35"/>
  <c r="M75" i="35"/>
  <c r="J79" i="35"/>
  <c r="M79" i="35"/>
  <c r="M85" i="35"/>
  <c r="A76" i="35"/>
  <c r="B76" i="35"/>
  <c r="C76" i="35"/>
  <c r="D76" i="35"/>
  <c r="E76" i="35"/>
  <c r="F76" i="35"/>
  <c r="G76" i="35"/>
  <c r="H76" i="35"/>
  <c r="I76" i="35"/>
  <c r="J76" i="35"/>
  <c r="M76" i="35"/>
  <c r="A77" i="35"/>
  <c r="B77" i="35"/>
  <c r="C77" i="35"/>
  <c r="D77" i="35"/>
  <c r="E77" i="35"/>
  <c r="F77" i="35"/>
  <c r="G77" i="35"/>
  <c r="H77" i="35"/>
  <c r="I77" i="35"/>
  <c r="J77" i="35"/>
  <c r="M77" i="35"/>
  <c r="J81" i="35"/>
  <c r="M81" i="35"/>
  <c r="J78" i="35"/>
  <c r="M78" i="35"/>
  <c r="M84" i="35"/>
  <c r="A78" i="35"/>
  <c r="B78" i="35"/>
  <c r="C78" i="35"/>
  <c r="D78" i="35"/>
  <c r="E78" i="35"/>
  <c r="F78" i="35"/>
  <c r="G78" i="35"/>
  <c r="H78" i="35"/>
  <c r="I78" i="35"/>
  <c r="A79" i="35"/>
  <c r="B79" i="35"/>
  <c r="C79" i="35"/>
  <c r="D79" i="35"/>
  <c r="E79" i="35"/>
  <c r="F79" i="35"/>
  <c r="G79" i="35"/>
  <c r="H79" i="35"/>
  <c r="I79" i="35"/>
  <c r="K79" i="35"/>
  <c r="K95" i="35"/>
  <c r="A80" i="35"/>
  <c r="B80" i="35"/>
  <c r="C80" i="35"/>
  <c r="D80" i="35"/>
  <c r="E80" i="35"/>
  <c r="F80" i="35"/>
  <c r="G80" i="35"/>
  <c r="H80" i="35"/>
  <c r="I80" i="35"/>
  <c r="J80" i="35"/>
  <c r="K80" i="35"/>
  <c r="M80" i="35"/>
  <c r="A81" i="35"/>
  <c r="B81" i="35"/>
  <c r="C81" i="35"/>
  <c r="D81" i="35"/>
  <c r="E81" i="35"/>
  <c r="F81" i="35"/>
  <c r="G81" i="35"/>
  <c r="H81" i="35"/>
  <c r="I81" i="35"/>
  <c r="K81" i="35"/>
  <c r="A82" i="35"/>
  <c r="B82" i="35"/>
  <c r="C82" i="35"/>
  <c r="D82" i="35"/>
  <c r="E82" i="35"/>
  <c r="F82" i="35"/>
  <c r="G82" i="35"/>
  <c r="H82" i="35"/>
  <c r="I82" i="35"/>
  <c r="J82" i="35"/>
  <c r="K82" i="35"/>
  <c r="M82" i="35"/>
  <c r="H83" i="35"/>
  <c r="J83" i="35"/>
  <c r="L83" i="35"/>
  <c r="M83" i="35"/>
  <c r="A84" i="35"/>
  <c r="F84" i="35"/>
  <c r="G84" i="35"/>
  <c r="H84" i="35"/>
  <c r="I84" i="35"/>
  <c r="K84" i="35"/>
  <c r="K100" i="35"/>
  <c r="A86" i="35"/>
  <c r="B86" i="35"/>
  <c r="C86" i="35"/>
  <c r="D86" i="35"/>
  <c r="E86" i="35"/>
  <c r="F86" i="35"/>
  <c r="G86" i="35"/>
  <c r="H86" i="35"/>
  <c r="I86" i="35"/>
  <c r="J86" i="35"/>
  <c r="A87" i="35"/>
  <c r="B87" i="35"/>
  <c r="C87" i="35"/>
  <c r="D87" i="35"/>
  <c r="E87" i="35"/>
  <c r="F87" i="35"/>
  <c r="G87" i="35"/>
  <c r="H87" i="35"/>
  <c r="I87" i="35"/>
  <c r="J87" i="35"/>
  <c r="A88" i="35"/>
  <c r="B88" i="35"/>
  <c r="C88" i="35"/>
  <c r="D88" i="35"/>
  <c r="E88" i="35"/>
  <c r="F88" i="35"/>
  <c r="G88" i="35"/>
  <c r="H88" i="35"/>
  <c r="I88" i="35"/>
  <c r="J88" i="35"/>
  <c r="A89" i="35"/>
  <c r="B89" i="35"/>
  <c r="C89" i="35"/>
  <c r="D89" i="35"/>
  <c r="E89" i="35"/>
  <c r="F89" i="35"/>
  <c r="G89" i="35"/>
  <c r="H89" i="35"/>
  <c r="I89" i="35"/>
  <c r="J89" i="35"/>
  <c r="A90" i="35"/>
  <c r="B90" i="35"/>
  <c r="C90" i="35"/>
  <c r="D90" i="35"/>
  <c r="E90" i="35"/>
  <c r="F90" i="35"/>
  <c r="G90" i="35"/>
  <c r="H90" i="35"/>
  <c r="I90" i="35"/>
  <c r="J90" i="35"/>
  <c r="A91" i="35"/>
  <c r="B91" i="35"/>
  <c r="C91" i="35"/>
  <c r="D91" i="35"/>
  <c r="E91" i="35"/>
  <c r="F91" i="35"/>
  <c r="G91" i="35"/>
  <c r="H91" i="35"/>
  <c r="I91" i="35"/>
  <c r="J91" i="35"/>
  <c r="A92" i="35"/>
  <c r="B92" i="35"/>
  <c r="C92" i="35"/>
  <c r="D92" i="35"/>
  <c r="E92" i="35"/>
  <c r="F92" i="35"/>
  <c r="G92" i="35"/>
  <c r="H92" i="35"/>
  <c r="I92" i="35"/>
  <c r="J92" i="35"/>
  <c r="A93" i="35"/>
  <c r="B93" i="35"/>
  <c r="C93" i="35"/>
  <c r="D93" i="35"/>
  <c r="E93" i="35"/>
  <c r="F93" i="35"/>
  <c r="G93" i="35"/>
  <c r="H93" i="35"/>
  <c r="I93" i="35"/>
  <c r="J93" i="35"/>
  <c r="A94" i="35"/>
  <c r="B94" i="35"/>
  <c r="C94" i="35"/>
  <c r="D94" i="35"/>
  <c r="E94" i="35"/>
  <c r="F94" i="35"/>
  <c r="G94" i="35"/>
  <c r="H94" i="35"/>
  <c r="I94" i="35"/>
  <c r="J94" i="35"/>
  <c r="A95" i="35"/>
  <c r="B95" i="35"/>
  <c r="C95" i="35"/>
  <c r="D95" i="35"/>
  <c r="E95" i="35"/>
  <c r="F95" i="35"/>
  <c r="G95" i="35"/>
  <c r="H95" i="35"/>
  <c r="I95" i="35"/>
  <c r="J95" i="35"/>
  <c r="A96" i="35"/>
  <c r="B96" i="35"/>
  <c r="C96" i="35"/>
  <c r="D96" i="35"/>
  <c r="E96" i="35"/>
  <c r="F96" i="35"/>
  <c r="G96" i="35"/>
  <c r="H96" i="35"/>
  <c r="I96" i="35"/>
  <c r="J96" i="35"/>
  <c r="A97" i="35"/>
  <c r="B97" i="35"/>
  <c r="C97" i="35"/>
  <c r="D97" i="35"/>
  <c r="E97" i="35"/>
  <c r="F97" i="35"/>
  <c r="G97" i="35"/>
  <c r="H97" i="35"/>
  <c r="I97" i="35"/>
  <c r="J97" i="35"/>
  <c r="A98" i="35"/>
  <c r="B98" i="35"/>
  <c r="C98" i="35"/>
  <c r="D98" i="35"/>
  <c r="E98" i="35"/>
  <c r="F98" i="35"/>
  <c r="G98" i="35"/>
  <c r="H98" i="35"/>
  <c r="I98" i="35"/>
  <c r="J98" i="35"/>
  <c r="I99" i="35"/>
  <c r="L99" i="35"/>
  <c r="A100" i="35"/>
  <c r="F100" i="35"/>
  <c r="G100" i="35"/>
  <c r="H100" i="35"/>
  <c r="I100" i="35"/>
  <c r="M100" i="35"/>
  <c r="L100" i="35"/>
  <c r="A102" i="35"/>
  <c r="B102" i="35"/>
  <c r="C102" i="35"/>
  <c r="D102" i="35"/>
  <c r="E102" i="35"/>
  <c r="F102" i="35"/>
  <c r="G102" i="35"/>
  <c r="H102" i="35"/>
  <c r="I102" i="35"/>
  <c r="J102" i="35"/>
  <c r="K102" i="35"/>
  <c r="M102" i="35"/>
  <c r="A103" i="35"/>
  <c r="B103" i="35"/>
  <c r="C103" i="35"/>
  <c r="D103" i="35"/>
  <c r="E103" i="35"/>
  <c r="F103" i="35"/>
  <c r="G103" i="35"/>
  <c r="H103" i="35"/>
  <c r="I103" i="35"/>
  <c r="J103" i="35"/>
  <c r="K103" i="35"/>
  <c r="M103" i="35"/>
  <c r="A104" i="35"/>
  <c r="B104" i="35"/>
  <c r="C104" i="35"/>
  <c r="D104" i="35"/>
  <c r="E104" i="35"/>
  <c r="F104" i="35"/>
  <c r="G104" i="35"/>
  <c r="H104" i="35"/>
  <c r="I104" i="35"/>
  <c r="J104" i="35"/>
  <c r="K104" i="35"/>
  <c r="M104" i="35"/>
  <c r="A105" i="35"/>
  <c r="B105" i="35"/>
  <c r="C105" i="35"/>
  <c r="D105" i="35"/>
  <c r="E105" i="35"/>
  <c r="F105" i="35"/>
  <c r="G105" i="35"/>
  <c r="H105" i="35"/>
  <c r="I105" i="35"/>
  <c r="J105" i="35"/>
  <c r="K105" i="35"/>
  <c r="M105" i="35"/>
  <c r="N105" i="35"/>
  <c r="A106" i="35"/>
  <c r="B106" i="35"/>
  <c r="C106" i="35"/>
  <c r="D106" i="35"/>
  <c r="E106" i="35"/>
  <c r="F106" i="35"/>
  <c r="G106" i="35"/>
  <c r="H106" i="35"/>
  <c r="I106" i="35"/>
  <c r="J106" i="35"/>
  <c r="A107" i="35"/>
  <c r="B107" i="35"/>
  <c r="C107" i="35"/>
  <c r="D107" i="35"/>
  <c r="E107" i="35"/>
  <c r="F107" i="35"/>
  <c r="G107" i="35"/>
  <c r="H107" i="35"/>
  <c r="I107" i="35"/>
  <c r="J107" i="35"/>
  <c r="K107" i="35"/>
  <c r="M107" i="35"/>
  <c r="A108" i="35"/>
  <c r="B108" i="35"/>
  <c r="C108" i="35"/>
  <c r="D108" i="35"/>
  <c r="E108" i="35"/>
  <c r="F108" i="35"/>
  <c r="G108" i="35"/>
  <c r="H108" i="35"/>
  <c r="I108" i="35"/>
  <c r="J108" i="35"/>
  <c r="K108" i="35"/>
  <c r="M108" i="35"/>
  <c r="A109" i="35"/>
  <c r="B109" i="35"/>
  <c r="C109" i="35"/>
  <c r="D109" i="35"/>
  <c r="E109" i="35"/>
  <c r="F109" i="35"/>
  <c r="G109" i="35"/>
  <c r="H109" i="35"/>
  <c r="I109" i="35"/>
  <c r="J109" i="35"/>
  <c r="K109" i="35"/>
  <c r="M109" i="35"/>
  <c r="A110" i="35"/>
  <c r="B110" i="35"/>
  <c r="C110" i="35"/>
  <c r="D110" i="35"/>
  <c r="E110" i="35"/>
  <c r="F110" i="35"/>
  <c r="G110" i="35"/>
  <c r="H110" i="35"/>
  <c r="I110" i="35"/>
  <c r="J110" i="35"/>
  <c r="K110" i="35"/>
  <c r="M110" i="35"/>
  <c r="A111" i="35"/>
  <c r="B111" i="35"/>
  <c r="C111" i="35"/>
  <c r="D111" i="35"/>
  <c r="E111" i="35"/>
  <c r="F111" i="35"/>
  <c r="G111" i="35"/>
  <c r="H111" i="35"/>
  <c r="I111" i="35"/>
  <c r="J111" i="35"/>
  <c r="K111" i="35"/>
  <c r="A112" i="35"/>
  <c r="B112" i="35"/>
  <c r="C112" i="35"/>
  <c r="D112" i="35"/>
  <c r="E112" i="35"/>
  <c r="F112" i="35"/>
  <c r="G112" i="35"/>
  <c r="H112" i="35"/>
  <c r="I112" i="35"/>
  <c r="J112" i="35"/>
  <c r="A113" i="35"/>
  <c r="B113" i="35"/>
  <c r="C113" i="35"/>
  <c r="D113" i="35"/>
  <c r="E113" i="35"/>
  <c r="F113" i="35"/>
  <c r="G113" i="35"/>
  <c r="H113" i="35"/>
  <c r="I113" i="35"/>
  <c r="J113" i="35"/>
  <c r="K113" i="35"/>
  <c r="M113" i="35"/>
  <c r="A114" i="35"/>
  <c r="B114" i="35"/>
  <c r="C114" i="35"/>
  <c r="D114" i="35"/>
  <c r="E114" i="35"/>
  <c r="F114" i="35"/>
  <c r="G114" i="35"/>
  <c r="H114" i="35"/>
  <c r="I114" i="35"/>
  <c r="J114" i="35"/>
  <c r="K114" i="35"/>
  <c r="M114" i="35"/>
  <c r="H115" i="35"/>
  <c r="J115" i="35"/>
  <c r="M115" i="35"/>
  <c r="A116" i="35"/>
  <c r="F116" i="35"/>
  <c r="G116" i="35"/>
  <c r="H116" i="35"/>
  <c r="I116" i="35"/>
  <c r="K116" i="35"/>
  <c r="M116" i="35"/>
  <c r="N116" i="35"/>
  <c r="A117" i="35"/>
  <c r="F117" i="35"/>
  <c r="G117" i="35"/>
  <c r="H117" i="35"/>
  <c r="I117" i="35"/>
  <c r="K117" i="35"/>
  <c r="I118" i="35"/>
  <c r="A119" i="35"/>
  <c r="B119" i="35"/>
  <c r="C119" i="35"/>
  <c r="D119" i="35"/>
  <c r="E119" i="35"/>
  <c r="F119" i="35"/>
  <c r="G119" i="35"/>
  <c r="H119" i="35"/>
  <c r="I119" i="35"/>
  <c r="J119" i="35"/>
  <c r="K119" i="35"/>
  <c r="A120" i="35"/>
  <c r="B120" i="35"/>
  <c r="C120" i="35"/>
  <c r="D120" i="35"/>
  <c r="E120" i="35"/>
  <c r="F120" i="35"/>
  <c r="G120" i="35"/>
  <c r="H120" i="35"/>
  <c r="I120" i="35"/>
  <c r="J120" i="35"/>
  <c r="M120" i="35"/>
  <c r="A121" i="35"/>
  <c r="B121" i="35"/>
  <c r="C121" i="35"/>
  <c r="D121" i="35"/>
  <c r="E121" i="35"/>
  <c r="F121" i="35"/>
  <c r="G121" i="35"/>
  <c r="H121" i="35"/>
  <c r="I121" i="35"/>
  <c r="J121" i="35"/>
  <c r="K121" i="35"/>
  <c r="A122" i="35"/>
  <c r="B122" i="35"/>
  <c r="C122" i="35"/>
  <c r="D122" i="35"/>
  <c r="E122" i="35"/>
  <c r="F122" i="35"/>
  <c r="G122" i="35"/>
  <c r="H122" i="35"/>
  <c r="I122" i="35"/>
  <c r="J122" i="35"/>
  <c r="K122" i="35"/>
  <c r="M122" i="35"/>
  <c r="A123" i="35"/>
  <c r="B123" i="35"/>
  <c r="C123" i="35"/>
  <c r="D123" i="35"/>
  <c r="E123" i="35"/>
  <c r="F123" i="35"/>
  <c r="G123" i="35"/>
  <c r="H123" i="35"/>
  <c r="I123" i="35"/>
  <c r="J123" i="35"/>
  <c r="K123" i="35"/>
  <c r="A124" i="35"/>
  <c r="B124" i="35"/>
  <c r="C124" i="35"/>
  <c r="D124" i="35"/>
  <c r="E124" i="35"/>
  <c r="F124" i="35"/>
  <c r="G124" i="35"/>
  <c r="H124" i="35"/>
  <c r="I124" i="35"/>
  <c r="J124" i="35"/>
  <c r="K124" i="35"/>
  <c r="A125" i="35"/>
  <c r="B125" i="35"/>
  <c r="C125" i="35"/>
  <c r="D125" i="35"/>
  <c r="E125" i="35"/>
  <c r="F125" i="35"/>
  <c r="G125" i="35"/>
  <c r="H125" i="35"/>
  <c r="I125" i="35"/>
  <c r="J125" i="35"/>
  <c r="K125" i="35"/>
  <c r="A126" i="35"/>
  <c r="B126" i="35"/>
  <c r="C126" i="35"/>
  <c r="D126" i="35"/>
  <c r="E126" i="35"/>
  <c r="F126" i="35"/>
  <c r="G126" i="35"/>
  <c r="H126" i="35"/>
  <c r="I126" i="35"/>
  <c r="J126" i="35"/>
  <c r="K126" i="35"/>
  <c r="M126" i="35"/>
  <c r="A127" i="35"/>
  <c r="B127" i="35"/>
  <c r="C127" i="35"/>
  <c r="D127" i="35"/>
  <c r="E127" i="35"/>
  <c r="F127" i="35"/>
  <c r="G127" i="35"/>
  <c r="H127" i="35"/>
  <c r="I127" i="35"/>
  <c r="J127" i="35"/>
  <c r="K127" i="35"/>
  <c r="M127" i="35"/>
  <c r="A128" i="35"/>
  <c r="B128" i="35"/>
  <c r="C128" i="35"/>
  <c r="D128" i="35"/>
  <c r="E128" i="35"/>
  <c r="F128" i="35"/>
  <c r="G128" i="35"/>
  <c r="H128" i="35"/>
  <c r="I128" i="35"/>
  <c r="J128" i="35"/>
  <c r="K128" i="35"/>
  <c r="M128" i="35"/>
  <c r="O121" i="35"/>
  <c r="A129" i="35"/>
  <c r="B129" i="35"/>
  <c r="C129" i="35"/>
  <c r="D129" i="35"/>
  <c r="E129" i="35"/>
  <c r="F129" i="35"/>
  <c r="G129" i="35"/>
  <c r="H129" i="35"/>
  <c r="I129" i="35"/>
  <c r="J129" i="35"/>
  <c r="K129" i="35"/>
  <c r="M129" i="35"/>
  <c r="A130" i="35"/>
  <c r="B130" i="35"/>
  <c r="C130" i="35"/>
  <c r="D130" i="35"/>
  <c r="E130" i="35"/>
  <c r="F130" i="35"/>
  <c r="G130" i="35"/>
  <c r="H130" i="35"/>
  <c r="I130" i="35"/>
  <c r="J130" i="35"/>
  <c r="K130" i="35"/>
  <c r="M130" i="35"/>
  <c r="A131" i="35"/>
  <c r="B131" i="35"/>
  <c r="C131" i="35"/>
  <c r="D131" i="35"/>
  <c r="E131" i="35"/>
  <c r="F131" i="35"/>
  <c r="G131" i="35"/>
  <c r="H131" i="35"/>
  <c r="I131" i="35"/>
  <c r="J131" i="35"/>
  <c r="K131" i="35"/>
  <c r="M131" i="35"/>
  <c r="H132" i="35"/>
  <c r="I132" i="35"/>
  <c r="J132" i="35"/>
  <c r="L132" i="35"/>
  <c r="A133" i="35"/>
  <c r="F133" i="35"/>
  <c r="G133" i="35"/>
  <c r="H133" i="35"/>
  <c r="I133" i="35"/>
  <c r="K133" i="35"/>
  <c r="A134" i="35"/>
  <c r="B134" i="35"/>
  <c r="C134" i="35"/>
  <c r="D134" i="35"/>
  <c r="E134" i="35"/>
  <c r="F134" i="35"/>
  <c r="G134" i="35"/>
  <c r="H134" i="35"/>
  <c r="I134" i="35"/>
  <c r="K134" i="35"/>
  <c r="I135" i="35"/>
  <c r="A136" i="35"/>
  <c r="B136" i="35"/>
  <c r="C136" i="35"/>
  <c r="D136" i="35"/>
  <c r="E136" i="35"/>
  <c r="F136" i="35"/>
  <c r="G136" i="35"/>
  <c r="H136" i="35"/>
  <c r="I136" i="35"/>
  <c r="J136" i="35"/>
  <c r="A137" i="35"/>
  <c r="B137" i="35"/>
  <c r="C137" i="35"/>
  <c r="D137" i="35"/>
  <c r="E137" i="35"/>
  <c r="F137" i="35"/>
  <c r="G137" i="35"/>
  <c r="H137" i="35"/>
  <c r="I137" i="35"/>
  <c r="J137" i="35"/>
  <c r="K137" i="35"/>
  <c r="A138" i="35"/>
  <c r="B138" i="35"/>
  <c r="C138" i="35"/>
  <c r="D138" i="35"/>
  <c r="E138" i="35"/>
  <c r="F138" i="35"/>
  <c r="G138" i="35"/>
  <c r="H138" i="35"/>
  <c r="I138" i="35"/>
  <c r="J138" i="35"/>
  <c r="A139" i="35"/>
  <c r="B139" i="35"/>
  <c r="C139" i="35"/>
  <c r="D139" i="35"/>
  <c r="E139" i="35"/>
  <c r="F139" i="35"/>
  <c r="G139" i="35"/>
  <c r="H139" i="35"/>
  <c r="I139" i="35"/>
  <c r="J139" i="35"/>
  <c r="K139" i="35"/>
  <c r="A140" i="35"/>
  <c r="B140" i="35"/>
  <c r="C140" i="35"/>
  <c r="D140" i="35"/>
  <c r="E140" i="35"/>
  <c r="F140" i="35"/>
  <c r="G140" i="35"/>
  <c r="H140" i="35"/>
  <c r="I140" i="35"/>
  <c r="J140" i="35"/>
  <c r="A141" i="35"/>
  <c r="B141" i="35"/>
  <c r="C141" i="35"/>
  <c r="D141" i="35"/>
  <c r="E141" i="35"/>
  <c r="F141" i="35"/>
  <c r="G141" i="35"/>
  <c r="H141" i="35"/>
  <c r="I141" i="35"/>
  <c r="J141" i="35"/>
  <c r="K141" i="35"/>
  <c r="A142" i="35"/>
  <c r="B142" i="35"/>
  <c r="C142" i="35"/>
  <c r="D142" i="35"/>
  <c r="E142" i="35"/>
  <c r="F142" i="35"/>
  <c r="G142" i="35"/>
  <c r="H142" i="35"/>
  <c r="I142" i="35"/>
  <c r="J142" i="35"/>
  <c r="A143" i="35"/>
  <c r="B143" i="35"/>
  <c r="C143" i="35"/>
  <c r="D143" i="35"/>
  <c r="E143" i="35"/>
  <c r="F143" i="35"/>
  <c r="G143" i="35"/>
  <c r="H143" i="35"/>
  <c r="I143" i="35"/>
  <c r="J143" i="35"/>
  <c r="K143" i="35"/>
  <c r="A144" i="35"/>
  <c r="B144" i="35"/>
  <c r="C144" i="35"/>
  <c r="D144" i="35"/>
  <c r="E144" i="35"/>
  <c r="F144" i="35"/>
  <c r="G144" i="35"/>
  <c r="H144" i="35"/>
  <c r="I144" i="35"/>
  <c r="J144" i="35"/>
  <c r="A145" i="35"/>
  <c r="B145" i="35"/>
  <c r="C145" i="35"/>
  <c r="D145" i="35"/>
  <c r="E145" i="35"/>
  <c r="F145" i="35"/>
  <c r="G145" i="35"/>
  <c r="H145" i="35"/>
  <c r="I145" i="35"/>
  <c r="J145" i="35"/>
  <c r="K145" i="35"/>
  <c r="A146" i="35"/>
  <c r="B146" i="35"/>
  <c r="C146" i="35"/>
  <c r="D146" i="35"/>
  <c r="E146" i="35"/>
  <c r="F146" i="35"/>
  <c r="G146" i="35"/>
  <c r="H146" i="35"/>
  <c r="I146" i="35"/>
  <c r="J146" i="35"/>
  <c r="A147" i="35"/>
  <c r="B147" i="35"/>
  <c r="C147" i="35"/>
  <c r="D147" i="35"/>
  <c r="E147" i="35"/>
  <c r="F147" i="35"/>
  <c r="G147" i="35"/>
  <c r="H147" i="35"/>
  <c r="I147" i="35"/>
  <c r="J147" i="35"/>
  <c r="K147" i="35"/>
  <c r="A148" i="35"/>
  <c r="B148" i="35"/>
  <c r="C148" i="35"/>
  <c r="D148" i="35"/>
  <c r="E148" i="35"/>
  <c r="F148" i="35"/>
  <c r="G148" i="35"/>
  <c r="H148" i="35"/>
  <c r="I148" i="35"/>
  <c r="J148" i="35"/>
  <c r="H149" i="35"/>
  <c r="J149" i="35"/>
  <c r="A150" i="35"/>
  <c r="F150" i="35"/>
  <c r="G150" i="35"/>
  <c r="H150" i="35"/>
  <c r="I150" i="35"/>
  <c r="K150" i="35"/>
  <c r="I151" i="35"/>
  <c r="A152" i="35"/>
  <c r="B152" i="35"/>
  <c r="C152" i="35"/>
  <c r="D152" i="35"/>
  <c r="E152" i="35"/>
  <c r="F152" i="35"/>
  <c r="G152" i="35"/>
  <c r="H152" i="35"/>
  <c r="I152" i="35"/>
  <c r="J152" i="35"/>
  <c r="K152" i="35"/>
  <c r="M152" i="35"/>
  <c r="A153" i="35"/>
  <c r="B153" i="35"/>
  <c r="C153" i="35"/>
  <c r="D153" i="35"/>
  <c r="E153" i="35"/>
  <c r="F153" i="35"/>
  <c r="G153" i="35"/>
  <c r="H153" i="35"/>
  <c r="I153" i="35"/>
  <c r="J153" i="35"/>
  <c r="M153" i="35"/>
  <c r="A154" i="35"/>
  <c r="B154" i="35"/>
  <c r="C154" i="35"/>
  <c r="D154" i="35"/>
  <c r="E154" i="35"/>
  <c r="F154" i="35"/>
  <c r="G154" i="35"/>
  <c r="H154" i="35"/>
  <c r="I154" i="35"/>
  <c r="J154" i="35"/>
  <c r="K154" i="35"/>
  <c r="M154" i="35"/>
  <c r="A155" i="35"/>
  <c r="B155" i="35"/>
  <c r="C155" i="35"/>
  <c r="D155" i="35"/>
  <c r="E155" i="35"/>
  <c r="F155" i="35"/>
  <c r="G155" i="35"/>
  <c r="H155" i="35"/>
  <c r="I155" i="35"/>
  <c r="J155" i="35"/>
  <c r="K155" i="35"/>
  <c r="M155" i="35"/>
  <c r="A156" i="35"/>
  <c r="B156" i="35"/>
  <c r="C156" i="35"/>
  <c r="D156" i="35"/>
  <c r="E156" i="35"/>
  <c r="F156" i="35"/>
  <c r="G156" i="35"/>
  <c r="H156" i="35"/>
  <c r="I156" i="35"/>
  <c r="J156" i="35"/>
  <c r="K156" i="35"/>
  <c r="M156" i="35"/>
  <c r="A157" i="35"/>
  <c r="B157" i="35"/>
  <c r="C157" i="35"/>
  <c r="D157" i="35"/>
  <c r="E157" i="35"/>
  <c r="F157" i="35"/>
  <c r="G157" i="35"/>
  <c r="H157" i="35"/>
  <c r="I157" i="35"/>
  <c r="J157" i="35"/>
  <c r="K157" i="35"/>
  <c r="M157" i="35"/>
  <c r="A158" i="35"/>
  <c r="B158" i="35"/>
  <c r="C158" i="35"/>
  <c r="D158" i="35"/>
  <c r="E158" i="35"/>
  <c r="F158" i="35"/>
  <c r="G158" i="35"/>
  <c r="H158" i="35"/>
  <c r="I158" i="35"/>
  <c r="J158" i="35"/>
  <c r="K158" i="35"/>
  <c r="M158" i="35"/>
  <c r="A159" i="35"/>
  <c r="B159" i="35"/>
  <c r="C159" i="35"/>
  <c r="D159" i="35"/>
  <c r="E159" i="35"/>
  <c r="F159" i="35"/>
  <c r="G159" i="35"/>
  <c r="H159" i="35"/>
  <c r="I159" i="35"/>
  <c r="J159" i="35"/>
  <c r="K159" i="35"/>
  <c r="K175" i="35"/>
  <c r="M159" i="35"/>
  <c r="A160" i="35"/>
  <c r="B160" i="35"/>
  <c r="C160" i="35"/>
  <c r="D160" i="35"/>
  <c r="E160" i="35"/>
  <c r="F160" i="35"/>
  <c r="G160" i="35"/>
  <c r="H160" i="35"/>
  <c r="I160" i="35"/>
  <c r="J160" i="35"/>
  <c r="K160" i="35"/>
  <c r="M160" i="35"/>
  <c r="A161" i="35"/>
  <c r="B161" i="35"/>
  <c r="C161" i="35"/>
  <c r="D161" i="35"/>
  <c r="E161" i="35"/>
  <c r="F161" i="35"/>
  <c r="G161" i="35"/>
  <c r="H161" i="35"/>
  <c r="I161" i="35"/>
  <c r="J161" i="35"/>
  <c r="K161" i="35"/>
  <c r="K177" i="35"/>
  <c r="M161" i="35"/>
  <c r="A162" i="35"/>
  <c r="B162" i="35"/>
  <c r="C162" i="35"/>
  <c r="D162" i="35"/>
  <c r="E162" i="35"/>
  <c r="F162" i="35"/>
  <c r="G162" i="35"/>
  <c r="H162" i="35"/>
  <c r="I162" i="35"/>
  <c r="J162" i="35"/>
  <c r="K162" i="35"/>
  <c r="M162" i="35"/>
  <c r="A163" i="35"/>
  <c r="B163" i="35"/>
  <c r="C163" i="35"/>
  <c r="D163" i="35"/>
  <c r="E163" i="35"/>
  <c r="F163" i="35"/>
  <c r="G163" i="35"/>
  <c r="H163" i="35"/>
  <c r="I163" i="35"/>
  <c r="J163" i="35"/>
  <c r="K163" i="35"/>
  <c r="M163" i="35"/>
  <c r="A164" i="35"/>
  <c r="B164" i="35"/>
  <c r="C164" i="35"/>
  <c r="D164" i="35"/>
  <c r="E164" i="35"/>
  <c r="F164" i="35"/>
  <c r="G164" i="35"/>
  <c r="H164" i="35"/>
  <c r="I164" i="35"/>
  <c r="I165" i="35"/>
  <c r="J164" i="35"/>
  <c r="K164" i="35"/>
  <c r="M164" i="35"/>
  <c r="H165" i="35"/>
  <c r="J165" i="35"/>
  <c r="A166" i="35"/>
  <c r="F166" i="35"/>
  <c r="G166" i="35"/>
  <c r="H166" i="35"/>
  <c r="I166" i="35"/>
  <c r="K166" i="35"/>
  <c r="A168" i="35"/>
  <c r="B168" i="35"/>
  <c r="C168" i="35"/>
  <c r="D168" i="35"/>
  <c r="E168" i="35"/>
  <c r="F168" i="35"/>
  <c r="G168" i="35"/>
  <c r="H168" i="35"/>
  <c r="I168" i="35"/>
  <c r="J168" i="35"/>
  <c r="O168" i="35"/>
  <c r="A169" i="35"/>
  <c r="B169" i="35"/>
  <c r="C169" i="35"/>
  <c r="D169" i="35"/>
  <c r="E169" i="35"/>
  <c r="F169" i="35"/>
  <c r="G169" i="35"/>
  <c r="H169" i="35"/>
  <c r="I169" i="35"/>
  <c r="J169" i="35"/>
  <c r="O169" i="35"/>
  <c r="A170" i="35"/>
  <c r="B170" i="35"/>
  <c r="C170" i="35"/>
  <c r="D170" i="35"/>
  <c r="E170" i="35"/>
  <c r="F170" i="35"/>
  <c r="G170" i="35"/>
  <c r="H170" i="35"/>
  <c r="I170" i="35"/>
  <c r="J170" i="35"/>
  <c r="O170" i="35"/>
  <c r="A171" i="35"/>
  <c r="B171" i="35"/>
  <c r="C171" i="35"/>
  <c r="D171" i="35"/>
  <c r="E171" i="35"/>
  <c r="F171" i="35"/>
  <c r="G171" i="35"/>
  <c r="H171" i="35"/>
  <c r="I171" i="35"/>
  <c r="J171" i="35"/>
  <c r="K171" i="35"/>
  <c r="O171" i="35"/>
  <c r="A172" i="35"/>
  <c r="B172" i="35"/>
  <c r="C172" i="35"/>
  <c r="D172" i="35"/>
  <c r="E172" i="35"/>
  <c r="F172" i="35"/>
  <c r="G172" i="35"/>
  <c r="H172" i="35"/>
  <c r="I172" i="35"/>
  <c r="J172" i="35"/>
  <c r="O172" i="35"/>
  <c r="A173" i="35"/>
  <c r="B173" i="35"/>
  <c r="C173" i="35"/>
  <c r="D173" i="35"/>
  <c r="E173" i="35"/>
  <c r="F173" i="35"/>
  <c r="G173" i="35"/>
  <c r="H173" i="35"/>
  <c r="I173" i="35"/>
  <c r="J173" i="35"/>
  <c r="K173" i="35"/>
  <c r="O173" i="35"/>
  <c r="A174" i="35"/>
  <c r="B174" i="35"/>
  <c r="C174" i="35"/>
  <c r="D174" i="35"/>
  <c r="E174" i="35"/>
  <c r="F174" i="35"/>
  <c r="G174" i="35"/>
  <c r="H174" i="35"/>
  <c r="I174" i="35"/>
  <c r="J174" i="35"/>
  <c r="O174" i="35"/>
  <c r="A175" i="35"/>
  <c r="B175" i="35"/>
  <c r="C175" i="35"/>
  <c r="D175" i="35"/>
  <c r="E175" i="35"/>
  <c r="F175" i="35"/>
  <c r="G175" i="35"/>
  <c r="H175" i="35"/>
  <c r="I175" i="35"/>
  <c r="J175" i="35"/>
  <c r="O175" i="35"/>
  <c r="A176" i="35"/>
  <c r="B176" i="35"/>
  <c r="C176" i="35"/>
  <c r="D176" i="35"/>
  <c r="E176" i="35"/>
  <c r="F176" i="35"/>
  <c r="G176" i="35"/>
  <c r="H176" i="35"/>
  <c r="I176" i="35"/>
  <c r="J176" i="35"/>
  <c r="O176" i="35"/>
  <c r="A177" i="35"/>
  <c r="B177" i="35"/>
  <c r="C177" i="35"/>
  <c r="D177" i="35"/>
  <c r="E177" i="35"/>
  <c r="F177" i="35"/>
  <c r="G177" i="35"/>
  <c r="H177" i="35"/>
  <c r="I177" i="35"/>
  <c r="J177" i="35"/>
  <c r="O177" i="35"/>
  <c r="A178" i="35"/>
  <c r="B178" i="35"/>
  <c r="C178" i="35"/>
  <c r="D178" i="35"/>
  <c r="E178" i="35"/>
  <c r="F178" i="35"/>
  <c r="G178" i="35"/>
  <c r="H178" i="35"/>
  <c r="I178" i="35"/>
  <c r="J178" i="35"/>
  <c r="O178" i="35"/>
  <c r="A179" i="35"/>
  <c r="B179" i="35"/>
  <c r="C179" i="35"/>
  <c r="D179" i="35"/>
  <c r="E179" i="35"/>
  <c r="F179" i="35"/>
  <c r="G179" i="35"/>
  <c r="H179" i="35"/>
  <c r="I179" i="35"/>
  <c r="J179" i="35"/>
  <c r="K179" i="35"/>
  <c r="O179" i="35"/>
  <c r="A180" i="35"/>
  <c r="B180" i="35"/>
  <c r="C180" i="35"/>
  <c r="D180" i="35"/>
  <c r="E180" i="35"/>
  <c r="F180" i="35"/>
  <c r="G180" i="35"/>
  <c r="H180" i="35"/>
  <c r="I180" i="35"/>
  <c r="J180" i="35"/>
  <c r="O180" i="35"/>
  <c r="I181" i="35"/>
  <c r="N181" i="35"/>
  <c r="A182" i="35"/>
  <c r="B182" i="35"/>
  <c r="C182" i="35"/>
  <c r="D182" i="35"/>
  <c r="E182" i="35"/>
  <c r="F182" i="35"/>
  <c r="G182" i="35"/>
  <c r="H182" i="35"/>
  <c r="I182" i="35"/>
  <c r="K182" i="35"/>
  <c r="M182" i="35"/>
  <c r="M185" i="35"/>
  <c r="A183" i="35"/>
  <c r="B183" i="35"/>
  <c r="C183" i="35"/>
  <c r="D183" i="35"/>
  <c r="E183" i="35"/>
  <c r="F183" i="35"/>
  <c r="G183" i="35"/>
  <c r="H183" i="35"/>
  <c r="I183" i="35"/>
  <c r="J183" i="35"/>
  <c r="A185" i="35"/>
  <c r="B185" i="35"/>
  <c r="C185" i="35"/>
  <c r="D185" i="35"/>
  <c r="E185" i="35"/>
  <c r="F185" i="35"/>
  <c r="G185" i="35"/>
  <c r="H185" i="35"/>
  <c r="I185" i="35"/>
  <c r="J185" i="35"/>
  <c r="A186" i="35"/>
  <c r="B186" i="35"/>
  <c r="C186" i="35"/>
  <c r="D186" i="35"/>
  <c r="E186" i="35"/>
  <c r="F186" i="35"/>
  <c r="G186" i="35"/>
  <c r="H186" i="35"/>
  <c r="I186" i="35"/>
  <c r="J186" i="35"/>
  <c r="A187" i="35"/>
  <c r="B187" i="35"/>
  <c r="C187" i="35"/>
  <c r="D187" i="35"/>
  <c r="E187" i="35"/>
  <c r="F187" i="35"/>
  <c r="G187" i="35"/>
  <c r="H187" i="35"/>
  <c r="I187" i="35"/>
  <c r="J187" i="35"/>
  <c r="K187" i="35"/>
  <c r="A188" i="35"/>
  <c r="B188" i="35"/>
  <c r="C188" i="35"/>
  <c r="D188" i="35"/>
  <c r="E188" i="35"/>
  <c r="F188" i="35"/>
  <c r="G188" i="35"/>
  <c r="H188" i="35"/>
  <c r="I188" i="35"/>
  <c r="J188" i="35"/>
  <c r="A189" i="35"/>
  <c r="B189" i="35"/>
  <c r="C189" i="35"/>
  <c r="D189" i="35"/>
  <c r="E189" i="35"/>
  <c r="F189" i="35"/>
  <c r="G189" i="35"/>
  <c r="H189" i="35"/>
  <c r="I189" i="35"/>
  <c r="J189" i="35"/>
  <c r="K189" i="35"/>
  <c r="A190" i="35"/>
  <c r="B190" i="35"/>
  <c r="C190" i="35"/>
  <c r="D190" i="35"/>
  <c r="E190" i="35"/>
  <c r="F190" i="35"/>
  <c r="G190" i="35"/>
  <c r="H190" i="35"/>
  <c r="I190" i="35"/>
  <c r="J190" i="35"/>
  <c r="A191" i="35"/>
  <c r="B191" i="35"/>
  <c r="C191" i="35"/>
  <c r="D191" i="35"/>
  <c r="E191" i="35"/>
  <c r="F191" i="35"/>
  <c r="G191" i="35"/>
  <c r="H191" i="35"/>
  <c r="I191" i="35"/>
  <c r="J191" i="35"/>
  <c r="K191" i="35"/>
  <c r="A192" i="35"/>
  <c r="B192" i="35"/>
  <c r="C192" i="35"/>
  <c r="D192" i="35"/>
  <c r="E192" i="35"/>
  <c r="F192" i="35"/>
  <c r="G192" i="35"/>
  <c r="H192" i="35"/>
  <c r="I192" i="35"/>
  <c r="J192" i="35"/>
  <c r="A193" i="35"/>
  <c r="B193" i="35"/>
  <c r="C193" i="35"/>
  <c r="D193" i="35"/>
  <c r="E193" i="35"/>
  <c r="F193" i="35"/>
  <c r="G193" i="35"/>
  <c r="H193" i="35"/>
  <c r="I193" i="35"/>
  <c r="J193" i="35"/>
  <c r="K193" i="35"/>
  <c r="A194" i="35"/>
  <c r="B194" i="35"/>
  <c r="C194" i="35"/>
  <c r="D194" i="35"/>
  <c r="E194" i="35"/>
  <c r="F194" i="35"/>
  <c r="G194" i="35"/>
  <c r="H194" i="35"/>
  <c r="I194" i="35"/>
  <c r="J194" i="35"/>
  <c r="A195" i="35"/>
  <c r="B195" i="35"/>
  <c r="C195" i="35"/>
  <c r="D195" i="35"/>
  <c r="E195" i="35"/>
  <c r="F195" i="35"/>
  <c r="G195" i="35"/>
  <c r="H195" i="35"/>
  <c r="I195" i="35"/>
  <c r="J195" i="35"/>
  <c r="K195" i="35"/>
  <c r="A196" i="35"/>
  <c r="B196" i="35"/>
  <c r="C196" i="35"/>
  <c r="D196" i="35"/>
  <c r="E196" i="35"/>
  <c r="F196" i="35"/>
  <c r="G196" i="35"/>
  <c r="H196" i="35"/>
  <c r="I196" i="35"/>
  <c r="J196" i="35"/>
  <c r="A197" i="35"/>
  <c r="B197" i="35"/>
  <c r="C197" i="35"/>
  <c r="D197" i="35"/>
  <c r="E197" i="35"/>
  <c r="F197" i="35"/>
  <c r="G197" i="35"/>
  <c r="H197" i="35"/>
  <c r="I197" i="35"/>
  <c r="J197" i="35"/>
  <c r="K197" i="35"/>
  <c r="H198" i="35"/>
  <c r="I198" i="35"/>
  <c r="J198" i="35"/>
  <c r="L198" i="35"/>
  <c r="A199" i="35"/>
  <c r="F199" i="35"/>
  <c r="G199" i="35"/>
  <c r="H199" i="35"/>
  <c r="I199" i="35"/>
  <c r="K199" i="35"/>
  <c r="H200" i="35"/>
  <c r="I200" i="35"/>
  <c r="K200" i="35"/>
  <c r="B201" i="35"/>
  <c r="C201" i="35"/>
  <c r="D201" i="35"/>
  <c r="E201" i="35"/>
  <c r="F201" i="35"/>
  <c r="G201" i="35"/>
  <c r="H201" i="35"/>
  <c r="I201" i="35"/>
  <c r="K201" i="35"/>
  <c r="A203" i="35"/>
  <c r="B203" i="35"/>
  <c r="C203" i="35"/>
  <c r="D203" i="35"/>
  <c r="E203" i="35"/>
  <c r="F203" i="35"/>
  <c r="G203" i="35"/>
  <c r="H203" i="35"/>
  <c r="I203" i="35"/>
  <c r="J203" i="35"/>
  <c r="A204" i="35"/>
  <c r="B204" i="35"/>
  <c r="C204" i="35"/>
  <c r="D204" i="35"/>
  <c r="E204" i="35"/>
  <c r="F204" i="35"/>
  <c r="G204" i="35"/>
  <c r="H204" i="35"/>
  <c r="I204" i="35"/>
  <c r="J204" i="35"/>
  <c r="A205" i="35"/>
  <c r="B205" i="35"/>
  <c r="C205" i="35"/>
  <c r="D205" i="35"/>
  <c r="E205" i="35"/>
  <c r="F205" i="35"/>
  <c r="G205" i="35"/>
  <c r="H205" i="35"/>
  <c r="I205" i="35"/>
  <c r="J205" i="35"/>
  <c r="A206" i="35"/>
  <c r="B206" i="35"/>
  <c r="C206" i="35"/>
  <c r="D206" i="35"/>
  <c r="E206" i="35"/>
  <c r="F206" i="35"/>
  <c r="G206" i="35"/>
  <c r="H206" i="35"/>
  <c r="I206" i="35"/>
  <c r="J206" i="35"/>
  <c r="A207" i="35"/>
  <c r="B207" i="35"/>
  <c r="C207" i="35"/>
  <c r="D207" i="35"/>
  <c r="E207" i="35"/>
  <c r="F207" i="35"/>
  <c r="G207" i="35"/>
  <c r="H207" i="35"/>
  <c r="I207" i="35"/>
  <c r="J207" i="35"/>
  <c r="A208" i="35"/>
  <c r="B208" i="35"/>
  <c r="C208" i="35"/>
  <c r="D208" i="35"/>
  <c r="E208" i="35"/>
  <c r="F208" i="35"/>
  <c r="G208" i="35"/>
  <c r="H208" i="35"/>
  <c r="I208" i="35"/>
  <c r="J208" i="35"/>
  <c r="A209" i="35"/>
  <c r="B209" i="35"/>
  <c r="C209" i="35"/>
  <c r="D209" i="35"/>
  <c r="E209" i="35"/>
  <c r="F209" i="35"/>
  <c r="G209" i="35"/>
  <c r="H209" i="35"/>
  <c r="I209" i="35"/>
  <c r="J209" i="35"/>
  <c r="A210" i="35"/>
  <c r="B210" i="35"/>
  <c r="C210" i="35"/>
  <c r="D210" i="35"/>
  <c r="E210" i="35"/>
  <c r="F210" i="35"/>
  <c r="G210" i="35"/>
  <c r="H210" i="35"/>
  <c r="I210" i="35"/>
  <c r="J210" i="35"/>
  <c r="A211" i="35"/>
  <c r="B211" i="35"/>
  <c r="C211" i="35"/>
  <c r="D211" i="35"/>
  <c r="E211" i="35"/>
  <c r="F211" i="35"/>
  <c r="G211" i="35"/>
  <c r="H211" i="35"/>
  <c r="I211" i="35"/>
  <c r="J211" i="35"/>
  <c r="A212" i="35"/>
  <c r="B212" i="35"/>
  <c r="C212" i="35"/>
  <c r="D212" i="35"/>
  <c r="E212" i="35"/>
  <c r="F212" i="35"/>
  <c r="G212" i="35"/>
  <c r="H212" i="35"/>
  <c r="I212" i="35"/>
  <c r="J212" i="35"/>
  <c r="A213" i="35"/>
  <c r="B213" i="35"/>
  <c r="C213" i="35"/>
  <c r="D213" i="35"/>
  <c r="E213" i="35"/>
  <c r="F213" i="35"/>
  <c r="G213" i="35"/>
  <c r="H213" i="35"/>
  <c r="I213" i="35"/>
  <c r="J213" i="35"/>
  <c r="A214" i="35"/>
  <c r="B214" i="35"/>
  <c r="C214" i="35"/>
  <c r="D214" i="35"/>
  <c r="E214" i="35"/>
  <c r="F214" i="35"/>
  <c r="G214" i="35"/>
  <c r="H214" i="35"/>
  <c r="I214" i="35"/>
  <c r="J214" i="35"/>
  <c r="A215" i="35"/>
  <c r="B215" i="35"/>
  <c r="C215" i="35"/>
  <c r="D215" i="35"/>
  <c r="E215" i="35"/>
  <c r="F215" i="35"/>
  <c r="G215" i="35"/>
  <c r="H215" i="35"/>
  <c r="I215" i="35"/>
  <c r="J215" i="35"/>
  <c r="I216" i="35"/>
  <c r="L217" i="35"/>
  <c r="M216" i="35"/>
  <c r="A217" i="35"/>
  <c r="F217" i="35"/>
  <c r="G217" i="35"/>
  <c r="H217" i="35"/>
  <c r="I217" i="35"/>
  <c r="A218" i="35"/>
  <c r="F218" i="35"/>
  <c r="G218" i="35"/>
  <c r="H218" i="35"/>
  <c r="I218" i="35"/>
  <c r="A220" i="35"/>
  <c r="B220" i="35"/>
  <c r="C220" i="35"/>
  <c r="D220" i="35"/>
  <c r="E220" i="35"/>
  <c r="F220" i="35"/>
  <c r="G220" i="35"/>
  <c r="H220" i="35"/>
  <c r="I220" i="35"/>
  <c r="J220" i="35"/>
  <c r="K220" i="35"/>
  <c r="M220" i="35"/>
  <c r="A221" i="35"/>
  <c r="B221" i="35"/>
  <c r="C221" i="35"/>
  <c r="D221" i="35"/>
  <c r="E221" i="35"/>
  <c r="F221" i="35"/>
  <c r="G221" i="35"/>
  <c r="H221" i="35"/>
  <c r="I221" i="35"/>
  <c r="J221" i="35"/>
  <c r="K221" i="35"/>
  <c r="A222" i="35"/>
  <c r="B222" i="35"/>
  <c r="C222" i="35"/>
  <c r="D222" i="35"/>
  <c r="E222" i="35"/>
  <c r="F222" i="35"/>
  <c r="G222" i="35"/>
  <c r="H222" i="35"/>
  <c r="I222" i="35"/>
  <c r="J222" i="35"/>
  <c r="A223" i="35"/>
  <c r="B223" i="35"/>
  <c r="C223" i="35"/>
  <c r="D223" i="35"/>
  <c r="E223" i="35"/>
  <c r="F223" i="35"/>
  <c r="G223" i="35"/>
  <c r="H223" i="35"/>
  <c r="I223" i="35"/>
  <c r="J223" i="35"/>
  <c r="K223" i="35"/>
  <c r="A224" i="35"/>
  <c r="B224" i="35"/>
  <c r="C224" i="35"/>
  <c r="D224" i="35"/>
  <c r="E224" i="35"/>
  <c r="F224" i="35"/>
  <c r="G224" i="35"/>
  <c r="H224" i="35"/>
  <c r="I224" i="35"/>
  <c r="J224" i="35"/>
  <c r="M224" i="35"/>
  <c r="A225" i="35"/>
  <c r="B225" i="35"/>
  <c r="C225" i="35"/>
  <c r="D225" i="35"/>
  <c r="E225" i="35"/>
  <c r="F225" i="35"/>
  <c r="G225" i="35"/>
  <c r="H225" i="35"/>
  <c r="I225" i="35"/>
  <c r="J225" i="35"/>
  <c r="A226" i="35"/>
  <c r="B226" i="35"/>
  <c r="C226" i="35"/>
  <c r="D226" i="35"/>
  <c r="E226" i="35"/>
  <c r="F226" i="35"/>
  <c r="G226" i="35"/>
  <c r="H226" i="35"/>
  <c r="I226" i="35"/>
  <c r="J226" i="35"/>
  <c r="K226" i="35"/>
  <c r="A227" i="35"/>
  <c r="B227" i="35"/>
  <c r="C227" i="35"/>
  <c r="D227" i="35"/>
  <c r="E227" i="35"/>
  <c r="F227" i="35"/>
  <c r="G227" i="35"/>
  <c r="H227" i="35"/>
  <c r="I227" i="35"/>
  <c r="J227" i="35"/>
  <c r="A228" i="35"/>
  <c r="B228" i="35"/>
  <c r="C228" i="35"/>
  <c r="D228" i="35"/>
  <c r="E228" i="35"/>
  <c r="F228" i="35"/>
  <c r="G228" i="35"/>
  <c r="H228" i="35"/>
  <c r="I228" i="35"/>
  <c r="J228" i="35"/>
  <c r="K228" i="35"/>
  <c r="M228" i="35"/>
  <c r="A229" i="35"/>
  <c r="B229" i="35"/>
  <c r="C229" i="35"/>
  <c r="D229" i="35"/>
  <c r="E229" i="35"/>
  <c r="F229" i="35"/>
  <c r="G229" i="35"/>
  <c r="H229" i="35"/>
  <c r="I229" i="35"/>
  <c r="J229" i="35"/>
  <c r="K229" i="35"/>
  <c r="A230" i="35"/>
  <c r="B230" i="35"/>
  <c r="C230" i="35"/>
  <c r="D230" i="35"/>
  <c r="E230" i="35"/>
  <c r="F230" i="35"/>
  <c r="G230" i="35"/>
  <c r="H230" i="35"/>
  <c r="I230" i="35"/>
  <c r="J230" i="35"/>
  <c r="A231" i="35"/>
  <c r="B231" i="35"/>
  <c r="C231" i="35"/>
  <c r="D231" i="35"/>
  <c r="E231" i="35"/>
  <c r="F231" i="35"/>
  <c r="G231" i="35"/>
  <c r="H231" i="35"/>
  <c r="I231" i="35"/>
  <c r="J231" i="35"/>
  <c r="K231" i="35"/>
  <c r="A232" i="35"/>
  <c r="B232" i="35"/>
  <c r="C232" i="35"/>
  <c r="D232" i="35"/>
  <c r="E232" i="35"/>
  <c r="F232" i="35"/>
  <c r="G232" i="35"/>
  <c r="H232" i="35"/>
  <c r="I232" i="35"/>
  <c r="J232" i="35"/>
  <c r="J233" i="35"/>
  <c r="E233" i="35"/>
  <c r="I233" i="35"/>
  <c r="L233" i="35"/>
  <c r="A234" i="35"/>
  <c r="F234" i="35"/>
  <c r="G234" i="35"/>
  <c r="H234" i="35"/>
  <c r="I234" i="35"/>
  <c r="I235" i="35"/>
  <c r="A236" i="35"/>
  <c r="B236" i="35"/>
  <c r="C236" i="35"/>
  <c r="D236" i="35"/>
  <c r="E236" i="35"/>
  <c r="F236" i="35"/>
  <c r="G236" i="35"/>
  <c r="H236" i="35"/>
  <c r="I236" i="35"/>
  <c r="J236" i="35"/>
  <c r="M236" i="35"/>
  <c r="A237" i="35"/>
  <c r="B237" i="35"/>
  <c r="C237" i="35"/>
  <c r="D237" i="35"/>
  <c r="E237" i="35"/>
  <c r="F237" i="35"/>
  <c r="G237" i="35"/>
  <c r="H237" i="35"/>
  <c r="I237" i="35"/>
  <c r="J237" i="35"/>
  <c r="M237" i="35"/>
  <c r="A238" i="35"/>
  <c r="B238" i="35"/>
  <c r="C238" i="35"/>
  <c r="D238" i="35"/>
  <c r="E238" i="35"/>
  <c r="F238" i="35"/>
  <c r="G238" i="35"/>
  <c r="H238" i="35"/>
  <c r="I238" i="35"/>
  <c r="J238" i="35"/>
  <c r="M238" i="35"/>
  <c r="A239" i="35"/>
  <c r="B239" i="35"/>
  <c r="C239" i="35"/>
  <c r="D239" i="35"/>
  <c r="E239" i="35"/>
  <c r="F239" i="35"/>
  <c r="G239" i="35"/>
  <c r="H239" i="35"/>
  <c r="I239" i="35"/>
  <c r="J239" i="35"/>
  <c r="A240" i="35"/>
  <c r="B240" i="35"/>
  <c r="C240" i="35"/>
  <c r="D240" i="35"/>
  <c r="E240" i="35"/>
  <c r="F240" i="35"/>
  <c r="G240" i="35"/>
  <c r="H240" i="35"/>
  <c r="I240" i="35"/>
  <c r="J240" i="35"/>
  <c r="K240" i="35"/>
  <c r="A241" i="35"/>
  <c r="B241" i="35"/>
  <c r="C241" i="35"/>
  <c r="D241" i="35"/>
  <c r="E241" i="35"/>
  <c r="F241" i="35"/>
  <c r="G241" i="35"/>
  <c r="H241" i="35"/>
  <c r="I241" i="35"/>
  <c r="J241" i="35"/>
  <c r="A242" i="35"/>
  <c r="B242" i="35"/>
  <c r="C242" i="35"/>
  <c r="D242" i="35"/>
  <c r="E242" i="35"/>
  <c r="F242" i="35"/>
  <c r="G242" i="35"/>
  <c r="H242" i="35"/>
  <c r="I242" i="35"/>
  <c r="J242" i="35"/>
  <c r="A243" i="35"/>
  <c r="B243" i="35"/>
  <c r="C243" i="35"/>
  <c r="D243" i="35"/>
  <c r="E243" i="35"/>
  <c r="F243" i="35"/>
  <c r="G243" i="35"/>
  <c r="H243" i="35"/>
  <c r="I243" i="35"/>
  <c r="J243" i="35"/>
  <c r="K243" i="35"/>
  <c r="A244" i="35"/>
  <c r="B244" i="35"/>
  <c r="C244" i="35"/>
  <c r="D244" i="35"/>
  <c r="E244" i="35"/>
  <c r="F244" i="35"/>
  <c r="G244" i="35"/>
  <c r="H244" i="35"/>
  <c r="I244" i="35"/>
  <c r="J244" i="35"/>
  <c r="A245" i="35"/>
  <c r="B245" i="35"/>
  <c r="C245" i="35"/>
  <c r="D245" i="35"/>
  <c r="E245" i="35"/>
  <c r="F245" i="35"/>
  <c r="G245" i="35"/>
  <c r="H245" i="35"/>
  <c r="I245" i="35"/>
  <c r="J245" i="35"/>
  <c r="K245" i="35"/>
  <c r="A246" i="35"/>
  <c r="B246" i="35"/>
  <c r="C246" i="35"/>
  <c r="D246" i="35"/>
  <c r="E246" i="35"/>
  <c r="F246" i="35"/>
  <c r="G246" i="35"/>
  <c r="H246" i="35"/>
  <c r="I246" i="35"/>
  <c r="J246" i="35"/>
  <c r="A247" i="35"/>
  <c r="B247" i="35"/>
  <c r="C247" i="35"/>
  <c r="D247" i="35"/>
  <c r="E247" i="35"/>
  <c r="F247" i="35"/>
  <c r="G247" i="35"/>
  <c r="H247" i="35"/>
  <c r="I247" i="35"/>
  <c r="J247" i="35"/>
  <c r="K247" i="35"/>
  <c r="A248" i="35"/>
  <c r="B248" i="35"/>
  <c r="C248" i="35"/>
  <c r="D248" i="35"/>
  <c r="E248" i="35"/>
  <c r="F248" i="35"/>
  <c r="G248" i="35"/>
  <c r="H248" i="35"/>
  <c r="I248" i="35"/>
  <c r="J248" i="35"/>
  <c r="J249" i="35"/>
  <c r="H249" i="35"/>
  <c r="I249" i="35"/>
  <c r="M249" i="35"/>
  <c r="N249" i="35"/>
  <c r="A250" i="35"/>
  <c r="F250" i="35"/>
  <c r="G250" i="35"/>
  <c r="H250" i="35"/>
  <c r="L250" i="35"/>
  <c r="A251" i="35"/>
  <c r="F251" i="35"/>
  <c r="G251" i="35"/>
  <c r="H251" i="35"/>
  <c r="I251" i="35"/>
  <c r="K251" i="35"/>
  <c r="K268" i="35"/>
  <c r="A253" i="35"/>
  <c r="B253" i="35"/>
  <c r="C253" i="35"/>
  <c r="D253" i="35"/>
  <c r="E253" i="35"/>
  <c r="F253" i="35"/>
  <c r="G253" i="35"/>
  <c r="H253" i="35"/>
  <c r="I253" i="35"/>
  <c r="J253" i="35"/>
  <c r="A254" i="35"/>
  <c r="B254" i="35"/>
  <c r="C254" i="35"/>
  <c r="D254" i="35"/>
  <c r="E254" i="35"/>
  <c r="F254" i="35"/>
  <c r="G254" i="35"/>
  <c r="H254" i="35"/>
  <c r="I254" i="35"/>
  <c r="J254" i="35"/>
  <c r="A255" i="35"/>
  <c r="B255" i="35"/>
  <c r="C255" i="35"/>
  <c r="D255" i="35"/>
  <c r="E255" i="35"/>
  <c r="F255" i="35"/>
  <c r="G255" i="35"/>
  <c r="H255" i="35"/>
  <c r="I255" i="35"/>
  <c r="J255" i="35"/>
  <c r="A256" i="35"/>
  <c r="B256" i="35"/>
  <c r="C256" i="35"/>
  <c r="D256" i="35"/>
  <c r="E256" i="35"/>
  <c r="F256" i="35"/>
  <c r="G256" i="35"/>
  <c r="H256" i="35"/>
  <c r="I256" i="35"/>
  <c r="J256" i="35"/>
  <c r="A257" i="35"/>
  <c r="B257" i="35"/>
  <c r="C257" i="35"/>
  <c r="D257" i="35"/>
  <c r="E257" i="35"/>
  <c r="F257" i="35"/>
  <c r="G257" i="35"/>
  <c r="H257" i="35"/>
  <c r="I257" i="35"/>
  <c r="J257" i="35"/>
  <c r="A258" i="35"/>
  <c r="B258" i="35"/>
  <c r="C258" i="35"/>
  <c r="D258" i="35"/>
  <c r="E258" i="35"/>
  <c r="F258" i="35"/>
  <c r="G258" i="35"/>
  <c r="H258" i="35"/>
  <c r="I258" i="35"/>
  <c r="J258" i="35"/>
  <c r="A259" i="35"/>
  <c r="B259" i="35"/>
  <c r="C259" i="35"/>
  <c r="D259" i="35"/>
  <c r="E259" i="35"/>
  <c r="F259" i="35"/>
  <c r="G259" i="35"/>
  <c r="H259" i="35"/>
  <c r="I259" i="35"/>
  <c r="J259" i="35"/>
  <c r="A260" i="35"/>
  <c r="B260" i="35"/>
  <c r="C260" i="35"/>
  <c r="D260" i="35"/>
  <c r="E260" i="35"/>
  <c r="F260" i="35"/>
  <c r="G260" i="35"/>
  <c r="H260" i="35"/>
  <c r="I260" i="35"/>
  <c r="J260" i="35"/>
  <c r="A261" i="35"/>
  <c r="B261" i="35"/>
  <c r="C261" i="35"/>
  <c r="D261" i="35"/>
  <c r="E261" i="35"/>
  <c r="F261" i="35"/>
  <c r="G261" i="35"/>
  <c r="H261" i="35"/>
  <c r="I261" i="35"/>
  <c r="J261" i="35"/>
  <c r="A262" i="35"/>
  <c r="B262" i="35"/>
  <c r="C262" i="35"/>
  <c r="D262" i="35"/>
  <c r="E262" i="35"/>
  <c r="F262" i="35"/>
  <c r="G262" i="35"/>
  <c r="H262" i="35"/>
  <c r="I262" i="35"/>
  <c r="J262" i="35"/>
  <c r="K262" i="35"/>
  <c r="A263" i="35"/>
  <c r="B263" i="35"/>
  <c r="C263" i="35"/>
  <c r="D263" i="35"/>
  <c r="E263" i="35"/>
  <c r="F263" i="35"/>
  <c r="G263" i="35"/>
  <c r="H263" i="35"/>
  <c r="I263" i="35"/>
  <c r="J263" i="35"/>
  <c r="A264" i="35"/>
  <c r="B264" i="35"/>
  <c r="C264" i="35"/>
  <c r="D264" i="35"/>
  <c r="E264" i="35"/>
  <c r="F264" i="35"/>
  <c r="G264" i="35"/>
  <c r="H264" i="35"/>
  <c r="I264" i="35"/>
  <c r="J264" i="35"/>
  <c r="K264" i="35"/>
  <c r="A265" i="35"/>
  <c r="B265" i="35"/>
  <c r="C265" i="35"/>
  <c r="D265" i="35"/>
  <c r="E265" i="35"/>
  <c r="F265" i="35"/>
  <c r="G265" i="35"/>
  <c r="H265" i="35"/>
  <c r="H266" i="35"/>
  <c r="I265" i="35"/>
  <c r="J265" i="35"/>
  <c r="J266" i="35"/>
  <c r="A267" i="35"/>
  <c r="F267" i="35"/>
  <c r="G267" i="35"/>
  <c r="H267" i="35"/>
  <c r="A268" i="35"/>
  <c r="F268" i="35"/>
  <c r="G268" i="35"/>
  <c r="H268" i="35"/>
  <c r="I268" i="35"/>
  <c r="A270" i="35"/>
  <c r="B270" i="35"/>
  <c r="C270" i="35"/>
  <c r="D270" i="35"/>
  <c r="E270" i="35"/>
  <c r="F270" i="35"/>
  <c r="G270" i="35"/>
  <c r="H270" i="35"/>
  <c r="I270" i="35"/>
  <c r="J270" i="35"/>
  <c r="K270" i="35"/>
  <c r="A271" i="35"/>
  <c r="B271" i="35"/>
  <c r="C271" i="35"/>
  <c r="D271" i="35"/>
  <c r="E271" i="35"/>
  <c r="F271" i="35"/>
  <c r="G271" i="35"/>
  <c r="H271" i="35"/>
  <c r="I271" i="35"/>
  <c r="J271" i="35"/>
  <c r="A272" i="35"/>
  <c r="B272" i="35"/>
  <c r="C272" i="35"/>
  <c r="D272" i="35"/>
  <c r="E272" i="35"/>
  <c r="F272" i="35"/>
  <c r="G272" i="35"/>
  <c r="H272" i="35"/>
  <c r="I272" i="35"/>
  <c r="J272" i="35"/>
  <c r="K272" i="35"/>
  <c r="A273" i="35"/>
  <c r="B273" i="35"/>
  <c r="C273" i="35"/>
  <c r="D273" i="35"/>
  <c r="E273" i="35"/>
  <c r="F273" i="35"/>
  <c r="G273" i="35"/>
  <c r="H273" i="35"/>
  <c r="I273" i="35"/>
  <c r="J273" i="35"/>
  <c r="A274" i="35"/>
  <c r="B274" i="35"/>
  <c r="C274" i="35"/>
  <c r="D274" i="35"/>
  <c r="E274" i="35"/>
  <c r="F274" i="35"/>
  <c r="G274" i="35"/>
  <c r="H274" i="35"/>
  <c r="I274" i="35"/>
  <c r="J274" i="35"/>
  <c r="K274" i="35"/>
  <c r="A275" i="35"/>
  <c r="B275" i="35"/>
  <c r="C275" i="35"/>
  <c r="D275" i="35"/>
  <c r="E275" i="35"/>
  <c r="F275" i="35"/>
  <c r="G275" i="35"/>
  <c r="H275" i="35"/>
  <c r="I275" i="35"/>
  <c r="J275" i="35"/>
  <c r="A276" i="35"/>
  <c r="B276" i="35"/>
  <c r="C276" i="35"/>
  <c r="D276" i="35"/>
  <c r="E276" i="35"/>
  <c r="F276" i="35"/>
  <c r="G276" i="35"/>
  <c r="H276" i="35"/>
  <c r="I276" i="35"/>
  <c r="J276" i="35"/>
  <c r="K276" i="35"/>
  <c r="A277" i="35"/>
  <c r="B277" i="35"/>
  <c r="C277" i="35"/>
  <c r="D277" i="35"/>
  <c r="E277" i="35"/>
  <c r="F277" i="35"/>
  <c r="G277" i="35"/>
  <c r="H277" i="35"/>
  <c r="I277" i="35"/>
  <c r="J277" i="35"/>
  <c r="A278" i="35"/>
  <c r="B278" i="35"/>
  <c r="C278" i="35"/>
  <c r="D278" i="35"/>
  <c r="E278" i="35"/>
  <c r="F278" i="35"/>
  <c r="G278" i="35"/>
  <c r="H278" i="35"/>
  <c r="I278" i="35"/>
  <c r="J278" i="35"/>
  <c r="K278" i="35"/>
  <c r="M278" i="35"/>
  <c r="A279" i="35"/>
  <c r="B279" i="35"/>
  <c r="C279" i="35"/>
  <c r="D279" i="35"/>
  <c r="E279" i="35"/>
  <c r="F279" i="35"/>
  <c r="G279" i="35"/>
  <c r="H279" i="35"/>
  <c r="I279" i="35"/>
  <c r="J279" i="35"/>
  <c r="K279" i="35"/>
  <c r="A280" i="35"/>
  <c r="B280" i="35"/>
  <c r="C280" i="35"/>
  <c r="D280" i="35"/>
  <c r="E280" i="35"/>
  <c r="F280" i="35"/>
  <c r="G280" i="35"/>
  <c r="H280" i="35"/>
  <c r="I280" i="35"/>
  <c r="J280" i="35"/>
  <c r="M280" i="35"/>
  <c r="N280" i="35"/>
  <c r="A281" i="35"/>
  <c r="B281" i="35"/>
  <c r="C281" i="35"/>
  <c r="D281" i="35"/>
  <c r="E281" i="35"/>
  <c r="F281" i="35"/>
  <c r="G281" i="35"/>
  <c r="H281" i="35"/>
  <c r="I281" i="35"/>
  <c r="J281" i="35"/>
  <c r="K281" i="35"/>
  <c r="A282" i="35"/>
  <c r="B282" i="35"/>
  <c r="C282" i="35"/>
  <c r="D282" i="35"/>
  <c r="E282" i="35"/>
  <c r="F282" i="35"/>
  <c r="G282" i="35"/>
  <c r="H282" i="35"/>
  <c r="I282" i="35"/>
  <c r="J282" i="35"/>
  <c r="H283" i="35"/>
  <c r="J283" i="35"/>
  <c r="A284" i="35"/>
  <c r="F284" i="35"/>
  <c r="G284" i="35"/>
  <c r="H284" i="35"/>
  <c r="A285" i="35"/>
  <c r="B285" i="35"/>
  <c r="C285" i="35"/>
  <c r="D285" i="35"/>
  <c r="E285" i="35"/>
  <c r="F285" i="35"/>
  <c r="G285" i="35"/>
  <c r="H285" i="35"/>
  <c r="I285" i="35"/>
  <c r="K285" i="35"/>
  <c r="I286" i="35"/>
  <c r="A287" i="35"/>
  <c r="B287" i="35"/>
  <c r="C287" i="35"/>
  <c r="D287" i="35"/>
  <c r="E287" i="35"/>
  <c r="F287" i="35"/>
  <c r="G287" i="35"/>
  <c r="H287" i="35"/>
  <c r="I287" i="35"/>
  <c r="J287" i="35"/>
  <c r="M287" i="35"/>
  <c r="A288" i="35"/>
  <c r="B288" i="35"/>
  <c r="C288" i="35"/>
  <c r="D288" i="35"/>
  <c r="E288" i="35"/>
  <c r="F288" i="35"/>
  <c r="G288" i="35"/>
  <c r="H288" i="35"/>
  <c r="I288" i="35"/>
  <c r="J288" i="35"/>
  <c r="L288" i="35"/>
  <c r="A289" i="35"/>
  <c r="B289" i="35"/>
  <c r="C289" i="35"/>
  <c r="D289" i="35"/>
  <c r="E289" i="35"/>
  <c r="F289" i="35"/>
  <c r="G289" i="35"/>
  <c r="H289" i="35"/>
  <c r="I289" i="35"/>
  <c r="J289" i="35"/>
  <c r="A290" i="35"/>
  <c r="B290" i="35"/>
  <c r="C290" i="35"/>
  <c r="D290" i="35"/>
  <c r="E290" i="35"/>
  <c r="F290" i="35"/>
  <c r="G290" i="35"/>
  <c r="H290" i="35"/>
  <c r="I290" i="35"/>
  <c r="J290" i="35"/>
  <c r="K290" i="35"/>
  <c r="A291" i="35"/>
  <c r="B291" i="35"/>
  <c r="C291" i="35"/>
  <c r="D291" i="35"/>
  <c r="E291" i="35"/>
  <c r="F291" i="35"/>
  <c r="G291" i="35"/>
  <c r="H291" i="35"/>
  <c r="I291" i="35"/>
  <c r="J291" i="35"/>
  <c r="N291" i="35"/>
  <c r="A292" i="35"/>
  <c r="B292" i="35"/>
  <c r="C292" i="35"/>
  <c r="D292" i="35"/>
  <c r="E292" i="35"/>
  <c r="F292" i="35"/>
  <c r="G292" i="35"/>
  <c r="H292" i="35"/>
  <c r="I292" i="35"/>
  <c r="J292" i="35"/>
  <c r="A293" i="35"/>
  <c r="B293" i="35"/>
  <c r="C293" i="35"/>
  <c r="D293" i="35"/>
  <c r="E293" i="35"/>
  <c r="F293" i="35"/>
  <c r="G293" i="35"/>
  <c r="H293" i="35"/>
  <c r="I293" i="35"/>
  <c r="J293" i="35"/>
  <c r="K293" i="35"/>
  <c r="A294" i="35"/>
  <c r="B294" i="35"/>
  <c r="C294" i="35"/>
  <c r="D294" i="35"/>
  <c r="E294" i="35"/>
  <c r="F294" i="35"/>
  <c r="G294" i="35"/>
  <c r="H294" i="35"/>
  <c r="I294" i="35"/>
  <c r="J294" i="35"/>
  <c r="A295" i="35"/>
  <c r="B295" i="35"/>
  <c r="C295" i="35"/>
  <c r="D295" i="35"/>
  <c r="E295" i="35"/>
  <c r="F295" i="35"/>
  <c r="G295" i="35"/>
  <c r="H295" i="35"/>
  <c r="I295" i="35"/>
  <c r="J295" i="35"/>
  <c r="K295" i="35"/>
  <c r="L295" i="35"/>
  <c r="A296" i="35"/>
  <c r="B296" i="35"/>
  <c r="C296" i="35"/>
  <c r="D296" i="35"/>
  <c r="E296" i="35"/>
  <c r="F296" i="35"/>
  <c r="G296" i="35"/>
  <c r="H296" i="35"/>
  <c r="I296" i="35"/>
  <c r="J296" i="35"/>
  <c r="K296" i="35"/>
  <c r="A297" i="35"/>
  <c r="B297" i="35"/>
  <c r="C297" i="35"/>
  <c r="D297" i="35"/>
  <c r="E297" i="35"/>
  <c r="F297" i="35"/>
  <c r="G297" i="35"/>
  <c r="H297" i="35"/>
  <c r="I297" i="35"/>
  <c r="J297" i="35"/>
  <c r="A298" i="35"/>
  <c r="B298" i="35"/>
  <c r="C298" i="35"/>
  <c r="D298" i="35"/>
  <c r="E298" i="35"/>
  <c r="F298" i="35"/>
  <c r="G298" i="35"/>
  <c r="H298" i="35"/>
  <c r="I298" i="35"/>
  <c r="J298" i="35"/>
  <c r="K298" i="35"/>
  <c r="A299" i="35"/>
  <c r="B299" i="35"/>
  <c r="C299" i="35"/>
  <c r="D299" i="35"/>
  <c r="E299" i="35"/>
  <c r="F299" i="35"/>
  <c r="G299" i="35"/>
  <c r="H299" i="35"/>
  <c r="I299" i="35"/>
  <c r="J299" i="35"/>
  <c r="L299" i="35"/>
  <c r="I300" i="35"/>
  <c r="A301" i="35"/>
  <c r="F301" i="35"/>
  <c r="G301" i="35"/>
  <c r="H301" i="35"/>
  <c r="A302" i="35"/>
  <c r="F302" i="35"/>
  <c r="G302" i="35"/>
  <c r="H302" i="35"/>
  <c r="I302" i="35"/>
  <c r="K302" i="35"/>
  <c r="I303" i="35"/>
  <c r="A304" i="35"/>
  <c r="B304" i="35"/>
  <c r="C304" i="35"/>
  <c r="D304" i="35"/>
  <c r="E304" i="35"/>
  <c r="F304" i="35"/>
  <c r="G304" i="35"/>
  <c r="H304" i="35"/>
  <c r="I304" i="35"/>
  <c r="J304" i="35"/>
  <c r="K304" i="35"/>
  <c r="A305" i="35"/>
  <c r="B305" i="35"/>
  <c r="C305" i="35"/>
  <c r="D305" i="35"/>
  <c r="E305" i="35"/>
  <c r="F305" i="35"/>
  <c r="G305" i="35"/>
  <c r="H305" i="35"/>
  <c r="I305" i="35"/>
  <c r="J305" i="35"/>
  <c r="A306" i="35"/>
  <c r="B306" i="35"/>
  <c r="C306" i="35"/>
  <c r="D306" i="35"/>
  <c r="E306" i="35"/>
  <c r="F306" i="35"/>
  <c r="G306" i="35"/>
  <c r="H306" i="35"/>
  <c r="I306" i="35"/>
  <c r="J306" i="35"/>
  <c r="K306" i="35"/>
  <c r="A307" i="35"/>
  <c r="B307" i="35"/>
  <c r="C307" i="35"/>
  <c r="D307" i="35"/>
  <c r="E307" i="35"/>
  <c r="F307" i="35"/>
  <c r="G307" i="35"/>
  <c r="H307" i="35"/>
  <c r="I307" i="35"/>
  <c r="J307" i="35"/>
  <c r="A308" i="35"/>
  <c r="B308" i="35"/>
  <c r="C308" i="35"/>
  <c r="D308" i="35"/>
  <c r="E308" i="35"/>
  <c r="F308" i="35"/>
  <c r="G308" i="35"/>
  <c r="H308" i="35"/>
  <c r="I308" i="35"/>
  <c r="J308" i="35"/>
  <c r="K308" i="35"/>
  <c r="A309" i="35"/>
  <c r="B309" i="35"/>
  <c r="C309" i="35"/>
  <c r="D309" i="35"/>
  <c r="E309" i="35"/>
  <c r="F309" i="35"/>
  <c r="G309" i="35"/>
  <c r="H309" i="35"/>
  <c r="I309" i="35"/>
  <c r="J309" i="35"/>
  <c r="A310" i="35"/>
  <c r="B310" i="35"/>
  <c r="C310" i="35"/>
  <c r="D310" i="35"/>
  <c r="E310" i="35"/>
  <c r="F310" i="35"/>
  <c r="G310" i="35"/>
  <c r="H310" i="35"/>
  <c r="I310" i="35"/>
  <c r="J310" i="35"/>
  <c r="K310" i="35"/>
  <c r="A311" i="35"/>
  <c r="B311" i="35"/>
  <c r="C311" i="35"/>
  <c r="D311" i="35"/>
  <c r="E311" i="35"/>
  <c r="F311" i="35"/>
  <c r="G311" i="35"/>
  <c r="H311" i="35"/>
  <c r="I311" i="35"/>
  <c r="J311" i="35"/>
  <c r="A312" i="35"/>
  <c r="B312" i="35"/>
  <c r="C312" i="35"/>
  <c r="D312" i="35"/>
  <c r="E312" i="35"/>
  <c r="F312" i="35"/>
  <c r="G312" i="35"/>
  <c r="H312" i="35"/>
  <c r="I312" i="35"/>
  <c r="J312" i="35"/>
  <c r="K312" i="35"/>
  <c r="A313" i="35"/>
  <c r="B313" i="35"/>
  <c r="C313" i="35"/>
  <c r="D313" i="35"/>
  <c r="E313" i="35"/>
  <c r="F313" i="35"/>
  <c r="G313" i="35"/>
  <c r="H313" i="35"/>
  <c r="I313" i="35"/>
  <c r="J313" i="35"/>
  <c r="A314" i="35"/>
  <c r="B314" i="35"/>
  <c r="C314" i="35"/>
  <c r="D314" i="35"/>
  <c r="E314" i="35"/>
  <c r="F314" i="35"/>
  <c r="G314" i="35"/>
  <c r="H314" i="35"/>
  <c r="I314" i="35"/>
  <c r="J314" i="35"/>
  <c r="K314" i="35"/>
  <c r="A315" i="35"/>
  <c r="B315" i="35"/>
  <c r="C315" i="35"/>
  <c r="D315" i="35"/>
  <c r="E315" i="35"/>
  <c r="F315" i="35"/>
  <c r="G315" i="35"/>
  <c r="H315" i="35"/>
  <c r="I315" i="35"/>
  <c r="J315" i="35"/>
  <c r="A316" i="35"/>
  <c r="B316" i="35"/>
  <c r="C316" i="35"/>
  <c r="D316" i="35"/>
  <c r="E316" i="35"/>
  <c r="F316" i="35"/>
  <c r="G316" i="35"/>
  <c r="H316" i="35"/>
  <c r="I316" i="35"/>
  <c r="J316" i="35"/>
  <c r="K316" i="35"/>
  <c r="I317" i="35"/>
  <c r="A318" i="35"/>
  <c r="F318" i="35"/>
  <c r="G318" i="35"/>
  <c r="H318" i="35"/>
  <c r="I318" i="35"/>
  <c r="I319" i="35"/>
  <c r="A320" i="35"/>
  <c r="B320" i="35"/>
  <c r="C320" i="35"/>
  <c r="D320" i="35"/>
  <c r="E320" i="35"/>
  <c r="F320" i="35"/>
  <c r="G320" i="35"/>
  <c r="H320" i="35"/>
  <c r="I320" i="35"/>
  <c r="J320" i="35"/>
  <c r="P320" i="35"/>
  <c r="A321" i="35"/>
  <c r="B321" i="35"/>
  <c r="C321" i="35"/>
  <c r="D321" i="35"/>
  <c r="E321" i="35"/>
  <c r="F321" i="35"/>
  <c r="G321" i="35"/>
  <c r="H321" i="35"/>
  <c r="I321" i="35"/>
  <c r="J321" i="35"/>
  <c r="L321" i="35"/>
  <c r="P321" i="35"/>
  <c r="A322" i="35"/>
  <c r="B322" i="35"/>
  <c r="C322" i="35"/>
  <c r="D322" i="35"/>
  <c r="E322" i="35"/>
  <c r="F322" i="35"/>
  <c r="G322" i="35"/>
  <c r="H322" i="35"/>
  <c r="I322" i="35"/>
  <c r="J322" i="35"/>
  <c r="K322" i="35"/>
  <c r="P322" i="35"/>
  <c r="A323" i="35"/>
  <c r="B323" i="35"/>
  <c r="C323" i="35"/>
  <c r="D323" i="35"/>
  <c r="E323" i="35"/>
  <c r="F323" i="35"/>
  <c r="G323" i="35"/>
  <c r="H323" i="35"/>
  <c r="I323" i="35"/>
  <c r="J323" i="35"/>
  <c r="K323" i="35"/>
  <c r="P323" i="35"/>
  <c r="A324" i="35"/>
  <c r="B324" i="35"/>
  <c r="C324" i="35"/>
  <c r="D324" i="35"/>
  <c r="E324" i="35"/>
  <c r="F324" i="35"/>
  <c r="G324" i="35"/>
  <c r="H324" i="35"/>
  <c r="I324" i="35"/>
  <c r="J324" i="35"/>
  <c r="K324" i="35"/>
  <c r="A325" i="35"/>
  <c r="B325" i="35"/>
  <c r="C325" i="35"/>
  <c r="D325" i="35"/>
  <c r="E325" i="35"/>
  <c r="F325" i="35"/>
  <c r="G325" i="35"/>
  <c r="H325" i="35"/>
  <c r="I325" i="35"/>
  <c r="J325" i="35"/>
  <c r="K325" i="35"/>
  <c r="L325" i="35"/>
  <c r="P324" i="35"/>
  <c r="P325" i="35"/>
  <c r="A326" i="35"/>
  <c r="B326" i="35"/>
  <c r="C326" i="35"/>
  <c r="D326" i="35"/>
  <c r="E326" i="35"/>
  <c r="F326" i="35"/>
  <c r="G326" i="35"/>
  <c r="H326" i="35"/>
  <c r="I326" i="35"/>
  <c r="J326" i="35"/>
  <c r="P326" i="35"/>
  <c r="A327" i="35"/>
  <c r="B327" i="35"/>
  <c r="C327" i="35"/>
  <c r="D327" i="35"/>
  <c r="E327" i="35"/>
  <c r="F327" i="35"/>
  <c r="G327" i="35"/>
  <c r="H327" i="35"/>
  <c r="I327" i="35"/>
  <c r="J327" i="35"/>
  <c r="K327" i="35"/>
  <c r="P327" i="35"/>
  <c r="A328" i="35"/>
  <c r="B328" i="35"/>
  <c r="C328" i="35"/>
  <c r="D328" i="35"/>
  <c r="E328" i="35"/>
  <c r="F328" i="35"/>
  <c r="G328" i="35"/>
  <c r="H328" i="35"/>
  <c r="I328" i="35"/>
  <c r="J328" i="35"/>
  <c r="L326" i="35"/>
  <c r="P328" i="35"/>
  <c r="A329" i="35"/>
  <c r="B329" i="35"/>
  <c r="C329" i="35"/>
  <c r="D329" i="35"/>
  <c r="E329" i="35"/>
  <c r="F329" i="35"/>
  <c r="G329" i="35"/>
  <c r="H329" i="35"/>
  <c r="I329" i="35"/>
  <c r="J329" i="35"/>
  <c r="K329" i="35"/>
  <c r="P329" i="35"/>
  <c r="A330" i="35"/>
  <c r="B330" i="35"/>
  <c r="C330" i="35"/>
  <c r="D330" i="35"/>
  <c r="E330" i="35"/>
  <c r="F330" i="35"/>
  <c r="G330" i="35"/>
  <c r="H330" i="35"/>
  <c r="I330" i="35"/>
  <c r="J330" i="35"/>
  <c r="K330" i="35"/>
  <c r="P330" i="35"/>
  <c r="A331" i="35"/>
  <c r="B331" i="35"/>
  <c r="C331" i="35"/>
  <c r="D331" i="35"/>
  <c r="E331" i="35"/>
  <c r="F331" i="35"/>
  <c r="G331" i="35"/>
  <c r="H331" i="35"/>
  <c r="I331" i="35"/>
  <c r="J331" i="35"/>
  <c r="K331" i="35"/>
  <c r="P331" i="35"/>
  <c r="A332" i="35"/>
  <c r="B332" i="35"/>
  <c r="C332" i="35"/>
  <c r="D332" i="35"/>
  <c r="E332" i="35"/>
  <c r="F332" i="35"/>
  <c r="G332" i="35"/>
  <c r="H332" i="35"/>
  <c r="I332" i="35"/>
  <c r="J332" i="35"/>
  <c r="K332" i="35"/>
  <c r="P332" i="35"/>
  <c r="H333" i="35"/>
  <c r="J333" i="35"/>
  <c r="A334" i="35"/>
  <c r="F334" i="35"/>
  <c r="G334" i="35"/>
  <c r="H334" i="35"/>
  <c r="A335" i="35"/>
  <c r="F335" i="35"/>
  <c r="G335" i="35"/>
  <c r="H335" i="35"/>
  <c r="I335" i="35"/>
  <c r="K335" i="35"/>
  <c r="A337" i="35"/>
  <c r="B337" i="35"/>
  <c r="C337" i="35"/>
  <c r="D337" i="35"/>
  <c r="E337" i="35"/>
  <c r="F337" i="35"/>
  <c r="G337" i="35"/>
  <c r="H337" i="35"/>
  <c r="I337" i="35"/>
  <c r="J337" i="35"/>
  <c r="L337" i="35"/>
  <c r="A338" i="35"/>
  <c r="B338" i="35"/>
  <c r="C338" i="35"/>
  <c r="D338" i="35"/>
  <c r="E338" i="35"/>
  <c r="F338" i="35"/>
  <c r="G338" i="35"/>
  <c r="H338" i="35"/>
  <c r="I338" i="35"/>
  <c r="J338" i="35"/>
  <c r="L338" i="35"/>
  <c r="A339" i="35"/>
  <c r="B339" i="35"/>
  <c r="C339" i="35"/>
  <c r="D339" i="35"/>
  <c r="E339" i="35"/>
  <c r="F339" i="35"/>
  <c r="G339" i="35"/>
  <c r="H339" i="35"/>
  <c r="I339" i="35"/>
  <c r="J339" i="35"/>
  <c r="L339" i="35"/>
  <c r="A340" i="35"/>
  <c r="B340" i="35"/>
  <c r="C340" i="35"/>
  <c r="D340" i="35"/>
  <c r="E340" i="35"/>
  <c r="F340" i="35"/>
  <c r="G340" i="35"/>
  <c r="H340" i="35"/>
  <c r="I340" i="35"/>
  <c r="J340" i="35"/>
  <c r="L340" i="35"/>
  <c r="A341" i="35"/>
  <c r="B341" i="35"/>
  <c r="C341" i="35"/>
  <c r="D341" i="35"/>
  <c r="E341" i="35"/>
  <c r="F341" i="35"/>
  <c r="G341" i="35"/>
  <c r="H341" i="35"/>
  <c r="I341" i="35"/>
  <c r="J341" i="35"/>
  <c r="L341" i="35"/>
  <c r="A342" i="35"/>
  <c r="B342" i="35"/>
  <c r="C342" i="35"/>
  <c r="D342" i="35"/>
  <c r="E342" i="35"/>
  <c r="F342" i="35"/>
  <c r="G342" i="35"/>
  <c r="H342" i="35"/>
  <c r="I342" i="35"/>
  <c r="J342" i="35"/>
  <c r="L342" i="35"/>
  <c r="A343" i="35"/>
  <c r="B343" i="35"/>
  <c r="C343" i="35"/>
  <c r="D343" i="35"/>
  <c r="E343" i="35"/>
  <c r="F343" i="35"/>
  <c r="G343" i="35"/>
  <c r="H343" i="35"/>
  <c r="I343" i="35"/>
  <c r="J343" i="35"/>
  <c r="L343" i="35"/>
  <c r="A344" i="35"/>
  <c r="B344" i="35"/>
  <c r="C344" i="35"/>
  <c r="D344" i="35"/>
  <c r="E344" i="35"/>
  <c r="F344" i="35"/>
  <c r="G344" i="35"/>
  <c r="H344" i="35"/>
  <c r="I344" i="35"/>
  <c r="J344" i="35"/>
  <c r="L344" i="35"/>
  <c r="A345" i="35"/>
  <c r="B345" i="35"/>
  <c r="C345" i="35"/>
  <c r="D345" i="35"/>
  <c r="E345" i="35"/>
  <c r="F345" i="35"/>
  <c r="G345" i="35"/>
  <c r="H345" i="35"/>
  <c r="I345" i="35"/>
  <c r="J345" i="35"/>
  <c r="L345" i="35"/>
  <c r="A346" i="35"/>
  <c r="B346" i="35"/>
  <c r="C346" i="35"/>
  <c r="D346" i="35"/>
  <c r="E346" i="35"/>
  <c r="F346" i="35"/>
  <c r="G346" i="35"/>
  <c r="H346" i="35"/>
  <c r="I346" i="35"/>
  <c r="J346" i="35"/>
  <c r="L346" i="35"/>
  <c r="A347" i="35"/>
  <c r="B347" i="35"/>
  <c r="C347" i="35"/>
  <c r="D347" i="35"/>
  <c r="E347" i="35"/>
  <c r="F347" i="35"/>
  <c r="G347" i="35"/>
  <c r="H347" i="35"/>
  <c r="I347" i="35"/>
  <c r="J347" i="35"/>
  <c r="L347" i="35"/>
  <c r="A348" i="35"/>
  <c r="B348" i="35"/>
  <c r="C348" i="35"/>
  <c r="D348" i="35"/>
  <c r="E348" i="35"/>
  <c r="F348" i="35"/>
  <c r="G348" i="35"/>
  <c r="H348" i="35"/>
  <c r="I348" i="35"/>
  <c r="J348" i="35"/>
  <c r="L348" i="35"/>
  <c r="A349" i="35"/>
  <c r="B349" i="35"/>
  <c r="C349" i="35"/>
  <c r="D349" i="35"/>
  <c r="E349" i="35"/>
  <c r="F349" i="35"/>
  <c r="G349" i="35"/>
  <c r="H349" i="35"/>
  <c r="I349" i="35"/>
  <c r="J349" i="35"/>
  <c r="L349" i="35"/>
  <c r="E350" i="35"/>
  <c r="A351" i="35"/>
  <c r="F351" i="35"/>
  <c r="G351" i="35"/>
  <c r="H351" i="35"/>
  <c r="J351" i="35"/>
  <c r="A352" i="35"/>
  <c r="F352" i="35"/>
  <c r="G352" i="35"/>
  <c r="H352" i="35"/>
  <c r="I352" i="35"/>
  <c r="J352" i="35"/>
  <c r="L352" i="35"/>
  <c r="A354" i="35"/>
  <c r="B354" i="35"/>
  <c r="C354" i="35"/>
  <c r="D354" i="35"/>
  <c r="E354" i="35"/>
  <c r="F354" i="35"/>
  <c r="G354" i="35"/>
  <c r="H354" i="35"/>
  <c r="I354" i="35"/>
  <c r="J354" i="35"/>
  <c r="M354" i="35"/>
  <c r="A355" i="35"/>
  <c r="B355" i="35"/>
  <c r="C355" i="35"/>
  <c r="D355" i="35"/>
  <c r="E355" i="35"/>
  <c r="F355" i="35"/>
  <c r="G355" i="35"/>
  <c r="H355" i="35"/>
  <c r="I355" i="35"/>
  <c r="J355" i="35"/>
  <c r="M355" i="35"/>
  <c r="A356" i="35"/>
  <c r="B356" i="35"/>
  <c r="C356" i="35"/>
  <c r="D356" i="35"/>
  <c r="E356" i="35"/>
  <c r="F356" i="35"/>
  <c r="G356" i="35"/>
  <c r="H356" i="35"/>
  <c r="I356" i="35"/>
  <c r="J356" i="35"/>
  <c r="M356" i="35"/>
  <c r="A357" i="35"/>
  <c r="B357" i="35"/>
  <c r="C357" i="35"/>
  <c r="D357" i="35"/>
  <c r="E357" i="35"/>
  <c r="F357" i="35"/>
  <c r="G357" i="35"/>
  <c r="H357" i="35"/>
  <c r="I357" i="35"/>
  <c r="J357" i="35"/>
  <c r="A358" i="35"/>
  <c r="B358" i="35"/>
  <c r="C358" i="35"/>
  <c r="D358" i="35"/>
  <c r="E358" i="35"/>
  <c r="F358" i="35"/>
  <c r="G358" i="35"/>
  <c r="H358" i="35"/>
  <c r="I358" i="35"/>
  <c r="J358" i="35"/>
  <c r="K358" i="35"/>
  <c r="A359" i="35"/>
  <c r="B359" i="35"/>
  <c r="C359" i="35"/>
  <c r="D359" i="35"/>
  <c r="E359" i="35"/>
  <c r="F359" i="35"/>
  <c r="G359" i="35"/>
  <c r="H359" i="35"/>
  <c r="I359" i="35"/>
  <c r="J359" i="35"/>
  <c r="M359" i="35"/>
  <c r="A360" i="35"/>
  <c r="B360" i="35"/>
  <c r="C360" i="35"/>
  <c r="D360" i="35"/>
  <c r="E360" i="35"/>
  <c r="F360" i="35"/>
  <c r="G360" i="35"/>
  <c r="H360" i="35"/>
  <c r="I360" i="35"/>
  <c r="J360" i="35"/>
  <c r="A361" i="35"/>
  <c r="B361" i="35"/>
  <c r="C361" i="35"/>
  <c r="D361" i="35"/>
  <c r="E361" i="35"/>
  <c r="F361" i="35"/>
  <c r="G361" i="35"/>
  <c r="H361" i="35"/>
  <c r="I361" i="35"/>
  <c r="J361" i="35"/>
  <c r="K361" i="35"/>
  <c r="M361" i="35"/>
  <c r="A362" i="35"/>
  <c r="B362" i="35"/>
  <c r="C362" i="35"/>
  <c r="D362" i="35"/>
  <c r="E362" i="35"/>
  <c r="F362" i="35"/>
  <c r="G362" i="35"/>
  <c r="H362" i="35"/>
  <c r="I362" i="35"/>
  <c r="J362" i="35"/>
  <c r="K362" i="35"/>
  <c r="M362" i="35"/>
  <c r="A363" i="35"/>
  <c r="B363" i="35"/>
  <c r="C363" i="35"/>
  <c r="D363" i="35"/>
  <c r="E363" i="35"/>
  <c r="F363" i="35"/>
  <c r="G363" i="35"/>
  <c r="H363" i="35"/>
  <c r="I363" i="35"/>
  <c r="J363" i="35"/>
  <c r="K363" i="35"/>
  <c r="A364" i="35"/>
  <c r="B364" i="35"/>
  <c r="C364" i="35"/>
  <c r="D364" i="35"/>
  <c r="E364" i="35"/>
  <c r="F364" i="35"/>
  <c r="G364" i="35"/>
  <c r="H364" i="35"/>
  <c r="I364" i="35"/>
  <c r="J364" i="35"/>
  <c r="A365" i="35"/>
  <c r="B365" i="35"/>
  <c r="C365" i="35"/>
  <c r="D365" i="35"/>
  <c r="E365" i="35"/>
  <c r="F365" i="35"/>
  <c r="G365" i="35"/>
  <c r="H365" i="35"/>
  <c r="I365" i="35"/>
  <c r="J365" i="35"/>
  <c r="K365" i="35"/>
  <c r="A366" i="35"/>
  <c r="B366" i="35"/>
  <c r="C366" i="35"/>
  <c r="D366" i="35"/>
  <c r="E366" i="35"/>
  <c r="F366" i="35"/>
  <c r="G366" i="35"/>
  <c r="H366" i="35"/>
  <c r="I366" i="35"/>
  <c r="J366" i="35"/>
  <c r="H367" i="35"/>
  <c r="J367" i="35"/>
  <c r="A368" i="35"/>
  <c r="F368" i="35"/>
  <c r="G368" i="35"/>
  <c r="H368" i="35"/>
  <c r="I368" i="35"/>
  <c r="K368" i="35"/>
  <c r="I369" i="35"/>
  <c r="A370" i="35"/>
  <c r="B370" i="35"/>
  <c r="C370" i="35"/>
  <c r="D370" i="35"/>
  <c r="E370" i="35"/>
  <c r="F370" i="35"/>
  <c r="G370" i="35"/>
  <c r="H370" i="35"/>
  <c r="I370" i="35"/>
  <c r="J370" i="35"/>
  <c r="A371" i="35"/>
  <c r="B371" i="35"/>
  <c r="C371" i="35"/>
  <c r="D371" i="35"/>
  <c r="E371" i="35"/>
  <c r="F371" i="35"/>
  <c r="G371" i="35"/>
  <c r="H371" i="35"/>
  <c r="I371" i="35"/>
  <c r="J371" i="35"/>
  <c r="K371" i="35"/>
  <c r="A372" i="35"/>
  <c r="B372" i="35"/>
  <c r="C372" i="35"/>
  <c r="D372" i="35"/>
  <c r="E372" i="35"/>
  <c r="F372" i="35"/>
  <c r="G372" i="35"/>
  <c r="H372" i="35"/>
  <c r="I372" i="35"/>
  <c r="J372" i="35"/>
  <c r="A373" i="35"/>
  <c r="B373" i="35"/>
  <c r="C373" i="35"/>
  <c r="D373" i="35"/>
  <c r="E373" i="35"/>
  <c r="F373" i="35"/>
  <c r="G373" i="35"/>
  <c r="H373" i="35"/>
  <c r="I373" i="35"/>
  <c r="J373" i="35"/>
  <c r="K373" i="35"/>
  <c r="A374" i="35"/>
  <c r="B374" i="35"/>
  <c r="C374" i="35"/>
  <c r="D374" i="35"/>
  <c r="E374" i="35"/>
  <c r="F374" i="35"/>
  <c r="G374" i="35"/>
  <c r="H374" i="35"/>
  <c r="I374" i="35"/>
  <c r="J374" i="35"/>
  <c r="A375" i="35"/>
  <c r="B375" i="35"/>
  <c r="C375" i="35"/>
  <c r="D375" i="35"/>
  <c r="E375" i="35"/>
  <c r="F375" i="35"/>
  <c r="G375" i="35"/>
  <c r="H375" i="35"/>
  <c r="I375" i="35"/>
  <c r="J375" i="35"/>
  <c r="K375" i="35"/>
  <c r="A376" i="35"/>
  <c r="B376" i="35"/>
  <c r="C376" i="35"/>
  <c r="D376" i="35"/>
  <c r="E376" i="35"/>
  <c r="F376" i="35"/>
  <c r="G376" i="35"/>
  <c r="H376" i="35"/>
  <c r="I376" i="35"/>
  <c r="J376" i="35"/>
  <c r="A377" i="35"/>
  <c r="B377" i="35"/>
  <c r="C377" i="35"/>
  <c r="D377" i="35"/>
  <c r="E377" i="35"/>
  <c r="F377" i="35"/>
  <c r="G377" i="35"/>
  <c r="H377" i="35"/>
  <c r="I377" i="35"/>
  <c r="J377" i="35"/>
  <c r="K377" i="35"/>
  <c r="H409" i="35"/>
  <c r="I409" i="35"/>
  <c r="J409" i="35"/>
  <c r="K409" i="35"/>
  <c r="H393" i="35"/>
  <c r="I393" i="35"/>
  <c r="J393" i="35"/>
  <c r="K393" i="35"/>
  <c r="K425" i="35"/>
  <c r="A378" i="35"/>
  <c r="B378" i="35"/>
  <c r="C378" i="35"/>
  <c r="D378" i="35"/>
  <c r="E378" i="35"/>
  <c r="F378" i="35"/>
  <c r="G378" i="35"/>
  <c r="H378" i="35"/>
  <c r="I378" i="35"/>
  <c r="J378" i="35"/>
  <c r="A379" i="35"/>
  <c r="B379" i="35"/>
  <c r="C379" i="35"/>
  <c r="D379" i="35"/>
  <c r="E379" i="35"/>
  <c r="F379" i="35"/>
  <c r="G379" i="35"/>
  <c r="H379" i="35"/>
  <c r="I379" i="35"/>
  <c r="J379" i="35"/>
  <c r="K379" i="35"/>
  <c r="A380" i="35"/>
  <c r="B380" i="35"/>
  <c r="C380" i="35"/>
  <c r="D380" i="35"/>
  <c r="E380" i="35"/>
  <c r="F380" i="35"/>
  <c r="G380" i="35"/>
  <c r="H380" i="35"/>
  <c r="I380" i="35"/>
  <c r="J380" i="35"/>
  <c r="A381" i="35"/>
  <c r="B381" i="35"/>
  <c r="C381" i="35"/>
  <c r="D381" i="35"/>
  <c r="E381" i="35"/>
  <c r="F381" i="35"/>
  <c r="G381" i="35"/>
  <c r="H381" i="35"/>
  <c r="I381" i="35"/>
  <c r="J381" i="35"/>
  <c r="K381" i="35"/>
  <c r="A382" i="35"/>
  <c r="B382" i="35"/>
  <c r="C382" i="35"/>
  <c r="D382" i="35"/>
  <c r="E382" i="35"/>
  <c r="F382" i="35"/>
  <c r="G382" i="35"/>
  <c r="H382" i="35"/>
  <c r="H383" i="35"/>
  <c r="I382" i="35"/>
  <c r="J382" i="35"/>
  <c r="J383" i="35"/>
  <c r="A384" i="35"/>
  <c r="F384" i="35"/>
  <c r="G384" i="35"/>
  <c r="H384" i="35"/>
  <c r="I384" i="35"/>
  <c r="K384" i="35"/>
  <c r="I385" i="35"/>
  <c r="A386" i="35"/>
  <c r="B386" i="35"/>
  <c r="C386" i="35"/>
  <c r="D386" i="35"/>
  <c r="E386" i="35"/>
  <c r="F386" i="35"/>
  <c r="G386" i="35"/>
  <c r="H386" i="35"/>
  <c r="I386" i="35"/>
  <c r="J386" i="35"/>
  <c r="M386" i="35"/>
  <c r="A387" i="35"/>
  <c r="B387" i="35"/>
  <c r="C387" i="35"/>
  <c r="D387" i="35"/>
  <c r="E387" i="35"/>
  <c r="F387" i="35"/>
  <c r="G387" i="35"/>
  <c r="H387" i="35"/>
  <c r="I387" i="35"/>
  <c r="J387" i="35"/>
  <c r="K387" i="35"/>
  <c r="A388" i="35"/>
  <c r="B388" i="35"/>
  <c r="C388" i="35"/>
  <c r="D388" i="35"/>
  <c r="E388" i="35"/>
  <c r="F388" i="35"/>
  <c r="G388" i="35"/>
  <c r="H388" i="35"/>
  <c r="I388" i="35"/>
  <c r="J388" i="35"/>
  <c r="M388" i="35"/>
  <c r="A389" i="35"/>
  <c r="B389" i="35"/>
  <c r="C389" i="35"/>
  <c r="D389" i="35"/>
  <c r="E389" i="35"/>
  <c r="F389" i="35"/>
  <c r="G389" i="35"/>
  <c r="H389" i="35"/>
  <c r="I389" i="35"/>
  <c r="J389" i="35"/>
  <c r="A390" i="35"/>
  <c r="B390" i="35"/>
  <c r="C390" i="35"/>
  <c r="D390" i="35"/>
  <c r="E390" i="35"/>
  <c r="F390" i="35"/>
  <c r="G390" i="35"/>
  <c r="H390" i="35"/>
  <c r="I390" i="35"/>
  <c r="J390" i="35"/>
  <c r="K390" i="35"/>
  <c r="A391" i="35"/>
  <c r="B391" i="35"/>
  <c r="C391" i="35"/>
  <c r="D391" i="35"/>
  <c r="E391" i="35"/>
  <c r="F391" i="35"/>
  <c r="G391" i="35"/>
  <c r="H391" i="35"/>
  <c r="I391" i="35"/>
  <c r="J391" i="35"/>
  <c r="A392" i="35"/>
  <c r="B392" i="35"/>
  <c r="C392" i="35"/>
  <c r="D392" i="35"/>
  <c r="E392" i="35"/>
  <c r="F392" i="35"/>
  <c r="G392" i="35"/>
  <c r="H392" i="35"/>
  <c r="I392" i="35"/>
  <c r="J392" i="35"/>
  <c r="K392" i="35"/>
  <c r="M392" i="35"/>
  <c r="A393" i="35"/>
  <c r="B393" i="35"/>
  <c r="C393" i="35"/>
  <c r="D393" i="35"/>
  <c r="E393" i="35"/>
  <c r="F393" i="35"/>
  <c r="G393" i="35"/>
  <c r="A394" i="35"/>
  <c r="B394" i="35"/>
  <c r="C394" i="35"/>
  <c r="D394" i="35"/>
  <c r="E394" i="35"/>
  <c r="F394" i="35"/>
  <c r="G394" i="35"/>
  <c r="H394" i="35"/>
  <c r="I394" i="35"/>
  <c r="J394" i="35"/>
  <c r="M394" i="35"/>
  <c r="A395" i="35"/>
  <c r="B395" i="35"/>
  <c r="C395" i="35"/>
  <c r="D395" i="35"/>
  <c r="E395" i="35"/>
  <c r="F395" i="35"/>
  <c r="G395" i="35"/>
  <c r="H395" i="35"/>
  <c r="I395" i="35"/>
  <c r="J395" i="35"/>
  <c r="A396" i="35"/>
  <c r="B396" i="35"/>
  <c r="C396" i="35"/>
  <c r="D396" i="35"/>
  <c r="E396" i="35"/>
  <c r="F396" i="35"/>
  <c r="G396" i="35"/>
  <c r="H396" i="35"/>
  <c r="I396" i="35"/>
  <c r="J396" i="35"/>
  <c r="K396" i="35"/>
  <c r="A397" i="35"/>
  <c r="B397" i="35"/>
  <c r="C397" i="35"/>
  <c r="D397" i="35"/>
  <c r="E397" i="35"/>
  <c r="F397" i="35"/>
  <c r="G397" i="35"/>
  <c r="H397" i="35"/>
  <c r="I397" i="35"/>
  <c r="J397" i="35"/>
  <c r="M397" i="35"/>
  <c r="A398" i="35"/>
  <c r="B398" i="35"/>
  <c r="C398" i="35"/>
  <c r="D398" i="35"/>
  <c r="E398" i="35"/>
  <c r="F398" i="35"/>
  <c r="G398" i="35"/>
  <c r="H398" i="35"/>
  <c r="I398" i="35"/>
  <c r="J398" i="35"/>
  <c r="H399" i="35"/>
  <c r="J399" i="35"/>
  <c r="A400" i="35"/>
  <c r="F400" i="35"/>
  <c r="G400" i="35"/>
  <c r="H400" i="35"/>
  <c r="I400" i="35"/>
  <c r="K400" i="35"/>
  <c r="I401" i="35"/>
  <c r="A402" i="35"/>
  <c r="B402" i="35"/>
  <c r="C402" i="35"/>
  <c r="D402" i="35"/>
  <c r="E402" i="35"/>
  <c r="F402" i="35"/>
  <c r="G402" i="35"/>
  <c r="H402" i="35"/>
  <c r="I402" i="35"/>
  <c r="J402" i="35"/>
  <c r="M402" i="35"/>
  <c r="A403" i="35"/>
  <c r="B403" i="35"/>
  <c r="C403" i="35"/>
  <c r="D403" i="35"/>
  <c r="E403" i="35"/>
  <c r="F403" i="35"/>
  <c r="G403" i="35"/>
  <c r="H403" i="35"/>
  <c r="I403" i="35"/>
  <c r="J403" i="35"/>
  <c r="K403" i="35"/>
  <c r="A404" i="35"/>
  <c r="B404" i="35"/>
  <c r="C404" i="35"/>
  <c r="D404" i="35"/>
  <c r="E404" i="35"/>
  <c r="F404" i="35"/>
  <c r="G404" i="35"/>
  <c r="H404" i="35"/>
  <c r="I404" i="35"/>
  <c r="J404" i="35"/>
  <c r="K404" i="35"/>
  <c r="M404" i="35"/>
  <c r="A405" i="35"/>
  <c r="B405" i="35"/>
  <c r="C405" i="35"/>
  <c r="D405" i="35"/>
  <c r="E405" i="35"/>
  <c r="F405" i="35"/>
  <c r="G405" i="35"/>
  <c r="H405" i="35"/>
  <c r="I405" i="35"/>
  <c r="J405" i="35"/>
  <c r="K405" i="35"/>
  <c r="A406" i="35"/>
  <c r="B406" i="35"/>
  <c r="C406" i="35"/>
  <c r="D406" i="35"/>
  <c r="E406" i="35"/>
  <c r="F406" i="35"/>
  <c r="G406" i="35"/>
  <c r="H406" i="35"/>
  <c r="I406" i="35"/>
  <c r="J406" i="35"/>
  <c r="A407" i="35"/>
  <c r="B407" i="35"/>
  <c r="C407" i="35"/>
  <c r="D407" i="35"/>
  <c r="E407" i="35"/>
  <c r="F407" i="35"/>
  <c r="G407" i="35"/>
  <c r="H407" i="35"/>
  <c r="I407" i="35"/>
  <c r="J407" i="35"/>
  <c r="K407" i="35"/>
  <c r="A408" i="35"/>
  <c r="B408" i="35"/>
  <c r="C408" i="35"/>
  <c r="D408" i="35"/>
  <c r="E408" i="35"/>
  <c r="F408" i="35"/>
  <c r="G408" i="35"/>
  <c r="H408" i="35"/>
  <c r="I408" i="35"/>
  <c r="J408" i="35"/>
  <c r="A409" i="35"/>
  <c r="B409" i="35"/>
  <c r="C409" i="35"/>
  <c r="D409" i="35"/>
  <c r="E409" i="35"/>
  <c r="F409" i="35"/>
  <c r="G409" i="35"/>
  <c r="A410" i="35"/>
  <c r="B410" i="35"/>
  <c r="C410" i="35"/>
  <c r="D410" i="35"/>
  <c r="E410" i="35"/>
  <c r="F410" i="35"/>
  <c r="G410" i="35"/>
  <c r="H410" i="35"/>
  <c r="I410" i="35"/>
  <c r="J410" i="35"/>
  <c r="A411" i="35"/>
  <c r="B411" i="35"/>
  <c r="C411" i="35"/>
  <c r="D411" i="35"/>
  <c r="E411" i="35"/>
  <c r="F411" i="35"/>
  <c r="G411" i="35"/>
  <c r="H411" i="35"/>
  <c r="I411" i="35"/>
  <c r="J411" i="35"/>
  <c r="A412" i="35"/>
  <c r="B412" i="35"/>
  <c r="C412" i="35"/>
  <c r="D412" i="35"/>
  <c r="E412" i="35"/>
  <c r="F412" i="35"/>
  <c r="G412" i="35"/>
  <c r="H412" i="35"/>
  <c r="I412" i="35"/>
  <c r="J412" i="35"/>
  <c r="K412" i="35"/>
  <c r="A413" i="35"/>
  <c r="B413" i="35"/>
  <c r="C413" i="35"/>
  <c r="D413" i="35"/>
  <c r="E413" i="35"/>
  <c r="F413" i="35"/>
  <c r="G413" i="35"/>
  <c r="H413" i="35"/>
  <c r="I413" i="35"/>
  <c r="J413" i="35"/>
  <c r="M413" i="35"/>
  <c r="A414" i="35"/>
  <c r="B414" i="35"/>
  <c r="C414" i="35"/>
  <c r="D414" i="35"/>
  <c r="E414" i="35"/>
  <c r="F414" i="35"/>
  <c r="G414" i="35"/>
  <c r="H414" i="35"/>
  <c r="I414" i="35"/>
  <c r="I415" i="35"/>
  <c r="J414" i="35"/>
  <c r="K414" i="35"/>
  <c r="M414" i="35"/>
  <c r="N414" i="35"/>
  <c r="A416" i="35"/>
  <c r="F416" i="35"/>
  <c r="G416" i="35"/>
  <c r="H416" i="35"/>
  <c r="I416" i="35"/>
  <c r="K416" i="35"/>
  <c r="A418" i="35"/>
  <c r="B418" i="35"/>
  <c r="C418" i="35"/>
  <c r="D418" i="35"/>
  <c r="E418" i="35"/>
  <c r="F418" i="35"/>
  <c r="G418" i="35"/>
  <c r="H418" i="35"/>
  <c r="I418" i="35"/>
  <c r="J418" i="35"/>
  <c r="A419" i="35"/>
  <c r="B419" i="35"/>
  <c r="C419" i="35"/>
  <c r="D419" i="35"/>
  <c r="E419" i="35"/>
  <c r="F419" i="35"/>
  <c r="G419" i="35"/>
  <c r="H419" i="35"/>
  <c r="I419" i="35"/>
  <c r="J419" i="35"/>
  <c r="A420" i="35"/>
  <c r="B420" i="35"/>
  <c r="C420" i="35"/>
  <c r="D420" i="35"/>
  <c r="E420" i="35"/>
  <c r="F420" i="35"/>
  <c r="G420" i="35"/>
  <c r="H420" i="35"/>
  <c r="I420" i="35"/>
  <c r="J420" i="35"/>
  <c r="A421" i="35"/>
  <c r="B421" i="35"/>
  <c r="C421" i="35"/>
  <c r="D421" i="35"/>
  <c r="E421" i="35"/>
  <c r="F421" i="35"/>
  <c r="G421" i="35"/>
  <c r="H421" i="35"/>
  <c r="I421" i="35"/>
  <c r="J421" i="35"/>
  <c r="A422" i="35"/>
  <c r="B422" i="35"/>
  <c r="C422" i="35"/>
  <c r="D422" i="35"/>
  <c r="E422" i="35"/>
  <c r="F422" i="35"/>
  <c r="G422" i="35"/>
  <c r="H422" i="35"/>
  <c r="I422" i="35"/>
  <c r="J422" i="35"/>
  <c r="A423" i="35"/>
  <c r="B423" i="35"/>
  <c r="C423" i="35"/>
  <c r="D423" i="35"/>
  <c r="E423" i="35"/>
  <c r="F423" i="35"/>
  <c r="G423" i="35"/>
  <c r="H423" i="35"/>
  <c r="I423" i="35"/>
  <c r="J423" i="35"/>
  <c r="A424" i="35"/>
  <c r="B424" i="35"/>
  <c r="C424" i="35"/>
  <c r="D424" i="35"/>
  <c r="E424" i="35"/>
  <c r="F424" i="35"/>
  <c r="G424" i="35"/>
  <c r="H424" i="35"/>
  <c r="I424" i="35"/>
  <c r="J424" i="35"/>
  <c r="A425" i="35"/>
  <c r="B425" i="35"/>
  <c r="C425" i="35"/>
  <c r="D425" i="35"/>
  <c r="E425" i="35"/>
  <c r="F425" i="35"/>
  <c r="G425" i="35"/>
  <c r="H425" i="35"/>
  <c r="I425" i="35"/>
  <c r="J425" i="35"/>
  <c r="A426" i="35"/>
  <c r="B426" i="35"/>
  <c r="C426" i="35"/>
  <c r="D426" i="35"/>
  <c r="E426" i="35"/>
  <c r="F426" i="35"/>
  <c r="G426" i="35"/>
  <c r="H426" i="35"/>
  <c r="I426" i="35"/>
  <c r="J426" i="35"/>
  <c r="A427" i="35"/>
  <c r="B427" i="35"/>
  <c r="C427" i="35"/>
  <c r="D427" i="35"/>
  <c r="E427" i="35"/>
  <c r="F427" i="35"/>
  <c r="G427" i="35"/>
  <c r="H427" i="35"/>
  <c r="I427" i="35"/>
  <c r="J427" i="35"/>
  <c r="A428" i="35"/>
  <c r="B428" i="35"/>
  <c r="C428" i="35"/>
  <c r="D428" i="35"/>
  <c r="E428" i="35"/>
  <c r="F428" i="35"/>
  <c r="G428" i="35"/>
  <c r="H428" i="35"/>
  <c r="I428" i="35"/>
  <c r="J428" i="35"/>
  <c r="A429" i="35"/>
  <c r="B429" i="35"/>
  <c r="C429" i="35"/>
  <c r="D429" i="35"/>
  <c r="E429" i="35"/>
  <c r="F429" i="35"/>
  <c r="G429" i="35"/>
  <c r="H429" i="35"/>
  <c r="I429" i="35"/>
  <c r="J429" i="35"/>
  <c r="A430" i="35"/>
  <c r="B430" i="35"/>
  <c r="C430" i="35"/>
  <c r="D430" i="35"/>
  <c r="E430" i="35"/>
  <c r="F430" i="35"/>
  <c r="G430" i="35"/>
  <c r="H430" i="35"/>
  <c r="I430" i="35"/>
  <c r="J430" i="35"/>
  <c r="E431" i="35"/>
  <c r="H431" i="35"/>
  <c r="M431" i="35"/>
  <c r="J431" i="35"/>
  <c r="A432" i="35"/>
  <c r="F432" i="35"/>
  <c r="G432" i="35"/>
  <c r="H432" i="35"/>
  <c r="I432" i="35"/>
  <c r="L432" i="35"/>
  <c r="A434" i="35"/>
  <c r="B434" i="35"/>
  <c r="C434" i="35"/>
  <c r="D434" i="35"/>
  <c r="E434" i="35"/>
  <c r="F434" i="35"/>
  <c r="G434" i="35"/>
  <c r="H434" i="35"/>
  <c r="I434" i="35"/>
  <c r="J434" i="35"/>
  <c r="K434" i="35"/>
  <c r="M434" i="35"/>
  <c r="A435" i="35"/>
  <c r="B435" i="35"/>
  <c r="C435" i="35"/>
  <c r="D435" i="35"/>
  <c r="E435" i="35"/>
  <c r="F435" i="35"/>
  <c r="G435" i="35"/>
  <c r="H435" i="35"/>
  <c r="I435" i="35"/>
  <c r="J435" i="35"/>
  <c r="K435" i="35"/>
  <c r="M435" i="35"/>
  <c r="A436" i="35"/>
  <c r="B436" i="35"/>
  <c r="C436" i="35"/>
  <c r="D436" i="35"/>
  <c r="E436" i="35"/>
  <c r="F436" i="35"/>
  <c r="G436" i="35"/>
  <c r="H436" i="35"/>
  <c r="I436" i="35"/>
  <c r="J436" i="35"/>
  <c r="K436" i="35"/>
  <c r="M436" i="35"/>
  <c r="A437" i="35"/>
  <c r="B437" i="35"/>
  <c r="C437" i="35"/>
  <c r="D437" i="35"/>
  <c r="E437" i="35"/>
  <c r="F437" i="35"/>
  <c r="G437" i="35"/>
  <c r="H437" i="35"/>
  <c r="I437" i="35"/>
  <c r="J437" i="35"/>
  <c r="K437" i="35"/>
  <c r="M437" i="35"/>
  <c r="A438" i="35"/>
  <c r="B438" i="35"/>
  <c r="C438" i="35"/>
  <c r="D438" i="35"/>
  <c r="E438" i="35"/>
  <c r="F438" i="35"/>
  <c r="G438" i="35"/>
  <c r="H438" i="35"/>
  <c r="I438" i="35"/>
  <c r="J438" i="35"/>
  <c r="K438" i="35"/>
  <c r="M438" i="35"/>
  <c r="A439" i="35"/>
  <c r="B439" i="35"/>
  <c r="C439" i="35"/>
  <c r="D439" i="35"/>
  <c r="E439" i="35"/>
  <c r="F439" i="35"/>
  <c r="G439" i="35"/>
  <c r="H439" i="35"/>
  <c r="I439" i="35"/>
  <c r="J439" i="35"/>
  <c r="K439" i="35"/>
  <c r="M439" i="35"/>
  <c r="A440" i="35"/>
  <c r="B440" i="35"/>
  <c r="C440" i="35"/>
  <c r="D440" i="35"/>
  <c r="E440" i="35"/>
  <c r="F440" i="35"/>
  <c r="G440" i="35"/>
  <c r="H440" i="35"/>
  <c r="I440" i="35"/>
  <c r="J440" i="35"/>
  <c r="K440" i="35"/>
  <c r="M440" i="35"/>
  <c r="A441" i="35"/>
  <c r="B441" i="35"/>
  <c r="C441" i="35"/>
  <c r="D441" i="35"/>
  <c r="E441" i="35"/>
  <c r="F441" i="35"/>
  <c r="G441" i="35"/>
  <c r="H441" i="35"/>
  <c r="I441" i="35"/>
  <c r="J441" i="35"/>
  <c r="K441" i="35"/>
  <c r="M441" i="35"/>
  <c r="A442" i="35"/>
  <c r="B442" i="35"/>
  <c r="C442" i="35"/>
  <c r="D442" i="35"/>
  <c r="E442" i="35"/>
  <c r="F442" i="35"/>
  <c r="G442" i="35"/>
  <c r="H442" i="35"/>
  <c r="I442" i="35"/>
  <c r="J442" i="35"/>
  <c r="K442" i="35"/>
  <c r="M442" i="35"/>
  <c r="A443" i="35"/>
  <c r="B443" i="35"/>
  <c r="C443" i="35"/>
  <c r="D443" i="35"/>
  <c r="E443" i="35"/>
  <c r="F443" i="35"/>
  <c r="G443" i="35"/>
  <c r="H443" i="35"/>
  <c r="I443" i="35"/>
  <c r="J443" i="35"/>
  <c r="K443" i="35"/>
  <c r="M443" i="35"/>
  <c r="A444" i="35"/>
  <c r="B444" i="35"/>
  <c r="C444" i="35"/>
  <c r="D444" i="35"/>
  <c r="E444" i="35"/>
  <c r="F444" i="35"/>
  <c r="G444" i="35"/>
  <c r="H444" i="35"/>
  <c r="I444" i="35"/>
  <c r="J444" i="35"/>
  <c r="K444" i="35"/>
  <c r="M444" i="35"/>
  <c r="A445" i="35"/>
  <c r="B445" i="35"/>
  <c r="C445" i="35"/>
  <c r="D445" i="35"/>
  <c r="E445" i="35"/>
  <c r="F445" i="35"/>
  <c r="G445" i="35"/>
  <c r="H445" i="35"/>
  <c r="I445" i="35"/>
  <c r="J445" i="35"/>
  <c r="K445" i="35"/>
  <c r="M445" i="35"/>
  <c r="A446" i="35"/>
  <c r="B446" i="35"/>
  <c r="C446" i="35"/>
  <c r="D446" i="35"/>
  <c r="E446" i="35"/>
  <c r="F446" i="35"/>
  <c r="G446" i="35"/>
  <c r="H446" i="35"/>
  <c r="I446" i="35"/>
  <c r="J446" i="35"/>
  <c r="K446" i="35"/>
  <c r="M446" i="35"/>
  <c r="H447" i="35"/>
  <c r="J447" i="35"/>
  <c r="A448" i="35"/>
  <c r="F448" i="35"/>
  <c r="G448" i="35"/>
  <c r="H448" i="35"/>
  <c r="A449" i="35"/>
  <c r="F449" i="35"/>
  <c r="G449" i="35"/>
  <c r="H449" i="35"/>
  <c r="I449" i="35"/>
  <c r="I448" i="35"/>
  <c r="K448" i="35"/>
  <c r="J449" i="35"/>
  <c r="K449" i="35"/>
  <c r="I450" i="35"/>
  <c r="A451" i="35"/>
  <c r="B451" i="35"/>
  <c r="C451" i="35"/>
  <c r="D451" i="35"/>
  <c r="E451" i="35"/>
  <c r="F451" i="35"/>
  <c r="G451" i="35"/>
  <c r="H451" i="35"/>
  <c r="I451" i="35"/>
  <c r="J451" i="35"/>
  <c r="K451" i="35"/>
  <c r="A452" i="35"/>
  <c r="B452" i="35"/>
  <c r="C452" i="35"/>
  <c r="D452" i="35"/>
  <c r="E452" i="35"/>
  <c r="F452" i="35"/>
  <c r="G452" i="35"/>
  <c r="H452" i="35"/>
  <c r="I452" i="35"/>
  <c r="J452" i="35"/>
  <c r="A453" i="35"/>
  <c r="B453" i="35"/>
  <c r="C453" i="35"/>
  <c r="D453" i="35"/>
  <c r="E453" i="35"/>
  <c r="F453" i="35"/>
  <c r="G453" i="35"/>
  <c r="H453" i="35"/>
  <c r="I453" i="35"/>
  <c r="J453" i="35"/>
  <c r="K453" i="35"/>
  <c r="A454" i="35"/>
  <c r="B454" i="35"/>
  <c r="C454" i="35"/>
  <c r="D454" i="35"/>
  <c r="E454" i="35"/>
  <c r="F454" i="35"/>
  <c r="G454" i="35"/>
  <c r="H454" i="35"/>
  <c r="I454" i="35"/>
  <c r="J454" i="35"/>
  <c r="A455" i="35"/>
  <c r="B455" i="35"/>
  <c r="C455" i="35"/>
  <c r="D455" i="35"/>
  <c r="E455" i="35"/>
  <c r="F455" i="35"/>
  <c r="G455" i="35"/>
  <c r="H455" i="35"/>
  <c r="I455" i="35"/>
  <c r="J455" i="35"/>
  <c r="K455" i="35"/>
  <c r="A456" i="35"/>
  <c r="B456" i="35"/>
  <c r="C456" i="35"/>
  <c r="D456" i="35"/>
  <c r="E456" i="35"/>
  <c r="F456" i="35"/>
  <c r="G456" i="35"/>
  <c r="H456" i="35"/>
  <c r="I456" i="35"/>
  <c r="J456" i="35"/>
  <c r="A457" i="35"/>
  <c r="B457" i="35"/>
  <c r="C457" i="35"/>
  <c r="D457" i="35"/>
  <c r="E457" i="35"/>
  <c r="F457" i="35"/>
  <c r="G457" i="35"/>
  <c r="H457" i="35"/>
  <c r="I457" i="35"/>
  <c r="J457" i="35"/>
  <c r="K457" i="35"/>
  <c r="A458" i="35"/>
  <c r="B458" i="35"/>
  <c r="C458" i="35"/>
  <c r="D458" i="35"/>
  <c r="E458" i="35"/>
  <c r="F458" i="35"/>
  <c r="G458" i="35"/>
  <c r="H458" i="35"/>
  <c r="I458" i="35"/>
  <c r="J458" i="35"/>
  <c r="A459" i="35"/>
  <c r="B459" i="35"/>
  <c r="C459" i="35"/>
  <c r="D459" i="35"/>
  <c r="E459" i="35"/>
  <c r="F459" i="35"/>
  <c r="G459" i="35"/>
  <c r="H459" i="35"/>
  <c r="I459" i="35"/>
  <c r="J459" i="35"/>
  <c r="K459" i="35"/>
  <c r="N459" i="35"/>
  <c r="A460" i="35"/>
  <c r="B460" i="35"/>
  <c r="C460" i="35"/>
  <c r="D460" i="35"/>
  <c r="E460" i="35"/>
  <c r="F460" i="35"/>
  <c r="G460" i="35"/>
  <c r="H460" i="35"/>
  <c r="I460" i="35"/>
  <c r="J460" i="35"/>
  <c r="K460" i="35"/>
  <c r="A461" i="35"/>
  <c r="B461" i="35"/>
  <c r="C461" i="35"/>
  <c r="D461" i="35"/>
  <c r="E461" i="35"/>
  <c r="F461" i="35"/>
  <c r="G461" i="35"/>
  <c r="H461" i="35"/>
  <c r="I461" i="35"/>
  <c r="J461" i="35"/>
  <c r="A462" i="35"/>
  <c r="B462" i="35"/>
  <c r="C462" i="35"/>
  <c r="D462" i="35"/>
  <c r="E462" i="35"/>
  <c r="F462" i="35"/>
  <c r="G462" i="35"/>
  <c r="H462" i="35"/>
  <c r="I462" i="35"/>
  <c r="J462" i="35"/>
  <c r="K462" i="35"/>
  <c r="A463" i="35"/>
  <c r="B463" i="35"/>
  <c r="C463" i="35"/>
  <c r="D463" i="35"/>
  <c r="E463" i="35"/>
  <c r="F463" i="35"/>
  <c r="G463" i="35"/>
  <c r="H463" i="35"/>
  <c r="I463" i="35"/>
  <c r="J463" i="35"/>
  <c r="H464" i="35"/>
  <c r="J464" i="35"/>
  <c r="M464" i="35"/>
  <c r="N464" i="35"/>
  <c r="A465" i="35"/>
  <c r="F465" i="35"/>
  <c r="G465" i="35"/>
  <c r="H465" i="35"/>
  <c r="I465" i="35"/>
  <c r="K465" i="35"/>
  <c r="I466" i="35"/>
  <c r="A467" i="35"/>
  <c r="B467" i="35"/>
  <c r="C467" i="35"/>
  <c r="D467" i="35"/>
  <c r="E467" i="35"/>
  <c r="F467" i="35"/>
  <c r="G467" i="35"/>
  <c r="H467" i="35"/>
  <c r="I467" i="35"/>
  <c r="J467" i="35"/>
  <c r="A468" i="35"/>
  <c r="B468" i="35"/>
  <c r="C468" i="35"/>
  <c r="D468" i="35"/>
  <c r="E468" i="35"/>
  <c r="F468" i="35"/>
  <c r="G468" i="35"/>
  <c r="H468" i="35"/>
  <c r="I468" i="35"/>
  <c r="J468" i="35"/>
  <c r="K468" i="35"/>
  <c r="A469" i="35"/>
  <c r="B469" i="35"/>
  <c r="C469" i="35"/>
  <c r="D469" i="35"/>
  <c r="E469" i="35"/>
  <c r="F469" i="35"/>
  <c r="G469" i="35"/>
  <c r="H469" i="35"/>
  <c r="I469" i="35"/>
  <c r="J469" i="35"/>
  <c r="A470" i="35"/>
  <c r="B470" i="35"/>
  <c r="C470" i="35"/>
  <c r="D470" i="35"/>
  <c r="E470" i="35"/>
  <c r="F470" i="35"/>
  <c r="G470" i="35"/>
  <c r="H470" i="35"/>
  <c r="I470" i="35"/>
  <c r="J470" i="35"/>
  <c r="K470" i="35"/>
  <c r="A471" i="35"/>
  <c r="B471" i="35"/>
  <c r="C471" i="35"/>
  <c r="D471" i="35"/>
  <c r="E471" i="35"/>
  <c r="F471" i="35"/>
  <c r="G471" i="35"/>
  <c r="H471" i="35"/>
  <c r="I471" i="35"/>
  <c r="J471" i="35"/>
  <c r="A472" i="35"/>
  <c r="B472" i="35"/>
  <c r="C472" i="35"/>
  <c r="D472" i="35"/>
  <c r="E472" i="35"/>
  <c r="F472" i="35"/>
  <c r="G472" i="35"/>
  <c r="H472" i="35"/>
  <c r="I472" i="35"/>
  <c r="J472" i="35"/>
  <c r="K472" i="35"/>
  <c r="A473" i="35"/>
  <c r="B473" i="35"/>
  <c r="C473" i="35"/>
  <c r="D473" i="35"/>
  <c r="E473" i="35"/>
  <c r="F473" i="35"/>
  <c r="G473" i="35"/>
  <c r="H473" i="35"/>
  <c r="I473" i="35"/>
  <c r="J473" i="35"/>
  <c r="A474" i="35"/>
  <c r="B474" i="35"/>
  <c r="C474" i="35"/>
  <c r="D474" i="35"/>
  <c r="E474" i="35"/>
  <c r="F474" i="35"/>
  <c r="G474" i="35"/>
  <c r="H474" i="35"/>
  <c r="I474" i="35"/>
  <c r="J474" i="35"/>
  <c r="K474" i="35"/>
  <c r="A475" i="35"/>
  <c r="B475" i="35"/>
  <c r="C475" i="35"/>
  <c r="D475" i="35"/>
  <c r="E475" i="35"/>
  <c r="F475" i="35"/>
  <c r="G475" i="35"/>
  <c r="H475" i="35"/>
  <c r="I475" i="35"/>
  <c r="J475" i="35"/>
  <c r="A476" i="35"/>
  <c r="B476" i="35"/>
  <c r="C476" i="35"/>
  <c r="D476" i="35"/>
  <c r="E476" i="35"/>
  <c r="F476" i="35"/>
  <c r="G476" i="35"/>
  <c r="H476" i="35"/>
  <c r="I476" i="35"/>
  <c r="J476" i="35"/>
  <c r="K476" i="35"/>
  <c r="A477" i="35"/>
  <c r="B477" i="35"/>
  <c r="C477" i="35"/>
  <c r="D477" i="35"/>
  <c r="E477" i="35"/>
  <c r="F477" i="35"/>
  <c r="G477" i="35"/>
  <c r="H477" i="35"/>
  <c r="I477" i="35"/>
  <c r="J477" i="35"/>
  <c r="A478" i="35"/>
  <c r="B478" i="35"/>
  <c r="C478" i="35"/>
  <c r="D478" i="35"/>
  <c r="E478" i="35"/>
  <c r="F478" i="35"/>
  <c r="G478" i="35"/>
  <c r="H478" i="35"/>
  <c r="I478" i="35"/>
  <c r="J478" i="35"/>
  <c r="K478" i="35"/>
  <c r="A479" i="35"/>
  <c r="B479" i="35"/>
  <c r="C479" i="35"/>
  <c r="D479" i="35"/>
  <c r="E479" i="35"/>
  <c r="F479" i="35"/>
  <c r="G479" i="35"/>
  <c r="H479" i="35"/>
  <c r="I479" i="35"/>
  <c r="J479" i="35"/>
  <c r="H480" i="35"/>
  <c r="J480" i="35"/>
  <c r="A481" i="35"/>
  <c r="F481" i="35"/>
  <c r="G481" i="35"/>
  <c r="H481" i="35"/>
  <c r="I481" i="35"/>
  <c r="K481" i="35"/>
  <c r="I482" i="35"/>
  <c r="A483" i="35"/>
  <c r="B483" i="35"/>
  <c r="C483" i="35"/>
  <c r="D483" i="35"/>
  <c r="E483" i="35"/>
  <c r="F483" i="35"/>
  <c r="G483" i="35"/>
  <c r="H483" i="35"/>
  <c r="I483" i="35"/>
  <c r="J483" i="35"/>
  <c r="A484" i="35"/>
  <c r="B484" i="35"/>
  <c r="C484" i="35"/>
  <c r="D484" i="35"/>
  <c r="E484" i="35"/>
  <c r="F484" i="35"/>
  <c r="G484" i="35"/>
  <c r="H484" i="35"/>
  <c r="I484" i="35"/>
  <c r="J484" i="35"/>
  <c r="K484" i="35"/>
  <c r="A485" i="35"/>
  <c r="B485" i="35"/>
  <c r="C485" i="35"/>
  <c r="D485" i="35"/>
  <c r="E485" i="35"/>
  <c r="F485" i="35"/>
  <c r="G485" i="35"/>
  <c r="H485" i="35"/>
  <c r="I485" i="35"/>
  <c r="J485" i="35"/>
  <c r="A486" i="35"/>
  <c r="B486" i="35"/>
  <c r="C486" i="35"/>
  <c r="D486" i="35"/>
  <c r="E486" i="35"/>
  <c r="F486" i="35"/>
  <c r="G486" i="35"/>
  <c r="H486" i="35"/>
  <c r="I486" i="35"/>
  <c r="J486" i="35"/>
  <c r="K486" i="35"/>
  <c r="A487" i="35"/>
  <c r="B487" i="35"/>
  <c r="C487" i="35"/>
  <c r="D487" i="35"/>
  <c r="E487" i="35"/>
  <c r="F487" i="35"/>
  <c r="G487" i="35"/>
  <c r="H487" i="35"/>
  <c r="I487" i="35"/>
  <c r="J487" i="35"/>
  <c r="A488" i="35"/>
  <c r="B488" i="35"/>
  <c r="C488" i="35"/>
  <c r="D488" i="35"/>
  <c r="E488" i="35"/>
  <c r="F488" i="35"/>
  <c r="G488" i="35"/>
  <c r="H488" i="35"/>
  <c r="I488" i="35"/>
  <c r="J488" i="35"/>
  <c r="K488" i="35"/>
  <c r="A489" i="35"/>
  <c r="B489" i="35"/>
  <c r="C489" i="35"/>
  <c r="D489" i="35"/>
  <c r="E489" i="35"/>
  <c r="F489" i="35"/>
  <c r="G489" i="35"/>
  <c r="H489" i="35"/>
  <c r="I489" i="35"/>
  <c r="J489" i="35"/>
  <c r="A490" i="35"/>
  <c r="B490" i="35"/>
  <c r="C490" i="35"/>
  <c r="D490" i="35"/>
  <c r="E490" i="35"/>
  <c r="F490" i="35"/>
  <c r="G490" i="35"/>
  <c r="H490" i="35"/>
  <c r="I490" i="35"/>
  <c r="J490" i="35"/>
  <c r="K490" i="35"/>
  <c r="A491" i="35"/>
  <c r="B491" i="35"/>
  <c r="C491" i="35"/>
  <c r="D491" i="35"/>
  <c r="E491" i="35"/>
  <c r="F491" i="35"/>
  <c r="G491" i="35"/>
  <c r="H491" i="35"/>
  <c r="I491" i="35"/>
  <c r="J491" i="35"/>
  <c r="A492" i="35"/>
  <c r="B492" i="35"/>
  <c r="C492" i="35"/>
  <c r="D492" i="35"/>
  <c r="E492" i="35"/>
  <c r="F492" i="35"/>
  <c r="G492" i="35"/>
  <c r="H492" i="35"/>
  <c r="I492" i="35"/>
  <c r="J492" i="35"/>
  <c r="K492" i="35"/>
  <c r="A493" i="35"/>
  <c r="B493" i="35"/>
  <c r="C493" i="35"/>
  <c r="D493" i="35"/>
  <c r="E493" i="35"/>
  <c r="F493" i="35"/>
  <c r="G493" i="35"/>
  <c r="H493" i="35"/>
  <c r="I493" i="35"/>
  <c r="J493" i="35"/>
  <c r="A494" i="35"/>
  <c r="B494" i="35"/>
  <c r="C494" i="35"/>
  <c r="D494" i="35"/>
  <c r="E494" i="35"/>
  <c r="F494" i="35"/>
  <c r="G494" i="35"/>
  <c r="H494" i="35"/>
  <c r="I494" i="35"/>
  <c r="J494" i="35"/>
  <c r="K494" i="35"/>
  <c r="A495" i="35"/>
  <c r="B495" i="35"/>
  <c r="C495" i="35"/>
  <c r="D495" i="35"/>
  <c r="E495" i="35"/>
  <c r="F495" i="35"/>
  <c r="G495" i="35"/>
  <c r="H495" i="35"/>
  <c r="I495" i="35"/>
  <c r="J495" i="35"/>
  <c r="J496" i="35"/>
  <c r="A497" i="35"/>
  <c r="F497" i="35"/>
  <c r="G497" i="35"/>
  <c r="H497" i="35"/>
  <c r="I497" i="35"/>
  <c r="I498" i="35"/>
  <c r="A499" i="35"/>
  <c r="B499" i="35"/>
  <c r="C499" i="35"/>
  <c r="D499" i="35"/>
  <c r="E499" i="35"/>
  <c r="F499" i="35"/>
  <c r="G499" i="35"/>
  <c r="H499" i="35"/>
  <c r="I499" i="35"/>
  <c r="J499" i="35"/>
  <c r="A500" i="35"/>
  <c r="B500" i="35"/>
  <c r="C500" i="35"/>
  <c r="D500" i="35"/>
  <c r="E500" i="35"/>
  <c r="F500" i="35"/>
  <c r="G500" i="35"/>
  <c r="H500" i="35"/>
  <c r="I500" i="35"/>
  <c r="J500" i="35"/>
  <c r="K500" i="35"/>
  <c r="A501" i="35"/>
  <c r="B501" i="35"/>
  <c r="C501" i="35"/>
  <c r="D501" i="35"/>
  <c r="E501" i="35"/>
  <c r="F501" i="35"/>
  <c r="G501" i="35"/>
  <c r="H501" i="35"/>
  <c r="I501" i="35"/>
  <c r="J501" i="35"/>
  <c r="A502" i="35"/>
  <c r="B502" i="35"/>
  <c r="C502" i="35"/>
  <c r="D502" i="35"/>
  <c r="E502" i="35"/>
  <c r="F502" i="35"/>
  <c r="G502" i="35"/>
  <c r="H502" i="35"/>
  <c r="I502" i="35"/>
  <c r="J502" i="35"/>
  <c r="K502" i="35"/>
  <c r="A503" i="35"/>
  <c r="B503" i="35"/>
  <c r="C503" i="35"/>
  <c r="D503" i="35"/>
  <c r="E503" i="35"/>
  <c r="F503" i="35"/>
  <c r="G503" i="35"/>
  <c r="H503" i="35"/>
  <c r="I503" i="35"/>
  <c r="J503" i="35"/>
  <c r="A504" i="35"/>
  <c r="B504" i="35"/>
  <c r="C504" i="35"/>
  <c r="D504" i="35"/>
  <c r="E504" i="35"/>
  <c r="F504" i="35"/>
  <c r="G504" i="35"/>
  <c r="H504" i="35"/>
  <c r="I504" i="35"/>
  <c r="J504" i="35"/>
  <c r="K504" i="35"/>
  <c r="A505" i="35"/>
  <c r="B505" i="35"/>
  <c r="C505" i="35"/>
  <c r="D505" i="35"/>
  <c r="E505" i="35"/>
  <c r="F505" i="35"/>
  <c r="G505" i="35"/>
  <c r="H505" i="35"/>
  <c r="I505" i="35"/>
  <c r="J505" i="35"/>
  <c r="A506" i="35"/>
  <c r="B506" i="35"/>
  <c r="C506" i="35"/>
  <c r="D506" i="35"/>
  <c r="E506" i="35"/>
  <c r="F506" i="35"/>
  <c r="G506" i="35"/>
  <c r="H506" i="35"/>
  <c r="I506" i="35"/>
  <c r="J506" i="35"/>
  <c r="K506" i="35"/>
  <c r="A507" i="35"/>
  <c r="B507" i="35"/>
  <c r="C507" i="35"/>
  <c r="D507" i="35"/>
  <c r="E507" i="35"/>
  <c r="F507" i="35"/>
  <c r="G507" i="35"/>
  <c r="H507" i="35"/>
  <c r="I507" i="35"/>
  <c r="J507" i="35"/>
  <c r="A508" i="35"/>
  <c r="B508" i="35"/>
  <c r="C508" i="35"/>
  <c r="D508" i="35"/>
  <c r="E508" i="35"/>
  <c r="F508" i="35"/>
  <c r="G508" i="35"/>
  <c r="H508" i="35"/>
  <c r="I508" i="35"/>
  <c r="J508" i="35"/>
  <c r="K508" i="35"/>
  <c r="A509" i="35"/>
  <c r="B509" i="35"/>
  <c r="C509" i="35"/>
  <c r="D509" i="35"/>
  <c r="E509" i="35"/>
  <c r="F509" i="35"/>
  <c r="G509" i="35"/>
  <c r="H509" i="35"/>
  <c r="I509" i="35"/>
  <c r="J509" i="35"/>
  <c r="A510" i="35"/>
  <c r="B510" i="35"/>
  <c r="C510" i="35"/>
  <c r="D510" i="35"/>
  <c r="E510" i="35"/>
  <c r="F510" i="35"/>
  <c r="G510" i="35"/>
  <c r="H510" i="35"/>
  <c r="I510" i="35"/>
  <c r="J510" i="35"/>
  <c r="K510" i="35"/>
  <c r="A511" i="35"/>
  <c r="B511" i="35"/>
  <c r="C511" i="35"/>
  <c r="D511" i="35"/>
  <c r="E511" i="35"/>
  <c r="F511" i="35"/>
  <c r="G511" i="35"/>
  <c r="H511" i="35"/>
  <c r="I511" i="35"/>
  <c r="J511" i="35"/>
  <c r="H512" i="35"/>
  <c r="J512" i="35"/>
  <c r="A513" i="35"/>
  <c r="F513" i="35"/>
  <c r="G513" i="35"/>
  <c r="H513" i="35"/>
  <c r="I513" i="35"/>
  <c r="K513" i="35"/>
  <c r="I514" i="35"/>
  <c r="A515" i="35"/>
  <c r="B515" i="35"/>
  <c r="C515" i="35"/>
  <c r="D515" i="35"/>
  <c r="E515" i="35"/>
  <c r="F515" i="35"/>
  <c r="G515" i="35"/>
  <c r="H515" i="35"/>
  <c r="I515" i="35"/>
  <c r="J515" i="35"/>
  <c r="A516" i="35"/>
  <c r="B516" i="35"/>
  <c r="C516" i="35"/>
  <c r="D516" i="35"/>
  <c r="E516" i="35"/>
  <c r="F516" i="35"/>
  <c r="G516" i="35"/>
  <c r="H516" i="35"/>
  <c r="I516" i="35"/>
  <c r="J516" i="35"/>
  <c r="K516" i="35"/>
  <c r="A517" i="35"/>
  <c r="B517" i="35"/>
  <c r="C517" i="35"/>
  <c r="D517" i="35"/>
  <c r="E517" i="35"/>
  <c r="F517" i="35"/>
  <c r="G517" i="35"/>
  <c r="H517" i="35"/>
  <c r="I517" i="35"/>
  <c r="J517" i="35"/>
  <c r="A518" i="35"/>
  <c r="B518" i="35"/>
  <c r="C518" i="35"/>
  <c r="D518" i="35"/>
  <c r="E518" i="35"/>
  <c r="F518" i="35"/>
  <c r="G518" i="35"/>
  <c r="H518" i="35"/>
  <c r="I518" i="35"/>
  <c r="J518" i="35"/>
  <c r="K518" i="35"/>
  <c r="A519" i="35"/>
  <c r="B519" i="35"/>
  <c r="C519" i="35"/>
  <c r="D519" i="35"/>
  <c r="E519" i="35"/>
  <c r="F519" i="35"/>
  <c r="G519" i="35"/>
  <c r="H519" i="35"/>
  <c r="I519" i="35"/>
  <c r="J519" i="35"/>
  <c r="A520" i="35"/>
  <c r="B520" i="35"/>
  <c r="C520" i="35"/>
  <c r="D520" i="35"/>
  <c r="E520" i="35"/>
  <c r="F520" i="35"/>
  <c r="G520" i="35"/>
  <c r="H520" i="35"/>
  <c r="I520" i="35"/>
  <c r="J520" i="35"/>
  <c r="K520" i="35"/>
  <c r="A521" i="35"/>
  <c r="B521" i="35"/>
  <c r="C521" i="35"/>
  <c r="D521" i="35"/>
  <c r="E521" i="35"/>
  <c r="F521" i="35"/>
  <c r="G521" i="35"/>
  <c r="H521" i="35"/>
  <c r="I521" i="35"/>
  <c r="J521" i="35"/>
  <c r="A522" i="35"/>
  <c r="B522" i="35"/>
  <c r="C522" i="35"/>
  <c r="D522" i="35"/>
  <c r="E522" i="35"/>
  <c r="F522" i="35"/>
  <c r="G522" i="35"/>
  <c r="H522" i="35"/>
  <c r="I522" i="35"/>
  <c r="J522" i="35"/>
  <c r="K522" i="35"/>
  <c r="A523" i="35"/>
  <c r="B523" i="35"/>
  <c r="C523" i="35"/>
  <c r="D523" i="35"/>
  <c r="E523" i="35"/>
  <c r="F523" i="35"/>
  <c r="G523" i="35"/>
  <c r="H523" i="35"/>
  <c r="I523" i="35"/>
  <c r="J523" i="35"/>
  <c r="A524" i="35"/>
  <c r="B524" i="35"/>
  <c r="C524" i="35"/>
  <c r="D524" i="35"/>
  <c r="E524" i="35"/>
  <c r="F524" i="35"/>
  <c r="G524" i="35"/>
  <c r="H524" i="35"/>
  <c r="I524" i="35"/>
  <c r="J524" i="35"/>
  <c r="K524" i="35"/>
  <c r="A525" i="35"/>
  <c r="B525" i="35"/>
  <c r="C525" i="35"/>
  <c r="D525" i="35"/>
  <c r="E525" i="35"/>
  <c r="F525" i="35"/>
  <c r="G525" i="35"/>
  <c r="H525" i="35"/>
  <c r="I525" i="35"/>
  <c r="J525" i="35"/>
  <c r="A526" i="35"/>
  <c r="B526" i="35"/>
  <c r="C526" i="35"/>
  <c r="D526" i="35"/>
  <c r="E526" i="35"/>
  <c r="F526" i="35"/>
  <c r="G526" i="35"/>
  <c r="H526" i="35"/>
  <c r="I526" i="35"/>
  <c r="J526" i="35"/>
  <c r="K526" i="35"/>
  <c r="A527" i="35"/>
  <c r="B527" i="35"/>
  <c r="C527" i="35"/>
  <c r="D527" i="35"/>
  <c r="E527" i="35"/>
  <c r="F527" i="35"/>
  <c r="G527" i="35"/>
  <c r="H527" i="35"/>
  <c r="I527" i="35"/>
  <c r="J527" i="35"/>
  <c r="H528" i="35"/>
  <c r="J528" i="35"/>
  <c r="A529" i="35"/>
  <c r="F529" i="35"/>
  <c r="G529" i="35"/>
  <c r="H529" i="35"/>
  <c r="I529" i="35"/>
  <c r="K529" i="35"/>
  <c r="I530" i="35"/>
  <c r="A531" i="35"/>
  <c r="B531" i="35"/>
  <c r="C531" i="35"/>
  <c r="D531" i="35"/>
  <c r="E531" i="35"/>
  <c r="F531" i="35"/>
  <c r="G531" i="35"/>
  <c r="H531" i="35"/>
  <c r="I531" i="35"/>
  <c r="J531" i="35"/>
  <c r="M531" i="35"/>
  <c r="A532" i="35"/>
  <c r="B532" i="35"/>
  <c r="C532" i="35"/>
  <c r="D532" i="35"/>
  <c r="E532" i="35"/>
  <c r="F532" i="35"/>
  <c r="G532" i="35"/>
  <c r="H532" i="35"/>
  <c r="I532" i="35"/>
  <c r="J532" i="35"/>
  <c r="M532" i="35"/>
  <c r="A533" i="35"/>
  <c r="B533" i="35"/>
  <c r="C533" i="35"/>
  <c r="D533" i="35"/>
  <c r="E533" i="35"/>
  <c r="F533" i="35"/>
  <c r="G533" i="35"/>
  <c r="H533" i="35"/>
  <c r="I533" i="35"/>
  <c r="J533" i="35"/>
  <c r="M533" i="35"/>
  <c r="A534" i="35"/>
  <c r="B534" i="35"/>
  <c r="C534" i="35"/>
  <c r="D534" i="35"/>
  <c r="E534" i="35"/>
  <c r="F534" i="35"/>
  <c r="G534" i="35"/>
  <c r="H534" i="35"/>
  <c r="I534" i="35"/>
  <c r="J534" i="35"/>
  <c r="K534" i="35"/>
  <c r="A535" i="35"/>
  <c r="B535" i="35"/>
  <c r="C535" i="35"/>
  <c r="D535" i="35"/>
  <c r="E535" i="35"/>
  <c r="F535" i="35"/>
  <c r="G535" i="35"/>
  <c r="H535" i="35"/>
  <c r="I535" i="35"/>
  <c r="J535" i="35"/>
  <c r="A536" i="35"/>
  <c r="B536" i="35"/>
  <c r="C536" i="35"/>
  <c r="D536" i="35"/>
  <c r="E536" i="35"/>
  <c r="F536" i="35"/>
  <c r="G536" i="35"/>
  <c r="H536" i="35"/>
  <c r="I536" i="35"/>
  <c r="J536" i="35"/>
  <c r="K536" i="35"/>
  <c r="A537" i="35"/>
  <c r="B537" i="35"/>
  <c r="C537" i="35"/>
  <c r="D537" i="35"/>
  <c r="E537" i="35"/>
  <c r="F537" i="35"/>
  <c r="G537" i="35"/>
  <c r="H537" i="35"/>
  <c r="I537" i="35"/>
  <c r="J537" i="35"/>
  <c r="A538" i="35"/>
  <c r="B538" i="35"/>
  <c r="C538" i="35"/>
  <c r="D538" i="35"/>
  <c r="E538" i="35"/>
  <c r="F538" i="35"/>
  <c r="G538" i="35"/>
  <c r="H538" i="35"/>
  <c r="I538" i="35"/>
  <c r="J538" i="35"/>
  <c r="K538" i="35"/>
  <c r="A539" i="35"/>
  <c r="B539" i="35"/>
  <c r="C539" i="35"/>
  <c r="D539" i="35"/>
  <c r="E539" i="35"/>
  <c r="F539" i="35"/>
  <c r="G539" i="35"/>
  <c r="H539" i="35"/>
  <c r="I539" i="35"/>
  <c r="J539" i="35"/>
  <c r="A540" i="35"/>
  <c r="B540" i="35"/>
  <c r="C540" i="35"/>
  <c r="D540" i="35"/>
  <c r="E540" i="35"/>
  <c r="F540" i="35"/>
  <c r="G540" i="35"/>
  <c r="H540" i="35"/>
  <c r="I540" i="35"/>
  <c r="J540" i="35"/>
  <c r="K540" i="35"/>
  <c r="A541" i="35"/>
  <c r="B541" i="35"/>
  <c r="C541" i="35"/>
  <c r="D541" i="35"/>
  <c r="E541" i="35"/>
  <c r="F541" i="35"/>
  <c r="G541" i="35"/>
  <c r="H541" i="35"/>
  <c r="I541" i="35"/>
  <c r="J541" i="35"/>
  <c r="M541" i="35"/>
  <c r="A542" i="35"/>
  <c r="B542" i="35"/>
  <c r="C542" i="35"/>
  <c r="D542" i="35"/>
  <c r="E542" i="35"/>
  <c r="F542" i="35"/>
  <c r="G542" i="35"/>
  <c r="H542" i="35"/>
  <c r="I542" i="35"/>
  <c r="J542" i="35"/>
  <c r="A543" i="35"/>
  <c r="B543" i="35"/>
  <c r="C543" i="35"/>
  <c r="D543" i="35"/>
  <c r="E543" i="35"/>
  <c r="F543" i="35"/>
  <c r="G543" i="35"/>
  <c r="H543" i="35"/>
  <c r="I543" i="35"/>
  <c r="J543" i="35"/>
  <c r="K543" i="35"/>
  <c r="I544" i="35"/>
  <c r="A545" i="35"/>
  <c r="F545" i="35"/>
  <c r="G545" i="35"/>
  <c r="H545" i="35"/>
  <c r="I545" i="35"/>
  <c r="K545" i="35"/>
  <c r="I546" i="35"/>
  <c r="A547" i="35"/>
  <c r="B547" i="35"/>
  <c r="C547" i="35"/>
  <c r="D547" i="35"/>
  <c r="E547" i="35"/>
  <c r="F547" i="35"/>
  <c r="G547" i="35"/>
  <c r="H547" i="35"/>
  <c r="I547" i="35"/>
  <c r="J547" i="35"/>
  <c r="K547" i="35"/>
  <c r="A548" i="35"/>
  <c r="B548" i="35"/>
  <c r="C548" i="35"/>
  <c r="D548" i="35"/>
  <c r="E548" i="35"/>
  <c r="F548" i="35"/>
  <c r="G548" i="35"/>
  <c r="H548" i="35"/>
  <c r="I548" i="35"/>
  <c r="J548" i="35"/>
  <c r="A549" i="35"/>
  <c r="B549" i="35"/>
  <c r="C549" i="35"/>
  <c r="D549" i="35"/>
  <c r="E549" i="35"/>
  <c r="F549" i="35"/>
  <c r="G549" i="35"/>
  <c r="H549" i="35"/>
  <c r="I549" i="35"/>
  <c r="J549" i="35"/>
  <c r="K549" i="35"/>
  <c r="A550" i="35"/>
  <c r="B550" i="35"/>
  <c r="C550" i="35"/>
  <c r="D550" i="35"/>
  <c r="E550" i="35"/>
  <c r="F550" i="35"/>
  <c r="G550" i="35"/>
  <c r="H550" i="35"/>
  <c r="I550" i="35"/>
  <c r="J550" i="35"/>
  <c r="A551" i="35"/>
  <c r="B551" i="35"/>
  <c r="C551" i="35"/>
  <c r="D551" i="35"/>
  <c r="E551" i="35"/>
  <c r="F551" i="35"/>
  <c r="G551" i="35"/>
  <c r="H551" i="35"/>
  <c r="I551" i="35"/>
  <c r="J551" i="35"/>
  <c r="K551" i="35"/>
  <c r="A552" i="35"/>
  <c r="B552" i="35"/>
  <c r="C552" i="35"/>
  <c r="D552" i="35"/>
  <c r="E552" i="35"/>
  <c r="F552" i="35"/>
  <c r="G552" i="35"/>
  <c r="H552" i="35"/>
  <c r="I552" i="35"/>
  <c r="J552" i="35"/>
  <c r="A553" i="35"/>
  <c r="B553" i="35"/>
  <c r="C553" i="35"/>
  <c r="D553" i="35"/>
  <c r="E553" i="35"/>
  <c r="F553" i="35"/>
  <c r="G553" i="35"/>
  <c r="H553" i="35"/>
  <c r="I553" i="35"/>
  <c r="J553" i="35"/>
  <c r="K553" i="35"/>
  <c r="A554" i="35"/>
  <c r="B554" i="35"/>
  <c r="C554" i="35"/>
  <c r="D554" i="35"/>
  <c r="E554" i="35"/>
  <c r="F554" i="35"/>
  <c r="G554" i="35"/>
  <c r="H554" i="35"/>
  <c r="I554" i="35"/>
  <c r="J554" i="35"/>
  <c r="A555" i="35"/>
  <c r="B555" i="35"/>
  <c r="C555" i="35"/>
  <c r="D555" i="35"/>
  <c r="E555" i="35"/>
  <c r="F555" i="35"/>
  <c r="G555" i="35"/>
  <c r="H555" i="35"/>
  <c r="I555" i="35"/>
  <c r="J555" i="35"/>
  <c r="K555" i="35"/>
  <c r="A556" i="35"/>
  <c r="B556" i="35"/>
  <c r="C556" i="35"/>
  <c r="D556" i="35"/>
  <c r="E556" i="35"/>
  <c r="F556" i="35"/>
  <c r="G556" i="35"/>
  <c r="H556" i="35"/>
  <c r="I556" i="35"/>
  <c r="J556" i="35"/>
  <c r="A557" i="35"/>
  <c r="B557" i="35"/>
  <c r="C557" i="35"/>
  <c r="D557" i="35"/>
  <c r="E557" i="35"/>
  <c r="F557" i="35"/>
  <c r="G557" i="35"/>
  <c r="H557" i="35"/>
  <c r="I557" i="35"/>
  <c r="J557" i="35"/>
  <c r="K557" i="35"/>
  <c r="A558" i="35"/>
  <c r="B558" i="35"/>
  <c r="C558" i="35"/>
  <c r="D558" i="35"/>
  <c r="E558" i="35"/>
  <c r="F558" i="35"/>
  <c r="G558" i="35"/>
  <c r="H558" i="35"/>
  <c r="I558" i="35"/>
  <c r="J558" i="35"/>
  <c r="A559" i="35"/>
  <c r="B559" i="35"/>
  <c r="C559" i="35"/>
  <c r="D559" i="35"/>
  <c r="E559" i="35"/>
  <c r="F559" i="35"/>
  <c r="G559" i="35"/>
  <c r="H559" i="35"/>
  <c r="I559" i="35"/>
  <c r="J559" i="35"/>
  <c r="K559" i="35"/>
  <c r="I560" i="35"/>
  <c r="A561" i="35"/>
  <c r="F561" i="35"/>
  <c r="G561" i="35"/>
  <c r="H561" i="35"/>
  <c r="A562" i="35"/>
  <c r="B562" i="35"/>
  <c r="C562" i="35"/>
  <c r="D562" i="35"/>
  <c r="E562" i="35"/>
  <c r="F562" i="35"/>
  <c r="G562" i="35"/>
  <c r="H562" i="35"/>
  <c r="I562" i="35"/>
  <c r="J562" i="35"/>
  <c r="I563" i="35"/>
  <c r="A564" i="35"/>
  <c r="B564" i="35"/>
  <c r="C564" i="35"/>
  <c r="D564" i="35"/>
  <c r="E564" i="35"/>
  <c r="F564" i="35"/>
  <c r="G564" i="35"/>
  <c r="H564" i="35"/>
  <c r="I564" i="35"/>
  <c r="J564" i="35"/>
  <c r="A565" i="35"/>
  <c r="B565" i="35"/>
  <c r="C565" i="35"/>
  <c r="D565" i="35"/>
  <c r="E565" i="35"/>
  <c r="F565" i="35"/>
  <c r="G565" i="35"/>
  <c r="H565" i="35"/>
  <c r="I565" i="35"/>
  <c r="J565" i="35"/>
  <c r="K565" i="35"/>
  <c r="A566" i="35"/>
  <c r="B566" i="35"/>
  <c r="C566" i="35"/>
  <c r="D566" i="35"/>
  <c r="E566" i="35"/>
  <c r="F566" i="35"/>
  <c r="G566" i="35"/>
  <c r="H566" i="35"/>
  <c r="I566" i="35"/>
  <c r="J566" i="35"/>
  <c r="A567" i="35"/>
  <c r="B567" i="35"/>
  <c r="C567" i="35"/>
  <c r="D567" i="35"/>
  <c r="E567" i="35"/>
  <c r="F567" i="35"/>
  <c r="G567" i="35"/>
  <c r="H567" i="35"/>
  <c r="I567" i="35"/>
  <c r="J567" i="35"/>
  <c r="K567" i="35"/>
  <c r="A568" i="35"/>
  <c r="B568" i="35"/>
  <c r="C568" i="35"/>
  <c r="D568" i="35"/>
  <c r="E568" i="35"/>
  <c r="F568" i="35"/>
  <c r="G568" i="35"/>
  <c r="H568" i="35"/>
  <c r="I568" i="35"/>
  <c r="J568" i="35"/>
  <c r="A569" i="35"/>
  <c r="B569" i="35"/>
  <c r="C569" i="35"/>
  <c r="D569" i="35"/>
  <c r="E569" i="35"/>
  <c r="F569" i="35"/>
  <c r="G569" i="35"/>
  <c r="H569" i="35"/>
  <c r="I569" i="35"/>
  <c r="J569" i="35"/>
  <c r="K569" i="35"/>
  <c r="A570" i="35"/>
  <c r="B570" i="35"/>
  <c r="C570" i="35"/>
  <c r="D570" i="35"/>
  <c r="E570" i="35"/>
  <c r="F570" i="35"/>
  <c r="G570" i="35"/>
  <c r="H570" i="35"/>
  <c r="I570" i="35"/>
  <c r="J570" i="35"/>
  <c r="A571" i="35"/>
  <c r="B571" i="35"/>
  <c r="C571" i="35"/>
  <c r="D571" i="35"/>
  <c r="E571" i="35"/>
  <c r="F571" i="35"/>
  <c r="G571" i="35"/>
  <c r="H571" i="35"/>
  <c r="I571" i="35"/>
  <c r="J571" i="35"/>
  <c r="K571" i="35"/>
  <c r="A572" i="35"/>
  <c r="B572" i="35"/>
  <c r="C572" i="35"/>
  <c r="D572" i="35"/>
  <c r="E572" i="35"/>
  <c r="F572" i="35"/>
  <c r="G572" i="35"/>
  <c r="H572" i="35"/>
  <c r="I572" i="35"/>
  <c r="J572" i="35"/>
  <c r="A573" i="35"/>
  <c r="B573" i="35"/>
  <c r="C573" i="35"/>
  <c r="D573" i="35"/>
  <c r="E573" i="35"/>
  <c r="F573" i="35"/>
  <c r="G573" i="35"/>
  <c r="H573" i="35"/>
  <c r="I573" i="35"/>
  <c r="J573" i="35"/>
  <c r="K573" i="35"/>
  <c r="A574" i="35"/>
  <c r="B574" i="35"/>
  <c r="C574" i="35"/>
  <c r="D574" i="35"/>
  <c r="E574" i="35"/>
  <c r="F574" i="35"/>
  <c r="G574" i="35"/>
  <c r="H574" i="35"/>
  <c r="I574" i="35"/>
  <c r="J574" i="35"/>
  <c r="A575" i="35"/>
  <c r="B575" i="35"/>
  <c r="C575" i="35"/>
  <c r="D575" i="35"/>
  <c r="E575" i="35"/>
  <c r="F575" i="35"/>
  <c r="G575" i="35"/>
  <c r="H575" i="35"/>
  <c r="I575" i="35"/>
  <c r="J575" i="35"/>
  <c r="K575" i="35"/>
  <c r="A576" i="35"/>
  <c r="B576" i="35"/>
  <c r="C576" i="35"/>
  <c r="D576" i="35"/>
  <c r="E576" i="35"/>
  <c r="F576" i="35"/>
  <c r="G576" i="35"/>
  <c r="H576" i="35"/>
  <c r="I576" i="35"/>
  <c r="J576" i="35"/>
  <c r="J577" i="35"/>
  <c r="A578" i="35"/>
  <c r="F578" i="35"/>
  <c r="G578" i="35"/>
  <c r="H578" i="35"/>
  <c r="I578" i="35"/>
  <c r="K578" i="35"/>
  <c r="I579" i="35"/>
  <c r="A580" i="35"/>
  <c r="B580" i="35"/>
  <c r="C580" i="35"/>
  <c r="D580" i="35"/>
  <c r="E580" i="35"/>
  <c r="F580" i="35"/>
  <c r="G580" i="35"/>
  <c r="H580" i="35"/>
  <c r="I580" i="35"/>
  <c r="J580" i="35"/>
  <c r="A581" i="35"/>
  <c r="B581" i="35"/>
  <c r="C581" i="35"/>
  <c r="D581" i="35"/>
  <c r="E581" i="35"/>
  <c r="F581" i="35"/>
  <c r="G581" i="35"/>
  <c r="H581" i="35"/>
  <c r="I581" i="35"/>
  <c r="J581" i="35"/>
  <c r="K581" i="35"/>
  <c r="A582" i="35"/>
  <c r="B582" i="35"/>
  <c r="C582" i="35"/>
  <c r="D582" i="35"/>
  <c r="E582" i="35"/>
  <c r="F582" i="35"/>
  <c r="G582" i="35"/>
  <c r="H582" i="35"/>
  <c r="I582" i="35"/>
  <c r="J582" i="35"/>
  <c r="A583" i="35"/>
  <c r="B583" i="35"/>
  <c r="C583" i="35"/>
  <c r="D583" i="35"/>
  <c r="E583" i="35"/>
  <c r="F583" i="35"/>
  <c r="G583" i="35"/>
  <c r="H583" i="35"/>
  <c r="I583" i="35"/>
  <c r="J583" i="35"/>
  <c r="K583" i="35"/>
  <c r="A584" i="35"/>
  <c r="B584" i="35"/>
  <c r="C584" i="35"/>
  <c r="D584" i="35"/>
  <c r="E584" i="35"/>
  <c r="F584" i="35"/>
  <c r="G584" i="35"/>
  <c r="H584" i="35"/>
  <c r="I584" i="35"/>
  <c r="J584" i="35"/>
  <c r="A585" i="35"/>
  <c r="B585" i="35"/>
  <c r="C585" i="35"/>
  <c r="D585" i="35"/>
  <c r="E585" i="35"/>
  <c r="F585" i="35"/>
  <c r="G585" i="35"/>
  <c r="H585" i="35"/>
  <c r="I585" i="35"/>
  <c r="J585" i="35"/>
  <c r="K585" i="35"/>
  <c r="A586" i="35"/>
  <c r="B586" i="35"/>
  <c r="C586" i="35"/>
  <c r="D586" i="35"/>
  <c r="E586" i="35"/>
  <c r="F586" i="35"/>
  <c r="G586" i="35"/>
  <c r="H586" i="35"/>
  <c r="I586" i="35"/>
  <c r="J586" i="35"/>
  <c r="A587" i="35"/>
  <c r="B587" i="35"/>
  <c r="C587" i="35"/>
  <c r="D587" i="35"/>
  <c r="E587" i="35"/>
  <c r="F587" i="35"/>
  <c r="G587" i="35"/>
  <c r="H587" i="35"/>
  <c r="I587" i="35"/>
  <c r="J587" i="35"/>
  <c r="K587" i="35"/>
  <c r="A588" i="35"/>
  <c r="B588" i="35"/>
  <c r="C588" i="35"/>
  <c r="D588" i="35"/>
  <c r="E588" i="35"/>
  <c r="F588" i="35"/>
  <c r="G588" i="35"/>
  <c r="H588" i="35"/>
  <c r="I588" i="35"/>
  <c r="J588" i="35"/>
  <c r="A589" i="35"/>
  <c r="B589" i="35"/>
  <c r="C589" i="35"/>
  <c r="D589" i="35"/>
  <c r="E589" i="35"/>
  <c r="F589" i="35"/>
  <c r="G589" i="35"/>
  <c r="H589" i="35"/>
  <c r="I589" i="35"/>
  <c r="J589" i="35"/>
  <c r="K589" i="35"/>
  <c r="A590" i="35"/>
  <c r="B590" i="35"/>
  <c r="C590" i="35"/>
  <c r="D590" i="35"/>
  <c r="E590" i="35"/>
  <c r="F590" i="35"/>
  <c r="G590" i="35"/>
  <c r="H590" i="35"/>
  <c r="I590" i="35"/>
  <c r="J590" i="35"/>
  <c r="A591" i="35"/>
  <c r="B591" i="35"/>
  <c r="C591" i="35"/>
  <c r="D591" i="35"/>
  <c r="E591" i="35"/>
  <c r="F591" i="35"/>
  <c r="G591" i="35"/>
  <c r="H591" i="35"/>
  <c r="I591" i="35"/>
  <c r="J591" i="35"/>
  <c r="K591" i="35"/>
  <c r="A592" i="35"/>
  <c r="B592" i="35"/>
  <c r="C592" i="35"/>
  <c r="D592" i="35"/>
  <c r="E592" i="35"/>
  <c r="F592" i="35"/>
  <c r="G592" i="35"/>
  <c r="H592" i="35"/>
  <c r="I592" i="35"/>
  <c r="I593" i="35"/>
  <c r="J592" i="35"/>
  <c r="H593" i="35"/>
  <c r="J593" i="35"/>
  <c r="A594" i="35"/>
  <c r="F594" i="35"/>
  <c r="G594" i="35"/>
  <c r="H594" i="35"/>
  <c r="I594" i="35"/>
  <c r="K594" i="35"/>
  <c r="I595" i="35"/>
  <c r="A596" i="35"/>
  <c r="B596" i="35"/>
  <c r="C596" i="35"/>
  <c r="D596" i="35"/>
  <c r="E596" i="35"/>
  <c r="F596" i="35"/>
  <c r="G596" i="35"/>
  <c r="H596" i="35"/>
  <c r="I596" i="35"/>
  <c r="J596" i="35"/>
  <c r="A597" i="35"/>
  <c r="B597" i="35"/>
  <c r="C597" i="35"/>
  <c r="D597" i="35"/>
  <c r="E597" i="35"/>
  <c r="F597" i="35"/>
  <c r="G597" i="35"/>
  <c r="H597" i="35"/>
  <c r="I597" i="35"/>
  <c r="J597" i="35"/>
  <c r="K597" i="35"/>
  <c r="A598" i="35"/>
  <c r="B598" i="35"/>
  <c r="C598" i="35"/>
  <c r="D598" i="35"/>
  <c r="E598" i="35"/>
  <c r="F598" i="35"/>
  <c r="G598" i="35"/>
  <c r="H598" i="35"/>
  <c r="I598" i="35"/>
  <c r="J598" i="35"/>
  <c r="A599" i="35"/>
  <c r="B599" i="35"/>
  <c r="C599" i="35"/>
  <c r="D599" i="35"/>
  <c r="E599" i="35"/>
  <c r="F599" i="35"/>
  <c r="G599" i="35"/>
  <c r="H599" i="35"/>
  <c r="I599" i="35"/>
  <c r="J599" i="35"/>
  <c r="K599" i="35"/>
  <c r="A600" i="35"/>
  <c r="B600" i="35"/>
  <c r="C600" i="35"/>
  <c r="D600" i="35"/>
  <c r="E600" i="35"/>
  <c r="F600" i="35"/>
  <c r="G600" i="35"/>
  <c r="H600" i="35"/>
  <c r="I600" i="35"/>
  <c r="J600" i="35"/>
  <c r="A601" i="35"/>
  <c r="B601" i="35"/>
  <c r="C601" i="35"/>
  <c r="D601" i="35"/>
  <c r="E601" i="35"/>
  <c r="F601" i="35"/>
  <c r="G601" i="35"/>
  <c r="H601" i="35"/>
  <c r="I601" i="35"/>
  <c r="J601" i="35"/>
  <c r="K601" i="35"/>
  <c r="A602" i="35"/>
  <c r="B602" i="35"/>
  <c r="C602" i="35"/>
  <c r="D602" i="35"/>
  <c r="E602" i="35"/>
  <c r="F602" i="35"/>
  <c r="G602" i="35"/>
  <c r="H602" i="35"/>
  <c r="I602" i="35"/>
  <c r="J602" i="35"/>
  <c r="A603" i="35"/>
  <c r="B603" i="35"/>
  <c r="C603" i="35"/>
  <c r="D603" i="35"/>
  <c r="E603" i="35"/>
  <c r="F603" i="35"/>
  <c r="G603" i="35"/>
  <c r="H603" i="35"/>
  <c r="I603" i="35"/>
  <c r="J603" i="35"/>
  <c r="K603" i="35"/>
  <c r="A604" i="35"/>
  <c r="B604" i="35"/>
  <c r="C604" i="35"/>
  <c r="D604" i="35"/>
  <c r="E604" i="35"/>
  <c r="F604" i="35"/>
  <c r="G604" i="35"/>
  <c r="H604" i="35"/>
  <c r="I604" i="35"/>
  <c r="J604" i="35"/>
  <c r="A605" i="35"/>
  <c r="B605" i="35"/>
  <c r="C605" i="35"/>
  <c r="D605" i="35"/>
  <c r="E605" i="35"/>
  <c r="F605" i="35"/>
  <c r="G605" i="35"/>
  <c r="H605" i="35"/>
  <c r="I605" i="35"/>
  <c r="J605" i="35"/>
  <c r="K605" i="35"/>
  <c r="A606" i="35"/>
  <c r="B606" i="35"/>
  <c r="C606" i="35"/>
  <c r="D606" i="35"/>
  <c r="E606" i="35"/>
  <c r="F606" i="35"/>
  <c r="G606" i="35"/>
  <c r="H606" i="35"/>
  <c r="I606" i="35"/>
  <c r="J606" i="35"/>
  <c r="A607" i="35"/>
  <c r="B607" i="35"/>
  <c r="C607" i="35"/>
  <c r="D607" i="35"/>
  <c r="E607" i="35"/>
  <c r="F607" i="35"/>
  <c r="G607" i="35"/>
  <c r="H607" i="35"/>
  <c r="I607" i="35"/>
  <c r="I608" i="35"/>
  <c r="I609" i="35"/>
  <c r="J607" i="35"/>
  <c r="K607" i="35"/>
  <c r="A608" i="35"/>
  <c r="B608" i="35"/>
  <c r="C608" i="35"/>
  <c r="D608" i="35"/>
  <c r="E608" i="35"/>
  <c r="F608" i="35"/>
  <c r="G608" i="35"/>
  <c r="H608" i="35"/>
  <c r="H609" i="35"/>
  <c r="J608" i="35"/>
  <c r="J609" i="35"/>
  <c r="A610" i="35"/>
  <c r="F610" i="35"/>
  <c r="G610" i="35"/>
  <c r="H610" i="35"/>
  <c r="I610" i="35"/>
  <c r="K610" i="35"/>
  <c r="I611" i="35"/>
  <c r="A612" i="35"/>
  <c r="B612" i="35"/>
  <c r="C612" i="35"/>
  <c r="D612" i="35"/>
  <c r="E612" i="35"/>
  <c r="F612" i="35"/>
  <c r="G612" i="35"/>
  <c r="H612" i="35"/>
  <c r="I612" i="35"/>
  <c r="J612" i="35"/>
  <c r="A613" i="35"/>
  <c r="B613" i="35"/>
  <c r="C613" i="35"/>
  <c r="D613" i="35"/>
  <c r="E613" i="35"/>
  <c r="F613" i="35"/>
  <c r="G613" i="35"/>
  <c r="H613" i="35"/>
  <c r="I613" i="35"/>
  <c r="J613" i="35"/>
  <c r="K613" i="35"/>
  <c r="A614" i="35"/>
  <c r="B614" i="35"/>
  <c r="C614" i="35"/>
  <c r="D614" i="35"/>
  <c r="E614" i="35"/>
  <c r="F614" i="35"/>
  <c r="G614" i="35"/>
  <c r="H614" i="35"/>
  <c r="I614" i="35"/>
  <c r="J614" i="35"/>
  <c r="A615" i="35"/>
  <c r="B615" i="35"/>
  <c r="C615" i="35"/>
  <c r="D615" i="35"/>
  <c r="E615" i="35"/>
  <c r="F615" i="35"/>
  <c r="G615" i="35"/>
  <c r="H615" i="35"/>
  <c r="I615" i="35"/>
  <c r="J615" i="35"/>
  <c r="K615" i="35"/>
  <c r="A616" i="35"/>
  <c r="B616" i="35"/>
  <c r="C616" i="35"/>
  <c r="D616" i="35"/>
  <c r="E616" i="35"/>
  <c r="F616" i="35"/>
  <c r="G616" i="35"/>
  <c r="H616" i="35"/>
  <c r="I616" i="35"/>
  <c r="J616" i="35"/>
  <c r="A617" i="35"/>
  <c r="B617" i="35"/>
  <c r="C617" i="35"/>
  <c r="D617" i="35"/>
  <c r="E617" i="35"/>
  <c r="F617" i="35"/>
  <c r="G617" i="35"/>
  <c r="H617" i="35"/>
  <c r="I617" i="35"/>
  <c r="J617" i="35"/>
  <c r="K617" i="35"/>
  <c r="A618" i="35"/>
  <c r="B618" i="35"/>
  <c r="C618" i="35"/>
  <c r="D618" i="35"/>
  <c r="E618" i="35"/>
  <c r="F618" i="35"/>
  <c r="G618" i="35"/>
  <c r="H618" i="35"/>
  <c r="I618" i="35"/>
  <c r="J618" i="35"/>
  <c r="A619" i="35"/>
  <c r="B619" i="35"/>
  <c r="C619" i="35"/>
  <c r="D619" i="35"/>
  <c r="E619" i="35"/>
  <c r="F619" i="35"/>
  <c r="G619" i="35"/>
  <c r="H619" i="35"/>
  <c r="I619" i="35"/>
  <c r="J619" i="35"/>
  <c r="K619" i="35"/>
  <c r="A620" i="35"/>
  <c r="B620" i="35"/>
  <c r="C620" i="35"/>
  <c r="D620" i="35"/>
  <c r="E620" i="35"/>
  <c r="F620" i="35"/>
  <c r="G620" i="35"/>
  <c r="H620" i="35"/>
  <c r="I620" i="35"/>
  <c r="J620" i="35"/>
  <c r="M620" i="35"/>
  <c r="A621" i="35"/>
  <c r="B621" i="35"/>
  <c r="C621" i="35"/>
  <c r="D621" i="35"/>
  <c r="E621" i="35"/>
  <c r="F621" i="35"/>
  <c r="G621" i="35"/>
  <c r="H621" i="35"/>
  <c r="I621" i="35"/>
  <c r="J621" i="35"/>
  <c r="A622" i="35"/>
  <c r="B622" i="35"/>
  <c r="C622" i="35"/>
  <c r="D622" i="35"/>
  <c r="E622" i="35"/>
  <c r="F622" i="35"/>
  <c r="G622" i="35"/>
  <c r="H622" i="35"/>
  <c r="I622" i="35"/>
  <c r="J622" i="35"/>
  <c r="K622" i="35"/>
  <c r="A623" i="35"/>
  <c r="B623" i="35"/>
  <c r="C623" i="35"/>
  <c r="D623" i="35"/>
  <c r="E623" i="35"/>
  <c r="F623" i="35"/>
  <c r="G623" i="35"/>
  <c r="H623" i="35"/>
  <c r="I623" i="35"/>
  <c r="J623" i="35"/>
  <c r="A624" i="35"/>
  <c r="B624" i="35"/>
  <c r="C624" i="35"/>
  <c r="D624" i="35"/>
  <c r="E624" i="35"/>
  <c r="F624" i="35"/>
  <c r="G624" i="35"/>
  <c r="H624" i="35"/>
  <c r="I624" i="35"/>
  <c r="J624" i="35"/>
  <c r="K624" i="35"/>
  <c r="I625" i="35"/>
  <c r="A626" i="35"/>
  <c r="F626" i="35"/>
  <c r="G626" i="35"/>
  <c r="H626" i="35"/>
  <c r="A627" i="35"/>
  <c r="F627" i="35"/>
  <c r="G627" i="35"/>
  <c r="H627" i="35"/>
  <c r="K627" i="35"/>
  <c r="I628" i="35"/>
  <c r="A629" i="35"/>
  <c r="B629" i="35"/>
  <c r="C629" i="35"/>
  <c r="D629" i="35"/>
  <c r="E629" i="35"/>
  <c r="F629" i="35"/>
  <c r="G629" i="35"/>
  <c r="H629" i="35"/>
  <c r="I629" i="35"/>
  <c r="J629" i="35"/>
  <c r="M629" i="35"/>
  <c r="A630" i="35"/>
  <c r="B630" i="35"/>
  <c r="C630" i="35"/>
  <c r="D630" i="35"/>
  <c r="E630" i="35"/>
  <c r="F630" i="35"/>
  <c r="G630" i="35"/>
  <c r="H630" i="35"/>
  <c r="I630" i="35"/>
  <c r="J630" i="35"/>
  <c r="M630" i="35"/>
  <c r="A631" i="35"/>
  <c r="B631" i="35"/>
  <c r="C631" i="35"/>
  <c r="D631" i="35"/>
  <c r="E631" i="35"/>
  <c r="F631" i="35"/>
  <c r="G631" i="35"/>
  <c r="H631" i="35"/>
  <c r="I631" i="35"/>
  <c r="J631" i="35"/>
  <c r="M631" i="35"/>
  <c r="A632" i="35"/>
  <c r="B632" i="35"/>
  <c r="C632" i="35"/>
  <c r="D632" i="35"/>
  <c r="E632" i="35"/>
  <c r="F632" i="35"/>
  <c r="G632" i="35"/>
  <c r="H632" i="35"/>
  <c r="I632" i="35"/>
  <c r="J632" i="35"/>
  <c r="A633" i="35"/>
  <c r="B633" i="35"/>
  <c r="C633" i="35"/>
  <c r="D633" i="35"/>
  <c r="E633" i="35"/>
  <c r="F633" i="35"/>
  <c r="G633" i="35"/>
  <c r="H633" i="35"/>
  <c r="I633" i="35"/>
  <c r="J633" i="35"/>
  <c r="K633" i="35"/>
  <c r="A634" i="35"/>
  <c r="B634" i="35"/>
  <c r="C634" i="35"/>
  <c r="D634" i="35"/>
  <c r="E634" i="35"/>
  <c r="F634" i="35"/>
  <c r="G634" i="35"/>
  <c r="H634" i="35"/>
  <c r="I634" i="35"/>
  <c r="J634" i="35"/>
  <c r="A635" i="35"/>
  <c r="B635" i="35"/>
  <c r="C635" i="35"/>
  <c r="D635" i="35"/>
  <c r="E635" i="35"/>
  <c r="F635" i="35"/>
  <c r="G635" i="35"/>
  <c r="H635" i="35"/>
  <c r="I635" i="35"/>
  <c r="J635" i="35"/>
  <c r="K635" i="35"/>
  <c r="A636" i="35"/>
  <c r="B636" i="35"/>
  <c r="C636" i="35"/>
  <c r="D636" i="35"/>
  <c r="E636" i="35"/>
  <c r="F636" i="35"/>
  <c r="G636" i="35"/>
  <c r="H636" i="35"/>
  <c r="I636" i="35"/>
  <c r="J636" i="35"/>
  <c r="M636" i="35"/>
  <c r="A637" i="35"/>
  <c r="B637" i="35"/>
  <c r="C637" i="35"/>
  <c r="D637" i="35"/>
  <c r="E637" i="35"/>
  <c r="F637" i="35"/>
  <c r="G637" i="35"/>
  <c r="H637" i="35"/>
  <c r="I637" i="35"/>
  <c r="J637" i="35"/>
  <c r="A638" i="35"/>
  <c r="B638" i="35"/>
  <c r="C638" i="35"/>
  <c r="D638" i="35"/>
  <c r="E638" i="35"/>
  <c r="F638" i="35"/>
  <c r="G638" i="35"/>
  <c r="H638" i="35"/>
  <c r="I638" i="35"/>
  <c r="J638" i="35"/>
  <c r="K638" i="35"/>
  <c r="A639" i="35"/>
  <c r="B639" i="35"/>
  <c r="C639" i="35"/>
  <c r="D639" i="35"/>
  <c r="E639" i="35"/>
  <c r="F639" i="35"/>
  <c r="G639" i="35"/>
  <c r="H639" i="35"/>
  <c r="I639" i="35"/>
  <c r="J639" i="35"/>
  <c r="M638" i="35"/>
  <c r="N638" i="35"/>
  <c r="A640" i="35"/>
  <c r="B640" i="35"/>
  <c r="C640" i="35"/>
  <c r="D640" i="35"/>
  <c r="E640" i="35"/>
  <c r="F640" i="35"/>
  <c r="G640" i="35"/>
  <c r="H640" i="35"/>
  <c r="I640" i="35"/>
  <c r="J640" i="35"/>
  <c r="K640" i="35"/>
  <c r="M640" i="35"/>
  <c r="A641" i="35"/>
  <c r="B641" i="35"/>
  <c r="C641" i="35"/>
  <c r="D641" i="35"/>
  <c r="E641" i="35"/>
  <c r="F641" i="35"/>
  <c r="G641" i="35"/>
  <c r="H641" i="35"/>
  <c r="I641" i="35"/>
  <c r="J641" i="35"/>
  <c r="M641" i="35"/>
  <c r="O640" i="35"/>
  <c r="I642" i="35"/>
  <c r="A643" i="35"/>
  <c r="F643" i="35"/>
  <c r="G643" i="35"/>
  <c r="H643" i="35"/>
  <c r="I643" i="35"/>
  <c r="K643" i="35"/>
  <c r="I644" i="35"/>
  <c r="A645" i="35"/>
  <c r="B645" i="35"/>
  <c r="C645" i="35"/>
  <c r="D645" i="35"/>
  <c r="E645" i="35"/>
  <c r="F645" i="35"/>
  <c r="G645" i="35"/>
  <c r="H645" i="35"/>
  <c r="I645" i="35"/>
  <c r="J645" i="35"/>
  <c r="K645" i="35"/>
  <c r="A646" i="35"/>
  <c r="B646" i="35"/>
  <c r="C646" i="35"/>
  <c r="D646" i="35"/>
  <c r="E646" i="35"/>
  <c r="F646" i="35"/>
  <c r="G646" i="35"/>
  <c r="H646" i="35"/>
  <c r="I646" i="35"/>
  <c r="J646" i="35"/>
  <c r="A647" i="35"/>
  <c r="B647" i="35"/>
  <c r="C647" i="35"/>
  <c r="D647" i="35"/>
  <c r="E647" i="35"/>
  <c r="F647" i="35"/>
  <c r="G647" i="35"/>
  <c r="H647" i="35"/>
  <c r="I647" i="35"/>
  <c r="J647" i="35"/>
  <c r="K647" i="35"/>
  <c r="A648" i="35"/>
  <c r="B648" i="35"/>
  <c r="C648" i="35"/>
  <c r="D648" i="35"/>
  <c r="E648" i="35"/>
  <c r="F648" i="35"/>
  <c r="G648" i="35"/>
  <c r="H648" i="35"/>
  <c r="I648" i="35"/>
  <c r="J648" i="35"/>
  <c r="A649" i="35"/>
  <c r="B649" i="35"/>
  <c r="C649" i="35"/>
  <c r="D649" i="35"/>
  <c r="E649" i="35"/>
  <c r="F649" i="35"/>
  <c r="G649" i="35"/>
  <c r="H649" i="35"/>
  <c r="I649" i="35"/>
  <c r="J649" i="35"/>
  <c r="K649" i="35"/>
  <c r="A650" i="35"/>
  <c r="B650" i="35"/>
  <c r="C650" i="35"/>
  <c r="D650" i="35"/>
  <c r="E650" i="35"/>
  <c r="F650" i="35"/>
  <c r="G650" i="35"/>
  <c r="H650" i="35"/>
  <c r="I650" i="35"/>
  <c r="J650" i="35"/>
  <c r="A651" i="35"/>
  <c r="B651" i="35"/>
  <c r="C651" i="35"/>
  <c r="D651" i="35"/>
  <c r="E651" i="35"/>
  <c r="F651" i="35"/>
  <c r="G651" i="35"/>
  <c r="H651" i="35"/>
  <c r="I651" i="35"/>
  <c r="J651" i="35"/>
  <c r="K651" i="35"/>
  <c r="A652" i="35"/>
  <c r="B652" i="35"/>
  <c r="C652" i="35"/>
  <c r="D652" i="35"/>
  <c r="E652" i="35"/>
  <c r="F652" i="35"/>
  <c r="G652" i="35"/>
  <c r="H652" i="35"/>
  <c r="I652" i="35"/>
  <c r="J652" i="35"/>
  <c r="A653" i="35"/>
  <c r="B653" i="35"/>
  <c r="C653" i="35"/>
  <c r="D653" i="35"/>
  <c r="E653" i="35"/>
  <c r="F653" i="35"/>
  <c r="G653" i="35"/>
  <c r="H653" i="35"/>
  <c r="I653" i="35"/>
  <c r="J653" i="35"/>
  <c r="K653" i="35"/>
  <c r="A654" i="35"/>
  <c r="B654" i="35"/>
  <c r="C654" i="35"/>
  <c r="D654" i="35"/>
  <c r="E654" i="35"/>
  <c r="F654" i="35"/>
  <c r="G654" i="35"/>
  <c r="H654" i="35"/>
  <c r="I654" i="35"/>
  <c r="J654" i="35"/>
  <c r="A655" i="35"/>
  <c r="B655" i="35"/>
  <c r="C655" i="35"/>
  <c r="D655" i="35"/>
  <c r="E655" i="35"/>
  <c r="F655" i="35"/>
  <c r="G655" i="35"/>
  <c r="H655" i="35"/>
  <c r="I655" i="35"/>
  <c r="J655" i="35"/>
  <c r="K655" i="35"/>
  <c r="A656" i="35"/>
  <c r="B656" i="35"/>
  <c r="C656" i="35"/>
  <c r="D656" i="35"/>
  <c r="E656" i="35"/>
  <c r="F656" i="35"/>
  <c r="G656" i="35"/>
  <c r="H656" i="35"/>
  <c r="I656" i="35"/>
  <c r="J656" i="35"/>
  <c r="A657" i="35"/>
  <c r="B657" i="35"/>
  <c r="C657" i="35"/>
  <c r="D657" i="35"/>
  <c r="E657" i="35"/>
  <c r="F657" i="35"/>
  <c r="G657" i="35"/>
  <c r="H657" i="35"/>
  <c r="I657" i="35"/>
  <c r="J657" i="35"/>
  <c r="K657" i="35"/>
  <c r="I658" i="35"/>
  <c r="A659" i="35"/>
  <c r="F659" i="35"/>
  <c r="G659" i="35"/>
  <c r="H659" i="35"/>
  <c r="A660" i="35"/>
  <c r="F660" i="35"/>
  <c r="G660" i="35"/>
  <c r="H660" i="35"/>
  <c r="I660" i="35"/>
  <c r="K660" i="35"/>
  <c r="I661" i="35"/>
  <c r="A662" i="35"/>
  <c r="B662" i="35"/>
  <c r="C662" i="35"/>
  <c r="D662" i="35"/>
  <c r="E662" i="35"/>
  <c r="F662" i="35"/>
  <c r="G662" i="35"/>
  <c r="H662" i="35"/>
  <c r="I662" i="35"/>
  <c r="J662" i="35"/>
  <c r="K662" i="35"/>
  <c r="M662" i="35"/>
  <c r="A663" i="35"/>
  <c r="B663" i="35"/>
  <c r="C663" i="35"/>
  <c r="D663" i="35"/>
  <c r="E663" i="35"/>
  <c r="F663" i="35"/>
  <c r="G663" i="35"/>
  <c r="H663" i="35"/>
  <c r="I663" i="35"/>
  <c r="J663" i="35"/>
  <c r="K663" i="35"/>
  <c r="A664" i="35"/>
  <c r="B664" i="35"/>
  <c r="C664" i="35"/>
  <c r="D664" i="35"/>
  <c r="E664" i="35"/>
  <c r="F664" i="35"/>
  <c r="G664" i="35"/>
  <c r="H664" i="35"/>
  <c r="I664" i="35"/>
  <c r="J664" i="35"/>
  <c r="A665" i="35"/>
  <c r="B665" i="35"/>
  <c r="C665" i="35"/>
  <c r="D665" i="35"/>
  <c r="E665" i="35"/>
  <c r="F665" i="35"/>
  <c r="G665" i="35"/>
  <c r="H665" i="35"/>
  <c r="I665" i="35"/>
  <c r="J665" i="35"/>
  <c r="K665" i="35"/>
  <c r="A666" i="35"/>
  <c r="B666" i="35"/>
  <c r="C666" i="35"/>
  <c r="D666" i="35"/>
  <c r="E666" i="35"/>
  <c r="F666" i="35"/>
  <c r="G666" i="35"/>
  <c r="H666" i="35"/>
  <c r="I666" i="35"/>
  <c r="J666" i="35"/>
  <c r="A667" i="35"/>
  <c r="B667" i="35"/>
  <c r="C667" i="35"/>
  <c r="D667" i="35"/>
  <c r="E667" i="35"/>
  <c r="F667" i="35"/>
  <c r="G667" i="35"/>
  <c r="H667" i="35"/>
  <c r="I667" i="35"/>
  <c r="J667" i="35"/>
  <c r="K667" i="35"/>
  <c r="A668" i="35"/>
  <c r="B668" i="35"/>
  <c r="C668" i="35"/>
  <c r="D668" i="35"/>
  <c r="E668" i="35"/>
  <c r="F668" i="35"/>
  <c r="G668" i="35"/>
  <c r="H668" i="35"/>
  <c r="I668" i="35"/>
  <c r="J668" i="35"/>
  <c r="K668" i="35"/>
  <c r="A669" i="35"/>
  <c r="B669" i="35"/>
  <c r="C669" i="35"/>
  <c r="D669" i="35"/>
  <c r="E669" i="35"/>
  <c r="F669" i="35"/>
  <c r="G669" i="35"/>
  <c r="H669" i="35"/>
  <c r="I669" i="35"/>
  <c r="J669" i="35"/>
  <c r="K669" i="35"/>
  <c r="A670" i="35"/>
  <c r="B670" i="35"/>
  <c r="C670" i="35"/>
  <c r="D670" i="35"/>
  <c r="E670" i="35"/>
  <c r="F670" i="35"/>
  <c r="G670" i="35"/>
  <c r="H670" i="35"/>
  <c r="I670" i="35"/>
  <c r="J670" i="35"/>
  <c r="A671" i="35"/>
  <c r="B671" i="35"/>
  <c r="C671" i="35"/>
  <c r="D671" i="35"/>
  <c r="E671" i="35"/>
  <c r="F671" i="35"/>
  <c r="G671" i="35"/>
  <c r="H671" i="35"/>
  <c r="I671" i="35"/>
  <c r="J671" i="35"/>
  <c r="K671" i="35"/>
  <c r="A672" i="35"/>
  <c r="B672" i="35"/>
  <c r="C672" i="35"/>
  <c r="D672" i="35"/>
  <c r="E672" i="35"/>
  <c r="F672" i="35"/>
  <c r="G672" i="35"/>
  <c r="H672" i="35"/>
  <c r="I672" i="35"/>
  <c r="J672" i="35"/>
  <c r="A673" i="35"/>
  <c r="B673" i="35"/>
  <c r="C673" i="35"/>
  <c r="D673" i="35"/>
  <c r="E673" i="35"/>
  <c r="F673" i="35"/>
  <c r="G673" i="35"/>
  <c r="H673" i="35"/>
  <c r="I673" i="35"/>
  <c r="J673" i="35"/>
  <c r="K673" i="35"/>
  <c r="A674" i="35"/>
  <c r="B674" i="35"/>
  <c r="C674" i="35"/>
  <c r="D674" i="35"/>
  <c r="E674" i="35"/>
  <c r="F674" i="35"/>
  <c r="G674" i="35"/>
  <c r="H674" i="35"/>
  <c r="I674" i="35"/>
  <c r="J674" i="35"/>
  <c r="K674" i="35"/>
  <c r="H675" i="35"/>
  <c r="I675" i="35"/>
  <c r="J675" i="35"/>
  <c r="A676" i="35"/>
  <c r="F676" i="35"/>
  <c r="G676" i="35"/>
  <c r="H676" i="35"/>
  <c r="A677" i="35"/>
  <c r="F677" i="35"/>
  <c r="G677" i="35"/>
  <c r="H677" i="35"/>
  <c r="I677" i="35"/>
  <c r="I676" i="35"/>
  <c r="K676" i="35"/>
  <c r="I678" i="35"/>
  <c r="A679" i="35"/>
  <c r="B679" i="35"/>
  <c r="C679" i="35"/>
  <c r="D679" i="35"/>
  <c r="E679" i="35"/>
  <c r="F679" i="35"/>
  <c r="G679" i="35"/>
  <c r="H679" i="35"/>
  <c r="I679" i="35"/>
  <c r="J679" i="35"/>
  <c r="A680" i="35"/>
  <c r="B680" i="35"/>
  <c r="C680" i="35"/>
  <c r="D680" i="35"/>
  <c r="E680" i="35"/>
  <c r="F680" i="35"/>
  <c r="G680" i="35"/>
  <c r="H680" i="35"/>
  <c r="I680" i="35"/>
  <c r="J680" i="35"/>
  <c r="K680" i="35"/>
  <c r="A681" i="35"/>
  <c r="B681" i="35"/>
  <c r="C681" i="35"/>
  <c r="D681" i="35"/>
  <c r="E681" i="35"/>
  <c r="F681" i="35"/>
  <c r="G681" i="35"/>
  <c r="H681" i="35"/>
  <c r="I681" i="35"/>
  <c r="J681" i="35"/>
  <c r="A682" i="35"/>
  <c r="B682" i="35"/>
  <c r="C682" i="35"/>
  <c r="D682" i="35"/>
  <c r="E682" i="35"/>
  <c r="F682" i="35"/>
  <c r="G682" i="35"/>
  <c r="H682" i="35"/>
  <c r="I682" i="35"/>
  <c r="J682" i="35"/>
  <c r="K682" i="35"/>
  <c r="A683" i="35"/>
  <c r="B683" i="35"/>
  <c r="C683" i="35"/>
  <c r="D683" i="35"/>
  <c r="E683" i="35"/>
  <c r="F683" i="35"/>
  <c r="G683" i="35"/>
  <c r="H683" i="35"/>
  <c r="I683" i="35"/>
  <c r="J683" i="35"/>
  <c r="A684" i="35"/>
  <c r="B684" i="35"/>
  <c r="C684" i="35"/>
  <c r="D684" i="35"/>
  <c r="E684" i="35"/>
  <c r="F684" i="35"/>
  <c r="G684" i="35"/>
  <c r="H684" i="35"/>
  <c r="I684" i="35"/>
  <c r="J684" i="35"/>
  <c r="K684" i="35"/>
  <c r="A685" i="35"/>
  <c r="B685" i="35"/>
  <c r="C685" i="35"/>
  <c r="D685" i="35"/>
  <c r="E685" i="35"/>
  <c r="F685" i="35"/>
  <c r="G685" i="35"/>
  <c r="H685" i="35"/>
  <c r="I685" i="35"/>
  <c r="J685" i="35"/>
  <c r="A686" i="35"/>
  <c r="B686" i="35"/>
  <c r="C686" i="35"/>
  <c r="D686" i="35"/>
  <c r="E686" i="35"/>
  <c r="F686" i="35"/>
  <c r="G686" i="35"/>
  <c r="H686" i="35"/>
  <c r="I686" i="35"/>
  <c r="J686" i="35"/>
  <c r="K686" i="35"/>
  <c r="A687" i="35"/>
  <c r="B687" i="35"/>
  <c r="C687" i="35"/>
  <c r="D687" i="35"/>
  <c r="E687" i="35"/>
  <c r="F687" i="35"/>
  <c r="G687" i="35"/>
  <c r="H687" i="35"/>
  <c r="I687" i="35"/>
  <c r="J687" i="35"/>
  <c r="A688" i="35"/>
  <c r="B688" i="35"/>
  <c r="C688" i="35"/>
  <c r="D688" i="35"/>
  <c r="E688" i="35"/>
  <c r="F688" i="35"/>
  <c r="G688" i="35"/>
  <c r="H688" i="35"/>
  <c r="I688" i="35"/>
  <c r="J688" i="35"/>
  <c r="K688" i="35"/>
  <c r="A689" i="35"/>
  <c r="B689" i="35"/>
  <c r="C689" i="35"/>
  <c r="D689" i="35"/>
  <c r="E689" i="35"/>
  <c r="F689" i="35"/>
  <c r="G689" i="35"/>
  <c r="H689" i="35"/>
  <c r="I689" i="35"/>
  <c r="J689" i="35"/>
  <c r="A690" i="35"/>
  <c r="B690" i="35"/>
  <c r="C690" i="35"/>
  <c r="D690" i="35"/>
  <c r="E690" i="35"/>
  <c r="F690" i="35"/>
  <c r="G690" i="35"/>
  <c r="H690" i="35"/>
  <c r="I690" i="35"/>
  <c r="J690" i="35"/>
  <c r="K690" i="35"/>
  <c r="A691" i="35"/>
  <c r="B691" i="35"/>
  <c r="C691" i="35"/>
  <c r="D691" i="35"/>
  <c r="E691" i="35"/>
  <c r="F691" i="35"/>
  <c r="G691" i="35"/>
  <c r="H691" i="35"/>
  <c r="I691" i="35"/>
  <c r="J691" i="35"/>
  <c r="H692" i="35"/>
  <c r="J692" i="35"/>
  <c r="A693" i="35"/>
  <c r="F693" i="35"/>
  <c r="G693" i="35"/>
  <c r="H693" i="35"/>
  <c r="I693" i="35"/>
  <c r="K693" i="35"/>
  <c r="I694" i="35"/>
  <c r="A695" i="35"/>
  <c r="B695" i="35"/>
  <c r="C695" i="35"/>
  <c r="D695" i="35"/>
  <c r="E695" i="35"/>
  <c r="F695" i="35"/>
  <c r="G695" i="35"/>
  <c r="H695" i="35"/>
  <c r="I695" i="35"/>
  <c r="J695" i="35"/>
  <c r="A696" i="35"/>
  <c r="B696" i="35"/>
  <c r="C696" i="35"/>
  <c r="D696" i="35"/>
  <c r="E696" i="35"/>
  <c r="F696" i="35"/>
  <c r="G696" i="35"/>
  <c r="H696" i="35"/>
  <c r="I696" i="35"/>
  <c r="J696" i="35"/>
  <c r="K696" i="35"/>
  <c r="A697" i="35"/>
  <c r="B697" i="35"/>
  <c r="C697" i="35"/>
  <c r="D697" i="35"/>
  <c r="E697" i="35"/>
  <c r="F697" i="35"/>
  <c r="G697" i="35"/>
  <c r="H697" i="35"/>
  <c r="I697" i="35"/>
  <c r="J697" i="35"/>
  <c r="A698" i="35"/>
  <c r="B698" i="35"/>
  <c r="C698" i="35"/>
  <c r="D698" i="35"/>
  <c r="E698" i="35"/>
  <c r="F698" i="35"/>
  <c r="G698" i="35"/>
  <c r="H698" i="35"/>
  <c r="I698" i="35"/>
  <c r="J698" i="35"/>
  <c r="K698" i="35"/>
  <c r="A699" i="35"/>
  <c r="B699" i="35"/>
  <c r="C699" i="35"/>
  <c r="D699" i="35"/>
  <c r="E699" i="35"/>
  <c r="F699" i="35"/>
  <c r="G699" i="35"/>
  <c r="H699" i="35"/>
  <c r="I699" i="35"/>
  <c r="J699" i="35"/>
  <c r="A700" i="35"/>
  <c r="B700" i="35"/>
  <c r="C700" i="35"/>
  <c r="D700" i="35"/>
  <c r="E700" i="35"/>
  <c r="F700" i="35"/>
  <c r="G700" i="35"/>
  <c r="H700" i="35"/>
  <c r="I700" i="35"/>
  <c r="J700" i="35"/>
  <c r="K700" i="35"/>
  <c r="A701" i="35"/>
  <c r="B701" i="35"/>
  <c r="C701" i="35"/>
  <c r="D701" i="35"/>
  <c r="E701" i="35"/>
  <c r="F701" i="35"/>
  <c r="G701" i="35"/>
  <c r="H701" i="35"/>
  <c r="I701" i="35"/>
  <c r="J701" i="35"/>
  <c r="A702" i="35"/>
  <c r="B702" i="35"/>
  <c r="C702" i="35"/>
  <c r="D702" i="35"/>
  <c r="E702" i="35"/>
  <c r="F702" i="35"/>
  <c r="G702" i="35"/>
  <c r="H702" i="35"/>
  <c r="I702" i="35"/>
  <c r="J702" i="35"/>
  <c r="K702" i="35"/>
  <c r="A703" i="35"/>
  <c r="B703" i="35"/>
  <c r="C703" i="35"/>
  <c r="D703" i="35"/>
  <c r="E703" i="35"/>
  <c r="F703" i="35"/>
  <c r="G703" i="35"/>
  <c r="H703" i="35"/>
  <c r="I703" i="35"/>
  <c r="J703" i="35"/>
  <c r="A704" i="35"/>
  <c r="B704" i="35"/>
  <c r="C704" i="35"/>
  <c r="D704" i="35"/>
  <c r="E704" i="35"/>
  <c r="F704" i="35"/>
  <c r="G704" i="35"/>
  <c r="H704" i="35"/>
  <c r="I704" i="35"/>
  <c r="J704" i="35"/>
  <c r="K704" i="35"/>
  <c r="A705" i="35"/>
  <c r="B705" i="35"/>
  <c r="C705" i="35"/>
  <c r="D705" i="35"/>
  <c r="E705" i="35"/>
  <c r="F705" i="35"/>
  <c r="G705" i="35"/>
  <c r="H705" i="35"/>
  <c r="I705" i="35"/>
  <c r="J705" i="35"/>
  <c r="A706" i="35"/>
  <c r="B706" i="35"/>
  <c r="C706" i="35"/>
  <c r="D706" i="35"/>
  <c r="E706" i="35"/>
  <c r="F706" i="35"/>
  <c r="G706" i="35"/>
  <c r="H706" i="35"/>
  <c r="I706" i="35"/>
  <c r="J706" i="35"/>
  <c r="K706" i="35"/>
  <c r="A707" i="35"/>
  <c r="B707" i="35"/>
  <c r="C707" i="35"/>
  <c r="D707" i="35"/>
  <c r="E707" i="35"/>
  <c r="F707" i="35"/>
  <c r="G707" i="35"/>
  <c r="H707" i="35"/>
  <c r="I707" i="35"/>
  <c r="J707" i="35"/>
  <c r="H708" i="35"/>
  <c r="J708" i="35"/>
  <c r="A709" i="35"/>
  <c r="F709" i="35"/>
  <c r="G709" i="35"/>
  <c r="H709" i="35"/>
  <c r="I710" i="35"/>
  <c r="I709" i="35"/>
  <c r="K709" i="35"/>
  <c r="A711" i="35"/>
  <c r="B711" i="35"/>
  <c r="C711" i="35"/>
  <c r="D711" i="35"/>
  <c r="E711" i="35"/>
  <c r="F711" i="35"/>
  <c r="G711" i="35"/>
  <c r="H711" i="35"/>
  <c r="I711" i="35"/>
  <c r="J711" i="35"/>
  <c r="A712" i="35"/>
  <c r="B712" i="35"/>
  <c r="C712" i="35"/>
  <c r="D712" i="35"/>
  <c r="E712" i="35"/>
  <c r="F712" i="35"/>
  <c r="G712" i="35"/>
  <c r="H712" i="35"/>
  <c r="I712" i="35"/>
  <c r="J712" i="35"/>
  <c r="K712" i="35"/>
  <c r="A713" i="35"/>
  <c r="B713" i="35"/>
  <c r="C713" i="35"/>
  <c r="D713" i="35"/>
  <c r="E713" i="35"/>
  <c r="F713" i="35"/>
  <c r="G713" i="35"/>
  <c r="H713" i="35"/>
  <c r="I713" i="35"/>
  <c r="J713" i="35"/>
  <c r="A714" i="35"/>
  <c r="B714" i="35"/>
  <c r="C714" i="35"/>
  <c r="D714" i="35"/>
  <c r="E714" i="35"/>
  <c r="F714" i="35"/>
  <c r="G714" i="35"/>
  <c r="H714" i="35"/>
  <c r="I714" i="35"/>
  <c r="J714" i="35"/>
  <c r="K714" i="35"/>
  <c r="A715" i="35"/>
  <c r="B715" i="35"/>
  <c r="C715" i="35"/>
  <c r="D715" i="35"/>
  <c r="E715" i="35"/>
  <c r="F715" i="35"/>
  <c r="G715" i="35"/>
  <c r="H715" i="35"/>
  <c r="I715" i="35"/>
  <c r="J715" i="35"/>
  <c r="A716" i="35"/>
  <c r="B716" i="35"/>
  <c r="C716" i="35"/>
  <c r="D716" i="35"/>
  <c r="E716" i="35"/>
  <c r="F716" i="35"/>
  <c r="G716" i="35"/>
  <c r="H716" i="35"/>
  <c r="I716" i="35"/>
  <c r="J716" i="35"/>
  <c r="K716" i="35"/>
  <c r="A717" i="35"/>
  <c r="B717" i="35"/>
  <c r="C717" i="35"/>
  <c r="D717" i="35"/>
  <c r="E717" i="35"/>
  <c r="F717" i="35"/>
  <c r="G717" i="35"/>
  <c r="H717" i="35"/>
  <c r="I717" i="35"/>
  <c r="J717" i="35"/>
  <c r="A718" i="35"/>
  <c r="B718" i="35"/>
  <c r="C718" i="35"/>
  <c r="D718" i="35"/>
  <c r="E718" i="35"/>
  <c r="F718" i="35"/>
  <c r="G718" i="35"/>
  <c r="H718" i="35"/>
  <c r="I718" i="35"/>
  <c r="J718" i="35"/>
  <c r="K718" i="35"/>
  <c r="A719" i="35"/>
  <c r="B719" i="35"/>
  <c r="C719" i="35"/>
  <c r="D719" i="35"/>
  <c r="E719" i="35"/>
  <c r="F719" i="35"/>
  <c r="G719" i="35"/>
  <c r="H719" i="35"/>
  <c r="I719" i="35"/>
  <c r="J719" i="35"/>
  <c r="A720" i="35"/>
  <c r="B720" i="35"/>
  <c r="C720" i="35"/>
  <c r="D720" i="35"/>
  <c r="E720" i="35"/>
  <c r="F720" i="35"/>
  <c r="G720" i="35"/>
  <c r="H720" i="35"/>
  <c r="I720" i="35"/>
  <c r="J720" i="35"/>
  <c r="K720" i="35"/>
  <c r="A721" i="35"/>
  <c r="B721" i="35"/>
  <c r="C721" i="35"/>
  <c r="D721" i="35"/>
  <c r="E721" i="35"/>
  <c r="F721" i="35"/>
  <c r="G721" i="35"/>
  <c r="H721" i="35"/>
  <c r="I721" i="35"/>
  <c r="J721" i="35"/>
  <c r="A722" i="35"/>
  <c r="B722" i="35"/>
  <c r="C722" i="35"/>
  <c r="D722" i="35"/>
  <c r="E722" i="35"/>
  <c r="F722" i="35"/>
  <c r="G722" i="35"/>
  <c r="H722" i="35"/>
  <c r="I722" i="35"/>
  <c r="J722" i="35"/>
  <c r="K722" i="35"/>
  <c r="A723" i="35"/>
  <c r="B723" i="35"/>
  <c r="C723" i="35"/>
  <c r="D723" i="35"/>
  <c r="E723" i="35"/>
  <c r="F723" i="35"/>
  <c r="G723" i="35"/>
  <c r="H723" i="35"/>
  <c r="I723" i="35"/>
  <c r="J723" i="35"/>
  <c r="J724" i="35"/>
  <c r="A725" i="35"/>
  <c r="F725" i="35"/>
  <c r="G725" i="35"/>
  <c r="H725" i="35"/>
  <c r="I725" i="35"/>
  <c r="K725" i="35"/>
  <c r="I726" i="35"/>
  <c r="A727" i="35"/>
  <c r="B727" i="35"/>
  <c r="C727" i="35"/>
  <c r="D727" i="35"/>
  <c r="E727" i="35"/>
  <c r="F727" i="35"/>
  <c r="G727" i="35"/>
  <c r="H727" i="35"/>
  <c r="I727" i="35"/>
  <c r="J727" i="35"/>
  <c r="M727" i="35"/>
  <c r="A728" i="35"/>
  <c r="B728" i="35"/>
  <c r="C728" i="35"/>
  <c r="D728" i="35"/>
  <c r="E728" i="35"/>
  <c r="F728" i="35"/>
  <c r="G728" i="35"/>
  <c r="H728" i="35"/>
  <c r="I728" i="35"/>
  <c r="J728" i="35"/>
  <c r="A729" i="35"/>
  <c r="B729" i="35"/>
  <c r="C729" i="35"/>
  <c r="D729" i="35"/>
  <c r="E729" i="35"/>
  <c r="F729" i="35"/>
  <c r="G729" i="35"/>
  <c r="H729" i="35"/>
  <c r="I729" i="35"/>
  <c r="J729" i="35"/>
  <c r="K729" i="35"/>
  <c r="A730" i="35"/>
  <c r="B730" i="35"/>
  <c r="C730" i="35"/>
  <c r="D730" i="35"/>
  <c r="E730" i="35"/>
  <c r="F730" i="35"/>
  <c r="G730" i="35"/>
  <c r="H730" i="35"/>
  <c r="I730" i="35"/>
  <c r="J730" i="35"/>
  <c r="A731" i="35"/>
  <c r="B731" i="35"/>
  <c r="C731" i="35"/>
  <c r="D731" i="35"/>
  <c r="E731" i="35"/>
  <c r="F731" i="35"/>
  <c r="G731" i="35"/>
  <c r="H731" i="35"/>
  <c r="I731" i="35"/>
  <c r="J731" i="35"/>
  <c r="K731" i="35"/>
  <c r="A732" i="35"/>
  <c r="B732" i="35"/>
  <c r="C732" i="35"/>
  <c r="D732" i="35"/>
  <c r="E732" i="35"/>
  <c r="F732" i="35"/>
  <c r="G732" i="35"/>
  <c r="H732" i="35"/>
  <c r="I732" i="35"/>
  <c r="J732" i="35"/>
  <c r="A733" i="35"/>
  <c r="B733" i="35"/>
  <c r="C733" i="35"/>
  <c r="D733" i="35"/>
  <c r="E733" i="35"/>
  <c r="F733" i="35"/>
  <c r="G733" i="35"/>
  <c r="H733" i="35"/>
  <c r="I733" i="35"/>
  <c r="J733" i="35"/>
  <c r="K733" i="35"/>
  <c r="A734" i="35"/>
  <c r="B734" i="35"/>
  <c r="C734" i="35"/>
  <c r="D734" i="35"/>
  <c r="E734" i="35"/>
  <c r="F734" i="35"/>
  <c r="G734" i="35"/>
  <c r="H734" i="35"/>
  <c r="I734" i="35"/>
  <c r="J734" i="35"/>
  <c r="A735" i="35"/>
  <c r="B735" i="35"/>
  <c r="C735" i="35"/>
  <c r="D735" i="35"/>
  <c r="E735" i="35"/>
  <c r="F735" i="35"/>
  <c r="G735" i="35"/>
  <c r="H735" i="35"/>
  <c r="I735" i="35"/>
  <c r="J735" i="35"/>
  <c r="K735" i="35"/>
  <c r="A736" i="35"/>
  <c r="B736" i="35"/>
  <c r="C736" i="35"/>
  <c r="D736" i="35"/>
  <c r="E736" i="35"/>
  <c r="F736" i="35"/>
  <c r="G736" i="35"/>
  <c r="H736" i="35"/>
  <c r="I736" i="35"/>
  <c r="J736" i="35"/>
  <c r="A737" i="35"/>
  <c r="B737" i="35"/>
  <c r="C737" i="35"/>
  <c r="D737" i="35"/>
  <c r="E737" i="35"/>
  <c r="F737" i="35"/>
  <c r="G737" i="35"/>
  <c r="H737" i="35"/>
  <c r="I737" i="35"/>
  <c r="J737" i="35"/>
  <c r="K737" i="35"/>
  <c r="A738" i="35"/>
  <c r="B738" i="35"/>
  <c r="C738" i="35"/>
  <c r="D738" i="35"/>
  <c r="E738" i="35"/>
  <c r="F738" i="35"/>
  <c r="G738" i="35"/>
  <c r="H738" i="35"/>
  <c r="I738" i="35"/>
  <c r="J738" i="35"/>
  <c r="A739" i="35"/>
  <c r="B739" i="35"/>
  <c r="C739" i="35"/>
  <c r="D739" i="35"/>
  <c r="E739" i="35"/>
  <c r="F739" i="35"/>
  <c r="G739" i="35"/>
  <c r="H739" i="35"/>
  <c r="I739" i="35"/>
  <c r="J739" i="35"/>
  <c r="K739" i="35"/>
  <c r="I740" i="35"/>
  <c r="A741" i="35"/>
  <c r="F741" i="35"/>
  <c r="G741" i="35"/>
  <c r="H741" i="35"/>
  <c r="A742" i="35"/>
  <c r="F742" i="35"/>
  <c r="G742" i="35"/>
  <c r="H742" i="35"/>
  <c r="I742" i="35"/>
  <c r="K742" i="35"/>
  <c r="I743" i="35"/>
  <c r="A744" i="35"/>
  <c r="B744" i="35"/>
  <c r="C744" i="35"/>
  <c r="D744" i="35"/>
  <c r="E744" i="35"/>
  <c r="F744" i="35"/>
  <c r="G744" i="35"/>
  <c r="H744" i="35"/>
  <c r="I744" i="35"/>
  <c r="J744" i="35"/>
  <c r="K744" i="35"/>
  <c r="A745" i="35"/>
  <c r="B745" i="35"/>
  <c r="C745" i="35"/>
  <c r="D745" i="35"/>
  <c r="E745" i="35"/>
  <c r="F745" i="35"/>
  <c r="G745" i="35"/>
  <c r="H745" i="35"/>
  <c r="I745" i="35"/>
  <c r="J745" i="35"/>
  <c r="A746" i="35"/>
  <c r="B746" i="35"/>
  <c r="C746" i="35"/>
  <c r="D746" i="35"/>
  <c r="E746" i="35"/>
  <c r="F746" i="35"/>
  <c r="G746" i="35"/>
  <c r="H746" i="35"/>
  <c r="I746" i="35"/>
  <c r="J746" i="35"/>
  <c r="K746" i="35"/>
  <c r="A747" i="35"/>
  <c r="B747" i="35"/>
  <c r="C747" i="35"/>
  <c r="D747" i="35"/>
  <c r="E747" i="35"/>
  <c r="F747" i="35"/>
  <c r="G747" i="35"/>
  <c r="H747" i="35"/>
  <c r="I747" i="35"/>
  <c r="J747" i="35"/>
  <c r="A748" i="35"/>
  <c r="B748" i="35"/>
  <c r="C748" i="35"/>
  <c r="D748" i="35"/>
  <c r="E748" i="35"/>
  <c r="F748" i="35"/>
  <c r="G748" i="35"/>
  <c r="H748" i="35"/>
  <c r="I748" i="35"/>
  <c r="J748" i="35"/>
  <c r="K748" i="35"/>
  <c r="A749" i="35"/>
  <c r="B749" i="35"/>
  <c r="C749" i="35"/>
  <c r="D749" i="35"/>
  <c r="E749" i="35"/>
  <c r="F749" i="35"/>
  <c r="G749" i="35"/>
  <c r="H749" i="35"/>
  <c r="I749" i="35"/>
  <c r="J749" i="35"/>
  <c r="A750" i="35"/>
  <c r="B750" i="35"/>
  <c r="C750" i="35"/>
  <c r="D750" i="35"/>
  <c r="E750" i="35"/>
  <c r="F750" i="35"/>
  <c r="G750" i="35"/>
  <c r="H750" i="35"/>
  <c r="I750" i="35"/>
  <c r="J750" i="35"/>
  <c r="K750" i="35"/>
  <c r="A751" i="35"/>
  <c r="B751" i="35"/>
  <c r="C751" i="35"/>
  <c r="D751" i="35"/>
  <c r="E751" i="35"/>
  <c r="F751" i="35"/>
  <c r="G751" i="35"/>
  <c r="H751" i="35"/>
  <c r="I751" i="35"/>
  <c r="J751" i="35"/>
  <c r="A752" i="35"/>
  <c r="B752" i="35"/>
  <c r="C752" i="35"/>
  <c r="D752" i="35"/>
  <c r="E752" i="35"/>
  <c r="F752" i="35"/>
  <c r="G752" i="35"/>
  <c r="H752" i="35"/>
  <c r="I752" i="35"/>
  <c r="J752" i="35"/>
  <c r="K752" i="35"/>
  <c r="A753" i="35"/>
  <c r="B753" i="35"/>
  <c r="C753" i="35"/>
  <c r="D753" i="35"/>
  <c r="E753" i="35"/>
  <c r="F753" i="35"/>
  <c r="G753" i="35"/>
  <c r="H753" i="35"/>
  <c r="I753" i="35"/>
  <c r="J753" i="35"/>
  <c r="A754" i="35"/>
  <c r="B754" i="35"/>
  <c r="C754" i="35"/>
  <c r="D754" i="35"/>
  <c r="E754" i="35"/>
  <c r="F754" i="35"/>
  <c r="G754" i="35"/>
  <c r="H754" i="35"/>
  <c r="I754" i="35"/>
  <c r="J754" i="35"/>
  <c r="K754" i="35"/>
  <c r="A755" i="35"/>
  <c r="B755" i="35"/>
  <c r="C755" i="35"/>
  <c r="D755" i="35"/>
  <c r="E755" i="35"/>
  <c r="F755" i="35"/>
  <c r="G755" i="35"/>
  <c r="H755" i="35"/>
  <c r="I755" i="35"/>
  <c r="J755" i="35"/>
  <c r="A756" i="35"/>
  <c r="B756" i="35"/>
  <c r="C756" i="35"/>
  <c r="D756" i="35"/>
  <c r="E756" i="35"/>
  <c r="F756" i="35"/>
  <c r="G756" i="35"/>
  <c r="H756" i="35"/>
  <c r="I756" i="35"/>
  <c r="J756" i="35"/>
  <c r="K756" i="35"/>
  <c r="I757" i="35"/>
  <c r="A758" i="35"/>
  <c r="F758" i="35"/>
  <c r="G758" i="35"/>
  <c r="H758" i="35"/>
  <c r="I758" i="35"/>
  <c r="K758" i="35"/>
  <c r="I759" i="35"/>
  <c r="A760" i="35"/>
  <c r="B760" i="35"/>
  <c r="C760" i="35"/>
  <c r="D760" i="35"/>
  <c r="E760" i="35"/>
  <c r="F760" i="35"/>
  <c r="G760" i="35"/>
  <c r="H760" i="35"/>
  <c r="I760" i="35"/>
  <c r="J760" i="35"/>
  <c r="K760" i="35"/>
  <c r="A761" i="35"/>
  <c r="B761" i="35"/>
  <c r="C761" i="35"/>
  <c r="D761" i="35"/>
  <c r="E761" i="35"/>
  <c r="F761" i="35"/>
  <c r="G761" i="35"/>
  <c r="H761" i="35"/>
  <c r="I761" i="35"/>
  <c r="J761" i="35"/>
  <c r="A762" i="35"/>
  <c r="B762" i="35"/>
  <c r="C762" i="35"/>
  <c r="D762" i="35"/>
  <c r="E762" i="35"/>
  <c r="F762" i="35"/>
  <c r="G762" i="35"/>
  <c r="H762" i="35"/>
  <c r="I762" i="35"/>
  <c r="J762" i="35"/>
  <c r="K762" i="35"/>
  <c r="A763" i="35"/>
  <c r="B763" i="35"/>
  <c r="C763" i="35"/>
  <c r="D763" i="35"/>
  <c r="E763" i="35"/>
  <c r="F763" i="35"/>
  <c r="G763" i="35"/>
  <c r="H763" i="35"/>
  <c r="I763" i="35"/>
  <c r="J763" i="35"/>
  <c r="A764" i="35"/>
  <c r="B764" i="35"/>
  <c r="C764" i="35"/>
  <c r="D764" i="35"/>
  <c r="E764" i="35"/>
  <c r="F764" i="35"/>
  <c r="G764" i="35"/>
  <c r="H764" i="35"/>
  <c r="I764" i="35"/>
  <c r="J764" i="35"/>
  <c r="K764" i="35"/>
  <c r="A765" i="35"/>
  <c r="B765" i="35"/>
  <c r="C765" i="35"/>
  <c r="D765" i="35"/>
  <c r="E765" i="35"/>
  <c r="F765" i="35"/>
  <c r="G765" i="35"/>
  <c r="H765" i="35"/>
  <c r="I765" i="35"/>
  <c r="J765" i="35"/>
  <c r="A766" i="35"/>
  <c r="B766" i="35"/>
  <c r="C766" i="35"/>
  <c r="D766" i="35"/>
  <c r="E766" i="35"/>
  <c r="F766" i="35"/>
  <c r="G766" i="35"/>
  <c r="H766" i="35"/>
  <c r="I766" i="35"/>
  <c r="J766" i="35"/>
  <c r="K766" i="35"/>
  <c r="A767" i="35"/>
  <c r="B767" i="35"/>
  <c r="C767" i="35"/>
  <c r="D767" i="35"/>
  <c r="E767" i="35"/>
  <c r="F767" i="35"/>
  <c r="G767" i="35"/>
  <c r="H767" i="35"/>
  <c r="I767" i="35"/>
  <c r="J767" i="35"/>
  <c r="A768" i="35"/>
  <c r="B768" i="35"/>
  <c r="C768" i="35"/>
  <c r="D768" i="35"/>
  <c r="E768" i="35"/>
  <c r="F768" i="35"/>
  <c r="G768" i="35"/>
  <c r="H768" i="35"/>
  <c r="I768" i="35"/>
  <c r="J768" i="35"/>
  <c r="K768" i="35"/>
  <c r="A769" i="35"/>
  <c r="B769" i="35"/>
  <c r="C769" i="35"/>
  <c r="D769" i="35"/>
  <c r="E769" i="35"/>
  <c r="F769" i="35"/>
  <c r="G769" i="35"/>
  <c r="H769" i="35"/>
  <c r="I769" i="35"/>
  <c r="J769" i="35"/>
  <c r="A770" i="35"/>
  <c r="B770" i="35"/>
  <c r="C770" i="35"/>
  <c r="D770" i="35"/>
  <c r="E770" i="35"/>
  <c r="F770" i="35"/>
  <c r="G770" i="35"/>
  <c r="H770" i="35"/>
  <c r="I770" i="35"/>
  <c r="J770" i="35"/>
  <c r="K770" i="35"/>
  <c r="A771" i="35"/>
  <c r="B771" i="35"/>
  <c r="C771" i="35"/>
  <c r="D771" i="35"/>
  <c r="E771" i="35"/>
  <c r="F771" i="35"/>
  <c r="G771" i="35"/>
  <c r="H771" i="35"/>
  <c r="I771" i="35"/>
  <c r="J771" i="35"/>
  <c r="A772" i="35"/>
  <c r="B772" i="35"/>
  <c r="C772" i="35"/>
  <c r="D772" i="35"/>
  <c r="E772" i="35"/>
  <c r="F772" i="35"/>
  <c r="G772" i="35"/>
  <c r="H772" i="35"/>
  <c r="I772" i="35"/>
  <c r="J772" i="35"/>
  <c r="K772" i="35"/>
  <c r="H773" i="35"/>
  <c r="I773" i="35"/>
  <c r="J773" i="35"/>
  <c r="A774" i="35"/>
  <c r="F774" i="35"/>
  <c r="G774" i="35"/>
  <c r="H774" i="35"/>
  <c r="I774" i="35"/>
  <c r="K774" i="35"/>
  <c r="I775" i="35"/>
  <c r="A776" i="35"/>
  <c r="B776" i="35"/>
  <c r="C776" i="35"/>
  <c r="D776" i="35"/>
  <c r="E776" i="35"/>
  <c r="F776" i="35"/>
  <c r="G776" i="35"/>
  <c r="H776" i="35"/>
  <c r="I776" i="35"/>
  <c r="J776" i="35"/>
  <c r="K776" i="35"/>
  <c r="M776" i="35"/>
  <c r="A777" i="35"/>
  <c r="B777" i="35"/>
  <c r="C777" i="35"/>
  <c r="D777" i="35"/>
  <c r="E777" i="35"/>
  <c r="F777" i="35"/>
  <c r="G777" i="35"/>
  <c r="H777" i="35"/>
  <c r="I777" i="35"/>
  <c r="J777" i="35"/>
  <c r="K777" i="35"/>
  <c r="M777" i="35"/>
  <c r="A778" i="35"/>
  <c r="B778" i="35"/>
  <c r="C778" i="35"/>
  <c r="D778" i="35"/>
  <c r="E778" i="35"/>
  <c r="F778" i="35"/>
  <c r="G778" i="35"/>
  <c r="H778" i="35"/>
  <c r="I778" i="35"/>
  <c r="J778" i="35"/>
  <c r="K778" i="35"/>
  <c r="M778" i="35"/>
  <c r="A779" i="35"/>
  <c r="B779" i="35"/>
  <c r="C779" i="35"/>
  <c r="D779" i="35"/>
  <c r="E779" i="35"/>
  <c r="F779" i="35"/>
  <c r="G779" i="35"/>
  <c r="H779" i="35"/>
  <c r="I779" i="35"/>
  <c r="J779" i="35"/>
  <c r="K779" i="35"/>
  <c r="A780" i="35"/>
  <c r="B780" i="35"/>
  <c r="C780" i="35"/>
  <c r="D780" i="35"/>
  <c r="E780" i="35"/>
  <c r="F780" i="35"/>
  <c r="G780" i="35"/>
  <c r="H780" i="35"/>
  <c r="I780" i="35"/>
  <c r="J780" i="35"/>
  <c r="K780" i="35"/>
  <c r="A781" i="35"/>
  <c r="B781" i="35"/>
  <c r="C781" i="35"/>
  <c r="D781" i="35"/>
  <c r="E781" i="35"/>
  <c r="F781" i="35"/>
  <c r="G781" i="35"/>
  <c r="H781" i="35"/>
  <c r="I781" i="35"/>
  <c r="J781" i="35"/>
  <c r="K781" i="35"/>
  <c r="A782" i="35"/>
  <c r="B782" i="35"/>
  <c r="C782" i="35"/>
  <c r="D782" i="35"/>
  <c r="E782" i="35"/>
  <c r="F782" i="35"/>
  <c r="G782" i="35"/>
  <c r="H782" i="35"/>
  <c r="I782" i="35"/>
  <c r="J782" i="35"/>
  <c r="K782" i="35"/>
  <c r="A783" i="35"/>
  <c r="B783" i="35"/>
  <c r="C783" i="35"/>
  <c r="D783" i="35"/>
  <c r="E783" i="35"/>
  <c r="F783" i="35"/>
  <c r="G783" i="35"/>
  <c r="H783" i="35"/>
  <c r="I783" i="35"/>
  <c r="J783" i="35"/>
  <c r="K783" i="35"/>
  <c r="A784" i="35"/>
  <c r="B784" i="35"/>
  <c r="C784" i="35"/>
  <c r="D784" i="35"/>
  <c r="E784" i="35"/>
  <c r="F784" i="35"/>
  <c r="G784" i="35"/>
  <c r="H784" i="35"/>
  <c r="I784" i="35"/>
  <c r="J784" i="35"/>
  <c r="K784" i="35"/>
  <c r="A785" i="35"/>
  <c r="B785" i="35"/>
  <c r="C785" i="35"/>
  <c r="D785" i="35"/>
  <c r="E785" i="35"/>
  <c r="F785" i="35"/>
  <c r="G785" i="35"/>
  <c r="H785" i="35"/>
  <c r="I785" i="35"/>
  <c r="J785" i="35"/>
  <c r="K785" i="35"/>
  <c r="A786" i="35"/>
  <c r="B786" i="35"/>
  <c r="C786" i="35"/>
  <c r="D786" i="35"/>
  <c r="E786" i="35"/>
  <c r="F786" i="35"/>
  <c r="G786" i="35"/>
  <c r="H786" i="35"/>
  <c r="I786" i="35"/>
  <c r="J786" i="35"/>
  <c r="K786" i="35"/>
  <c r="A787" i="35"/>
  <c r="B787" i="35"/>
  <c r="C787" i="35"/>
  <c r="D787" i="35"/>
  <c r="E787" i="35"/>
  <c r="F787" i="35"/>
  <c r="G787" i="35"/>
  <c r="H787" i="35"/>
  <c r="I787" i="35"/>
  <c r="J787" i="35"/>
  <c r="A788" i="35"/>
  <c r="B788" i="35"/>
  <c r="C788" i="35"/>
  <c r="D788" i="35"/>
  <c r="E788" i="35"/>
  <c r="F788" i="35"/>
  <c r="G788" i="35"/>
  <c r="H788" i="35"/>
  <c r="I788" i="35"/>
  <c r="J788" i="35"/>
  <c r="K788" i="35"/>
  <c r="H789" i="35"/>
  <c r="I789" i="35"/>
  <c r="J789" i="35"/>
  <c r="A790" i="35"/>
  <c r="F790" i="35"/>
  <c r="G790" i="35"/>
  <c r="H790" i="35"/>
  <c r="I790" i="35"/>
  <c r="K790" i="35"/>
  <c r="I791" i="35"/>
  <c r="A792" i="35"/>
  <c r="B792" i="35"/>
  <c r="C792" i="35"/>
  <c r="D792" i="35"/>
  <c r="E792" i="35"/>
  <c r="F792" i="35"/>
  <c r="G792" i="35"/>
  <c r="H792" i="35"/>
  <c r="I792" i="35"/>
  <c r="J792" i="35"/>
  <c r="M792" i="35"/>
  <c r="A793" i="35"/>
  <c r="B793" i="35"/>
  <c r="C793" i="35"/>
  <c r="D793" i="35"/>
  <c r="E793" i="35"/>
  <c r="F793" i="35"/>
  <c r="G793" i="35"/>
  <c r="H793" i="35"/>
  <c r="I793" i="35"/>
  <c r="J793" i="35"/>
  <c r="A794" i="35"/>
  <c r="B794" i="35"/>
  <c r="C794" i="35"/>
  <c r="D794" i="35"/>
  <c r="E794" i="35"/>
  <c r="F794" i="35"/>
  <c r="G794" i="35"/>
  <c r="H794" i="35"/>
  <c r="I794" i="35"/>
  <c r="J794" i="35"/>
  <c r="K794" i="35"/>
  <c r="M794" i="35"/>
  <c r="A795" i="35"/>
  <c r="B795" i="35"/>
  <c r="C795" i="35"/>
  <c r="D795" i="35"/>
  <c r="E795" i="35"/>
  <c r="F795" i="35"/>
  <c r="G795" i="35"/>
  <c r="H795" i="35"/>
  <c r="I795" i="35"/>
  <c r="J795" i="35"/>
  <c r="K795" i="35"/>
  <c r="M795" i="35"/>
  <c r="A796" i="35"/>
  <c r="B796" i="35"/>
  <c r="C796" i="35"/>
  <c r="D796" i="35"/>
  <c r="E796" i="35"/>
  <c r="F796" i="35"/>
  <c r="G796" i="35"/>
  <c r="H796" i="35"/>
  <c r="I796" i="35"/>
  <c r="J796" i="35"/>
  <c r="K796" i="35"/>
  <c r="M796" i="35"/>
  <c r="A797" i="35"/>
  <c r="B797" i="35"/>
  <c r="C797" i="35"/>
  <c r="D797" i="35"/>
  <c r="E797" i="35"/>
  <c r="F797" i="35"/>
  <c r="G797" i="35"/>
  <c r="H797" i="35"/>
  <c r="I797" i="35"/>
  <c r="J797" i="35"/>
  <c r="K797" i="35"/>
  <c r="M797" i="35"/>
  <c r="A798" i="35"/>
  <c r="B798" i="35"/>
  <c r="C798" i="35"/>
  <c r="D798" i="35"/>
  <c r="E798" i="35"/>
  <c r="F798" i="35"/>
  <c r="G798" i="35"/>
  <c r="H798" i="35"/>
  <c r="I798" i="35"/>
  <c r="J798" i="35"/>
  <c r="K798" i="35"/>
  <c r="A799" i="35"/>
  <c r="B799" i="35"/>
  <c r="C799" i="35"/>
  <c r="D799" i="35"/>
  <c r="E799" i="35"/>
  <c r="F799" i="35"/>
  <c r="G799" i="35"/>
  <c r="H799" i="35"/>
  <c r="I799" i="35"/>
  <c r="J799" i="35"/>
  <c r="A800" i="35"/>
  <c r="B800" i="35"/>
  <c r="C800" i="35"/>
  <c r="D800" i="35"/>
  <c r="E800" i="35"/>
  <c r="F800" i="35"/>
  <c r="G800" i="35"/>
  <c r="H800" i="35"/>
  <c r="I800" i="35"/>
  <c r="J800" i="35"/>
  <c r="K800" i="35"/>
  <c r="A801" i="35"/>
  <c r="B801" i="35"/>
  <c r="C801" i="35"/>
  <c r="D801" i="35"/>
  <c r="E801" i="35"/>
  <c r="F801" i="35"/>
  <c r="G801" i="35"/>
  <c r="H801" i="35"/>
  <c r="I801" i="35"/>
  <c r="J801" i="35"/>
  <c r="A802" i="35"/>
  <c r="B802" i="35"/>
  <c r="C802" i="35"/>
  <c r="D802" i="35"/>
  <c r="E802" i="35"/>
  <c r="F802" i="35"/>
  <c r="G802" i="35"/>
  <c r="H802" i="35"/>
  <c r="I802" i="35"/>
  <c r="J802" i="35"/>
  <c r="K802" i="35"/>
  <c r="A803" i="35"/>
  <c r="B803" i="35"/>
  <c r="C803" i="35"/>
  <c r="D803" i="35"/>
  <c r="E803" i="35"/>
  <c r="F803" i="35"/>
  <c r="G803" i="35"/>
  <c r="H803" i="35"/>
  <c r="I803" i="35"/>
  <c r="J803" i="35"/>
  <c r="M803" i="35"/>
  <c r="A804" i="35"/>
  <c r="B804" i="35"/>
  <c r="C804" i="35"/>
  <c r="D804" i="35"/>
  <c r="E804" i="35"/>
  <c r="F804" i="35"/>
  <c r="G804" i="35"/>
  <c r="H804" i="35"/>
  <c r="I804" i="35"/>
  <c r="I805" i="35"/>
  <c r="J804" i="35"/>
  <c r="K804" i="35"/>
  <c r="M804" i="35"/>
  <c r="N803" i="35"/>
  <c r="H805" i="35"/>
  <c r="J805" i="35"/>
  <c r="A806" i="35"/>
  <c r="F806" i="35"/>
  <c r="G806" i="35"/>
  <c r="H806" i="35"/>
  <c r="A807" i="35"/>
  <c r="F807" i="35"/>
  <c r="G807" i="35"/>
  <c r="H807" i="35"/>
  <c r="I807" i="35"/>
  <c r="K807" i="35"/>
  <c r="A809" i="35"/>
  <c r="B809" i="35"/>
  <c r="C809" i="35"/>
  <c r="D809" i="35"/>
  <c r="E809" i="35"/>
  <c r="F809" i="35"/>
  <c r="G809" i="35"/>
  <c r="H809" i="35"/>
  <c r="I809" i="35"/>
  <c r="J809" i="35"/>
  <c r="O809" i="35"/>
  <c r="A810" i="35"/>
  <c r="B810" i="35"/>
  <c r="C810" i="35"/>
  <c r="D810" i="35"/>
  <c r="E810" i="35"/>
  <c r="F810" i="35"/>
  <c r="G810" i="35"/>
  <c r="H810" i="35"/>
  <c r="I810" i="35"/>
  <c r="J810" i="35"/>
  <c r="O810" i="35"/>
  <c r="A811" i="35"/>
  <c r="B811" i="35"/>
  <c r="C811" i="35"/>
  <c r="D811" i="35"/>
  <c r="E811" i="35"/>
  <c r="F811" i="35"/>
  <c r="G811" i="35"/>
  <c r="H811" i="35"/>
  <c r="I811" i="35"/>
  <c r="J811" i="35"/>
  <c r="O811" i="35"/>
  <c r="A812" i="35"/>
  <c r="B812" i="35"/>
  <c r="C812" i="35"/>
  <c r="D812" i="35"/>
  <c r="E812" i="35"/>
  <c r="F812" i="35"/>
  <c r="G812" i="35"/>
  <c r="H812" i="35"/>
  <c r="I812" i="35"/>
  <c r="J812" i="35"/>
  <c r="O812" i="35"/>
  <c r="A813" i="35"/>
  <c r="B813" i="35"/>
  <c r="C813" i="35"/>
  <c r="D813" i="35"/>
  <c r="E813" i="35"/>
  <c r="F813" i="35"/>
  <c r="G813" i="35"/>
  <c r="H813" i="35"/>
  <c r="I813" i="35"/>
  <c r="J813" i="35"/>
  <c r="O813" i="35"/>
  <c r="A814" i="35"/>
  <c r="B814" i="35"/>
  <c r="C814" i="35"/>
  <c r="D814" i="35"/>
  <c r="E814" i="35"/>
  <c r="F814" i="35"/>
  <c r="G814" i="35"/>
  <c r="H814" i="35"/>
  <c r="I814" i="35"/>
  <c r="J814" i="35"/>
  <c r="O814" i="35"/>
  <c r="A815" i="35"/>
  <c r="B815" i="35"/>
  <c r="C815" i="35"/>
  <c r="D815" i="35"/>
  <c r="E815" i="35"/>
  <c r="F815" i="35"/>
  <c r="G815" i="35"/>
  <c r="H815" i="35"/>
  <c r="I815" i="35"/>
  <c r="J815" i="35"/>
  <c r="O815" i="35"/>
  <c r="A816" i="35"/>
  <c r="B816" i="35"/>
  <c r="C816" i="35"/>
  <c r="D816" i="35"/>
  <c r="E816" i="35"/>
  <c r="F816" i="35"/>
  <c r="G816" i="35"/>
  <c r="H816" i="35"/>
  <c r="I816" i="35"/>
  <c r="J816" i="35"/>
  <c r="O816" i="35"/>
  <c r="A817" i="35"/>
  <c r="B817" i="35"/>
  <c r="C817" i="35"/>
  <c r="D817" i="35"/>
  <c r="E817" i="35"/>
  <c r="F817" i="35"/>
  <c r="G817" i="35"/>
  <c r="H817" i="35"/>
  <c r="I817" i="35"/>
  <c r="J817" i="35"/>
  <c r="O817" i="35"/>
  <c r="A818" i="35"/>
  <c r="B818" i="35"/>
  <c r="C818" i="35"/>
  <c r="D818" i="35"/>
  <c r="E818" i="35"/>
  <c r="F818" i="35"/>
  <c r="G818" i="35"/>
  <c r="H818" i="35"/>
  <c r="I818" i="35"/>
  <c r="J818" i="35"/>
  <c r="O818" i="35"/>
  <c r="A819" i="35"/>
  <c r="B819" i="35"/>
  <c r="C819" i="35"/>
  <c r="D819" i="35"/>
  <c r="E819" i="35"/>
  <c r="F819" i="35"/>
  <c r="G819" i="35"/>
  <c r="H819" i="35"/>
  <c r="I819" i="35"/>
  <c r="J819" i="35"/>
  <c r="O819" i="35"/>
  <c r="A820" i="35"/>
  <c r="B820" i="35"/>
  <c r="C820" i="35"/>
  <c r="D820" i="35"/>
  <c r="E820" i="35"/>
  <c r="F820" i="35"/>
  <c r="G820" i="35"/>
  <c r="H820" i="35"/>
  <c r="I820" i="35"/>
  <c r="J820" i="35"/>
  <c r="O820" i="35"/>
  <c r="A821" i="35"/>
  <c r="B821" i="35"/>
  <c r="C821" i="35"/>
  <c r="D821" i="35"/>
  <c r="E821" i="35"/>
  <c r="F821" i="35"/>
  <c r="G821" i="35"/>
  <c r="H821" i="35"/>
  <c r="I821" i="35"/>
  <c r="J821" i="35"/>
  <c r="O821" i="35"/>
  <c r="E822" i="35"/>
  <c r="H822" i="35"/>
  <c r="I822" i="35"/>
  <c r="J822" i="35"/>
  <c r="M822" i="35"/>
  <c r="N822" i="35"/>
  <c r="P822" i="35"/>
  <c r="A823" i="35"/>
  <c r="F823" i="35"/>
  <c r="G823" i="35"/>
  <c r="H823" i="35"/>
  <c r="N823" i="35"/>
  <c r="L823" i="35"/>
  <c r="M823" i="35"/>
  <c r="A824" i="35"/>
  <c r="F824" i="35"/>
  <c r="G824" i="35"/>
  <c r="H824" i="35"/>
  <c r="L824" i="35"/>
  <c r="I824" i="35"/>
  <c r="I823" i="35"/>
  <c r="J824" i="35"/>
  <c r="A827" i="35"/>
  <c r="B827" i="35"/>
  <c r="C827" i="35"/>
  <c r="D827" i="35"/>
  <c r="E827" i="35"/>
  <c r="F827" i="35"/>
  <c r="G827" i="35"/>
  <c r="H827" i="35"/>
  <c r="I827" i="35"/>
  <c r="K827" i="35"/>
  <c r="A828" i="35"/>
  <c r="B828" i="35"/>
  <c r="C828" i="35"/>
  <c r="D828" i="35"/>
  <c r="E828" i="35"/>
  <c r="F828" i="35"/>
  <c r="G828" i="35"/>
  <c r="H828" i="35"/>
  <c r="I828" i="35"/>
  <c r="A829" i="35"/>
  <c r="B829" i="35"/>
  <c r="C829" i="35"/>
  <c r="D829" i="35"/>
  <c r="E829" i="35"/>
  <c r="F829" i="35"/>
  <c r="G829" i="35"/>
  <c r="H829" i="35"/>
  <c r="I829" i="35"/>
  <c r="K829" i="35"/>
  <c r="A830" i="35"/>
  <c r="B830" i="35"/>
  <c r="C830" i="35"/>
  <c r="D830" i="35"/>
  <c r="E830" i="35"/>
  <c r="F830" i="35"/>
  <c r="G830" i="35"/>
  <c r="H830" i="35"/>
  <c r="I830" i="35"/>
  <c r="K830" i="35"/>
  <c r="A831" i="35"/>
  <c r="B831" i="35"/>
  <c r="C831" i="35"/>
  <c r="D831" i="35"/>
  <c r="E831" i="35"/>
  <c r="F831" i="35"/>
  <c r="G831" i="35"/>
  <c r="H831" i="35"/>
  <c r="I831" i="35"/>
  <c r="K831" i="35"/>
  <c r="A832" i="35"/>
  <c r="B832" i="35"/>
  <c r="C832" i="35"/>
  <c r="D832" i="35"/>
  <c r="E832" i="35"/>
  <c r="F832" i="35"/>
  <c r="G832" i="35"/>
  <c r="H832" i="35"/>
  <c r="I832" i="35"/>
  <c r="K832" i="35"/>
  <c r="A833" i="35"/>
  <c r="B833" i="35"/>
  <c r="C833" i="35"/>
  <c r="D833" i="35"/>
  <c r="E833" i="35"/>
  <c r="F833" i="35"/>
  <c r="G833" i="35"/>
  <c r="H833" i="35"/>
  <c r="I833" i="35"/>
  <c r="K833" i="35"/>
  <c r="A834" i="35"/>
  <c r="B834" i="35"/>
  <c r="C834" i="35"/>
  <c r="D834" i="35"/>
  <c r="E834" i="35"/>
  <c r="F834" i="35"/>
  <c r="G834" i="35"/>
  <c r="H834" i="35"/>
  <c r="I834" i="35"/>
  <c r="K834" i="35"/>
  <c r="A835" i="35"/>
  <c r="B835" i="35"/>
  <c r="C835" i="35"/>
  <c r="D835" i="35"/>
  <c r="E835" i="35"/>
  <c r="F835" i="35"/>
  <c r="G835" i="35"/>
  <c r="H835" i="35"/>
  <c r="I835" i="35"/>
  <c r="A836" i="35"/>
  <c r="B836" i="35"/>
  <c r="C836" i="35"/>
  <c r="D836" i="35"/>
  <c r="E836" i="35"/>
  <c r="F836" i="35"/>
  <c r="G836" i="35"/>
  <c r="H836" i="35"/>
  <c r="I836" i="35"/>
  <c r="K836" i="35"/>
  <c r="A837" i="35"/>
  <c r="B837" i="35"/>
  <c r="C837" i="35"/>
  <c r="D837" i="35"/>
  <c r="E837" i="35"/>
  <c r="F837" i="35"/>
  <c r="G837" i="35"/>
  <c r="H837" i="35"/>
  <c r="I837" i="35"/>
  <c r="K837" i="35"/>
  <c r="A838" i="35"/>
  <c r="B838" i="35"/>
  <c r="C838" i="35"/>
  <c r="D838" i="35"/>
  <c r="E838" i="35"/>
  <c r="F838" i="35"/>
  <c r="G838" i="35"/>
  <c r="H838" i="35"/>
  <c r="I838" i="35"/>
  <c r="K838" i="35"/>
  <c r="E839" i="35"/>
  <c r="H839" i="35"/>
  <c r="H840" i="35"/>
  <c r="I840" i="35"/>
  <c r="A841" i="35"/>
  <c r="B841" i="35"/>
  <c r="C841" i="35"/>
  <c r="D841" i="35"/>
  <c r="E841" i="35"/>
  <c r="F841" i="35"/>
  <c r="G841" i="35"/>
  <c r="H841" i="35"/>
  <c r="I841" i="35"/>
  <c r="J841" i="35"/>
  <c r="K841" i="35"/>
  <c r="A842" i="35"/>
  <c r="B842" i="35"/>
  <c r="C842" i="35"/>
  <c r="D842" i="35"/>
  <c r="E842" i="35"/>
  <c r="F842" i="35"/>
  <c r="G842" i="35"/>
  <c r="H842" i="35"/>
  <c r="I842" i="35"/>
  <c r="J842" i="35"/>
  <c r="A843" i="35"/>
  <c r="B843" i="35"/>
  <c r="C843" i="35"/>
  <c r="D843" i="35"/>
  <c r="E843" i="35"/>
  <c r="F843" i="35"/>
  <c r="G843" i="35"/>
  <c r="H843" i="35"/>
  <c r="I843" i="35"/>
  <c r="J843" i="35"/>
  <c r="K843" i="35"/>
  <c r="A844" i="35"/>
  <c r="B844" i="35"/>
  <c r="C844" i="35"/>
  <c r="D844" i="35"/>
  <c r="E844" i="35"/>
  <c r="F844" i="35"/>
  <c r="G844" i="35"/>
  <c r="H844" i="35"/>
  <c r="I844" i="35"/>
  <c r="J844" i="35"/>
  <c r="A845" i="35"/>
  <c r="B845" i="35"/>
  <c r="C845" i="35"/>
  <c r="D845" i="35"/>
  <c r="E845" i="35"/>
  <c r="F845" i="35"/>
  <c r="G845" i="35"/>
  <c r="H845" i="35"/>
  <c r="I845" i="35"/>
  <c r="J845" i="35"/>
  <c r="K845" i="35"/>
  <c r="A846" i="35"/>
  <c r="B846" i="35"/>
  <c r="C846" i="35"/>
  <c r="D846" i="35"/>
  <c r="E846" i="35"/>
  <c r="F846" i="35"/>
  <c r="G846" i="35"/>
  <c r="H846" i="35"/>
  <c r="I846" i="35"/>
  <c r="J846" i="35"/>
  <c r="A847" i="35"/>
  <c r="B847" i="35"/>
  <c r="C847" i="35"/>
  <c r="D847" i="35"/>
  <c r="E847" i="35"/>
  <c r="F847" i="35"/>
  <c r="G847" i="35"/>
  <c r="H847" i="35"/>
  <c r="I847" i="35"/>
  <c r="J847" i="35"/>
  <c r="K847" i="35"/>
  <c r="A848" i="35"/>
  <c r="B848" i="35"/>
  <c r="C848" i="35"/>
  <c r="D848" i="35"/>
  <c r="E848" i="35"/>
  <c r="F848" i="35"/>
  <c r="G848" i="35"/>
  <c r="H848" i="35"/>
  <c r="I848" i="35"/>
  <c r="J848" i="35"/>
  <c r="A849" i="35"/>
  <c r="B849" i="35"/>
  <c r="C849" i="35"/>
  <c r="D849" i="35"/>
  <c r="E849" i="35"/>
  <c r="F849" i="35"/>
  <c r="G849" i="35"/>
  <c r="H849" i="35"/>
  <c r="I849" i="35"/>
  <c r="J849" i="35"/>
  <c r="K849" i="35"/>
  <c r="A850" i="35"/>
  <c r="B850" i="35"/>
  <c r="C850" i="35"/>
  <c r="D850" i="35"/>
  <c r="E850" i="35"/>
  <c r="F850" i="35"/>
  <c r="G850" i="35"/>
  <c r="H850" i="35"/>
  <c r="I850" i="35"/>
  <c r="J850" i="35"/>
  <c r="A851" i="35"/>
  <c r="B851" i="35"/>
  <c r="C851" i="35"/>
  <c r="D851" i="35"/>
  <c r="E851" i="35"/>
  <c r="F851" i="35"/>
  <c r="G851" i="35"/>
  <c r="H851" i="35"/>
  <c r="I851" i="35"/>
  <c r="J851" i="35"/>
  <c r="K851" i="35"/>
  <c r="A852" i="35"/>
  <c r="B852" i="35"/>
  <c r="C852" i="35"/>
  <c r="D852" i="35"/>
  <c r="E852" i="35"/>
  <c r="F852" i="35"/>
  <c r="G852" i="35"/>
  <c r="H852" i="35"/>
  <c r="I852" i="35"/>
  <c r="J852" i="35"/>
  <c r="A853" i="35"/>
  <c r="B853" i="35"/>
  <c r="C853" i="35"/>
  <c r="D853" i="35"/>
  <c r="E853" i="35"/>
  <c r="F853" i="35"/>
  <c r="G853" i="35"/>
  <c r="H853" i="35"/>
  <c r="I853" i="35"/>
  <c r="J853" i="35"/>
  <c r="K853" i="35"/>
  <c r="E854" i="35"/>
  <c r="H854" i="35"/>
  <c r="M854" i="35"/>
  <c r="J854" i="35"/>
  <c r="A855" i="35"/>
  <c r="F855" i="35"/>
  <c r="G855" i="35"/>
  <c r="H855" i="35"/>
  <c r="I855" i="35"/>
  <c r="K855" i="35"/>
  <c r="A857" i="35"/>
  <c r="B857" i="35"/>
  <c r="C857" i="35"/>
  <c r="D857" i="35"/>
  <c r="E857" i="35"/>
  <c r="F857" i="35"/>
  <c r="G857" i="35"/>
  <c r="H857" i="35"/>
  <c r="I857" i="35"/>
  <c r="L857" i="35"/>
  <c r="J857" i="35"/>
  <c r="M857" i="35"/>
  <c r="A858" i="35"/>
  <c r="B858" i="35"/>
  <c r="C858" i="35"/>
  <c r="D858" i="35"/>
  <c r="E858" i="35"/>
  <c r="F858" i="35"/>
  <c r="G858" i="35"/>
  <c r="H858" i="35"/>
  <c r="I858" i="35"/>
  <c r="L858" i="35"/>
  <c r="J858" i="35"/>
  <c r="M858" i="35"/>
  <c r="A859" i="35"/>
  <c r="B859" i="35"/>
  <c r="C859" i="35"/>
  <c r="D859" i="35"/>
  <c r="E859" i="35"/>
  <c r="F859" i="35"/>
  <c r="G859" i="35"/>
  <c r="H859" i="35"/>
  <c r="I859" i="35"/>
  <c r="L859" i="35"/>
  <c r="J859" i="35"/>
  <c r="M859" i="35"/>
  <c r="A860" i="35"/>
  <c r="B860" i="35"/>
  <c r="C860" i="35"/>
  <c r="D860" i="35"/>
  <c r="E860" i="35"/>
  <c r="F860" i="35"/>
  <c r="G860" i="35"/>
  <c r="H860" i="35"/>
  <c r="I860" i="35"/>
  <c r="L860" i="35"/>
  <c r="J860" i="35"/>
  <c r="M860" i="35"/>
  <c r="A861" i="35"/>
  <c r="B861" i="35"/>
  <c r="C861" i="35"/>
  <c r="D861" i="35"/>
  <c r="E861" i="35"/>
  <c r="F861" i="35"/>
  <c r="G861" i="35"/>
  <c r="H861" i="35"/>
  <c r="I861" i="35"/>
  <c r="L861" i="35"/>
  <c r="J861" i="35"/>
  <c r="M861" i="35"/>
  <c r="A862" i="35"/>
  <c r="B862" i="35"/>
  <c r="C862" i="35"/>
  <c r="D862" i="35"/>
  <c r="E862" i="35"/>
  <c r="F862" i="35"/>
  <c r="G862" i="35"/>
  <c r="H862" i="35"/>
  <c r="I862" i="35"/>
  <c r="L862" i="35"/>
  <c r="J862" i="35"/>
  <c r="M862" i="35"/>
  <c r="A863" i="35"/>
  <c r="B863" i="35"/>
  <c r="C863" i="35"/>
  <c r="D863" i="35"/>
  <c r="E863" i="35"/>
  <c r="F863" i="35"/>
  <c r="G863" i="35"/>
  <c r="H863" i="35"/>
  <c r="I863" i="35"/>
  <c r="L863" i="35"/>
  <c r="J863" i="35"/>
  <c r="M863" i="35"/>
  <c r="A864" i="35"/>
  <c r="B864" i="35"/>
  <c r="C864" i="35"/>
  <c r="D864" i="35"/>
  <c r="E864" i="35"/>
  <c r="F864" i="35"/>
  <c r="G864" i="35"/>
  <c r="H864" i="35"/>
  <c r="I864" i="35"/>
  <c r="L864" i="35"/>
  <c r="J864" i="35"/>
  <c r="M864" i="35"/>
  <c r="A865" i="35"/>
  <c r="B865" i="35"/>
  <c r="C865" i="35"/>
  <c r="D865" i="35"/>
  <c r="E865" i="35"/>
  <c r="F865" i="35"/>
  <c r="G865" i="35"/>
  <c r="H865" i="35"/>
  <c r="I865" i="35"/>
  <c r="L865" i="35"/>
  <c r="J865" i="35"/>
  <c r="M865" i="35"/>
  <c r="A866" i="35"/>
  <c r="B866" i="35"/>
  <c r="C866" i="35"/>
  <c r="D866" i="35"/>
  <c r="E866" i="35"/>
  <c r="F866" i="35"/>
  <c r="G866" i="35"/>
  <c r="H866" i="35"/>
  <c r="I866" i="35"/>
  <c r="L866" i="35"/>
  <c r="J866" i="35"/>
  <c r="M866" i="35"/>
  <c r="A867" i="35"/>
  <c r="B867" i="35"/>
  <c r="C867" i="35"/>
  <c r="D867" i="35"/>
  <c r="E867" i="35"/>
  <c r="F867" i="35"/>
  <c r="G867" i="35"/>
  <c r="H867" i="35"/>
  <c r="I867" i="35"/>
  <c r="L867" i="35"/>
  <c r="J867" i="35"/>
  <c r="M867" i="35"/>
  <c r="A868" i="35"/>
  <c r="B868" i="35"/>
  <c r="C868" i="35"/>
  <c r="D868" i="35"/>
  <c r="E868" i="35"/>
  <c r="F868" i="35"/>
  <c r="G868" i="35"/>
  <c r="H868" i="35"/>
  <c r="I868" i="35"/>
  <c r="L868" i="35"/>
  <c r="J868" i="35"/>
  <c r="M868" i="35"/>
  <c r="A869" i="35"/>
  <c r="B869" i="35"/>
  <c r="C869" i="35"/>
  <c r="D869" i="35"/>
  <c r="E869" i="35"/>
  <c r="F869" i="35"/>
  <c r="G869" i="35"/>
  <c r="H869" i="35"/>
  <c r="I869" i="35"/>
  <c r="L869" i="35"/>
  <c r="J869" i="35"/>
  <c r="M869" i="35"/>
  <c r="H870" i="35"/>
  <c r="J870" i="35"/>
  <c r="A871" i="35"/>
  <c r="F871" i="35"/>
  <c r="G871" i="35"/>
  <c r="H871" i="35"/>
  <c r="A872" i="35"/>
  <c r="F872" i="35"/>
  <c r="G872" i="35"/>
  <c r="H872" i="35"/>
  <c r="I872" i="35"/>
  <c r="A873" i="35"/>
  <c r="B873" i="35"/>
  <c r="C873" i="35"/>
  <c r="D873" i="35"/>
  <c r="E873" i="35"/>
  <c r="F873" i="35"/>
  <c r="G873" i="35"/>
  <c r="H873" i="35"/>
  <c r="I873" i="35"/>
  <c r="J873" i="35"/>
  <c r="B874" i="35"/>
  <c r="C874" i="35"/>
  <c r="D874" i="35"/>
  <c r="E874" i="35"/>
  <c r="F874" i="35"/>
  <c r="G874" i="35"/>
  <c r="H874" i="35"/>
  <c r="I874" i="35"/>
  <c r="J874" i="35"/>
  <c r="K874" i="35"/>
  <c r="B875" i="35"/>
  <c r="C875" i="35"/>
  <c r="D875" i="35"/>
  <c r="E875" i="35"/>
  <c r="F875" i="35"/>
  <c r="G875" i="35"/>
  <c r="H875" i="35"/>
  <c r="I875" i="35"/>
  <c r="J875" i="35"/>
  <c r="K875" i="35"/>
  <c r="A876" i="35"/>
  <c r="B876" i="35"/>
  <c r="C876" i="35"/>
  <c r="D876" i="35"/>
  <c r="E876" i="35"/>
  <c r="F876" i="35"/>
  <c r="G876" i="35"/>
  <c r="H876" i="35"/>
  <c r="J876" i="35"/>
  <c r="A877" i="35"/>
  <c r="B877" i="35"/>
  <c r="C877" i="35"/>
  <c r="D877" i="35"/>
  <c r="E877" i="35"/>
  <c r="F877" i="35"/>
  <c r="G877" i="35"/>
  <c r="H877" i="35"/>
  <c r="I877" i="35"/>
  <c r="J877" i="35"/>
  <c r="K877" i="35"/>
  <c r="M877" i="35"/>
  <c r="O877" i="35"/>
  <c r="B878" i="35"/>
  <c r="C878" i="35"/>
  <c r="D878" i="35"/>
  <c r="E878" i="35"/>
  <c r="F878" i="35"/>
  <c r="G878" i="35"/>
  <c r="H878" i="35"/>
  <c r="I878" i="35"/>
  <c r="J878" i="35"/>
  <c r="K878" i="35"/>
  <c r="A879" i="35"/>
  <c r="B879" i="35"/>
  <c r="C879" i="35"/>
  <c r="D879" i="35"/>
  <c r="E879" i="35"/>
  <c r="F879" i="35"/>
  <c r="G879" i="35"/>
  <c r="H879" i="35"/>
  <c r="J879" i="35"/>
  <c r="A880" i="35"/>
  <c r="B880" i="35"/>
  <c r="C880" i="35"/>
  <c r="D880" i="35"/>
  <c r="E880" i="35"/>
  <c r="F880" i="35"/>
  <c r="H880" i="35"/>
  <c r="I880" i="35"/>
  <c r="J880" i="35"/>
  <c r="J881" i="35"/>
  <c r="A881" i="35"/>
  <c r="B881" i="35"/>
  <c r="C881" i="35"/>
  <c r="D881" i="35"/>
  <c r="E881" i="35"/>
  <c r="F881" i="35"/>
  <c r="G881" i="35"/>
  <c r="I881" i="35"/>
  <c r="B882" i="35"/>
  <c r="C882" i="35"/>
  <c r="D882" i="35"/>
  <c r="E882" i="35"/>
  <c r="F882" i="35"/>
  <c r="H882" i="35"/>
  <c r="I882" i="35"/>
  <c r="J882" i="35"/>
  <c r="A883" i="35"/>
  <c r="B883" i="35"/>
  <c r="C883" i="35"/>
  <c r="D883" i="35"/>
  <c r="E883" i="35"/>
  <c r="F883" i="35"/>
  <c r="G883" i="35"/>
  <c r="H883" i="35"/>
  <c r="I883" i="35"/>
  <c r="J883" i="35"/>
  <c r="K883" i="35"/>
  <c r="B884" i="35"/>
  <c r="C884" i="35"/>
  <c r="D884" i="35"/>
  <c r="E884" i="35"/>
  <c r="F884" i="35"/>
  <c r="G884" i="35"/>
  <c r="H884" i="35"/>
  <c r="I884" i="35"/>
  <c r="J884" i="35"/>
  <c r="K884" i="35"/>
  <c r="A885" i="35"/>
  <c r="B885" i="35"/>
  <c r="C885" i="35"/>
  <c r="D885" i="35"/>
  <c r="E885" i="35"/>
  <c r="F885" i="35"/>
  <c r="G885" i="35"/>
  <c r="H885" i="35"/>
  <c r="J885" i="35"/>
  <c r="A886" i="35"/>
  <c r="B886" i="35"/>
  <c r="C886" i="35"/>
  <c r="D886" i="35"/>
  <c r="E886" i="35"/>
  <c r="F886" i="35"/>
  <c r="G886" i="35"/>
  <c r="H886" i="35"/>
  <c r="I886" i="35"/>
  <c r="J886" i="35"/>
  <c r="A887" i="35"/>
  <c r="B887" i="35"/>
  <c r="C887" i="35"/>
  <c r="D887" i="35"/>
  <c r="E887" i="35"/>
  <c r="F887" i="35"/>
  <c r="G887" i="35"/>
  <c r="H887" i="35"/>
  <c r="J887" i="35"/>
  <c r="K887" i="35"/>
  <c r="A888" i="35"/>
  <c r="B888" i="35"/>
  <c r="C888" i="35"/>
  <c r="D888" i="35"/>
  <c r="E888" i="35"/>
  <c r="F888" i="35"/>
  <c r="G888" i="35"/>
  <c r="H888" i="35"/>
  <c r="I888" i="35"/>
  <c r="K888" i="35"/>
  <c r="A889" i="35"/>
  <c r="B889" i="35"/>
  <c r="C889" i="35"/>
  <c r="D889" i="35"/>
  <c r="E889" i="35"/>
  <c r="F889" i="35"/>
  <c r="G889" i="35"/>
  <c r="H889" i="35"/>
  <c r="I889" i="35"/>
  <c r="K889" i="35"/>
  <c r="A890" i="35"/>
  <c r="B890" i="35"/>
  <c r="C890" i="35"/>
  <c r="D890" i="35"/>
  <c r="E890" i="35"/>
  <c r="F890" i="35"/>
  <c r="G890" i="35"/>
  <c r="H890" i="35"/>
  <c r="I890" i="35"/>
  <c r="K890" i="35"/>
  <c r="A891" i="35"/>
  <c r="B891" i="35"/>
  <c r="C891" i="35"/>
  <c r="D891" i="35"/>
  <c r="E891" i="35"/>
  <c r="F891" i="35"/>
  <c r="G891" i="35"/>
  <c r="H891" i="35"/>
  <c r="I891" i="35"/>
  <c r="A892" i="35"/>
  <c r="B892" i="35"/>
  <c r="C892" i="35"/>
  <c r="D892" i="35"/>
  <c r="E892" i="35"/>
  <c r="F892" i="35"/>
  <c r="G892" i="35"/>
  <c r="H892" i="35"/>
  <c r="I892" i="35"/>
  <c r="K892" i="35"/>
  <c r="A893" i="35"/>
  <c r="B893" i="35"/>
  <c r="C893" i="35"/>
  <c r="D893" i="35"/>
  <c r="E893" i="35"/>
  <c r="F893" i="35"/>
  <c r="G893" i="35"/>
  <c r="H893" i="35"/>
  <c r="I893" i="35"/>
  <c r="K893" i="35"/>
  <c r="A894" i="35"/>
  <c r="B894" i="35"/>
  <c r="C894" i="35"/>
  <c r="D894" i="35"/>
  <c r="E894" i="35"/>
  <c r="F894" i="35"/>
  <c r="G894" i="35"/>
  <c r="H894" i="35"/>
  <c r="I894" i="35"/>
  <c r="K894" i="35"/>
  <c r="A895" i="35"/>
  <c r="B895" i="35"/>
  <c r="C895" i="35"/>
  <c r="D895" i="35"/>
  <c r="E895" i="35"/>
  <c r="F895" i="35"/>
  <c r="G895" i="35"/>
  <c r="H895" i="35"/>
  <c r="I895" i="35"/>
  <c r="K895" i="35"/>
  <c r="A896" i="35"/>
  <c r="B896" i="35"/>
  <c r="C896" i="35"/>
  <c r="D896" i="35"/>
  <c r="E896" i="35"/>
  <c r="F896" i="35"/>
  <c r="G896" i="35"/>
  <c r="H896" i="35"/>
  <c r="I896" i="35"/>
  <c r="K896" i="35"/>
  <c r="A897" i="35"/>
  <c r="B897" i="35"/>
  <c r="C897" i="35"/>
  <c r="D897" i="35"/>
  <c r="E897" i="35"/>
  <c r="F897" i="35"/>
  <c r="G897" i="35"/>
  <c r="H897" i="35"/>
  <c r="I897" i="35"/>
  <c r="K897" i="35"/>
  <c r="A898" i="35"/>
  <c r="B898" i="35"/>
  <c r="C898" i="35"/>
  <c r="D898" i="35"/>
  <c r="E898" i="35"/>
  <c r="F898" i="35"/>
  <c r="G898" i="35"/>
  <c r="H898" i="35"/>
  <c r="I898" i="35"/>
  <c r="K898" i="35"/>
  <c r="H899" i="35"/>
  <c r="A900" i="35"/>
  <c r="H900" i="35"/>
  <c r="I900" i="35"/>
  <c r="A901" i="35"/>
  <c r="B901" i="35"/>
  <c r="C901" i="35"/>
  <c r="E901" i="35"/>
  <c r="F901" i="35"/>
  <c r="G901" i="35"/>
  <c r="H901" i="35"/>
  <c r="I901" i="35"/>
  <c r="K901" i="35"/>
  <c r="A902" i="35"/>
  <c r="B902" i="35"/>
  <c r="C902" i="35"/>
  <c r="E902" i="35"/>
  <c r="F902" i="35"/>
  <c r="G902" i="35"/>
  <c r="H902" i="35"/>
  <c r="I902" i="35"/>
  <c r="A903" i="35"/>
  <c r="B903" i="35"/>
  <c r="C903" i="35"/>
  <c r="E903" i="35"/>
  <c r="F903" i="35"/>
  <c r="G903" i="35"/>
  <c r="H903" i="35"/>
  <c r="I903" i="35"/>
  <c r="K903" i="35"/>
  <c r="A904" i="35"/>
  <c r="B904" i="35"/>
  <c r="C904" i="35"/>
  <c r="E904" i="35"/>
  <c r="F904" i="35"/>
  <c r="G904" i="35"/>
  <c r="H904" i="35"/>
  <c r="I904" i="35"/>
  <c r="K904" i="35"/>
  <c r="A905" i="35"/>
  <c r="B905" i="35"/>
  <c r="C905" i="35"/>
  <c r="E905" i="35"/>
  <c r="F905" i="35"/>
  <c r="G905" i="35"/>
  <c r="H905" i="35"/>
  <c r="I905" i="35"/>
  <c r="K905" i="35"/>
  <c r="A906" i="35"/>
  <c r="B906" i="35"/>
  <c r="C906" i="35"/>
  <c r="E906" i="35"/>
  <c r="F906" i="35"/>
  <c r="G906" i="35"/>
  <c r="H906" i="35"/>
  <c r="I906" i="35"/>
  <c r="A907" i="35"/>
  <c r="B907" i="35"/>
  <c r="C907" i="35"/>
  <c r="E907" i="35"/>
  <c r="F907" i="35"/>
  <c r="G907" i="35"/>
  <c r="H907" i="35"/>
  <c r="I907" i="35"/>
  <c r="K907" i="35"/>
  <c r="A908" i="35"/>
  <c r="B908" i="35"/>
  <c r="C908" i="35"/>
  <c r="E908" i="35"/>
  <c r="F908" i="35"/>
  <c r="G908" i="35"/>
  <c r="H908" i="35"/>
  <c r="I908" i="35"/>
  <c r="K908" i="35"/>
  <c r="A909" i="35"/>
  <c r="B909" i="35"/>
  <c r="C909" i="35"/>
  <c r="E909" i="35"/>
  <c r="F909" i="35"/>
  <c r="G909" i="35"/>
  <c r="H909" i="35"/>
  <c r="A910" i="35"/>
  <c r="B910" i="35"/>
  <c r="C910" i="35"/>
  <c r="E910" i="35"/>
  <c r="F910" i="35"/>
  <c r="G910" i="35"/>
  <c r="H910" i="35"/>
  <c r="I910" i="35"/>
  <c r="J910" i="35"/>
  <c r="K910" i="35"/>
  <c r="B911" i="35"/>
  <c r="C911" i="35"/>
  <c r="E911" i="35"/>
  <c r="F911" i="35"/>
  <c r="G911" i="35"/>
  <c r="H911" i="35"/>
  <c r="I911" i="35"/>
  <c r="J911" i="35"/>
  <c r="J912" i="35"/>
  <c r="A912" i="35"/>
  <c r="B912" i="35"/>
  <c r="C912" i="35"/>
  <c r="D912" i="35"/>
  <c r="E912" i="35"/>
  <c r="F912" i="35"/>
  <c r="G912" i="35"/>
  <c r="H912" i="35"/>
  <c r="I912" i="35"/>
  <c r="A913" i="35"/>
  <c r="B913" i="35"/>
  <c r="C913" i="35"/>
  <c r="D913" i="35"/>
  <c r="E913" i="35"/>
  <c r="F913" i="35"/>
  <c r="G913" i="35"/>
  <c r="H913" i="35"/>
  <c r="I913" i="35"/>
  <c r="K913" i="35"/>
  <c r="A914" i="35"/>
  <c r="B914" i="35"/>
  <c r="C914" i="35"/>
  <c r="D914" i="35"/>
  <c r="E914" i="35"/>
  <c r="F914" i="35"/>
  <c r="G914" i="35"/>
  <c r="H914" i="35"/>
  <c r="I914" i="35"/>
  <c r="J914" i="35"/>
  <c r="B915" i="35"/>
  <c r="C915" i="35"/>
  <c r="D915" i="35"/>
  <c r="E915" i="35"/>
  <c r="F915" i="35"/>
  <c r="G915" i="35"/>
  <c r="H915" i="35"/>
  <c r="I915" i="35"/>
  <c r="J915" i="35"/>
  <c r="B916" i="35"/>
  <c r="C916" i="35"/>
  <c r="D916" i="35"/>
  <c r="E916" i="35"/>
  <c r="F916" i="35"/>
  <c r="G916" i="35"/>
  <c r="H916" i="35"/>
  <c r="I916" i="35"/>
  <c r="J916" i="35"/>
  <c r="A917" i="35"/>
  <c r="B917" i="35"/>
  <c r="C917" i="35"/>
  <c r="D917" i="35"/>
  <c r="E917" i="35"/>
  <c r="F917" i="35"/>
  <c r="G917" i="35"/>
  <c r="H917" i="35"/>
  <c r="I917" i="35"/>
  <c r="A918" i="35"/>
  <c r="B918" i="35"/>
  <c r="C918" i="35"/>
  <c r="D918" i="35"/>
  <c r="E918" i="35"/>
  <c r="F918" i="35"/>
  <c r="G918" i="35"/>
  <c r="H918" i="35"/>
  <c r="J918" i="35"/>
  <c r="K918" i="35"/>
  <c r="A919" i="35"/>
  <c r="B919" i="35"/>
  <c r="C919" i="35"/>
  <c r="D919" i="35"/>
  <c r="E919" i="35"/>
  <c r="F919" i="35"/>
  <c r="G919" i="35"/>
  <c r="H919" i="35"/>
  <c r="I919" i="35"/>
  <c r="K919" i="35"/>
  <c r="E928" i="35"/>
  <c r="G928" i="35"/>
  <c r="E929" i="35"/>
  <c r="G929" i="35"/>
  <c r="H929" i="35"/>
  <c r="E930" i="35"/>
  <c r="G930" i="35"/>
  <c r="H930" i="35"/>
  <c r="E931" i="35"/>
  <c r="G931" i="35"/>
  <c r="E932" i="35"/>
  <c r="G932" i="35"/>
  <c r="H932" i="35"/>
  <c r="E933" i="35"/>
  <c r="G933" i="35"/>
  <c r="H933" i="35"/>
  <c r="E934" i="35"/>
  <c r="G934" i="35"/>
  <c r="H934" i="35"/>
  <c r="E935" i="35"/>
  <c r="G935" i="35"/>
  <c r="E936" i="35"/>
  <c r="G936" i="35"/>
  <c r="H936" i="35"/>
  <c r="E937" i="35"/>
  <c r="G937" i="35"/>
  <c r="H937" i="35"/>
  <c r="E938" i="35"/>
  <c r="G938" i="35"/>
  <c r="H938" i="35"/>
  <c r="E939" i="35"/>
  <c r="G939" i="35"/>
  <c r="E940" i="35"/>
  <c r="E942" i="35"/>
  <c r="G942" i="35"/>
  <c r="H942" i="35"/>
  <c r="E943" i="35"/>
  <c r="G943" i="35"/>
  <c r="H943" i="35"/>
  <c r="E944" i="35"/>
  <c r="G944" i="35"/>
  <c r="E945" i="35"/>
  <c r="G945" i="35"/>
  <c r="H945" i="35"/>
  <c r="E946" i="35"/>
  <c r="G946" i="35"/>
  <c r="H946" i="35"/>
  <c r="E947" i="35"/>
  <c r="G947" i="35"/>
  <c r="H947" i="35"/>
  <c r="E948" i="35"/>
  <c r="G948" i="35"/>
  <c r="E949" i="35"/>
  <c r="G949" i="35"/>
  <c r="H949" i="35"/>
  <c r="E950" i="35"/>
  <c r="G950" i="35"/>
  <c r="H950" i="35"/>
  <c r="E951" i="35"/>
  <c r="G951" i="35"/>
  <c r="H951" i="35"/>
  <c r="E952" i="35"/>
  <c r="G952" i="35"/>
  <c r="E953" i="35"/>
  <c r="G953" i="35"/>
  <c r="H953" i="35"/>
  <c r="E957" i="35"/>
  <c r="E958" i="35"/>
  <c r="E959" i="35"/>
  <c r="E960" i="35"/>
  <c r="E961" i="35"/>
  <c r="E962" i="35"/>
  <c r="E963" i="35"/>
  <c r="E964" i="35"/>
  <c r="E965" i="35"/>
  <c r="E966" i="35"/>
  <c r="E967" i="35"/>
  <c r="E968" i="35"/>
  <c r="E969" i="35"/>
  <c r="G957" i="35"/>
  <c r="H957" i="35"/>
  <c r="G958" i="35"/>
  <c r="H958" i="35"/>
  <c r="G959" i="35"/>
  <c r="H959" i="35"/>
  <c r="G960" i="35"/>
  <c r="H960" i="35"/>
  <c r="G961" i="35"/>
  <c r="H961" i="35"/>
  <c r="G962" i="35"/>
  <c r="H962" i="35"/>
  <c r="G963" i="35"/>
  <c r="H963" i="35"/>
  <c r="G964" i="35"/>
  <c r="H964" i="35"/>
  <c r="G965" i="35"/>
  <c r="H965" i="35"/>
  <c r="G966" i="35"/>
  <c r="H966" i="35"/>
  <c r="G967" i="35"/>
  <c r="H967" i="35"/>
  <c r="G968" i="35"/>
  <c r="H968" i="35"/>
  <c r="G969" i="35"/>
  <c r="E971" i="35"/>
  <c r="G971" i="35"/>
  <c r="H971" i="35"/>
  <c r="E972" i="35"/>
  <c r="G972" i="35"/>
  <c r="H972" i="35"/>
  <c r="E973" i="35"/>
  <c r="G973" i="35"/>
  <c r="H973" i="35"/>
  <c r="E974" i="35"/>
  <c r="G974" i="35"/>
  <c r="E975" i="35"/>
  <c r="G975" i="35"/>
  <c r="H975" i="35"/>
  <c r="E976" i="35"/>
  <c r="G976" i="35"/>
  <c r="H976" i="35"/>
  <c r="E977" i="35"/>
  <c r="G977" i="35"/>
  <c r="H977" i="35"/>
  <c r="E978" i="35"/>
  <c r="G978" i="35"/>
  <c r="E979" i="35"/>
  <c r="G979" i="35"/>
  <c r="H979" i="35"/>
  <c r="E980" i="35"/>
  <c r="G980" i="35"/>
  <c r="H980" i="35"/>
  <c r="E981" i="35"/>
  <c r="G981" i="35"/>
  <c r="H981" i="35"/>
  <c r="E982" i="35"/>
  <c r="G982" i="35"/>
  <c r="E983" i="35"/>
  <c r="E986" i="35"/>
  <c r="G986" i="35"/>
  <c r="H986" i="35"/>
  <c r="E987" i="35"/>
  <c r="G987" i="35"/>
  <c r="H987" i="35"/>
  <c r="E988" i="35"/>
  <c r="G988" i="35"/>
  <c r="E989" i="35"/>
  <c r="G989" i="35"/>
  <c r="H989" i="35"/>
  <c r="E990" i="35"/>
  <c r="G990" i="35"/>
  <c r="H990" i="35"/>
  <c r="E991" i="35"/>
  <c r="G991" i="35"/>
  <c r="H991" i="35"/>
  <c r="E992" i="35"/>
  <c r="G992" i="35"/>
  <c r="E993" i="35"/>
  <c r="G993" i="35"/>
  <c r="H993" i="35"/>
  <c r="E994" i="35"/>
  <c r="G994" i="35"/>
  <c r="H994" i="35"/>
  <c r="E995" i="35"/>
  <c r="G995" i="35"/>
  <c r="H995" i="35"/>
  <c r="E996" i="35"/>
  <c r="G996" i="35"/>
  <c r="E997" i="35"/>
  <c r="G997" i="35"/>
  <c r="H997" i="35"/>
  <c r="E1000" i="35"/>
  <c r="G1000" i="35"/>
  <c r="H1000" i="35"/>
  <c r="E1001" i="35"/>
  <c r="G1001" i="35"/>
  <c r="H1001" i="35"/>
  <c r="E1002" i="35"/>
  <c r="G1002" i="35"/>
  <c r="H1002" i="35"/>
  <c r="E1003" i="35"/>
  <c r="G1003" i="35"/>
  <c r="E1004" i="35"/>
  <c r="G1004" i="35"/>
  <c r="H1004" i="35"/>
  <c r="E1005" i="35"/>
  <c r="G1005" i="35"/>
  <c r="H1005" i="35"/>
  <c r="E1006" i="35"/>
  <c r="G1006" i="35"/>
  <c r="H1006" i="35"/>
  <c r="E1007" i="35"/>
  <c r="G1007" i="35"/>
  <c r="E1008" i="35"/>
  <c r="G1008" i="35"/>
  <c r="H1008" i="35"/>
  <c r="E1009" i="35"/>
  <c r="G1009" i="35"/>
  <c r="H1009" i="35"/>
  <c r="E1010" i="35"/>
  <c r="G1010" i="35"/>
  <c r="H1010" i="35"/>
  <c r="E1011" i="35"/>
  <c r="G1011" i="35"/>
  <c r="E1012" i="35"/>
  <c r="I1012" i="35"/>
  <c r="E1015" i="35"/>
  <c r="E1017" i="35"/>
  <c r="G1018" i="35"/>
  <c r="E1019" i="35"/>
  <c r="E1021" i="35"/>
  <c r="G1022" i="35"/>
  <c r="E1023" i="35"/>
  <c r="E1025" i="35"/>
  <c r="G1026" i="35"/>
  <c r="I1027" i="35"/>
  <c r="H28" i="36"/>
  <c r="H29" i="36"/>
  <c r="H30" i="36"/>
  <c r="H31" i="36"/>
  <c r="H32" i="36"/>
  <c r="H33" i="36"/>
  <c r="H34" i="36"/>
  <c r="H35" i="36"/>
  <c r="H36" i="36"/>
  <c r="H37" i="36"/>
  <c r="H38" i="36"/>
  <c r="H39" i="36"/>
  <c r="H40" i="36"/>
  <c r="H41" i="36"/>
  <c r="H46" i="36"/>
  <c r="H47" i="36"/>
  <c r="H48" i="36"/>
  <c r="H49" i="36"/>
  <c r="H50" i="36"/>
  <c r="H51" i="36"/>
  <c r="H52" i="36"/>
  <c r="H53" i="36"/>
  <c r="H54" i="36"/>
  <c r="H55" i="36"/>
  <c r="H56" i="36"/>
  <c r="H57" i="36"/>
  <c r="H58" i="36"/>
  <c r="H59" i="36"/>
  <c r="H64" i="36"/>
  <c r="H65" i="36"/>
  <c r="H66" i="36"/>
  <c r="H67" i="36"/>
  <c r="H68" i="36"/>
  <c r="H69" i="36"/>
  <c r="H70" i="36"/>
  <c r="H71" i="36"/>
  <c r="H72" i="36"/>
  <c r="H73" i="36"/>
  <c r="H74" i="36"/>
  <c r="H75" i="36"/>
  <c r="H76" i="36"/>
  <c r="H77" i="36"/>
  <c r="H97" i="36"/>
  <c r="H96" i="36"/>
  <c r="H99" i="36"/>
  <c r="H121" i="36"/>
  <c r="H122" i="36"/>
  <c r="H123" i="36"/>
  <c r="H124" i="36"/>
  <c r="H125" i="36"/>
  <c r="H126" i="36"/>
  <c r="H127" i="36"/>
  <c r="H128" i="36"/>
  <c r="H129" i="36"/>
  <c r="H130" i="36"/>
  <c r="H131" i="36"/>
  <c r="H132" i="36"/>
  <c r="H133" i="36"/>
  <c r="H134" i="36"/>
  <c r="H138" i="36"/>
  <c r="H139" i="36"/>
  <c r="H140" i="36"/>
  <c r="H141" i="36"/>
  <c r="H142" i="36"/>
  <c r="H143" i="36"/>
  <c r="H144" i="36"/>
  <c r="H145" i="36"/>
  <c r="H146" i="36"/>
  <c r="H147" i="36"/>
  <c r="H148" i="36"/>
  <c r="H149" i="36"/>
  <c r="H150" i="36"/>
  <c r="H151" i="36"/>
  <c r="H155" i="36"/>
  <c r="H156" i="36"/>
  <c r="H157" i="36"/>
  <c r="H158" i="36"/>
  <c r="H159" i="36"/>
  <c r="H160" i="36"/>
  <c r="H161" i="36"/>
  <c r="H162" i="36"/>
  <c r="H163" i="36"/>
  <c r="H164" i="36"/>
  <c r="H165" i="36"/>
  <c r="H166" i="36"/>
  <c r="H167" i="36"/>
  <c r="H173" i="36"/>
  <c r="H174" i="36"/>
  <c r="H175" i="36"/>
  <c r="H176" i="36"/>
  <c r="H177" i="36"/>
  <c r="H178" i="36"/>
  <c r="H179" i="36"/>
  <c r="H180" i="36"/>
  <c r="H181" i="36"/>
  <c r="H182" i="36"/>
  <c r="H183" i="36"/>
  <c r="H184" i="36"/>
  <c r="H185" i="36"/>
  <c r="H186" i="36"/>
  <c r="H191" i="36"/>
  <c r="H192" i="36"/>
  <c r="H193" i="36"/>
  <c r="H194" i="36"/>
  <c r="H195" i="36"/>
  <c r="H196" i="36"/>
  <c r="H197" i="36"/>
  <c r="H198" i="36"/>
  <c r="H199" i="36"/>
  <c r="H200" i="36"/>
  <c r="H201" i="36"/>
  <c r="H202" i="36"/>
  <c r="H203" i="36"/>
  <c r="H204" i="36"/>
  <c r="H209" i="36"/>
  <c r="H210" i="36"/>
  <c r="H211" i="36"/>
  <c r="H212" i="36"/>
  <c r="H213" i="36"/>
  <c r="H214" i="36"/>
  <c r="H215" i="36"/>
  <c r="H216" i="36"/>
  <c r="H217" i="36"/>
  <c r="H218" i="36"/>
  <c r="H219" i="36"/>
  <c r="H220" i="36"/>
  <c r="H221" i="36"/>
  <c r="H222" i="36"/>
  <c r="H223" i="36"/>
  <c r="K6" i="36"/>
  <c r="H225" i="36"/>
  <c r="H228" i="36"/>
  <c r="H230" i="36"/>
  <c r="H227" i="36"/>
  <c r="H231" i="36"/>
  <c r="H234" i="36"/>
  <c r="H236" i="36"/>
  <c r="H242" i="36"/>
  <c r="H243" i="36"/>
  <c r="H257" i="36"/>
  <c r="K10" i="38"/>
  <c r="L10" i="38"/>
  <c r="M10" i="38"/>
  <c r="N10" i="38"/>
  <c r="O10" i="38"/>
  <c r="P10" i="38"/>
  <c r="Q10" i="38"/>
  <c r="C24" i="38"/>
  <c r="D24" i="38"/>
  <c r="E24" i="38"/>
  <c r="F24" i="38"/>
  <c r="G24" i="38"/>
  <c r="J40" i="38"/>
  <c r="K40" i="38"/>
  <c r="L40" i="38"/>
  <c r="M40" i="38"/>
  <c r="N40" i="38"/>
  <c r="J41" i="38"/>
  <c r="J43" i="38"/>
  <c r="K41" i="38"/>
  <c r="L41" i="38"/>
  <c r="M41" i="38"/>
  <c r="N41" i="38"/>
  <c r="K43" i="38"/>
  <c r="L43" i="38"/>
  <c r="M43" i="38"/>
  <c r="N43" i="38"/>
  <c r="N44" i="38"/>
  <c r="M44" i="38"/>
  <c r="J54" i="38"/>
  <c r="K54" i="38"/>
  <c r="L54" i="38"/>
  <c r="M54" i="38"/>
  <c r="N54" i="38"/>
  <c r="L55" i="38"/>
  <c r="N55" i="38"/>
  <c r="J62" i="38"/>
  <c r="K62" i="38"/>
  <c r="L62" i="38"/>
  <c r="M62" i="38"/>
  <c r="N62" i="38"/>
  <c r="O15" i="39"/>
  <c r="O17" i="39"/>
  <c r="P15" i="39"/>
  <c r="H17" i="39"/>
  <c r="H18" i="39"/>
  <c r="O18" i="39"/>
  <c r="L62" i="39"/>
  <c r="H63" i="39"/>
  <c r="L64" i="39"/>
  <c r="M32" i="29"/>
  <c r="M34" i="29"/>
  <c r="M36" i="29"/>
  <c r="M37" i="29"/>
  <c r="I6" i="42"/>
  <c r="H9" i="42"/>
  <c r="H5" i="42"/>
  <c r="I10" i="42"/>
  <c r="H15" i="42"/>
  <c r="G11" i="22"/>
  <c r="H11" i="22"/>
  <c r="I11" i="22"/>
  <c r="M11" i="22"/>
  <c r="N11" i="22"/>
  <c r="M12" i="22"/>
  <c r="N12" i="22"/>
  <c r="L14" i="22"/>
  <c r="K16" i="22"/>
  <c r="L16" i="22"/>
  <c r="F17" i="22"/>
  <c r="F19" i="22"/>
  <c r="G17" i="22"/>
  <c r="H17" i="22"/>
  <c r="H19" i="22"/>
  <c r="I17" i="22"/>
  <c r="K17" i="22"/>
  <c r="L17" i="22"/>
  <c r="M17" i="22"/>
  <c r="G19" i="22"/>
  <c r="I19" i="22"/>
  <c r="F27" i="22"/>
  <c r="G27" i="22"/>
  <c r="G28" i="22"/>
  <c r="H27" i="22"/>
  <c r="I27" i="22"/>
  <c r="I28" i="22"/>
  <c r="J27" i="22"/>
  <c r="K27" i="22"/>
  <c r="L27" i="22"/>
  <c r="M27" i="22"/>
  <c r="H28" i="22"/>
  <c r="J28" i="22"/>
  <c r="F36" i="22"/>
  <c r="G36" i="22"/>
  <c r="G37" i="22"/>
  <c r="H36" i="22"/>
  <c r="I36" i="22"/>
  <c r="I37" i="22"/>
  <c r="J36" i="22"/>
  <c r="F37" i="22"/>
  <c r="H37" i="22"/>
  <c r="J37" i="22"/>
  <c r="F45" i="22"/>
  <c r="G45" i="22"/>
  <c r="H45" i="22"/>
  <c r="I45" i="22"/>
  <c r="J45" i="22"/>
  <c r="M48" i="22"/>
  <c r="F49" i="22"/>
  <c r="G49" i="22"/>
  <c r="H49" i="22"/>
  <c r="I49" i="22"/>
  <c r="J49" i="22"/>
  <c r="F50" i="22"/>
  <c r="H50" i="22"/>
  <c r="J50" i="22"/>
  <c r="K52" i="22"/>
  <c r="F51" i="22"/>
  <c r="G51" i="22"/>
  <c r="H51" i="22"/>
  <c r="I51" i="22"/>
  <c r="J51" i="22"/>
  <c r="J52" i="22"/>
  <c r="V80" i="22"/>
  <c r="W80" i="22"/>
  <c r="X80" i="22"/>
  <c r="Y80" i="22"/>
  <c r="Z80" i="22"/>
  <c r="AA80" i="22"/>
  <c r="E91" i="22"/>
  <c r="N91" i="22"/>
  <c r="O91" i="22"/>
  <c r="P91" i="22"/>
  <c r="Q91" i="22"/>
  <c r="R91" i="22"/>
  <c r="J92" i="22"/>
  <c r="J91" i="22"/>
  <c r="N92" i="22"/>
  <c r="O92" i="22"/>
  <c r="P92" i="22"/>
  <c r="Q92" i="22"/>
  <c r="R92" i="22"/>
  <c r="E93" i="22"/>
  <c r="G95" i="22"/>
  <c r="H95" i="22"/>
  <c r="I95" i="22"/>
  <c r="N98" i="22"/>
  <c r="O98" i="22"/>
  <c r="P98" i="22"/>
  <c r="Q98" i="22"/>
  <c r="R98" i="22"/>
  <c r="N104" i="22"/>
  <c r="N105" i="22"/>
  <c r="O104" i="22"/>
  <c r="P104" i="22"/>
  <c r="P105" i="22"/>
  <c r="Q104" i="22"/>
  <c r="R104" i="22"/>
  <c r="R105" i="22"/>
  <c r="O105" i="22"/>
  <c r="Q105" i="22"/>
  <c r="F109" i="22"/>
  <c r="I109" i="22"/>
  <c r="L109" i="22"/>
  <c r="O109" i="22"/>
  <c r="R109" i="22"/>
  <c r="F110" i="22"/>
  <c r="I110" i="22"/>
  <c r="L110" i="22"/>
  <c r="O110" i="22"/>
  <c r="R110" i="22"/>
  <c r="F111" i="22"/>
  <c r="I111" i="22"/>
  <c r="L111" i="22"/>
  <c r="O111" i="22"/>
  <c r="R111" i="22"/>
  <c r="L112" i="22"/>
  <c r="D113" i="22"/>
  <c r="E113" i="22"/>
  <c r="F113" i="22"/>
  <c r="G113" i="22"/>
  <c r="H113" i="22"/>
  <c r="I113" i="22"/>
  <c r="J113" i="22"/>
  <c r="K113" i="22"/>
  <c r="L113" i="22"/>
  <c r="M113" i="22"/>
  <c r="N113" i="22"/>
  <c r="P113" i="22"/>
  <c r="Q113" i="22"/>
  <c r="R113" i="22"/>
  <c r="G129" i="22"/>
  <c r="N1" i="45"/>
  <c r="N2" i="45"/>
  <c r="N3" i="45"/>
  <c r="AR2" i="45"/>
  <c r="BN2" i="45"/>
  <c r="I3" i="45"/>
  <c r="J3" i="45"/>
  <c r="N4" i="45"/>
  <c r="AH8" i="45"/>
  <c r="AH9" i="45"/>
  <c r="H10" i="45"/>
  <c r="H9" i="45"/>
  <c r="AH10" i="45"/>
  <c r="AH11" i="45"/>
  <c r="I12" i="45"/>
  <c r="I11" i="45"/>
  <c r="I10" i="45"/>
  <c r="I9" i="45"/>
  <c r="I8" i="45"/>
  <c r="J12" i="45"/>
  <c r="J11" i="45"/>
  <c r="J10" i="45"/>
  <c r="J9" i="45"/>
  <c r="J8" i="45"/>
  <c r="K12" i="45"/>
  <c r="K11" i="45"/>
  <c r="K10" i="45"/>
  <c r="K9" i="45"/>
  <c r="K8" i="45"/>
  <c r="AD12" i="45"/>
  <c r="AD11" i="45"/>
  <c r="AD10" i="45"/>
  <c r="AD9" i="45"/>
  <c r="AD8" i="45"/>
  <c r="AH12" i="45"/>
  <c r="AJ12" i="45"/>
  <c r="AJ11" i="45"/>
  <c r="AJ10" i="45"/>
  <c r="AJ9" i="45"/>
  <c r="AJ8" i="45"/>
  <c r="AK12" i="45"/>
  <c r="AK11" i="45"/>
  <c r="AK10" i="45"/>
  <c r="AK9" i="45"/>
  <c r="AK8" i="45"/>
  <c r="AL12" i="45"/>
  <c r="AL11" i="45"/>
  <c r="AL10" i="45"/>
  <c r="AL9" i="45"/>
  <c r="AL8" i="45"/>
  <c r="AM12" i="45"/>
  <c r="AM11" i="45"/>
  <c r="AM10" i="45"/>
  <c r="AM9" i="45"/>
  <c r="AM8" i="45"/>
  <c r="AO12" i="45"/>
  <c r="AO11" i="45"/>
  <c r="AO10" i="45"/>
  <c r="AO9" i="45"/>
  <c r="AO8" i="45"/>
  <c r="AP12" i="45"/>
  <c r="AP11" i="45"/>
  <c r="AP10" i="45"/>
  <c r="AP9" i="45"/>
  <c r="AP8" i="45"/>
  <c r="AR12" i="45"/>
  <c r="AR11" i="45"/>
  <c r="AR10" i="45"/>
  <c r="AR9" i="45"/>
  <c r="AR8" i="45"/>
  <c r="AS12" i="45"/>
  <c r="AS11" i="45"/>
  <c r="AS10" i="45"/>
  <c r="AS9" i="45"/>
  <c r="AS8" i="45"/>
  <c r="AT12" i="45"/>
  <c r="AT11" i="45"/>
  <c r="AT10" i="45"/>
  <c r="AT9" i="45"/>
  <c r="AT8" i="45"/>
  <c r="AV12" i="45"/>
  <c r="AV11" i="45"/>
  <c r="AV10" i="45"/>
  <c r="AV9" i="45"/>
  <c r="AV8" i="45"/>
  <c r="AW12" i="45"/>
  <c r="AW11" i="45"/>
  <c r="AW10" i="45"/>
  <c r="AW9" i="45"/>
  <c r="AW8" i="45"/>
  <c r="AX12" i="45"/>
  <c r="AX11" i="45"/>
  <c r="AX10" i="45"/>
  <c r="AX9" i="45"/>
  <c r="AX8" i="45"/>
  <c r="AZ12" i="45"/>
  <c r="AZ11" i="45"/>
  <c r="AZ10" i="45"/>
  <c r="AZ9" i="45"/>
  <c r="AZ8" i="45"/>
  <c r="BA12" i="45"/>
  <c r="BA11" i="45"/>
  <c r="BA10" i="45"/>
  <c r="BA9" i="45"/>
  <c r="BA8" i="45"/>
  <c r="BB12" i="45"/>
  <c r="BB11" i="45"/>
  <c r="BB10" i="45"/>
  <c r="BB9" i="45"/>
  <c r="BB8" i="45"/>
  <c r="BD12" i="45"/>
  <c r="BD11" i="45"/>
  <c r="BD10" i="45"/>
  <c r="BD9" i="45"/>
  <c r="BD8" i="45"/>
  <c r="BE12" i="45"/>
  <c r="BE11" i="45"/>
  <c r="BE10" i="45"/>
  <c r="BE9" i="45"/>
  <c r="BE8" i="45"/>
  <c r="BF12" i="45"/>
  <c r="BF11" i="45"/>
  <c r="BF10" i="45"/>
  <c r="BF9" i="45"/>
  <c r="BF8" i="45"/>
  <c r="BH12" i="45"/>
  <c r="BH11" i="45"/>
  <c r="BH10" i="45"/>
  <c r="BH9" i="45"/>
  <c r="BH8" i="45"/>
  <c r="BI12" i="45"/>
  <c r="BI11" i="45"/>
  <c r="BI10" i="45"/>
  <c r="BI9" i="45"/>
  <c r="BI8" i="45"/>
  <c r="BJ12" i="45"/>
  <c r="BJ11" i="45"/>
  <c r="BJ10" i="45"/>
  <c r="BJ9" i="45"/>
  <c r="BJ8" i="45"/>
  <c r="BL12" i="45"/>
  <c r="BL11" i="45"/>
  <c r="BL10" i="45"/>
  <c r="BL9" i="45"/>
  <c r="BL8" i="45"/>
  <c r="BM12" i="45"/>
  <c r="BM11" i="45"/>
  <c r="BM10" i="45"/>
  <c r="BM9" i="45"/>
  <c r="BM8" i="45"/>
  <c r="BN12" i="45"/>
  <c r="BN11" i="45"/>
  <c r="BN10" i="45"/>
  <c r="BN9" i="45"/>
  <c r="BN8" i="45"/>
  <c r="BP12" i="45"/>
  <c r="BP11" i="45"/>
  <c r="BP10" i="45"/>
  <c r="BP9" i="45"/>
  <c r="BP8" i="45"/>
  <c r="BQ12" i="45"/>
  <c r="BQ11" i="45"/>
  <c r="BQ10" i="45"/>
  <c r="BQ9" i="45"/>
  <c r="BQ8" i="45"/>
  <c r="BR12" i="45"/>
  <c r="BR11" i="45"/>
  <c r="BR10" i="45"/>
  <c r="BR9" i="45"/>
  <c r="BR8" i="45"/>
  <c r="BT12" i="45"/>
  <c r="BT11" i="45"/>
  <c r="BT10" i="45"/>
  <c r="BT9" i="45"/>
  <c r="BT8" i="45"/>
  <c r="BU12" i="45"/>
  <c r="BU11" i="45"/>
  <c r="BU10" i="45"/>
  <c r="BU9" i="45"/>
  <c r="BU8" i="45"/>
  <c r="BV12" i="45"/>
  <c r="BV11" i="45"/>
  <c r="BV10" i="45"/>
  <c r="BV9" i="45"/>
  <c r="BV8" i="45"/>
  <c r="BX12" i="45"/>
  <c r="BX11" i="45"/>
  <c r="BX10" i="45"/>
  <c r="BX9" i="45"/>
  <c r="BX8" i="45"/>
  <c r="BY12" i="45"/>
  <c r="BY11" i="45"/>
  <c r="BY10" i="45"/>
  <c r="BY9" i="45"/>
  <c r="BY8" i="45"/>
  <c r="BZ12" i="45"/>
  <c r="BZ11" i="45"/>
  <c r="BZ10" i="45"/>
  <c r="BZ9" i="45"/>
  <c r="BZ8" i="45"/>
  <c r="CB12" i="45"/>
  <c r="CB11" i="45"/>
  <c r="CB10" i="45"/>
  <c r="CB9" i="45"/>
  <c r="CB8" i="45"/>
  <c r="CC12" i="45"/>
  <c r="CC11" i="45"/>
  <c r="CC10" i="45"/>
  <c r="CC9" i="45"/>
  <c r="CC8" i="45"/>
  <c r="CD12" i="45"/>
  <c r="CD11" i="45"/>
  <c r="CD10" i="45"/>
  <c r="CD9" i="45"/>
  <c r="CD8" i="45"/>
  <c r="CF12" i="45"/>
  <c r="CF11" i="45"/>
  <c r="CF10" i="45"/>
  <c r="CF9" i="45"/>
  <c r="CF8" i="45"/>
  <c r="CH12" i="45"/>
  <c r="CH11" i="45"/>
  <c r="CH10" i="45"/>
  <c r="CH9" i="45"/>
  <c r="CH8" i="45"/>
  <c r="CI12" i="45"/>
  <c r="CI11" i="45"/>
  <c r="CI10" i="45"/>
  <c r="CI9" i="45"/>
  <c r="CI8" i="45"/>
  <c r="CK12" i="45"/>
  <c r="CK11" i="45"/>
  <c r="CK10" i="45"/>
  <c r="CK9" i="45"/>
  <c r="CK8" i="45"/>
  <c r="AE13" i="45"/>
  <c r="AF13" i="45"/>
  <c r="AG13" i="45"/>
  <c r="AH13" i="45"/>
  <c r="AE14" i="45"/>
  <c r="AG14" i="45"/>
  <c r="AH14" i="45"/>
  <c r="O15" i="45"/>
  <c r="Q15" i="45"/>
  <c r="R15" i="45"/>
  <c r="S15" i="45"/>
  <c r="T15" i="45"/>
  <c r="U15" i="45"/>
  <c r="U7" i="45"/>
  <c r="V15" i="45"/>
  <c r="W15" i="45"/>
  <c r="X15" i="45"/>
  <c r="Y15" i="45"/>
  <c r="Z15" i="45"/>
  <c r="AA15" i="45"/>
  <c r="AB15" i="45"/>
  <c r="AN15" i="45"/>
  <c r="CG15" i="45"/>
  <c r="CM15" i="45"/>
  <c r="CM7" i="45"/>
  <c r="CN15" i="45"/>
  <c r="CN7" i="45"/>
  <c r="AH31" i="45"/>
  <c r="AH32" i="45"/>
  <c r="I37" i="45"/>
  <c r="J37" i="45"/>
  <c r="K37" i="45"/>
  <c r="L37" i="45"/>
  <c r="M37" i="45"/>
  <c r="N37" i="45"/>
  <c r="O37" i="45"/>
  <c r="P37" i="45"/>
  <c r="Q37" i="45"/>
  <c r="R37" i="45"/>
  <c r="S37" i="45"/>
  <c r="U37" i="45"/>
  <c r="AN37" i="45"/>
  <c r="AO37" i="45"/>
  <c r="AP37" i="45"/>
  <c r="AQ37" i="45"/>
  <c r="AR37" i="45"/>
  <c r="AS37" i="45"/>
  <c r="AT37" i="45"/>
  <c r="AU37" i="45"/>
  <c r="AV37" i="45"/>
  <c r="AW37" i="45"/>
  <c r="AX37" i="45"/>
  <c r="AY37" i="45"/>
  <c r="AZ37" i="45"/>
  <c r="BA37" i="45"/>
  <c r="BB37" i="45"/>
  <c r="BC37" i="45"/>
  <c r="BD37" i="45"/>
  <c r="BE37" i="45"/>
  <c r="BF37" i="45"/>
  <c r="BG37" i="45"/>
  <c r="BH37" i="45"/>
  <c r="BJ37" i="45"/>
  <c r="BK37" i="45"/>
  <c r="BL37" i="45"/>
  <c r="BM37" i="45"/>
  <c r="BN37" i="45"/>
  <c r="BO37" i="45"/>
  <c r="BP37" i="45"/>
  <c r="BQ37" i="45"/>
  <c r="BR37" i="45"/>
  <c r="BS37" i="45"/>
  <c r="BT37" i="45"/>
  <c r="BU37" i="45"/>
  <c r="BV37" i="45"/>
  <c r="BW37" i="45"/>
  <c r="BX37" i="45"/>
  <c r="BZ37" i="45"/>
  <c r="CA37" i="45"/>
  <c r="CB37" i="45"/>
  <c r="CD37" i="45"/>
  <c r="CE37" i="45"/>
  <c r="CF37" i="45"/>
  <c r="CH37" i="45"/>
  <c r="CI37" i="45"/>
  <c r="CJ37" i="45"/>
  <c r="CK37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AN38" i="45"/>
  <c r="AP38" i="45"/>
  <c r="AQ38" i="45"/>
  <c r="AR38" i="45"/>
  <c r="AS38" i="45"/>
  <c r="AT38" i="45"/>
  <c r="AU38" i="45"/>
  <c r="AV38" i="45"/>
  <c r="AW38" i="45"/>
  <c r="AX38" i="45"/>
  <c r="AY38" i="45"/>
  <c r="AZ38" i="45"/>
  <c r="BA38" i="45"/>
  <c r="BB38" i="45"/>
  <c r="BC38" i="45"/>
  <c r="BD38" i="45"/>
  <c r="BE38" i="45"/>
  <c r="BF38" i="45"/>
  <c r="BG38" i="45"/>
  <c r="BH38" i="45"/>
  <c r="BI38" i="45"/>
  <c r="BJ38" i="45"/>
  <c r="BK38" i="45"/>
  <c r="BL38" i="45"/>
  <c r="BM38" i="45"/>
  <c r="BN38" i="45"/>
  <c r="BO38" i="45"/>
  <c r="BP38" i="45"/>
  <c r="BQ38" i="45"/>
  <c r="BR38" i="45"/>
  <c r="BS38" i="45"/>
  <c r="BT38" i="45"/>
  <c r="BU38" i="45"/>
  <c r="BV38" i="45"/>
  <c r="BW38" i="45"/>
  <c r="BX38" i="45"/>
  <c r="BY38" i="45"/>
  <c r="BZ38" i="45"/>
  <c r="CA38" i="45"/>
  <c r="CB38" i="45"/>
  <c r="CC38" i="45"/>
  <c r="CD38" i="45"/>
  <c r="CE38" i="45"/>
  <c r="CF38" i="45"/>
  <c r="CH38" i="45"/>
  <c r="CI38" i="45"/>
  <c r="CJ38" i="45"/>
  <c r="CK38" i="45"/>
  <c r="I39" i="45"/>
  <c r="J39" i="45"/>
  <c r="K39" i="45"/>
  <c r="L39" i="45"/>
  <c r="M39" i="45"/>
  <c r="N39" i="45"/>
  <c r="O39" i="45"/>
  <c r="P39" i="45"/>
  <c r="Q39" i="45"/>
  <c r="R39" i="45"/>
  <c r="S39" i="45"/>
  <c r="U39" i="45"/>
  <c r="AN39" i="45"/>
  <c r="AO39" i="45"/>
  <c r="AP39" i="45"/>
  <c r="AQ39" i="45"/>
  <c r="AR39" i="45"/>
  <c r="AS39" i="45"/>
  <c r="AT39" i="45"/>
  <c r="AU39" i="45"/>
  <c r="AV39" i="45"/>
  <c r="AW39" i="45"/>
  <c r="AX39" i="45"/>
  <c r="AY39" i="45"/>
  <c r="AZ39" i="45"/>
  <c r="BA39" i="45"/>
  <c r="BB39" i="45"/>
  <c r="BC39" i="45"/>
  <c r="BD39" i="45"/>
  <c r="BE39" i="45"/>
  <c r="BF39" i="45"/>
  <c r="BG39" i="45"/>
  <c r="BH39" i="45"/>
  <c r="BI39" i="45"/>
  <c r="BJ39" i="45"/>
  <c r="BK39" i="45"/>
  <c r="BL39" i="45"/>
  <c r="BM39" i="45"/>
  <c r="BN39" i="45"/>
  <c r="BO39" i="45"/>
  <c r="BP39" i="45"/>
  <c r="BQ39" i="45"/>
  <c r="BR39" i="45"/>
  <c r="BS39" i="45"/>
  <c r="BT39" i="45"/>
  <c r="BU39" i="45"/>
  <c r="BV39" i="45"/>
  <c r="BW39" i="45"/>
  <c r="BX39" i="45"/>
  <c r="BZ39" i="45"/>
  <c r="CA39" i="45"/>
  <c r="CB39" i="45"/>
  <c r="CD39" i="45"/>
  <c r="CE39" i="45"/>
  <c r="CF39" i="45"/>
  <c r="CH39" i="45"/>
  <c r="CI39" i="45"/>
  <c r="CJ39" i="45"/>
  <c r="CK39" i="45"/>
  <c r="I40" i="45"/>
  <c r="J40" i="45"/>
  <c r="K40" i="45"/>
  <c r="L40" i="45"/>
  <c r="M40" i="45"/>
  <c r="N40" i="45"/>
  <c r="O40" i="45"/>
  <c r="P40" i="45"/>
  <c r="Q40" i="45"/>
  <c r="R40" i="45"/>
  <c r="S40" i="45"/>
  <c r="T40" i="45"/>
  <c r="U40" i="45"/>
  <c r="AO40" i="45"/>
  <c r="AP40" i="45"/>
  <c r="AQ40" i="45"/>
  <c r="AR40" i="45"/>
  <c r="AS40" i="45"/>
  <c r="AT40" i="45"/>
  <c r="AU40" i="45"/>
  <c r="AV40" i="45"/>
  <c r="AW40" i="45"/>
  <c r="AX40" i="45"/>
  <c r="AY40" i="45"/>
  <c r="AZ40" i="45"/>
  <c r="BA40" i="45"/>
  <c r="BB40" i="45"/>
  <c r="BC40" i="45"/>
  <c r="BD40" i="45"/>
  <c r="BE40" i="45"/>
  <c r="BF40" i="45"/>
  <c r="BG40" i="45"/>
  <c r="BH40" i="45"/>
  <c r="BI40" i="45"/>
  <c r="BJ40" i="45"/>
  <c r="BK40" i="45"/>
  <c r="BL40" i="45"/>
  <c r="BM40" i="45"/>
  <c r="BN40" i="45"/>
  <c r="BO40" i="45"/>
  <c r="BP40" i="45"/>
  <c r="BQ40" i="45"/>
  <c r="BR40" i="45"/>
  <c r="BS40" i="45"/>
  <c r="BT40" i="45"/>
  <c r="BU40" i="45"/>
  <c r="BV40" i="45"/>
  <c r="BW40" i="45"/>
  <c r="BX40" i="45"/>
  <c r="BY40" i="45"/>
  <c r="BZ40" i="45"/>
  <c r="CA40" i="45"/>
  <c r="CB40" i="45"/>
  <c r="CC40" i="45"/>
  <c r="CD40" i="45"/>
  <c r="CE40" i="45"/>
  <c r="CF40" i="45"/>
  <c r="CH40" i="45"/>
  <c r="CI40" i="45"/>
  <c r="CJ40" i="45"/>
  <c r="CK40" i="45"/>
  <c r="I41" i="45"/>
  <c r="J41" i="45"/>
  <c r="K41" i="45"/>
  <c r="L41" i="45"/>
  <c r="M41" i="45"/>
  <c r="N41" i="45"/>
  <c r="O41" i="45"/>
  <c r="P41" i="45"/>
  <c r="Q41" i="45"/>
  <c r="R41" i="45"/>
  <c r="S41" i="45"/>
  <c r="T41" i="45"/>
  <c r="U41" i="45"/>
  <c r="AO41" i="45"/>
  <c r="AP41" i="45"/>
  <c r="AQ41" i="45"/>
  <c r="AR41" i="45"/>
  <c r="AS41" i="45"/>
  <c r="AT41" i="45"/>
  <c r="AU41" i="45"/>
  <c r="AV41" i="45"/>
  <c r="AW41" i="45"/>
  <c r="AX41" i="45"/>
  <c r="AY41" i="45"/>
  <c r="AZ41" i="45"/>
  <c r="BA41" i="45"/>
  <c r="BB41" i="45"/>
  <c r="BC41" i="45"/>
  <c r="BD41" i="45"/>
  <c r="BE41" i="45"/>
  <c r="BF41" i="45"/>
  <c r="BG41" i="45"/>
  <c r="BH41" i="45"/>
  <c r="BI41" i="45"/>
  <c r="BJ41" i="45"/>
  <c r="BK41" i="45"/>
  <c r="BL41" i="45"/>
  <c r="BM41" i="45"/>
  <c r="BN41" i="45"/>
  <c r="BO41" i="45"/>
  <c r="BP41" i="45"/>
  <c r="BQ41" i="45"/>
  <c r="BR41" i="45"/>
  <c r="BS41" i="45"/>
  <c r="BT41" i="45"/>
  <c r="BU41" i="45"/>
  <c r="BV41" i="45"/>
  <c r="BW41" i="45"/>
  <c r="BX41" i="45"/>
  <c r="BY41" i="45"/>
  <c r="BZ41" i="45"/>
  <c r="CA41" i="45"/>
  <c r="CB41" i="45"/>
  <c r="CC41" i="45"/>
  <c r="CD41" i="45"/>
  <c r="CE41" i="45"/>
  <c r="CF41" i="45"/>
  <c r="CH41" i="45"/>
  <c r="CI41" i="45"/>
  <c r="CJ41" i="45"/>
  <c r="CK41" i="45"/>
  <c r="I42" i="45"/>
  <c r="J42" i="45"/>
  <c r="K42" i="45"/>
  <c r="L42" i="45"/>
  <c r="M42" i="45"/>
  <c r="N42" i="45"/>
  <c r="O42" i="45"/>
  <c r="P42" i="45"/>
  <c r="Q42" i="45"/>
  <c r="R42" i="45"/>
  <c r="S42" i="45"/>
  <c r="T42" i="45"/>
  <c r="U42" i="45"/>
  <c r="AO42" i="45"/>
  <c r="AP42" i="45"/>
  <c r="AQ42" i="45"/>
  <c r="AR42" i="45"/>
  <c r="AS42" i="45"/>
  <c r="AT42" i="45"/>
  <c r="AU42" i="45"/>
  <c r="AV42" i="45"/>
  <c r="AW42" i="45"/>
  <c r="AX42" i="45"/>
  <c r="AY42" i="45"/>
  <c r="AZ42" i="45"/>
  <c r="BA42" i="45"/>
  <c r="BB42" i="45"/>
  <c r="BC42" i="45"/>
  <c r="BD42" i="45"/>
  <c r="BF42" i="45"/>
  <c r="BG42" i="45"/>
  <c r="BH42" i="45"/>
  <c r="BI42" i="45"/>
  <c r="BJ42" i="45"/>
  <c r="BK42" i="45"/>
  <c r="BL42" i="45"/>
  <c r="BM42" i="45"/>
  <c r="BN42" i="45"/>
  <c r="BO42" i="45"/>
  <c r="BP42" i="45"/>
  <c r="BQ42" i="45"/>
  <c r="BR42" i="45"/>
  <c r="BS42" i="45"/>
  <c r="BT42" i="45"/>
  <c r="BU42" i="45"/>
  <c r="BV42" i="45"/>
  <c r="BW42" i="45"/>
  <c r="BX42" i="45"/>
  <c r="BY42" i="45"/>
  <c r="BZ42" i="45"/>
  <c r="CA42" i="45"/>
  <c r="CB42" i="45"/>
  <c r="CC42" i="45"/>
  <c r="CD42" i="45"/>
  <c r="CE42" i="45"/>
  <c r="CF42" i="45"/>
  <c r="CH42" i="45"/>
  <c r="CI42" i="45"/>
  <c r="CJ42" i="45"/>
  <c r="CK42" i="45"/>
  <c r="CO42" i="45"/>
  <c r="I43" i="45"/>
  <c r="J43" i="45"/>
  <c r="K43" i="45"/>
  <c r="L43" i="45"/>
  <c r="M43" i="45"/>
  <c r="N43" i="45"/>
  <c r="O43" i="45"/>
  <c r="P43" i="45"/>
  <c r="Q43" i="45"/>
  <c r="R43" i="45"/>
  <c r="S43" i="45"/>
  <c r="T43" i="45"/>
  <c r="U43" i="45"/>
  <c r="AO43" i="45"/>
  <c r="AP43" i="45"/>
  <c r="AQ43" i="45"/>
  <c r="AR43" i="45"/>
  <c r="AS43" i="45"/>
  <c r="AT43" i="45"/>
  <c r="AU43" i="45"/>
  <c r="AV43" i="45"/>
  <c r="AW43" i="45"/>
  <c r="AX43" i="45"/>
  <c r="AY43" i="45"/>
  <c r="AZ43" i="45"/>
  <c r="BA43" i="45"/>
  <c r="BB43" i="45"/>
  <c r="BC43" i="45"/>
  <c r="BD43" i="45"/>
  <c r="BE43" i="45"/>
  <c r="BF43" i="45"/>
  <c r="BG43" i="45"/>
  <c r="BH43" i="45"/>
  <c r="BI43" i="45"/>
  <c r="BJ43" i="45"/>
  <c r="BK43" i="45"/>
  <c r="BL43" i="45"/>
  <c r="BM43" i="45"/>
  <c r="BN43" i="45"/>
  <c r="BO43" i="45"/>
  <c r="BP43" i="45"/>
  <c r="BQ43" i="45"/>
  <c r="BR43" i="45"/>
  <c r="BS43" i="45"/>
  <c r="BT43" i="45"/>
  <c r="BU43" i="45"/>
  <c r="BV43" i="45"/>
  <c r="BW43" i="45"/>
  <c r="BX43" i="45"/>
  <c r="BY43" i="45"/>
  <c r="BZ43" i="45"/>
  <c r="CA43" i="45"/>
  <c r="CB43" i="45"/>
  <c r="CC43" i="45"/>
  <c r="CD43" i="45"/>
  <c r="CE43" i="45"/>
  <c r="CF43" i="45"/>
  <c r="CH43" i="45"/>
  <c r="CI43" i="45"/>
  <c r="CJ43" i="45"/>
  <c r="CK43" i="45"/>
  <c r="I44" i="45"/>
  <c r="K44" i="45"/>
  <c r="L44" i="45"/>
  <c r="M44" i="45"/>
  <c r="N44" i="45"/>
  <c r="O44" i="45"/>
  <c r="P44" i="45"/>
  <c r="Q44" i="45"/>
  <c r="R44" i="45"/>
  <c r="S44" i="45"/>
  <c r="T44" i="45"/>
  <c r="U44" i="45"/>
  <c r="AO44" i="45"/>
  <c r="AP44" i="45"/>
  <c r="AQ44" i="45"/>
  <c r="AR44" i="45"/>
  <c r="AS44" i="45"/>
  <c r="AT44" i="45"/>
  <c r="AU44" i="45"/>
  <c r="AV44" i="45"/>
  <c r="AW44" i="45"/>
  <c r="AX44" i="45"/>
  <c r="AY44" i="45"/>
  <c r="AZ44" i="45"/>
  <c r="BA44" i="45"/>
  <c r="BB44" i="45"/>
  <c r="BC44" i="45"/>
  <c r="BD44" i="45"/>
  <c r="BE44" i="45"/>
  <c r="BF44" i="45"/>
  <c r="BG44" i="45"/>
  <c r="BH44" i="45"/>
  <c r="BI44" i="45"/>
  <c r="BJ44" i="45"/>
  <c r="BK44" i="45"/>
  <c r="BL44" i="45"/>
  <c r="BM44" i="45"/>
  <c r="BN44" i="45"/>
  <c r="BO44" i="45"/>
  <c r="BP44" i="45"/>
  <c r="BQ44" i="45"/>
  <c r="BR44" i="45"/>
  <c r="BS44" i="45"/>
  <c r="BT44" i="45"/>
  <c r="BU44" i="45"/>
  <c r="BV44" i="45"/>
  <c r="BW44" i="45"/>
  <c r="BX44" i="45"/>
  <c r="BY44" i="45"/>
  <c r="BZ44" i="45"/>
  <c r="CA44" i="45"/>
  <c r="CB44" i="45"/>
  <c r="CC44" i="45"/>
  <c r="CD44" i="45"/>
  <c r="CE44" i="45"/>
  <c r="CF44" i="45"/>
  <c r="CH44" i="45"/>
  <c r="CI44" i="45"/>
  <c r="CJ44" i="45"/>
  <c r="CK44" i="45"/>
  <c r="I45" i="45"/>
  <c r="J45" i="45"/>
  <c r="K45" i="45"/>
  <c r="L45" i="45"/>
  <c r="M45" i="45"/>
  <c r="N45" i="45"/>
  <c r="O45" i="45"/>
  <c r="P45" i="45"/>
  <c r="Q45" i="45"/>
  <c r="R45" i="45"/>
  <c r="S45" i="45"/>
  <c r="T45" i="45"/>
  <c r="U45" i="45"/>
  <c r="AO45" i="45"/>
  <c r="AP45" i="45"/>
  <c r="AQ45" i="45"/>
  <c r="AR45" i="45"/>
  <c r="AS45" i="45"/>
  <c r="AT45" i="45"/>
  <c r="AU45" i="45"/>
  <c r="AV45" i="45"/>
  <c r="AW45" i="45"/>
  <c r="AX45" i="45"/>
  <c r="AY45" i="45"/>
  <c r="AZ45" i="45"/>
  <c r="BA45" i="45"/>
  <c r="BB45" i="45"/>
  <c r="BC45" i="45"/>
  <c r="BD45" i="45"/>
  <c r="BE45" i="45"/>
  <c r="BF45" i="45"/>
  <c r="BG45" i="45"/>
  <c r="BH45" i="45"/>
  <c r="BI45" i="45"/>
  <c r="BJ45" i="45"/>
  <c r="BK45" i="45"/>
  <c r="BL45" i="45"/>
  <c r="BM45" i="45"/>
  <c r="BN45" i="45"/>
  <c r="BO45" i="45"/>
  <c r="BP45" i="45"/>
  <c r="BR45" i="45"/>
  <c r="BS45" i="45"/>
  <c r="BT45" i="45"/>
  <c r="BV45" i="45"/>
  <c r="BW45" i="45"/>
  <c r="BX45" i="45"/>
  <c r="BY45" i="45"/>
  <c r="BZ45" i="45"/>
  <c r="CA45" i="45"/>
  <c r="CB45" i="45"/>
  <c r="CC45" i="45"/>
  <c r="CD45" i="45"/>
  <c r="CE45" i="45"/>
  <c r="CF45" i="45"/>
  <c r="CH45" i="45"/>
  <c r="CI45" i="45"/>
  <c r="CJ45" i="45"/>
  <c r="CK45" i="45"/>
  <c r="I46" i="45"/>
  <c r="J46" i="45"/>
  <c r="K46" i="45"/>
  <c r="L46" i="45"/>
  <c r="M46" i="45"/>
  <c r="N46" i="45"/>
  <c r="O46" i="45"/>
  <c r="P46" i="45"/>
  <c r="Q46" i="45"/>
  <c r="R46" i="45"/>
  <c r="S46" i="45"/>
  <c r="T46" i="45"/>
  <c r="U46" i="45"/>
  <c r="AO46" i="45"/>
  <c r="AP46" i="45"/>
  <c r="AQ46" i="45"/>
  <c r="AR46" i="45"/>
  <c r="AS46" i="45"/>
  <c r="AT46" i="45"/>
  <c r="AU46" i="45"/>
  <c r="AV46" i="45"/>
  <c r="AW46" i="45"/>
  <c r="AX46" i="45"/>
  <c r="AY46" i="45"/>
  <c r="AZ46" i="45"/>
  <c r="BA46" i="45"/>
  <c r="BB46" i="45"/>
  <c r="BC46" i="45"/>
  <c r="BD46" i="45"/>
  <c r="BE46" i="45"/>
  <c r="BF46" i="45"/>
  <c r="BG46" i="45"/>
  <c r="BH46" i="45"/>
  <c r="BI46" i="45"/>
  <c r="BJ46" i="45"/>
  <c r="BK46" i="45"/>
  <c r="BL46" i="45"/>
  <c r="BM46" i="45"/>
  <c r="BN46" i="45"/>
  <c r="BO46" i="45"/>
  <c r="BP46" i="45"/>
  <c r="BQ46" i="45"/>
  <c r="BR46" i="45"/>
  <c r="BS46" i="45"/>
  <c r="BT46" i="45"/>
  <c r="BV46" i="45"/>
  <c r="BW46" i="45"/>
  <c r="BX46" i="45"/>
  <c r="BY46" i="45"/>
  <c r="BZ46" i="45"/>
  <c r="CA46" i="45"/>
  <c r="CB46" i="45"/>
  <c r="CC46" i="45"/>
  <c r="CD46" i="45"/>
  <c r="CE46" i="45"/>
  <c r="CF46" i="45"/>
  <c r="CH46" i="45"/>
  <c r="CI46" i="45"/>
  <c r="CJ46" i="45"/>
  <c r="CK46" i="45"/>
  <c r="I47" i="45"/>
  <c r="J47" i="45"/>
  <c r="K47" i="45"/>
  <c r="L47" i="45"/>
  <c r="M47" i="45"/>
  <c r="N47" i="45"/>
  <c r="O47" i="45"/>
  <c r="P47" i="45"/>
  <c r="Q47" i="45"/>
  <c r="R47" i="45"/>
  <c r="S47" i="45"/>
  <c r="T47" i="45"/>
  <c r="U47" i="45"/>
  <c r="AO47" i="45"/>
  <c r="AP47" i="45"/>
  <c r="AQ47" i="45"/>
  <c r="AR47" i="45"/>
  <c r="AS47" i="45"/>
  <c r="AT47" i="45"/>
  <c r="AU47" i="45"/>
  <c r="AV47" i="45"/>
  <c r="AW47" i="45"/>
  <c r="AX47" i="45"/>
  <c r="AY47" i="45"/>
  <c r="AZ47" i="45"/>
  <c r="BA47" i="45"/>
  <c r="BB47" i="45"/>
  <c r="BC47" i="45"/>
  <c r="BD47" i="45"/>
  <c r="BE47" i="45"/>
  <c r="BF47" i="45"/>
  <c r="BG47" i="45"/>
  <c r="BH47" i="45"/>
  <c r="BI47" i="45"/>
  <c r="BJ47" i="45"/>
  <c r="BK47" i="45"/>
  <c r="BL47" i="45"/>
  <c r="BM47" i="45"/>
  <c r="BN47" i="45"/>
  <c r="BO47" i="45"/>
  <c r="BP47" i="45"/>
  <c r="BQ47" i="45"/>
  <c r="BR47" i="45"/>
  <c r="BS47" i="45"/>
  <c r="BT47" i="45"/>
  <c r="BU47" i="45"/>
  <c r="BV47" i="45"/>
  <c r="BW47" i="45"/>
  <c r="BX47" i="45"/>
  <c r="BY47" i="45"/>
  <c r="BZ47" i="45"/>
  <c r="CA47" i="45"/>
  <c r="CB47" i="45"/>
  <c r="CC47" i="45"/>
  <c r="CD47" i="45"/>
  <c r="CE47" i="45"/>
  <c r="CF47" i="45"/>
  <c r="CH47" i="45"/>
  <c r="CI47" i="45"/>
  <c r="CJ47" i="45"/>
  <c r="CK47" i="45"/>
  <c r="I48" i="45"/>
  <c r="K48" i="45"/>
  <c r="L48" i="45"/>
  <c r="M48" i="45"/>
  <c r="N48" i="45"/>
  <c r="O48" i="45"/>
  <c r="P48" i="45"/>
  <c r="Q48" i="45"/>
  <c r="R48" i="45"/>
  <c r="S48" i="45"/>
  <c r="T48" i="45"/>
  <c r="U48" i="45"/>
  <c r="AO48" i="45"/>
  <c r="AP48" i="45"/>
  <c r="AQ48" i="45"/>
  <c r="AR48" i="45"/>
  <c r="AS48" i="45"/>
  <c r="AT48" i="45"/>
  <c r="AU48" i="45"/>
  <c r="AV48" i="45"/>
  <c r="AW48" i="45"/>
  <c r="AX48" i="45"/>
  <c r="AY48" i="45"/>
  <c r="AZ48" i="45"/>
  <c r="BA48" i="45"/>
  <c r="BB48" i="45"/>
  <c r="BC48" i="45"/>
  <c r="BD48" i="45"/>
  <c r="BE48" i="45"/>
  <c r="BF48" i="45"/>
  <c r="BG48" i="45"/>
  <c r="BH48" i="45"/>
  <c r="BI48" i="45"/>
  <c r="BJ48" i="45"/>
  <c r="BK48" i="45"/>
  <c r="BL48" i="45"/>
  <c r="BM48" i="45"/>
  <c r="BN48" i="45"/>
  <c r="BO48" i="45"/>
  <c r="BP48" i="45"/>
  <c r="BQ48" i="45"/>
  <c r="BR48" i="45"/>
  <c r="BS48" i="45"/>
  <c r="BT48" i="45"/>
  <c r="BU48" i="45"/>
  <c r="BV48" i="45"/>
  <c r="BW48" i="45"/>
  <c r="BX48" i="45"/>
  <c r="BY48" i="45"/>
  <c r="BZ48" i="45"/>
  <c r="CA48" i="45"/>
  <c r="CB48" i="45"/>
  <c r="CC48" i="45"/>
  <c r="CD48" i="45"/>
  <c r="CE48" i="45"/>
  <c r="CF48" i="45"/>
  <c r="CH48" i="45"/>
  <c r="CI48" i="45"/>
  <c r="CJ48" i="45"/>
  <c r="CK48" i="45"/>
  <c r="I49" i="45"/>
  <c r="J49" i="45"/>
  <c r="K49" i="45"/>
  <c r="L49" i="45"/>
  <c r="M49" i="45"/>
  <c r="N49" i="45"/>
  <c r="O49" i="45"/>
  <c r="P49" i="45"/>
  <c r="Q49" i="45"/>
  <c r="R49" i="45"/>
  <c r="S49" i="45"/>
  <c r="T49" i="45"/>
  <c r="U49" i="45"/>
  <c r="AP49" i="45"/>
  <c r="AQ49" i="45"/>
  <c r="AR49" i="45"/>
  <c r="AS49" i="45"/>
  <c r="AT49" i="45"/>
  <c r="AU49" i="45"/>
  <c r="AV49" i="45"/>
  <c r="AW49" i="45"/>
  <c r="AX49" i="45"/>
  <c r="AY49" i="45"/>
  <c r="AZ49" i="45"/>
  <c r="BA49" i="45"/>
  <c r="BB49" i="45"/>
  <c r="BC49" i="45"/>
  <c r="BD49" i="45"/>
  <c r="BE49" i="45"/>
  <c r="BF49" i="45"/>
  <c r="BG49" i="45"/>
  <c r="BH49" i="45"/>
  <c r="BI49" i="45"/>
  <c r="BJ49" i="45"/>
  <c r="BK49" i="45"/>
  <c r="BL49" i="45"/>
  <c r="BM49" i="45"/>
  <c r="BN49" i="45"/>
  <c r="BO49" i="45"/>
  <c r="BP49" i="45"/>
  <c r="BQ49" i="45"/>
  <c r="BR49" i="45"/>
  <c r="BS49" i="45"/>
  <c r="BT49" i="45"/>
  <c r="BU49" i="45"/>
  <c r="BV49" i="45"/>
  <c r="BW49" i="45"/>
  <c r="BX49" i="45"/>
  <c r="BY49" i="45"/>
  <c r="BZ49" i="45"/>
  <c r="CA49" i="45"/>
  <c r="CB49" i="45"/>
  <c r="CC49" i="45"/>
  <c r="CD49" i="45"/>
  <c r="CE49" i="45"/>
  <c r="CF49" i="45"/>
  <c r="CH49" i="45"/>
  <c r="CI49" i="45"/>
  <c r="CJ49" i="45"/>
  <c r="CK49" i="45"/>
  <c r="AH50" i="45"/>
  <c r="AH51" i="45"/>
  <c r="BG52" i="45"/>
  <c r="BG51" i="45"/>
  <c r="BS52" i="45"/>
  <c r="BS51" i="45"/>
  <c r="BW52" i="45"/>
  <c r="BW51" i="45"/>
  <c r="CE52" i="45"/>
  <c r="CE51" i="45"/>
  <c r="CH51" i="45"/>
  <c r="CI51" i="45"/>
  <c r="CJ51" i="45"/>
  <c r="CK51" i="45"/>
  <c r="I51" i="45"/>
  <c r="K52" i="45"/>
  <c r="K51" i="45"/>
  <c r="AH52" i="45"/>
  <c r="AP52" i="45"/>
  <c r="AP51" i="45"/>
  <c r="AQ52" i="45"/>
  <c r="AQ51" i="45"/>
  <c r="AR52" i="45"/>
  <c r="AR51" i="45"/>
  <c r="AS52" i="45"/>
  <c r="AS51" i="45"/>
  <c r="AT52" i="45"/>
  <c r="AT51" i="45"/>
  <c r="AU52" i="45"/>
  <c r="AU51" i="45"/>
  <c r="AV52" i="45"/>
  <c r="AV51" i="45"/>
  <c r="AW52" i="45"/>
  <c r="AW51" i="45"/>
  <c r="AX52" i="45"/>
  <c r="AX51" i="45"/>
  <c r="AY52" i="45"/>
  <c r="AY51" i="45"/>
  <c r="AZ52" i="45"/>
  <c r="AZ51" i="45"/>
  <c r="BA52" i="45"/>
  <c r="BA51" i="45"/>
  <c r="BB52" i="45"/>
  <c r="BB51" i="45"/>
  <c r="BC52" i="45"/>
  <c r="BC51" i="45"/>
  <c r="BD52" i="45"/>
  <c r="BD51" i="45"/>
  <c r="BF52" i="45"/>
  <c r="BF51" i="45"/>
  <c r="BH52" i="45"/>
  <c r="BH51" i="45"/>
  <c r="BJ52" i="45"/>
  <c r="BJ51" i="45"/>
  <c r="BK52" i="45"/>
  <c r="BK51" i="45"/>
  <c r="BL52" i="45"/>
  <c r="BL51" i="45"/>
  <c r="BM52" i="45"/>
  <c r="BM51" i="45"/>
  <c r="BN52" i="45"/>
  <c r="BN51" i="45"/>
  <c r="BO52" i="45"/>
  <c r="BO51" i="45"/>
  <c r="BP52" i="45"/>
  <c r="BP51" i="45"/>
  <c r="BR52" i="45"/>
  <c r="BR51" i="45"/>
  <c r="BT52" i="45"/>
  <c r="BT51" i="45"/>
  <c r="BU52" i="45"/>
  <c r="BU51" i="45"/>
  <c r="BV52" i="45"/>
  <c r="BV51" i="45"/>
  <c r="BX52" i="45"/>
  <c r="BX51" i="45"/>
  <c r="BZ52" i="45"/>
  <c r="BZ51" i="45"/>
  <c r="CA52" i="45"/>
  <c r="CA51" i="45"/>
  <c r="CB52" i="45"/>
  <c r="CB51" i="45"/>
  <c r="CD52" i="45"/>
  <c r="CD51" i="45"/>
  <c r="CF52" i="45"/>
  <c r="CF51" i="45"/>
  <c r="X53" i="45"/>
  <c r="AA53" i="45"/>
  <c r="AB53" i="45"/>
  <c r="AE53" i="45"/>
  <c r="AF53" i="45"/>
  <c r="AG53" i="45"/>
  <c r="AH53" i="45"/>
  <c r="AK53" i="45"/>
  <c r="AL53" i="45"/>
  <c r="AM53" i="45"/>
  <c r="BI53" i="45"/>
  <c r="BY53" i="45"/>
  <c r="CC53" i="45"/>
  <c r="AB54" i="45"/>
  <c r="AE54" i="45"/>
  <c r="AF54" i="45"/>
  <c r="AG54" i="45"/>
  <c r="AH54" i="45"/>
  <c r="AK54" i="45"/>
  <c r="AL54" i="45"/>
  <c r="AM54" i="45"/>
  <c r="AO54" i="45"/>
  <c r="X55" i="45"/>
  <c r="Y55" i="45"/>
  <c r="AA55" i="45"/>
  <c r="AB55" i="45"/>
  <c r="AE55" i="45"/>
  <c r="AF55" i="45"/>
  <c r="AG55" i="45"/>
  <c r="AH55" i="45"/>
  <c r="AK55" i="45"/>
  <c r="AL55" i="45"/>
  <c r="AM55" i="45"/>
  <c r="BY55" i="45"/>
  <c r="BY39" i="45"/>
  <c r="AC56" i="45"/>
  <c r="AE56" i="45"/>
  <c r="AF56" i="45"/>
  <c r="AG56" i="45"/>
  <c r="AH56" i="45"/>
  <c r="AI56" i="45"/>
  <c r="AL56" i="45"/>
  <c r="AC57" i="45"/>
  <c r="AE57" i="45"/>
  <c r="AF57" i="45"/>
  <c r="AL57" i="45"/>
  <c r="AG57" i="45"/>
  <c r="AH57" i="45"/>
  <c r="AK57" i="45"/>
  <c r="AM57" i="45"/>
  <c r="BE58" i="45"/>
  <c r="AC58" i="45"/>
  <c r="AI58" i="45"/>
  <c r="AE58" i="45"/>
  <c r="AF58" i="45"/>
  <c r="AG58" i="45"/>
  <c r="AH58" i="45"/>
  <c r="AK58" i="45"/>
  <c r="AM58" i="45"/>
  <c r="CO58" i="45"/>
  <c r="AC59" i="45"/>
  <c r="AE59" i="45"/>
  <c r="AF59" i="45"/>
  <c r="AG59" i="45"/>
  <c r="AH59" i="45"/>
  <c r="AI59" i="45"/>
  <c r="AL59" i="45"/>
  <c r="AC60" i="45"/>
  <c r="AI60" i="45"/>
  <c r="J60" i="45"/>
  <c r="J52" i="45"/>
  <c r="AE60" i="45"/>
  <c r="AF60" i="45"/>
  <c r="AG60" i="45"/>
  <c r="AH60" i="45"/>
  <c r="AK60" i="45"/>
  <c r="AM60" i="45"/>
  <c r="BQ61" i="45"/>
  <c r="AC61" i="45"/>
  <c r="AI61" i="45"/>
  <c r="AE61" i="45"/>
  <c r="AF61" i="45"/>
  <c r="AG61" i="45"/>
  <c r="AH61" i="45"/>
  <c r="AK61" i="45"/>
  <c r="AM61" i="45"/>
  <c r="BQ45" i="45"/>
  <c r="AC62" i="45"/>
  <c r="AE62" i="45"/>
  <c r="AF62" i="45"/>
  <c r="AG62" i="45"/>
  <c r="AH62" i="45"/>
  <c r="AK62" i="45"/>
  <c r="AL62" i="45"/>
  <c r="AM62" i="45"/>
  <c r="AC63" i="45"/>
  <c r="AE63" i="45"/>
  <c r="AF63" i="45"/>
  <c r="AG63" i="45"/>
  <c r="AH63" i="45"/>
  <c r="AI63" i="45"/>
  <c r="AL63" i="45"/>
  <c r="AC64" i="45"/>
  <c r="AI64" i="45"/>
  <c r="AE64" i="45"/>
  <c r="AF64" i="45"/>
  <c r="AG64" i="45"/>
  <c r="AD64" i="45"/>
  <c r="AH64" i="45"/>
  <c r="AK64" i="45"/>
  <c r="AM64" i="45"/>
  <c r="AC65" i="45"/>
  <c r="AE65" i="45"/>
  <c r="AK65" i="45"/>
  <c r="AF65" i="45"/>
  <c r="AG65" i="45"/>
  <c r="AM65" i="45"/>
  <c r="AH65" i="45"/>
  <c r="AI65" i="45"/>
  <c r="AL65" i="45"/>
  <c r="AH66" i="45"/>
  <c r="AL66" i="45"/>
  <c r="AH67" i="45"/>
  <c r="AR68" i="45"/>
  <c r="AR67" i="45"/>
  <c r="AV68" i="45"/>
  <c r="AV67" i="45"/>
  <c r="AZ68" i="45"/>
  <c r="AZ67" i="45"/>
  <c r="BD68" i="45"/>
  <c r="BD67" i="45"/>
  <c r="BH68" i="45"/>
  <c r="BH67" i="45"/>
  <c r="BL68" i="45"/>
  <c r="BL67" i="45"/>
  <c r="BP68" i="45"/>
  <c r="BP67" i="45"/>
  <c r="BT68" i="45"/>
  <c r="BT67" i="45"/>
  <c r="I67" i="45"/>
  <c r="J68" i="45"/>
  <c r="J67" i="45"/>
  <c r="K68" i="45"/>
  <c r="K67" i="45"/>
  <c r="AH68" i="45"/>
  <c r="AP68" i="45"/>
  <c r="AP67" i="45"/>
  <c r="AQ68" i="45"/>
  <c r="AQ67" i="45"/>
  <c r="AS68" i="45"/>
  <c r="AS67" i="45"/>
  <c r="AT68" i="45"/>
  <c r="AT67" i="45"/>
  <c r="AU68" i="45"/>
  <c r="AU67" i="45"/>
  <c r="AW68" i="45"/>
  <c r="AW67" i="45"/>
  <c r="AX68" i="45"/>
  <c r="AX67" i="45"/>
  <c r="AY68" i="45"/>
  <c r="AY67" i="45"/>
  <c r="BA68" i="45"/>
  <c r="BA67" i="45"/>
  <c r="BB68" i="45"/>
  <c r="BB67" i="45"/>
  <c r="BC68" i="45"/>
  <c r="BC67" i="45"/>
  <c r="BE68" i="45"/>
  <c r="BE67" i="45"/>
  <c r="BF68" i="45"/>
  <c r="BF67" i="45"/>
  <c r="BG68" i="45"/>
  <c r="BG67" i="45"/>
  <c r="BJ68" i="45"/>
  <c r="BJ67" i="45"/>
  <c r="BK68" i="45"/>
  <c r="BK67" i="45"/>
  <c r="BM68" i="45"/>
  <c r="BM67" i="45"/>
  <c r="BN68" i="45"/>
  <c r="BN67" i="45"/>
  <c r="BO68" i="45"/>
  <c r="BO67" i="45"/>
  <c r="BQ68" i="45"/>
  <c r="BQ67" i="45"/>
  <c r="BR68" i="45"/>
  <c r="BR67" i="45"/>
  <c r="BS68" i="45"/>
  <c r="BS67" i="45"/>
  <c r="BU68" i="45"/>
  <c r="BV68" i="45"/>
  <c r="BV67" i="45"/>
  <c r="BW68" i="45"/>
  <c r="BW67" i="45"/>
  <c r="BX68" i="45"/>
  <c r="BX67" i="45"/>
  <c r="BZ68" i="45"/>
  <c r="BZ67" i="45"/>
  <c r="CA68" i="45"/>
  <c r="CA67" i="45"/>
  <c r="CB68" i="45"/>
  <c r="CB67" i="45"/>
  <c r="CD68" i="45"/>
  <c r="CD67" i="45"/>
  <c r="CE68" i="45"/>
  <c r="CE67" i="45"/>
  <c r="CF68" i="45"/>
  <c r="CF67" i="45"/>
  <c r="X69" i="45"/>
  <c r="AA69" i="45"/>
  <c r="AB69" i="45"/>
  <c r="AE69" i="45"/>
  <c r="AF69" i="45"/>
  <c r="AG69" i="45"/>
  <c r="AH69" i="45"/>
  <c r="AK69" i="45"/>
  <c r="AL69" i="45"/>
  <c r="AM69" i="45"/>
  <c r="BI69" i="45"/>
  <c r="BI68" i="45"/>
  <c r="BI67" i="45"/>
  <c r="BY69" i="45"/>
  <c r="BY68" i="45"/>
  <c r="BY67" i="45"/>
  <c r="CC69" i="45"/>
  <c r="Y69" i="45"/>
  <c r="AB70" i="45"/>
  <c r="AE70" i="45"/>
  <c r="AF70" i="45"/>
  <c r="AG70" i="45"/>
  <c r="AH70" i="45"/>
  <c r="AK70" i="45"/>
  <c r="AL70" i="45"/>
  <c r="AM70" i="45"/>
  <c r="AJ70" i="45"/>
  <c r="AO70" i="45"/>
  <c r="AO68" i="45"/>
  <c r="AO67" i="45"/>
  <c r="X71" i="45"/>
  <c r="AA71" i="45"/>
  <c r="AB71" i="45"/>
  <c r="AE71" i="45"/>
  <c r="AF71" i="45"/>
  <c r="AG71" i="45"/>
  <c r="AH71" i="45"/>
  <c r="AK71" i="45"/>
  <c r="AL71" i="45"/>
  <c r="AM71" i="45"/>
  <c r="CC71" i="45"/>
  <c r="AC72" i="45"/>
  <c r="AE72" i="45"/>
  <c r="AK72" i="45"/>
  <c r="AF72" i="45"/>
  <c r="AG72" i="45"/>
  <c r="AM72" i="45"/>
  <c r="AH72" i="45"/>
  <c r="AI72" i="45"/>
  <c r="AL72" i="45"/>
  <c r="AC73" i="45"/>
  <c r="AI73" i="45"/>
  <c r="AE73" i="45"/>
  <c r="AF73" i="45"/>
  <c r="AL73" i="45"/>
  <c r="AG73" i="45"/>
  <c r="AH73" i="45"/>
  <c r="AK73" i="45"/>
  <c r="AM73" i="45"/>
  <c r="AC74" i="45"/>
  <c r="AE74" i="45"/>
  <c r="AK74" i="45"/>
  <c r="AF74" i="45"/>
  <c r="AG74" i="45"/>
  <c r="AM74" i="45"/>
  <c r="AH74" i="45"/>
  <c r="AI74" i="45"/>
  <c r="AL74" i="45"/>
  <c r="CO74" i="45"/>
  <c r="CP74" i="45"/>
  <c r="CP42" i="45"/>
  <c r="AC75" i="45"/>
  <c r="AE75" i="45"/>
  <c r="AF75" i="45"/>
  <c r="AG75" i="45"/>
  <c r="AM75" i="45"/>
  <c r="AH75" i="45"/>
  <c r="AI75" i="45"/>
  <c r="AL75" i="45"/>
  <c r="AC76" i="45"/>
  <c r="AI76" i="45"/>
  <c r="AE76" i="45"/>
  <c r="AF76" i="45"/>
  <c r="AG76" i="45"/>
  <c r="AD76" i="45"/>
  <c r="AH76" i="45"/>
  <c r="AK76" i="45"/>
  <c r="AM76" i="45"/>
  <c r="AC77" i="45"/>
  <c r="AE77" i="45"/>
  <c r="AF77" i="45"/>
  <c r="AG77" i="45"/>
  <c r="AM77" i="45"/>
  <c r="AH77" i="45"/>
  <c r="AI77" i="45"/>
  <c r="AL77" i="45"/>
  <c r="AC78" i="45"/>
  <c r="AI78" i="45"/>
  <c r="AE78" i="45"/>
  <c r="AF78" i="45"/>
  <c r="AG78" i="45"/>
  <c r="AD78" i="45"/>
  <c r="AH78" i="45"/>
  <c r="AK78" i="45"/>
  <c r="AM78" i="45"/>
  <c r="AC79" i="45"/>
  <c r="AE79" i="45"/>
  <c r="AF79" i="45"/>
  <c r="AG79" i="45"/>
  <c r="AM79" i="45"/>
  <c r="AH79" i="45"/>
  <c r="AI79" i="45"/>
  <c r="AL79" i="45"/>
  <c r="AC80" i="45"/>
  <c r="AE80" i="45"/>
  <c r="AF80" i="45"/>
  <c r="AG80" i="45"/>
  <c r="AM80" i="45"/>
  <c r="AH80" i="45"/>
  <c r="AI80" i="45"/>
  <c r="AL80" i="45"/>
  <c r="AC81" i="45"/>
  <c r="AI81" i="45"/>
  <c r="AE81" i="45"/>
  <c r="AF81" i="45"/>
  <c r="AG81" i="45"/>
  <c r="AD81" i="45"/>
  <c r="AH81" i="45"/>
  <c r="AK81" i="45"/>
  <c r="AM81" i="45"/>
  <c r="AH82" i="45"/>
  <c r="AL82" i="45"/>
  <c r="I83" i="45"/>
  <c r="AH83" i="45"/>
  <c r="BU83" i="45"/>
  <c r="J84" i="45"/>
  <c r="J83" i="45"/>
  <c r="K84" i="45"/>
  <c r="K83" i="45"/>
  <c r="AH84" i="45"/>
  <c r="AP84" i="45"/>
  <c r="AP83" i="45"/>
  <c r="AQ84" i="45"/>
  <c r="AQ83" i="45"/>
  <c r="AR84" i="45"/>
  <c r="AR83" i="45"/>
  <c r="AS84" i="45"/>
  <c r="AS83" i="45"/>
  <c r="AT84" i="45"/>
  <c r="AT83" i="45"/>
  <c r="AU84" i="45"/>
  <c r="AU83" i="45"/>
  <c r="AV84" i="45"/>
  <c r="AV83" i="45"/>
  <c r="AW84" i="45"/>
  <c r="AW83" i="45"/>
  <c r="AX84" i="45"/>
  <c r="AX83" i="45"/>
  <c r="AY84" i="45"/>
  <c r="AY83" i="45"/>
  <c r="AZ84" i="45"/>
  <c r="AZ83" i="45"/>
  <c r="BA84" i="45"/>
  <c r="BB84" i="45"/>
  <c r="BB83" i="45"/>
  <c r="BC84" i="45"/>
  <c r="BC83" i="45"/>
  <c r="BD84" i="45"/>
  <c r="BD83" i="45"/>
  <c r="BF84" i="45"/>
  <c r="BF83" i="45"/>
  <c r="BG84" i="45"/>
  <c r="BG83" i="45"/>
  <c r="BH84" i="45"/>
  <c r="BH83" i="45"/>
  <c r="BJ84" i="45"/>
  <c r="BJ83" i="45"/>
  <c r="BK84" i="45"/>
  <c r="BK83" i="45"/>
  <c r="BL84" i="45"/>
  <c r="BL83" i="45"/>
  <c r="BN84" i="45"/>
  <c r="BN83" i="45"/>
  <c r="BO84" i="45"/>
  <c r="BO83" i="45"/>
  <c r="BP84" i="45"/>
  <c r="BP83" i="45"/>
  <c r="BQ84" i="45"/>
  <c r="BR84" i="45"/>
  <c r="BR83" i="45"/>
  <c r="BS84" i="45"/>
  <c r="BS83" i="45"/>
  <c r="BT84" i="45"/>
  <c r="BT83" i="45"/>
  <c r="BV84" i="45"/>
  <c r="BV83" i="45"/>
  <c r="BW84" i="45"/>
  <c r="BW83" i="45"/>
  <c r="BX84" i="45"/>
  <c r="BX83" i="45"/>
  <c r="BZ84" i="45"/>
  <c r="BZ83" i="45"/>
  <c r="CA84" i="45"/>
  <c r="CA83" i="45"/>
  <c r="CB84" i="45"/>
  <c r="CB83" i="45"/>
  <c r="CD84" i="45"/>
  <c r="CD83" i="45"/>
  <c r="CE84" i="45"/>
  <c r="CE83" i="45"/>
  <c r="CF84" i="45"/>
  <c r="CF83" i="45"/>
  <c r="W85" i="45"/>
  <c r="X85" i="45"/>
  <c r="AA85" i="45"/>
  <c r="AB85" i="45"/>
  <c r="AE85" i="45"/>
  <c r="AF85" i="45"/>
  <c r="AG85" i="45"/>
  <c r="AH85" i="45"/>
  <c r="AK85" i="45"/>
  <c r="AL85" i="45"/>
  <c r="AM85" i="45"/>
  <c r="BI85" i="45"/>
  <c r="BY85" i="45"/>
  <c r="BY84" i="45"/>
  <c r="BY83" i="45"/>
  <c r="CC85" i="45"/>
  <c r="Y85" i="45"/>
  <c r="AO86" i="45"/>
  <c r="AC86" i="45"/>
  <c r="AI86" i="45"/>
  <c r="AB86" i="45"/>
  <c r="AE86" i="45"/>
  <c r="AF86" i="45"/>
  <c r="AL86" i="45"/>
  <c r="AG86" i="45"/>
  <c r="AH86" i="45"/>
  <c r="AK86" i="45"/>
  <c r="AM86" i="45"/>
  <c r="W87" i="45"/>
  <c r="X87" i="45"/>
  <c r="AA87" i="45"/>
  <c r="AB87" i="45"/>
  <c r="AE87" i="45"/>
  <c r="AF87" i="45"/>
  <c r="AG87" i="45"/>
  <c r="AH87" i="45"/>
  <c r="AK87" i="45"/>
  <c r="AL87" i="45"/>
  <c r="AM87" i="45"/>
  <c r="CC87" i="45"/>
  <c r="Y87" i="45"/>
  <c r="AC88" i="45"/>
  <c r="AI88" i="45"/>
  <c r="AE88" i="45"/>
  <c r="AF88" i="45"/>
  <c r="AL88" i="45"/>
  <c r="AG88" i="45"/>
  <c r="AH88" i="45"/>
  <c r="AK88" i="45"/>
  <c r="AM88" i="45"/>
  <c r="AC89" i="45"/>
  <c r="AE89" i="45"/>
  <c r="AK89" i="45"/>
  <c r="AF89" i="45"/>
  <c r="AG89" i="45"/>
  <c r="AM89" i="45"/>
  <c r="AH89" i="45"/>
  <c r="AI89" i="45"/>
  <c r="AL89" i="45"/>
  <c r="AC90" i="45"/>
  <c r="AI90" i="45"/>
  <c r="AE90" i="45"/>
  <c r="AF90" i="45"/>
  <c r="AL90" i="45"/>
  <c r="AG90" i="45"/>
  <c r="AH90" i="45"/>
  <c r="AK90" i="45"/>
  <c r="AM90" i="45"/>
  <c r="AC91" i="45"/>
  <c r="AI91" i="45"/>
  <c r="AE91" i="45"/>
  <c r="AF91" i="45"/>
  <c r="AL91" i="45"/>
  <c r="AG91" i="45"/>
  <c r="AH91" i="45"/>
  <c r="AK91" i="45"/>
  <c r="AM91" i="45"/>
  <c r="AC92" i="45"/>
  <c r="AE92" i="45"/>
  <c r="AK92" i="45"/>
  <c r="AF92" i="45"/>
  <c r="AG92" i="45"/>
  <c r="AM92" i="45"/>
  <c r="AH92" i="45"/>
  <c r="AI92" i="45"/>
  <c r="AL92" i="45"/>
  <c r="AC93" i="45"/>
  <c r="AI93" i="45"/>
  <c r="AE93" i="45"/>
  <c r="AF93" i="45"/>
  <c r="AG93" i="45"/>
  <c r="AH93" i="45"/>
  <c r="AK93" i="45"/>
  <c r="AL93" i="45"/>
  <c r="AM93" i="45"/>
  <c r="AC94" i="45"/>
  <c r="AE94" i="45"/>
  <c r="AF94" i="45"/>
  <c r="AG94" i="45"/>
  <c r="AD94" i="45"/>
  <c r="AH94" i="45"/>
  <c r="AK94" i="45"/>
  <c r="AL94" i="45"/>
  <c r="AM94" i="45"/>
  <c r="AJ94" i="45"/>
  <c r="AC95" i="45"/>
  <c r="AI95" i="45"/>
  <c r="AE95" i="45"/>
  <c r="AF95" i="45"/>
  <c r="AL95" i="45"/>
  <c r="AG95" i="45"/>
  <c r="AH95" i="45"/>
  <c r="AK95" i="45"/>
  <c r="AM95" i="45"/>
  <c r="AC96" i="45"/>
  <c r="AI96" i="45"/>
  <c r="AE96" i="45"/>
  <c r="AF96" i="45"/>
  <c r="AL96" i="45"/>
  <c r="AG96" i="45"/>
  <c r="AH96" i="45"/>
  <c r="AK96" i="45"/>
  <c r="AM96" i="45"/>
  <c r="AO97" i="45"/>
  <c r="AC97" i="45"/>
  <c r="AI97" i="45"/>
  <c r="AE97" i="45"/>
  <c r="AF97" i="45"/>
  <c r="AL97" i="45"/>
  <c r="AG97" i="45"/>
  <c r="AH97" i="45"/>
  <c r="AK97" i="45"/>
  <c r="AM97" i="45"/>
  <c r="AO49" i="45"/>
  <c r="AH98" i="45"/>
  <c r="AL98" i="45"/>
  <c r="AH99" i="45"/>
  <c r="CC99" i="45"/>
  <c r="I99" i="45"/>
  <c r="K100" i="45"/>
  <c r="K99" i="45"/>
  <c r="AH100" i="45"/>
  <c r="AP100" i="45"/>
  <c r="AQ100" i="45"/>
  <c r="AR100" i="45"/>
  <c r="AS100" i="45"/>
  <c r="AT100" i="45"/>
  <c r="AU100" i="45"/>
  <c r="AV100" i="45"/>
  <c r="AW100" i="45"/>
  <c r="AX100" i="45"/>
  <c r="AY100" i="45"/>
  <c r="AZ100" i="45"/>
  <c r="BA100" i="45"/>
  <c r="BB100" i="45"/>
  <c r="BC100" i="45"/>
  <c r="BD100" i="45"/>
  <c r="BF100" i="45"/>
  <c r="BG100" i="45"/>
  <c r="BH100" i="45"/>
  <c r="BJ100" i="45"/>
  <c r="BK100" i="45"/>
  <c r="BL100" i="45"/>
  <c r="BN100" i="45"/>
  <c r="BO100" i="45"/>
  <c r="BP100" i="45"/>
  <c r="BQ100" i="45"/>
  <c r="BR100" i="45"/>
  <c r="BS100" i="45"/>
  <c r="BT100" i="45"/>
  <c r="BV100" i="45"/>
  <c r="BV99" i="45"/>
  <c r="BW100" i="45"/>
  <c r="BW99" i="45"/>
  <c r="BX100" i="45"/>
  <c r="BX99" i="45"/>
  <c r="BY100" i="45"/>
  <c r="BY99" i="45"/>
  <c r="BZ100" i="45"/>
  <c r="BZ99" i="45"/>
  <c r="CA100" i="45"/>
  <c r="CA99" i="45"/>
  <c r="CB100" i="45"/>
  <c r="CB99" i="45"/>
  <c r="CD100" i="45"/>
  <c r="CD99" i="45"/>
  <c r="CE100" i="45"/>
  <c r="CE99" i="45"/>
  <c r="CF100" i="45"/>
  <c r="CF99" i="45"/>
  <c r="W101" i="45"/>
  <c r="X101" i="45"/>
  <c r="AA101" i="45"/>
  <c r="AB101" i="45"/>
  <c r="AE101" i="45"/>
  <c r="AF101" i="45"/>
  <c r="AG101" i="45"/>
  <c r="AH101" i="45"/>
  <c r="AK101" i="45"/>
  <c r="AL101" i="45"/>
  <c r="AM101" i="45"/>
  <c r="BI101" i="45"/>
  <c r="CC101" i="45"/>
  <c r="AB102" i="45"/>
  <c r="AO102" i="45"/>
  <c r="AC102" i="45"/>
  <c r="AE102" i="45"/>
  <c r="AF102" i="45"/>
  <c r="AL102" i="45"/>
  <c r="AG102" i="45"/>
  <c r="AH102" i="45"/>
  <c r="AK102" i="45"/>
  <c r="AM102" i="45"/>
  <c r="AO100" i="45"/>
  <c r="AO99" i="45"/>
  <c r="W103" i="45"/>
  <c r="X103" i="45"/>
  <c r="AA103" i="45"/>
  <c r="AB103" i="45"/>
  <c r="AE103" i="45"/>
  <c r="AF103" i="45"/>
  <c r="AG103" i="45"/>
  <c r="AH103" i="45"/>
  <c r="AK103" i="45"/>
  <c r="AL103" i="45"/>
  <c r="AM103" i="45"/>
  <c r="CC103" i="45"/>
  <c r="DD103" i="45"/>
  <c r="AC104" i="45"/>
  <c r="AE104" i="45"/>
  <c r="AK104" i="45"/>
  <c r="AF104" i="45"/>
  <c r="AG104" i="45"/>
  <c r="AM104" i="45"/>
  <c r="AH104" i="45"/>
  <c r="AI104" i="45"/>
  <c r="AL104" i="45"/>
  <c r="AC105" i="45"/>
  <c r="AE105" i="45"/>
  <c r="AF105" i="45"/>
  <c r="AG105" i="45"/>
  <c r="AH105" i="45"/>
  <c r="AK105" i="45"/>
  <c r="AL105" i="45"/>
  <c r="AM105" i="45"/>
  <c r="AE106" i="45"/>
  <c r="AF106" i="45"/>
  <c r="AG106" i="45"/>
  <c r="AH106" i="45"/>
  <c r="AK106" i="45"/>
  <c r="AL106" i="45"/>
  <c r="AM106" i="45"/>
  <c r="BE106" i="45"/>
  <c r="BE100" i="45"/>
  <c r="CO106" i="45"/>
  <c r="AC107" i="45"/>
  <c r="AE107" i="45"/>
  <c r="AK107" i="45"/>
  <c r="AF107" i="45"/>
  <c r="AG107" i="45"/>
  <c r="AM107" i="45"/>
  <c r="AH107" i="45"/>
  <c r="AI107" i="45"/>
  <c r="AL107" i="45"/>
  <c r="J108" i="45"/>
  <c r="AC108" i="45"/>
  <c r="AE108" i="45"/>
  <c r="AF108" i="45"/>
  <c r="AG108" i="45"/>
  <c r="AH108" i="45"/>
  <c r="AK108" i="45"/>
  <c r="AL108" i="45"/>
  <c r="AM108" i="45"/>
  <c r="AE109" i="45"/>
  <c r="AF109" i="45"/>
  <c r="AG109" i="45"/>
  <c r="AH109" i="45"/>
  <c r="AK109" i="45"/>
  <c r="AL109" i="45"/>
  <c r="AM109" i="45"/>
  <c r="BU109" i="45"/>
  <c r="BU45" i="45"/>
  <c r="AE110" i="45"/>
  <c r="AF110" i="45"/>
  <c r="AG110" i="45"/>
  <c r="AD110" i="45"/>
  <c r="AH110" i="45"/>
  <c r="AK110" i="45"/>
  <c r="AL110" i="45"/>
  <c r="AM110" i="45"/>
  <c r="AJ110" i="45"/>
  <c r="BU110" i="45"/>
  <c r="AC111" i="45"/>
  <c r="AE111" i="45"/>
  <c r="AK111" i="45"/>
  <c r="AF111" i="45"/>
  <c r="AG111" i="45"/>
  <c r="AM111" i="45"/>
  <c r="AH111" i="45"/>
  <c r="AI111" i="45"/>
  <c r="AL111" i="45"/>
  <c r="J112" i="45"/>
  <c r="J48" i="45"/>
  <c r="AC112" i="45"/>
  <c r="AE112" i="45"/>
  <c r="AF112" i="45"/>
  <c r="AG112" i="45"/>
  <c r="AH112" i="45"/>
  <c r="AK112" i="45"/>
  <c r="AL112" i="45"/>
  <c r="AM112" i="45"/>
  <c r="AC113" i="45"/>
  <c r="AE113" i="45"/>
  <c r="AF113" i="45"/>
  <c r="AG113" i="45"/>
  <c r="AH113" i="45"/>
  <c r="AK113" i="45"/>
  <c r="AL113" i="45"/>
  <c r="AM113" i="45"/>
  <c r="AC114" i="45"/>
  <c r="AD114" i="45"/>
  <c r="AH114" i="45"/>
  <c r="AL114" i="45"/>
  <c r="U117" i="45"/>
  <c r="U116" i="45"/>
  <c r="U115" i="45"/>
  <c r="I120" i="45"/>
  <c r="J120" i="45"/>
  <c r="K120" i="45"/>
  <c r="L120" i="45"/>
  <c r="M120" i="45"/>
  <c r="N120" i="45"/>
  <c r="O120" i="45"/>
  <c r="P120" i="45"/>
  <c r="Q120" i="45"/>
  <c r="R120" i="45"/>
  <c r="S120" i="45"/>
  <c r="U120" i="45"/>
  <c r="AO120" i="45"/>
  <c r="AP120" i="45"/>
  <c r="AQ120" i="45"/>
  <c r="AR120" i="45"/>
  <c r="AS120" i="45"/>
  <c r="AT120" i="45"/>
  <c r="AU120" i="45"/>
  <c r="AV120" i="45"/>
  <c r="AW120" i="45"/>
  <c r="AX120" i="45"/>
  <c r="AY120" i="45"/>
  <c r="AZ120" i="45"/>
  <c r="BA120" i="45"/>
  <c r="BB120" i="45"/>
  <c r="BC120" i="45"/>
  <c r="BD120" i="45"/>
  <c r="BE120" i="45"/>
  <c r="BF120" i="45"/>
  <c r="BG120" i="45"/>
  <c r="BH120" i="45"/>
  <c r="BJ120" i="45"/>
  <c r="BK120" i="45"/>
  <c r="BL120" i="45"/>
  <c r="BM120" i="45"/>
  <c r="BN120" i="45"/>
  <c r="BO120" i="45"/>
  <c r="BP120" i="45"/>
  <c r="BQ120" i="45"/>
  <c r="BR120" i="45"/>
  <c r="BS120" i="45"/>
  <c r="BT120" i="45"/>
  <c r="BU120" i="45"/>
  <c r="BV120" i="45"/>
  <c r="BW120" i="45"/>
  <c r="BX120" i="45"/>
  <c r="BZ120" i="45"/>
  <c r="CA120" i="45"/>
  <c r="CB120" i="45"/>
  <c r="CD120" i="45"/>
  <c r="CE120" i="45"/>
  <c r="CF120" i="45"/>
  <c r="CH120" i="45"/>
  <c r="CI120" i="45"/>
  <c r="CJ120" i="45"/>
  <c r="CK120" i="45"/>
  <c r="I121" i="45"/>
  <c r="J121" i="45"/>
  <c r="K121" i="45"/>
  <c r="L121" i="45"/>
  <c r="M121" i="45"/>
  <c r="N121" i="45"/>
  <c r="O121" i="45"/>
  <c r="P121" i="45"/>
  <c r="Q121" i="45"/>
  <c r="R121" i="45"/>
  <c r="S121" i="45"/>
  <c r="T121" i="45"/>
  <c r="U121" i="45"/>
  <c r="AB121" i="45"/>
  <c r="AP121" i="45"/>
  <c r="AQ121" i="45"/>
  <c r="AR121" i="45"/>
  <c r="AS121" i="45"/>
  <c r="AT121" i="45"/>
  <c r="AU121" i="45"/>
  <c r="AV121" i="45"/>
  <c r="AW121" i="45"/>
  <c r="AX121" i="45"/>
  <c r="AY121" i="45"/>
  <c r="AZ121" i="45"/>
  <c r="BA121" i="45"/>
  <c r="BB121" i="45"/>
  <c r="BC121" i="45"/>
  <c r="BD121" i="45"/>
  <c r="BE121" i="45"/>
  <c r="BF121" i="45"/>
  <c r="BG121" i="45"/>
  <c r="BH121" i="45"/>
  <c r="BI121" i="45"/>
  <c r="BJ121" i="45"/>
  <c r="BK121" i="45"/>
  <c r="BL121" i="45"/>
  <c r="BM121" i="45"/>
  <c r="BN121" i="45"/>
  <c r="BO121" i="45"/>
  <c r="BP121" i="45"/>
  <c r="BQ121" i="45"/>
  <c r="BR121" i="45"/>
  <c r="BS121" i="45"/>
  <c r="BT121" i="45"/>
  <c r="BV121" i="45"/>
  <c r="BW121" i="45"/>
  <c r="BX121" i="45"/>
  <c r="BY121" i="45"/>
  <c r="BZ121" i="45"/>
  <c r="CA121" i="45"/>
  <c r="CB121" i="45"/>
  <c r="CC121" i="45"/>
  <c r="CD121" i="45"/>
  <c r="CE121" i="45"/>
  <c r="CF121" i="45"/>
  <c r="CH121" i="45"/>
  <c r="CI121" i="45"/>
  <c r="CJ121" i="45"/>
  <c r="CK121" i="45"/>
  <c r="I122" i="45"/>
  <c r="J122" i="45"/>
  <c r="K122" i="45"/>
  <c r="L122" i="45"/>
  <c r="M122" i="45"/>
  <c r="N122" i="45"/>
  <c r="O122" i="45"/>
  <c r="P122" i="45"/>
  <c r="Q122" i="45"/>
  <c r="R122" i="45"/>
  <c r="S122" i="45"/>
  <c r="U122" i="45"/>
  <c r="AO122" i="45"/>
  <c r="AP122" i="45"/>
  <c r="AQ122" i="45"/>
  <c r="AR122" i="45"/>
  <c r="AS122" i="45"/>
  <c r="AT122" i="45"/>
  <c r="AU122" i="45"/>
  <c r="AV122" i="45"/>
  <c r="AW122" i="45"/>
  <c r="AX122" i="45"/>
  <c r="AY122" i="45"/>
  <c r="AZ122" i="45"/>
  <c r="BA122" i="45"/>
  <c r="BB122" i="45"/>
  <c r="BC122" i="45"/>
  <c r="BD122" i="45"/>
  <c r="BE122" i="45"/>
  <c r="BF122" i="45"/>
  <c r="BG122" i="45"/>
  <c r="BH122" i="45"/>
  <c r="BI122" i="45"/>
  <c r="BJ122" i="45"/>
  <c r="BK122" i="45"/>
  <c r="BL122" i="45"/>
  <c r="BM122" i="45"/>
  <c r="BN122" i="45"/>
  <c r="BO122" i="45"/>
  <c r="BP122" i="45"/>
  <c r="BQ122" i="45"/>
  <c r="BR122" i="45"/>
  <c r="BS122" i="45"/>
  <c r="BT122" i="45"/>
  <c r="BU122" i="45"/>
  <c r="BV122" i="45"/>
  <c r="BW122" i="45"/>
  <c r="BX122" i="45"/>
  <c r="BZ122" i="45"/>
  <c r="CA122" i="45"/>
  <c r="CB122" i="45"/>
  <c r="CD122" i="45"/>
  <c r="CE122" i="45"/>
  <c r="CF122" i="45"/>
  <c r="CH122" i="45"/>
  <c r="CI122" i="45"/>
  <c r="CJ122" i="45"/>
  <c r="CK122" i="45"/>
  <c r="I123" i="45"/>
  <c r="J123" i="45"/>
  <c r="K123" i="45"/>
  <c r="L123" i="45"/>
  <c r="M123" i="45"/>
  <c r="N123" i="45"/>
  <c r="O123" i="45"/>
  <c r="P123" i="45"/>
  <c r="Q123" i="45"/>
  <c r="R123" i="45"/>
  <c r="S123" i="45"/>
  <c r="U123" i="45"/>
  <c r="AO123" i="45"/>
  <c r="AP123" i="45"/>
  <c r="AQ123" i="45"/>
  <c r="AR123" i="45"/>
  <c r="AS123" i="45"/>
  <c r="AT123" i="45"/>
  <c r="AU123" i="45"/>
  <c r="AV123" i="45"/>
  <c r="AW123" i="45"/>
  <c r="AX123" i="45"/>
  <c r="AY123" i="45"/>
  <c r="AZ123" i="45"/>
  <c r="BA123" i="45"/>
  <c r="BB123" i="45"/>
  <c r="BC123" i="45"/>
  <c r="BD123" i="45"/>
  <c r="BE123" i="45"/>
  <c r="BF123" i="45"/>
  <c r="BG123" i="45"/>
  <c r="BH123" i="45"/>
  <c r="BI123" i="45"/>
  <c r="BJ123" i="45"/>
  <c r="BK123" i="45"/>
  <c r="BL123" i="45"/>
  <c r="BM123" i="45"/>
  <c r="BN123" i="45"/>
  <c r="BO123" i="45"/>
  <c r="BP123" i="45"/>
  <c r="BQ123" i="45"/>
  <c r="BR123" i="45"/>
  <c r="BS123" i="45"/>
  <c r="BT123" i="45"/>
  <c r="BU123" i="45"/>
  <c r="BV123" i="45"/>
  <c r="BW123" i="45"/>
  <c r="BX123" i="45"/>
  <c r="BY123" i="45"/>
  <c r="BZ123" i="45"/>
  <c r="CA123" i="45"/>
  <c r="CB123" i="45"/>
  <c r="CC123" i="45"/>
  <c r="CD123" i="45"/>
  <c r="CE123" i="45"/>
  <c r="CF123" i="45"/>
  <c r="CH123" i="45"/>
  <c r="CI123" i="45"/>
  <c r="CJ123" i="45"/>
  <c r="CK123" i="45"/>
  <c r="I124" i="45"/>
  <c r="J124" i="45"/>
  <c r="K124" i="45"/>
  <c r="L124" i="45"/>
  <c r="M124" i="45"/>
  <c r="N124" i="45"/>
  <c r="O124" i="45"/>
  <c r="P124" i="45"/>
  <c r="Q124" i="45"/>
  <c r="R124" i="45"/>
  <c r="S124" i="45"/>
  <c r="U124" i="45"/>
  <c r="AO124" i="45"/>
  <c r="AP124" i="45"/>
  <c r="AQ124" i="45"/>
  <c r="AR124" i="45"/>
  <c r="AS124" i="45"/>
  <c r="AT124" i="45"/>
  <c r="AU124" i="45"/>
  <c r="AV124" i="45"/>
  <c r="AW124" i="45"/>
  <c r="AX124" i="45"/>
  <c r="AY124" i="45"/>
  <c r="AZ124" i="45"/>
  <c r="BA124" i="45"/>
  <c r="BB124" i="45"/>
  <c r="BC124" i="45"/>
  <c r="BD124" i="45"/>
  <c r="BE124" i="45"/>
  <c r="BF124" i="45"/>
  <c r="BG124" i="45"/>
  <c r="BH124" i="45"/>
  <c r="BI124" i="45"/>
  <c r="BJ124" i="45"/>
  <c r="BK124" i="45"/>
  <c r="BL124" i="45"/>
  <c r="BM124" i="45"/>
  <c r="BN124" i="45"/>
  <c r="BO124" i="45"/>
  <c r="BP124" i="45"/>
  <c r="BQ124" i="45"/>
  <c r="BR124" i="45"/>
  <c r="BS124" i="45"/>
  <c r="BT124" i="45"/>
  <c r="BU124" i="45"/>
  <c r="BV124" i="45"/>
  <c r="BW124" i="45"/>
  <c r="BX124" i="45"/>
  <c r="BY124" i="45"/>
  <c r="BZ124" i="45"/>
  <c r="CA124" i="45"/>
  <c r="CB124" i="45"/>
  <c r="CC124" i="45"/>
  <c r="CD124" i="45"/>
  <c r="CE124" i="45"/>
  <c r="CF124" i="45"/>
  <c r="CH124" i="45"/>
  <c r="CI124" i="45"/>
  <c r="CJ124" i="45"/>
  <c r="CK124" i="45"/>
  <c r="I125" i="45"/>
  <c r="J125" i="45"/>
  <c r="K125" i="45"/>
  <c r="L125" i="45"/>
  <c r="M125" i="45"/>
  <c r="N125" i="45"/>
  <c r="O125" i="45"/>
  <c r="P125" i="45"/>
  <c r="Q125" i="45"/>
  <c r="R125" i="45"/>
  <c r="S125" i="45"/>
  <c r="U125" i="45"/>
  <c r="AO125" i="45"/>
  <c r="AP125" i="45"/>
  <c r="AQ125" i="45"/>
  <c r="AR125" i="45"/>
  <c r="AS125" i="45"/>
  <c r="AT125" i="45"/>
  <c r="AU125" i="45"/>
  <c r="AV125" i="45"/>
  <c r="AW125" i="45"/>
  <c r="AX125" i="45"/>
  <c r="AY125" i="45"/>
  <c r="AZ125" i="45"/>
  <c r="BA125" i="45"/>
  <c r="BB125" i="45"/>
  <c r="BC125" i="45"/>
  <c r="BD125" i="45"/>
  <c r="BE125" i="45"/>
  <c r="BF125" i="45"/>
  <c r="BG125" i="45"/>
  <c r="BH125" i="45"/>
  <c r="BI125" i="45"/>
  <c r="BJ125" i="45"/>
  <c r="BK125" i="45"/>
  <c r="BL125" i="45"/>
  <c r="BM125" i="45"/>
  <c r="BN125" i="45"/>
  <c r="BO125" i="45"/>
  <c r="BP125" i="45"/>
  <c r="BQ125" i="45"/>
  <c r="BR125" i="45"/>
  <c r="BS125" i="45"/>
  <c r="BT125" i="45"/>
  <c r="BU125" i="45"/>
  <c r="BV125" i="45"/>
  <c r="BW125" i="45"/>
  <c r="BX125" i="45"/>
  <c r="BY125" i="45"/>
  <c r="BZ125" i="45"/>
  <c r="CA125" i="45"/>
  <c r="CB125" i="45"/>
  <c r="CC125" i="45"/>
  <c r="CD125" i="45"/>
  <c r="CE125" i="45"/>
  <c r="CF125" i="45"/>
  <c r="CH125" i="45"/>
  <c r="CI125" i="45"/>
  <c r="CJ125" i="45"/>
  <c r="CK125" i="45"/>
  <c r="CO125" i="45"/>
  <c r="CP125" i="45"/>
  <c r="I126" i="45"/>
  <c r="J126" i="45"/>
  <c r="K126" i="45"/>
  <c r="L126" i="45"/>
  <c r="M126" i="45"/>
  <c r="N126" i="45"/>
  <c r="O126" i="45"/>
  <c r="P126" i="45"/>
  <c r="Q126" i="45"/>
  <c r="R126" i="45"/>
  <c r="S126" i="45"/>
  <c r="U126" i="45"/>
  <c r="AO126" i="45"/>
  <c r="AP126" i="45"/>
  <c r="AQ126" i="45"/>
  <c r="AR126" i="45"/>
  <c r="AS126" i="45"/>
  <c r="AT126" i="45"/>
  <c r="AU126" i="45"/>
  <c r="AV126" i="45"/>
  <c r="AW126" i="45"/>
  <c r="AX126" i="45"/>
  <c r="AY126" i="45"/>
  <c r="AZ126" i="45"/>
  <c r="BA126" i="45"/>
  <c r="BB126" i="45"/>
  <c r="BC126" i="45"/>
  <c r="BD126" i="45"/>
  <c r="BE126" i="45"/>
  <c r="BF126" i="45"/>
  <c r="BG126" i="45"/>
  <c r="BH126" i="45"/>
  <c r="BI126" i="45"/>
  <c r="BJ126" i="45"/>
  <c r="BK126" i="45"/>
  <c r="BL126" i="45"/>
  <c r="BM126" i="45"/>
  <c r="BN126" i="45"/>
  <c r="BO126" i="45"/>
  <c r="BP126" i="45"/>
  <c r="BQ126" i="45"/>
  <c r="BR126" i="45"/>
  <c r="BS126" i="45"/>
  <c r="BT126" i="45"/>
  <c r="BU126" i="45"/>
  <c r="BV126" i="45"/>
  <c r="BW126" i="45"/>
  <c r="BX126" i="45"/>
  <c r="BY126" i="45"/>
  <c r="BZ126" i="45"/>
  <c r="CA126" i="45"/>
  <c r="CB126" i="45"/>
  <c r="CC126" i="45"/>
  <c r="CD126" i="45"/>
  <c r="CE126" i="45"/>
  <c r="CF126" i="45"/>
  <c r="CH126" i="45"/>
  <c r="CI126" i="45"/>
  <c r="CJ126" i="45"/>
  <c r="CK126" i="45"/>
  <c r="I127" i="45"/>
  <c r="K127" i="45"/>
  <c r="L127" i="45"/>
  <c r="M127" i="45"/>
  <c r="N127" i="45"/>
  <c r="O127" i="45"/>
  <c r="P127" i="45"/>
  <c r="Q127" i="45"/>
  <c r="R127" i="45"/>
  <c r="S127" i="45"/>
  <c r="U127" i="45"/>
  <c r="AO127" i="45"/>
  <c r="AP127" i="45"/>
  <c r="AQ127" i="45"/>
  <c r="AR127" i="45"/>
  <c r="AS127" i="45"/>
  <c r="AT127" i="45"/>
  <c r="AU127" i="45"/>
  <c r="AV127" i="45"/>
  <c r="AW127" i="45"/>
  <c r="AX127" i="45"/>
  <c r="AY127" i="45"/>
  <c r="AZ127" i="45"/>
  <c r="BA127" i="45"/>
  <c r="BB127" i="45"/>
  <c r="BC127" i="45"/>
  <c r="BD127" i="45"/>
  <c r="BE127" i="45"/>
  <c r="BF127" i="45"/>
  <c r="BG127" i="45"/>
  <c r="BH127" i="45"/>
  <c r="BI127" i="45"/>
  <c r="BJ127" i="45"/>
  <c r="BK127" i="45"/>
  <c r="BL127" i="45"/>
  <c r="BM127" i="45"/>
  <c r="BN127" i="45"/>
  <c r="BO127" i="45"/>
  <c r="BP127" i="45"/>
  <c r="BQ127" i="45"/>
  <c r="BR127" i="45"/>
  <c r="BS127" i="45"/>
  <c r="BT127" i="45"/>
  <c r="BU127" i="45"/>
  <c r="BV127" i="45"/>
  <c r="BW127" i="45"/>
  <c r="BX127" i="45"/>
  <c r="BY127" i="45"/>
  <c r="BZ127" i="45"/>
  <c r="CA127" i="45"/>
  <c r="CB127" i="45"/>
  <c r="CC127" i="45"/>
  <c r="CD127" i="45"/>
  <c r="CE127" i="45"/>
  <c r="CF127" i="45"/>
  <c r="CH127" i="45"/>
  <c r="CI127" i="45"/>
  <c r="CJ127" i="45"/>
  <c r="CK127" i="45"/>
  <c r="I128" i="45"/>
  <c r="J128" i="45"/>
  <c r="K128" i="45"/>
  <c r="L128" i="45"/>
  <c r="M128" i="45"/>
  <c r="N128" i="45"/>
  <c r="O128" i="45"/>
  <c r="P128" i="45"/>
  <c r="Q128" i="45"/>
  <c r="R128" i="45"/>
  <c r="S128" i="45"/>
  <c r="U128" i="45"/>
  <c r="AO128" i="45"/>
  <c r="AP128" i="45"/>
  <c r="AQ128" i="45"/>
  <c r="AR128" i="45"/>
  <c r="AS128" i="45"/>
  <c r="AT128" i="45"/>
  <c r="AU128" i="45"/>
  <c r="AV128" i="45"/>
  <c r="AW128" i="45"/>
  <c r="AX128" i="45"/>
  <c r="AY128" i="45"/>
  <c r="AZ128" i="45"/>
  <c r="BA128" i="45"/>
  <c r="BB128" i="45"/>
  <c r="BC128" i="45"/>
  <c r="BD128" i="45"/>
  <c r="BE128" i="45"/>
  <c r="BF128" i="45"/>
  <c r="BG128" i="45"/>
  <c r="BH128" i="45"/>
  <c r="BI128" i="45"/>
  <c r="BJ128" i="45"/>
  <c r="BK128" i="45"/>
  <c r="BL128" i="45"/>
  <c r="BM128" i="45"/>
  <c r="BN128" i="45"/>
  <c r="BO128" i="45"/>
  <c r="BP128" i="45"/>
  <c r="BQ128" i="45"/>
  <c r="BR128" i="45"/>
  <c r="BS128" i="45"/>
  <c r="BT128" i="45"/>
  <c r="BV128" i="45"/>
  <c r="BW128" i="45"/>
  <c r="BX128" i="45"/>
  <c r="BY128" i="45"/>
  <c r="BZ128" i="45"/>
  <c r="CA128" i="45"/>
  <c r="CB128" i="45"/>
  <c r="CC128" i="45"/>
  <c r="CD128" i="45"/>
  <c r="CE128" i="45"/>
  <c r="CF128" i="45"/>
  <c r="CH128" i="45"/>
  <c r="CI128" i="45"/>
  <c r="CJ128" i="45"/>
  <c r="CK128" i="45"/>
  <c r="I129" i="45"/>
  <c r="J129" i="45"/>
  <c r="K129" i="45"/>
  <c r="L129" i="45"/>
  <c r="M129" i="45"/>
  <c r="N129" i="45"/>
  <c r="O129" i="45"/>
  <c r="P129" i="45"/>
  <c r="Q129" i="45"/>
  <c r="R129" i="45"/>
  <c r="S129" i="45"/>
  <c r="U129" i="45"/>
  <c r="AO129" i="45"/>
  <c r="AP129" i="45"/>
  <c r="AQ129" i="45"/>
  <c r="AR129" i="45"/>
  <c r="AS129" i="45"/>
  <c r="AT129" i="45"/>
  <c r="AU129" i="45"/>
  <c r="AV129" i="45"/>
  <c r="AW129" i="45"/>
  <c r="AX129" i="45"/>
  <c r="AY129" i="45"/>
  <c r="AZ129" i="45"/>
  <c r="BA129" i="45"/>
  <c r="BB129" i="45"/>
  <c r="BC129" i="45"/>
  <c r="BD129" i="45"/>
  <c r="BE129" i="45"/>
  <c r="BF129" i="45"/>
  <c r="BG129" i="45"/>
  <c r="BH129" i="45"/>
  <c r="BI129" i="45"/>
  <c r="BJ129" i="45"/>
  <c r="BK129" i="45"/>
  <c r="BL129" i="45"/>
  <c r="BM129" i="45"/>
  <c r="BN129" i="45"/>
  <c r="BO129" i="45"/>
  <c r="BP129" i="45"/>
  <c r="BQ129" i="45"/>
  <c r="BR129" i="45"/>
  <c r="BS129" i="45"/>
  <c r="BT129" i="45"/>
  <c r="BU129" i="45"/>
  <c r="BV129" i="45"/>
  <c r="BW129" i="45"/>
  <c r="BX129" i="45"/>
  <c r="BY129" i="45"/>
  <c r="BZ129" i="45"/>
  <c r="CA129" i="45"/>
  <c r="CB129" i="45"/>
  <c r="CC129" i="45"/>
  <c r="CD129" i="45"/>
  <c r="CE129" i="45"/>
  <c r="CF129" i="45"/>
  <c r="CI129" i="45"/>
  <c r="CJ129" i="45"/>
  <c r="CK129" i="45"/>
  <c r="I130" i="45"/>
  <c r="J130" i="45"/>
  <c r="K130" i="45"/>
  <c r="L130" i="45"/>
  <c r="M130" i="45"/>
  <c r="N130" i="45"/>
  <c r="O130" i="45"/>
  <c r="P130" i="45"/>
  <c r="Q130" i="45"/>
  <c r="R130" i="45"/>
  <c r="S130" i="45"/>
  <c r="U130" i="45"/>
  <c r="AO130" i="45"/>
  <c r="AP130" i="45"/>
  <c r="AQ130" i="45"/>
  <c r="AR130" i="45"/>
  <c r="AS130" i="45"/>
  <c r="AT130" i="45"/>
  <c r="AU130" i="45"/>
  <c r="AV130" i="45"/>
  <c r="AW130" i="45"/>
  <c r="AX130" i="45"/>
  <c r="AY130" i="45"/>
  <c r="AZ130" i="45"/>
  <c r="BA130" i="45"/>
  <c r="BB130" i="45"/>
  <c r="BC130" i="45"/>
  <c r="BD130" i="45"/>
  <c r="BF130" i="45"/>
  <c r="BG130" i="45"/>
  <c r="BH130" i="45"/>
  <c r="BI130" i="45"/>
  <c r="BJ130" i="45"/>
  <c r="BK130" i="45"/>
  <c r="BL130" i="45"/>
  <c r="BM130" i="45"/>
  <c r="BN130" i="45"/>
  <c r="BO130" i="45"/>
  <c r="BP130" i="45"/>
  <c r="BQ130" i="45"/>
  <c r="BR130" i="45"/>
  <c r="BS130" i="45"/>
  <c r="BT130" i="45"/>
  <c r="BU130" i="45"/>
  <c r="BV130" i="45"/>
  <c r="BW130" i="45"/>
  <c r="BX130" i="45"/>
  <c r="BY130" i="45"/>
  <c r="BZ130" i="45"/>
  <c r="CA130" i="45"/>
  <c r="CB130" i="45"/>
  <c r="CC130" i="45"/>
  <c r="CD130" i="45"/>
  <c r="CE130" i="45"/>
  <c r="CF130" i="45"/>
  <c r="CH130" i="45"/>
  <c r="CI130" i="45"/>
  <c r="CJ130" i="45"/>
  <c r="CK130" i="45"/>
  <c r="I131" i="45"/>
  <c r="L131" i="45"/>
  <c r="M131" i="45"/>
  <c r="N131" i="45"/>
  <c r="O131" i="45"/>
  <c r="P131" i="45"/>
  <c r="Q131" i="45"/>
  <c r="R131" i="45"/>
  <c r="S131" i="45"/>
  <c r="AO131" i="45"/>
  <c r="AP131" i="45"/>
  <c r="AQ131" i="45"/>
  <c r="AR131" i="45"/>
  <c r="AS131" i="45"/>
  <c r="AT131" i="45"/>
  <c r="AU131" i="45"/>
  <c r="AV131" i="45"/>
  <c r="AW131" i="45"/>
  <c r="AX131" i="45"/>
  <c r="AY131" i="45"/>
  <c r="AZ131" i="45"/>
  <c r="BA131" i="45"/>
  <c r="BB131" i="45"/>
  <c r="BC131" i="45"/>
  <c r="BD131" i="45"/>
  <c r="BE131" i="45"/>
  <c r="BF131" i="45"/>
  <c r="BG131" i="45"/>
  <c r="BH131" i="45"/>
  <c r="BI131" i="45"/>
  <c r="BJ131" i="45"/>
  <c r="BK131" i="45"/>
  <c r="BL131" i="45"/>
  <c r="BM131" i="45"/>
  <c r="BN131" i="45"/>
  <c r="BO131" i="45"/>
  <c r="BP131" i="45"/>
  <c r="BQ131" i="45"/>
  <c r="BR131" i="45"/>
  <c r="BS131" i="45"/>
  <c r="BT131" i="45"/>
  <c r="BU131" i="45"/>
  <c r="BV131" i="45"/>
  <c r="BW131" i="45"/>
  <c r="BX131" i="45"/>
  <c r="BY131" i="45"/>
  <c r="BZ131" i="45"/>
  <c r="CA131" i="45"/>
  <c r="CB131" i="45"/>
  <c r="CC131" i="45"/>
  <c r="CD131" i="45"/>
  <c r="CE131" i="45"/>
  <c r="CF131" i="45"/>
  <c r="CH131" i="45"/>
  <c r="CI131" i="45"/>
  <c r="CJ131" i="45"/>
  <c r="CK131" i="45"/>
  <c r="I132" i="45"/>
  <c r="J132" i="45"/>
  <c r="K132" i="45"/>
  <c r="L132" i="45"/>
  <c r="M132" i="45"/>
  <c r="N132" i="45"/>
  <c r="O132" i="45"/>
  <c r="P132" i="45"/>
  <c r="Q132" i="45"/>
  <c r="R132" i="45"/>
  <c r="S132" i="45"/>
  <c r="U132" i="45"/>
  <c r="AP132" i="45"/>
  <c r="AQ132" i="45"/>
  <c r="AR132" i="45"/>
  <c r="AS132" i="45"/>
  <c r="AT132" i="45"/>
  <c r="AU132" i="45"/>
  <c r="AV132" i="45"/>
  <c r="AW132" i="45"/>
  <c r="AX132" i="45"/>
  <c r="AY132" i="45"/>
  <c r="AZ132" i="45"/>
  <c r="BA132" i="45"/>
  <c r="BB132" i="45"/>
  <c r="BC132" i="45"/>
  <c r="BD132" i="45"/>
  <c r="BE132" i="45"/>
  <c r="BF132" i="45"/>
  <c r="BG132" i="45"/>
  <c r="BH132" i="45"/>
  <c r="BI132" i="45"/>
  <c r="BJ132" i="45"/>
  <c r="BK132" i="45"/>
  <c r="BL132" i="45"/>
  <c r="BM132" i="45"/>
  <c r="BN132" i="45"/>
  <c r="BO132" i="45"/>
  <c r="BP132" i="45"/>
  <c r="BQ132" i="45"/>
  <c r="BR132" i="45"/>
  <c r="BS132" i="45"/>
  <c r="BT132" i="45"/>
  <c r="BU132" i="45"/>
  <c r="BV132" i="45"/>
  <c r="BW132" i="45"/>
  <c r="BX132" i="45"/>
  <c r="BY132" i="45"/>
  <c r="BZ132" i="45"/>
  <c r="CA132" i="45"/>
  <c r="CB132" i="45"/>
  <c r="CC132" i="45"/>
  <c r="CD132" i="45"/>
  <c r="CE132" i="45"/>
  <c r="CF132" i="45"/>
  <c r="CH132" i="45"/>
  <c r="CI132" i="45"/>
  <c r="CJ132" i="45"/>
  <c r="CK132" i="45"/>
  <c r="AH133" i="45"/>
  <c r="AL133" i="45"/>
  <c r="I134" i="45"/>
  <c r="AH134" i="45"/>
  <c r="AQ135" i="45"/>
  <c r="AQ134" i="45"/>
  <c r="AU135" i="45"/>
  <c r="AU134" i="45"/>
  <c r="AW134" i="45"/>
  <c r="BY134" i="45"/>
  <c r="CC134" i="45"/>
  <c r="CH134" i="45"/>
  <c r="U135" i="45"/>
  <c r="AH135" i="45"/>
  <c r="AP135" i="45"/>
  <c r="AP134" i="45"/>
  <c r="AR135" i="45"/>
  <c r="AR134" i="45"/>
  <c r="AS135" i="45"/>
  <c r="AS134" i="45"/>
  <c r="AT135" i="45"/>
  <c r="AT134" i="45"/>
  <c r="AV135" i="45"/>
  <c r="AV134" i="45"/>
  <c r="AX135" i="45"/>
  <c r="AX134" i="45"/>
  <c r="AY135" i="45"/>
  <c r="AY134" i="45"/>
  <c r="AZ135" i="45"/>
  <c r="AZ134" i="45"/>
  <c r="BA135" i="45"/>
  <c r="BA134" i="45"/>
  <c r="BB135" i="45"/>
  <c r="BB134" i="45"/>
  <c r="BC135" i="45"/>
  <c r="BC134" i="45"/>
  <c r="BD135" i="45"/>
  <c r="BD134" i="45"/>
  <c r="BE135" i="45"/>
  <c r="BE134" i="45"/>
  <c r="BF135" i="45"/>
  <c r="BF134" i="45"/>
  <c r="BG135" i="45"/>
  <c r="BG134" i="45"/>
  <c r="BH135" i="45"/>
  <c r="BH134" i="45"/>
  <c r="BJ135" i="45"/>
  <c r="BJ134" i="45"/>
  <c r="BK135" i="45"/>
  <c r="BK134" i="45"/>
  <c r="BL135" i="45"/>
  <c r="BL134" i="45"/>
  <c r="BM135" i="45"/>
  <c r="BM134" i="45"/>
  <c r="BN135" i="45"/>
  <c r="BN134" i="45"/>
  <c r="BO135" i="45"/>
  <c r="BO134" i="45"/>
  <c r="BP135" i="45"/>
  <c r="BP134" i="45"/>
  <c r="BQ135" i="45"/>
  <c r="BQ134" i="45"/>
  <c r="BR135" i="45"/>
  <c r="BR134" i="45"/>
  <c r="BS135" i="45"/>
  <c r="BS134" i="45"/>
  <c r="BT135" i="45"/>
  <c r="BT134" i="45"/>
  <c r="BU135" i="45"/>
  <c r="BU134" i="45"/>
  <c r="BV135" i="45"/>
  <c r="BV134" i="45"/>
  <c r="BW135" i="45"/>
  <c r="BW134" i="45"/>
  <c r="BX135" i="45"/>
  <c r="BX134" i="45"/>
  <c r="BZ135" i="45"/>
  <c r="BZ134" i="45"/>
  <c r="CA135" i="45"/>
  <c r="CA134" i="45"/>
  <c r="CB135" i="45"/>
  <c r="CB134" i="45"/>
  <c r="CD135" i="45"/>
  <c r="CD134" i="45"/>
  <c r="CE135" i="45"/>
  <c r="CE134" i="45"/>
  <c r="CF135" i="45"/>
  <c r="CF134" i="45"/>
  <c r="CI135" i="45"/>
  <c r="CI134" i="45"/>
  <c r="CJ135" i="45"/>
  <c r="CJ134" i="45"/>
  <c r="CK135" i="45"/>
  <c r="CK134" i="45"/>
  <c r="X136" i="45"/>
  <c r="AA136" i="45"/>
  <c r="AB136" i="45"/>
  <c r="AE136" i="45"/>
  <c r="AF136" i="45"/>
  <c r="AG136" i="45"/>
  <c r="AH136" i="45"/>
  <c r="AK136" i="45"/>
  <c r="AL136" i="45"/>
  <c r="AM136" i="45"/>
  <c r="BI136" i="45"/>
  <c r="BY136" i="45"/>
  <c r="CC136" i="45"/>
  <c r="AB137" i="45"/>
  <c r="AE137" i="45"/>
  <c r="AF137" i="45"/>
  <c r="AG137" i="45"/>
  <c r="AH137" i="45"/>
  <c r="AK137" i="45"/>
  <c r="AL137" i="45"/>
  <c r="AM137" i="45"/>
  <c r="AO137" i="45"/>
  <c r="T122" i="45"/>
  <c r="Z122" i="45"/>
  <c r="X138" i="45"/>
  <c r="AA138" i="45"/>
  <c r="AB138" i="45"/>
  <c r="AE138" i="45"/>
  <c r="AF138" i="45"/>
  <c r="AG138" i="45"/>
  <c r="AH138" i="45"/>
  <c r="AK138" i="45"/>
  <c r="AL138" i="45"/>
  <c r="AM138" i="45"/>
  <c r="BY138" i="45"/>
  <c r="CC138" i="45"/>
  <c r="AC139" i="45"/>
  <c r="AI139" i="45"/>
  <c r="AE139" i="45"/>
  <c r="AF139" i="45"/>
  <c r="AL139" i="45"/>
  <c r="AK139" i="45"/>
  <c r="AG139" i="45"/>
  <c r="AM139" i="45"/>
  <c r="AJ139" i="45"/>
  <c r="AH139" i="45"/>
  <c r="AC140" i="45"/>
  <c r="AE140" i="45"/>
  <c r="AK140" i="45"/>
  <c r="AF140" i="45"/>
  <c r="AG140" i="45"/>
  <c r="AM140" i="45"/>
  <c r="AH140" i="45"/>
  <c r="AI140" i="45"/>
  <c r="AL140" i="45"/>
  <c r="AC141" i="45"/>
  <c r="AE141" i="45"/>
  <c r="AK141" i="45"/>
  <c r="AE157" i="45"/>
  <c r="AK157" i="45"/>
  <c r="AE173" i="45"/>
  <c r="AK173" i="45"/>
  <c r="AE189" i="45"/>
  <c r="AK189" i="45"/>
  <c r="AK125" i="45"/>
  <c r="AF141" i="45"/>
  <c r="AG141" i="45"/>
  <c r="AM141" i="45"/>
  <c r="AG157" i="45"/>
  <c r="AM157" i="45"/>
  <c r="AG173" i="45"/>
  <c r="AM173" i="45"/>
  <c r="AG189" i="45"/>
  <c r="AM189" i="45"/>
  <c r="AM125" i="45"/>
  <c r="AH141" i="45"/>
  <c r="AI141" i="45"/>
  <c r="AL141" i="45"/>
  <c r="CO141" i="45"/>
  <c r="AC142" i="45"/>
  <c r="AE142" i="45"/>
  <c r="AK142" i="45"/>
  <c r="AE158" i="45"/>
  <c r="AK158" i="45"/>
  <c r="AE174" i="45"/>
  <c r="AK174" i="45"/>
  <c r="AE190" i="45"/>
  <c r="AK190" i="45"/>
  <c r="AK126" i="45"/>
  <c r="AF142" i="45"/>
  <c r="AG142" i="45"/>
  <c r="AM142" i="45"/>
  <c r="AG158" i="45"/>
  <c r="AM158" i="45"/>
  <c r="AG174" i="45"/>
  <c r="AM174" i="45"/>
  <c r="AG190" i="45"/>
  <c r="AM190" i="45"/>
  <c r="AM126" i="45"/>
  <c r="AH142" i="45"/>
  <c r="AI142" i="45"/>
  <c r="AL142" i="45"/>
  <c r="AC143" i="45"/>
  <c r="AI143" i="45"/>
  <c r="AC159" i="45"/>
  <c r="AI159" i="45"/>
  <c r="AC175" i="45"/>
  <c r="AI175" i="45"/>
  <c r="AC191" i="45"/>
  <c r="AI191" i="45"/>
  <c r="AI127" i="45"/>
  <c r="J143" i="45"/>
  <c r="AE143" i="45"/>
  <c r="AF143" i="45"/>
  <c r="AL143" i="45"/>
  <c r="AK143" i="45"/>
  <c r="AG143" i="45"/>
  <c r="AM143" i="45"/>
  <c r="AJ143" i="45"/>
  <c r="AH143" i="45"/>
  <c r="AC144" i="45"/>
  <c r="AE144" i="45"/>
  <c r="AF144" i="45"/>
  <c r="AG144" i="45"/>
  <c r="AD144" i="45"/>
  <c r="AH144" i="45"/>
  <c r="AK144" i="45"/>
  <c r="AL144" i="45"/>
  <c r="AM144" i="45"/>
  <c r="AJ144" i="45"/>
  <c r="AE145" i="45"/>
  <c r="AF145" i="45"/>
  <c r="AG145" i="45"/>
  <c r="AD145" i="45"/>
  <c r="AH145" i="45"/>
  <c r="AK145" i="45"/>
  <c r="AL145" i="45"/>
  <c r="AM145" i="45"/>
  <c r="AJ145" i="45"/>
  <c r="CH145" i="45"/>
  <c r="AC146" i="45"/>
  <c r="AI146" i="45"/>
  <c r="AE146" i="45"/>
  <c r="AF146" i="45"/>
  <c r="AL146" i="45"/>
  <c r="AG146" i="45"/>
  <c r="AH146" i="45"/>
  <c r="AK146" i="45"/>
  <c r="AM146" i="45"/>
  <c r="J147" i="45"/>
  <c r="K147" i="45"/>
  <c r="AC147" i="45"/>
  <c r="AI147" i="45"/>
  <c r="AE147" i="45"/>
  <c r="AF147" i="45"/>
  <c r="AG147" i="45"/>
  <c r="AH147" i="45"/>
  <c r="AK147" i="45"/>
  <c r="AM147" i="45"/>
  <c r="AE148" i="45"/>
  <c r="AK148" i="45"/>
  <c r="AF148" i="45"/>
  <c r="AG148" i="45"/>
  <c r="AM148" i="45"/>
  <c r="AH148" i="45"/>
  <c r="AL148" i="45"/>
  <c r="AO148" i="45"/>
  <c r="AO132" i="45"/>
  <c r="AC149" i="45"/>
  <c r="AD149" i="45"/>
  <c r="AH149" i="45"/>
  <c r="AL149" i="45"/>
  <c r="AH150" i="45"/>
  <c r="I150" i="45"/>
  <c r="K151" i="45"/>
  <c r="K150" i="45"/>
  <c r="U151" i="45"/>
  <c r="AH151" i="45"/>
  <c r="AP151" i="45"/>
  <c r="AP150" i="45"/>
  <c r="AQ151" i="45"/>
  <c r="AQ150" i="45"/>
  <c r="AR151" i="45"/>
  <c r="AR150" i="45"/>
  <c r="AS151" i="45"/>
  <c r="AS150" i="45"/>
  <c r="AT151" i="45"/>
  <c r="AT150" i="45"/>
  <c r="AU151" i="45"/>
  <c r="AU150" i="45"/>
  <c r="AV151" i="45"/>
  <c r="AV150" i="45"/>
  <c r="AX151" i="45"/>
  <c r="AX150" i="45"/>
  <c r="AY151" i="45"/>
  <c r="AY150" i="45"/>
  <c r="AZ151" i="45"/>
  <c r="AZ150" i="45"/>
  <c r="BB151" i="45"/>
  <c r="BB150" i="45"/>
  <c r="BC151" i="45"/>
  <c r="BC150" i="45"/>
  <c r="BD151" i="45"/>
  <c r="BD150" i="45"/>
  <c r="BF151" i="45"/>
  <c r="BF150" i="45"/>
  <c r="BG151" i="45"/>
  <c r="BG150" i="45"/>
  <c r="BH151" i="45"/>
  <c r="BH150" i="45"/>
  <c r="BJ151" i="45"/>
  <c r="BJ150" i="45"/>
  <c r="BK151" i="45"/>
  <c r="BK150" i="45"/>
  <c r="BL151" i="45"/>
  <c r="BL150" i="45"/>
  <c r="BN151" i="45"/>
  <c r="BN150" i="45"/>
  <c r="BO151" i="45"/>
  <c r="BO150" i="45"/>
  <c r="BP151" i="45"/>
  <c r="BP150" i="45"/>
  <c r="BR151" i="45"/>
  <c r="BR150" i="45"/>
  <c r="BS151" i="45"/>
  <c r="BS150" i="45"/>
  <c r="BT151" i="45"/>
  <c r="BT150" i="45"/>
  <c r="BU151" i="45"/>
  <c r="BU150" i="45"/>
  <c r="BV151" i="45"/>
  <c r="BV150" i="45"/>
  <c r="BW151" i="45"/>
  <c r="BW150" i="45"/>
  <c r="BX151" i="45"/>
  <c r="BX150" i="45"/>
  <c r="BZ151" i="45"/>
  <c r="BZ150" i="45"/>
  <c r="CA151" i="45"/>
  <c r="CA150" i="45"/>
  <c r="CB151" i="45"/>
  <c r="CB150" i="45"/>
  <c r="CD151" i="45"/>
  <c r="CD150" i="45"/>
  <c r="CE151" i="45"/>
  <c r="CE150" i="45"/>
  <c r="CF151" i="45"/>
  <c r="CF150" i="45"/>
  <c r="CZ152" i="45"/>
  <c r="T151" i="45"/>
  <c r="W152" i="45"/>
  <c r="X152" i="45"/>
  <c r="AA152" i="45"/>
  <c r="AB152" i="45"/>
  <c r="AE152" i="45"/>
  <c r="AF152" i="45"/>
  <c r="AG152" i="45"/>
  <c r="AH152" i="45"/>
  <c r="AK152" i="45"/>
  <c r="AL152" i="45"/>
  <c r="AM152" i="45"/>
  <c r="AJ152" i="45"/>
  <c r="BI152" i="45"/>
  <c r="BY152" i="45"/>
  <c r="CC152" i="45"/>
  <c r="Y152" i="45"/>
  <c r="DD152" i="45"/>
  <c r="AB153" i="45"/>
  <c r="AE153" i="45"/>
  <c r="AF153" i="45"/>
  <c r="AG153" i="45"/>
  <c r="AD153" i="45"/>
  <c r="AH153" i="45"/>
  <c r="AK153" i="45"/>
  <c r="AL153" i="45"/>
  <c r="AM153" i="45"/>
  <c r="AJ153" i="45"/>
  <c r="AO153" i="45"/>
  <c r="AO151" i="45"/>
  <c r="AO150" i="45"/>
  <c r="W154" i="45"/>
  <c r="X154" i="45"/>
  <c r="AA154" i="45"/>
  <c r="AB154" i="45"/>
  <c r="AE154" i="45"/>
  <c r="AF154" i="45"/>
  <c r="AG154" i="45"/>
  <c r="AH154" i="45"/>
  <c r="AK154" i="45"/>
  <c r="AL154" i="45"/>
  <c r="AM154" i="45"/>
  <c r="BY154" i="45"/>
  <c r="CC154" i="45"/>
  <c r="CC151" i="45"/>
  <c r="CZ154" i="45"/>
  <c r="DD154" i="45"/>
  <c r="CN123" i="45"/>
  <c r="AC155" i="45"/>
  <c r="AE155" i="45"/>
  <c r="AF155" i="45"/>
  <c r="AG155" i="45"/>
  <c r="AD155" i="45"/>
  <c r="AH155" i="45"/>
  <c r="AK155" i="45"/>
  <c r="AL155" i="45"/>
  <c r="AM155" i="45"/>
  <c r="AJ155" i="45"/>
  <c r="AC156" i="45"/>
  <c r="AI156" i="45"/>
  <c r="AA156" i="45"/>
  <c r="AE156" i="45"/>
  <c r="AF156" i="45"/>
  <c r="AL156" i="45"/>
  <c r="AG156" i="45"/>
  <c r="AH156" i="45"/>
  <c r="AK156" i="45"/>
  <c r="AM156" i="45"/>
  <c r="Y157" i="45"/>
  <c r="AC157" i="45"/>
  <c r="AI157" i="45"/>
  <c r="AF157" i="45"/>
  <c r="AL157" i="45"/>
  <c r="AH157" i="45"/>
  <c r="CO157" i="45"/>
  <c r="W158" i="45"/>
  <c r="AA158" i="45"/>
  <c r="AC158" i="45"/>
  <c r="AI158" i="45"/>
  <c r="AF158" i="45"/>
  <c r="AD158" i="45"/>
  <c r="AH158" i="45"/>
  <c r="J159" i="45"/>
  <c r="J163" i="45"/>
  <c r="J151" i="45"/>
  <c r="AE159" i="45"/>
  <c r="AK159" i="45"/>
  <c r="AF159" i="45"/>
  <c r="AG159" i="45"/>
  <c r="AM159" i="45"/>
  <c r="AH159" i="45"/>
  <c r="AL159" i="45"/>
  <c r="AC160" i="45"/>
  <c r="AI160" i="45"/>
  <c r="Y160" i="45"/>
  <c r="AE160" i="45"/>
  <c r="AF160" i="45"/>
  <c r="AL160" i="45"/>
  <c r="AG160" i="45"/>
  <c r="AH160" i="45"/>
  <c r="AK160" i="45"/>
  <c r="AM160" i="45"/>
  <c r="CH161" i="45"/>
  <c r="AC161" i="45"/>
  <c r="AI161" i="45"/>
  <c r="AE161" i="45"/>
  <c r="AF161" i="45"/>
  <c r="AL161" i="45"/>
  <c r="AG161" i="45"/>
  <c r="AH161" i="45"/>
  <c r="AK161" i="45"/>
  <c r="AM161" i="45"/>
  <c r="Y162" i="45"/>
  <c r="AC162" i="45"/>
  <c r="AE162" i="45"/>
  <c r="AK162" i="45"/>
  <c r="AF162" i="45"/>
  <c r="AG162" i="45"/>
  <c r="AM162" i="45"/>
  <c r="AH162" i="45"/>
  <c r="AI162" i="45"/>
  <c r="AL162" i="45"/>
  <c r="AC163" i="45"/>
  <c r="AI163" i="45"/>
  <c r="AE163" i="45"/>
  <c r="AF163" i="45"/>
  <c r="AG163" i="45"/>
  <c r="AD163" i="45"/>
  <c r="AH163" i="45"/>
  <c r="AK163" i="45"/>
  <c r="AM163" i="45"/>
  <c r="AC164" i="45"/>
  <c r="AE164" i="45"/>
  <c r="AF164" i="45"/>
  <c r="AG164" i="45"/>
  <c r="AD164" i="45"/>
  <c r="AH164" i="45"/>
  <c r="AK164" i="45"/>
  <c r="AL164" i="45"/>
  <c r="AM164" i="45"/>
  <c r="AJ164" i="45"/>
  <c r="AC165" i="45"/>
  <c r="AD165" i="45"/>
  <c r="AH165" i="45"/>
  <c r="AL165" i="45"/>
  <c r="AH166" i="45"/>
  <c r="I166" i="45"/>
  <c r="T167" i="45"/>
  <c r="AH167" i="45"/>
  <c r="AP167" i="45"/>
  <c r="AP166" i="45"/>
  <c r="AQ167" i="45"/>
  <c r="AQ166" i="45"/>
  <c r="AR167" i="45"/>
  <c r="AR166" i="45"/>
  <c r="AS167" i="45"/>
  <c r="AS166" i="45"/>
  <c r="AT167" i="45"/>
  <c r="AT166" i="45"/>
  <c r="AU167" i="45"/>
  <c r="AU166" i="45"/>
  <c r="AV167" i="45"/>
  <c r="AV166" i="45"/>
  <c r="AW167" i="45"/>
  <c r="AW166" i="45"/>
  <c r="AX167" i="45"/>
  <c r="AX166" i="45"/>
  <c r="AY167" i="45"/>
  <c r="AY166" i="45"/>
  <c r="AZ167" i="45"/>
  <c r="AZ166" i="45"/>
  <c r="BB167" i="45"/>
  <c r="BB166" i="45"/>
  <c r="BC167" i="45"/>
  <c r="BC166" i="45"/>
  <c r="BD167" i="45"/>
  <c r="BD166" i="45"/>
  <c r="BF167" i="45"/>
  <c r="BF166" i="45"/>
  <c r="BG167" i="45"/>
  <c r="BG166" i="45"/>
  <c r="BH167" i="45"/>
  <c r="BH166" i="45"/>
  <c r="BJ167" i="45"/>
  <c r="BJ166" i="45"/>
  <c r="BK167" i="45"/>
  <c r="BK166" i="45"/>
  <c r="BL167" i="45"/>
  <c r="BL166" i="45"/>
  <c r="BN167" i="45"/>
  <c r="BN166" i="45"/>
  <c r="BO167" i="45"/>
  <c r="BO166" i="45"/>
  <c r="BP167" i="45"/>
  <c r="BP166" i="45"/>
  <c r="BR167" i="45"/>
  <c r="BR166" i="45"/>
  <c r="BS167" i="45"/>
  <c r="BS166" i="45"/>
  <c r="BT167" i="45"/>
  <c r="BT166" i="45"/>
  <c r="BV167" i="45"/>
  <c r="BV166" i="45"/>
  <c r="BW167" i="45"/>
  <c r="BW166" i="45"/>
  <c r="BX167" i="45"/>
  <c r="BX166" i="45"/>
  <c r="BZ167" i="45"/>
  <c r="BZ166" i="45"/>
  <c r="CA167" i="45"/>
  <c r="CA166" i="45"/>
  <c r="CB167" i="45"/>
  <c r="CB166" i="45"/>
  <c r="CD167" i="45"/>
  <c r="CD166" i="45"/>
  <c r="CE167" i="45"/>
  <c r="CE166" i="45"/>
  <c r="CF167" i="45"/>
  <c r="CF166" i="45"/>
  <c r="W168" i="45"/>
  <c r="X168" i="45"/>
  <c r="AA168" i="45"/>
  <c r="AB168" i="45"/>
  <c r="AE168" i="45"/>
  <c r="AF168" i="45"/>
  <c r="AG168" i="45"/>
  <c r="AH168" i="45"/>
  <c r="AK168" i="45"/>
  <c r="AL168" i="45"/>
  <c r="AM168" i="45"/>
  <c r="AJ168" i="45"/>
  <c r="BI168" i="45"/>
  <c r="BI167" i="45"/>
  <c r="BI166" i="45"/>
  <c r="BY168" i="45"/>
  <c r="CC168" i="45"/>
  <c r="Y168" i="45"/>
  <c r="CZ168" i="45"/>
  <c r="DD168" i="45"/>
  <c r="AB169" i="45"/>
  <c r="AE169" i="45"/>
  <c r="AF169" i="45"/>
  <c r="AG169" i="45"/>
  <c r="AD169" i="45"/>
  <c r="AH169" i="45"/>
  <c r="AK169" i="45"/>
  <c r="AL169" i="45"/>
  <c r="AM169" i="45"/>
  <c r="AJ169" i="45"/>
  <c r="AO169" i="45"/>
  <c r="AO167" i="45"/>
  <c r="AO166" i="45"/>
  <c r="BU169" i="45"/>
  <c r="BU121" i="45"/>
  <c r="W170" i="45"/>
  <c r="X170" i="45"/>
  <c r="AA170" i="45"/>
  <c r="AB170" i="45"/>
  <c r="AE170" i="45"/>
  <c r="AF170" i="45"/>
  <c r="AG170" i="45"/>
  <c r="AH170" i="45"/>
  <c r="AK170" i="45"/>
  <c r="AL170" i="45"/>
  <c r="AM170" i="45"/>
  <c r="BY170" i="45"/>
  <c r="CC170" i="45"/>
  <c r="AC170" i="45"/>
  <c r="Y170" i="45"/>
  <c r="CZ170" i="45"/>
  <c r="AC171" i="45"/>
  <c r="AI171" i="45"/>
  <c r="AE171" i="45"/>
  <c r="AF171" i="45"/>
  <c r="AG171" i="45"/>
  <c r="AD171" i="45"/>
  <c r="AH171" i="45"/>
  <c r="AK171" i="45"/>
  <c r="AM171" i="45"/>
  <c r="AC172" i="45"/>
  <c r="AE172" i="45"/>
  <c r="AK172" i="45"/>
  <c r="AF172" i="45"/>
  <c r="AG172" i="45"/>
  <c r="AM172" i="45"/>
  <c r="AH172" i="45"/>
  <c r="AI172" i="45"/>
  <c r="AL172" i="45"/>
  <c r="AC173" i="45"/>
  <c r="AI173" i="45"/>
  <c r="AF173" i="45"/>
  <c r="AD173" i="45"/>
  <c r="AH173" i="45"/>
  <c r="CO173" i="45"/>
  <c r="AC174" i="45"/>
  <c r="AI174" i="45"/>
  <c r="AF174" i="45"/>
  <c r="AD174" i="45"/>
  <c r="AH174" i="45"/>
  <c r="J175" i="45"/>
  <c r="AE175" i="45"/>
  <c r="AK175" i="45"/>
  <c r="AF175" i="45"/>
  <c r="AG175" i="45"/>
  <c r="AM175" i="45"/>
  <c r="AH175" i="45"/>
  <c r="AL175" i="45"/>
  <c r="AE176" i="45"/>
  <c r="AK176" i="45"/>
  <c r="AF176" i="45"/>
  <c r="AG176" i="45"/>
  <c r="AM176" i="45"/>
  <c r="AH176" i="45"/>
  <c r="AL176" i="45"/>
  <c r="BU176" i="45"/>
  <c r="BU128" i="45"/>
  <c r="AE177" i="45"/>
  <c r="AK177" i="45"/>
  <c r="AF177" i="45"/>
  <c r="AG177" i="45"/>
  <c r="AM177" i="45"/>
  <c r="AH177" i="45"/>
  <c r="AL177" i="45"/>
  <c r="CH177" i="45"/>
  <c r="AC177" i="45"/>
  <c r="AI177" i="45"/>
  <c r="AE178" i="45"/>
  <c r="AK178" i="45"/>
  <c r="AF178" i="45"/>
  <c r="AG178" i="45"/>
  <c r="AM178" i="45"/>
  <c r="AH178" i="45"/>
  <c r="AL178" i="45"/>
  <c r="BE178" i="45"/>
  <c r="BE130" i="45"/>
  <c r="J179" i="45"/>
  <c r="K179" i="45"/>
  <c r="K167" i="45"/>
  <c r="K166" i="45"/>
  <c r="U131" i="45"/>
  <c r="AC179" i="45"/>
  <c r="AE179" i="45"/>
  <c r="AK179" i="45"/>
  <c r="AF179" i="45"/>
  <c r="AG179" i="45"/>
  <c r="AM179" i="45"/>
  <c r="AH179" i="45"/>
  <c r="AL179" i="45"/>
  <c r="AC180" i="45"/>
  <c r="AE180" i="45"/>
  <c r="AK180" i="45"/>
  <c r="AF180" i="45"/>
  <c r="AG180" i="45"/>
  <c r="AM180" i="45"/>
  <c r="AH180" i="45"/>
  <c r="AI180" i="45"/>
  <c r="AL180" i="45"/>
  <c r="AC181" i="45"/>
  <c r="AD181" i="45"/>
  <c r="AH181" i="45"/>
  <c r="AL181" i="45"/>
  <c r="AH182" i="45"/>
  <c r="AP183" i="45"/>
  <c r="AP182" i="45"/>
  <c r="AT183" i="45"/>
  <c r="AT182" i="45"/>
  <c r="AY183" i="45"/>
  <c r="AY182" i="45"/>
  <c r="BD183" i="45"/>
  <c r="BD182" i="45"/>
  <c r="BJ183" i="45"/>
  <c r="BJ182" i="45"/>
  <c r="BO183" i="45"/>
  <c r="BO182" i="45"/>
  <c r="BS183" i="45"/>
  <c r="BS182" i="45"/>
  <c r="BW183" i="45"/>
  <c r="BW182" i="45"/>
  <c r="I182" i="45"/>
  <c r="K183" i="45"/>
  <c r="K182" i="45"/>
  <c r="T183" i="45"/>
  <c r="U183" i="45"/>
  <c r="AH183" i="45"/>
  <c r="AQ183" i="45"/>
  <c r="AQ182" i="45"/>
  <c r="AR183" i="45"/>
  <c r="AR182" i="45"/>
  <c r="AS183" i="45"/>
  <c r="AS182" i="45"/>
  <c r="AU183" i="45"/>
  <c r="AU182" i="45"/>
  <c r="AV183" i="45"/>
  <c r="AV182" i="45"/>
  <c r="AX183" i="45"/>
  <c r="AX182" i="45"/>
  <c r="AZ183" i="45"/>
  <c r="AZ182" i="45"/>
  <c r="BB183" i="45"/>
  <c r="BB182" i="45"/>
  <c r="BC183" i="45"/>
  <c r="BC182" i="45"/>
  <c r="BF183" i="45"/>
  <c r="BF182" i="45"/>
  <c r="BG183" i="45"/>
  <c r="BG182" i="45"/>
  <c r="BH183" i="45"/>
  <c r="BH182" i="45"/>
  <c r="BK183" i="45"/>
  <c r="BK182" i="45"/>
  <c r="BL183" i="45"/>
  <c r="BL182" i="45"/>
  <c r="BN183" i="45"/>
  <c r="BN182" i="45"/>
  <c r="BP183" i="45"/>
  <c r="BP182" i="45"/>
  <c r="BQ183" i="45"/>
  <c r="BQ182" i="45"/>
  <c r="BR183" i="45"/>
  <c r="BR182" i="45"/>
  <c r="BT183" i="45"/>
  <c r="BT182" i="45"/>
  <c r="BU183" i="45"/>
  <c r="BU182" i="45"/>
  <c r="BV183" i="45"/>
  <c r="BV182" i="45"/>
  <c r="BX183" i="45"/>
  <c r="BX182" i="45"/>
  <c r="BZ183" i="45"/>
  <c r="BZ182" i="45"/>
  <c r="CA183" i="45"/>
  <c r="CA182" i="45"/>
  <c r="CB183" i="45"/>
  <c r="CB182" i="45"/>
  <c r="CD183" i="45"/>
  <c r="CD182" i="45"/>
  <c r="CE183" i="45"/>
  <c r="CE182" i="45"/>
  <c r="CF183" i="45"/>
  <c r="CF182" i="45"/>
  <c r="X184" i="45"/>
  <c r="Y184" i="45"/>
  <c r="AA184" i="45"/>
  <c r="AB184" i="45"/>
  <c r="AE184" i="45"/>
  <c r="AF184" i="45"/>
  <c r="AG184" i="45"/>
  <c r="AH184" i="45"/>
  <c r="AK184" i="45"/>
  <c r="AL184" i="45"/>
  <c r="AM184" i="45"/>
  <c r="BI184" i="45"/>
  <c r="BY184" i="45"/>
  <c r="AC184" i="45"/>
  <c r="CZ184" i="45"/>
  <c r="DD184" i="45"/>
  <c r="AB185" i="45"/>
  <c r="AE185" i="45"/>
  <c r="AF185" i="45"/>
  <c r="AG185" i="45"/>
  <c r="AH185" i="45"/>
  <c r="AK185" i="45"/>
  <c r="AL185" i="45"/>
  <c r="AM185" i="45"/>
  <c r="AO185" i="45"/>
  <c r="AO183" i="45"/>
  <c r="AO182" i="45"/>
  <c r="W186" i="45"/>
  <c r="X186" i="45"/>
  <c r="Y186" i="45"/>
  <c r="AA186" i="45"/>
  <c r="AB186" i="45"/>
  <c r="AE186" i="45"/>
  <c r="AF186" i="45"/>
  <c r="AG186" i="45"/>
  <c r="AH186" i="45"/>
  <c r="AK186" i="45"/>
  <c r="AL186" i="45"/>
  <c r="AM186" i="45"/>
  <c r="BY186" i="45"/>
  <c r="AC186" i="45"/>
  <c r="CZ186" i="45"/>
  <c r="AC187" i="45"/>
  <c r="AI187" i="45"/>
  <c r="AE187" i="45"/>
  <c r="AF187" i="45"/>
  <c r="AG187" i="45"/>
  <c r="AD187" i="45"/>
  <c r="AH187" i="45"/>
  <c r="AK187" i="45"/>
  <c r="AM187" i="45"/>
  <c r="AC188" i="45"/>
  <c r="AE188" i="45"/>
  <c r="AF188" i="45"/>
  <c r="AG188" i="45"/>
  <c r="AD188" i="45"/>
  <c r="AH188" i="45"/>
  <c r="AK188" i="45"/>
  <c r="AL188" i="45"/>
  <c r="AM188" i="45"/>
  <c r="AJ188" i="45"/>
  <c r="AC189" i="45"/>
  <c r="AI189" i="45"/>
  <c r="AF189" i="45"/>
  <c r="AH189" i="45"/>
  <c r="AL189" i="45"/>
  <c r="CO189" i="45"/>
  <c r="AC190" i="45"/>
  <c r="AI190" i="45"/>
  <c r="AF190" i="45"/>
  <c r="AD190" i="45"/>
  <c r="AH190" i="45"/>
  <c r="J191" i="45"/>
  <c r="J183" i="45"/>
  <c r="AE191" i="45"/>
  <c r="AK191" i="45"/>
  <c r="AF191" i="45"/>
  <c r="AG191" i="45"/>
  <c r="AM191" i="45"/>
  <c r="AH191" i="45"/>
  <c r="AL191" i="45"/>
  <c r="AC192" i="45"/>
  <c r="AE192" i="45"/>
  <c r="AK192" i="45"/>
  <c r="AF192" i="45"/>
  <c r="AG192" i="45"/>
  <c r="AM192" i="45"/>
  <c r="AH192" i="45"/>
  <c r="AI192" i="45"/>
  <c r="AL192" i="45"/>
  <c r="AE193" i="45"/>
  <c r="AK193" i="45"/>
  <c r="AF193" i="45"/>
  <c r="AG193" i="45"/>
  <c r="AM193" i="45"/>
  <c r="AH193" i="45"/>
  <c r="AL193" i="45"/>
  <c r="CH193" i="45"/>
  <c r="AC193" i="45"/>
  <c r="AI193" i="45"/>
  <c r="AC194" i="45"/>
  <c r="AE194" i="45"/>
  <c r="AF194" i="45"/>
  <c r="AG194" i="45"/>
  <c r="AD194" i="45"/>
  <c r="AH194" i="45"/>
  <c r="AK194" i="45"/>
  <c r="AL194" i="45"/>
  <c r="AM194" i="45"/>
  <c r="AJ194" i="45"/>
  <c r="AC195" i="45"/>
  <c r="AI195" i="45"/>
  <c r="AE195" i="45"/>
  <c r="AF195" i="45"/>
  <c r="AG195" i="45"/>
  <c r="AH195" i="45"/>
  <c r="AK195" i="45"/>
  <c r="AL195" i="45"/>
  <c r="AM195" i="45"/>
  <c r="AC196" i="45"/>
  <c r="AE196" i="45"/>
  <c r="AF196" i="45"/>
  <c r="AG196" i="45"/>
  <c r="AD196" i="45"/>
  <c r="AH196" i="45"/>
  <c r="AK196" i="45"/>
  <c r="AL196" i="45"/>
  <c r="AM196" i="45"/>
  <c r="AJ196" i="45"/>
  <c r="AC197" i="45"/>
  <c r="AD197" i="45"/>
  <c r="AH197" i="45"/>
  <c r="AL197" i="45"/>
  <c r="AH198" i="45"/>
  <c r="AH199" i="45"/>
  <c r="AH200" i="45"/>
  <c r="AW201" i="45"/>
  <c r="AW200" i="45"/>
  <c r="AW199" i="45"/>
  <c r="AW198" i="45"/>
  <c r="BE201" i="45"/>
  <c r="BE200" i="45"/>
  <c r="BE199" i="45"/>
  <c r="BE198" i="45"/>
  <c r="CH201" i="45"/>
  <c r="CH200" i="45"/>
  <c r="CH199" i="45"/>
  <c r="CH198" i="45"/>
  <c r="AH201" i="45"/>
  <c r="AX202" i="45"/>
  <c r="AX201" i="45"/>
  <c r="AX200" i="45"/>
  <c r="AX199" i="45"/>
  <c r="AX198" i="45"/>
  <c r="BA201" i="45"/>
  <c r="BA200" i="45"/>
  <c r="BA199" i="45"/>
  <c r="BA198" i="45"/>
  <c r="BF202" i="45"/>
  <c r="BF201" i="45"/>
  <c r="BF200" i="45"/>
  <c r="BF199" i="45"/>
  <c r="BF198" i="45"/>
  <c r="BN202" i="45"/>
  <c r="BN201" i="45"/>
  <c r="BN200" i="45"/>
  <c r="BN199" i="45"/>
  <c r="BN198" i="45"/>
  <c r="BR202" i="45"/>
  <c r="BR201" i="45"/>
  <c r="BR200" i="45"/>
  <c r="BR199" i="45"/>
  <c r="BR198" i="45"/>
  <c r="BV202" i="45"/>
  <c r="BV201" i="45"/>
  <c r="BV200" i="45"/>
  <c r="BV199" i="45"/>
  <c r="BV198" i="45"/>
  <c r="BY201" i="45"/>
  <c r="BY200" i="45"/>
  <c r="BY199" i="45"/>
  <c r="BY198" i="45"/>
  <c r="I201" i="45"/>
  <c r="I200" i="45"/>
  <c r="I199" i="45"/>
  <c r="I198" i="45"/>
  <c r="J202" i="45"/>
  <c r="J201" i="45"/>
  <c r="J200" i="45"/>
  <c r="K202" i="45"/>
  <c r="K201" i="45"/>
  <c r="K200" i="45"/>
  <c r="K199" i="45"/>
  <c r="K198" i="45"/>
  <c r="T202" i="45"/>
  <c r="AH202" i="45"/>
  <c r="AP202" i="45"/>
  <c r="AP201" i="45"/>
  <c r="AP200" i="45"/>
  <c r="AP199" i="45"/>
  <c r="AP198" i="45"/>
  <c r="AQ202" i="45"/>
  <c r="AQ201" i="45"/>
  <c r="AQ200" i="45"/>
  <c r="AQ199" i="45"/>
  <c r="AQ198" i="45"/>
  <c r="AR202" i="45"/>
  <c r="AR201" i="45"/>
  <c r="AR200" i="45"/>
  <c r="AR199" i="45"/>
  <c r="AR198" i="45"/>
  <c r="AT202" i="45"/>
  <c r="AT201" i="45"/>
  <c r="AT200" i="45"/>
  <c r="AT199" i="45"/>
  <c r="AT198" i="45"/>
  <c r="AU202" i="45"/>
  <c r="AU201" i="45"/>
  <c r="AU200" i="45"/>
  <c r="AU199" i="45"/>
  <c r="AU198" i="45"/>
  <c r="AV202" i="45"/>
  <c r="AV201" i="45"/>
  <c r="AV200" i="45"/>
  <c r="AV199" i="45"/>
  <c r="AV198" i="45"/>
  <c r="AY202" i="45"/>
  <c r="AY201" i="45"/>
  <c r="AY200" i="45"/>
  <c r="AY199" i="45"/>
  <c r="AY198" i="45"/>
  <c r="AZ202" i="45"/>
  <c r="AZ201" i="45"/>
  <c r="AZ200" i="45"/>
  <c r="AZ199" i="45"/>
  <c r="AZ198" i="45"/>
  <c r="BB202" i="45"/>
  <c r="BB201" i="45"/>
  <c r="BB200" i="45"/>
  <c r="BB199" i="45"/>
  <c r="BB198" i="45"/>
  <c r="BC202" i="45"/>
  <c r="BC201" i="45"/>
  <c r="BC200" i="45"/>
  <c r="BC199" i="45"/>
  <c r="BC198" i="45"/>
  <c r="BD202" i="45"/>
  <c r="BD201" i="45"/>
  <c r="BD200" i="45"/>
  <c r="BD199" i="45"/>
  <c r="BD198" i="45"/>
  <c r="BG202" i="45"/>
  <c r="BG201" i="45"/>
  <c r="BG200" i="45"/>
  <c r="BG199" i="45"/>
  <c r="BG198" i="45"/>
  <c r="BH202" i="45"/>
  <c r="BH201" i="45"/>
  <c r="BH200" i="45"/>
  <c r="BH199" i="45"/>
  <c r="BH198" i="45"/>
  <c r="BJ202" i="45"/>
  <c r="BJ201" i="45"/>
  <c r="BJ200" i="45"/>
  <c r="BJ199" i="45"/>
  <c r="BJ198" i="45"/>
  <c r="BK202" i="45"/>
  <c r="BK201" i="45"/>
  <c r="BK200" i="45"/>
  <c r="BK199" i="45"/>
  <c r="BK198" i="45"/>
  <c r="BL202" i="45"/>
  <c r="BL201" i="45"/>
  <c r="BL200" i="45"/>
  <c r="BL199" i="45"/>
  <c r="BL198" i="45"/>
  <c r="BO202" i="45"/>
  <c r="BO201" i="45"/>
  <c r="BO200" i="45"/>
  <c r="BO199" i="45"/>
  <c r="BO198" i="45"/>
  <c r="BP202" i="45"/>
  <c r="BP201" i="45"/>
  <c r="BP200" i="45"/>
  <c r="BP199" i="45"/>
  <c r="BP198" i="45"/>
  <c r="BQ202" i="45"/>
  <c r="BQ201" i="45"/>
  <c r="BQ200" i="45"/>
  <c r="BQ199" i="45"/>
  <c r="BQ198" i="45"/>
  <c r="BS202" i="45"/>
  <c r="BS201" i="45"/>
  <c r="BS200" i="45"/>
  <c r="BS199" i="45"/>
  <c r="BS198" i="45"/>
  <c r="BT202" i="45"/>
  <c r="BT201" i="45"/>
  <c r="BT200" i="45"/>
  <c r="BT199" i="45"/>
  <c r="BT198" i="45"/>
  <c r="BU202" i="45"/>
  <c r="BU201" i="45"/>
  <c r="BU200" i="45"/>
  <c r="BU199" i="45"/>
  <c r="BU198" i="45"/>
  <c r="BW202" i="45"/>
  <c r="BW201" i="45"/>
  <c r="BW200" i="45"/>
  <c r="BW199" i="45"/>
  <c r="BW198" i="45"/>
  <c r="BX202" i="45"/>
  <c r="BX201" i="45"/>
  <c r="BX200" i="45"/>
  <c r="BX199" i="45"/>
  <c r="BX198" i="45"/>
  <c r="BZ202" i="45"/>
  <c r="BZ201" i="45"/>
  <c r="BZ200" i="45"/>
  <c r="BZ199" i="45"/>
  <c r="BZ198" i="45"/>
  <c r="CA202" i="45"/>
  <c r="CA201" i="45"/>
  <c r="CA200" i="45"/>
  <c r="CA199" i="45"/>
  <c r="CA198" i="45"/>
  <c r="CB202" i="45"/>
  <c r="CB201" i="45"/>
  <c r="CB200" i="45"/>
  <c r="CB199" i="45"/>
  <c r="CB198" i="45"/>
  <c r="CC202" i="45"/>
  <c r="CC201" i="45"/>
  <c r="CC200" i="45"/>
  <c r="CC199" i="45"/>
  <c r="CC198" i="45"/>
  <c r="CD202" i="45"/>
  <c r="CD201" i="45"/>
  <c r="CD200" i="45"/>
  <c r="CD199" i="45"/>
  <c r="CD198" i="45"/>
  <c r="CE202" i="45"/>
  <c r="CE201" i="45"/>
  <c r="CE200" i="45"/>
  <c r="CE199" i="45"/>
  <c r="CE198" i="45"/>
  <c r="CF202" i="45"/>
  <c r="CF201" i="45"/>
  <c r="CF200" i="45"/>
  <c r="CF199" i="45"/>
  <c r="CF198" i="45"/>
  <c r="CI202" i="45"/>
  <c r="CI201" i="45"/>
  <c r="CI200" i="45"/>
  <c r="CI199" i="45"/>
  <c r="CI198" i="45"/>
  <c r="CJ202" i="45"/>
  <c r="CJ201" i="45"/>
  <c r="CJ200" i="45"/>
  <c r="CJ199" i="45"/>
  <c r="CJ198" i="45"/>
  <c r="CK202" i="45"/>
  <c r="CK201" i="45"/>
  <c r="CK200" i="45"/>
  <c r="CK199" i="45"/>
  <c r="CK198" i="45"/>
  <c r="Z203" i="45"/>
  <c r="AE203" i="45"/>
  <c r="AF203" i="45"/>
  <c r="AG203" i="45"/>
  <c r="AH203" i="45"/>
  <c r="AK203" i="45"/>
  <c r="AL203" i="45"/>
  <c r="AM203" i="45"/>
  <c r="AS203" i="45"/>
  <c r="BI203" i="45"/>
  <c r="BI202" i="45"/>
  <c r="BI201" i="45"/>
  <c r="BI200" i="45"/>
  <c r="BI199" i="45"/>
  <c r="BI198" i="45"/>
  <c r="BM203" i="45"/>
  <c r="BY203" i="45"/>
  <c r="AB204" i="45"/>
  <c r="AE204" i="45"/>
  <c r="AK204" i="45"/>
  <c r="AF204" i="45"/>
  <c r="AG204" i="45"/>
  <c r="AM204" i="45"/>
  <c r="AH204" i="45"/>
  <c r="AL204" i="45"/>
  <c r="AO204" i="45"/>
  <c r="AO202" i="45"/>
  <c r="AO201" i="45"/>
  <c r="AO200" i="45"/>
  <c r="AO199" i="45"/>
  <c r="AO198" i="45"/>
  <c r="W205" i="45"/>
  <c r="Z205" i="45"/>
  <c r="AE205" i="45"/>
  <c r="AF205" i="45"/>
  <c r="AG205" i="45"/>
  <c r="AD205" i="45"/>
  <c r="AH205" i="45"/>
  <c r="AK205" i="45"/>
  <c r="AL205" i="45"/>
  <c r="AM205" i="45"/>
  <c r="AJ205" i="45"/>
  <c r="AS205" i="45"/>
  <c r="BM205" i="45"/>
  <c r="BM202" i="45"/>
  <c r="BM201" i="45"/>
  <c r="BM200" i="45"/>
  <c r="BM199" i="45"/>
  <c r="BM198" i="45"/>
  <c r="BY205" i="45"/>
  <c r="CZ205" i="45"/>
  <c r="DD205" i="45"/>
  <c r="AC206" i="45"/>
  <c r="AE206" i="45"/>
  <c r="AK206" i="45"/>
  <c r="AF206" i="45"/>
  <c r="AG206" i="45"/>
  <c r="AM206" i="45"/>
  <c r="AH206" i="45"/>
  <c r="AI206" i="45"/>
  <c r="AL206" i="45"/>
  <c r="AC207" i="45"/>
  <c r="AI207" i="45"/>
  <c r="AE207" i="45"/>
  <c r="AF207" i="45"/>
  <c r="AL207" i="45"/>
  <c r="AG207" i="45"/>
  <c r="AH207" i="45"/>
  <c r="AK207" i="45"/>
  <c r="AM207" i="45"/>
  <c r="AC208" i="45"/>
  <c r="AE208" i="45"/>
  <c r="AK208" i="45"/>
  <c r="AF208" i="45"/>
  <c r="AG208" i="45"/>
  <c r="AM208" i="45"/>
  <c r="AH208" i="45"/>
  <c r="AI208" i="45"/>
  <c r="AL208" i="45"/>
  <c r="AC209" i="45"/>
  <c r="AI209" i="45"/>
  <c r="AE209" i="45"/>
  <c r="AF209" i="45"/>
  <c r="AL209" i="45"/>
  <c r="AG209" i="45"/>
  <c r="AH209" i="45"/>
  <c r="AK209" i="45"/>
  <c r="AM209" i="45"/>
  <c r="AC210" i="45"/>
  <c r="AE210" i="45"/>
  <c r="AK210" i="45"/>
  <c r="AF210" i="45"/>
  <c r="AG210" i="45"/>
  <c r="AM210" i="45"/>
  <c r="AH210" i="45"/>
  <c r="AI210" i="45"/>
  <c r="AL210" i="45"/>
  <c r="AC211" i="45"/>
  <c r="AI211" i="45"/>
  <c r="AE211" i="45"/>
  <c r="AF211" i="45"/>
  <c r="AG211" i="45"/>
  <c r="AH211" i="45"/>
  <c r="AK211" i="45"/>
  <c r="AL211" i="45"/>
  <c r="AM211" i="45"/>
  <c r="AC212" i="45"/>
  <c r="AE212" i="45"/>
  <c r="AF212" i="45"/>
  <c r="AG212" i="45"/>
  <c r="AD212" i="45"/>
  <c r="AH212" i="45"/>
  <c r="AK212" i="45"/>
  <c r="AL212" i="45"/>
  <c r="AM212" i="45"/>
  <c r="AJ212" i="45"/>
  <c r="AC213" i="45"/>
  <c r="AI213" i="45"/>
  <c r="AE213" i="45"/>
  <c r="AF213" i="45"/>
  <c r="AL213" i="45"/>
  <c r="AG213" i="45"/>
  <c r="AH213" i="45"/>
  <c r="AK213" i="45"/>
  <c r="AM213" i="45"/>
  <c r="AC214" i="45"/>
  <c r="AI214" i="45"/>
  <c r="AE214" i="45"/>
  <c r="AF214" i="45"/>
  <c r="AL214" i="45"/>
  <c r="AG214" i="45"/>
  <c r="AH214" i="45"/>
  <c r="AK214" i="45"/>
  <c r="AM214" i="45"/>
  <c r="AC215" i="45"/>
  <c r="AE215" i="45"/>
  <c r="AK215" i="45"/>
  <c r="AF215" i="45"/>
  <c r="AG215" i="45"/>
  <c r="AM215" i="45"/>
  <c r="AH215" i="45"/>
  <c r="AI215" i="45"/>
  <c r="AL215" i="45"/>
  <c r="F70" i="4"/>
  <c r="AC216" i="45"/>
  <c r="AD216" i="45"/>
  <c r="AH216" i="45"/>
  <c r="AI216" i="45"/>
  <c r="AI31" i="45"/>
  <c r="AL216" i="45"/>
  <c r="H217" i="45"/>
  <c r="AC217" i="45"/>
  <c r="AI217" i="45"/>
  <c r="AH217" i="45"/>
  <c r="AL217" i="45"/>
  <c r="H218" i="45"/>
  <c r="AH218" i="45"/>
  <c r="AL218" i="45"/>
  <c r="BM218" i="45"/>
  <c r="AC218" i="45"/>
  <c r="H219" i="45"/>
  <c r="AH219" i="45"/>
  <c r="AL219" i="45"/>
  <c r="BM219" i="45"/>
  <c r="CH219" i="45"/>
  <c r="AC219" i="45"/>
  <c r="U222" i="45"/>
  <c r="AN223" i="45"/>
  <c r="CL223" i="45"/>
  <c r="CN223" i="45"/>
  <c r="AH238" i="45"/>
  <c r="AL238" i="45"/>
  <c r="AH239" i="45"/>
  <c r="I240" i="45"/>
  <c r="J240" i="45"/>
  <c r="J241" i="45"/>
  <c r="J239" i="45"/>
  <c r="K240" i="45"/>
  <c r="AH240" i="45"/>
  <c r="AM240" i="45"/>
  <c r="AO240" i="45"/>
  <c r="AP240" i="45"/>
  <c r="AQ240" i="45"/>
  <c r="AR240" i="45"/>
  <c r="AS240" i="45"/>
  <c r="AT240" i="45"/>
  <c r="AU240" i="45"/>
  <c r="AV240" i="45"/>
  <c r="AW240" i="45"/>
  <c r="AX240" i="45"/>
  <c r="AY240" i="45"/>
  <c r="AZ240" i="45"/>
  <c r="BA240" i="45"/>
  <c r="BB240" i="45"/>
  <c r="BC240" i="45"/>
  <c r="BD240" i="45"/>
  <c r="BE240" i="45"/>
  <c r="BF240" i="45"/>
  <c r="BG240" i="45"/>
  <c r="BH240" i="45"/>
  <c r="BI240" i="45"/>
  <c r="BJ240" i="45"/>
  <c r="BK240" i="45"/>
  <c r="BL240" i="45"/>
  <c r="BM240" i="45"/>
  <c r="BN240" i="45"/>
  <c r="BO240" i="45"/>
  <c r="BP240" i="45"/>
  <c r="BQ240" i="45"/>
  <c r="BR240" i="45"/>
  <c r="BS240" i="45"/>
  <c r="BT240" i="45"/>
  <c r="BU240" i="45"/>
  <c r="BV240" i="45"/>
  <c r="BW240" i="45"/>
  <c r="BX240" i="45"/>
  <c r="BY240" i="45"/>
  <c r="BZ240" i="45"/>
  <c r="CA240" i="45"/>
  <c r="CB240" i="45"/>
  <c r="CC240" i="45"/>
  <c r="CD240" i="45"/>
  <c r="CE240" i="45"/>
  <c r="CF240" i="45"/>
  <c r="CH240" i="45"/>
  <c r="CI240" i="45"/>
  <c r="CJ240" i="45"/>
  <c r="CK240" i="45"/>
  <c r="I241" i="45"/>
  <c r="K241" i="45"/>
  <c r="U241" i="45"/>
  <c r="AH241" i="45"/>
  <c r="AM241" i="45"/>
  <c r="AO241" i="45"/>
  <c r="AP241" i="45"/>
  <c r="AQ241" i="45"/>
  <c r="AR241" i="45"/>
  <c r="AS241" i="45"/>
  <c r="AT241" i="45"/>
  <c r="AU241" i="45"/>
  <c r="AV241" i="45"/>
  <c r="AW241" i="45"/>
  <c r="AX241" i="45"/>
  <c r="AY241" i="45"/>
  <c r="AZ241" i="45"/>
  <c r="BA241" i="45"/>
  <c r="BB241" i="45"/>
  <c r="BC241" i="45"/>
  <c r="BD241" i="45"/>
  <c r="BE241" i="45"/>
  <c r="BF241" i="45"/>
  <c r="BG241" i="45"/>
  <c r="BH241" i="45"/>
  <c r="BI241" i="45"/>
  <c r="BJ241" i="45"/>
  <c r="BK241" i="45"/>
  <c r="BL241" i="45"/>
  <c r="BM241" i="45"/>
  <c r="BN241" i="45"/>
  <c r="BO241" i="45"/>
  <c r="BP241" i="45"/>
  <c r="BQ241" i="45"/>
  <c r="BR241" i="45"/>
  <c r="BS241" i="45"/>
  <c r="BT241" i="45"/>
  <c r="BU241" i="45"/>
  <c r="BV241" i="45"/>
  <c r="BW241" i="45"/>
  <c r="BX241" i="45"/>
  <c r="BY241" i="45"/>
  <c r="BZ241" i="45"/>
  <c r="CA241" i="45"/>
  <c r="CB241" i="45"/>
  <c r="CC241" i="45"/>
  <c r="CD241" i="45"/>
  <c r="CE241" i="45"/>
  <c r="CF241" i="45"/>
  <c r="CH241" i="45"/>
  <c r="CI241" i="45"/>
  <c r="CJ241" i="45"/>
  <c r="CK241" i="45"/>
  <c r="AH242" i="45"/>
  <c r="AL242" i="45"/>
  <c r="AC243" i="45"/>
  <c r="AI243" i="45"/>
  <c r="AE243" i="45"/>
  <c r="AF243" i="45"/>
  <c r="AL243" i="45"/>
  <c r="AG243" i="45"/>
  <c r="AH243" i="45"/>
  <c r="AK243" i="45"/>
  <c r="AC244" i="45"/>
  <c r="AI244" i="45"/>
  <c r="AE244" i="45"/>
  <c r="AF244" i="45"/>
  <c r="AL244" i="45"/>
  <c r="AG244" i="45"/>
  <c r="AH244" i="45"/>
  <c r="AK244" i="45"/>
  <c r="AC245" i="45"/>
  <c r="AE245" i="45"/>
  <c r="AF245" i="45"/>
  <c r="AG245" i="45"/>
  <c r="AG246" i="45"/>
  <c r="AG247" i="45"/>
  <c r="AG249" i="45"/>
  <c r="AG250" i="45"/>
  <c r="AG251" i="45"/>
  <c r="AG252" i="45"/>
  <c r="AG253" i="45"/>
  <c r="AH245" i="45"/>
  <c r="AK245" i="45"/>
  <c r="AL245" i="45"/>
  <c r="AC246" i="45"/>
  <c r="AE246" i="45"/>
  <c r="AK246" i="45"/>
  <c r="AF246" i="45"/>
  <c r="AL246" i="45"/>
  <c r="AJ246" i="45"/>
  <c r="AH246" i="45"/>
  <c r="AI246" i="45"/>
  <c r="AC247" i="45"/>
  <c r="AE247" i="45"/>
  <c r="AK247" i="45"/>
  <c r="AF247" i="45"/>
  <c r="AL247" i="45"/>
  <c r="AJ247" i="45"/>
  <c r="AH247" i="45"/>
  <c r="AI247" i="45"/>
  <c r="AC248" i="45"/>
  <c r="AH248" i="45"/>
  <c r="AI248" i="45"/>
  <c r="AC249" i="45"/>
  <c r="AE249" i="45"/>
  <c r="AK249" i="45"/>
  <c r="AE250" i="45"/>
  <c r="AK250" i="45"/>
  <c r="AE251" i="45"/>
  <c r="AK251" i="45"/>
  <c r="AE252" i="45"/>
  <c r="AK252" i="45"/>
  <c r="AK241" i="45"/>
  <c r="AF249" i="45"/>
  <c r="AH249" i="45"/>
  <c r="AI249" i="45"/>
  <c r="AL249" i="45"/>
  <c r="AC250" i="45"/>
  <c r="AF250" i="45"/>
  <c r="AD250" i="45"/>
  <c r="AH250" i="45"/>
  <c r="AL250" i="45"/>
  <c r="AJ250" i="45"/>
  <c r="AC251" i="45"/>
  <c r="AI251" i="45"/>
  <c r="AF251" i="45"/>
  <c r="AL251" i="45"/>
  <c r="AH251" i="45"/>
  <c r="AC252" i="45"/>
  <c r="AI252" i="45"/>
  <c r="AF252" i="45"/>
  <c r="AH252" i="45"/>
  <c r="AL252" i="45"/>
  <c r="I253" i="45"/>
  <c r="J253" i="45"/>
  <c r="K253" i="45"/>
  <c r="AE253" i="45"/>
  <c r="AH253" i="45"/>
  <c r="AO253" i="45"/>
  <c r="AP253" i="45"/>
  <c r="AQ253" i="45"/>
  <c r="AR253" i="45"/>
  <c r="AS253" i="45"/>
  <c r="AT253" i="45"/>
  <c r="AU253" i="45"/>
  <c r="AV253" i="45"/>
  <c r="AW253" i="45"/>
  <c r="AX253" i="45"/>
  <c r="AY253" i="45"/>
  <c r="AZ253" i="45"/>
  <c r="BA253" i="45"/>
  <c r="BB253" i="45"/>
  <c r="BC253" i="45"/>
  <c r="BD253" i="45"/>
  <c r="BE253" i="45"/>
  <c r="BF253" i="45"/>
  <c r="BG253" i="45"/>
  <c r="BH253" i="45"/>
  <c r="BI253" i="45"/>
  <c r="BJ253" i="45"/>
  <c r="BK253" i="45"/>
  <c r="BL253" i="45"/>
  <c r="BM253" i="45"/>
  <c r="BN253" i="45"/>
  <c r="BO253" i="45"/>
  <c r="BP253" i="45"/>
  <c r="BQ253" i="45"/>
  <c r="BR253" i="45"/>
  <c r="BS253" i="45"/>
  <c r="BT253" i="45"/>
  <c r="BU253" i="45"/>
  <c r="BV253" i="45"/>
  <c r="BW253" i="45"/>
  <c r="BX253" i="45"/>
  <c r="BY253" i="45"/>
  <c r="BZ253" i="45"/>
  <c r="CA253" i="45"/>
  <c r="CB253" i="45"/>
  <c r="CC253" i="45"/>
  <c r="CD253" i="45"/>
  <c r="CE253" i="45"/>
  <c r="CF253" i="45"/>
  <c r="CH253" i="45"/>
  <c r="CI253" i="45"/>
  <c r="CJ253" i="45"/>
  <c r="CK253" i="45"/>
  <c r="AC254" i="45"/>
  <c r="AE254" i="45"/>
  <c r="AK254" i="45"/>
  <c r="AF254" i="45"/>
  <c r="AG254" i="45"/>
  <c r="AM254" i="45"/>
  <c r="AH254" i="45"/>
  <c r="AI254" i="45"/>
  <c r="AL254" i="45"/>
  <c r="AC255" i="45"/>
  <c r="AI255" i="45"/>
  <c r="AE255" i="45"/>
  <c r="AF255" i="45"/>
  <c r="AL255" i="45"/>
  <c r="AG255" i="45"/>
  <c r="AH255" i="45"/>
  <c r="AK255" i="45"/>
  <c r="AM255" i="45"/>
  <c r="AC256" i="45"/>
  <c r="AE256" i="45"/>
  <c r="AK256" i="45"/>
  <c r="AF256" i="45"/>
  <c r="AG256" i="45"/>
  <c r="AM256" i="45"/>
  <c r="AH256" i="45"/>
  <c r="AI256" i="45"/>
  <c r="AL256" i="45"/>
  <c r="AC257" i="45"/>
  <c r="AI257" i="45"/>
  <c r="AE257" i="45"/>
  <c r="AF257" i="45"/>
  <c r="AL257" i="45"/>
  <c r="AG257" i="45"/>
  <c r="AH257" i="45"/>
  <c r="AK257" i="45"/>
  <c r="AM257" i="45"/>
  <c r="AC258" i="45"/>
  <c r="AE258" i="45"/>
  <c r="AK258" i="45"/>
  <c r="AF258" i="45"/>
  <c r="AG258" i="45"/>
  <c r="AM258" i="45"/>
  <c r="AH258" i="45"/>
  <c r="AI258" i="45"/>
  <c r="AL258" i="45"/>
  <c r="AC259" i="45"/>
  <c r="AI259" i="45"/>
  <c r="AE259" i="45"/>
  <c r="AF259" i="45"/>
  <c r="AL259" i="45"/>
  <c r="AG259" i="45"/>
  <c r="AH259" i="45"/>
  <c r="AK259" i="45"/>
  <c r="AM259" i="45"/>
  <c r="AC260" i="45"/>
  <c r="AE260" i="45"/>
  <c r="AK260" i="45"/>
  <c r="AF260" i="45"/>
  <c r="AG260" i="45"/>
  <c r="AM260" i="45"/>
  <c r="AH260" i="45"/>
  <c r="AI260" i="45"/>
  <c r="AL260" i="45"/>
  <c r="AC261" i="45"/>
  <c r="AI261" i="45"/>
  <c r="AE261" i="45"/>
  <c r="AF261" i="45"/>
  <c r="AL261" i="45"/>
  <c r="AG261" i="45"/>
  <c r="AH261" i="45"/>
  <c r="AK261" i="45"/>
  <c r="AM261" i="45"/>
  <c r="I265" i="45"/>
  <c r="J265" i="45"/>
  <c r="K265" i="45"/>
  <c r="L265" i="45"/>
  <c r="M265" i="45"/>
  <c r="N265" i="45"/>
  <c r="O265" i="45"/>
  <c r="P265" i="45"/>
  <c r="Q265" i="45"/>
  <c r="R265" i="45"/>
  <c r="S265" i="45"/>
  <c r="AO265" i="45"/>
  <c r="AP265" i="45"/>
  <c r="AQ265" i="45"/>
  <c r="AR265" i="45"/>
  <c r="AS265" i="45"/>
  <c r="AT265" i="45"/>
  <c r="AU265" i="45"/>
  <c r="AV265" i="45"/>
  <c r="AW265" i="45"/>
  <c r="AX265" i="45"/>
  <c r="AY265" i="45"/>
  <c r="AZ265" i="45"/>
  <c r="BA265" i="45"/>
  <c r="BB265" i="45"/>
  <c r="BC265" i="45"/>
  <c r="BD265" i="45"/>
  <c r="BE265" i="45"/>
  <c r="BF265" i="45"/>
  <c r="BG265" i="45"/>
  <c r="BH265" i="45"/>
  <c r="BJ265" i="45"/>
  <c r="BK265" i="45"/>
  <c r="BL265" i="45"/>
  <c r="BN265" i="45"/>
  <c r="BO265" i="45"/>
  <c r="BP265" i="45"/>
  <c r="BR265" i="45"/>
  <c r="BS265" i="45"/>
  <c r="BT265" i="45"/>
  <c r="BU265" i="45"/>
  <c r="BV265" i="45"/>
  <c r="BW265" i="45"/>
  <c r="BX265" i="45"/>
  <c r="BZ265" i="45"/>
  <c r="CA265" i="45"/>
  <c r="CB265" i="45"/>
  <c r="CC265" i="45"/>
  <c r="CD265" i="45"/>
  <c r="CE265" i="45"/>
  <c r="CF265" i="45"/>
  <c r="CH265" i="45"/>
  <c r="CI265" i="45"/>
  <c r="CJ265" i="45"/>
  <c r="CK265" i="45"/>
  <c r="H266" i="45"/>
  <c r="I266" i="45"/>
  <c r="J266" i="45"/>
  <c r="K266" i="45"/>
  <c r="L266" i="45"/>
  <c r="M266" i="45"/>
  <c r="N266" i="45"/>
  <c r="O266" i="45"/>
  <c r="P266" i="45"/>
  <c r="Q266" i="45"/>
  <c r="R266" i="45"/>
  <c r="S266" i="45"/>
  <c r="AP266" i="45"/>
  <c r="AQ266" i="45"/>
  <c r="AR266" i="45"/>
  <c r="AS266" i="45"/>
  <c r="AT266" i="45"/>
  <c r="AU266" i="45"/>
  <c r="AV266" i="45"/>
  <c r="AW266" i="45"/>
  <c r="AX266" i="45"/>
  <c r="AY266" i="45"/>
  <c r="AZ266" i="45"/>
  <c r="BA266" i="45"/>
  <c r="BB266" i="45"/>
  <c r="BC266" i="45"/>
  <c r="BD266" i="45"/>
  <c r="BE266" i="45"/>
  <c r="BF266" i="45"/>
  <c r="BG266" i="45"/>
  <c r="BH266" i="45"/>
  <c r="BI266" i="45"/>
  <c r="BJ266" i="45"/>
  <c r="BK266" i="45"/>
  <c r="BL266" i="45"/>
  <c r="BM266" i="45"/>
  <c r="BN266" i="45"/>
  <c r="BO266" i="45"/>
  <c r="BP266" i="45"/>
  <c r="BQ266" i="45"/>
  <c r="BR266" i="45"/>
  <c r="BS266" i="45"/>
  <c r="BT266" i="45"/>
  <c r="BU266" i="45"/>
  <c r="BV266" i="45"/>
  <c r="BW266" i="45"/>
  <c r="BX266" i="45"/>
  <c r="BY266" i="45"/>
  <c r="BZ266" i="45"/>
  <c r="CA266" i="45"/>
  <c r="CB266" i="45"/>
  <c r="CC266" i="45"/>
  <c r="CD266" i="45"/>
  <c r="CE266" i="45"/>
  <c r="CF266" i="45"/>
  <c r="CH266" i="45"/>
  <c r="CI266" i="45"/>
  <c r="CJ266" i="45"/>
  <c r="CK266" i="45"/>
  <c r="I267" i="45"/>
  <c r="J267" i="45"/>
  <c r="K267" i="45"/>
  <c r="L267" i="45"/>
  <c r="M267" i="45"/>
  <c r="N267" i="45"/>
  <c r="O267" i="45"/>
  <c r="P267" i="45"/>
  <c r="Q267" i="45"/>
  <c r="R267" i="45"/>
  <c r="S267" i="45"/>
  <c r="AO267" i="45"/>
  <c r="AP267" i="45"/>
  <c r="AQ267" i="45"/>
  <c r="AR267" i="45"/>
  <c r="AS267" i="45"/>
  <c r="AT267" i="45"/>
  <c r="AU267" i="45"/>
  <c r="AV267" i="45"/>
  <c r="AW267" i="45"/>
  <c r="AX267" i="45"/>
  <c r="AY267" i="45"/>
  <c r="AZ267" i="45"/>
  <c r="BA267" i="45"/>
  <c r="BB267" i="45"/>
  <c r="BC267" i="45"/>
  <c r="BD267" i="45"/>
  <c r="BE267" i="45"/>
  <c r="BF267" i="45"/>
  <c r="BG267" i="45"/>
  <c r="BH267" i="45"/>
  <c r="BJ267" i="45"/>
  <c r="BK267" i="45"/>
  <c r="BL267" i="45"/>
  <c r="BN267" i="45"/>
  <c r="BO267" i="45"/>
  <c r="BP267" i="45"/>
  <c r="BR267" i="45"/>
  <c r="BS267" i="45"/>
  <c r="BT267" i="45"/>
  <c r="BU267" i="45"/>
  <c r="BV267" i="45"/>
  <c r="BW267" i="45"/>
  <c r="BX267" i="45"/>
  <c r="BY267" i="45"/>
  <c r="BZ267" i="45"/>
  <c r="CA267" i="45"/>
  <c r="CB267" i="45"/>
  <c r="CC267" i="45"/>
  <c r="CD267" i="45"/>
  <c r="CE267" i="45"/>
  <c r="CF267" i="45"/>
  <c r="CH267" i="45"/>
  <c r="CI267" i="45"/>
  <c r="CJ267" i="45"/>
  <c r="CK267" i="45"/>
  <c r="H268" i="45"/>
  <c r="I268" i="45"/>
  <c r="J268" i="45"/>
  <c r="K268" i="45"/>
  <c r="L268" i="45"/>
  <c r="M268" i="45"/>
  <c r="N268" i="45"/>
  <c r="O268" i="45"/>
  <c r="P268" i="45"/>
  <c r="Q268" i="45"/>
  <c r="R268" i="45"/>
  <c r="S268" i="45"/>
  <c r="AO268" i="45"/>
  <c r="AP268" i="45"/>
  <c r="AQ268" i="45"/>
  <c r="AR268" i="45"/>
  <c r="AS268" i="45"/>
  <c r="AT268" i="45"/>
  <c r="AU268" i="45"/>
  <c r="AV268" i="45"/>
  <c r="AW268" i="45"/>
  <c r="AX268" i="45"/>
  <c r="AY268" i="45"/>
  <c r="AZ268" i="45"/>
  <c r="BA268" i="45"/>
  <c r="BB268" i="45"/>
  <c r="BC268" i="45"/>
  <c r="BD268" i="45"/>
  <c r="BE268" i="45"/>
  <c r="BF268" i="45"/>
  <c r="BG268" i="45"/>
  <c r="BH268" i="45"/>
  <c r="BI268" i="45"/>
  <c r="BJ268" i="45"/>
  <c r="BK268" i="45"/>
  <c r="BL268" i="45"/>
  <c r="BM268" i="45"/>
  <c r="BN268" i="45"/>
  <c r="BO268" i="45"/>
  <c r="BP268" i="45"/>
  <c r="BQ268" i="45"/>
  <c r="BR268" i="45"/>
  <c r="BS268" i="45"/>
  <c r="BT268" i="45"/>
  <c r="BU268" i="45"/>
  <c r="BV268" i="45"/>
  <c r="BW268" i="45"/>
  <c r="BX268" i="45"/>
  <c r="BY268" i="45"/>
  <c r="BZ268" i="45"/>
  <c r="CA268" i="45"/>
  <c r="CB268" i="45"/>
  <c r="CC268" i="45"/>
  <c r="CD268" i="45"/>
  <c r="CE268" i="45"/>
  <c r="CF268" i="45"/>
  <c r="CH268" i="45"/>
  <c r="CI268" i="45"/>
  <c r="CJ268" i="45"/>
  <c r="CK268" i="45"/>
  <c r="H269" i="45"/>
  <c r="I269" i="45"/>
  <c r="J269" i="45"/>
  <c r="K269" i="45"/>
  <c r="L269" i="45"/>
  <c r="M269" i="45"/>
  <c r="N269" i="45"/>
  <c r="O269" i="45"/>
  <c r="P269" i="45"/>
  <c r="Q269" i="45"/>
  <c r="R269" i="45"/>
  <c r="S269" i="45"/>
  <c r="AO269" i="45"/>
  <c r="AP269" i="45"/>
  <c r="AQ269" i="45"/>
  <c r="AR269" i="45"/>
  <c r="AS269" i="45"/>
  <c r="AT269" i="45"/>
  <c r="AU269" i="45"/>
  <c r="AV269" i="45"/>
  <c r="AW269" i="45"/>
  <c r="AX269" i="45"/>
  <c r="AY269" i="45"/>
  <c r="AZ269" i="45"/>
  <c r="BA269" i="45"/>
  <c r="BB269" i="45"/>
  <c r="BC269" i="45"/>
  <c r="BD269" i="45"/>
  <c r="BE269" i="45"/>
  <c r="BF269" i="45"/>
  <c r="BG269" i="45"/>
  <c r="BH269" i="45"/>
  <c r="BI269" i="45"/>
  <c r="BJ269" i="45"/>
  <c r="BK269" i="45"/>
  <c r="BL269" i="45"/>
  <c r="BM269" i="45"/>
  <c r="BN269" i="45"/>
  <c r="BO269" i="45"/>
  <c r="BP269" i="45"/>
  <c r="BQ269" i="45"/>
  <c r="BR269" i="45"/>
  <c r="BS269" i="45"/>
  <c r="BT269" i="45"/>
  <c r="BU269" i="45"/>
  <c r="BV269" i="45"/>
  <c r="BW269" i="45"/>
  <c r="BX269" i="45"/>
  <c r="BY269" i="45"/>
  <c r="BZ269" i="45"/>
  <c r="CA269" i="45"/>
  <c r="CB269" i="45"/>
  <c r="CC269" i="45"/>
  <c r="CD269" i="45"/>
  <c r="CE269" i="45"/>
  <c r="CF269" i="45"/>
  <c r="CH269" i="45"/>
  <c r="CI269" i="45"/>
  <c r="CJ269" i="45"/>
  <c r="CK269" i="45"/>
  <c r="H270" i="45"/>
  <c r="I270" i="45"/>
  <c r="J270" i="45"/>
  <c r="K270" i="45"/>
  <c r="L270" i="45"/>
  <c r="M270" i="45"/>
  <c r="N270" i="45"/>
  <c r="O270" i="45"/>
  <c r="P270" i="45"/>
  <c r="Q270" i="45"/>
  <c r="R270" i="45"/>
  <c r="S270" i="45"/>
  <c r="AO270" i="45"/>
  <c r="AP270" i="45"/>
  <c r="AQ270" i="45"/>
  <c r="AR270" i="45"/>
  <c r="AS270" i="45"/>
  <c r="AT270" i="45"/>
  <c r="AU270" i="45"/>
  <c r="AV270" i="45"/>
  <c r="AW270" i="45"/>
  <c r="AX270" i="45"/>
  <c r="AY270" i="45"/>
  <c r="AZ270" i="45"/>
  <c r="BA270" i="45"/>
  <c r="BB270" i="45"/>
  <c r="BC270" i="45"/>
  <c r="BD270" i="45"/>
  <c r="BF270" i="45"/>
  <c r="BG270" i="45"/>
  <c r="BH270" i="45"/>
  <c r="BI270" i="45"/>
  <c r="BJ270" i="45"/>
  <c r="BK270" i="45"/>
  <c r="BL270" i="45"/>
  <c r="BM270" i="45"/>
  <c r="BN270" i="45"/>
  <c r="BO270" i="45"/>
  <c r="BP270" i="45"/>
  <c r="BQ270" i="45"/>
  <c r="BR270" i="45"/>
  <c r="BS270" i="45"/>
  <c r="BT270" i="45"/>
  <c r="BU270" i="45"/>
  <c r="BV270" i="45"/>
  <c r="BW270" i="45"/>
  <c r="BX270" i="45"/>
  <c r="BY270" i="45"/>
  <c r="BZ270" i="45"/>
  <c r="CA270" i="45"/>
  <c r="CB270" i="45"/>
  <c r="CC270" i="45"/>
  <c r="CD270" i="45"/>
  <c r="CE270" i="45"/>
  <c r="CF270" i="45"/>
  <c r="CH270" i="45"/>
  <c r="CI270" i="45"/>
  <c r="CJ270" i="45"/>
  <c r="CK270" i="45"/>
  <c r="H271" i="45"/>
  <c r="I271" i="45"/>
  <c r="J271" i="45"/>
  <c r="K271" i="45"/>
  <c r="L271" i="45"/>
  <c r="M271" i="45"/>
  <c r="N271" i="45"/>
  <c r="O271" i="45"/>
  <c r="P271" i="45"/>
  <c r="Q271" i="45"/>
  <c r="R271" i="45"/>
  <c r="S271" i="45"/>
  <c r="AO271" i="45"/>
  <c r="AP271" i="45"/>
  <c r="AQ271" i="45"/>
  <c r="AR271" i="45"/>
  <c r="AS271" i="45"/>
  <c r="AT271" i="45"/>
  <c r="AU271" i="45"/>
  <c r="AV271" i="45"/>
  <c r="AW271" i="45"/>
  <c r="AX271" i="45"/>
  <c r="AY271" i="45"/>
  <c r="AZ271" i="45"/>
  <c r="BA271" i="45"/>
  <c r="BB271" i="45"/>
  <c r="BC271" i="45"/>
  <c r="BD271" i="45"/>
  <c r="BE271" i="45"/>
  <c r="BF271" i="45"/>
  <c r="BG271" i="45"/>
  <c r="BH271" i="45"/>
  <c r="BI271" i="45"/>
  <c r="BJ271" i="45"/>
  <c r="BK271" i="45"/>
  <c r="BL271" i="45"/>
  <c r="BM271" i="45"/>
  <c r="BN271" i="45"/>
  <c r="BO271" i="45"/>
  <c r="BP271" i="45"/>
  <c r="BQ271" i="45"/>
  <c r="BR271" i="45"/>
  <c r="BS271" i="45"/>
  <c r="BT271" i="45"/>
  <c r="BU271" i="45"/>
  <c r="BV271" i="45"/>
  <c r="BW271" i="45"/>
  <c r="BX271" i="45"/>
  <c r="BY271" i="45"/>
  <c r="BZ271" i="45"/>
  <c r="CA271" i="45"/>
  <c r="CB271" i="45"/>
  <c r="CC271" i="45"/>
  <c r="CD271" i="45"/>
  <c r="CE271" i="45"/>
  <c r="CF271" i="45"/>
  <c r="CH271" i="45"/>
  <c r="CI271" i="45"/>
  <c r="CJ271" i="45"/>
  <c r="CK271" i="45"/>
  <c r="J272" i="45"/>
  <c r="L272" i="45"/>
  <c r="M272" i="45"/>
  <c r="N272" i="45"/>
  <c r="O272" i="45"/>
  <c r="P272" i="45"/>
  <c r="Q272" i="45"/>
  <c r="R272" i="45"/>
  <c r="S272" i="45"/>
  <c r="AO272" i="45"/>
  <c r="AP272" i="45"/>
  <c r="AQ272" i="45"/>
  <c r="AR272" i="45"/>
  <c r="AS272" i="45"/>
  <c r="AT272" i="45"/>
  <c r="AU272" i="45"/>
  <c r="AV272" i="45"/>
  <c r="AW272" i="45"/>
  <c r="AX272" i="45"/>
  <c r="AY272" i="45"/>
  <c r="AZ272" i="45"/>
  <c r="BA272" i="45"/>
  <c r="BB272" i="45"/>
  <c r="BC272" i="45"/>
  <c r="BD272" i="45"/>
  <c r="BE272" i="45"/>
  <c r="BF272" i="45"/>
  <c r="BG272" i="45"/>
  <c r="BH272" i="45"/>
  <c r="BI272" i="45"/>
  <c r="BK272" i="45"/>
  <c r="BL272" i="45"/>
  <c r="BM272" i="45"/>
  <c r="BN272" i="45"/>
  <c r="BO272" i="45"/>
  <c r="BP272" i="45"/>
  <c r="BQ272" i="45"/>
  <c r="BR272" i="45"/>
  <c r="BS272" i="45"/>
  <c r="BT272" i="45"/>
  <c r="BU272" i="45"/>
  <c r="BV272" i="45"/>
  <c r="BW272" i="45"/>
  <c r="BX272" i="45"/>
  <c r="BY272" i="45"/>
  <c r="BZ272" i="45"/>
  <c r="CA272" i="45"/>
  <c r="CB272" i="45"/>
  <c r="CC272" i="45"/>
  <c r="CD272" i="45"/>
  <c r="CE272" i="45"/>
  <c r="CF272" i="45"/>
  <c r="CH272" i="45"/>
  <c r="CI272" i="45"/>
  <c r="CJ272" i="45"/>
  <c r="CK272" i="45"/>
  <c r="J273" i="45"/>
  <c r="L273" i="45"/>
  <c r="M273" i="45"/>
  <c r="N273" i="45"/>
  <c r="O273" i="45"/>
  <c r="P273" i="45"/>
  <c r="Q273" i="45"/>
  <c r="R273" i="45"/>
  <c r="S273" i="45"/>
  <c r="AO273" i="45"/>
  <c r="AQ273" i="45"/>
  <c r="AR273" i="45"/>
  <c r="AS273" i="45"/>
  <c r="AT273" i="45"/>
  <c r="AU273" i="45"/>
  <c r="AV273" i="45"/>
  <c r="AW273" i="45"/>
  <c r="AX273" i="45"/>
  <c r="AY273" i="45"/>
  <c r="AZ273" i="45"/>
  <c r="BB273" i="45"/>
  <c r="BC273" i="45"/>
  <c r="BD273" i="45"/>
  <c r="BG273" i="45"/>
  <c r="BI273" i="45"/>
  <c r="BK273" i="45"/>
  <c r="BL273" i="45"/>
  <c r="BM273" i="45"/>
  <c r="BN273" i="45"/>
  <c r="BO273" i="45"/>
  <c r="BP273" i="45"/>
  <c r="BQ273" i="45"/>
  <c r="BR273" i="45"/>
  <c r="BS273" i="45"/>
  <c r="BT273" i="45"/>
  <c r="BU273" i="45"/>
  <c r="BV273" i="45"/>
  <c r="BW273" i="45"/>
  <c r="BX273" i="45"/>
  <c r="BY273" i="45"/>
  <c r="BZ273" i="45"/>
  <c r="CA273" i="45"/>
  <c r="CB273" i="45"/>
  <c r="CC273" i="45"/>
  <c r="CD273" i="45"/>
  <c r="CE273" i="45"/>
  <c r="CF273" i="45"/>
  <c r="CI273" i="45"/>
  <c r="CJ273" i="45"/>
  <c r="CK273" i="45"/>
  <c r="I274" i="45"/>
  <c r="J274" i="45"/>
  <c r="K274" i="45"/>
  <c r="L274" i="45"/>
  <c r="M274" i="45"/>
  <c r="N274" i="45"/>
  <c r="O274" i="45"/>
  <c r="P274" i="45"/>
  <c r="Q274" i="45"/>
  <c r="R274" i="45"/>
  <c r="S274" i="45"/>
  <c r="AO274" i="45"/>
  <c r="AP274" i="45"/>
  <c r="AQ274" i="45"/>
  <c r="AR274" i="45"/>
  <c r="AS274" i="45"/>
  <c r="AT274" i="45"/>
  <c r="AU274" i="45"/>
  <c r="AV274" i="45"/>
  <c r="AW274" i="45"/>
  <c r="AX274" i="45"/>
  <c r="AY274" i="45"/>
  <c r="AZ274" i="45"/>
  <c r="BA274" i="45"/>
  <c r="BB274" i="45"/>
  <c r="BC274" i="45"/>
  <c r="BD274" i="45"/>
  <c r="BE274" i="45"/>
  <c r="BF274" i="45"/>
  <c r="BG274" i="45"/>
  <c r="BH274" i="45"/>
  <c r="BI274" i="45"/>
  <c r="BJ274" i="45"/>
  <c r="BK274" i="45"/>
  <c r="BL274" i="45"/>
  <c r="BM274" i="45"/>
  <c r="BN274" i="45"/>
  <c r="BO274" i="45"/>
  <c r="BP274" i="45"/>
  <c r="BQ274" i="45"/>
  <c r="BR274" i="45"/>
  <c r="BS274" i="45"/>
  <c r="BT274" i="45"/>
  <c r="BU274" i="45"/>
  <c r="BV274" i="45"/>
  <c r="BW274" i="45"/>
  <c r="BX274" i="45"/>
  <c r="BY274" i="45"/>
  <c r="BZ274" i="45"/>
  <c r="CA274" i="45"/>
  <c r="CB274" i="45"/>
  <c r="CC274" i="45"/>
  <c r="CD274" i="45"/>
  <c r="CE274" i="45"/>
  <c r="CF274" i="45"/>
  <c r="CH274" i="45"/>
  <c r="CI274" i="45"/>
  <c r="CJ274" i="45"/>
  <c r="CK274" i="45"/>
  <c r="H275" i="45"/>
  <c r="I275" i="45"/>
  <c r="J275" i="45"/>
  <c r="K275" i="45"/>
  <c r="L275" i="45"/>
  <c r="M275" i="45"/>
  <c r="N275" i="45"/>
  <c r="O275" i="45"/>
  <c r="P275" i="45"/>
  <c r="Q275" i="45"/>
  <c r="R275" i="45"/>
  <c r="S275" i="45"/>
  <c r="AO275" i="45"/>
  <c r="AP275" i="45"/>
  <c r="AQ275" i="45"/>
  <c r="AR275" i="45"/>
  <c r="AS275" i="45"/>
  <c r="AT275" i="45"/>
  <c r="AU275" i="45"/>
  <c r="AV275" i="45"/>
  <c r="AW275" i="45"/>
  <c r="AX275" i="45"/>
  <c r="AY275" i="45"/>
  <c r="AZ275" i="45"/>
  <c r="BA275" i="45"/>
  <c r="BB275" i="45"/>
  <c r="BC275" i="45"/>
  <c r="BD275" i="45"/>
  <c r="BE275" i="45"/>
  <c r="BF275" i="45"/>
  <c r="BG275" i="45"/>
  <c r="BH275" i="45"/>
  <c r="BI275" i="45"/>
  <c r="BJ275" i="45"/>
  <c r="BK275" i="45"/>
  <c r="BL275" i="45"/>
  <c r="BM275" i="45"/>
  <c r="BN275" i="45"/>
  <c r="BO275" i="45"/>
  <c r="BP275" i="45"/>
  <c r="BQ275" i="45"/>
  <c r="BR275" i="45"/>
  <c r="BS275" i="45"/>
  <c r="BT275" i="45"/>
  <c r="BU275" i="45"/>
  <c r="BV275" i="45"/>
  <c r="BW275" i="45"/>
  <c r="BX275" i="45"/>
  <c r="BY275" i="45"/>
  <c r="BZ275" i="45"/>
  <c r="CA275" i="45"/>
  <c r="CB275" i="45"/>
  <c r="CC275" i="45"/>
  <c r="CD275" i="45"/>
  <c r="CE275" i="45"/>
  <c r="CF275" i="45"/>
  <c r="CH275" i="45"/>
  <c r="CI275" i="45"/>
  <c r="CJ275" i="45"/>
  <c r="CK275" i="45"/>
  <c r="J276" i="45"/>
  <c r="L276" i="45"/>
  <c r="M276" i="45"/>
  <c r="N276" i="45"/>
  <c r="O276" i="45"/>
  <c r="P276" i="45"/>
  <c r="Q276" i="45"/>
  <c r="R276" i="45"/>
  <c r="S276" i="45"/>
  <c r="AO276" i="45"/>
  <c r="AP276" i="45"/>
  <c r="AQ276" i="45"/>
  <c r="AR276" i="45"/>
  <c r="AS276" i="45"/>
  <c r="AT276" i="45"/>
  <c r="AU276" i="45"/>
  <c r="AV276" i="45"/>
  <c r="AW276" i="45"/>
  <c r="AX276" i="45"/>
  <c r="AY276" i="45"/>
  <c r="AZ276" i="45"/>
  <c r="BA276" i="45"/>
  <c r="BB276" i="45"/>
  <c r="BC276" i="45"/>
  <c r="BD276" i="45"/>
  <c r="BG276" i="45"/>
  <c r="BH276" i="45"/>
  <c r="BI276" i="45"/>
  <c r="BJ276" i="45"/>
  <c r="BK276" i="45"/>
  <c r="BL276" i="45"/>
  <c r="BM276" i="45"/>
  <c r="BO276" i="45"/>
  <c r="BP276" i="45"/>
  <c r="BQ276" i="45"/>
  <c r="BR276" i="45"/>
  <c r="BS276" i="45"/>
  <c r="BT276" i="45"/>
  <c r="BU276" i="45"/>
  <c r="BV276" i="45"/>
  <c r="BW276" i="45"/>
  <c r="BX276" i="45"/>
  <c r="BY276" i="45"/>
  <c r="BZ276" i="45"/>
  <c r="CA276" i="45"/>
  <c r="CB276" i="45"/>
  <c r="CC276" i="45"/>
  <c r="CD276" i="45"/>
  <c r="CE276" i="45"/>
  <c r="CF276" i="45"/>
  <c r="CH276" i="45"/>
  <c r="CI276" i="45"/>
  <c r="CJ276" i="45"/>
  <c r="CK276" i="45"/>
  <c r="I277" i="45"/>
  <c r="J277" i="45"/>
  <c r="K277" i="45"/>
  <c r="L277" i="45"/>
  <c r="M277" i="45"/>
  <c r="N277" i="45"/>
  <c r="O277" i="45"/>
  <c r="P277" i="45"/>
  <c r="Q277" i="45"/>
  <c r="R277" i="45"/>
  <c r="S277" i="45"/>
  <c r="AO277" i="45"/>
  <c r="AP277" i="45"/>
  <c r="AQ277" i="45"/>
  <c r="AR277" i="45"/>
  <c r="AS277" i="45"/>
  <c r="AT277" i="45"/>
  <c r="AU277" i="45"/>
  <c r="AV277" i="45"/>
  <c r="AW277" i="45"/>
  <c r="AX277" i="45"/>
  <c r="AY277" i="45"/>
  <c r="AZ277" i="45"/>
  <c r="BA277" i="45"/>
  <c r="BB277" i="45"/>
  <c r="BC277" i="45"/>
  <c r="BD277" i="45"/>
  <c r="BE277" i="45"/>
  <c r="BF277" i="45"/>
  <c r="BG277" i="45"/>
  <c r="BH277" i="45"/>
  <c r="BI277" i="45"/>
  <c r="BJ277" i="45"/>
  <c r="BK277" i="45"/>
  <c r="BL277" i="45"/>
  <c r="BM277" i="45"/>
  <c r="BN277" i="45"/>
  <c r="BO277" i="45"/>
  <c r="BP277" i="45"/>
  <c r="BQ277" i="45"/>
  <c r="BR277" i="45"/>
  <c r="BS277" i="45"/>
  <c r="BT277" i="45"/>
  <c r="BU277" i="45"/>
  <c r="BV277" i="45"/>
  <c r="BW277" i="45"/>
  <c r="BX277" i="45"/>
  <c r="BY277" i="45"/>
  <c r="BZ277" i="45"/>
  <c r="CA277" i="45"/>
  <c r="CB277" i="45"/>
  <c r="CC277" i="45"/>
  <c r="CD277" i="45"/>
  <c r="CE277" i="45"/>
  <c r="CF277" i="45"/>
  <c r="CH277" i="45"/>
  <c r="CI277" i="45"/>
  <c r="CJ277" i="45"/>
  <c r="CK277" i="45"/>
  <c r="AH278" i="45"/>
  <c r="AL278" i="45"/>
  <c r="K280" i="45"/>
  <c r="K279" i="45"/>
  <c r="AH279" i="45"/>
  <c r="AO280" i="45"/>
  <c r="AO279" i="45"/>
  <c r="AS280" i="45"/>
  <c r="AS279" i="45"/>
  <c r="AW280" i="45"/>
  <c r="AW279" i="45"/>
  <c r="BQ280" i="45"/>
  <c r="BQ279" i="45"/>
  <c r="I280" i="45"/>
  <c r="I279" i="45"/>
  <c r="J280" i="45"/>
  <c r="AH280" i="45"/>
  <c r="AP280" i="45"/>
  <c r="AP279" i="45"/>
  <c r="AQ280" i="45"/>
  <c r="AQ279" i="45"/>
  <c r="AR280" i="45"/>
  <c r="AR279" i="45"/>
  <c r="AT280" i="45"/>
  <c r="AT279" i="45"/>
  <c r="AU280" i="45"/>
  <c r="AU279" i="45"/>
  <c r="AV280" i="45"/>
  <c r="AV279" i="45"/>
  <c r="AX280" i="45"/>
  <c r="AX279" i="45"/>
  <c r="AY280" i="45"/>
  <c r="AY279" i="45"/>
  <c r="AZ280" i="45"/>
  <c r="AZ279" i="45"/>
  <c r="BB280" i="45"/>
  <c r="BB279" i="45"/>
  <c r="BC280" i="45"/>
  <c r="BC279" i="45"/>
  <c r="BD280" i="45"/>
  <c r="BD279" i="45"/>
  <c r="BE280" i="45"/>
  <c r="BE279" i="45"/>
  <c r="BF280" i="45"/>
  <c r="BF279" i="45"/>
  <c r="BG280" i="45"/>
  <c r="BG279" i="45"/>
  <c r="BH280" i="45"/>
  <c r="BH279" i="45"/>
  <c r="BI280" i="45"/>
  <c r="BI279" i="45"/>
  <c r="BJ280" i="45"/>
  <c r="BJ279" i="45"/>
  <c r="BK280" i="45"/>
  <c r="BK279" i="45"/>
  <c r="BL280" i="45"/>
  <c r="BL279" i="45"/>
  <c r="BN280" i="45"/>
  <c r="BN279" i="45"/>
  <c r="BO280" i="45"/>
  <c r="BO279" i="45"/>
  <c r="BP280" i="45"/>
  <c r="BP279" i="45"/>
  <c r="BR280" i="45"/>
  <c r="BR279" i="45"/>
  <c r="BS280" i="45"/>
  <c r="BS279" i="45"/>
  <c r="BT280" i="45"/>
  <c r="BT279" i="45"/>
  <c r="BU280" i="45"/>
  <c r="BU279" i="45"/>
  <c r="BV280" i="45"/>
  <c r="BV279" i="45"/>
  <c r="BW280" i="45"/>
  <c r="BW279" i="45"/>
  <c r="BX280" i="45"/>
  <c r="BX279" i="45"/>
  <c r="BZ280" i="45"/>
  <c r="BZ279" i="45"/>
  <c r="CA280" i="45"/>
  <c r="CA279" i="45"/>
  <c r="CB280" i="45"/>
  <c r="CB279" i="45"/>
  <c r="CC280" i="45"/>
  <c r="CC279" i="45"/>
  <c r="CD280" i="45"/>
  <c r="CD279" i="45"/>
  <c r="CE280" i="45"/>
  <c r="CE279" i="45"/>
  <c r="CF280" i="45"/>
  <c r="CF279" i="45"/>
  <c r="CH280" i="45"/>
  <c r="CH279" i="45"/>
  <c r="CI280" i="45"/>
  <c r="CI279" i="45"/>
  <c r="CJ280" i="45"/>
  <c r="CJ279" i="45"/>
  <c r="CK280" i="45"/>
  <c r="CK279" i="45"/>
  <c r="AE281" i="45"/>
  <c r="AE280" i="45"/>
  <c r="AE279" i="45"/>
  <c r="AF281" i="45"/>
  <c r="AF280" i="45"/>
  <c r="AF279" i="45"/>
  <c r="AG281" i="45"/>
  <c r="AG280" i="45"/>
  <c r="AG279" i="45"/>
  <c r="AH281" i="45"/>
  <c r="AK281" i="45"/>
  <c r="AK280" i="45"/>
  <c r="AK279" i="45"/>
  <c r="AL281" i="45"/>
  <c r="AM281" i="45"/>
  <c r="AM280" i="45"/>
  <c r="AM279" i="45"/>
  <c r="BA281" i="45"/>
  <c r="BA280" i="45"/>
  <c r="BA279" i="45"/>
  <c r="BM281" i="45"/>
  <c r="H282" i="45"/>
  <c r="AE283" i="45"/>
  <c r="AE282" i="45"/>
  <c r="AH282" i="45"/>
  <c r="I283" i="45"/>
  <c r="I282" i="45"/>
  <c r="K283" i="45"/>
  <c r="K282" i="45"/>
  <c r="AD283" i="45"/>
  <c r="AD282" i="45"/>
  <c r="AF283" i="45"/>
  <c r="AF282" i="45"/>
  <c r="AL282" i="45"/>
  <c r="AG283" i="45"/>
  <c r="AG282" i="45"/>
  <c r="AH283" i="45"/>
  <c r="AJ283" i="45"/>
  <c r="AJ282" i="45"/>
  <c r="AK283" i="45"/>
  <c r="AK282" i="45"/>
  <c r="AM283" i="45"/>
  <c r="AM282" i="45"/>
  <c r="AO283" i="45"/>
  <c r="AO282" i="45"/>
  <c r="AP283" i="45"/>
  <c r="AP282" i="45"/>
  <c r="AQ283" i="45"/>
  <c r="AQ282" i="45"/>
  <c r="AR283" i="45"/>
  <c r="AR282" i="45"/>
  <c r="AS283" i="45"/>
  <c r="AS282" i="45"/>
  <c r="AT283" i="45"/>
  <c r="AT282" i="45"/>
  <c r="AU283" i="45"/>
  <c r="AU282" i="45"/>
  <c r="AV283" i="45"/>
  <c r="AV282" i="45"/>
  <c r="AW283" i="45"/>
  <c r="AW282" i="45"/>
  <c r="AX283" i="45"/>
  <c r="AX282" i="45"/>
  <c r="AY283" i="45"/>
  <c r="AY282" i="45"/>
  <c r="AZ283" i="45"/>
  <c r="AZ282" i="45"/>
  <c r="BA283" i="45"/>
  <c r="BA282" i="45"/>
  <c r="BB283" i="45"/>
  <c r="BB282" i="45"/>
  <c r="BC283" i="45"/>
  <c r="BC282" i="45"/>
  <c r="BD283" i="45"/>
  <c r="BD282" i="45"/>
  <c r="BE283" i="45"/>
  <c r="BE282" i="45"/>
  <c r="BF283" i="45"/>
  <c r="BF282" i="45"/>
  <c r="BG283" i="45"/>
  <c r="BG282" i="45"/>
  <c r="BH283" i="45"/>
  <c r="BH282" i="45"/>
  <c r="BI283" i="45"/>
  <c r="BI282" i="45"/>
  <c r="BJ283" i="45"/>
  <c r="BJ282" i="45"/>
  <c r="BK283" i="45"/>
  <c r="BK282" i="45"/>
  <c r="BL283" i="45"/>
  <c r="BL282" i="45"/>
  <c r="BM283" i="45"/>
  <c r="BM282" i="45"/>
  <c r="BN283" i="45"/>
  <c r="BN282" i="45"/>
  <c r="BO283" i="45"/>
  <c r="BO282" i="45"/>
  <c r="BP283" i="45"/>
  <c r="BP282" i="45"/>
  <c r="BQ283" i="45"/>
  <c r="BQ282" i="45"/>
  <c r="BR283" i="45"/>
  <c r="BR282" i="45"/>
  <c r="BS283" i="45"/>
  <c r="BS282" i="45"/>
  <c r="BT283" i="45"/>
  <c r="BT282" i="45"/>
  <c r="BU283" i="45"/>
  <c r="BU282" i="45"/>
  <c r="BV283" i="45"/>
  <c r="BV282" i="45"/>
  <c r="BW283" i="45"/>
  <c r="BW282" i="45"/>
  <c r="BX283" i="45"/>
  <c r="BX282" i="45"/>
  <c r="BY283" i="45"/>
  <c r="BY282" i="45"/>
  <c r="BZ283" i="45"/>
  <c r="BZ282" i="45"/>
  <c r="CA283" i="45"/>
  <c r="CA282" i="45"/>
  <c r="CB283" i="45"/>
  <c r="CB282" i="45"/>
  <c r="CC283" i="45"/>
  <c r="CC282" i="45"/>
  <c r="CD283" i="45"/>
  <c r="CD282" i="45"/>
  <c r="CE283" i="45"/>
  <c r="CE282" i="45"/>
  <c r="CF283" i="45"/>
  <c r="CF282" i="45"/>
  <c r="CH283" i="45"/>
  <c r="CH282" i="45"/>
  <c r="CI283" i="45"/>
  <c r="CI282" i="45"/>
  <c r="CJ283" i="45"/>
  <c r="CJ282" i="45"/>
  <c r="CK283" i="45"/>
  <c r="CK282" i="45"/>
  <c r="CM283" i="45"/>
  <c r="CM282" i="45"/>
  <c r="CN283" i="45"/>
  <c r="CN282" i="45"/>
  <c r="AH284" i="45"/>
  <c r="AL284" i="45"/>
  <c r="BY284" i="45"/>
  <c r="BY280" i="45"/>
  <c r="BY279" i="45"/>
  <c r="AC285" i="45"/>
  <c r="AE285" i="45"/>
  <c r="AK285" i="45"/>
  <c r="AF285" i="45"/>
  <c r="AG285" i="45"/>
  <c r="AM285" i="45"/>
  <c r="AH285" i="45"/>
  <c r="AI285" i="45"/>
  <c r="AL285" i="45"/>
  <c r="AH286" i="45"/>
  <c r="BN287" i="45"/>
  <c r="BN286" i="45"/>
  <c r="BS287" i="45"/>
  <c r="BS286" i="45"/>
  <c r="BW287" i="45"/>
  <c r="BW286" i="45"/>
  <c r="CB287" i="45"/>
  <c r="CB286" i="45"/>
  <c r="CK287" i="45"/>
  <c r="CK286" i="45"/>
  <c r="J287" i="45"/>
  <c r="J286" i="45"/>
  <c r="K287" i="45"/>
  <c r="K286" i="45"/>
  <c r="L287" i="45"/>
  <c r="M287" i="45"/>
  <c r="N287" i="45"/>
  <c r="O287" i="45"/>
  <c r="P287" i="45"/>
  <c r="Q287" i="45"/>
  <c r="R287" i="45"/>
  <c r="S287" i="45"/>
  <c r="T287" i="45"/>
  <c r="U287" i="45"/>
  <c r="V287" i="45"/>
  <c r="Z287" i="45"/>
  <c r="AA287" i="45"/>
  <c r="AB287" i="45"/>
  <c r="AO287" i="45"/>
  <c r="AO286" i="45"/>
  <c r="AP287" i="45"/>
  <c r="AP286" i="45"/>
  <c r="AQ287" i="45"/>
  <c r="AQ286" i="45"/>
  <c r="AR287" i="45"/>
  <c r="AR286" i="45"/>
  <c r="AS287" i="45"/>
  <c r="AS286" i="45"/>
  <c r="AT287" i="45"/>
  <c r="AT286" i="45"/>
  <c r="AU287" i="45"/>
  <c r="AU286" i="45"/>
  <c r="AV287" i="45"/>
  <c r="AV286" i="45"/>
  <c r="AX287" i="45"/>
  <c r="AX286" i="45"/>
  <c r="AY287" i="45"/>
  <c r="AY286" i="45"/>
  <c r="AZ287" i="45"/>
  <c r="AZ286" i="45"/>
  <c r="BA287" i="45"/>
  <c r="BB287" i="45"/>
  <c r="BB286" i="45"/>
  <c r="BC287" i="45"/>
  <c r="BC286" i="45"/>
  <c r="BD287" i="45"/>
  <c r="BD286" i="45"/>
  <c r="BF287" i="45"/>
  <c r="BF286" i="45"/>
  <c r="BG287" i="45"/>
  <c r="BG286" i="45"/>
  <c r="BH287" i="45"/>
  <c r="BH286" i="45"/>
  <c r="BJ287" i="45"/>
  <c r="BJ286" i="45"/>
  <c r="BK287" i="45"/>
  <c r="BK286" i="45"/>
  <c r="BL287" i="45"/>
  <c r="BL286" i="45"/>
  <c r="BO287" i="45"/>
  <c r="BO286" i="45"/>
  <c r="BP287" i="45"/>
  <c r="BP286" i="45"/>
  <c r="BR287" i="45"/>
  <c r="BR286" i="45"/>
  <c r="BT287" i="45"/>
  <c r="BT286" i="45"/>
  <c r="BU287" i="45"/>
  <c r="BU286" i="45"/>
  <c r="BV287" i="45"/>
  <c r="BV286" i="45"/>
  <c r="BX287" i="45"/>
  <c r="BX286" i="45"/>
  <c r="BZ287" i="45"/>
  <c r="BZ286" i="45"/>
  <c r="CA287" i="45"/>
  <c r="CA286" i="45"/>
  <c r="CC287" i="45"/>
  <c r="CD287" i="45"/>
  <c r="CD286" i="45"/>
  <c r="CE287" i="45"/>
  <c r="CE286" i="45"/>
  <c r="CF287" i="45"/>
  <c r="CF286" i="45"/>
  <c r="CG287" i="45"/>
  <c r="AH287" i="45"/>
  <c r="CI287" i="45"/>
  <c r="CI286" i="45"/>
  <c r="CJ287" i="45"/>
  <c r="CJ286" i="45"/>
  <c r="X288" i="45"/>
  <c r="Y288" i="45"/>
  <c r="Y290" i="45"/>
  <c r="Y287" i="45"/>
  <c r="AE288" i="45"/>
  <c r="AF288" i="45"/>
  <c r="AG288" i="45"/>
  <c r="AH288" i="45"/>
  <c r="AK288" i="45"/>
  <c r="AL288" i="45"/>
  <c r="AM288" i="45"/>
  <c r="BI288" i="45"/>
  <c r="BM288" i="45"/>
  <c r="AC288" i="45"/>
  <c r="CZ288" i="45"/>
  <c r="AC289" i="45"/>
  <c r="AE289" i="45"/>
  <c r="AK289" i="45"/>
  <c r="AF289" i="45"/>
  <c r="AG289" i="45"/>
  <c r="AM289" i="45"/>
  <c r="AH289" i="45"/>
  <c r="AI289" i="45"/>
  <c r="AL289" i="45"/>
  <c r="W290" i="45"/>
  <c r="X290" i="45"/>
  <c r="AE290" i="45"/>
  <c r="AF290" i="45"/>
  <c r="AG290" i="45"/>
  <c r="AH290" i="45"/>
  <c r="AK290" i="45"/>
  <c r="AL290" i="45"/>
  <c r="AM290" i="45"/>
  <c r="BM290" i="45"/>
  <c r="AC290" i="45"/>
  <c r="AC291" i="45"/>
  <c r="AE291" i="45"/>
  <c r="AK291" i="45"/>
  <c r="AF291" i="45"/>
  <c r="AG291" i="45"/>
  <c r="AM291" i="45"/>
  <c r="AH291" i="45"/>
  <c r="AI291" i="45"/>
  <c r="AL291" i="45"/>
  <c r="AC292" i="45"/>
  <c r="AI292" i="45"/>
  <c r="AE292" i="45"/>
  <c r="AF292" i="45"/>
  <c r="AG292" i="45"/>
  <c r="AD292" i="45"/>
  <c r="AH292" i="45"/>
  <c r="AK292" i="45"/>
  <c r="AM292" i="45"/>
  <c r="AC293" i="45"/>
  <c r="AE293" i="45"/>
  <c r="AK293" i="45"/>
  <c r="AE310" i="45"/>
  <c r="AK310" i="45"/>
  <c r="AE327" i="45"/>
  <c r="AK327" i="45"/>
  <c r="AK270" i="45"/>
  <c r="AF293" i="45"/>
  <c r="AG293" i="45"/>
  <c r="AM293" i="45"/>
  <c r="AG310" i="45"/>
  <c r="AM310" i="45"/>
  <c r="AG327" i="45"/>
  <c r="AM327" i="45"/>
  <c r="AM270" i="45"/>
  <c r="AH293" i="45"/>
  <c r="AI293" i="45"/>
  <c r="AL293" i="45"/>
  <c r="AC294" i="45"/>
  <c r="AI294" i="45"/>
  <c r="AE294" i="45"/>
  <c r="AF294" i="45"/>
  <c r="AL294" i="45"/>
  <c r="AK294" i="45"/>
  <c r="AG294" i="45"/>
  <c r="AM294" i="45"/>
  <c r="AJ294" i="45"/>
  <c r="AH294" i="45"/>
  <c r="AC295" i="45"/>
  <c r="AE295" i="45"/>
  <c r="AK295" i="45"/>
  <c r="AF295" i="45"/>
  <c r="AG295" i="45"/>
  <c r="AM295" i="45"/>
  <c r="AH295" i="45"/>
  <c r="AI295" i="45"/>
  <c r="AL295" i="45"/>
  <c r="AC296" i="45"/>
  <c r="AI296" i="45"/>
  <c r="AE296" i="45"/>
  <c r="AF296" i="45"/>
  <c r="AG296" i="45"/>
  <c r="AD296" i="45"/>
  <c r="AH296" i="45"/>
  <c r="AL296" i="45"/>
  <c r="AM296" i="45"/>
  <c r="AC297" i="45"/>
  <c r="AI297" i="45"/>
  <c r="AE297" i="45"/>
  <c r="AF297" i="45"/>
  <c r="AL297" i="45"/>
  <c r="AG297" i="45"/>
  <c r="AH297" i="45"/>
  <c r="AK297" i="45"/>
  <c r="AM297" i="45"/>
  <c r="AC298" i="45"/>
  <c r="AE298" i="45"/>
  <c r="AK298" i="45"/>
  <c r="AF298" i="45"/>
  <c r="AG298" i="45"/>
  <c r="AM298" i="45"/>
  <c r="AH298" i="45"/>
  <c r="AI298" i="45"/>
  <c r="AL298" i="45"/>
  <c r="AC299" i="45"/>
  <c r="AE299" i="45"/>
  <c r="AF299" i="45"/>
  <c r="AG299" i="45"/>
  <c r="AH299" i="45"/>
  <c r="AK299" i="45"/>
  <c r="AL299" i="45"/>
  <c r="AM299" i="45"/>
  <c r="AC300" i="45"/>
  <c r="AE300" i="45"/>
  <c r="AK300" i="45"/>
  <c r="AE317" i="45"/>
  <c r="AK317" i="45"/>
  <c r="AE334" i="45"/>
  <c r="AK334" i="45"/>
  <c r="AK277" i="45"/>
  <c r="AF300" i="45"/>
  <c r="AG300" i="45"/>
  <c r="AM300" i="45"/>
  <c r="AG317" i="45"/>
  <c r="AM317" i="45"/>
  <c r="AG334" i="45"/>
  <c r="AM334" i="45"/>
  <c r="AM277" i="45"/>
  <c r="AH300" i="45"/>
  <c r="AI300" i="45"/>
  <c r="AL300" i="45"/>
  <c r="AH301" i="45"/>
  <c r="AL301" i="45"/>
  <c r="AC302" i="45"/>
  <c r="AI302" i="45"/>
  <c r="AE302" i="45"/>
  <c r="AF302" i="45"/>
  <c r="AL302" i="45"/>
  <c r="AG302" i="45"/>
  <c r="AH302" i="45"/>
  <c r="AK302" i="45"/>
  <c r="AM302" i="45"/>
  <c r="AH303" i="45"/>
  <c r="AQ304" i="45"/>
  <c r="AQ303" i="45"/>
  <c r="AU304" i="45"/>
  <c r="AU303" i="45"/>
  <c r="AY304" i="45"/>
  <c r="AY303" i="45"/>
  <c r="BP304" i="45"/>
  <c r="BP303" i="45"/>
  <c r="BU304" i="45"/>
  <c r="BU303" i="45"/>
  <c r="J304" i="45"/>
  <c r="J303" i="45"/>
  <c r="L304" i="45"/>
  <c r="M304" i="45"/>
  <c r="N304" i="45"/>
  <c r="O304" i="45"/>
  <c r="P304" i="45"/>
  <c r="Q304" i="45"/>
  <c r="R304" i="45"/>
  <c r="S304" i="45"/>
  <c r="T304" i="45"/>
  <c r="U304" i="45"/>
  <c r="V304" i="45"/>
  <c r="AH304" i="45"/>
  <c r="AR304" i="45"/>
  <c r="AR303" i="45"/>
  <c r="AS304" i="45"/>
  <c r="AS303" i="45"/>
  <c r="AT304" i="45"/>
  <c r="AT303" i="45"/>
  <c r="AV304" i="45"/>
  <c r="AV303" i="45"/>
  <c r="AW304" i="45"/>
  <c r="AW303" i="45"/>
  <c r="AX304" i="45"/>
  <c r="AX303" i="45"/>
  <c r="AZ304" i="45"/>
  <c r="AZ303" i="45"/>
  <c r="BB304" i="45"/>
  <c r="BB303" i="45"/>
  <c r="BC304" i="45"/>
  <c r="BC303" i="45"/>
  <c r="BD304" i="45"/>
  <c r="BD303" i="45"/>
  <c r="BG304" i="45"/>
  <c r="BG303" i="45"/>
  <c r="BJ304" i="45"/>
  <c r="BJ303" i="45"/>
  <c r="BK304" i="45"/>
  <c r="BK303" i="45"/>
  <c r="BL304" i="45"/>
  <c r="BL303" i="45"/>
  <c r="BO304" i="45"/>
  <c r="BO303" i="45"/>
  <c r="BR304" i="45"/>
  <c r="BR303" i="45"/>
  <c r="BS304" i="45"/>
  <c r="BS303" i="45"/>
  <c r="BT304" i="45"/>
  <c r="BT303" i="45"/>
  <c r="BV304" i="45"/>
  <c r="BV303" i="45"/>
  <c r="BW304" i="45"/>
  <c r="BW303" i="45"/>
  <c r="BX304" i="45"/>
  <c r="BX303" i="45"/>
  <c r="BZ304" i="45"/>
  <c r="BZ303" i="45"/>
  <c r="CA304" i="45"/>
  <c r="CA303" i="45"/>
  <c r="CB304" i="45"/>
  <c r="CB303" i="45"/>
  <c r="CD304" i="45"/>
  <c r="CD303" i="45"/>
  <c r="CE304" i="45"/>
  <c r="CE303" i="45"/>
  <c r="CF304" i="45"/>
  <c r="CF303" i="45"/>
  <c r="X305" i="45"/>
  <c r="Y305" i="45"/>
  <c r="AE305" i="45"/>
  <c r="AF305" i="45"/>
  <c r="AG305" i="45"/>
  <c r="AH305" i="45"/>
  <c r="AK305" i="45"/>
  <c r="AL305" i="45"/>
  <c r="AM305" i="45"/>
  <c r="BI305" i="45"/>
  <c r="BM305" i="45"/>
  <c r="BQ305" i="45"/>
  <c r="BQ265" i="45"/>
  <c r="BY305" i="45"/>
  <c r="BY265" i="45"/>
  <c r="AE306" i="45"/>
  <c r="AK306" i="45"/>
  <c r="AF306" i="45"/>
  <c r="AG306" i="45"/>
  <c r="AM306" i="45"/>
  <c r="AH306" i="45"/>
  <c r="AL306" i="45"/>
  <c r="AO306" i="45"/>
  <c r="AO266" i="45"/>
  <c r="W307" i="45"/>
  <c r="X307" i="45"/>
  <c r="Y307" i="45"/>
  <c r="AE307" i="45"/>
  <c r="AF307" i="45"/>
  <c r="AG307" i="45"/>
  <c r="AH307" i="45"/>
  <c r="AK307" i="45"/>
  <c r="AL307" i="45"/>
  <c r="AM307" i="45"/>
  <c r="BI307" i="45"/>
  <c r="BM307" i="45"/>
  <c r="BQ307" i="45"/>
  <c r="BQ267" i="45"/>
  <c r="CZ307" i="45"/>
  <c r="AC308" i="45"/>
  <c r="AE308" i="45"/>
  <c r="AK308" i="45"/>
  <c r="AF308" i="45"/>
  <c r="AG308" i="45"/>
  <c r="AM308" i="45"/>
  <c r="AH308" i="45"/>
  <c r="AI308" i="45"/>
  <c r="AL308" i="45"/>
  <c r="AC309" i="45"/>
  <c r="AI309" i="45"/>
  <c r="AE309" i="45"/>
  <c r="AF309" i="45"/>
  <c r="AG309" i="45"/>
  <c r="AD309" i="45"/>
  <c r="AH309" i="45"/>
  <c r="AK309" i="45"/>
  <c r="AM309" i="45"/>
  <c r="AF310" i="45"/>
  <c r="AH310" i="45"/>
  <c r="AL310" i="45"/>
  <c r="BE310" i="45"/>
  <c r="BE270" i="45"/>
  <c r="AC311" i="45"/>
  <c r="AE311" i="45"/>
  <c r="AK311" i="45"/>
  <c r="AF311" i="45"/>
  <c r="AG311" i="45"/>
  <c r="AM311" i="45"/>
  <c r="AH311" i="45"/>
  <c r="AI311" i="45"/>
  <c r="AL311" i="45"/>
  <c r="AC312" i="45"/>
  <c r="AI312" i="45"/>
  <c r="K312" i="45"/>
  <c r="AE312" i="45"/>
  <c r="AF312" i="45"/>
  <c r="AG312" i="45"/>
  <c r="AD312" i="45"/>
  <c r="AH312" i="45"/>
  <c r="AK312" i="45"/>
  <c r="K313" i="45"/>
  <c r="K273" i="45"/>
  <c r="AF313" i="45"/>
  <c r="AH313" i="45"/>
  <c r="AL313" i="45"/>
  <c r="AP313" i="45"/>
  <c r="AP273" i="45"/>
  <c r="BA313" i="45"/>
  <c r="BA273" i="45"/>
  <c r="BE313" i="45"/>
  <c r="BE273" i="45"/>
  <c r="BF313" i="45"/>
  <c r="BF273" i="45"/>
  <c r="BH313" i="45"/>
  <c r="BH273" i="45"/>
  <c r="CH313" i="45"/>
  <c r="CH273" i="45"/>
  <c r="AC314" i="45"/>
  <c r="AI314" i="45"/>
  <c r="AE314" i="45"/>
  <c r="AF314" i="45"/>
  <c r="AL314" i="45"/>
  <c r="AG314" i="45"/>
  <c r="AH314" i="45"/>
  <c r="AK314" i="45"/>
  <c r="AM314" i="45"/>
  <c r="AC315" i="45"/>
  <c r="AE315" i="45"/>
  <c r="AK315" i="45"/>
  <c r="AF315" i="45"/>
  <c r="AG315" i="45"/>
  <c r="AM315" i="45"/>
  <c r="AH315" i="45"/>
  <c r="AI315" i="45"/>
  <c r="AL315" i="45"/>
  <c r="I276" i="45"/>
  <c r="K316" i="45"/>
  <c r="K276" i="45"/>
  <c r="BE316" i="45"/>
  <c r="AC316" i="45"/>
  <c r="AF316" i="45"/>
  <c r="AG316" i="45"/>
  <c r="AH316" i="45"/>
  <c r="AI316" i="45"/>
  <c r="AL316" i="45"/>
  <c r="AM316" i="45"/>
  <c r="BE276" i="45"/>
  <c r="BF316" i="45"/>
  <c r="BF304" i="45"/>
  <c r="BF303" i="45"/>
  <c r="BN316" i="45"/>
  <c r="BN276" i="45"/>
  <c r="AC317" i="45"/>
  <c r="AI317" i="45"/>
  <c r="AF317" i="45"/>
  <c r="AL317" i="45"/>
  <c r="AH317" i="45"/>
  <c r="AC318" i="45"/>
  <c r="AE318" i="45"/>
  <c r="AF318" i="45"/>
  <c r="AD318" i="45"/>
  <c r="AH318" i="45"/>
  <c r="AL318" i="45"/>
  <c r="AC319" i="45"/>
  <c r="AI319" i="45"/>
  <c r="AE319" i="45"/>
  <c r="AF319" i="45"/>
  <c r="AL319" i="45"/>
  <c r="AG319" i="45"/>
  <c r="AH319" i="45"/>
  <c r="AK319" i="45"/>
  <c r="AM319" i="45"/>
  <c r="AH320" i="45"/>
  <c r="BQ321" i="45"/>
  <c r="BQ320" i="45"/>
  <c r="BU321" i="45"/>
  <c r="BU320" i="45"/>
  <c r="BY321" i="45"/>
  <c r="BY320" i="45"/>
  <c r="CC321" i="45"/>
  <c r="CC320" i="45"/>
  <c r="J321" i="45"/>
  <c r="J320" i="45"/>
  <c r="AH321" i="45"/>
  <c r="AO321" i="45"/>
  <c r="AO320" i="45"/>
  <c r="AP321" i="45"/>
  <c r="AP320" i="45"/>
  <c r="AQ321" i="45"/>
  <c r="AQ320" i="45"/>
  <c r="AR321" i="45"/>
  <c r="AR320" i="45"/>
  <c r="AS321" i="45"/>
  <c r="AS320" i="45"/>
  <c r="AT321" i="45"/>
  <c r="AT320" i="45"/>
  <c r="AU321" i="45"/>
  <c r="AU320" i="45"/>
  <c r="AV321" i="45"/>
  <c r="AV320" i="45"/>
  <c r="AW321" i="45"/>
  <c r="AW320" i="45"/>
  <c r="AX321" i="45"/>
  <c r="AX320" i="45"/>
  <c r="AY321" i="45"/>
  <c r="AY320" i="45"/>
  <c r="AZ321" i="45"/>
  <c r="AZ320" i="45"/>
  <c r="BA321" i="45"/>
  <c r="BA320" i="45"/>
  <c r="BB321" i="45"/>
  <c r="BB320" i="45"/>
  <c r="BC321" i="45"/>
  <c r="BC320" i="45"/>
  <c r="BD321" i="45"/>
  <c r="BD320" i="45"/>
  <c r="BE321" i="45"/>
  <c r="BE320" i="45"/>
  <c r="BF321" i="45"/>
  <c r="BF320" i="45"/>
  <c r="BG321" i="45"/>
  <c r="BG320" i="45"/>
  <c r="BH321" i="45"/>
  <c r="BH320" i="45"/>
  <c r="BK321" i="45"/>
  <c r="BK320" i="45"/>
  <c r="BL321" i="45"/>
  <c r="BL320" i="45"/>
  <c r="BN321" i="45"/>
  <c r="BN320" i="45"/>
  <c r="BO321" i="45"/>
  <c r="BO320" i="45"/>
  <c r="BP321" i="45"/>
  <c r="BP320" i="45"/>
  <c r="BR321" i="45"/>
  <c r="BR320" i="45"/>
  <c r="BS321" i="45"/>
  <c r="BS320" i="45"/>
  <c r="BT321" i="45"/>
  <c r="BT320" i="45"/>
  <c r="BV321" i="45"/>
  <c r="BV320" i="45"/>
  <c r="BW321" i="45"/>
  <c r="BW320" i="45"/>
  <c r="BX321" i="45"/>
  <c r="BX320" i="45"/>
  <c r="BZ321" i="45"/>
  <c r="BZ320" i="45"/>
  <c r="CA321" i="45"/>
  <c r="CA320" i="45"/>
  <c r="CB321" i="45"/>
  <c r="CB320" i="45"/>
  <c r="CD321" i="45"/>
  <c r="CD320" i="45"/>
  <c r="CE321" i="45"/>
  <c r="CE320" i="45"/>
  <c r="CF321" i="45"/>
  <c r="CF320" i="45"/>
  <c r="W322" i="45"/>
  <c r="X322" i="45"/>
  <c r="Y322" i="45"/>
  <c r="AE322" i="45"/>
  <c r="AF322" i="45"/>
  <c r="AG322" i="45"/>
  <c r="AH322" i="45"/>
  <c r="AK322" i="45"/>
  <c r="AL322" i="45"/>
  <c r="AM322" i="45"/>
  <c r="BI322" i="45"/>
  <c r="BI321" i="45"/>
  <c r="BI320" i="45"/>
  <c r="BM322" i="45"/>
  <c r="AC322" i="45"/>
  <c r="CZ322" i="45"/>
  <c r="AC323" i="45"/>
  <c r="AI323" i="45"/>
  <c r="AE323" i="45"/>
  <c r="AF323" i="45"/>
  <c r="AL323" i="45"/>
  <c r="AG323" i="45"/>
  <c r="AH323" i="45"/>
  <c r="AK323" i="45"/>
  <c r="AM323" i="45"/>
  <c r="W324" i="45"/>
  <c r="X324" i="45"/>
  <c r="Y324" i="45"/>
  <c r="BM324" i="45"/>
  <c r="AC324" i="45"/>
  <c r="AI324" i="45"/>
  <c r="CY324" i="45"/>
  <c r="AE324" i="45"/>
  <c r="AF324" i="45"/>
  <c r="AL324" i="45"/>
  <c r="AG324" i="45"/>
  <c r="AH324" i="45"/>
  <c r="AK324" i="45"/>
  <c r="AM324" i="45"/>
  <c r="CX324" i="45"/>
  <c r="CZ324" i="45"/>
  <c r="AC325" i="45"/>
  <c r="AI325" i="45"/>
  <c r="AE325" i="45"/>
  <c r="AF325" i="45"/>
  <c r="AG325" i="45"/>
  <c r="AD325" i="45"/>
  <c r="AH325" i="45"/>
  <c r="AK325" i="45"/>
  <c r="AM325" i="45"/>
  <c r="AC326" i="45"/>
  <c r="AE326" i="45"/>
  <c r="AK326" i="45"/>
  <c r="AF326" i="45"/>
  <c r="AG326" i="45"/>
  <c r="AM326" i="45"/>
  <c r="AH326" i="45"/>
  <c r="AI326" i="45"/>
  <c r="AL326" i="45"/>
  <c r="AC327" i="45"/>
  <c r="AI327" i="45"/>
  <c r="AF327" i="45"/>
  <c r="AD327" i="45"/>
  <c r="AH327" i="45"/>
  <c r="AC328" i="45"/>
  <c r="AE328" i="45"/>
  <c r="AK328" i="45"/>
  <c r="AF328" i="45"/>
  <c r="AG328" i="45"/>
  <c r="AM328" i="45"/>
  <c r="AH328" i="45"/>
  <c r="AI328" i="45"/>
  <c r="AL328" i="45"/>
  <c r="I272" i="45"/>
  <c r="K329" i="45"/>
  <c r="K321" i="45"/>
  <c r="K320" i="45"/>
  <c r="AC329" i="45"/>
  <c r="AF329" i="45"/>
  <c r="AG329" i="45"/>
  <c r="AH329" i="45"/>
  <c r="AI329" i="45"/>
  <c r="AL329" i="45"/>
  <c r="BJ329" i="45"/>
  <c r="BJ330" i="45"/>
  <c r="BJ321" i="45"/>
  <c r="BJ320" i="45"/>
  <c r="AC330" i="45"/>
  <c r="AI330" i="45"/>
  <c r="AF330" i="45"/>
  <c r="AL330" i="45"/>
  <c r="AG330" i="45"/>
  <c r="AH330" i="45"/>
  <c r="AM330" i="45"/>
  <c r="BJ273" i="45"/>
  <c r="AC331" i="45"/>
  <c r="AE331" i="45"/>
  <c r="AF331" i="45"/>
  <c r="AG331" i="45"/>
  <c r="AH331" i="45"/>
  <c r="AK331" i="45"/>
  <c r="AL331" i="45"/>
  <c r="AM331" i="45"/>
  <c r="AC332" i="45"/>
  <c r="AE332" i="45"/>
  <c r="AK332" i="45"/>
  <c r="AF332" i="45"/>
  <c r="AG332" i="45"/>
  <c r="AM332" i="45"/>
  <c r="AH332" i="45"/>
  <c r="AI332" i="45"/>
  <c r="AL332" i="45"/>
  <c r="AC333" i="45"/>
  <c r="AI333" i="45"/>
  <c r="AE333" i="45"/>
  <c r="AF333" i="45"/>
  <c r="AG333" i="45"/>
  <c r="AD333" i="45"/>
  <c r="AH333" i="45"/>
  <c r="AK333" i="45"/>
  <c r="AM333" i="45"/>
  <c r="AC334" i="45"/>
  <c r="AF334" i="45"/>
  <c r="AD334" i="45"/>
  <c r="AH334" i="45"/>
  <c r="AL334" i="45"/>
  <c r="AJ334" i="45"/>
  <c r="AC335" i="45"/>
  <c r="AE335" i="45"/>
  <c r="AF335" i="45"/>
  <c r="AD335" i="45"/>
  <c r="AH335" i="45"/>
  <c r="AL335" i="45"/>
  <c r="AC336" i="45"/>
  <c r="AE336" i="45"/>
  <c r="AK336" i="45"/>
  <c r="AF336" i="45"/>
  <c r="AG336" i="45"/>
  <c r="AM336" i="45"/>
  <c r="AH336" i="45"/>
  <c r="AI336" i="45"/>
  <c r="AL336" i="45"/>
  <c r="AC337" i="45"/>
  <c r="AI337" i="45"/>
  <c r="AE337" i="45"/>
  <c r="AF337" i="45"/>
  <c r="AL337" i="45"/>
  <c r="AG337" i="45"/>
  <c r="AH337" i="45"/>
  <c r="AK337" i="45"/>
  <c r="AM337" i="45"/>
  <c r="T339" i="45"/>
  <c r="I340" i="45"/>
  <c r="J340" i="45"/>
  <c r="K340" i="45"/>
  <c r="L340" i="45"/>
  <c r="M340" i="45"/>
  <c r="N340" i="45"/>
  <c r="O340" i="45"/>
  <c r="P340" i="45"/>
  <c r="Q340" i="45"/>
  <c r="R340" i="45"/>
  <c r="S340" i="45"/>
  <c r="Z340" i="45"/>
  <c r="AO340" i="45"/>
  <c r="AP340" i="45"/>
  <c r="AQ340" i="45"/>
  <c r="AR340" i="45"/>
  <c r="AS340" i="45"/>
  <c r="AT340" i="45"/>
  <c r="AU340" i="45"/>
  <c r="AV340" i="45"/>
  <c r="AW340" i="45"/>
  <c r="AX340" i="45"/>
  <c r="AY340" i="45"/>
  <c r="AZ340" i="45"/>
  <c r="BA340" i="45"/>
  <c r="BB340" i="45"/>
  <c r="BC340" i="45"/>
  <c r="BD340" i="45"/>
  <c r="BE340" i="45"/>
  <c r="BF340" i="45"/>
  <c r="BG340" i="45"/>
  <c r="BH340" i="45"/>
  <c r="BJ340" i="45"/>
  <c r="BK340" i="45"/>
  <c r="BL340" i="45"/>
  <c r="BN340" i="45"/>
  <c r="BO340" i="45"/>
  <c r="BP340" i="45"/>
  <c r="BR340" i="45"/>
  <c r="BS340" i="45"/>
  <c r="BT340" i="45"/>
  <c r="BV340" i="45"/>
  <c r="BW340" i="45"/>
  <c r="BX340" i="45"/>
  <c r="BZ340" i="45"/>
  <c r="CA340" i="45"/>
  <c r="CB340" i="45"/>
  <c r="CC340" i="45"/>
  <c r="CD340" i="45"/>
  <c r="CE340" i="45"/>
  <c r="CF340" i="45"/>
  <c r="I341" i="45"/>
  <c r="J341" i="45"/>
  <c r="K341" i="45"/>
  <c r="L341" i="45"/>
  <c r="M341" i="45"/>
  <c r="N341" i="45"/>
  <c r="O341" i="45"/>
  <c r="P341" i="45"/>
  <c r="Q341" i="45"/>
  <c r="R341" i="45"/>
  <c r="S341" i="45"/>
  <c r="U341" i="45"/>
  <c r="AN341" i="45"/>
  <c r="AP341" i="45"/>
  <c r="AQ341" i="45"/>
  <c r="AR341" i="45"/>
  <c r="AS341" i="45"/>
  <c r="AT341" i="45"/>
  <c r="AU341" i="45"/>
  <c r="AV341" i="45"/>
  <c r="AW341" i="45"/>
  <c r="AX341" i="45"/>
  <c r="AY341" i="45"/>
  <c r="AZ341" i="45"/>
  <c r="BA341" i="45"/>
  <c r="BB341" i="45"/>
  <c r="BC341" i="45"/>
  <c r="BD341" i="45"/>
  <c r="BE341" i="45"/>
  <c r="BF341" i="45"/>
  <c r="BG341" i="45"/>
  <c r="BH341" i="45"/>
  <c r="BI341" i="45"/>
  <c r="BJ341" i="45"/>
  <c r="BK341" i="45"/>
  <c r="BL341" i="45"/>
  <c r="BM341" i="45"/>
  <c r="BN341" i="45"/>
  <c r="BO341" i="45"/>
  <c r="BP341" i="45"/>
  <c r="BQ341" i="45"/>
  <c r="BR341" i="45"/>
  <c r="BS341" i="45"/>
  <c r="BT341" i="45"/>
  <c r="BU341" i="45"/>
  <c r="BV341" i="45"/>
  <c r="BW341" i="45"/>
  <c r="BX341" i="45"/>
  <c r="BY341" i="45"/>
  <c r="BZ341" i="45"/>
  <c r="CA341" i="45"/>
  <c r="CB341" i="45"/>
  <c r="CC341" i="45"/>
  <c r="CD341" i="45"/>
  <c r="CE341" i="45"/>
  <c r="CF341" i="45"/>
  <c r="I342" i="45"/>
  <c r="J342" i="45"/>
  <c r="K342" i="45"/>
  <c r="L342" i="45"/>
  <c r="M342" i="45"/>
  <c r="N342" i="45"/>
  <c r="O342" i="45"/>
  <c r="P342" i="45"/>
  <c r="Q342" i="45"/>
  <c r="R342" i="45"/>
  <c r="S342" i="45"/>
  <c r="Z342" i="45"/>
  <c r="AO342" i="45"/>
  <c r="AP342" i="45"/>
  <c r="AQ342" i="45"/>
  <c r="AR342" i="45"/>
  <c r="AS342" i="45"/>
  <c r="AT342" i="45"/>
  <c r="AU342" i="45"/>
  <c r="AV342" i="45"/>
  <c r="AW342" i="45"/>
  <c r="AX342" i="45"/>
  <c r="AY342" i="45"/>
  <c r="AZ342" i="45"/>
  <c r="BA342" i="45"/>
  <c r="BB342" i="45"/>
  <c r="BC342" i="45"/>
  <c r="BD342" i="45"/>
  <c r="BE342" i="45"/>
  <c r="BF342" i="45"/>
  <c r="BG342" i="45"/>
  <c r="BH342" i="45"/>
  <c r="BI342" i="45"/>
  <c r="BJ342" i="45"/>
  <c r="BK342" i="45"/>
  <c r="BL342" i="45"/>
  <c r="BN342" i="45"/>
  <c r="BO342" i="45"/>
  <c r="BP342" i="45"/>
  <c r="BR342" i="45"/>
  <c r="BS342" i="45"/>
  <c r="BT342" i="45"/>
  <c r="BV342" i="45"/>
  <c r="BW342" i="45"/>
  <c r="BX342" i="45"/>
  <c r="BY342" i="45"/>
  <c r="BZ342" i="45"/>
  <c r="CA342" i="45"/>
  <c r="CB342" i="45"/>
  <c r="CC342" i="45"/>
  <c r="CD342" i="45"/>
  <c r="CE342" i="45"/>
  <c r="CF342" i="45"/>
  <c r="I343" i="45"/>
  <c r="J343" i="45"/>
  <c r="K343" i="45"/>
  <c r="L343" i="45"/>
  <c r="M343" i="45"/>
  <c r="N343" i="45"/>
  <c r="O343" i="45"/>
  <c r="P343" i="45"/>
  <c r="Q343" i="45"/>
  <c r="R343" i="45"/>
  <c r="S343" i="45"/>
  <c r="U343" i="45"/>
  <c r="AO343" i="45"/>
  <c r="AP343" i="45"/>
  <c r="AQ343" i="45"/>
  <c r="AR343" i="45"/>
  <c r="AS343" i="45"/>
  <c r="AT343" i="45"/>
  <c r="AU343" i="45"/>
  <c r="AV343" i="45"/>
  <c r="AW343" i="45"/>
  <c r="AX343" i="45"/>
  <c r="AY343" i="45"/>
  <c r="AZ343" i="45"/>
  <c r="BA343" i="45"/>
  <c r="BB343" i="45"/>
  <c r="BC343" i="45"/>
  <c r="BD343" i="45"/>
  <c r="BE343" i="45"/>
  <c r="BF343" i="45"/>
  <c r="BG343" i="45"/>
  <c r="BH343" i="45"/>
  <c r="BI343" i="45"/>
  <c r="BJ343" i="45"/>
  <c r="BK343" i="45"/>
  <c r="BL343" i="45"/>
  <c r="BM343" i="45"/>
  <c r="BN343" i="45"/>
  <c r="BO343" i="45"/>
  <c r="BP343" i="45"/>
  <c r="BQ343" i="45"/>
  <c r="BR343" i="45"/>
  <c r="BS343" i="45"/>
  <c r="BT343" i="45"/>
  <c r="BV343" i="45"/>
  <c r="BW343" i="45"/>
  <c r="BX343" i="45"/>
  <c r="BY343" i="45"/>
  <c r="BZ343" i="45"/>
  <c r="CA343" i="45"/>
  <c r="CB343" i="45"/>
  <c r="CC343" i="45"/>
  <c r="CD343" i="45"/>
  <c r="CE343" i="45"/>
  <c r="CF343" i="45"/>
  <c r="I344" i="45"/>
  <c r="J344" i="45"/>
  <c r="L344" i="45"/>
  <c r="M344" i="45"/>
  <c r="N344" i="45"/>
  <c r="O344" i="45"/>
  <c r="P344" i="45"/>
  <c r="Q344" i="45"/>
  <c r="R344" i="45"/>
  <c r="S344" i="45"/>
  <c r="U344" i="45"/>
  <c r="AO344" i="45"/>
  <c r="AP344" i="45"/>
  <c r="AQ344" i="45"/>
  <c r="AR344" i="45"/>
  <c r="AS344" i="45"/>
  <c r="AT344" i="45"/>
  <c r="AU344" i="45"/>
  <c r="AV344" i="45"/>
  <c r="AW344" i="45"/>
  <c r="AX344" i="45"/>
  <c r="AY344" i="45"/>
  <c r="AZ344" i="45"/>
  <c r="BA344" i="45"/>
  <c r="BB344" i="45"/>
  <c r="BC344" i="45"/>
  <c r="BD344" i="45"/>
  <c r="BE344" i="45"/>
  <c r="BF344" i="45"/>
  <c r="BG344" i="45"/>
  <c r="BH344" i="45"/>
  <c r="BI344" i="45"/>
  <c r="BJ344" i="45"/>
  <c r="BK344" i="45"/>
  <c r="BL344" i="45"/>
  <c r="BM344" i="45"/>
  <c r="BN344" i="45"/>
  <c r="BO344" i="45"/>
  <c r="BP344" i="45"/>
  <c r="BQ344" i="45"/>
  <c r="BR344" i="45"/>
  <c r="BS344" i="45"/>
  <c r="BT344" i="45"/>
  <c r="BU344" i="45"/>
  <c r="BV344" i="45"/>
  <c r="BW344" i="45"/>
  <c r="BX344" i="45"/>
  <c r="BY344" i="45"/>
  <c r="BZ344" i="45"/>
  <c r="CA344" i="45"/>
  <c r="CB344" i="45"/>
  <c r="CC344" i="45"/>
  <c r="CD344" i="45"/>
  <c r="CE344" i="45"/>
  <c r="CF344" i="45"/>
  <c r="I345" i="45"/>
  <c r="J345" i="45"/>
  <c r="K345" i="45"/>
  <c r="L345" i="45"/>
  <c r="M345" i="45"/>
  <c r="N345" i="45"/>
  <c r="O345" i="45"/>
  <c r="P345" i="45"/>
  <c r="Q345" i="45"/>
  <c r="R345" i="45"/>
  <c r="S345" i="45"/>
  <c r="U345" i="45"/>
  <c r="AO345" i="45"/>
  <c r="AP345" i="45"/>
  <c r="AQ345" i="45"/>
  <c r="AR345" i="45"/>
  <c r="AS345" i="45"/>
  <c r="AT345" i="45"/>
  <c r="AU345" i="45"/>
  <c r="AV345" i="45"/>
  <c r="AW345" i="45"/>
  <c r="AX345" i="45"/>
  <c r="AY345" i="45"/>
  <c r="AZ345" i="45"/>
  <c r="BA345" i="45"/>
  <c r="BB345" i="45"/>
  <c r="BC345" i="45"/>
  <c r="BD345" i="45"/>
  <c r="BE345" i="45"/>
  <c r="BF345" i="45"/>
  <c r="BG345" i="45"/>
  <c r="BH345" i="45"/>
  <c r="BJ345" i="45"/>
  <c r="BK345" i="45"/>
  <c r="BL345" i="45"/>
  <c r="BM345" i="45"/>
  <c r="BN345" i="45"/>
  <c r="BO345" i="45"/>
  <c r="BP345" i="45"/>
  <c r="BQ345" i="45"/>
  <c r="BR345" i="45"/>
  <c r="BS345" i="45"/>
  <c r="BT345" i="45"/>
  <c r="BV345" i="45"/>
  <c r="BW345" i="45"/>
  <c r="BX345" i="45"/>
  <c r="BY345" i="45"/>
  <c r="BZ345" i="45"/>
  <c r="CA345" i="45"/>
  <c r="CB345" i="45"/>
  <c r="CC345" i="45"/>
  <c r="CD345" i="45"/>
  <c r="CE345" i="45"/>
  <c r="CF345" i="45"/>
  <c r="CO345" i="45"/>
  <c r="CP345" i="45"/>
  <c r="I346" i="45"/>
  <c r="J346" i="45"/>
  <c r="K346" i="45"/>
  <c r="L346" i="45"/>
  <c r="M346" i="45"/>
  <c r="N346" i="45"/>
  <c r="O346" i="45"/>
  <c r="P346" i="45"/>
  <c r="Q346" i="45"/>
  <c r="R346" i="45"/>
  <c r="S346" i="45"/>
  <c r="U346" i="45"/>
  <c r="AO346" i="45"/>
  <c r="AP346" i="45"/>
  <c r="AQ346" i="45"/>
  <c r="AR346" i="45"/>
  <c r="AS346" i="45"/>
  <c r="AT346" i="45"/>
  <c r="AU346" i="45"/>
  <c r="AV346" i="45"/>
  <c r="AW346" i="45"/>
  <c r="AX346" i="45"/>
  <c r="AY346" i="45"/>
  <c r="AZ346" i="45"/>
  <c r="BA346" i="45"/>
  <c r="BB346" i="45"/>
  <c r="BC346" i="45"/>
  <c r="BD346" i="45"/>
  <c r="BE346" i="45"/>
  <c r="BF346" i="45"/>
  <c r="BG346" i="45"/>
  <c r="BH346" i="45"/>
  <c r="BI346" i="45"/>
  <c r="BJ346" i="45"/>
  <c r="BK346" i="45"/>
  <c r="BL346" i="45"/>
  <c r="BM346" i="45"/>
  <c r="BN346" i="45"/>
  <c r="BO346" i="45"/>
  <c r="BP346" i="45"/>
  <c r="BQ346" i="45"/>
  <c r="BR346" i="45"/>
  <c r="BS346" i="45"/>
  <c r="BT346" i="45"/>
  <c r="BV346" i="45"/>
  <c r="BW346" i="45"/>
  <c r="BX346" i="45"/>
  <c r="BY346" i="45"/>
  <c r="BZ346" i="45"/>
  <c r="CA346" i="45"/>
  <c r="CB346" i="45"/>
  <c r="CC346" i="45"/>
  <c r="CD346" i="45"/>
  <c r="CE346" i="45"/>
  <c r="CF346" i="45"/>
  <c r="K347" i="45"/>
  <c r="L347" i="45"/>
  <c r="M347" i="45"/>
  <c r="N347" i="45"/>
  <c r="O347" i="45"/>
  <c r="P347" i="45"/>
  <c r="Q347" i="45"/>
  <c r="R347" i="45"/>
  <c r="S347" i="45"/>
  <c r="U347" i="45"/>
  <c r="AO347" i="45"/>
  <c r="AP347" i="45"/>
  <c r="AQ347" i="45"/>
  <c r="AR347" i="45"/>
  <c r="AS347" i="45"/>
  <c r="AT347" i="45"/>
  <c r="AU347" i="45"/>
  <c r="AV347" i="45"/>
  <c r="AW347" i="45"/>
  <c r="AX347" i="45"/>
  <c r="AY347" i="45"/>
  <c r="AZ347" i="45"/>
  <c r="BA347" i="45"/>
  <c r="BB347" i="45"/>
  <c r="BC347" i="45"/>
  <c r="BD347" i="45"/>
  <c r="BE347" i="45"/>
  <c r="BF347" i="45"/>
  <c r="BG347" i="45"/>
  <c r="BH347" i="45"/>
  <c r="BI347" i="45"/>
  <c r="BJ347" i="45"/>
  <c r="BK347" i="45"/>
  <c r="BL347" i="45"/>
  <c r="BM347" i="45"/>
  <c r="BN347" i="45"/>
  <c r="BO347" i="45"/>
  <c r="BP347" i="45"/>
  <c r="BQ347" i="45"/>
  <c r="BR347" i="45"/>
  <c r="BS347" i="45"/>
  <c r="BT347" i="45"/>
  <c r="BV347" i="45"/>
  <c r="BW347" i="45"/>
  <c r="BX347" i="45"/>
  <c r="BY347" i="45"/>
  <c r="BZ347" i="45"/>
  <c r="CA347" i="45"/>
  <c r="CB347" i="45"/>
  <c r="CC347" i="45"/>
  <c r="CD347" i="45"/>
  <c r="CE347" i="45"/>
  <c r="CF347" i="45"/>
  <c r="L348" i="45"/>
  <c r="M348" i="45"/>
  <c r="N348" i="45"/>
  <c r="O348" i="45"/>
  <c r="P348" i="45"/>
  <c r="Q348" i="45"/>
  <c r="R348" i="45"/>
  <c r="S348" i="45"/>
  <c r="U348" i="45"/>
  <c r="AO348" i="45"/>
  <c r="AP348" i="45"/>
  <c r="AQ348" i="45"/>
  <c r="AR348" i="45"/>
  <c r="AS348" i="45"/>
  <c r="AT348" i="45"/>
  <c r="AU348" i="45"/>
  <c r="AV348" i="45"/>
  <c r="AW348" i="45"/>
  <c r="AX348" i="45"/>
  <c r="AY348" i="45"/>
  <c r="AZ348" i="45"/>
  <c r="BA348" i="45"/>
  <c r="BB348" i="45"/>
  <c r="BC348" i="45"/>
  <c r="BD348" i="45"/>
  <c r="BE348" i="45"/>
  <c r="BG348" i="45"/>
  <c r="BH348" i="45"/>
  <c r="BI348" i="45"/>
  <c r="BJ348" i="45"/>
  <c r="BK348" i="45"/>
  <c r="BL348" i="45"/>
  <c r="BM348" i="45"/>
  <c r="BN348" i="45"/>
  <c r="BO348" i="45"/>
  <c r="BP348" i="45"/>
  <c r="BR348" i="45"/>
  <c r="BS348" i="45"/>
  <c r="BT348" i="45"/>
  <c r="BV348" i="45"/>
  <c r="BW348" i="45"/>
  <c r="BX348" i="45"/>
  <c r="BY348" i="45"/>
  <c r="BZ348" i="45"/>
  <c r="CA348" i="45"/>
  <c r="CB348" i="45"/>
  <c r="CC348" i="45"/>
  <c r="CD348" i="45"/>
  <c r="CE348" i="45"/>
  <c r="CF348" i="45"/>
  <c r="I349" i="45"/>
  <c r="J349" i="45"/>
  <c r="K349" i="45"/>
  <c r="L349" i="45"/>
  <c r="M349" i="45"/>
  <c r="N349" i="45"/>
  <c r="O349" i="45"/>
  <c r="P349" i="45"/>
  <c r="Q349" i="45"/>
  <c r="R349" i="45"/>
  <c r="S349" i="45"/>
  <c r="U349" i="45"/>
  <c r="AO349" i="45"/>
  <c r="AP349" i="45"/>
  <c r="AQ349" i="45"/>
  <c r="AR349" i="45"/>
  <c r="AS349" i="45"/>
  <c r="AT349" i="45"/>
  <c r="AU349" i="45"/>
  <c r="AV349" i="45"/>
  <c r="AW349" i="45"/>
  <c r="AX349" i="45"/>
  <c r="AY349" i="45"/>
  <c r="AZ349" i="45"/>
  <c r="BA349" i="45"/>
  <c r="BB349" i="45"/>
  <c r="BC349" i="45"/>
  <c r="BD349" i="45"/>
  <c r="BE349" i="45"/>
  <c r="BF349" i="45"/>
  <c r="BG349" i="45"/>
  <c r="BH349" i="45"/>
  <c r="BI349" i="45"/>
  <c r="BJ349" i="45"/>
  <c r="BK349" i="45"/>
  <c r="BL349" i="45"/>
  <c r="BM349" i="45"/>
  <c r="BN349" i="45"/>
  <c r="BO349" i="45"/>
  <c r="BP349" i="45"/>
  <c r="BQ349" i="45"/>
  <c r="BR349" i="45"/>
  <c r="BS349" i="45"/>
  <c r="BT349" i="45"/>
  <c r="BV349" i="45"/>
  <c r="BW349" i="45"/>
  <c r="BX349" i="45"/>
  <c r="BY349" i="45"/>
  <c r="BZ349" i="45"/>
  <c r="CA349" i="45"/>
  <c r="CB349" i="45"/>
  <c r="CC349" i="45"/>
  <c r="CD349" i="45"/>
  <c r="CE349" i="45"/>
  <c r="CF349" i="45"/>
  <c r="I350" i="45"/>
  <c r="J350" i="45"/>
  <c r="K350" i="45"/>
  <c r="L350" i="45"/>
  <c r="M350" i="45"/>
  <c r="N350" i="45"/>
  <c r="O350" i="45"/>
  <c r="P350" i="45"/>
  <c r="Q350" i="45"/>
  <c r="R350" i="45"/>
  <c r="S350" i="45"/>
  <c r="U350" i="45"/>
  <c r="AO350" i="45"/>
  <c r="AP350" i="45"/>
  <c r="AQ350" i="45"/>
  <c r="AR350" i="45"/>
  <c r="AS350" i="45"/>
  <c r="AT350" i="45"/>
  <c r="AU350" i="45"/>
  <c r="AV350" i="45"/>
  <c r="AW350" i="45"/>
  <c r="AX350" i="45"/>
  <c r="AY350" i="45"/>
  <c r="AZ350" i="45"/>
  <c r="BA350" i="45"/>
  <c r="BB350" i="45"/>
  <c r="BC350" i="45"/>
  <c r="BD350" i="45"/>
  <c r="BE350" i="45"/>
  <c r="BF350" i="45"/>
  <c r="BG350" i="45"/>
  <c r="BH350" i="45"/>
  <c r="BI350" i="45"/>
  <c r="BJ350" i="45"/>
  <c r="BK350" i="45"/>
  <c r="BL350" i="45"/>
  <c r="BM350" i="45"/>
  <c r="BN350" i="45"/>
  <c r="BO350" i="45"/>
  <c r="BP350" i="45"/>
  <c r="BQ350" i="45"/>
  <c r="BR350" i="45"/>
  <c r="BS350" i="45"/>
  <c r="BT350" i="45"/>
  <c r="BU350" i="45"/>
  <c r="BV350" i="45"/>
  <c r="BW350" i="45"/>
  <c r="BX350" i="45"/>
  <c r="BY350" i="45"/>
  <c r="BZ350" i="45"/>
  <c r="CA350" i="45"/>
  <c r="CB350" i="45"/>
  <c r="CC350" i="45"/>
  <c r="CD350" i="45"/>
  <c r="CE350" i="45"/>
  <c r="CF350" i="45"/>
  <c r="J351" i="45"/>
  <c r="K351" i="45"/>
  <c r="L351" i="45"/>
  <c r="M351" i="45"/>
  <c r="N351" i="45"/>
  <c r="O351" i="45"/>
  <c r="P351" i="45"/>
  <c r="Q351" i="45"/>
  <c r="R351" i="45"/>
  <c r="S351" i="45"/>
  <c r="U351" i="45"/>
  <c r="AO351" i="45"/>
  <c r="AQ351" i="45"/>
  <c r="AR351" i="45"/>
  <c r="AS351" i="45"/>
  <c r="AT351" i="45"/>
  <c r="AU351" i="45"/>
  <c r="AV351" i="45"/>
  <c r="AW351" i="45"/>
  <c r="AX351" i="45"/>
  <c r="AY351" i="45"/>
  <c r="AZ351" i="45"/>
  <c r="BA351" i="45"/>
  <c r="BB351" i="45"/>
  <c r="BC351" i="45"/>
  <c r="BD351" i="45"/>
  <c r="BE351" i="45"/>
  <c r="BG351" i="45"/>
  <c r="BH351" i="45"/>
  <c r="BI351" i="45"/>
  <c r="BJ351" i="45"/>
  <c r="BK351" i="45"/>
  <c r="BL351" i="45"/>
  <c r="BM351" i="45"/>
  <c r="BN351" i="45"/>
  <c r="BO351" i="45"/>
  <c r="BP351" i="45"/>
  <c r="BQ351" i="45"/>
  <c r="BR351" i="45"/>
  <c r="BS351" i="45"/>
  <c r="BT351" i="45"/>
  <c r="BV351" i="45"/>
  <c r="BW351" i="45"/>
  <c r="BX351" i="45"/>
  <c r="BY351" i="45"/>
  <c r="BZ351" i="45"/>
  <c r="CA351" i="45"/>
  <c r="CB351" i="45"/>
  <c r="CC351" i="45"/>
  <c r="CD351" i="45"/>
  <c r="CE351" i="45"/>
  <c r="CF351" i="45"/>
  <c r="I352" i="45"/>
  <c r="J352" i="45"/>
  <c r="L352" i="45"/>
  <c r="M352" i="45"/>
  <c r="N352" i="45"/>
  <c r="O352" i="45"/>
  <c r="P352" i="45"/>
  <c r="Q352" i="45"/>
  <c r="R352" i="45"/>
  <c r="S352" i="45"/>
  <c r="U352" i="45"/>
  <c r="AO352" i="45"/>
  <c r="AP352" i="45"/>
  <c r="AQ352" i="45"/>
  <c r="AR352" i="45"/>
  <c r="AS352" i="45"/>
  <c r="AT352" i="45"/>
  <c r="AU352" i="45"/>
  <c r="AV352" i="45"/>
  <c r="AW352" i="45"/>
  <c r="AX352" i="45"/>
  <c r="AY352" i="45"/>
  <c r="AZ352" i="45"/>
  <c r="BA352" i="45"/>
  <c r="BB352" i="45"/>
  <c r="BC352" i="45"/>
  <c r="BD352" i="45"/>
  <c r="BE352" i="45"/>
  <c r="BF352" i="45"/>
  <c r="BG352" i="45"/>
  <c r="BH352" i="45"/>
  <c r="BI352" i="45"/>
  <c r="BJ352" i="45"/>
  <c r="BK352" i="45"/>
  <c r="BL352" i="45"/>
  <c r="BM352" i="45"/>
  <c r="BN352" i="45"/>
  <c r="BO352" i="45"/>
  <c r="BP352" i="45"/>
  <c r="BQ352" i="45"/>
  <c r="BR352" i="45"/>
  <c r="BS352" i="45"/>
  <c r="BT352" i="45"/>
  <c r="BU352" i="45"/>
  <c r="BV352" i="45"/>
  <c r="BW352" i="45"/>
  <c r="BX352" i="45"/>
  <c r="BY352" i="45"/>
  <c r="BZ352" i="45"/>
  <c r="CA352" i="45"/>
  <c r="CB352" i="45"/>
  <c r="CC352" i="45"/>
  <c r="CD352" i="45"/>
  <c r="CE352" i="45"/>
  <c r="CF352" i="45"/>
  <c r="AH353" i="45"/>
  <c r="AL353" i="45"/>
  <c r="AH354" i="45"/>
  <c r="BK355" i="45"/>
  <c r="BK354" i="45"/>
  <c r="CA355" i="45"/>
  <c r="CA354" i="45"/>
  <c r="CE355" i="45"/>
  <c r="CE354" i="45"/>
  <c r="K355" i="45"/>
  <c r="K354" i="45"/>
  <c r="T355" i="45"/>
  <c r="U355" i="45"/>
  <c r="AH355" i="45"/>
  <c r="AP355" i="45"/>
  <c r="AP354" i="45"/>
  <c r="AQ355" i="45"/>
  <c r="AQ354" i="45"/>
  <c r="AR355" i="45"/>
  <c r="AR354" i="45"/>
  <c r="AS355" i="45"/>
  <c r="AS354" i="45"/>
  <c r="AT355" i="45"/>
  <c r="AT354" i="45"/>
  <c r="AU355" i="45"/>
  <c r="AU354" i="45"/>
  <c r="AV355" i="45"/>
  <c r="AV354" i="45"/>
  <c r="AW355" i="45"/>
  <c r="AW354" i="45"/>
  <c r="AX355" i="45"/>
  <c r="AX354" i="45"/>
  <c r="AY355" i="45"/>
  <c r="AY354" i="45"/>
  <c r="AZ355" i="45"/>
  <c r="AZ354" i="45"/>
  <c r="BA355" i="45"/>
  <c r="BA354" i="45"/>
  <c r="BB355" i="45"/>
  <c r="BB354" i="45"/>
  <c r="BC355" i="45"/>
  <c r="BC354" i="45"/>
  <c r="BD355" i="45"/>
  <c r="BD354" i="45"/>
  <c r="BE355" i="45"/>
  <c r="BE354" i="45"/>
  <c r="BF355" i="45"/>
  <c r="BF354" i="45"/>
  <c r="BG355" i="45"/>
  <c r="BG354" i="45"/>
  <c r="BH355" i="45"/>
  <c r="BH354" i="45"/>
  <c r="BJ355" i="45"/>
  <c r="BJ354" i="45"/>
  <c r="BL355" i="45"/>
  <c r="BL354" i="45"/>
  <c r="BN355" i="45"/>
  <c r="BN354" i="45"/>
  <c r="BO355" i="45"/>
  <c r="BO354" i="45"/>
  <c r="BP355" i="45"/>
  <c r="BP354" i="45"/>
  <c r="BQ355" i="45"/>
  <c r="BQ354" i="45"/>
  <c r="BR355" i="45"/>
  <c r="BR354" i="45"/>
  <c r="BS355" i="45"/>
  <c r="BS354" i="45"/>
  <c r="BT355" i="45"/>
  <c r="BT354" i="45"/>
  <c r="BU355" i="45"/>
  <c r="BU354" i="45"/>
  <c r="BV355" i="45"/>
  <c r="BV354" i="45"/>
  <c r="BW355" i="45"/>
  <c r="BW354" i="45"/>
  <c r="BX355" i="45"/>
  <c r="BX354" i="45"/>
  <c r="BZ355" i="45"/>
  <c r="BZ354" i="45"/>
  <c r="CB355" i="45"/>
  <c r="CB354" i="45"/>
  <c r="CC355" i="45"/>
  <c r="CC354" i="45"/>
  <c r="CD355" i="45"/>
  <c r="CD354" i="45"/>
  <c r="CF355" i="45"/>
  <c r="CF354" i="45"/>
  <c r="W356" i="45"/>
  <c r="X356" i="45"/>
  <c r="Y356" i="45"/>
  <c r="AH356" i="45"/>
  <c r="BI356" i="45"/>
  <c r="BM356" i="45"/>
  <c r="BY356" i="45"/>
  <c r="CH356" i="45"/>
  <c r="CI356" i="45"/>
  <c r="CJ356" i="45"/>
  <c r="CK356" i="45"/>
  <c r="CZ356" i="45"/>
  <c r="AH357" i="45"/>
  <c r="AO357" i="45"/>
  <c r="AO341" i="45"/>
  <c r="CH357" i="45"/>
  <c r="CI357" i="45"/>
  <c r="AE357" i="45"/>
  <c r="AK357" i="45"/>
  <c r="CJ357" i="45"/>
  <c r="CK357" i="45"/>
  <c r="W358" i="45"/>
  <c r="X358" i="45"/>
  <c r="Y358" i="45"/>
  <c r="AH358" i="45"/>
  <c r="BM358" i="45"/>
  <c r="CH358" i="45"/>
  <c r="CI358" i="45"/>
  <c r="CJ358" i="45"/>
  <c r="AF358" i="45"/>
  <c r="CK358" i="45"/>
  <c r="CZ358" i="45"/>
  <c r="AH359" i="45"/>
  <c r="CH359" i="45"/>
  <c r="CI359" i="45"/>
  <c r="CJ359" i="45"/>
  <c r="CK359" i="45"/>
  <c r="CH360" i="45"/>
  <c r="AC360" i="45"/>
  <c r="AH360" i="45"/>
  <c r="AI360" i="45"/>
  <c r="CI360" i="45"/>
  <c r="AE360" i="45"/>
  <c r="CJ360" i="45"/>
  <c r="CK360" i="45"/>
  <c r="AG360" i="45"/>
  <c r="CH361" i="45"/>
  <c r="AC361" i="45"/>
  <c r="AH361" i="45"/>
  <c r="AI361" i="45"/>
  <c r="CI361" i="45"/>
  <c r="AE361" i="45"/>
  <c r="CJ361" i="45"/>
  <c r="CK361" i="45"/>
  <c r="AG361" i="45"/>
  <c r="AH362" i="45"/>
  <c r="CH362" i="45"/>
  <c r="CI362" i="45"/>
  <c r="CJ362" i="45"/>
  <c r="CK362" i="45"/>
  <c r="I347" i="45"/>
  <c r="J363" i="45"/>
  <c r="CJ363" i="45"/>
  <c r="AF363" i="45"/>
  <c r="AL363" i="45"/>
  <c r="AE363" i="45"/>
  <c r="AH363" i="45"/>
  <c r="AK363" i="45"/>
  <c r="CH363" i="45"/>
  <c r="CK363" i="45"/>
  <c r="J364" i="45"/>
  <c r="AH364" i="45"/>
  <c r="CH364" i="45"/>
  <c r="CI364" i="45"/>
  <c r="CJ364" i="45"/>
  <c r="CK364" i="45"/>
  <c r="AH365" i="45"/>
  <c r="CH365" i="45"/>
  <c r="CI365" i="45"/>
  <c r="CJ365" i="45"/>
  <c r="CK365" i="45"/>
  <c r="CH366" i="45"/>
  <c r="AC366" i="45"/>
  <c r="AH366" i="45"/>
  <c r="AI366" i="45"/>
  <c r="CI366" i="45"/>
  <c r="AE366" i="45"/>
  <c r="CJ366" i="45"/>
  <c r="CK366" i="45"/>
  <c r="AG366" i="45"/>
  <c r="I351" i="45"/>
  <c r="CH367" i="45"/>
  <c r="AC367" i="45"/>
  <c r="AH367" i="45"/>
  <c r="AI367" i="45"/>
  <c r="CI367" i="45"/>
  <c r="AE367" i="45"/>
  <c r="CJ367" i="45"/>
  <c r="CK367" i="45"/>
  <c r="AG367" i="45"/>
  <c r="CH368" i="45"/>
  <c r="AC368" i="45"/>
  <c r="AH368" i="45"/>
  <c r="AI368" i="45"/>
  <c r="CI368" i="45"/>
  <c r="AE368" i="45"/>
  <c r="CJ368" i="45"/>
  <c r="AF368" i="45"/>
  <c r="CK368" i="45"/>
  <c r="AG368" i="45"/>
  <c r="AH369" i="45"/>
  <c r="AL369" i="45"/>
  <c r="CH369" i="45"/>
  <c r="AC369" i="45"/>
  <c r="CI369" i="45"/>
  <c r="AE369" i="45"/>
  <c r="AD369" i="45"/>
  <c r="CJ369" i="45"/>
  <c r="CK369" i="45"/>
  <c r="AH370" i="45"/>
  <c r="O371" i="45"/>
  <c r="Q371" i="45"/>
  <c r="R371" i="45"/>
  <c r="AH371" i="45"/>
  <c r="AO371" i="45"/>
  <c r="AO370" i="45"/>
  <c r="AQ371" i="45"/>
  <c r="AQ370" i="45"/>
  <c r="AR371" i="45"/>
  <c r="AR370" i="45"/>
  <c r="AS371" i="45"/>
  <c r="AS370" i="45"/>
  <c r="AT371" i="45"/>
  <c r="AT370" i="45"/>
  <c r="AU371" i="45"/>
  <c r="AU370" i="45"/>
  <c r="AV371" i="45"/>
  <c r="AV370" i="45"/>
  <c r="AW371" i="45"/>
  <c r="AW370" i="45"/>
  <c r="AX371" i="45"/>
  <c r="AX370" i="45"/>
  <c r="AY371" i="45"/>
  <c r="AY370" i="45"/>
  <c r="AZ371" i="45"/>
  <c r="AZ370" i="45"/>
  <c r="BA371" i="45"/>
  <c r="BA370" i="45"/>
  <c r="BB371" i="45"/>
  <c r="BB370" i="45"/>
  <c r="BC371" i="45"/>
  <c r="BC370" i="45"/>
  <c r="BD371" i="45"/>
  <c r="BD370" i="45"/>
  <c r="BE371" i="45"/>
  <c r="BE370" i="45"/>
  <c r="BG371" i="45"/>
  <c r="BG370" i="45"/>
  <c r="BH371" i="45"/>
  <c r="BH370" i="45"/>
  <c r="BI372" i="45"/>
  <c r="BI371" i="45"/>
  <c r="BI370" i="45"/>
  <c r="BJ371" i="45"/>
  <c r="BJ370" i="45"/>
  <c r="BK371" i="45"/>
  <c r="BK370" i="45"/>
  <c r="BL371" i="45"/>
  <c r="BL370" i="45"/>
  <c r="BN371" i="45"/>
  <c r="BN370" i="45"/>
  <c r="BO371" i="45"/>
  <c r="BO370" i="45"/>
  <c r="BP371" i="45"/>
  <c r="BP370" i="45"/>
  <c r="BR371" i="45"/>
  <c r="BR370" i="45"/>
  <c r="BS371" i="45"/>
  <c r="BS370" i="45"/>
  <c r="BT371" i="45"/>
  <c r="BT370" i="45"/>
  <c r="BU371" i="45"/>
  <c r="BU370" i="45"/>
  <c r="BV371" i="45"/>
  <c r="BV370" i="45"/>
  <c r="BW371" i="45"/>
  <c r="BW370" i="45"/>
  <c r="BX371" i="45"/>
  <c r="BX370" i="45"/>
  <c r="BZ371" i="45"/>
  <c r="BZ370" i="45"/>
  <c r="CA371" i="45"/>
  <c r="CA370" i="45"/>
  <c r="CB371" i="45"/>
  <c r="CB370" i="45"/>
  <c r="CC371" i="45"/>
  <c r="CC370" i="45"/>
  <c r="CD371" i="45"/>
  <c r="CD370" i="45"/>
  <c r="CE371" i="45"/>
  <c r="CE370" i="45"/>
  <c r="CF371" i="45"/>
  <c r="CF370" i="45"/>
  <c r="CP371" i="45"/>
  <c r="CP370" i="45"/>
  <c r="CH370" i="45"/>
  <c r="CQ371" i="45"/>
  <c r="CQ370" i="45"/>
  <c r="CI370" i="45"/>
  <c r="CR371" i="45"/>
  <c r="CR370" i="45"/>
  <c r="CJ370" i="45"/>
  <c r="CS371" i="45"/>
  <c r="CS370" i="45"/>
  <c r="CK370" i="45"/>
  <c r="W372" i="45"/>
  <c r="X372" i="45"/>
  <c r="Y372" i="45"/>
  <c r="AH372" i="45"/>
  <c r="BM372" i="45"/>
  <c r="BY372" i="45"/>
  <c r="BY371" i="45"/>
  <c r="BY370" i="45"/>
  <c r="CH372" i="45"/>
  <c r="CI372" i="45"/>
  <c r="AE372" i="45"/>
  <c r="CJ372" i="45"/>
  <c r="AF372" i="45"/>
  <c r="CK372" i="45"/>
  <c r="AG372" i="45"/>
  <c r="CZ372" i="45"/>
  <c r="AH373" i="45"/>
  <c r="CH373" i="45"/>
  <c r="AC373" i="45"/>
  <c r="AI373" i="45"/>
  <c r="CI373" i="45"/>
  <c r="AE373" i="45"/>
  <c r="CJ373" i="45"/>
  <c r="AF373" i="45"/>
  <c r="AL373" i="45"/>
  <c r="CK373" i="45"/>
  <c r="AG373" i="45"/>
  <c r="AM373" i="45"/>
  <c r="W374" i="45"/>
  <c r="X374" i="45"/>
  <c r="Y374" i="45"/>
  <c r="AH374" i="45"/>
  <c r="BM374" i="45"/>
  <c r="CH374" i="45"/>
  <c r="AC374" i="45"/>
  <c r="CI374" i="45"/>
  <c r="AE374" i="45"/>
  <c r="CJ374" i="45"/>
  <c r="AF374" i="45"/>
  <c r="AL374" i="45"/>
  <c r="CK374" i="45"/>
  <c r="AG374" i="45"/>
  <c r="AM374" i="45"/>
  <c r="CZ374" i="45"/>
  <c r="AH375" i="45"/>
  <c r="CH375" i="45"/>
  <c r="AC375" i="45"/>
  <c r="AI375" i="45"/>
  <c r="CI375" i="45"/>
  <c r="AE375" i="45"/>
  <c r="CJ375" i="45"/>
  <c r="AF375" i="45"/>
  <c r="AL375" i="45"/>
  <c r="CK375" i="45"/>
  <c r="AG375" i="45"/>
  <c r="AM375" i="45"/>
  <c r="K376" i="45"/>
  <c r="K344" i="45"/>
  <c r="AH376" i="45"/>
  <c r="CH376" i="45"/>
  <c r="AC376" i="45"/>
  <c r="AI376" i="45"/>
  <c r="CI376" i="45"/>
  <c r="AE376" i="45"/>
  <c r="CJ376" i="45"/>
  <c r="AF376" i="45"/>
  <c r="AL376" i="45"/>
  <c r="CK376" i="45"/>
  <c r="AG376" i="45"/>
  <c r="AH377" i="45"/>
  <c r="CH377" i="45"/>
  <c r="AC377" i="45"/>
  <c r="AI377" i="45"/>
  <c r="CI377" i="45"/>
  <c r="AE377" i="45"/>
  <c r="CJ377" i="45"/>
  <c r="AF377" i="45"/>
  <c r="AL377" i="45"/>
  <c r="CK377" i="45"/>
  <c r="AG377" i="45"/>
  <c r="AM377" i="45"/>
  <c r="AH378" i="45"/>
  <c r="CH378" i="45"/>
  <c r="AC378" i="45"/>
  <c r="AI378" i="45"/>
  <c r="CI378" i="45"/>
  <c r="AE378" i="45"/>
  <c r="CJ378" i="45"/>
  <c r="AF378" i="45"/>
  <c r="AL378" i="45"/>
  <c r="CK378" i="45"/>
  <c r="AG378" i="45"/>
  <c r="AM378" i="45"/>
  <c r="J379" i="45"/>
  <c r="J380" i="45"/>
  <c r="J371" i="45"/>
  <c r="J370" i="45"/>
  <c r="AH379" i="45"/>
  <c r="CH379" i="45"/>
  <c r="AC379" i="45"/>
  <c r="AI379" i="45"/>
  <c r="CI379" i="45"/>
  <c r="AE379" i="45"/>
  <c r="CJ379" i="45"/>
  <c r="AF379" i="45"/>
  <c r="AL379" i="45"/>
  <c r="CK379" i="45"/>
  <c r="AG379" i="45"/>
  <c r="AM379" i="45"/>
  <c r="I348" i="45"/>
  <c r="K380" i="45"/>
  <c r="K348" i="45"/>
  <c r="AH380" i="45"/>
  <c r="BF380" i="45"/>
  <c r="BF348" i="45"/>
  <c r="BQ380" i="45"/>
  <c r="BQ371" i="45"/>
  <c r="BQ370" i="45"/>
  <c r="CH380" i="45"/>
  <c r="CI380" i="45"/>
  <c r="CJ380" i="45"/>
  <c r="AF380" i="45"/>
  <c r="CK380" i="45"/>
  <c r="AG380" i="45"/>
  <c r="AH381" i="45"/>
  <c r="CH381" i="45"/>
  <c r="AC381" i="45"/>
  <c r="AI381" i="45"/>
  <c r="CI381" i="45"/>
  <c r="AE381" i="45"/>
  <c r="CJ381" i="45"/>
  <c r="AF381" i="45"/>
  <c r="AL381" i="45"/>
  <c r="CK381" i="45"/>
  <c r="AG381" i="45"/>
  <c r="AM381" i="45"/>
  <c r="AH382" i="45"/>
  <c r="CH382" i="45"/>
  <c r="AC382" i="45"/>
  <c r="AI382" i="45"/>
  <c r="CI382" i="45"/>
  <c r="AE382" i="45"/>
  <c r="CJ382" i="45"/>
  <c r="AF382" i="45"/>
  <c r="AL382" i="45"/>
  <c r="CK382" i="45"/>
  <c r="AG382" i="45"/>
  <c r="AM382" i="45"/>
  <c r="AH383" i="45"/>
  <c r="AP383" i="45"/>
  <c r="AP351" i="45"/>
  <c r="BF383" i="45"/>
  <c r="CH383" i="45"/>
  <c r="AC383" i="45"/>
  <c r="AI383" i="45"/>
  <c r="CI383" i="45"/>
  <c r="CJ383" i="45"/>
  <c r="AF383" i="45"/>
  <c r="AL383" i="45"/>
  <c r="CK383" i="45"/>
  <c r="AG383" i="45"/>
  <c r="AM383" i="45"/>
  <c r="K384" i="45"/>
  <c r="K352" i="45"/>
  <c r="AH384" i="45"/>
  <c r="CH384" i="45"/>
  <c r="AC384" i="45"/>
  <c r="AI384" i="45"/>
  <c r="CI384" i="45"/>
  <c r="AE384" i="45"/>
  <c r="CJ384" i="45"/>
  <c r="CK384" i="45"/>
  <c r="AG384" i="45"/>
  <c r="CH385" i="45"/>
  <c r="AC385" i="45"/>
  <c r="AH385" i="45"/>
  <c r="AL385" i="45"/>
  <c r="CI385" i="45"/>
  <c r="AE385" i="45"/>
  <c r="AD385" i="45"/>
  <c r="CJ385" i="45"/>
  <c r="CK385" i="45"/>
  <c r="AH386" i="45"/>
  <c r="BK387" i="45"/>
  <c r="BK386" i="45"/>
  <c r="BS387" i="45"/>
  <c r="BS386" i="45"/>
  <c r="CA387" i="45"/>
  <c r="CA386" i="45"/>
  <c r="CE387" i="45"/>
  <c r="CE386" i="45"/>
  <c r="I386" i="45"/>
  <c r="J387" i="45"/>
  <c r="J386" i="45"/>
  <c r="K387" i="45"/>
  <c r="K386" i="45"/>
  <c r="AH387" i="45"/>
  <c r="AO387" i="45"/>
  <c r="AO386" i="45"/>
  <c r="AP387" i="45"/>
  <c r="AP386" i="45"/>
  <c r="AQ387" i="45"/>
  <c r="AQ386" i="45"/>
  <c r="AR387" i="45"/>
  <c r="AR386" i="45"/>
  <c r="AS387" i="45"/>
  <c r="AS386" i="45"/>
  <c r="AT387" i="45"/>
  <c r="AT386" i="45"/>
  <c r="AU387" i="45"/>
  <c r="AU386" i="45"/>
  <c r="AV387" i="45"/>
  <c r="AV386" i="45"/>
  <c r="AW387" i="45"/>
  <c r="AW386" i="45"/>
  <c r="AX387" i="45"/>
  <c r="AX386" i="45"/>
  <c r="AY387" i="45"/>
  <c r="AY386" i="45"/>
  <c r="AZ387" i="45"/>
  <c r="AZ386" i="45"/>
  <c r="BA387" i="45"/>
  <c r="BA386" i="45"/>
  <c r="BB387" i="45"/>
  <c r="BB386" i="45"/>
  <c r="BC387" i="45"/>
  <c r="BC386" i="45"/>
  <c r="BD387" i="45"/>
  <c r="BD386" i="45"/>
  <c r="BE387" i="45"/>
  <c r="BE386" i="45"/>
  <c r="BF387" i="45"/>
  <c r="BF386" i="45"/>
  <c r="BG387" i="45"/>
  <c r="BG386" i="45"/>
  <c r="BH387" i="45"/>
  <c r="BH386" i="45"/>
  <c r="BJ387" i="45"/>
  <c r="BJ386" i="45"/>
  <c r="BL387" i="45"/>
  <c r="BL386" i="45"/>
  <c r="BN387" i="45"/>
  <c r="BN386" i="45"/>
  <c r="BO387" i="45"/>
  <c r="BO386" i="45"/>
  <c r="BP387" i="45"/>
  <c r="BP386" i="45"/>
  <c r="BR387" i="45"/>
  <c r="BR386" i="45"/>
  <c r="BT387" i="45"/>
  <c r="BT386" i="45"/>
  <c r="BV387" i="45"/>
  <c r="BV386" i="45"/>
  <c r="BW387" i="45"/>
  <c r="BW386" i="45"/>
  <c r="BX387" i="45"/>
  <c r="BX386" i="45"/>
  <c r="BZ387" i="45"/>
  <c r="BZ386" i="45"/>
  <c r="CB387" i="45"/>
  <c r="CB386" i="45"/>
  <c r="CC387" i="45"/>
  <c r="CC386" i="45"/>
  <c r="CD387" i="45"/>
  <c r="CD386" i="45"/>
  <c r="CF387" i="45"/>
  <c r="CF386" i="45"/>
  <c r="CQ387" i="45"/>
  <c r="CI387" i="45"/>
  <c r="CR387" i="45"/>
  <c r="CJ387" i="45"/>
  <c r="CS387" i="45"/>
  <c r="CK387" i="45"/>
  <c r="W388" i="45"/>
  <c r="X388" i="45"/>
  <c r="Y388" i="45"/>
  <c r="AH388" i="45"/>
  <c r="BI388" i="45"/>
  <c r="BM388" i="45"/>
  <c r="BQ388" i="45"/>
  <c r="BQ340" i="45"/>
  <c r="BU388" i="45"/>
  <c r="BY388" i="45"/>
  <c r="BY387" i="45"/>
  <c r="BY386" i="45"/>
  <c r="CI388" i="45"/>
  <c r="AE388" i="45"/>
  <c r="CJ388" i="45"/>
  <c r="AF388" i="45"/>
  <c r="CK388" i="45"/>
  <c r="AG388" i="45"/>
  <c r="CP388" i="45"/>
  <c r="CP390" i="45"/>
  <c r="CP396" i="45"/>
  <c r="CP387" i="45"/>
  <c r="CZ388" i="45"/>
  <c r="AH389" i="45"/>
  <c r="CH389" i="45"/>
  <c r="AC389" i="45"/>
  <c r="AI389" i="45"/>
  <c r="CI389" i="45"/>
  <c r="AE389" i="45"/>
  <c r="CJ389" i="45"/>
  <c r="AF389" i="45"/>
  <c r="AL389" i="45"/>
  <c r="CK389" i="45"/>
  <c r="AG389" i="45"/>
  <c r="AM389" i="45"/>
  <c r="W390" i="45"/>
  <c r="X390" i="45"/>
  <c r="Y390" i="45"/>
  <c r="AH390" i="45"/>
  <c r="BM390" i="45"/>
  <c r="BQ390" i="45"/>
  <c r="BQ342" i="45"/>
  <c r="BU390" i="45"/>
  <c r="CI390" i="45"/>
  <c r="AE390" i="45"/>
  <c r="CJ390" i="45"/>
  <c r="AF390" i="45"/>
  <c r="AL390" i="45"/>
  <c r="CK390" i="45"/>
  <c r="AG390" i="45"/>
  <c r="AM390" i="45"/>
  <c r="CH390" i="45"/>
  <c r="CZ390" i="45"/>
  <c r="AH391" i="45"/>
  <c r="BU391" i="45"/>
  <c r="BU343" i="45"/>
  <c r="CH391" i="45"/>
  <c r="CI391" i="45"/>
  <c r="AE391" i="45"/>
  <c r="AK391" i="45"/>
  <c r="CJ391" i="45"/>
  <c r="AF391" i="45"/>
  <c r="AL391" i="45"/>
  <c r="CK391" i="45"/>
  <c r="AG391" i="45"/>
  <c r="AM391" i="45"/>
  <c r="AH392" i="45"/>
  <c r="CH392" i="45"/>
  <c r="AC392" i="45"/>
  <c r="AI392" i="45"/>
  <c r="CI392" i="45"/>
  <c r="AE392" i="45"/>
  <c r="CJ392" i="45"/>
  <c r="AF392" i="45"/>
  <c r="AL392" i="45"/>
  <c r="CK392" i="45"/>
  <c r="AG392" i="45"/>
  <c r="AM392" i="45"/>
  <c r="AH393" i="45"/>
  <c r="BU393" i="45"/>
  <c r="BU345" i="45"/>
  <c r="CH393" i="45"/>
  <c r="CI393" i="45"/>
  <c r="AE393" i="45"/>
  <c r="CJ393" i="45"/>
  <c r="AF393" i="45"/>
  <c r="AL393" i="45"/>
  <c r="CK393" i="45"/>
  <c r="AG393" i="45"/>
  <c r="AM393" i="45"/>
  <c r="AH394" i="45"/>
  <c r="CH394" i="45"/>
  <c r="AC394" i="45"/>
  <c r="AI394" i="45"/>
  <c r="CI394" i="45"/>
  <c r="AE394" i="45"/>
  <c r="CJ394" i="45"/>
  <c r="AF394" i="45"/>
  <c r="AL394" i="45"/>
  <c r="CK394" i="45"/>
  <c r="AG394" i="45"/>
  <c r="AM394" i="45"/>
  <c r="AH395" i="45"/>
  <c r="BU395" i="45"/>
  <c r="BU347" i="45"/>
  <c r="CH395" i="45"/>
  <c r="CI395" i="45"/>
  <c r="AE395" i="45"/>
  <c r="CJ395" i="45"/>
  <c r="AF395" i="45"/>
  <c r="AL395" i="45"/>
  <c r="CK395" i="45"/>
  <c r="AG395" i="45"/>
  <c r="AM395" i="45"/>
  <c r="AH396" i="45"/>
  <c r="BQ396" i="45"/>
  <c r="BU396" i="45"/>
  <c r="BU348" i="45"/>
  <c r="CI396" i="45"/>
  <c r="AE396" i="45"/>
  <c r="CJ396" i="45"/>
  <c r="AF396" i="45"/>
  <c r="AL396" i="45"/>
  <c r="CK396" i="45"/>
  <c r="AG396" i="45"/>
  <c r="AM396" i="45"/>
  <c r="CH396" i="45"/>
  <c r="AH397" i="45"/>
  <c r="BU397" i="45"/>
  <c r="CH397" i="45"/>
  <c r="CI397" i="45"/>
  <c r="AE397" i="45"/>
  <c r="CJ397" i="45"/>
  <c r="AF397" i="45"/>
  <c r="AL397" i="45"/>
  <c r="CK397" i="45"/>
  <c r="AG397" i="45"/>
  <c r="AM397" i="45"/>
  <c r="AH398" i="45"/>
  <c r="CH398" i="45"/>
  <c r="AC398" i="45"/>
  <c r="AI398" i="45"/>
  <c r="CI398" i="45"/>
  <c r="AE398" i="45"/>
  <c r="CJ398" i="45"/>
  <c r="AF398" i="45"/>
  <c r="AL398" i="45"/>
  <c r="CK398" i="45"/>
  <c r="AG398" i="45"/>
  <c r="AM398" i="45"/>
  <c r="AH399" i="45"/>
  <c r="BU399" i="45"/>
  <c r="CH399" i="45"/>
  <c r="CI399" i="45"/>
  <c r="AE399" i="45"/>
  <c r="CJ399" i="45"/>
  <c r="AF399" i="45"/>
  <c r="AL399" i="45"/>
  <c r="CK399" i="45"/>
  <c r="AG399" i="45"/>
  <c r="AM399" i="45"/>
  <c r="AH400" i="45"/>
  <c r="CH400" i="45"/>
  <c r="AC400" i="45"/>
  <c r="AI400" i="45"/>
  <c r="CI400" i="45"/>
  <c r="AE400" i="45"/>
  <c r="CJ400" i="45"/>
  <c r="AF400" i="45"/>
  <c r="AL400" i="45"/>
  <c r="CK400" i="45"/>
  <c r="AG400" i="45"/>
  <c r="AM400" i="45"/>
  <c r="AH401" i="45"/>
  <c r="AL401" i="45"/>
  <c r="CH401" i="45"/>
  <c r="AC401" i="45"/>
  <c r="CI401" i="45"/>
  <c r="AE401" i="45"/>
  <c r="AD401" i="45"/>
  <c r="CJ401" i="45"/>
  <c r="CK401" i="45"/>
  <c r="AH402" i="45"/>
  <c r="I402" i="45"/>
  <c r="J403" i="45"/>
  <c r="J402" i="45"/>
  <c r="K403" i="45"/>
  <c r="K402" i="45"/>
  <c r="AH403" i="45"/>
  <c r="AO403" i="45"/>
  <c r="AO402" i="45"/>
  <c r="AP403" i="45"/>
  <c r="AP402" i="45"/>
  <c r="AQ403" i="45"/>
  <c r="AQ402" i="45"/>
  <c r="AR403" i="45"/>
  <c r="AR402" i="45"/>
  <c r="AS403" i="45"/>
  <c r="AS402" i="45"/>
  <c r="AT403" i="45"/>
  <c r="AT402" i="45"/>
  <c r="AU403" i="45"/>
  <c r="AU402" i="45"/>
  <c r="AV403" i="45"/>
  <c r="AV402" i="45"/>
  <c r="AW403" i="45"/>
  <c r="AW402" i="45"/>
  <c r="AX403" i="45"/>
  <c r="AX402" i="45"/>
  <c r="AY403" i="45"/>
  <c r="AY402" i="45"/>
  <c r="AZ403" i="45"/>
  <c r="AZ402" i="45"/>
  <c r="BA403" i="45"/>
  <c r="BA402" i="45"/>
  <c r="BB403" i="45"/>
  <c r="BB402" i="45"/>
  <c r="BC403" i="45"/>
  <c r="BC402" i="45"/>
  <c r="BD403" i="45"/>
  <c r="BD402" i="45"/>
  <c r="BE403" i="45"/>
  <c r="BE402" i="45"/>
  <c r="BF403" i="45"/>
  <c r="BF402" i="45"/>
  <c r="BG403" i="45"/>
  <c r="BG402" i="45"/>
  <c r="BH403" i="45"/>
  <c r="BH402" i="45"/>
  <c r="BJ403" i="45"/>
  <c r="BJ402" i="45"/>
  <c r="BK403" i="45"/>
  <c r="BK402" i="45"/>
  <c r="BL403" i="45"/>
  <c r="BL402" i="45"/>
  <c r="BM403" i="45"/>
  <c r="BM402" i="45"/>
  <c r="BN403" i="45"/>
  <c r="BN402" i="45"/>
  <c r="BO403" i="45"/>
  <c r="BO402" i="45"/>
  <c r="BP403" i="45"/>
  <c r="BP402" i="45"/>
  <c r="BR403" i="45"/>
  <c r="BR402" i="45"/>
  <c r="BS403" i="45"/>
  <c r="BS402" i="45"/>
  <c r="BT403" i="45"/>
  <c r="BT402" i="45"/>
  <c r="BU403" i="45"/>
  <c r="BU402" i="45"/>
  <c r="BV403" i="45"/>
  <c r="BV402" i="45"/>
  <c r="BW403" i="45"/>
  <c r="BW402" i="45"/>
  <c r="BX403" i="45"/>
  <c r="BX402" i="45"/>
  <c r="BY403" i="45"/>
  <c r="BY402" i="45"/>
  <c r="BZ403" i="45"/>
  <c r="BZ402" i="45"/>
  <c r="CA403" i="45"/>
  <c r="CA402" i="45"/>
  <c r="CB403" i="45"/>
  <c r="CB402" i="45"/>
  <c r="CC403" i="45"/>
  <c r="CC402" i="45"/>
  <c r="CD403" i="45"/>
  <c r="CD402" i="45"/>
  <c r="CE403" i="45"/>
  <c r="CE402" i="45"/>
  <c r="CF403" i="45"/>
  <c r="CF402" i="45"/>
  <c r="CP403" i="45"/>
  <c r="CH403" i="45"/>
  <c r="CQ403" i="45"/>
  <c r="CI403" i="45"/>
  <c r="CR403" i="45"/>
  <c r="CJ403" i="45"/>
  <c r="CS403" i="45"/>
  <c r="CK403" i="45"/>
  <c r="W404" i="45"/>
  <c r="X404" i="45"/>
  <c r="Y404" i="45"/>
  <c r="CJ404" i="45"/>
  <c r="AF404" i="45"/>
  <c r="AH404" i="45"/>
  <c r="AL404" i="45"/>
  <c r="CH404" i="45"/>
  <c r="AC404" i="45"/>
  <c r="CI404" i="45"/>
  <c r="AE404" i="45"/>
  <c r="CK404" i="45"/>
  <c r="AG404" i="45"/>
  <c r="CZ404" i="45"/>
  <c r="CH405" i="45"/>
  <c r="AC405" i="45"/>
  <c r="AH405" i="45"/>
  <c r="AI405" i="45"/>
  <c r="CI405" i="45"/>
  <c r="AE405" i="45"/>
  <c r="CJ405" i="45"/>
  <c r="AF405" i="45"/>
  <c r="AL405" i="45"/>
  <c r="CK405" i="45"/>
  <c r="AG405" i="45"/>
  <c r="AM405" i="45"/>
  <c r="W406" i="45"/>
  <c r="X406" i="45"/>
  <c r="Y406" i="45"/>
  <c r="AH406" i="45"/>
  <c r="CH406" i="45"/>
  <c r="AC406" i="45"/>
  <c r="CI406" i="45"/>
  <c r="AE406" i="45"/>
  <c r="AK406" i="45"/>
  <c r="CJ406" i="45"/>
  <c r="AF406" i="45"/>
  <c r="AL406" i="45"/>
  <c r="CK406" i="45"/>
  <c r="AG406" i="45"/>
  <c r="AM406" i="45"/>
  <c r="CZ406" i="45"/>
  <c r="AH407" i="45"/>
  <c r="CH407" i="45"/>
  <c r="AC407" i="45"/>
  <c r="AI407" i="45"/>
  <c r="CI407" i="45"/>
  <c r="AE407" i="45"/>
  <c r="CJ407" i="45"/>
  <c r="AF407" i="45"/>
  <c r="AL407" i="45"/>
  <c r="CK407" i="45"/>
  <c r="AG407" i="45"/>
  <c r="AM407" i="45"/>
  <c r="AH408" i="45"/>
  <c r="CH408" i="45"/>
  <c r="AC408" i="45"/>
  <c r="AI408" i="45"/>
  <c r="CI408" i="45"/>
  <c r="AE408" i="45"/>
  <c r="CJ408" i="45"/>
  <c r="AF408" i="45"/>
  <c r="AL408" i="45"/>
  <c r="CK408" i="45"/>
  <c r="AG408" i="45"/>
  <c r="AM408" i="45"/>
  <c r="AH409" i="45"/>
  <c r="BI409" i="45"/>
  <c r="BI345" i="45"/>
  <c r="CH409" i="45"/>
  <c r="CI409" i="45"/>
  <c r="AE409" i="45"/>
  <c r="AK409" i="45"/>
  <c r="CJ409" i="45"/>
  <c r="AF409" i="45"/>
  <c r="AL409" i="45"/>
  <c r="CK409" i="45"/>
  <c r="AG409" i="45"/>
  <c r="AM409" i="45"/>
  <c r="AH410" i="45"/>
  <c r="CH410" i="45"/>
  <c r="AC410" i="45"/>
  <c r="AI410" i="45"/>
  <c r="CI410" i="45"/>
  <c r="AE410" i="45"/>
  <c r="CJ410" i="45"/>
  <c r="AF410" i="45"/>
  <c r="AL410" i="45"/>
  <c r="CK410" i="45"/>
  <c r="AG410" i="45"/>
  <c r="AM410" i="45"/>
  <c r="AH411" i="45"/>
  <c r="CH411" i="45"/>
  <c r="AC411" i="45"/>
  <c r="CI411" i="45"/>
  <c r="AE411" i="45"/>
  <c r="CJ411" i="45"/>
  <c r="AF411" i="45"/>
  <c r="AL411" i="45"/>
  <c r="CK411" i="45"/>
  <c r="AG411" i="45"/>
  <c r="AM411" i="45"/>
  <c r="AH412" i="45"/>
  <c r="BQ412" i="45"/>
  <c r="BQ403" i="45"/>
  <c r="BQ402" i="45"/>
  <c r="CH412" i="45"/>
  <c r="CI412" i="45"/>
  <c r="AE412" i="45"/>
  <c r="AK412" i="45"/>
  <c r="CJ412" i="45"/>
  <c r="AF412" i="45"/>
  <c r="AL412" i="45"/>
  <c r="CK412" i="45"/>
  <c r="AG412" i="45"/>
  <c r="AM412" i="45"/>
  <c r="AH413" i="45"/>
  <c r="CH413" i="45"/>
  <c r="AC413" i="45"/>
  <c r="CI413" i="45"/>
  <c r="AE413" i="45"/>
  <c r="CJ413" i="45"/>
  <c r="AF413" i="45"/>
  <c r="AL413" i="45"/>
  <c r="CK413" i="45"/>
  <c r="AG413" i="45"/>
  <c r="AM413" i="45"/>
  <c r="AH414" i="45"/>
  <c r="CH414" i="45"/>
  <c r="AC414" i="45"/>
  <c r="AI414" i="45"/>
  <c r="CI414" i="45"/>
  <c r="AE414" i="45"/>
  <c r="CJ414" i="45"/>
  <c r="AF414" i="45"/>
  <c r="AL414" i="45"/>
  <c r="CK414" i="45"/>
  <c r="AG414" i="45"/>
  <c r="AM414" i="45"/>
  <c r="AH415" i="45"/>
  <c r="CH415" i="45"/>
  <c r="AC415" i="45"/>
  <c r="AI415" i="45"/>
  <c r="CI415" i="45"/>
  <c r="AE415" i="45"/>
  <c r="CJ415" i="45"/>
  <c r="AF415" i="45"/>
  <c r="AL415" i="45"/>
  <c r="CK415" i="45"/>
  <c r="AG415" i="45"/>
  <c r="AM415" i="45"/>
  <c r="AH416" i="45"/>
  <c r="CH416" i="45"/>
  <c r="AC416" i="45"/>
  <c r="CI416" i="45"/>
  <c r="AE416" i="45"/>
  <c r="CJ416" i="45"/>
  <c r="AF416" i="45"/>
  <c r="AL416" i="45"/>
  <c r="CK416" i="45"/>
  <c r="AG416" i="45"/>
  <c r="AM416" i="45"/>
  <c r="AH417" i="45"/>
  <c r="CH417" i="45"/>
  <c r="AC417" i="45"/>
  <c r="CI417" i="45"/>
  <c r="AE417" i="45"/>
  <c r="CJ417" i="45"/>
  <c r="AF417" i="45"/>
  <c r="AL417" i="45"/>
  <c r="CK417" i="45"/>
  <c r="AG417" i="45"/>
  <c r="AM417" i="45"/>
  <c r="I419" i="45"/>
  <c r="I418" i="45"/>
  <c r="AH418" i="45"/>
  <c r="J419" i="45"/>
  <c r="J418" i="45"/>
  <c r="K419" i="45"/>
  <c r="K418" i="45"/>
  <c r="V419" i="45"/>
  <c r="AH419" i="45"/>
  <c r="AO419" i="45"/>
  <c r="AO418" i="45"/>
  <c r="AP419" i="45"/>
  <c r="AP418" i="45"/>
  <c r="AQ419" i="45"/>
  <c r="AQ418" i="45"/>
  <c r="AR419" i="45"/>
  <c r="AR418" i="45"/>
  <c r="AS419" i="45"/>
  <c r="AS418" i="45"/>
  <c r="AT419" i="45"/>
  <c r="AT418" i="45"/>
  <c r="AU419" i="45"/>
  <c r="AU418" i="45"/>
  <c r="AV419" i="45"/>
  <c r="AV418" i="45"/>
  <c r="AW419" i="45"/>
  <c r="AW418" i="45"/>
  <c r="AX419" i="45"/>
  <c r="AX418" i="45"/>
  <c r="AY419" i="45"/>
  <c r="AY418" i="45"/>
  <c r="AZ419" i="45"/>
  <c r="AZ418" i="45"/>
  <c r="BA419" i="45"/>
  <c r="BA418" i="45"/>
  <c r="BB419" i="45"/>
  <c r="BB418" i="45"/>
  <c r="BC419" i="45"/>
  <c r="BC418" i="45"/>
  <c r="BD419" i="45"/>
  <c r="BD418" i="45"/>
  <c r="BE419" i="45"/>
  <c r="BE418" i="45"/>
  <c r="BF419" i="45"/>
  <c r="BF418" i="45"/>
  <c r="BG419" i="45"/>
  <c r="BG418" i="45"/>
  <c r="BH419" i="45"/>
  <c r="BH418" i="45"/>
  <c r="BI419" i="45"/>
  <c r="BI418" i="45"/>
  <c r="BJ419" i="45"/>
  <c r="BJ418" i="45"/>
  <c r="BK419" i="45"/>
  <c r="BK418" i="45"/>
  <c r="BL419" i="45"/>
  <c r="BL418" i="45"/>
  <c r="BM419" i="45"/>
  <c r="BM418" i="45"/>
  <c r="BN419" i="45"/>
  <c r="BN418" i="45"/>
  <c r="BO419" i="45"/>
  <c r="BO418" i="45"/>
  <c r="BP419" i="45"/>
  <c r="BP418" i="45"/>
  <c r="BQ419" i="45"/>
  <c r="BU3" i="45"/>
  <c r="BR419" i="45"/>
  <c r="BR418" i="45"/>
  <c r="BS419" i="45"/>
  <c r="BS418" i="45"/>
  <c r="BT419" i="45"/>
  <c r="BT418" i="45"/>
  <c r="BV419" i="45"/>
  <c r="BV418" i="45"/>
  <c r="BW419" i="45"/>
  <c r="BW418" i="45"/>
  <c r="BX419" i="45"/>
  <c r="BX418" i="45"/>
  <c r="BY419" i="45"/>
  <c r="BY418" i="45"/>
  <c r="BZ419" i="45"/>
  <c r="BZ418" i="45"/>
  <c r="CA419" i="45"/>
  <c r="CA418" i="45"/>
  <c r="CB419" i="45"/>
  <c r="CB418" i="45"/>
  <c r="CC419" i="45"/>
  <c r="CC418" i="45"/>
  <c r="CD419" i="45"/>
  <c r="CD418" i="45"/>
  <c r="CE419" i="45"/>
  <c r="CE418" i="45"/>
  <c r="CF419" i="45"/>
  <c r="CF418" i="45"/>
  <c r="CP419" i="45"/>
  <c r="CP418" i="45"/>
  <c r="CH418" i="45"/>
  <c r="CQ419" i="45"/>
  <c r="CQ418" i="45"/>
  <c r="CI418" i="45"/>
  <c r="CR419" i="45"/>
  <c r="CR418" i="45"/>
  <c r="CJ418" i="45"/>
  <c r="CS419" i="45"/>
  <c r="CS418" i="45"/>
  <c r="CK418" i="45"/>
  <c r="U340" i="45"/>
  <c r="X420" i="45"/>
  <c r="Y420" i="45"/>
  <c r="AH420" i="45"/>
  <c r="BU420" i="45"/>
  <c r="CH420" i="45"/>
  <c r="CI420" i="45"/>
  <c r="AE420" i="45"/>
  <c r="CJ420" i="45"/>
  <c r="AF420" i="45"/>
  <c r="CK420" i="45"/>
  <c r="AG420" i="45"/>
  <c r="X421" i="45"/>
  <c r="AH421" i="45"/>
  <c r="CH421" i="45"/>
  <c r="AC421" i="45"/>
  <c r="AI421" i="45"/>
  <c r="AB421" i="45"/>
  <c r="CI421" i="45"/>
  <c r="AE421" i="45"/>
  <c r="CJ421" i="45"/>
  <c r="AF421" i="45"/>
  <c r="AL421" i="45"/>
  <c r="CK421" i="45"/>
  <c r="AG421" i="45"/>
  <c r="AM421" i="45"/>
  <c r="U342" i="45"/>
  <c r="X422" i="45"/>
  <c r="Y422" i="45"/>
  <c r="AH422" i="45"/>
  <c r="BU422" i="45"/>
  <c r="CH422" i="45"/>
  <c r="AC422" i="45"/>
  <c r="CI422" i="45"/>
  <c r="AE422" i="45"/>
  <c r="CJ422" i="45"/>
  <c r="AF422" i="45"/>
  <c r="AL422" i="45"/>
  <c r="CK422" i="45"/>
  <c r="AG422" i="45"/>
  <c r="AM422" i="45"/>
  <c r="CH423" i="45"/>
  <c r="AC423" i="45"/>
  <c r="AH423" i="45"/>
  <c r="AI423" i="45"/>
  <c r="CI423" i="45"/>
  <c r="AE423" i="45"/>
  <c r="CJ423" i="45"/>
  <c r="AF423" i="45"/>
  <c r="AL423" i="45"/>
  <c r="CK423" i="45"/>
  <c r="AG423" i="45"/>
  <c r="AM423" i="45"/>
  <c r="AH424" i="45"/>
  <c r="CH424" i="45"/>
  <c r="AC424" i="45"/>
  <c r="AI424" i="45"/>
  <c r="CI424" i="45"/>
  <c r="AE424" i="45"/>
  <c r="CJ424" i="45"/>
  <c r="AF424" i="45"/>
  <c r="AL424" i="45"/>
  <c r="CK424" i="45"/>
  <c r="AG424" i="45"/>
  <c r="AM424" i="45"/>
  <c r="AH425" i="45"/>
  <c r="CH425" i="45"/>
  <c r="AC425" i="45"/>
  <c r="CI425" i="45"/>
  <c r="AE425" i="45"/>
  <c r="CJ425" i="45"/>
  <c r="AF425" i="45"/>
  <c r="AL425" i="45"/>
  <c r="CK425" i="45"/>
  <c r="AG425" i="45"/>
  <c r="AM425" i="45"/>
  <c r="AH426" i="45"/>
  <c r="BU426" i="45"/>
  <c r="BU346" i="45"/>
  <c r="CH426" i="45"/>
  <c r="CI426" i="45"/>
  <c r="AE426" i="45"/>
  <c r="CJ426" i="45"/>
  <c r="AF426" i="45"/>
  <c r="AL426" i="45"/>
  <c r="CK426" i="45"/>
  <c r="AG426" i="45"/>
  <c r="AM426" i="45"/>
  <c r="AH427" i="45"/>
  <c r="CH427" i="45"/>
  <c r="AC427" i="45"/>
  <c r="AI427" i="45"/>
  <c r="CI427" i="45"/>
  <c r="AE427" i="45"/>
  <c r="CJ427" i="45"/>
  <c r="AF427" i="45"/>
  <c r="AL427" i="45"/>
  <c r="CK427" i="45"/>
  <c r="AG427" i="45"/>
  <c r="AM427" i="45"/>
  <c r="AH428" i="45"/>
  <c r="CH428" i="45"/>
  <c r="AC428" i="45"/>
  <c r="CI428" i="45"/>
  <c r="AE428" i="45"/>
  <c r="CJ428" i="45"/>
  <c r="AF428" i="45"/>
  <c r="AL428" i="45"/>
  <c r="CK428" i="45"/>
  <c r="AG428" i="45"/>
  <c r="AM428" i="45"/>
  <c r="AH429" i="45"/>
  <c r="BU429" i="45"/>
  <c r="CH429" i="45"/>
  <c r="AC429" i="45"/>
  <c r="CI429" i="45"/>
  <c r="AE429" i="45"/>
  <c r="CJ429" i="45"/>
  <c r="AF429" i="45"/>
  <c r="AL429" i="45"/>
  <c r="CK429" i="45"/>
  <c r="AG429" i="45"/>
  <c r="AM429" i="45"/>
  <c r="AH430" i="45"/>
  <c r="CH430" i="45"/>
  <c r="AC430" i="45"/>
  <c r="AI430" i="45"/>
  <c r="CI430" i="45"/>
  <c r="AE430" i="45"/>
  <c r="CJ430" i="45"/>
  <c r="AF430" i="45"/>
  <c r="AL430" i="45"/>
  <c r="CK430" i="45"/>
  <c r="AG430" i="45"/>
  <c r="AM430" i="45"/>
  <c r="AH431" i="45"/>
  <c r="BU431" i="45"/>
  <c r="CH431" i="45"/>
  <c r="AC431" i="45"/>
  <c r="CI431" i="45"/>
  <c r="AE431" i="45"/>
  <c r="CJ431" i="45"/>
  <c r="AF431" i="45"/>
  <c r="AL431" i="45"/>
  <c r="CK431" i="45"/>
  <c r="AG431" i="45"/>
  <c r="AM431" i="45"/>
  <c r="AH432" i="45"/>
  <c r="CH432" i="45"/>
  <c r="AC432" i="45"/>
  <c r="AI432" i="45"/>
  <c r="CI432" i="45"/>
  <c r="AE432" i="45"/>
  <c r="CJ432" i="45"/>
  <c r="AF432" i="45"/>
  <c r="AL432" i="45"/>
  <c r="CK432" i="45"/>
  <c r="AG432" i="45"/>
  <c r="AM432" i="45"/>
  <c r="H433" i="45"/>
  <c r="AC433" i="45"/>
  <c r="AI433" i="45"/>
  <c r="AE433" i="45"/>
  <c r="AF433" i="45"/>
  <c r="AG433" i="45"/>
  <c r="AH433" i="45"/>
  <c r="AK433" i="45"/>
  <c r="AL433" i="45"/>
  <c r="AM433" i="45"/>
  <c r="AC434" i="45"/>
  <c r="AE434" i="45"/>
  <c r="AD434" i="45"/>
  <c r="AH434" i="45"/>
  <c r="AL434" i="45"/>
  <c r="AC435" i="45"/>
  <c r="AE435" i="45"/>
  <c r="AK435" i="45"/>
  <c r="AF435" i="45"/>
  <c r="AG435" i="45"/>
  <c r="AM435" i="45"/>
  <c r="AH435" i="45"/>
  <c r="AI435" i="45"/>
  <c r="AL435" i="45"/>
  <c r="J438" i="45"/>
  <c r="K438" i="45"/>
  <c r="L438" i="45"/>
  <c r="M438" i="45"/>
  <c r="N438" i="45"/>
  <c r="O438" i="45"/>
  <c r="P438" i="45"/>
  <c r="Q438" i="45"/>
  <c r="R438" i="45"/>
  <c r="S438" i="45"/>
  <c r="T438" i="45"/>
  <c r="U438" i="45"/>
  <c r="Z438" i="45"/>
  <c r="AO438" i="45"/>
  <c r="AP438" i="45"/>
  <c r="AQ438" i="45"/>
  <c r="AR438" i="45"/>
  <c r="AS438" i="45"/>
  <c r="AT438" i="45"/>
  <c r="AU438" i="45"/>
  <c r="AV438" i="45"/>
  <c r="AW438" i="45"/>
  <c r="AX438" i="45"/>
  <c r="AY438" i="45"/>
  <c r="AZ438" i="45"/>
  <c r="BA438" i="45"/>
  <c r="BB438" i="45"/>
  <c r="BC438" i="45"/>
  <c r="BD438" i="45"/>
  <c r="BE438" i="45"/>
  <c r="BF438" i="45"/>
  <c r="BG438" i="45"/>
  <c r="BH438" i="45"/>
  <c r="BJ438" i="45"/>
  <c r="BK438" i="45"/>
  <c r="BL438" i="45"/>
  <c r="BN438" i="45"/>
  <c r="BO438" i="45"/>
  <c r="BP438" i="45"/>
  <c r="BQ438" i="45"/>
  <c r="BR438" i="45"/>
  <c r="BS438" i="45"/>
  <c r="BT438" i="45"/>
  <c r="BU438" i="45"/>
  <c r="BV438" i="45"/>
  <c r="BW438" i="45"/>
  <c r="BX438" i="45"/>
  <c r="BZ438" i="45"/>
  <c r="CA438" i="45"/>
  <c r="CB438" i="45"/>
  <c r="CC438" i="45"/>
  <c r="CD438" i="45"/>
  <c r="CE438" i="45"/>
  <c r="CF438" i="45"/>
  <c r="J439" i="45"/>
  <c r="K439" i="45"/>
  <c r="L439" i="45"/>
  <c r="M439" i="45"/>
  <c r="N439" i="45"/>
  <c r="O439" i="45"/>
  <c r="P439" i="45"/>
  <c r="Q439" i="45"/>
  <c r="R439" i="45"/>
  <c r="S439" i="45"/>
  <c r="W439" i="45"/>
  <c r="AN439" i="45"/>
  <c r="AP439" i="45"/>
  <c r="AQ439" i="45"/>
  <c r="AR439" i="45"/>
  <c r="AS439" i="45"/>
  <c r="AT439" i="45"/>
  <c r="AU439" i="45"/>
  <c r="AV439" i="45"/>
  <c r="AW439" i="45"/>
  <c r="AX439" i="45"/>
  <c r="AY439" i="45"/>
  <c r="AZ439" i="45"/>
  <c r="BA439" i="45"/>
  <c r="BB439" i="45"/>
  <c r="BC439" i="45"/>
  <c r="BD439" i="45"/>
  <c r="BE439" i="45"/>
  <c r="BF439" i="45"/>
  <c r="BG439" i="45"/>
  <c r="BH439" i="45"/>
  <c r="BI439" i="45"/>
  <c r="BJ439" i="45"/>
  <c r="BK439" i="45"/>
  <c r="BL439" i="45"/>
  <c r="BM439" i="45"/>
  <c r="BN439" i="45"/>
  <c r="BO439" i="45"/>
  <c r="BP439" i="45"/>
  <c r="BQ439" i="45"/>
  <c r="BR439" i="45"/>
  <c r="BS439" i="45"/>
  <c r="BT439" i="45"/>
  <c r="BU439" i="45"/>
  <c r="BV439" i="45"/>
  <c r="BW439" i="45"/>
  <c r="BX439" i="45"/>
  <c r="BY439" i="45"/>
  <c r="BZ439" i="45"/>
  <c r="CA439" i="45"/>
  <c r="CB439" i="45"/>
  <c r="CC439" i="45"/>
  <c r="CD439" i="45"/>
  <c r="CE439" i="45"/>
  <c r="CF439" i="45"/>
  <c r="J440" i="45"/>
  <c r="K440" i="45"/>
  <c r="L440" i="45"/>
  <c r="M440" i="45"/>
  <c r="N440" i="45"/>
  <c r="O440" i="45"/>
  <c r="P440" i="45"/>
  <c r="Q440" i="45"/>
  <c r="R440" i="45"/>
  <c r="S440" i="45"/>
  <c r="T440" i="45"/>
  <c r="U440" i="45"/>
  <c r="Z440" i="45"/>
  <c r="AO440" i="45"/>
  <c r="AP440" i="45"/>
  <c r="AQ440" i="45"/>
  <c r="AR440" i="45"/>
  <c r="AS440" i="45"/>
  <c r="AT440" i="45"/>
  <c r="AU440" i="45"/>
  <c r="AV440" i="45"/>
  <c r="AW440" i="45"/>
  <c r="AX440" i="45"/>
  <c r="AY440" i="45"/>
  <c r="AZ440" i="45"/>
  <c r="BA440" i="45"/>
  <c r="BB440" i="45"/>
  <c r="BC440" i="45"/>
  <c r="BD440" i="45"/>
  <c r="BE440" i="45"/>
  <c r="BF440" i="45"/>
  <c r="BG440" i="45"/>
  <c r="BH440" i="45"/>
  <c r="BJ440" i="45"/>
  <c r="BK440" i="45"/>
  <c r="BL440" i="45"/>
  <c r="BN440" i="45"/>
  <c r="BO440" i="45"/>
  <c r="BP440" i="45"/>
  <c r="BQ440" i="45"/>
  <c r="BR440" i="45"/>
  <c r="BS440" i="45"/>
  <c r="BT440" i="45"/>
  <c r="BU440" i="45"/>
  <c r="BV440" i="45"/>
  <c r="BW440" i="45"/>
  <c r="BX440" i="45"/>
  <c r="BY440" i="45"/>
  <c r="BZ440" i="45"/>
  <c r="CA440" i="45"/>
  <c r="CB440" i="45"/>
  <c r="CC440" i="45"/>
  <c r="CD440" i="45"/>
  <c r="CE440" i="45"/>
  <c r="CF440" i="45"/>
  <c r="J441" i="45"/>
  <c r="K441" i="45"/>
  <c r="L441" i="45"/>
  <c r="M441" i="45"/>
  <c r="N441" i="45"/>
  <c r="O441" i="45"/>
  <c r="P441" i="45"/>
  <c r="Q441" i="45"/>
  <c r="R441" i="45"/>
  <c r="S441" i="45"/>
  <c r="AO441" i="45"/>
  <c r="AP441" i="45"/>
  <c r="AQ441" i="45"/>
  <c r="AR441" i="45"/>
  <c r="AS441" i="45"/>
  <c r="AT441" i="45"/>
  <c r="AU441" i="45"/>
  <c r="AV441" i="45"/>
  <c r="AW441" i="45"/>
  <c r="AX441" i="45"/>
  <c r="AY441" i="45"/>
  <c r="AZ441" i="45"/>
  <c r="BA441" i="45"/>
  <c r="BB441" i="45"/>
  <c r="BC441" i="45"/>
  <c r="BD441" i="45"/>
  <c r="BE441" i="45"/>
  <c r="BF441" i="45"/>
  <c r="BG441" i="45"/>
  <c r="BH441" i="45"/>
  <c r="BI441" i="45"/>
  <c r="BJ441" i="45"/>
  <c r="BK441" i="45"/>
  <c r="BL441" i="45"/>
  <c r="BM441" i="45"/>
  <c r="BN441" i="45"/>
  <c r="BO441" i="45"/>
  <c r="BP441" i="45"/>
  <c r="BQ441" i="45"/>
  <c r="BR441" i="45"/>
  <c r="BS441" i="45"/>
  <c r="BT441" i="45"/>
  <c r="BU441" i="45"/>
  <c r="BV441" i="45"/>
  <c r="BW441" i="45"/>
  <c r="BX441" i="45"/>
  <c r="BY441" i="45"/>
  <c r="BZ441" i="45"/>
  <c r="CA441" i="45"/>
  <c r="CB441" i="45"/>
  <c r="CC441" i="45"/>
  <c r="CD441" i="45"/>
  <c r="CE441" i="45"/>
  <c r="CF441" i="45"/>
  <c r="J442" i="45"/>
  <c r="K442" i="45"/>
  <c r="L442" i="45"/>
  <c r="M442" i="45"/>
  <c r="N442" i="45"/>
  <c r="O442" i="45"/>
  <c r="P442" i="45"/>
  <c r="Q442" i="45"/>
  <c r="R442" i="45"/>
  <c r="S442" i="45"/>
  <c r="AO442" i="45"/>
  <c r="AP442" i="45"/>
  <c r="AQ442" i="45"/>
  <c r="AR442" i="45"/>
  <c r="AS442" i="45"/>
  <c r="AT442" i="45"/>
  <c r="AU442" i="45"/>
  <c r="AV442" i="45"/>
  <c r="AW442" i="45"/>
  <c r="AX442" i="45"/>
  <c r="AY442" i="45"/>
  <c r="AZ442" i="45"/>
  <c r="BA442" i="45"/>
  <c r="BB442" i="45"/>
  <c r="BC442" i="45"/>
  <c r="BD442" i="45"/>
  <c r="BE442" i="45"/>
  <c r="BF442" i="45"/>
  <c r="BG442" i="45"/>
  <c r="BH442" i="45"/>
  <c r="BI442" i="45"/>
  <c r="BJ442" i="45"/>
  <c r="BK442" i="45"/>
  <c r="BL442" i="45"/>
  <c r="BM442" i="45"/>
  <c r="BN442" i="45"/>
  <c r="BO442" i="45"/>
  <c r="BP442" i="45"/>
  <c r="BQ442" i="45"/>
  <c r="BR442" i="45"/>
  <c r="BS442" i="45"/>
  <c r="BT442" i="45"/>
  <c r="BU442" i="45"/>
  <c r="BV442" i="45"/>
  <c r="BW442" i="45"/>
  <c r="BX442" i="45"/>
  <c r="BY442" i="45"/>
  <c r="BZ442" i="45"/>
  <c r="CA442" i="45"/>
  <c r="CB442" i="45"/>
  <c r="CC442" i="45"/>
  <c r="CD442" i="45"/>
  <c r="CE442" i="45"/>
  <c r="CF442" i="45"/>
  <c r="J443" i="45"/>
  <c r="K443" i="45"/>
  <c r="L443" i="45"/>
  <c r="M443" i="45"/>
  <c r="N443" i="45"/>
  <c r="O443" i="45"/>
  <c r="P443" i="45"/>
  <c r="Q443" i="45"/>
  <c r="R443" i="45"/>
  <c r="S443" i="45"/>
  <c r="AO443" i="45"/>
  <c r="AP443" i="45"/>
  <c r="AQ443" i="45"/>
  <c r="AR443" i="45"/>
  <c r="AS443" i="45"/>
  <c r="AT443" i="45"/>
  <c r="AU443" i="45"/>
  <c r="AV443" i="45"/>
  <c r="AW443" i="45"/>
  <c r="AX443" i="45"/>
  <c r="AY443" i="45"/>
  <c r="AZ443" i="45"/>
  <c r="BA443" i="45"/>
  <c r="BB443" i="45"/>
  <c r="BC443" i="45"/>
  <c r="BD443" i="45"/>
  <c r="BF443" i="45"/>
  <c r="BG443" i="45"/>
  <c r="BH443" i="45"/>
  <c r="BI443" i="45"/>
  <c r="BJ443" i="45"/>
  <c r="BK443" i="45"/>
  <c r="BL443" i="45"/>
  <c r="BM443" i="45"/>
  <c r="BN443" i="45"/>
  <c r="BO443" i="45"/>
  <c r="BP443" i="45"/>
  <c r="BQ443" i="45"/>
  <c r="BR443" i="45"/>
  <c r="BS443" i="45"/>
  <c r="BT443" i="45"/>
  <c r="BU443" i="45"/>
  <c r="BV443" i="45"/>
  <c r="BW443" i="45"/>
  <c r="BX443" i="45"/>
  <c r="BY443" i="45"/>
  <c r="BZ443" i="45"/>
  <c r="CA443" i="45"/>
  <c r="CB443" i="45"/>
  <c r="CC443" i="45"/>
  <c r="CD443" i="45"/>
  <c r="CE443" i="45"/>
  <c r="CF443" i="45"/>
  <c r="CO443" i="45"/>
  <c r="CP443" i="45"/>
  <c r="J444" i="45"/>
  <c r="K444" i="45"/>
  <c r="L444" i="45"/>
  <c r="M444" i="45"/>
  <c r="N444" i="45"/>
  <c r="O444" i="45"/>
  <c r="P444" i="45"/>
  <c r="Q444" i="45"/>
  <c r="R444" i="45"/>
  <c r="S444" i="45"/>
  <c r="AO444" i="45"/>
  <c r="AP444" i="45"/>
  <c r="AQ444" i="45"/>
  <c r="AR444" i="45"/>
  <c r="AS444" i="45"/>
  <c r="AT444" i="45"/>
  <c r="AU444" i="45"/>
  <c r="AV444" i="45"/>
  <c r="AW444" i="45"/>
  <c r="AX444" i="45"/>
  <c r="AY444" i="45"/>
  <c r="AZ444" i="45"/>
  <c r="BA444" i="45"/>
  <c r="BB444" i="45"/>
  <c r="BC444" i="45"/>
  <c r="BD444" i="45"/>
  <c r="BE444" i="45"/>
  <c r="BF444" i="45"/>
  <c r="BG444" i="45"/>
  <c r="BH444" i="45"/>
  <c r="BI444" i="45"/>
  <c r="BJ444" i="45"/>
  <c r="BK444" i="45"/>
  <c r="BL444" i="45"/>
  <c r="BM444" i="45"/>
  <c r="BN444" i="45"/>
  <c r="BO444" i="45"/>
  <c r="BP444" i="45"/>
  <c r="BQ444" i="45"/>
  <c r="BR444" i="45"/>
  <c r="BS444" i="45"/>
  <c r="BT444" i="45"/>
  <c r="BU444" i="45"/>
  <c r="BV444" i="45"/>
  <c r="BW444" i="45"/>
  <c r="BX444" i="45"/>
  <c r="BY444" i="45"/>
  <c r="BZ444" i="45"/>
  <c r="CA444" i="45"/>
  <c r="CB444" i="45"/>
  <c r="CC444" i="45"/>
  <c r="CD444" i="45"/>
  <c r="CE444" i="45"/>
  <c r="CF444" i="45"/>
  <c r="K445" i="45"/>
  <c r="L445" i="45"/>
  <c r="M445" i="45"/>
  <c r="N445" i="45"/>
  <c r="O445" i="45"/>
  <c r="P445" i="45"/>
  <c r="Q445" i="45"/>
  <c r="R445" i="45"/>
  <c r="S445" i="45"/>
  <c r="AO445" i="45"/>
  <c r="AP445" i="45"/>
  <c r="AQ445" i="45"/>
  <c r="AR445" i="45"/>
  <c r="AS445" i="45"/>
  <c r="AT445" i="45"/>
  <c r="AU445" i="45"/>
  <c r="AV445" i="45"/>
  <c r="AW445" i="45"/>
  <c r="AX445" i="45"/>
  <c r="AY445" i="45"/>
  <c r="AZ445" i="45"/>
  <c r="BA445" i="45"/>
  <c r="BB445" i="45"/>
  <c r="BC445" i="45"/>
  <c r="BD445" i="45"/>
  <c r="BE445" i="45"/>
  <c r="BF445" i="45"/>
  <c r="BG445" i="45"/>
  <c r="BH445" i="45"/>
  <c r="BI445" i="45"/>
  <c r="BJ445" i="45"/>
  <c r="BK445" i="45"/>
  <c r="BL445" i="45"/>
  <c r="BM445" i="45"/>
  <c r="BN445" i="45"/>
  <c r="BO445" i="45"/>
  <c r="BP445" i="45"/>
  <c r="BQ445" i="45"/>
  <c r="BR445" i="45"/>
  <c r="BS445" i="45"/>
  <c r="BT445" i="45"/>
  <c r="BU445" i="45"/>
  <c r="BV445" i="45"/>
  <c r="BW445" i="45"/>
  <c r="BX445" i="45"/>
  <c r="BY445" i="45"/>
  <c r="BZ445" i="45"/>
  <c r="CA445" i="45"/>
  <c r="CB445" i="45"/>
  <c r="CC445" i="45"/>
  <c r="CD445" i="45"/>
  <c r="CE445" i="45"/>
  <c r="CF445" i="45"/>
  <c r="J446" i="45"/>
  <c r="K446" i="45"/>
  <c r="L446" i="45"/>
  <c r="M446" i="45"/>
  <c r="N446" i="45"/>
  <c r="O446" i="45"/>
  <c r="P446" i="45"/>
  <c r="Q446" i="45"/>
  <c r="R446" i="45"/>
  <c r="S446" i="45"/>
  <c r="AO446" i="45"/>
  <c r="AP446" i="45"/>
  <c r="AQ446" i="45"/>
  <c r="AR446" i="45"/>
  <c r="AS446" i="45"/>
  <c r="AT446" i="45"/>
  <c r="AU446" i="45"/>
  <c r="AV446" i="45"/>
  <c r="AW446" i="45"/>
  <c r="AX446" i="45"/>
  <c r="AY446" i="45"/>
  <c r="AZ446" i="45"/>
  <c r="BA446" i="45"/>
  <c r="BB446" i="45"/>
  <c r="BC446" i="45"/>
  <c r="BD446" i="45"/>
  <c r="BE446" i="45"/>
  <c r="BF446" i="45"/>
  <c r="BG446" i="45"/>
  <c r="BH446" i="45"/>
  <c r="BI446" i="45"/>
  <c r="BJ446" i="45"/>
  <c r="BK446" i="45"/>
  <c r="BL446" i="45"/>
  <c r="BM446" i="45"/>
  <c r="BN446" i="45"/>
  <c r="BO446" i="45"/>
  <c r="BP446" i="45"/>
  <c r="BQ446" i="45"/>
  <c r="BR446" i="45"/>
  <c r="BS446" i="45"/>
  <c r="BT446" i="45"/>
  <c r="BU446" i="45"/>
  <c r="BV446" i="45"/>
  <c r="BW446" i="45"/>
  <c r="BX446" i="45"/>
  <c r="BY446" i="45"/>
  <c r="BZ446" i="45"/>
  <c r="CA446" i="45"/>
  <c r="CB446" i="45"/>
  <c r="CC446" i="45"/>
  <c r="CD446" i="45"/>
  <c r="CE446" i="45"/>
  <c r="CF446" i="45"/>
  <c r="J447" i="45"/>
  <c r="K447" i="45"/>
  <c r="L447" i="45"/>
  <c r="M447" i="45"/>
  <c r="N447" i="45"/>
  <c r="O447" i="45"/>
  <c r="P447" i="45"/>
  <c r="Q447" i="45"/>
  <c r="R447" i="45"/>
  <c r="S447" i="45"/>
  <c r="AO447" i="45"/>
  <c r="AP447" i="45"/>
  <c r="AQ447" i="45"/>
  <c r="AR447" i="45"/>
  <c r="AS447" i="45"/>
  <c r="AT447" i="45"/>
  <c r="AU447" i="45"/>
  <c r="AV447" i="45"/>
  <c r="AW447" i="45"/>
  <c r="AX447" i="45"/>
  <c r="AY447" i="45"/>
  <c r="AZ447" i="45"/>
  <c r="BA447" i="45"/>
  <c r="BB447" i="45"/>
  <c r="BC447" i="45"/>
  <c r="BD447" i="45"/>
  <c r="BE447" i="45"/>
  <c r="BF447" i="45"/>
  <c r="BG447" i="45"/>
  <c r="BH447" i="45"/>
  <c r="BI447" i="45"/>
  <c r="BJ447" i="45"/>
  <c r="BK447" i="45"/>
  <c r="BL447" i="45"/>
  <c r="BM447" i="45"/>
  <c r="BN447" i="45"/>
  <c r="BO447" i="45"/>
  <c r="BP447" i="45"/>
  <c r="BQ447" i="45"/>
  <c r="BR447" i="45"/>
  <c r="BS447" i="45"/>
  <c r="BT447" i="45"/>
  <c r="BU447" i="45"/>
  <c r="BV447" i="45"/>
  <c r="BW447" i="45"/>
  <c r="BX447" i="45"/>
  <c r="BY447" i="45"/>
  <c r="BZ447" i="45"/>
  <c r="CA447" i="45"/>
  <c r="CB447" i="45"/>
  <c r="CC447" i="45"/>
  <c r="CD447" i="45"/>
  <c r="CE447" i="45"/>
  <c r="CF447" i="45"/>
  <c r="J448" i="45"/>
  <c r="K448" i="45"/>
  <c r="L448" i="45"/>
  <c r="M448" i="45"/>
  <c r="N448" i="45"/>
  <c r="O448" i="45"/>
  <c r="P448" i="45"/>
  <c r="Q448" i="45"/>
  <c r="R448" i="45"/>
  <c r="S448" i="45"/>
  <c r="AO448" i="45"/>
  <c r="AP448" i="45"/>
  <c r="AQ448" i="45"/>
  <c r="AR448" i="45"/>
  <c r="AS448" i="45"/>
  <c r="AT448" i="45"/>
  <c r="AU448" i="45"/>
  <c r="AV448" i="45"/>
  <c r="AW448" i="45"/>
  <c r="AX448" i="45"/>
  <c r="AY448" i="45"/>
  <c r="AZ448" i="45"/>
  <c r="BA448" i="45"/>
  <c r="BB448" i="45"/>
  <c r="BC448" i="45"/>
  <c r="BD448" i="45"/>
  <c r="BE448" i="45"/>
  <c r="BF448" i="45"/>
  <c r="BG448" i="45"/>
  <c r="BH448" i="45"/>
  <c r="BI448" i="45"/>
  <c r="BJ448" i="45"/>
  <c r="BK448" i="45"/>
  <c r="BL448" i="45"/>
  <c r="BM448" i="45"/>
  <c r="BN448" i="45"/>
  <c r="BO448" i="45"/>
  <c r="BP448" i="45"/>
  <c r="BQ448" i="45"/>
  <c r="BR448" i="45"/>
  <c r="BS448" i="45"/>
  <c r="BT448" i="45"/>
  <c r="BU448" i="45"/>
  <c r="BV448" i="45"/>
  <c r="BW448" i="45"/>
  <c r="BX448" i="45"/>
  <c r="BY448" i="45"/>
  <c r="BZ448" i="45"/>
  <c r="CA448" i="45"/>
  <c r="CB448" i="45"/>
  <c r="CC448" i="45"/>
  <c r="CD448" i="45"/>
  <c r="CE448" i="45"/>
  <c r="CF448" i="45"/>
  <c r="K449" i="45"/>
  <c r="L449" i="45"/>
  <c r="M449" i="45"/>
  <c r="N449" i="45"/>
  <c r="O449" i="45"/>
  <c r="P449" i="45"/>
  <c r="Q449" i="45"/>
  <c r="R449" i="45"/>
  <c r="S449" i="45"/>
  <c r="AO449" i="45"/>
  <c r="AP449" i="45"/>
  <c r="AQ449" i="45"/>
  <c r="AR449" i="45"/>
  <c r="AS449" i="45"/>
  <c r="AT449" i="45"/>
  <c r="AU449" i="45"/>
  <c r="AV449" i="45"/>
  <c r="AW449" i="45"/>
  <c r="AX449" i="45"/>
  <c r="AY449" i="45"/>
  <c r="AZ449" i="45"/>
  <c r="BA449" i="45"/>
  <c r="BB449" i="45"/>
  <c r="BC449" i="45"/>
  <c r="BD449" i="45"/>
  <c r="BE449" i="45"/>
  <c r="BF449" i="45"/>
  <c r="BG449" i="45"/>
  <c r="BH449" i="45"/>
  <c r="BI449" i="45"/>
  <c r="BJ449" i="45"/>
  <c r="BK449" i="45"/>
  <c r="BL449" i="45"/>
  <c r="BM449" i="45"/>
  <c r="BN449" i="45"/>
  <c r="BO449" i="45"/>
  <c r="BP449" i="45"/>
  <c r="BQ449" i="45"/>
  <c r="BR449" i="45"/>
  <c r="BS449" i="45"/>
  <c r="BT449" i="45"/>
  <c r="BU449" i="45"/>
  <c r="BW449" i="45"/>
  <c r="BX449" i="45"/>
  <c r="BY449" i="45"/>
  <c r="BZ449" i="45"/>
  <c r="CA449" i="45"/>
  <c r="CB449" i="45"/>
  <c r="CC449" i="45"/>
  <c r="CD449" i="45"/>
  <c r="CE449" i="45"/>
  <c r="CF449" i="45"/>
  <c r="J450" i="45"/>
  <c r="K450" i="45"/>
  <c r="L450" i="45"/>
  <c r="M450" i="45"/>
  <c r="N450" i="45"/>
  <c r="O450" i="45"/>
  <c r="P450" i="45"/>
  <c r="Q450" i="45"/>
  <c r="R450" i="45"/>
  <c r="S450" i="45"/>
  <c r="AO450" i="45"/>
  <c r="AP450" i="45"/>
  <c r="AQ450" i="45"/>
  <c r="AR450" i="45"/>
  <c r="AS450" i="45"/>
  <c r="AT450" i="45"/>
  <c r="AU450" i="45"/>
  <c r="AV450" i="45"/>
  <c r="AW450" i="45"/>
  <c r="AX450" i="45"/>
  <c r="AY450" i="45"/>
  <c r="AZ450" i="45"/>
  <c r="BA450" i="45"/>
  <c r="BB450" i="45"/>
  <c r="BC450" i="45"/>
  <c r="BD450" i="45"/>
  <c r="BE450" i="45"/>
  <c r="BF450" i="45"/>
  <c r="BG450" i="45"/>
  <c r="BH450" i="45"/>
  <c r="BI450" i="45"/>
  <c r="BJ450" i="45"/>
  <c r="BK450" i="45"/>
  <c r="BL450" i="45"/>
  <c r="BM450" i="45"/>
  <c r="BN450" i="45"/>
  <c r="BO450" i="45"/>
  <c r="BP450" i="45"/>
  <c r="BQ450" i="45"/>
  <c r="BR450" i="45"/>
  <c r="BS450" i="45"/>
  <c r="BT450" i="45"/>
  <c r="BU450" i="45"/>
  <c r="BV450" i="45"/>
  <c r="BW450" i="45"/>
  <c r="BX450" i="45"/>
  <c r="BY450" i="45"/>
  <c r="BZ450" i="45"/>
  <c r="CA450" i="45"/>
  <c r="CB450" i="45"/>
  <c r="CC450" i="45"/>
  <c r="CD450" i="45"/>
  <c r="CE450" i="45"/>
  <c r="CF450" i="45"/>
  <c r="AC451" i="45"/>
  <c r="AE451" i="45"/>
  <c r="AD451" i="45"/>
  <c r="AH451" i="45"/>
  <c r="AL451" i="45"/>
  <c r="AH452" i="45"/>
  <c r="I453" i="45"/>
  <c r="I452" i="45"/>
  <c r="K453" i="45"/>
  <c r="K452" i="45"/>
  <c r="O453" i="45"/>
  <c r="Q453" i="45"/>
  <c r="R453" i="45"/>
  <c r="S453" i="45"/>
  <c r="T453" i="45"/>
  <c r="U453" i="45"/>
  <c r="Z453" i="45"/>
  <c r="AB453" i="45"/>
  <c r="AH453" i="45"/>
  <c r="AP453" i="45"/>
  <c r="AP452" i="45"/>
  <c r="AQ453" i="45"/>
  <c r="AQ452" i="45"/>
  <c r="AR453" i="45"/>
  <c r="AR452" i="45"/>
  <c r="AS453" i="45"/>
  <c r="AS452" i="45"/>
  <c r="AT453" i="45"/>
  <c r="AT452" i="45"/>
  <c r="AU453" i="45"/>
  <c r="AU452" i="45"/>
  <c r="AV453" i="45"/>
  <c r="AV452" i="45"/>
  <c r="AW453" i="45"/>
  <c r="AW452" i="45"/>
  <c r="AX453" i="45"/>
  <c r="AX452" i="45"/>
  <c r="AY453" i="45"/>
  <c r="AY452" i="45"/>
  <c r="AZ453" i="45"/>
  <c r="AZ452" i="45"/>
  <c r="BA453" i="45"/>
  <c r="BA452" i="45"/>
  <c r="BB453" i="45"/>
  <c r="BB452" i="45"/>
  <c r="BC453" i="45"/>
  <c r="BC452" i="45"/>
  <c r="BD453" i="45"/>
  <c r="BD452" i="45"/>
  <c r="BE453" i="45"/>
  <c r="BE452" i="45"/>
  <c r="BF453" i="45"/>
  <c r="BF452" i="45"/>
  <c r="BG453" i="45"/>
  <c r="BG452" i="45"/>
  <c r="BH453" i="45"/>
  <c r="BH452" i="45"/>
  <c r="BJ453" i="45"/>
  <c r="BJ452" i="45"/>
  <c r="BK453" i="45"/>
  <c r="BK452" i="45"/>
  <c r="BL453" i="45"/>
  <c r="BL452" i="45"/>
  <c r="BN453" i="45"/>
  <c r="BN452" i="45"/>
  <c r="BO453" i="45"/>
  <c r="BO452" i="45"/>
  <c r="BP453" i="45"/>
  <c r="BP452" i="45"/>
  <c r="BQ453" i="45"/>
  <c r="BQ452" i="45"/>
  <c r="BR453" i="45"/>
  <c r="BR452" i="45"/>
  <c r="BS453" i="45"/>
  <c r="BS452" i="45"/>
  <c r="BT453" i="45"/>
  <c r="BT452" i="45"/>
  <c r="BU453" i="45"/>
  <c r="BU452" i="45"/>
  <c r="BW453" i="45"/>
  <c r="BW452" i="45"/>
  <c r="BX453" i="45"/>
  <c r="BX452" i="45"/>
  <c r="BZ453" i="45"/>
  <c r="BZ452" i="45"/>
  <c r="CA453" i="45"/>
  <c r="CA452" i="45"/>
  <c r="CB453" i="45"/>
  <c r="CB452" i="45"/>
  <c r="CC453" i="45"/>
  <c r="CC452" i="45"/>
  <c r="CD453" i="45"/>
  <c r="CD452" i="45"/>
  <c r="CE453" i="45"/>
  <c r="CE452" i="45"/>
  <c r="CF453" i="45"/>
  <c r="CF452" i="45"/>
  <c r="X454" i="45"/>
  <c r="Y454" i="45"/>
  <c r="AH454" i="45"/>
  <c r="BI454" i="45"/>
  <c r="BI456" i="45"/>
  <c r="BI453" i="45"/>
  <c r="BI452" i="45"/>
  <c r="BM454" i="45"/>
  <c r="BY454" i="45"/>
  <c r="CH454" i="45"/>
  <c r="CI454" i="45"/>
  <c r="CJ454" i="45"/>
  <c r="CK454" i="45"/>
  <c r="CZ454" i="45"/>
  <c r="AH455" i="45"/>
  <c r="AO455" i="45"/>
  <c r="AO439" i="45"/>
  <c r="CH455" i="45"/>
  <c r="CI455" i="45"/>
  <c r="AE455" i="45"/>
  <c r="AK455" i="45"/>
  <c r="CJ455" i="45"/>
  <c r="CK455" i="45"/>
  <c r="AG455" i="45"/>
  <c r="AM455" i="45"/>
  <c r="X456" i="45"/>
  <c r="Y456" i="45"/>
  <c r="AH456" i="45"/>
  <c r="BI440" i="45"/>
  <c r="BM456" i="45"/>
  <c r="CH456" i="45"/>
  <c r="CI456" i="45"/>
  <c r="CJ456" i="45"/>
  <c r="AF456" i="45"/>
  <c r="AL456" i="45"/>
  <c r="CK456" i="45"/>
  <c r="AH457" i="45"/>
  <c r="CH457" i="45"/>
  <c r="CI457" i="45"/>
  <c r="CJ457" i="45"/>
  <c r="CK457" i="45"/>
  <c r="AH458" i="45"/>
  <c r="CH458" i="45"/>
  <c r="CI458" i="45"/>
  <c r="CJ458" i="45"/>
  <c r="CK458" i="45"/>
  <c r="AH459" i="45"/>
  <c r="CH459" i="45"/>
  <c r="AC459" i="45"/>
  <c r="CI459" i="45"/>
  <c r="AE459" i="45"/>
  <c r="AK459" i="45"/>
  <c r="CJ459" i="45"/>
  <c r="CK459" i="45"/>
  <c r="AH460" i="45"/>
  <c r="CH460" i="45"/>
  <c r="AC460" i="45"/>
  <c r="AI460" i="45"/>
  <c r="CI460" i="45"/>
  <c r="AE460" i="45"/>
  <c r="CJ460" i="45"/>
  <c r="CK460" i="45"/>
  <c r="CH461" i="45"/>
  <c r="AC461" i="45"/>
  <c r="AI461" i="45"/>
  <c r="J461" i="45"/>
  <c r="AH461" i="45"/>
  <c r="CI461" i="45"/>
  <c r="AE461" i="45"/>
  <c r="AK461" i="45"/>
  <c r="CJ461" i="45"/>
  <c r="CK461" i="45"/>
  <c r="AH462" i="45"/>
  <c r="CH462" i="45"/>
  <c r="CI462" i="45"/>
  <c r="CJ462" i="45"/>
  <c r="CK462" i="45"/>
  <c r="CH463" i="45"/>
  <c r="AC463" i="45"/>
  <c r="AH463" i="45"/>
  <c r="AI463" i="45"/>
  <c r="CI463" i="45"/>
  <c r="AE463" i="45"/>
  <c r="CJ463" i="45"/>
  <c r="CK463" i="45"/>
  <c r="CI464" i="45"/>
  <c r="AE464" i="45"/>
  <c r="AK464" i="45"/>
  <c r="AH464" i="45"/>
  <c r="CH464" i="45"/>
  <c r="AC464" i="45"/>
  <c r="AI464" i="45"/>
  <c r="CJ464" i="45"/>
  <c r="AF464" i="45"/>
  <c r="CK464" i="45"/>
  <c r="BV465" i="45"/>
  <c r="CI465" i="45"/>
  <c r="AE465" i="45"/>
  <c r="AK465" i="45"/>
  <c r="AH465" i="45"/>
  <c r="BV453" i="45"/>
  <c r="BV452" i="45"/>
  <c r="CH465" i="45"/>
  <c r="CJ465" i="45"/>
  <c r="CK465" i="45"/>
  <c r="AG465" i="45"/>
  <c r="AM465" i="45"/>
  <c r="AH466" i="45"/>
  <c r="CH466" i="45"/>
  <c r="CI466" i="45"/>
  <c r="CJ466" i="45"/>
  <c r="CK466" i="45"/>
  <c r="H467" i="45"/>
  <c r="AH467" i="45"/>
  <c r="AL467" i="45"/>
  <c r="CH467" i="45"/>
  <c r="AC467" i="45"/>
  <c r="CI467" i="45"/>
  <c r="AE467" i="45"/>
  <c r="AD467" i="45"/>
  <c r="CJ467" i="45"/>
  <c r="CK467" i="45"/>
  <c r="AH468" i="45"/>
  <c r="AR469" i="45"/>
  <c r="AR468" i="45"/>
  <c r="AV469" i="45"/>
  <c r="AV468" i="45"/>
  <c r="AZ469" i="45"/>
  <c r="AZ468" i="45"/>
  <c r="BD469" i="45"/>
  <c r="BD468" i="45"/>
  <c r="BP469" i="45"/>
  <c r="BP468" i="45"/>
  <c r="BT469" i="45"/>
  <c r="BT468" i="45"/>
  <c r="BX469" i="45"/>
  <c r="BX468" i="45"/>
  <c r="I469" i="45"/>
  <c r="I468" i="45"/>
  <c r="K469" i="45"/>
  <c r="K468" i="45"/>
  <c r="O469" i="45"/>
  <c r="Q469" i="45"/>
  <c r="R469" i="45"/>
  <c r="S469" i="45"/>
  <c r="AH469" i="45"/>
  <c r="AO469" i="45"/>
  <c r="AO468" i="45"/>
  <c r="AP469" i="45"/>
  <c r="AP468" i="45"/>
  <c r="AQ469" i="45"/>
  <c r="AQ468" i="45"/>
  <c r="AS469" i="45"/>
  <c r="AS468" i="45"/>
  <c r="AT469" i="45"/>
  <c r="AT468" i="45"/>
  <c r="AU469" i="45"/>
  <c r="AU468" i="45"/>
  <c r="AW469" i="45"/>
  <c r="AW468" i="45"/>
  <c r="AX469" i="45"/>
  <c r="AX468" i="45"/>
  <c r="AY469" i="45"/>
  <c r="AY468" i="45"/>
  <c r="BA469" i="45"/>
  <c r="BA468" i="45"/>
  <c r="BB469" i="45"/>
  <c r="BB468" i="45"/>
  <c r="BC469" i="45"/>
  <c r="BC468" i="45"/>
  <c r="BF469" i="45"/>
  <c r="BF468" i="45"/>
  <c r="BG469" i="45"/>
  <c r="BG468" i="45"/>
  <c r="BH469" i="45"/>
  <c r="BH468" i="45"/>
  <c r="BJ469" i="45"/>
  <c r="BJ468" i="45"/>
  <c r="BK469" i="45"/>
  <c r="BK468" i="45"/>
  <c r="BL469" i="45"/>
  <c r="BL468" i="45"/>
  <c r="BN469" i="45"/>
  <c r="BN468" i="45"/>
  <c r="BO469" i="45"/>
  <c r="BO468" i="45"/>
  <c r="BQ469" i="45"/>
  <c r="BQ468" i="45"/>
  <c r="BR469" i="45"/>
  <c r="BR468" i="45"/>
  <c r="BS469" i="45"/>
  <c r="BS468" i="45"/>
  <c r="BU469" i="45"/>
  <c r="BU468" i="45"/>
  <c r="BV469" i="45"/>
  <c r="BV468" i="45"/>
  <c r="BW469" i="45"/>
  <c r="BW468" i="45"/>
  <c r="BZ469" i="45"/>
  <c r="BZ468" i="45"/>
  <c r="CA469" i="45"/>
  <c r="CA468" i="45"/>
  <c r="CB469" i="45"/>
  <c r="CB468" i="45"/>
  <c r="CC469" i="45"/>
  <c r="CC468" i="45"/>
  <c r="CD469" i="45"/>
  <c r="CD468" i="45"/>
  <c r="CE469" i="45"/>
  <c r="CE468" i="45"/>
  <c r="CF469" i="45"/>
  <c r="CF468" i="45"/>
  <c r="CP469" i="45"/>
  <c r="CP468" i="45"/>
  <c r="CH468" i="45"/>
  <c r="CQ469" i="45"/>
  <c r="CI469" i="45"/>
  <c r="CR469" i="45"/>
  <c r="CR468" i="45"/>
  <c r="CJ468" i="45"/>
  <c r="CS469" i="45"/>
  <c r="CK469" i="45"/>
  <c r="W470" i="45"/>
  <c r="X470" i="45"/>
  <c r="Y470" i="45"/>
  <c r="AH470" i="45"/>
  <c r="BI470" i="45"/>
  <c r="BI469" i="45"/>
  <c r="BI468" i="45"/>
  <c r="BM470" i="45"/>
  <c r="BY470" i="45"/>
  <c r="BY469" i="45"/>
  <c r="BY468" i="45"/>
  <c r="CH470" i="45"/>
  <c r="CI470" i="45"/>
  <c r="AE470" i="45"/>
  <c r="CJ470" i="45"/>
  <c r="AF470" i="45"/>
  <c r="CK470" i="45"/>
  <c r="AG470" i="45"/>
  <c r="CZ470" i="45"/>
  <c r="AH471" i="45"/>
  <c r="CH471" i="45"/>
  <c r="AC471" i="45"/>
  <c r="AI471" i="45"/>
  <c r="CI471" i="45"/>
  <c r="AE471" i="45"/>
  <c r="AK471" i="45"/>
  <c r="CJ471" i="45"/>
  <c r="AF471" i="45"/>
  <c r="AL471" i="45"/>
  <c r="CK471" i="45"/>
  <c r="AG471" i="45"/>
  <c r="AM471" i="45"/>
  <c r="W472" i="45"/>
  <c r="X472" i="45"/>
  <c r="Y472" i="45"/>
  <c r="AH472" i="45"/>
  <c r="BM472" i="45"/>
  <c r="CH472" i="45"/>
  <c r="CI472" i="45"/>
  <c r="AE472" i="45"/>
  <c r="AK472" i="45"/>
  <c r="CJ472" i="45"/>
  <c r="AF472" i="45"/>
  <c r="AL472" i="45"/>
  <c r="CK472" i="45"/>
  <c r="AG472" i="45"/>
  <c r="AM472" i="45"/>
  <c r="CZ472" i="45"/>
  <c r="AH473" i="45"/>
  <c r="CH473" i="45"/>
  <c r="AC473" i="45"/>
  <c r="AI473" i="45"/>
  <c r="CI473" i="45"/>
  <c r="AE473" i="45"/>
  <c r="AK473" i="45"/>
  <c r="CJ473" i="45"/>
  <c r="AF473" i="45"/>
  <c r="AL473" i="45"/>
  <c r="CK473" i="45"/>
  <c r="AG473" i="45"/>
  <c r="AM473" i="45"/>
  <c r="AJ473" i="45"/>
  <c r="CH474" i="45"/>
  <c r="AC474" i="45"/>
  <c r="AH474" i="45"/>
  <c r="AI474" i="45"/>
  <c r="CI474" i="45"/>
  <c r="AE474" i="45"/>
  <c r="CJ474" i="45"/>
  <c r="AF474" i="45"/>
  <c r="AL474" i="45"/>
  <c r="CK474" i="45"/>
  <c r="AG474" i="45"/>
  <c r="AM474" i="45"/>
  <c r="AH475" i="45"/>
  <c r="BE475" i="45"/>
  <c r="CH475" i="45"/>
  <c r="CI475" i="45"/>
  <c r="AE475" i="45"/>
  <c r="AK475" i="45"/>
  <c r="CJ475" i="45"/>
  <c r="AF475" i="45"/>
  <c r="AL475" i="45"/>
  <c r="CK475" i="45"/>
  <c r="AG475" i="45"/>
  <c r="AM475" i="45"/>
  <c r="AH476" i="45"/>
  <c r="CH476" i="45"/>
  <c r="AC476" i="45"/>
  <c r="AI476" i="45"/>
  <c r="CI476" i="45"/>
  <c r="AE476" i="45"/>
  <c r="AK476" i="45"/>
  <c r="CJ476" i="45"/>
  <c r="AF476" i="45"/>
  <c r="AL476" i="45"/>
  <c r="CK476" i="45"/>
  <c r="AG476" i="45"/>
  <c r="AM476" i="45"/>
  <c r="J477" i="45"/>
  <c r="J469" i="45"/>
  <c r="J468" i="45"/>
  <c r="AH477" i="45"/>
  <c r="CH477" i="45"/>
  <c r="AC477" i="45"/>
  <c r="AI477" i="45"/>
  <c r="CI477" i="45"/>
  <c r="AE477" i="45"/>
  <c r="CJ477" i="45"/>
  <c r="AF477" i="45"/>
  <c r="AL477" i="45"/>
  <c r="CK477" i="45"/>
  <c r="AG477" i="45"/>
  <c r="AM477" i="45"/>
  <c r="AH478" i="45"/>
  <c r="CH478" i="45"/>
  <c r="AC478" i="45"/>
  <c r="CI478" i="45"/>
  <c r="AE478" i="45"/>
  <c r="CJ478" i="45"/>
  <c r="AF478" i="45"/>
  <c r="AL478" i="45"/>
  <c r="CK478" i="45"/>
  <c r="AG478" i="45"/>
  <c r="AM478" i="45"/>
  <c r="AH479" i="45"/>
  <c r="CH479" i="45"/>
  <c r="AC479" i="45"/>
  <c r="AI479" i="45"/>
  <c r="CI479" i="45"/>
  <c r="AE479" i="45"/>
  <c r="AK479" i="45"/>
  <c r="CJ479" i="45"/>
  <c r="AF479" i="45"/>
  <c r="AL479" i="45"/>
  <c r="CK479" i="45"/>
  <c r="AG479" i="45"/>
  <c r="AM479" i="45"/>
  <c r="AH480" i="45"/>
  <c r="CH480" i="45"/>
  <c r="AC480" i="45"/>
  <c r="AI480" i="45"/>
  <c r="CI480" i="45"/>
  <c r="AE480" i="45"/>
  <c r="CJ480" i="45"/>
  <c r="CK480" i="45"/>
  <c r="AG480" i="45"/>
  <c r="AM480" i="45"/>
  <c r="AH481" i="45"/>
  <c r="CH481" i="45"/>
  <c r="AC481" i="45"/>
  <c r="CI481" i="45"/>
  <c r="AE481" i="45"/>
  <c r="CJ481" i="45"/>
  <c r="AF481" i="45"/>
  <c r="AL481" i="45"/>
  <c r="CK481" i="45"/>
  <c r="AH482" i="45"/>
  <c r="CH482" i="45"/>
  <c r="AC482" i="45"/>
  <c r="AI482" i="45"/>
  <c r="CI482" i="45"/>
  <c r="AE482" i="45"/>
  <c r="AK482" i="45"/>
  <c r="CJ482" i="45"/>
  <c r="AF482" i="45"/>
  <c r="AL482" i="45"/>
  <c r="CK482" i="45"/>
  <c r="AG482" i="45"/>
  <c r="AM482" i="45"/>
  <c r="H483" i="45"/>
  <c r="AH483" i="45"/>
  <c r="AL483" i="45"/>
  <c r="CH483" i="45"/>
  <c r="AC483" i="45"/>
  <c r="CI483" i="45"/>
  <c r="AE483" i="45"/>
  <c r="AD483" i="45"/>
  <c r="CJ483" i="45"/>
  <c r="CK483" i="45"/>
  <c r="I485" i="45"/>
  <c r="I484" i="45"/>
  <c r="AH484" i="45"/>
  <c r="K485" i="45"/>
  <c r="K484" i="45"/>
  <c r="O485" i="45"/>
  <c r="Q485" i="45"/>
  <c r="R485" i="45"/>
  <c r="S485" i="45"/>
  <c r="AH485" i="45"/>
  <c r="AO485" i="45"/>
  <c r="AO484" i="45"/>
  <c r="AP485" i="45"/>
  <c r="AP484" i="45"/>
  <c r="AQ485" i="45"/>
  <c r="AQ484" i="45"/>
  <c r="AR485" i="45"/>
  <c r="AR484" i="45"/>
  <c r="AS485" i="45"/>
  <c r="AS484" i="45"/>
  <c r="AT485" i="45"/>
  <c r="AT484" i="45"/>
  <c r="AU485" i="45"/>
  <c r="AU484" i="45"/>
  <c r="AV485" i="45"/>
  <c r="AV484" i="45"/>
  <c r="AW485" i="45"/>
  <c r="AW484" i="45"/>
  <c r="AX485" i="45"/>
  <c r="AX484" i="45"/>
  <c r="AY485" i="45"/>
  <c r="AY484" i="45"/>
  <c r="AZ485" i="45"/>
  <c r="AZ484" i="45"/>
  <c r="BA485" i="45"/>
  <c r="BA484" i="45"/>
  <c r="BB485" i="45"/>
  <c r="BB484" i="45"/>
  <c r="BC485" i="45"/>
  <c r="BC484" i="45"/>
  <c r="BD485" i="45"/>
  <c r="BD484" i="45"/>
  <c r="BE485" i="45"/>
  <c r="BE484" i="45"/>
  <c r="BF485" i="45"/>
  <c r="BF484" i="45"/>
  <c r="BG485" i="45"/>
  <c r="BG484" i="45"/>
  <c r="BH485" i="45"/>
  <c r="BH484" i="45"/>
  <c r="BJ485" i="45"/>
  <c r="BJ484" i="45"/>
  <c r="BK485" i="45"/>
  <c r="BK484" i="45"/>
  <c r="BL485" i="45"/>
  <c r="BL484" i="45"/>
  <c r="BN485" i="45"/>
  <c r="BN484" i="45"/>
  <c r="BO485" i="45"/>
  <c r="BO484" i="45"/>
  <c r="BP485" i="45"/>
  <c r="BP484" i="45"/>
  <c r="BQ485" i="45"/>
  <c r="BQ484" i="45"/>
  <c r="BR485" i="45"/>
  <c r="BR484" i="45"/>
  <c r="BS485" i="45"/>
  <c r="BS484" i="45"/>
  <c r="BT485" i="45"/>
  <c r="BT484" i="45"/>
  <c r="BU485" i="45"/>
  <c r="BU484" i="45"/>
  <c r="BV485" i="45"/>
  <c r="BV484" i="45"/>
  <c r="BW485" i="45"/>
  <c r="BW484" i="45"/>
  <c r="BX485" i="45"/>
  <c r="BX484" i="45"/>
  <c r="BY485" i="45"/>
  <c r="BY484" i="45"/>
  <c r="BZ485" i="45"/>
  <c r="BZ484" i="45"/>
  <c r="CA485" i="45"/>
  <c r="CA484" i="45"/>
  <c r="CB485" i="45"/>
  <c r="CB484" i="45"/>
  <c r="CC485" i="45"/>
  <c r="CC484" i="45"/>
  <c r="CD485" i="45"/>
  <c r="CD484" i="45"/>
  <c r="CE485" i="45"/>
  <c r="CE484" i="45"/>
  <c r="CF485" i="45"/>
  <c r="CF484" i="45"/>
  <c r="CP485" i="45"/>
  <c r="CH485" i="45"/>
  <c r="CQ485" i="45"/>
  <c r="CI485" i="45"/>
  <c r="CR485" i="45"/>
  <c r="CJ485" i="45"/>
  <c r="CS485" i="45"/>
  <c r="CK485" i="45"/>
  <c r="W486" i="45"/>
  <c r="X486" i="45"/>
  <c r="Y486" i="45"/>
  <c r="CK486" i="45"/>
  <c r="AG486" i="45"/>
  <c r="AM486" i="45"/>
  <c r="AH486" i="45"/>
  <c r="BI486" i="45"/>
  <c r="BM486" i="45"/>
  <c r="CH486" i="45"/>
  <c r="CI486" i="45"/>
  <c r="AE486" i="45"/>
  <c r="AK486" i="45"/>
  <c r="CJ486" i="45"/>
  <c r="AF486" i="45"/>
  <c r="CZ486" i="45"/>
  <c r="AH487" i="45"/>
  <c r="CH487" i="45"/>
  <c r="AC487" i="45"/>
  <c r="AI487" i="45"/>
  <c r="CI487" i="45"/>
  <c r="AE487" i="45"/>
  <c r="CJ487" i="45"/>
  <c r="AF487" i="45"/>
  <c r="AL487" i="45"/>
  <c r="CK487" i="45"/>
  <c r="AG487" i="45"/>
  <c r="AM487" i="45"/>
  <c r="W488" i="45"/>
  <c r="X488" i="45"/>
  <c r="Y488" i="45"/>
  <c r="AH488" i="45"/>
  <c r="BM488" i="45"/>
  <c r="CH488" i="45"/>
  <c r="AC488" i="45"/>
  <c r="CI488" i="45"/>
  <c r="AE488" i="45"/>
  <c r="CJ488" i="45"/>
  <c r="AF488" i="45"/>
  <c r="AL488" i="45"/>
  <c r="CK488" i="45"/>
  <c r="AG488" i="45"/>
  <c r="AM488" i="45"/>
  <c r="CZ488" i="45"/>
  <c r="AH489" i="45"/>
  <c r="CH489" i="45"/>
  <c r="AC489" i="45"/>
  <c r="AI489" i="45"/>
  <c r="CI489" i="45"/>
  <c r="AE489" i="45"/>
  <c r="CJ489" i="45"/>
  <c r="AF489" i="45"/>
  <c r="AL489" i="45"/>
  <c r="CK489" i="45"/>
  <c r="AG489" i="45"/>
  <c r="AM489" i="45"/>
  <c r="AH490" i="45"/>
  <c r="CH490" i="45"/>
  <c r="AC490" i="45"/>
  <c r="AI490" i="45"/>
  <c r="CI490" i="45"/>
  <c r="AE490" i="45"/>
  <c r="CJ490" i="45"/>
  <c r="AF490" i="45"/>
  <c r="AL490" i="45"/>
  <c r="CK490" i="45"/>
  <c r="AG490" i="45"/>
  <c r="AM490" i="45"/>
  <c r="AH491" i="45"/>
  <c r="CH491" i="45"/>
  <c r="AC491" i="45"/>
  <c r="CI491" i="45"/>
  <c r="AE491" i="45"/>
  <c r="CJ491" i="45"/>
  <c r="AF491" i="45"/>
  <c r="AL491" i="45"/>
  <c r="CK491" i="45"/>
  <c r="AG491" i="45"/>
  <c r="AM491" i="45"/>
  <c r="AH492" i="45"/>
  <c r="CH492" i="45"/>
  <c r="AC492" i="45"/>
  <c r="CI492" i="45"/>
  <c r="AE492" i="45"/>
  <c r="CJ492" i="45"/>
  <c r="AF492" i="45"/>
  <c r="AL492" i="45"/>
  <c r="CK492" i="45"/>
  <c r="AG492" i="45"/>
  <c r="AM492" i="45"/>
  <c r="J493" i="45"/>
  <c r="AH493" i="45"/>
  <c r="CH493" i="45"/>
  <c r="AC493" i="45"/>
  <c r="CI493" i="45"/>
  <c r="AE493" i="45"/>
  <c r="CJ493" i="45"/>
  <c r="AF493" i="45"/>
  <c r="AL493" i="45"/>
  <c r="CK493" i="45"/>
  <c r="AG493" i="45"/>
  <c r="AM493" i="45"/>
  <c r="AH494" i="45"/>
  <c r="CH494" i="45"/>
  <c r="AC494" i="45"/>
  <c r="CI494" i="45"/>
  <c r="AE494" i="45"/>
  <c r="CJ494" i="45"/>
  <c r="AF494" i="45"/>
  <c r="AL494" i="45"/>
  <c r="CK494" i="45"/>
  <c r="AG494" i="45"/>
  <c r="AM494" i="45"/>
  <c r="AH495" i="45"/>
  <c r="CH495" i="45"/>
  <c r="AC495" i="45"/>
  <c r="CI495" i="45"/>
  <c r="AE495" i="45"/>
  <c r="CJ495" i="45"/>
  <c r="AF495" i="45"/>
  <c r="AL495" i="45"/>
  <c r="CK495" i="45"/>
  <c r="AG495" i="45"/>
  <c r="AM495" i="45"/>
  <c r="AH496" i="45"/>
  <c r="CH496" i="45"/>
  <c r="AC496" i="45"/>
  <c r="AI496" i="45"/>
  <c r="CI496" i="45"/>
  <c r="AE496" i="45"/>
  <c r="CJ496" i="45"/>
  <c r="AF496" i="45"/>
  <c r="AL496" i="45"/>
  <c r="CK496" i="45"/>
  <c r="AG496" i="45"/>
  <c r="AM496" i="45"/>
  <c r="J497" i="45"/>
  <c r="J449" i="45"/>
  <c r="AH497" i="45"/>
  <c r="CH497" i="45"/>
  <c r="AC497" i="45"/>
  <c r="AI497" i="45"/>
  <c r="CI497" i="45"/>
  <c r="AE497" i="45"/>
  <c r="CJ497" i="45"/>
  <c r="AF497" i="45"/>
  <c r="AL497" i="45"/>
  <c r="CK497" i="45"/>
  <c r="AG497" i="45"/>
  <c r="AM497" i="45"/>
  <c r="AH498" i="45"/>
  <c r="CH498" i="45"/>
  <c r="AC498" i="45"/>
  <c r="CI498" i="45"/>
  <c r="AE498" i="45"/>
  <c r="CJ498" i="45"/>
  <c r="AF498" i="45"/>
  <c r="AL498" i="45"/>
  <c r="CK498" i="45"/>
  <c r="AG498" i="45"/>
  <c r="AM498" i="45"/>
  <c r="H499" i="45"/>
  <c r="AH499" i="45"/>
  <c r="AL499" i="45"/>
  <c r="CH499" i="45"/>
  <c r="AC499" i="45"/>
  <c r="CI499" i="45"/>
  <c r="AE499" i="45"/>
  <c r="AD499" i="45"/>
  <c r="CJ499" i="45"/>
  <c r="CK499" i="45"/>
  <c r="AH500" i="45"/>
  <c r="I501" i="45"/>
  <c r="I500" i="45"/>
  <c r="K501" i="45"/>
  <c r="K500" i="45"/>
  <c r="O501" i="45"/>
  <c r="Q501" i="45"/>
  <c r="R501" i="45"/>
  <c r="S501" i="45"/>
  <c r="AH501" i="45"/>
  <c r="AO501" i="45"/>
  <c r="AO500" i="45"/>
  <c r="AP501" i="45"/>
  <c r="AP500" i="45"/>
  <c r="AQ501" i="45"/>
  <c r="AQ500" i="45"/>
  <c r="AR501" i="45"/>
  <c r="AR500" i="45"/>
  <c r="AS501" i="45"/>
  <c r="AS500" i="45"/>
  <c r="AT501" i="45"/>
  <c r="AT500" i="45"/>
  <c r="AU501" i="45"/>
  <c r="AU500" i="45"/>
  <c r="AV501" i="45"/>
  <c r="AV500" i="45"/>
  <c r="AW501" i="45"/>
  <c r="AW500" i="45"/>
  <c r="AX501" i="45"/>
  <c r="AX500" i="45"/>
  <c r="AY501" i="45"/>
  <c r="AY500" i="45"/>
  <c r="AZ501" i="45"/>
  <c r="AZ500" i="45"/>
  <c r="BA501" i="45"/>
  <c r="BA500" i="45"/>
  <c r="BB501" i="45"/>
  <c r="BB500" i="45"/>
  <c r="BC501" i="45"/>
  <c r="BC500" i="45"/>
  <c r="BD501" i="45"/>
  <c r="BD500" i="45"/>
  <c r="BE501" i="45"/>
  <c r="BE500" i="45"/>
  <c r="BF501" i="45"/>
  <c r="BF500" i="45"/>
  <c r="BG501" i="45"/>
  <c r="BG500" i="45"/>
  <c r="BH501" i="45"/>
  <c r="BH500" i="45"/>
  <c r="BJ501" i="45"/>
  <c r="BJ500" i="45"/>
  <c r="BK501" i="45"/>
  <c r="BK500" i="45"/>
  <c r="BL501" i="45"/>
  <c r="BL500" i="45"/>
  <c r="BN501" i="45"/>
  <c r="BN500" i="45"/>
  <c r="BO501" i="45"/>
  <c r="BO500" i="45"/>
  <c r="BP501" i="45"/>
  <c r="BP500" i="45"/>
  <c r="BQ501" i="45"/>
  <c r="BQ500" i="45"/>
  <c r="BR501" i="45"/>
  <c r="BR500" i="45"/>
  <c r="BS501" i="45"/>
  <c r="BS500" i="45"/>
  <c r="BT501" i="45"/>
  <c r="BT500" i="45"/>
  <c r="BU501" i="45"/>
  <c r="BU500" i="45"/>
  <c r="BV501" i="45"/>
  <c r="BV500" i="45"/>
  <c r="BW501" i="45"/>
  <c r="BW500" i="45"/>
  <c r="BX501" i="45"/>
  <c r="BX500" i="45"/>
  <c r="BY501" i="45"/>
  <c r="BY500" i="45"/>
  <c r="BZ501" i="45"/>
  <c r="BZ500" i="45"/>
  <c r="CA501" i="45"/>
  <c r="CA500" i="45"/>
  <c r="CB501" i="45"/>
  <c r="CB500" i="45"/>
  <c r="CC501" i="45"/>
  <c r="CC500" i="45"/>
  <c r="CD501" i="45"/>
  <c r="CD500" i="45"/>
  <c r="CE501" i="45"/>
  <c r="CE500" i="45"/>
  <c r="CF501" i="45"/>
  <c r="CF500" i="45"/>
  <c r="CP501" i="45"/>
  <c r="CH501" i="45"/>
  <c r="CQ501" i="45"/>
  <c r="CI501" i="45"/>
  <c r="CR501" i="45"/>
  <c r="CJ501" i="45"/>
  <c r="CS501" i="45"/>
  <c r="CK501" i="45"/>
  <c r="W502" i="45"/>
  <c r="X502" i="45"/>
  <c r="Y502" i="45"/>
  <c r="AH502" i="45"/>
  <c r="BI502" i="45"/>
  <c r="BM502" i="45"/>
  <c r="BM504" i="45"/>
  <c r="BM501" i="45"/>
  <c r="BM500" i="45"/>
  <c r="CH502" i="45"/>
  <c r="CI502" i="45"/>
  <c r="AE502" i="45"/>
  <c r="AK502" i="45"/>
  <c r="CJ502" i="45"/>
  <c r="AF502" i="45"/>
  <c r="CK502" i="45"/>
  <c r="AG502" i="45"/>
  <c r="AM502" i="45"/>
  <c r="CZ502" i="45"/>
  <c r="AH503" i="45"/>
  <c r="CH503" i="45"/>
  <c r="AC503" i="45"/>
  <c r="AI503" i="45"/>
  <c r="CI503" i="45"/>
  <c r="AE503" i="45"/>
  <c r="CJ503" i="45"/>
  <c r="AF503" i="45"/>
  <c r="AL503" i="45"/>
  <c r="CK503" i="45"/>
  <c r="AG503" i="45"/>
  <c r="AM503" i="45"/>
  <c r="W504" i="45"/>
  <c r="X504" i="45"/>
  <c r="Y504" i="45"/>
  <c r="AH504" i="45"/>
  <c r="CH504" i="45"/>
  <c r="CI504" i="45"/>
  <c r="AE504" i="45"/>
  <c r="CJ504" i="45"/>
  <c r="AF504" i="45"/>
  <c r="AL504" i="45"/>
  <c r="CK504" i="45"/>
  <c r="AG504" i="45"/>
  <c r="AM504" i="45"/>
  <c r="CZ504" i="45"/>
  <c r="CH505" i="45"/>
  <c r="AC505" i="45"/>
  <c r="AH505" i="45"/>
  <c r="AI505" i="45"/>
  <c r="CI505" i="45"/>
  <c r="AE505" i="45"/>
  <c r="CJ505" i="45"/>
  <c r="AF505" i="45"/>
  <c r="AL505" i="45"/>
  <c r="CK505" i="45"/>
  <c r="AG505" i="45"/>
  <c r="AM505" i="45"/>
  <c r="AH506" i="45"/>
  <c r="CH506" i="45"/>
  <c r="AC506" i="45"/>
  <c r="AI506" i="45"/>
  <c r="CI506" i="45"/>
  <c r="AE506" i="45"/>
  <c r="CJ506" i="45"/>
  <c r="AF506" i="45"/>
  <c r="AL506" i="45"/>
  <c r="CK506" i="45"/>
  <c r="AG506" i="45"/>
  <c r="AM506" i="45"/>
  <c r="CH507" i="45"/>
  <c r="AC507" i="45"/>
  <c r="AH507" i="45"/>
  <c r="AI507" i="45"/>
  <c r="CI507" i="45"/>
  <c r="AE507" i="45"/>
  <c r="CJ507" i="45"/>
  <c r="AF507" i="45"/>
  <c r="AL507" i="45"/>
  <c r="CK507" i="45"/>
  <c r="AG507" i="45"/>
  <c r="AM507" i="45"/>
  <c r="AH508" i="45"/>
  <c r="CH508" i="45"/>
  <c r="AC508" i="45"/>
  <c r="AI508" i="45"/>
  <c r="CI508" i="45"/>
  <c r="AE508" i="45"/>
  <c r="CJ508" i="45"/>
  <c r="AF508" i="45"/>
  <c r="AL508" i="45"/>
  <c r="CK508" i="45"/>
  <c r="AG508" i="45"/>
  <c r="AM508" i="45"/>
  <c r="J509" i="45"/>
  <c r="J501" i="45"/>
  <c r="J500" i="45"/>
  <c r="CH509" i="45"/>
  <c r="AC509" i="45"/>
  <c r="AH509" i="45"/>
  <c r="AI509" i="45"/>
  <c r="CI509" i="45"/>
  <c r="AE509" i="45"/>
  <c r="CJ509" i="45"/>
  <c r="AF509" i="45"/>
  <c r="AL509" i="45"/>
  <c r="CK509" i="45"/>
  <c r="AG509" i="45"/>
  <c r="AM509" i="45"/>
  <c r="CH510" i="45"/>
  <c r="AC510" i="45"/>
  <c r="AH510" i="45"/>
  <c r="AI510" i="45"/>
  <c r="CI510" i="45"/>
  <c r="AE510" i="45"/>
  <c r="CJ510" i="45"/>
  <c r="AF510" i="45"/>
  <c r="AL510" i="45"/>
  <c r="CK510" i="45"/>
  <c r="AG510" i="45"/>
  <c r="AM510" i="45"/>
  <c r="AH511" i="45"/>
  <c r="CH511" i="45"/>
  <c r="AC511" i="45"/>
  <c r="AI511" i="45"/>
  <c r="CI511" i="45"/>
  <c r="AE511" i="45"/>
  <c r="CJ511" i="45"/>
  <c r="AF511" i="45"/>
  <c r="AL511" i="45"/>
  <c r="CK511" i="45"/>
  <c r="AG511" i="45"/>
  <c r="AM511" i="45"/>
  <c r="CH512" i="45"/>
  <c r="AC512" i="45"/>
  <c r="AH512" i="45"/>
  <c r="AI512" i="45"/>
  <c r="CI512" i="45"/>
  <c r="AE512" i="45"/>
  <c r="CJ512" i="45"/>
  <c r="AF512" i="45"/>
  <c r="AL512" i="45"/>
  <c r="CK512" i="45"/>
  <c r="AG512" i="45"/>
  <c r="AM512" i="45"/>
  <c r="CH513" i="45"/>
  <c r="AC513" i="45"/>
  <c r="AH513" i="45"/>
  <c r="AI513" i="45"/>
  <c r="CI513" i="45"/>
  <c r="AE513" i="45"/>
  <c r="CJ513" i="45"/>
  <c r="AF513" i="45"/>
  <c r="AL513" i="45"/>
  <c r="CK513" i="45"/>
  <c r="AG513" i="45"/>
  <c r="AM513" i="45"/>
  <c r="CH514" i="45"/>
  <c r="AC514" i="45"/>
  <c r="AH514" i="45"/>
  <c r="AI514" i="45"/>
  <c r="CI514" i="45"/>
  <c r="AE514" i="45"/>
  <c r="CJ514" i="45"/>
  <c r="AF514" i="45"/>
  <c r="AL514" i="45"/>
  <c r="CK514" i="45"/>
  <c r="AG514" i="45"/>
  <c r="AM514" i="45"/>
  <c r="H515" i="45"/>
  <c r="AC515" i="45"/>
  <c r="AE515" i="45"/>
  <c r="AD515" i="45"/>
  <c r="AH515" i="45"/>
  <c r="AL515" i="45"/>
  <c r="AC516" i="45"/>
  <c r="AI516" i="45"/>
  <c r="AE516" i="45"/>
  <c r="AF516" i="45"/>
  <c r="AG516" i="45"/>
  <c r="AD516" i="45"/>
  <c r="AH516" i="45"/>
  <c r="AK516" i="45"/>
  <c r="AM516" i="45"/>
  <c r="AC517" i="45"/>
  <c r="AE517" i="45"/>
  <c r="AK517" i="45"/>
  <c r="AF517" i="45"/>
  <c r="AG517" i="45"/>
  <c r="AM517" i="45"/>
  <c r="AH517" i="45"/>
  <c r="AI517" i="45"/>
  <c r="AL517" i="45"/>
  <c r="J520" i="45"/>
  <c r="K520" i="45"/>
  <c r="L520" i="45"/>
  <c r="M520" i="45"/>
  <c r="N520" i="45"/>
  <c r="O520" i="45"/>
  <c r="P520" i="45"/>
  <c r="Q520" i="45"/>
  <c r="R520" i="45"/>
  <c r="S520" i="45"/>
  <c r="T520" i="45"/>
  <c r="U520" i="45"/>
  <c r="V520" i="45"/>
  <c r="Z520" i="45"/>
  <c r="AO520" i="45"/>
  <c r="AP520" i="45"/>
  <c r="AQ520" i="45"/>
  <c r="AR520" i="45"/>
  <c r="AS520" i="45"/>
  <c r="AT520" i="45"/>
  <c r="AU520" i="45"/>
  <c r="AV520" i="45"/>
  <c r="AX520" i="45"/>
  <c r="AY520" i="45"/>
  <c r="AZ520" i="45"/>
  <c r="BA520" i="45"/>
  <c r="BB520" i="45"/>
  <c r="BC520" i="45"/>
  <c r="BD520" i="45"/>
  <c r="BF520" i="45"/>
  <c r="BG520" i="45"/>
  <c r="BH520" i="45"/>
  <c r="BJ520" i="45"/>
  <c r="BK520" i="45"/>
  <c r="BL520" i="45"/>
  <c r="BN520" i="45"/>
  <c r="BO520" i="45"/>
  <c r="BP520" i="45"/>
  <c r="BR520" i="45"/>
  <c r="BS520" i="45"/>
  <c r="BT520" i="45"/>
  <c r="BV520" i="45"/>
  <c r="BW520" i="45"/>
  <c r="BX520" i="45"/>
  <c r="BZ520" i="45"/>
  <c r="CA520" i="45"/>
  <c r="CB520" i="45"/>
  <c r="CD520" i="45"/>
  <c r="CE520" i="45"/>
  <c r="CF520" i="45"/>
  <c r="J521" i="45"/>
  <c r="K521" i="45"/>
  <c r="L521" i="45"/>
  <c r="M521" i="45"/>
  <c r="N521" i="45"/>
  <c r="O521" i="45"/>
  <c r="P521" i="45"/>
  <c r="Q521" i="45"/>
  <c r="R521" i="45"/>
  <c r="S521" i="45"/>
  <c r="T521" i="45"/>
  <c r="U521" i="45"/>
  <c r="V521" i="45"/>
  <c r="W521" i="45"/>
  <c r="AB521" i="45"/>
  <c r="AN521" i="45"/>
  <c r="AO521" i="45"/>
  <c r="AP521" i="45"/>
  <c r="AQ521" i="45"/>
  <c r="AR521" i="45"/>
  <c r="AS521" i="45"/>
  <c r="AT521" i="45"/>
  <c r="AU521" i="45"/>
  <c r="AV521" i="45"/>
  <c r="AW521" i="45"/>
  <c r="AX521" i="45"/>
  <c r="AY521" i="45"/>
  <c r="AZ521" i="45"/>
  <c r="BA521" i="45"/>
  <c r="BB521" i="45"/>
  <c r="BC521" i="45"/>
  <c r="BD521" i="45"/>
  <c r="BE521" i="45"/>
  <c r="BF521" i="45"/>
  <c r="BG521" i="45"/>
  <c r="BH521" i="45"/>
  <c r="BI521" i="45"/>
  <c r="BJ521" i="45"/>
  <c r="BK521" i="45"/>
  <c r="BL521" i="45"/>
  <c r="BM521" i="45"/>
  <c r="BN521" i="45"/>
  <c r="BO521" i="45"/>
  <c r="BP521" i="45"/>
  <c r="BQ521" i="45"/>
  <c r="BR521" i="45"/>
  <c r="BS521" i="45"/>
  <c r="BT521" i="45"/>
  <c r="BU521" i="45"/>
  <c r="BV521" i="45"/>
  <c r="BW521" i="45"/>
  <c r="BX521" i="45"/>
  <c r="BY521" i="45"/>
  <c r="BZ521" i="45"/>
  <c r="CA521" i="45"/>
  <c r="CB521" i="45"/>
  <c r="CC521" i="45"/>
  <c r="CD521" i="45"/>
  <c r="CE521" i="45"/>
  <c r="CF521" i="45"/>
  <c r="J522" i="45"/>
  <c r="K522" i="45"/>
  <c r="L522" i="45"/>
  <c r="M522" i="45"/>
  <c r="N522" i="45"/>
  <c r="O522" i="45"/>
  <c r="P522" i="45"/>
  <c r="Q522" i="45"/>
  <c r="R522" i="45"/>
  <c r="S522" i="45"/>
  <c r="T522" i="45"/>
  <c r="U522" i="45"/>
  <c r="V522" i="45"/>
  <c r="Z522" i="45"/>
  <c r="AO522" i="45"/>
  <c r="AP522" i="45"/>
  <c r="AQ522" i="45"/>
  <c r="AR522" i="45"/>
  <c r="AS522" i="45"/>
  <c r="AT522" i="45"/>
  <c r="AU522" i="45"/>
  <c r="AV522" i="45"/>
  <c r="AW522" i="45"/>
  <c r="AX522" i="45"/>
  <c r="AY522" i="45"/>
  <c r="AZ522" i="45"/>
  <c r="BA522" i="45"/>
  <c r="BB522" i="45"/>
  <c r="BC522" i="45"/>
  <c r="BD522" i="45"/>
  <c r="BF522" i="45"/>
  <c r="BG522" i="45"/>
  <c r="BH522" i="45"/>
  <c r="BJ522" i="45"/>
  <c r="BK522" i="45"/>
  <c r="BL522" i="45"/>
  <c r="BN522" i="45"/>
  <c r="BO522" i="45"/>
  <c r="BP522" i="45"/>
  <c r="BR522" i="45"/>
  <c r="BS522" i="45"/>
  <c r="BT522" i="45"/>
  <c r="BV522" i="45"/>
  <c r="BW522" i="45"/>
  <c r="BX522" i="45"/>
  <c r="BZ522" i="45"/>
  <c r="CA522" i="45"/>
  <c r="CB522" i="45"/>
  <c r="CC522" i="45"/>
  <c r="CD522" i="45"/>
  <c r="CE522" i="45"/>
  <c r="CF522" i="45"/>
  <c r="J523" i="45"/>
  <c r="K523" i="45"/>
  <c r="L523" i="45"/>
  <c r="M523" i="45"/>
  <c r="N523" i="45"/>
  <c r="O523" i="45"/>
  <c r="P523" i="45"/>
  <c r="Q523" i="45"/>
  <c r="R523" i="45"/>
  <c r="S523" i="45"/>
  <c r="T523" i="45"/>
  <c r="U523" i="45"/>
  <c r="V523" i="45"/>
  <c r="W523" i="45"/>
  <c r="X523" i="45"/>
  <c r="Y523" i="45"/>
  <c r="Z523" i="45"/>
  <c r="AB523" i="45"/>
  <c r="AO523" i="45"/>
  <c r="AP523" i="45"/>
  <c r="AQ523" i="45"/>
  <c r="AR523" i="45"/>
  <c r="AS523" i="45"/>
  <c r="AT523" i="45"/>
  <c r="AU523" i="45"/>
  <c r="AV523" i="45"/>
  <c r="AW523" i="45"/>
  <c r="AX523" i="45"/>
  <c r="AY523" i="45"/>
  <c r="AZ523" i="45"/>
  <c r="BA523" i="45"/>
  <c r="BB523" i="45"/>
  <c r="BC523" i="45"/>
  <c r="BD523" i="45"/>
  <c r="BE523" i="45"/>
  <c r="BF523" i="45"/>
  <c r="BG523" i="45"/>
  <c r="BH523" i="45"/>
  <c r="BI523" i="45"/>
  <c r="BJ523" i="45"/>
  <c r="BK523" i="45"/>
  <c r="BL523" i="45"/>
  <c r="BM523" i="45"/>
  <c r="BN523" i="45"/>
  <c r="BO523" i="45"/>
  <c r="BP523" i="45"/>
  <c r="BQ523" i="45"/>
  <c r="BR523" i="45"/>
  <c r="BS523" i="45"/>
  <c r="BT523" i="45"/>
  <c r="BU523" i="45"/>
  <c r="BV523" i="45"/>
  <c r="BW523" i="45"/>
  <c r="BX523" i="45"/>
  <c r="BY523" i="45"/>
  <c r="BZ523" i="45"/>
  <c r="CA523" i="45"/>
  <c r="CB523" i="45"/>
  <c r="CC523" i="45"/>
  <c r="CD523" i="45"/>
  <c r="CE523" i="45"/>
  <c r="CF523" i="45"/>
  <c r="J524" i="45"/>
  <c r="K524" i="45"/>
  <c r="L524" i="45"/>
  <c r="M524" i="45"/>
  <c r="N524" i="45"/>
  <c r="O524" i="45"/>
  <c r="P524" i="45"/>
  <c r="Q524" i="45"/>
  <c r="R524" i="45"/>
  <c r="S524" i="45"/>
  <c r="T524" i="45"/>
  <c r="U524" i="45"/>
  <c r="V524" i="45"/>
  <c r="W524" i="45"/>
  <c r="X524" i="45"/>
  <c r="Y524" i="45"/>
  <c r="Z524" i="45"/>
  <c r="AB524" i="45"/>
  <c r="AO524" i="45"/>
  <c r="AP524" i="45"/>
  <c r="AQ524" i="45"/>
  <c r="AR524" i="45"/>
  <c r="AS524" i="45"/>
  <c r="AT524" i="45"/>
  <c r="AU524" i="45"/>
  <c r="AV524" i="45"/>
  <c r="AW524" i="45"/>
  <c r="AX524" i="45"/>
  <c r="AY524" i="45"/>
  <c r="AZ524" i="45"/>
  <c r="BA524" i="45"/>
  <c r="BB524" i="45"/>
  <c r="BC524" i="45"/>
  <c r="BD524" i="45"/>
  <c r="BE524" i="45"/>
  <c r="BF524" i="45"/>
  <c r="BG524" i="45"/>
  <c r="BH524" i="45"/>
  <c r="BI524" i="45"/>
  <c r="BJ524" i="45"/>
  <c r="BK524" i="45"/>
  <c r="BL524" i="45"/>
  <c r="BM524" i="45"/>
  <c r="BN524" i="45"/>
  <c r="BO524" i="45"/>
  <c r="BP524" i="45"/>
  <c r="BQ524" i="45"/>
  <c r="BR524" i="45"/>
  <c r="BS524" i="45"/>
  <c r="BT524" i="45"/>
  <c r="BU524" i="45"/>
  <c r="BV524" i="45"/>
  <c r="BW524" i="45"/>
  <c r="BX524" i="45"/>
  <c r="BY524" i="45"/>
  <c r="BZ524" i="45"/>
  <c r="CA524" i="45"/>
  <c r="CB524" i="45"/>
  <c r="CC524" i="45"/>
  <c r="CD524" i="45"/>
  <c r="CE524" i="45"/>
  <c r="CF524" i="45"/>
  <c r="J525" i="45"/>
  <c r="K525" i="45"/>
  <c r="L525" i="45"/>
  <c r="M525" i="45"/>
  <c r="N525" i="45"/>
  <c r="O525" i="45"/>
  <c r="P525" i="45"/>
  <c r="Q525" i="45"/>
  <c r="R525" i="45"/>
  <c r="S525" i="45"/>
  <c r="T525" i="45"/>
  <c r="U525" i="45"/>
  <c r="V525" i="45"/>
  <c r="W525" i="45"/>
  <c r="X525" i="45"/>
  <c r="Y525" i="45"/>
  <c r="Z525" i="45"/>
  <c r="AB525" i="45"/>
  <c r="AP525" i="45"/>
  <c r="AQ525" i="45"/>
  <c r="AR525" i="45"/>
  <c r="AS525" i="45"/>
  <c r="AT525" i="45"/>
  <c r="AU525" i="45"/>
  <c r="AV525" i="45"/>
  <c r="AW525" i="45"/>
  <c r="AX525" i="45"/>
  <c r="AY525" i="45"/>
  <c r="AZ525" i="45"/>
  <c r="BA525" i="45"/>
  <c r="BB525" i="45"/>
  <c r="BC525" i="45"/>
  <c r="BD525" i="45"/>
  <c r="BE525" i="45"/>
  <c r="BF525" i="45"/>
  <c r="BG525" i="45"/>
  <c r="BH525" i="45"/>
  <c r="BI525" i="45"/>
  <c r="BJ525" i="45"/>
  <c r="BK525" i="45"/>
  <c r="BL525" i="45"/>
  <c r="BM525" i="45"/>
  <c r="BN525" i="45"/>
  <c r="BO525" i="45"/>
  <c r="BP525" i="45"/>
  <c r="BR525" i="45"/>
  <c r="BS525" i="45"/>
  <c r="BT525" i="45"/>
  <c r="BU525" i="45"/>
  <c r="BV525" i="45"/>
  <c r="BW525" i="45"/>
  <c r="BX525" i="45"/>
  <c r="BZ525" i="45"/>
  <c r="CA525" i="45"/>
  <c r="CB525" i="45"/>
  <c r="CC525" i="45"/>
  <c r="CD525" i="45"/>
  <c r="CE525" i="45"/>
  <c r="CF525" i="45"/>
  <c r="CO525" i="45"/>
  <c r="CP525" i="45"/>
  <c r="J526" i="45"/>
  <c r="K526" i="45"/>
  <c r="L526" i="45"/>
  <c r="M526" i="45"/>
  <c r="N526" i="45"/>
  <c r="O526" i="45"/>
  <c r="P526" i="45"/>
  <c r="Q526" i="45"/>
  <c r="R526" i="45"/>
  <c r="S526" i="45"/>
  <c r="T526" i="45"/>
  <c r="U526" i="45"/>
  <c r="V526" i="45"/>
  <c r="W526" i="45"/>
  <c r="X526" i="45"/>
  <c r="Y526" i="45"/>
  <c r="Z526" i="45"/>
  <c r="AB526" i="45"/>
  <c r="AO526" i="45"/>
  <c r="AP526" i="45"/>
  <c r="AQ526" i="45"/>
  <c r="AR526" i="45"/>
  <c r="AS526" i="45"/>
  <c r="AT526" i="45"/>
  <c r="AU526" i="45"/>
  <c r="AV526" i="45"/>
  <c r="AW526" i="45"/>
  <c r="AX526" i="45"/>
  <c r="AY526" i="45"/>
  <c r="AZ526" i="45"/>
  <c r="BA526" i="45"/>
  <c r="BB526" i="45"/>
  <c r="BC526" i="45"/>
  <c r="BD526" i="45"/>
  <c r="BE526" i="45"/>
  <c r="BF526" i="45"/>
  <c r="BG526" i="45"/>
  <c r="BH526" i="45"/>
  <c r="BI526" i="45"/>
  <c r="BJ526" i="45"/>
  <c r="BK526" i="45"/>
  <c r="BL526" i="45"/>
  <c r="BM526" i="45"/>
  <c r="BN526" i="45"/>
  <c r="BO526" i="45"/>
  <c r="BP526" i="45"/>
  <c r="BR526" i="45"/>
  <c r="BS526" i="45"/>
  <c r="BT526" i="45"/>
  <c r="BV526" i="45"/>
  <c r="BW526" i="45"/>
  <c r="BX526" i="45"/>
  <c r="BY526" i="45"/>
  <c r="BZ526" i="45"/>
  <c r="CA526" i="45"/>
  <c r="CB526" i="45"/>
  <c r="CC526" i="45"/>
  <c r="CD526" i="45"/>
  <c r="CE526" i="45"/>
  <c r="CF526" i="45"/>
  <c r="K527" i="45"/>
  <c r="L527" i="45"/>
  <c r="M527" i="45"/>
  <c r="N527" i="45"/>
  <c r="O527" i="45"/>
  <c r="P527" i="45"/>
  <c r="Q527" i="45"/>
  <c r="R527" i="45"/>
  <c r="S527" i="45"/>
  <c r="T527" i="45"/>
  <c r="U527" i="45"/>
  <c r="V527" i="45"/>
  <c r="W527" i="45"/>
  <c r="X527" i="45"/>
  <c r="Y527" i="45"/>
  <c r="Z527" i="45"/>
  <c r="AB527" i="45"/>
  <c r="AO527" i="45"/>
  <c r="AP527" i="45"/>
  <c r="AQ527" i="45"/>
  <c r="AR527" i="45"/>
  <c r="AS527" i="45"/>
  <c r="AT527" i="45"/>
  <c r="AU527" i="45"/>
  <c r="AV527" i="45"/>
  <c r="AW527" i="45"/>
  <c r="AX527" i="45"/>
  <c r="AY527" i="45"/>
  <c r="AZ527" i="45"/>
  <c r="BA527" i="45"/>
  <c r="BB527" i="45"/>
  <c r="BC527" i="45"/>
  <c r="BD527" i="45"/>
  <c r="BE527" i="45"/>
  <c r="BF527" i="45"/>
  <c r="BG527" i="45"/>
  <c r="BH527" i="45"/>
  <c r="BJ527" i="45"/>
  <c r="BK527" i="45"/>
  <c r="BL527" i="45"/>
  <c r="BM527" i="45"/>
  <c r="BN527" i="45"/>
  <c r="BO527" i="45"/>
  <c r="BP527" i="45"/>
  <c r="BR527" i="45"/>
  <c r="BS527" i="45"/>
  <c r="BT527" i="45"/>
  <c r="BU527" i="45"/>
  <c r="BV527" i="45"/>
  <c r="BW527" i="45"/>
  <c r="BX527" i="45"/>
  <c r="BY527" i="45"/>
  <c r="BZ527" i="45"/>
  <c r="CA527" i="45"/>
  <c r="CB527" i="45"/>
  <c r="CC527" i="45"/>
  <c r="CD527" i="45"/>
  <c r="CE527" i="45"/>
  <c r="CF527" i="45"/>
  <c r="L528" i="45"/>
  <c r="M528" i="45"/>
  <c r="N528" i="45"/>
  <c r="O528" i="45"/>
  <c r="P528" i="45"/>
  <c r="Q528" i="45"/>
  <c r="R528" i="45"/>
  <c r="S528" i="45"/>
  <c r="U528" i="45"/>
  <c r="V528" i="45"/>
  <c r="W528" i="45"/>
  <c r="X528" i="45"/>
  <c r="Y528" i="45"/>
  <c r="Z528" i="45"/>
  <c r="AB528" i="45"/>
  <c r="AP528" i="45"/>
  <c r="AQ528" i="45"/>
  <c r="AR528" i="45"/>
  <c r="AS528" i="45"/>
  <c r="AT528" i="45"/>
  <c r="AU528" i="45"/>
  <c r="AV528" i="45"/>
  <c r="AW528" i="45"/>
  <c r="AY528" i="45"/>
  <c r="AZ528" i="45"/>
  <c r="BA528" i="45"/>
  <c r="BC528" i="45"/>
  <c r="BD528" i="45"/>
  <c r="BG528" i="45"/>
  <c r="BH528" i="45"/>
  <c r="BJ528" i="45"/>
  <c r="BK528" i="45"/>
  <c r="BL528" i="45"/>
  <c r="BM528" i="45"/>
  <c r="BO528" i="45"/>
  <c r="BP528" i="45"/>
  <c r="BS528" i="45"/>
  <c r="BT528" i="45"/>
  <c r="BU528" i="45"/>
  <c r="BV528" i="45"/>
  <c r="BW528" i="45"/>
  <c r="BX528" i="45"/>
  <c r="BY528" i="45"/>
  <c r="CA528" i="45"/>
  <c r="CB528" i="45"/>
  <c r="CC528" i="45"/>
  <c r="CD528" i="45"/>
  <c r="CE528" i="45"/>
  <c r="CF528" i="45"/>
  <c r="J529" i="45"/>
  <c r="K529" i="45"/>
  <c r="L529" i="45"/>
  <c r="M529" i="45"/>
  <c r="N529" i="45"/>
  <c r="O529" i="45"/>
  <c r="P529" i="45"/>
  <c r="Q529" i="45"/>
  <c r="R529" i="45"/>
  <c r="S529" i="45"/>
  <c r="T529" i="45"/>
  <c r="U529" i="45"/>
  <c r="V529" i="45"/>
  <c r="W529" i="45"/>
  <c r="X529" i="45"/>
  <c r="Y529" i="45"/>
  <c r="Z529" i="45"/>
  <c r="AB529" i="45"/>
  <c r="AP529" i="45"/>
  <c r="AQ529" i="45"/>
  <c r="AR529" i="45"/>
  <c r="AS529" i="45"/>
  <c r="AT529" i="45"/>
  <c r="AU529" i="45"/>
  <c r="AV529" i="45"/>
  <c r="AW529" i="45"/>
  <c r="AX529" i="45"/>
  <c r="AY529" i="45"/>
  <c r="AZ529" i="45"/>
  <c r="BA529" i="45"/>
  <c r="BB529" i="45"/>
  <c r="BC529" i="45"/>
  <c r="BD529" i="45"/>
  <c r="BF529" i="45"/>
  <c r="BG529" i="45"/>
  <c r="BH529" i="45"/>
  <c r="BI529" i="45"/>
  <c r="BJ529" i="45"/>
  <c r="BK529" i="45"/>
  <c r="BL529" i="45"/>
  <c r="BM529" i="45"/>
  <c r="BN529" i="45"/>
  <c r="BO529" i="45"/>
  <c r="BP529" i="45"/>
  <c r="BR529" i="45"/>
  <c r="BS529" i="45"/>
  <c r="BT529" i="45"/>
  <c r="BV529" i="45"/>
  <c r="BW529" i="45"/>
  <c r="BX529" i="45"/>
  <c r="BZ529" i="45"/>
  <c r="CA529" i="45"/>
  <c r="CB529" i="45"/>
  <c r="CC529" i="45"/>
  <c r="CD529" i="45"/>
  <c r="CE529" i="45"/>
  <c r="CF529" i="45"/>
  <c r="J530" i="45"/>
  <c r="K530" i="45"/>
  <c r="L530" i="45"/>
  <c r="M530" i="45"/>
  <c r="N530" i="45"/>
  <c r="O530" i="45"/>
  <c r="P530" i="45"/>
  <c r="Q530" i="45"/>
  <c r="R530" i="45"/>
  <c r="S530" i="45"/>
  <c r="T530" i="45"/>
  <c r="U530" i="45"/>
  <c r="V530" i="45"/>
  <c r="W530" i="45"/>
  <c r="X530" i="45"/>
  <c r="Y530" i="45"/>
  <c r="Z530" i="45"/>
  <c r="AB530" i="45"/>
  <c r="AO530" i="45"/>
  <c r="AP530" i="45"/>
  <c r="AQ530" i="45"/>
  <c r="AR530" i="45"/>
  <c r="AS530" i="45"/>
  <c r="AT530" i="45"/>
  <c r="AU530" i="45"/>
  <c r="AV530" i="45"/>
  <c r="AW530" i="45"/>
  <c r="AX530" i="45"/>
  <c r="AY530" i="45"/>
  <c r="AZ530" i="45"/>
  <c r="BA530" i="45"/>
  <c r="BB530" i="45"/>
  <c r="BC530" i="45"/>
  <c r="BD530" i="45"/>
  <c r="BE530" i="45"/>
  <c r="BF530" i="45"/>
  <c r="BG530" i="45"/>
  <c r="BH530" i="45"/>
  <c r="BI530" i="45"/>
  <c r="BJ530" i="45"/>
  <c r="BK530" i="45"/>
  <c r="BL530" i="45"/>
  <c r="BM530" i="45"/>
  <c r="BN530" i="45"/>
  <c r="BO530" i="45"/>
  <c r="BP530" i="45"/>
  <c r="BQ530" i="45"/>
  <c r="BR530" i="45"/>
  <c r="BS530" i="45"/>
  <c r="BT530" i="45"/>
  <c r="BU530" i="45"/>
  <c r="BV530" i="45"/>
  <c r="BW530" i="45"/>
  <c r="BX530" i="45"/>
  <c r="BY530" i="45"/>
  <c r="BZ530" i="45"/>
  <c r="CA530" i="45"/>
  <c r="CB530" i="45"/>
  <c r="CC530" i="45"/>
  <c r="CD530" i="45"/>
  <c r="CE530" i="45"/>
  <c r="CF530" i="45"/>
  <c r="L531" i="45"/>
  <c r="M531" i="45"/>
  <c r="N531" i="45"/>
  <c r="O531" i="45"/>
  <c r="P531" i="45"/>
  <c r="Q531" i="45"/>
  <c r="R531" i="45"/>
  <c r="S531" i="45"/>
  <c r="T531" i="45"/>
  <c r="U531" i="45"/>
  <c r="V531" i="45"/>
  <c r="W531" i="45"/>
  <c r="X531" i="45"/>
  <c r="Y531" i="45"/>
  <c r="Z531" i="45"/>
  <c r="AB531" i="45"/>
  <c r="AO531" i="45"/>
  <c r="AP531" i="45"/>
  <c r="AQ531" i="45"/>
  <c r="AR531" i="45"/>
  <c r="AS531" i="45"/>
  <c r="AT531" i="45"/>
  <c r="AU531" i="45"/>
  <c r="AV531" i="45"/>
  <c r="AW531" i="45"/>
  <c r="AY531" i="45"/>
  <c r="AZ531" i="45"/>
  <c r="BA531" i="45"/>
  <c r="BB531" i="45"/>
  <c r="BC531" i="45"/>
  <c r="BD531" i="45"/>
  <c r="BF531" i="45"/>
  <c r="BG531" i="45"/>
  <c r="BH531" i="45"/>
  <c r="BI531" i="45"/>
  <c r="BJ531" i="45"/>
  <c r="BK531" i="45"/>
  <c r="BL531" i="45"/>
  <c r="BM531" i="45"/>
  <c r="BN531" i="45"/>
  <c r="BO531" i="45"/>
  <c r="BP531" i="45"/>
  <c r="BQ531" i="45"/>
  <c r="BR531" i="45"/>
  <c r="BS531" i="45"/>
  <c r="BT531" i="45"/>
  <c r="BU531" i="45"/>
  <c r="BW531" i="45"/>
  <c r="BY531" i="45"/>
  <c r="BZ531" i="45"/>
  <c r="CA531" i="45"/>
  <c r="CB531" i="45"/>
  <c r="CC531" i="45"/>
  <c r="CE531" i="45"/>
  <c r="CF531" i="45"/>
  <c r="J532" i="45"/>
  <c r="K532" i="45"/>
  <c r="L532" i="45"/>
  <c r="M532" i="45"/>
  <c r="N532" i="45"/>
  <c r="O532" i="45"/>
  <c r="P532" i="45"/>
  <c r="Q532" i="45"/>
  <c r="R532" i="45"/>
  <c r="S532" i="45"/>
  <c r="T532" i="45"/>
  <c r="V532" i="45"/>
  <c r="W532" i="45"/>
  <c r="X532" i="45"/>
  <c r="Y532" i="45"/>
  <c r="Z532" i="45"/>
  <c r="AB532" i="45"/>
  <c r="AP532" i="45"/>
  <c r="AQ532" i="45"/>
  <c r="AR532" i="45"/>
  <c r="AS532" i="45"/>
  <c r="AT532" i="45"/>
  <c r="AU532" i="45"/>
  <c r="AV532" i="45"/>
  <c r="AX532" i="45"/>
  <c r="AY532" i="45"/>
  <c r="AZ532" i="45"/>
  <c r="BA532" i="45"/>
  <c r="BB532" i="45"/>
  <c r="BC532" i="45"/>
  <c r="BD532" i="45"/>
  <c r="BF532" i="45"/>
  <c r="BG532" i="45"/>
  <c r="BH532" i="45"/>
  <c r="BI532" i="45"/>
  <c r="BJ532" i="45"/>
  <c r="BK532" i="45"/>
  <c r="BL532" i="45"/>
  <c r="BM532" i="45"/>
  <c r="BN532" i="45"/>
  <c r="BO532" i="45"/>
  <c r="BP532" i="45"/>
  <c r="BQ532" i="45"/>
  <c r="BR532" i="45"/>
  <c r="BS532" i="45"/>
  <c r="BT532" i="45"/>
  <c r="BU532" i="45"/>
  <c r="BV532" i="45"/>
  <c r="BW532" i="45"/>
  <c r="BX532" i="45"/>
  <c r="BY532" i="45"/>
  <c r="BZ532" i="45"/>
  <c r="CA532" i="45"/>
  <c r="CB532" i="45"/>
  <c r="CC532" i="45"/>
  <c r="CD532" i="45"/>
  <c r="CE532" i="45"/>
  <c r="CF532" i="45"/>
  <c r="AH534" i="45"/>
  <c r="O535" i="45"/>
  <c r="Q535" i="45"/>
  <c r="R535" i="45"/>
  <c r="S535" i="45"/>
  <c r="AH535" i="45"/>
  <c r="AP535" i="45"/>
  <c r="AP534" i="45"/>
  <c r="AQ535" i="45"/>
  <c r="AQ534" i="45"/>
  <c r="AR535" i="45"/>
  <c r="AR534" i="45"/>
  <c r="AS535" i="45"/>
  <c r="AS534" i="45"/>
  <c r="AT535" i="45"/>
  <c r="AT534" i="45"/>
  <c r="AU535" i="45"/>
  <c r="AU534" i="45"/>
  <c r="AV535" i="45"/>
  <c r="AV534" i="45"/>
  <c r="AW535" i="45"/>
  <c r="AW534" i="45"/>
  <c r="AX535" i="45"/>
  <c r="AX534" i="45"/>
  <c r="AY535" i="45"/>
  <c r="AY534" i="45"/>
  <c r="AZ535" i="45"/>
  <c r="AZ534" i="45"/>
  <c r="BA535" i="45"/>
  <c r="BA534" i="45"/>
  <c r="BB535" i="45"/>
  <c r="BB534" i="45"/>
  <c r="BC535" i="45"/>
  <c r="BC534" i="45"/>
  <c r="BD535" i="45"/>
  <c r="BD534" i="45"/>
  <c r="BF535" i="45"/>
  <c r="BF534" i="45"/>
  <c r="BG535" i="45"/>
  <c r="BG534" i="45"/>
  <c r="BH535" i="45"/>
  <c r="BH534" i="45"/>
  <c r="BJ535" i="45"/>
  <c r="BJ534" i="45"/>
  <c r="BK535" i="45"/>
  <c r="BK534" i="45"/>
  <c r="BL535" i="45"/>
  <c r="BL534" i="45"/>
  <c r="BM535" i="45"/>
  <c r="BM534" i="45"/>
  <c r="BN535" i="45"/>
  <c r="BN534" i="45"/>
  <c r="BO535" i="45"/>
  <c r="BO534" i="45"/>
  <c r="BP535" i="45"/>
  <c r="BP534" i="45"/>
  <c r="BQ535" i="45"/>
  <c r="BQ534" i="45"/>
  <c r="BR535" i="45"/>
  <c r="BR534" i="45"/>
  <c r="BS535" i="45"/>
  <c r="BS534" i="45"/>
  <c r="BT535" i="45"/>
  <c r="BT534" i="45"/>
  <c r="BW535" i="45"/>
  <c r="BW534" i="45"/>
  <c r="BZ535" i="45"/>
  <c r="BZ534" i="45"/>
  <c r="CA535" i="45"/>
  <c r="CA534" i="45"/>
  <c r="CB535" i="45"/>
  <c r="CB534" i="45"/>
  <c r="CD535" i="45"/>
  <c r="CD534" i="45"/>
  <c r="CE535" i="45"/>
  <c r="CE534" i="45"/>
  <c r="CF535" i="45"/>
  <c r="CF534" i="45"/>
  <c r="W536" i="45"/>
  <c r="X536" i="45"/>
  <c r="AH536" i="45"/>
  <c r="BI536" i="45"/>
  <c r="BY536" i="45"/>
  <c r="CC536" i="45"/>
  <c r="CH536" i="45"/>
  <c r="CI536" i="45"/>
  <c r="CJ536" i="45"/>
  <c r="CK536" i="45"/>
  <c r="CZ536" i="45"/>
  <c r="Y537" i="45"/>
  <c r="AH537" i="45"/>
  <c r="CH537" i="45"/>
  <c r="CI537" i="45"/>
  <c r="AE537" i="45"/>
  <c r="CJ537" i="45"/>
  <c r="CK537" i="45"/>
  <c r="AG537" i="45"/>
  <c r="W538" i="45"/>
  <c r="X538" i="45"/>
  <c r="Y538" i="45"/>
  <c r="AH538" i="45"/>
  <c r="BI538" i="45"/>
  <c r="CH538" i="45"/>
  <c r="AC538" i="45"/>
  <c r="CI538" i="45"/>
  <c r="CJ538" i="45"/>
  <c r="CK538" i="45"/>
  <c r="CZ538" i="45"/>
  <c r="AA539" i="45"/>
  <c r="AH539" i="45"/>
  <c r="CH539" i="45"/>
  <c r="AC539" i="45"/>
  <c r="AI539" i="45"/>
  <c r="CI539" i="45"/>
  <c r="CJ539" i="45"/>
  <c r="CK539" i="45"/>
  <c r="AA540" i="45"/>
  <c r="AH540" i="45"/>
  <c r="CH540" i="45"/>
  <c r="AC540" i="45"/>
  <c r="AI540" i="45"/>
  <c r="CI540" i="45"/>
  <c r="CJ540" i="45"/>
  <c r="CK540" i="45"/>
  <c r="AA541" i="45"/>
  <c r="AH541" i="45"/>
  <c r="AO541" i="45"/>
  <c r="AO525" i="45"/>
  <c r="CH541" i="45"/>
  <c r="CI541" i="45"/>
  <c r="AE541" i="45"/>
  <c r="CJ541" i="45"/>
  <c r="AF541" i="45"/>
  <c r="AL541" i="45"/>
  <c r="CK541" i="45"/>
  <c r="AG541" i="45"/>
  <c r="AA542" i="45"/>
  <c r="CH542" i="45"/>
  <c r="AC542" i="45"/>
  <c r="AH542" i="45"/>
  <c r="AI542" i="45"/>
  <c r="CI542" i="45"/>
  <c r="CJ542" i="45"/>
  <c r="CK542" i="45"/>
  <c r="J543" i="45"/>
  <c r="AA543" i="45"/>
  <c r="CH543" i="45"/>
  <c r="AC543" i="45"/>
  <c r="AH543" i="45"/>
  <c r="AI543" i="45"/>
  <c r="CI543" i="45"/>
  <c r="CJ543" i="45"/>
  <c r="CK543" i="45"/>
  <c r="J544" i="45"/>
  <c r="AA544" i="45"/>
  <c r="AH544" i="45"/>
  <c r="CH544" i="45"/>
  <c r="CI544" i="45"/>
  <c r="AE544" i="45"/>
  <c r="CJ544" i="45"/>
  <c r="CK544" i="45"/>
  <c r="AG544" i="45"/>
  <c r="AA545" i="45"/>
  <c r="AH545" i="45"/>
  <c r="AO545" i="45"/>
  <c r="AO529" i="45"/>
  <c r="BE545" i="45"/>
  <c r="BU545" i="45"/>
  <c r="BU529" i="45"/>
  <c r="CH545" i="45"/>
  <c r="CI545" i="45"/>
  <c r="AE545" i="45"/>
  <c r="AK545" i="45"/>
  <c r="CJ545" i="45"/>
  <c r="CK545" i="45"/>
  <c r="AG545" i="45"/>
  <c r="AM545" i="45"/>
  <c r="AA546" i="45"/>
  <c r="AH546" i="45"/>
  <c r="CH546" i="45"/>
  <c r="CI546" i="45"/>
  <c r="AE546" i="45"/>
  <c r="CJ546" i="45"/>
  <c r="CK546" i="45"/>
  <c r="AG546" i="45"/>
  <c r="J547" i="45"/>
  <c r="K547" i="45"/>
  <c r="K535" i="45"/>
  <c r="K534" i="45"/>
  <c r="AA547" i="45"/>
  <c r="AH547" i="45"/>
  <c r="BV547" i="45"/>
  <c r="BX547" i="45"/>
  <c r="AG547" i="45"/>
  <c r="CH547" i="45"/>
  <c r="CI547" i="45"/>
  <c r="CJ547" i="45"/>
  <c r="AA548" i="45"/>
  <c r="CI548" i="45"/>
  <c r="AE548" i="45"/>
  <c r="AK548" i="45"/>
  <c r="AH548" i="45"/>
  <c r="AO548" i="45"/>
  <c r="CH548" i="45"/>
  <c r="CJ548" i="45"/>
  <c r="CK548" i="45"/>
  <c r="AG548" i="45"/>
  <c r="AM548" i="45"/>
  <c r="AA549" i="45"/>
  <c r="AH549" i="45"/>
  <c r="AL549" i="45"/>
  <c r="CH549" i="45"/>
  <c r="CI549" i="45"/>
  <c r="CJ549" i="45"/>
  <c r="CK549" i="45"/>
  <c r="AA550" i="45"/>
  <c r="AH550" i="45"/>
  <c r="O551" i="45"/>
  <c r="Q551" i="45"/>
  <c r="R551" i="45"/>
  <c r="S551" i="45"/>
  <c r="AA551" i="45"/>
  <c r="AH551" i="45"/>
  <c r="AO551" i="45"/>
  <c r="AO550" i="45"/>
  <c r="AP551" i="45"/>
  <c r="AP550" i="45"/>
  <c r="AQ551" i="45"/>
  <c r="AQ550" i="45"/>
  <c r="AR551" i="45"/>
  <c r="AR550" i="45"/>
  <c r="AS551" i="45"/>
  <c r="AS550" i="45"/>
  <c r="AT551" i="45"/>
  <c r="AT550" i="45"/>
  <c r="AU551" i="45"/>
  <c r="AU550" i="45"/>
  <c r="AV551" i="45"/>
  <c r="AV550" i="45"/>
  <c r="AW551" i="45"/>
  <c r="AW550" i="45"/>
  <c r="AX551" i="45"/>
  <c r="AX550" i="45"/>
  <c r="AY551" i="45"/>
  <c r="AY550" i="45"/>
  <c r="AZ551" i="45"/>
  <c r="AZ550" i="45"/>
  <c r="BA551" i="45"/>
  <c r="BA550" i="45"/>
  <c r="BB551" i="45"/>
  <c r="BB550" i="45"/>
  <c r="BC551" i="45"/>
  <c r="BC550" i="45"/>
  <c r="BD551" i="45"/>
  <c r="BD550" i="45"/>
  <c r="BE551" i="45"/>
  <c r="BE550" i="45"/>
  <c r="BF551" i="45"/>
  <c r="BF550" i="45"/>
  <c r="BG551" i="45"/>
  <c r="BG550" i="45"/>
  <c r="BH551" i="45"/>
  <c r="BH550" i="45"/>
  <c r="BJ551" i="45"/>
  <c r="BJ550" i="45"/>
  <c r="BK551" i="45"/>
  <c r="BK550" i="45"/>
  <c r="BL551" i="45"/>
  <c r="BL550" i="45"/>
  <c r="BN551" i="45"/>
  <c r="BN550" i="45"/>
  <c r="BO551" i="45"/>
  <c r="BO550" i="45"/>
  <c r="BP551" i="45"/>
  <c r="BP550" i="45"/>
  <c r="BQ551" i="45"/>
  <c r="BQ550" i="45"/>
  <c r="BR551" i="45"/>
  <c r="BR550" i="45"/>
  <c r="BS551" i="45"/>
  <c r="BS550" i="45"/>
  <c r="BT551" i="45"/>
  <c r="BT550" i="45"/>
  <c r="BU551" i="45"/>
  <c r="BU550" i="45"/>
  <c r="BV551" i="45"/>
  <c r="BV550" i="45"/>
  <c r="BW551" i="45"/>
  <c r="BW550" i="45"/>
  <c r="BX551" i="45"/>
  <c r="BX550" i="45"/>
  <c r="BY551" i="45"/>
  <c r="BY550" i="45"/>
  <c r="BZ551" i="45"/>
  <c r="BZ550" i="45"/>
  <c r="CA551" i="45"/>
  <c r="CA550" i="45"/>
  <c r="CB551" i="45"/>
  <c r="CB550" i="45"/>
  <c r="CE551" i="45"/>
  <c r="CE550" i="45"/>
  <c r="CF551" i="45"/>
  <c r="CF550" i="45"/>
  <c r="CP551" i="45"/>
  <c r="CP550" i="45"/>
  <c r="CH550" i="45"/>
  <c r="CQ551" i="45"/>
  <c r="CQ550" i="45"/>
  <c r="CI550" i="45"/>
  <c r="CR551" i="45"/>
  <c r="CR550" i="45"/>
  <c r="CJ550" i="45"/>
  <c r="CS551" i="45"/>
  <c r="CS550" i="45"/>
  <c r="CK550" i="45"/>
  <c r="W552" i="45"/>
  <c r="X552" i="45"/>
  <c r="AH552" i="45"/>
  <c r="BI552" i="45"/>
  <c r="BI551" i="45"/>
  <c r="BI550" i="45"/>
  <c r="BM552" i="45"/>
  <c r="CC552" i="45"/>
  <c r="Y552" i="45"/>
  <c r="CH552" i="45"/>
  <c r="CI552" i="45"/>
  <c r="AE552" i="45"/>
  <c r="CJ552" i="45"/>
  <c r="AF552" i="45"/>
  <c r="CK552" i="45"/>
  <c r="AG552" i="45"/>
  <c r="Y553" i="45"/>
  <c r="AH553" i="45"/>
  <c r="CH553" i="45"/>
  <c r="AC553" i="45"/>
  <c r="AI553" i="45"/>
  <c r="Z553" i="45"/>
  <c r="AA553" i="45"/>
  <c r="CI553" i="45"/>
  <c r="AE553" i="45"/>
  <c r="CJ553" i="45"/>
  <c r="AF553" i="45"/>
  <c r="AL553" i="45"/>
  <c r="CK553" i="45"/>
  <c r="AG553" i="45"/>
  <c r="AM553" i="45"/>
  <c r="X554" i="45"/>
  <c r="Y554" i="45"/>
  <c r="AH554" i="45"/>
  <c r="BM554" i="45"/>
  <c r="CH554" i="45"/>
  <c r="CI554" i="45"/>
  <c r="AE554" i="45"/>
  <c r="CJ554" i="45"/>
  <c r="AF554" i="45"/>
  <c r="AL554" i="45"/>
  <c r="CK554" i="45"/>
  <c r="AG554" i="45"/>
  <c r="AM554" i="45"/>
  <c r="AA555" i="45"/>
  <c r="AH555" i="45"/>
  <c r="CH555" i="45"/>
  <c r="AC555" i="45"/>
  <c r="AI555" i="45"/>
  <c r="CI555" i="45"/>
  <c r="AE555" i="45"/>
  <c r="CJ555" i="45"/>
  <c r="AF555" i="45"/>
  <c r="AL555" i="45"/>
  <c r="CK555" i="45"/>
  <c r="AG555" i="45"/>
  <c r="AM555" i="45"/>
  <c r="AA556" i="45"/>
  <c r="AH556" i="45"/>
  <c r="CH556" i="45"/>
  <c r="AC556" i="45"/>
  <c r="AI556" i="45"/>
  <c r="CI556" i="45"/>
  <c r="AE556" i="45"/>
  <c r="CJ556" i="45"/>
  <c r="AF556" i="45"/>
  <c r="AL556" i="45"/>
  <c r="CK556" i="45"/>
  <c r="AG556" i="45"/>
  <c r="AM556" i="45"/>
  <c r="AA557" i="45"/>
  <c r="CH557" i="45"/>
  <c r="AC557" i="45"/>
  <c r="AH557" i="45"/>
  <c r="AI557" i="45"/>
  <c r="CI557" i="45"/>
  <c r="AE557" i="45"/>
  <c r="CJ557" i="45"/>
  <c r="AF557" i="45"/>
  <c r="AL557" i="45"/>
  <c r="CK557" i="45"/>
  <c r="AG557" i="45"/>
  <c r="AM557" i="45"/>
  <c r="AA558" i="45"/>
  <c r="CH558" i="45"/>
  <c r="AC558" i="45"/>
  <c r="AH558" i="45"/>
  <c r="AI558" i="45"/>
  <c r="CI558" i="45"/>
  <c r="AE558" i="45"/>
  <c r="CJ558" i="45"/>
  <c r="AF558" i="45"/>
  <c r="AL558" i="45"/>
  <c r="CK558" i="45"/>
  <c r="AG558" i="45"/>
  <c r="AM558" i="45"/>
  <c r="J559" i="45"/>
  <c r="CJ559" i="45"/>
  <c r="AF559" i="45"/>
  <c r="AL559" i="45"/>
  <c r="AA559" i="45"/>
  <c r="CH559" i="45"/>
  <c r="AC559" i="45"/>
  <c r="AH559" i="45"/>
  <c r="AI559" i="45"/>
  <c r="CI559" i="45"/>
  <c r="AE559" i="45"/>
  <c r="CK559" i="45"/>
  <c r="AG559" i="45"/>
  <c r="AM559" i="45"/>
  <c r="K560" i="45"/>
  <c r="K551" i="45"/>
  <c r="K550" i="45"/>
  <c r="AA560" i="45"/>
  <c r="CH560" i="45"/>
  <c r="AC560" i="45"/>
  <c r="AH560" i="45"/>
  <c r="AI560" i="45"/>
  <c r="CI560" i="45"/>
  <c r="CJ560" i="45"/>
  <c r="AF560" i="45"/>
  <c r="AL560" i="45"/>
  <c r="CK560" i="45"/>
  <c r="AA561" i="45"/>
  <c r="CH561" i="45"/>
  <c r="AC561" i="45"/>
  <c r="AH561" i="45"/>
  <c r="AI561" i="45"/>
  <c r="CI561" i="45"/>
  <c r="CJ561" i="45"/>
  <c r="AF561" i="45"/>
  <c r="AL561" i="45"/>
  <c r="CK561" i="45"/>
  <c r="AA562" i="45"/>
  <c r="CH562" i="45"/>
  <c r="AC562" i="45"/>
  <c r="AH562" i="45"/>
  <c r="AI562" i="45"/>
  <c r="CI562" i="45"/>
  <c r="CJ562" i="45"/>
  <c r="AF562" i="45"/>
  <c r="AL562" i="45"/>
  <c r="CK562" i="45"/>
  <c r="I551" i="45"/>
  <c r="AA563" i="45"/>
  <c r="AH563" i="45"/>
  <c r="CD563" i="45"/>
  <c r="CD551" i="45"/>
  <c r="CD550" i="45"/>
  <c r="CH563" i="45"/>
  <c r="AC563" i="45"/>
  <c r="AI563" i="45"/>
  <c r="CI563" i="45"/>
  <c r="CJ563" i="45"/>
  <c r="AF563" i="45"/>
  <c r="AL563" i="45"/>
  <c r="CK563" i="45"/>
  <c r="AG563" i="45"/>
  <c r="AM563" i="45"/>
  <c r="AA564" i="45"/>
  <c r="CH564" i="45"/>
  <c r="AC564" i="45"/>
  <c r="AH564" i="45"/>
  <c r="AI564" i="45"/>
  <c r="CI564" i="45"/>
  <c r="CJ564" i="45"/>
  <c r="AF564" i="45"/>
  <c r="AL564" i="45"/>
  <c r="CK564" i="45"/>
  <c r="AA565" i="45"/>
  <c r="AH565" i="45"/>
  <c r="AL565" i="45"/>
  <c r="CH565" i="45"/>
  <c r="CI565" i="45"/>
  <c r="CJ565" i="45"/>
  <c r="CK565" i="45"/>
  <c r="AA566" i="45"/>
  <c r="AH566" i="45"/>
  <c r="O567" i="45"/>
  <c r="Q567" i="45"/>
  <c r="R567" i="45"/>
  <c r="S567" i="45"/>
  <c r="AA567" i="45"/>
  <c r="AH567" i="45"/>
  <c r="AO567" i="45"/>
  <c r="AO566" i="45"/>
  <c r="AP567" i="45"/>
  <c r="AP566" i="45"/>
  <c r="AQ567" i="45"/>
  <c r="AQ566" i="45"/>
  <c r="AR567" i="45"/>
  <c r="AR566" i="45"/>
  <c r="AS567" i="45"/>
  <c r="AS566" i="45"/>
  <c r="AT567" i="45"/>
  <c r="AT566" i="45"/>
  <c r="AU567" i="45"/>
  <c r="AU566" i="45"/>
  <c r="AV567" i="45"/>
  <c r="AV566" i="45"/>
  <c r="AW567" i="45"/>
  <c r="AW566" i="45"/>
  <c r="AX567" i="45"/>
  <c r="AX566" i="45"/>
  <c r="AY567" i="45"/>
  <c r="AY566" i="45"/>
  <c r="AZ567" i="45"/>
  <c r="AZ566" i="45"/>
  <c r="BA567" i="45"/>
  <c r="BA566" i="45"/>
  <c r="BB567" i="45"/>
  <c r="BB566" i="45"/>
  <c r="BC567" i="45"/>
  <c r="BC566" i="45"/>
  <c r="BD567" i="45"/>
  <c r="BD566" i="45"/>
  <c r="BF567" i="45"/>
  <c r="BF566" i="45"/>
  <c r="BG567" i="45"/>
  <c r="BG566" i="45"/>
  <c r="BH567" i="45"/>
  <c r="BH566" i="45"/>
  <c r="BJ567" i="45"/>
  <c r="BJ566" i="45"/>
  <c r="BK567" i="45"/>
  <c r="BK566" i="45"/>
  <c r="BL567" i="45"/>
  <c r="BL566" i="45"/>
  <c r="BN567" i="45"/>
  <c r="BN566" i="45"/>
  <c r="BO567" i="45"/>
  <c r="BO566" i="45"/>
  <c r="BP567" i="45"/>
  <c r="BP566" i="45"/>
  <c r="BQ567" i="45"/>
  <c r="BQ566" i="45"/>
  <c r="BR567" i="45"/>
  <c r="BR566" i="45"/>
  <c r="BS567" i="45"/>
  <c r="BS566" i="45"/>
  <c r="BT567" i="45"/>
  <c r="BT566" i="45"/>
  <c r="BU567" i="45"/>
  <c r="BU566" i="45"/>
  <c r="BV567" i="45"/>
  <c r="BV566" i="45"/>
  <c r="BW567" i="45"/>
  <c r="BW566" i="45"/>
  <c r="BX567" i="45"/>
  <c r="BX566" i="45"/>
  <c r="BZ567" i="45"/>
  <c r="BZ566" i="45"/>
  <c r="CA567" i="45"/>
  <c r="CA566" i="45"/>
  <c r="CB567" i="45"/>
  <c r="CB566" i="45"/>
  <c r="CD567" i="45"/>
  <c r="CD566" i="45"/>
  <c r="CE567" i="45"/>
  <c r="CE566" i="45"/>
  <c r="CF567" i="45"/>
  <c r="CF566" i="45"/>
  <c r="CP567" i="45"/>
  <c r="CP566" i="45"/>
  <c r="CH566" i="45"/>
  <c r="CQ567" i="45"/>
  <c r="CQ566" i="45"/>
  <c r="CI566" i="45"/>
  <c r="CR567" i="45"/>
  <c r="CR566" i="45"/>
  <c r="CJ566" i="45"/>
  <c r="CS567" i="45"/>
  <c r="CS566" i="45"/>
  <c r="CK566" i="45"/>
  <c r="W568" i="45"/>
  <c r="X568" i="45"/>
  <c r="AH568" i="45"/>
  <c r="BI568" i="45"/>
  <c r="BI567" i="45"/>
  <c r="BI566" i="45"/>
  <c r="BM568" i="45"/>
  <c r="BY568" i="45"/>
  <c r="BY567" i="45"/>
  <c r="BY566" i="45"/>
  <c r="CC568" i="45"/>
  <c r="CC567" i="45"/>
  <c r="CC566" i="45"/>
  <c r="CH568" i="45"/>
  <c r="CI568" i="45"/>
  <c r="AE568" i="45"/>
  <c r="CJ568" i="45"/>
  <c r="AF568" i="45"/>
  <c r="AL568" i="45"/>
  <c r="CK568" i="45"/>
  <c r="AG568" i="45"/>
  <c r="CZ568" i="45"/>
  <c r="Y569" i="45"/>
  <c r="AH569" i="45"/>
  <c r="CH569" i="45"/>
  <c r="AC569" i="45"/>
  <c r="AI569" i="45"/>
  <c r="Z569" i="45"/>
  <c r="AA569" i="45"/>
  <c r="CI569" i="45"/>
  <c r="AE569" i="45"/>
  <c r="CJ569" i="45"/>
  <c r="AF569" i="45"/>
  <c r="AL569" i="45"/>
  <c r="CK569" i="45"/>
  <c r="AG569" i="45"/>
  <c r="AM569" i="45"/>
  <c r="W570" i="45"/>
  <c r="X570" i="45"/>
  <c r="Y570" i="45"/>
  <c r="AH570" i="45"/>
  <c r="BM570" i="45"/>
  <c r="CH570" i="45"/>
  <c r="AC570" i="45"/>
  <c r="AI570" i="45"/>
  <c r="CI570" i="45"/>
  <c r="AE570" i="45"/>
  <c r="CJ570" i="45"/>
  <c r="AF570" i="45"/>
  <c r="AL570" i="45"/>
  <c r="CK570" i="45"/>
  <c r="AG570" i="45"/>
  <c r="AM570" i="45"/>
  <c r="CY570" i="45"/>
  <c r="AA571" i="45"/>
  <c r="AH571" i="45"/>
  <c r="CH571" i="45"/>
  <c r="AC571" i="45"/>
  <c r="AI571" i="45"/>
  <c r="CI571" i="45"/>
  <c r="AE571" i="45"/>
  <c r="AK571" i="45"/>
  <c r="CJ571" i="45"/>
  <c r="AF571" i="45"/>
  <c r="AL571" i="45"/>
  <c r="CK571" i="45"/>
  <c r="AG571" i="45"/>
  <c r="AM571" i="45"/>
  <c r="AA572" i="45"/>
  <c r="AH572" i="45"/>
  <c r="CH572" i="45"/>
  <c r="AC572" i="45"/>
  <c r="AI572" i="45"/>
  <c r="CI572" i="45"/>
  <c r="AE572" i="45"/>
  <c r="AK572" i="45"/>
  <c r="CJ572" i="45"/>
  <c r="AF572" i="45"/>
  <c r="AL572" i="45"/>
  <c r="CK572" i="45"/>
  <c r="AG572" i="45"/>
  <c r="AM572" i="45"/>
  <c r="AA573" i="45"/>
  <c r="CH573" i="45"/>
  <c r="AC573" i="45"/>
  <c r="AH573" i="45"/>
  <c r="AI573" i="45"/>
  <c r="CI573" i="45"/>
  <c r="AE573" i="45"/>
  <c r="CJ573" i="45"/>
  <c r="AF573" i="45"/>
  <c r="AL573" i="45"/>
  <c r="CK573" i="45"/>
  <c r="AG573" i="45"/>
  <c r="AM573" i="45"/>
  <c r="AA574" i="45"/>
  <c r="CH574" i="45"/>
  <c r="AC574" i="45"/>
  <c r="AH574" i="45"/>
  <c r="AI574" i="45"/>
  <c r="CI574" i="45"/>
  <c r="AE574" i="45"/>
  <c r="CJ574" i="45"/>
  <c r="AF574" i="45"/>
  <c r="AL574" i="45"/>
  <c r="CK574" i="45"/>
  <c r="AG574" i="45"/>
  <c r="AM574" i="45"/>
  <c r="J575" i="45"/>
  <c r="AA575" i="45"/>
  <c r="CH575" i="45"/>
  <c r="AC575" i="45"/>
  <c r="AH575" i="45"/>
  <c r="AI575" i="45"/>
  <c r="CI575" i="45"/>
  <c r="AE575" i="45"/>
  <c r="CJ575" i="45"/>
  <c r="AF575" i="45"/>
  <c r="CK575" i="45"/>
  <c r="AG575" i="45"/>
  <c r="AM575" i="45"/>
  <c r="K576" i="45"/>
  <c r="K567" i="45"/>
  <c r="K566" i="45"/>
  <c r="AA576" i="45"/>
  <c r="AG576" i="45"/>
  <c r="AH576" i="45"/>
  <c r="AM576" i="45"/>
  <c r="CH576" i="45"/>
  <c r="AC576" i="45"/>
  <c r="AI576" i="45"/>
  <c r="CI576" i="45"/>
  <c r="AE576" i="45"/>
  <c r="CJ576" i="45"/>
  <c r="AF576" i="45"/>
  <c r="AL576" i="45"/>
  <c r="AA577" i="45"/>
  <c r="AH577" i="45"/>
  <c r="BE577" i="45"/>
  <c r="CH577" i="45"/>
  <c r="CI577" i="45"/>
  <c r="AE577" i="45"/>
  <c r="AK577" i="45"/>
  <c r="CJ577" i="45"/>
  <c r="AF577" i="45"/>
  <c r="AL577" i="45"/>
  <c r="CK577" i="45"/>
  <c r="AG577" i="45"/>
  <c r="AM577" i="45"/>
  <c r="AA578" i="45"/>
  <c r="AH578" i="45"/>
  <c r="CH578" i="45"/>
  <c r="AC578" i="45"/>
  <c r="AI578" i="45"/>
  <c r="CI578" i="45"/>
  <c r="AE578" i="45"/>
  <c r="CJ578" i="45"/>
  <c r="AF578" i="45"/>
  <c r="AL578" i="45"/>
  <c r="CK578" i="45"/>
  <c r="AG578" i="45"/>
  <c r="AM578" i="45"/>
  <c r="J579" i="45"/>
  <c r="AA579" i="45"/>
  <c r="AH579" i="45"/>
  <c r="CH579" i="45"/>
  <c r="AC579" i="45"/>
  <c r="AI579" i="45"/>
  <c r="CI579" i="45"/>
  <c r="AE579" i="45"/>
  <c r="CJ579" i="45"/>
  <c r="AF579" i="45"/>
  <c r="CK579" i="45"/>
  <c r="AG579" i="45"/>
  <c r="AM579" i="45"/>
  <c r="AA580" i="45"/>
  <c r="AH580" i="45"/>
  <c r="CH580" i="45"/>
  <c r="AC580" i="45"/>
  <c r="AI580" i="45"/>
  <c r="CI580" i="45"/>
  <c r="AE580" i="45"/>
  <c r="CJ580" i="45"/>
  <c r="AF580" i="45"/>
  <c r="AL580" i="45"/>
  <c r="CK580" i="45"/>
  <c r="AG580" i="45"/>
  <c r="AM580" i="45"/>
  <c r="AA581" i="45"/>
  <c r="AH581" i="45"/>
  <c r="AL581" i="45"/>
  <c r="CH581" i="45"/>
  <c r="CI581" i="45"/>
  <c r="CJ581" i="45"/>
  <c r="CK581" i="45"/>
  <c r="AA582" i="45"/>
  <c r="AH582" i="45"/>
  <c r="I583" i="45"/>
  <c r="H597" i="45"/>
  <c r="AA583" i="45"/>
  <c r="AH583" i="45"/>
  <c r="AO583" i="45"/>
  <c r="AO582" i="45"/>
  <c r="AP583" i="45"/>
  <c r="AP582" i="45"/>
  <c r="AQ583" i="45"/>
  <c r="AQ582" i="45"/>
  <c r="AR583" i="45"/>
  <c r="AR582" i="45"/>
  <c r="AS583" i="45"/>
  <c r="AS582" i="45"/>
  <c r="AT583" i="45"/>
  <c r="AT582" i="45"/>
  <c r="AU583" i="45"/>
  <c r="AU582" i="45"/>
  <c r="AV583" i="45"/>
  <c r="AV582" i="45"/>
  <c r="AW583" i="45"/>
  <c r="AW582" i="45"/>
  <c r="AX583" i="45"/>
  <c r="AX582" i="45"/>
  <c r="AY583" i="45"/>
  <c r="AY582" i="45"/>
  <c r="AZ583" i="45"/>
  <c r="AZ582" i="45"/>
  <c r="BA583" i="45"/>
  <c r="BA582" i="45"/>
  <c r="BB583" i="45"/>
  <c r="BB582" i="45"/>
  <c r="BC583" i="45"/>
  <c r="BC582" i="45"/>
  <c r="BD583" i="45"/>
  <c r="BD582" i="45"/>
  <c r="BF583" i="45"/>
  <c r="BF582" i="45"/>
  <c r="BG583" i="45"/>
  <c r="BG582" i="45"/>
  <c r="BH583" i="45"/>
  <c r="BH582" i="45"/>
  <c r="BJ583" i="45"/>
  <c r="BJ582" i="45"/>
  <c r="BK583" i="45"/>
  <c r="BK582" i="45"/>
  <c r="BL583" i="45"/>
  <c r="BL582" i="45"/>
  <c r="BN583" i="45"/>
  <c r="BN582" i="45"/>
  <c r="BO583" i="45"/>
  <c r="BO582" i="45"/>
  <c r="BP583" i="45"/>
  <c r="BP582" i="45"/>
  <c r="BQ583" i="45"/>
  <c r="BQ582" i="45"/>
  <c r="BR583" i="45"/>
  <c r="BR582" i="45"/>
  <c r="BS583" i="45"/>
  <c r="BS582" i="45"/>
  <c r="BT583" i="45"/>
  <c r="BT582" i="45"/>
  <c r="BU583" i="45"/>
  <c r="BU582" i="45"/>
  <c r="BV583" i="45"/>
  <c r="BV582" i="45"/>
  <c r="BW583" i="45"/>
  <c r="BW582" i="45"/>
  <c r="BX583" i="45"/>
  <c r="BX582" i="45"/>
  <c r="BZ583" i="45"/>
  <c r="BZ582" i="45"/>
  <c r="CA583" i="45"/>
  <c r="CA582" i="45"/>
  <c r="CB583" i="45"/>
  <c r="CB582" i="45"/>
  <c r="CD583" i="45"/>
  <c r="CD582" i="45"/>
  <c r="CE583" i="45"/>
  <c r="CE582" i="45"/>
  <c r="CF583" i="45"/>
  <c r="CF582" i="45"/>
  <c r="CP583" i="45"/>
  <c r="CP582" i="45"/>
  <c r="CH582" i="45"/>
  <c r="CQ583" i="45"/>
  <c r="CI583" i="45"/>
  <c r="CR583" i="45"/>
  <c r="CR582" i="45"/>
  <c r="CJ582" i="45"/>
  <c r="CS583" i="45"/>
  <c r="CS582" i="45"/>
  <c r="CK582" i="45"/>
  <c r="W584" i="45"/>
  <c r="X584" i="45"/>
  <c r="AH584" i="45"/>
  <c r="BI584" i="45"/>
  <c r="BI583" i="45"/>
  <c r="BI582" i="45"/>
  <c r="BM584" i="45"/>
  <c r="BY584" i="45"/>
  <c r="BY583" i="45"/>
  <c r="BY582" i="45"/>
  <c r="CC584" i="45"/>
  <c r="CC583" i="45"/>
  <c r="CC582" i="45"/>
  <c r="CH584" i="45"/>
  <c r="CI584" i="45"/>
  <c r="AE584" i="45"/>
  <c r="AK584" i="45"/>
  <c r="CJ584" i="45"/>
  <c r="AF584" i="45"/>
  <c r="CK584" i="45"/>
  <c r="AG584" i="45"/>
  <c r="AM584" i="45"/>
  <c r="CZ584" i="45"/>
  <c r="Y585" i="45"/>
  <c r="CI585" i="45"/>
  <c r="AE585" i="45"/>
  <c r="AK585" i="45"/>
  <c r="AH585" i="45"/>
  <c r="CH585" i="45"/>
  <c r="AC585" i="45"/>
  <c r="AI585" i="45"/>
  <c r="Z585" i="45"/>
  <c r="AA585" i="45"/>
  <c r="CJ585" i="45"/>
  <c r="AF585" i="45"/>
  <c r="AL585" i="45"/>
  <c r="CK585" i="45"/>
  <c r="AG585" i="45"/>
  <c r="AM585" i="45"/>
  <c r="W586" i="45"/>
  <c r="X586" i="45"/>
  <c r="Y586" i="45"/>
  <c r="AH586" i="45"/>
  <c r="BM586" i="45"/>
  <c r="CH586" i="45"/>
  <c r="AC586" i="45"/>
  <c r="CI586" i="45"/>
  <c r="AE586" i="45"/>
  <c r="CJ586" i="45"/>
  <c r="AF586" i="45"/>
  <c r="AL586" i="45"/>
  <c r="CK586" i="45"/>
  <c r="AG586" i="45"/>
  <c r="AM586" i="45"/>
  <c r="CZ586" i="45"/>
  <c r="AA587" i="45"/>
  <c r="AH587" i="45"/>
  <c r="CH587" i="45"/>
  <c r="AC587" i="45"/>
  <c r="AI587" i="45"/>
  <c r="CI587" i="45"/>
  <c r="AE587" i="45"/>
  <c r="AK587" i="45"/>
  <c r="CJ587" i="45"/>
  <c r="AF587" i="45"/>
  <c r="AL587" i="45"/>
  <c r="CK587" i="45"/>
  <c r="AG587" i="45"/>
  <c r="AM587" i="45"/>
  <c r="AA588" i="45"/>
  <c r="AH588" i="45"/>
  <c r="CH588" i="45"/>
  <c r="AC588" i="45"/>
  <c r="AI588" i="45"/>
  <c r="CI588" i="45"/>
  <c r="AE588" i="45"/>
  <c r="AK588" i="45"/>
  <c r="CJ588" i="45"/>
  <c r="AF588" i="45"/>
  <c r="AL588" i="45"/>
  <c r="CK588" i="45"/>
  <c r="AG588" i="45"/>
  <c r="AM588" i="45"/>
  <c r="AA589" i="45"/>
  <c r="AH589" i="45"/>
  <c r="CH589" i="45"/>
  <c r="AC589" i="45"/>
  <c r="AI589" i="45"/>
  <c r="CI589" i="45"/>
  <c r="AE589" i="45"/>
  <c r="CJ589" i="45"/>
  <c r="AF589" i="45"/>
  <c r="AL589" i="45"/>
  <c r="CK589" i="45"/>
  <c r="AG589" i="45"/>
  <c r="AM589" i="45"/>
  <c r="AA590" i="45"/>
  <c r="CH590" i="45"/>
  <c r="AC590" i="45"/>
  <c r="AH590" i="45"/>
  <c r="AI590" i="45"/>
  <c r="CI590" i="45"/>
  <c r="AE590" i="45"/>
  <c r="CJ590" i="45"/>
  <c r="AF590" i="45"/>
  <c r="AL590" i="45"/>
  <c r="CK590" i="45"/>
  <c r="AG590" i="45"/>
  <c r="AM590" i="45"/>
  <c r="J591" i="45"/>
  <c r="AA591" i="45"/>
  <c r="CH591" i="45"/>
  <c r="AC591" i="45"/>
  <c r="AH591" i="45"/>
  <c r="AI591" i="45"/>
  <c r="CI591" i="45"/>
  <c r="AE591" i="45"/>
  <c r="CJ591" i="45"/>
  <c r="AF591" i="45"/>
  <c r="CK591" i="45"/>
  <c r="AG591" i="45"/>
  <c r="AM591" i="45"/>
  <c r="K592" i="45"/>
  <c r="K583" i="45"/>
  <c r="K582" i="45"/>
  <c r="AA592" i="45"/>
  <c r="CH592" i="45"/>
  <c r="AC592" i="45"/>
  <c r="AH592" i="45"/>
  <c r="AI592" i="45"/>
  <c r="CI592" i="45"/>
  <c r="AE592" i="45"/>
  <c r="CJ592" i="45"/>
  <c r="AF592" i="45"/>
  <c r="AL592" i="45"/>
  <c r="CK592" i="45"/>
  <c r="AG592" i="45"/>
  <c r="AM592" i="45"/>
  <c r="AA593" i="45"/>
  <c r="CI593" i="45"/>
  <c r="AE593" i="45"/>
  <c r="AK593" i="45"/>
  <c r="AH593" i="45"/>
  <c r="BE593" i="45"/>
  <c r="BE583" i="45"/>
  <c r="BE582" i="45"/>
  <c r="CH593" i="45"/>
  <c r="AC593" i="45"/>
  <c r="AI593" i="45"/>
  <c r="CJ593" i="45"/>
  <c r="AF593" i="45"/>
  <c r="AL593" i="45"/>
  <c r="CK593" i="45"/>
  <c r="AG593" i="45"/>
  <c r="AM593" i="45"/>
  <c r="AA594" i="45"/>
  <c r="AH594" i="45"/>
  <c r="CH594" i="45"/>
  <c r="AC594" i="45"/>
  <c r="AI594" i="45"/>
  <c r="CI594" i="45"/>
  <c r="AE594" i="45"/>
  <c r="AK594" i="45"/>
  <c r="CJ594" i="45"/>
  <c r="AF594" i="45"/>
  <c r="AL594" i="45"/>
  <c r="CK594" i="45"/>
  <c r="AG594" i="45"/>
  <c r="AM594" i="45"/>
  <c r="AJ594" i="45"/>
  <c r="AA595" i="45"/>
  <c r="AH595" i="45"/>
  <c r="CH595" i="45"/>
  <c r="AC595" i="45"/>
  <c r="AI595" i="45"/>
  <c r="CI595" i="45"/>
  <c r="AE595" i="45"/>
  <c r="AK595" i="45"/>
  <c r="CJ595" i="45"/>
  <c r="AF595" i="45"/>
  <c r="AL595" i="45"/>
  <c r="CK595" i="45"/>
  <c r="AG595" i="45"/>
  <c r="AM595" i="45"/>
  <c r="AJ595" i="45"/>
  <c r="AA596" i="45"/>
  <c r="CH596" i="45"/>
  <c r="AC596" i="45"/>
  <c r="AH596" i="45"/>
  <c r="AI596" i="45"/>
  <c r="CI596" i="45"/>
  <c r="AE596" i="45"/>
  <c r="CJ596" i="45"/>
  <c r="AF596" i="45"/>
  <c r="AL596" i="45"/>
  <c r="CK596" i="45"/>
  <c r="AG596" i="45"/>
  <c r="AM596" i="45"/>
  <c r="AA597" i="45"/>
  <c r="AH597" i="45"/>
  <c r="AL597" i="45"/>
  <c r="CH597" i="45"/>
  <c r="CI597" i="45"/>
  <c r="CJ597" i="45"/>
  <c r="CK597" i="45"/>
  <c r="AA598" i="45"/>
  <c r="AH598" i="45"/>
  <c r="K599" i="45"/>
  <c r="K598" i="45"/>
  <c r="O599" i="45"/>
  <c r="Q599" i="45"/>
  <c r="R599" i="45"/>
  <c r="S599" i="45"/>
  <c r="AA599" i="45"/>
  <c r="AH599" i="45"/>
  <c r="AO599" i="45"/>
  <c r="AO598" i="45"/>
  <c r="AP599" i="45"/>
  <c r="AP598" i="45"/>
  <c r="AQ599" i="45"/>
  <c r="AQ598" i="45"/>
  <c r="AR599" i="45"/>
  <c r="AR598" i="45"/>
  <c r="AS599" i="45"/>
  <c r="AS598" i="45"/>
  <c r="AT599" i="45"/>
  <c r="AT598" i="45"/>
  <c r="AU599" i="45"/>
  <c r="AU598" i="45"/>
  <c r="AV599" i="45"/>
  <c r="AV598" i="45"/>
  <c r="AW599" i="45"/>
  <c r="AW598" i="45"/>
  <c r="AX599" i="45"/>
  <c r="AX598" i="45"/>
  <c r="AY599" i="45"/>
  <c r="AY598" i="45"/>
  <c r="AZ599" i="45"/>
  <c r="AZ598" i="45"/>
  <c r="BA599" i="45"/>
  <c r="BA598" i="45"/>
  <c r="BB599" i="45"/>
  <c r="BB598" i="45"/>
  <c r="BC599" i="45"/>
  <c r="BC598" i="45"/>
  <c r="BD599" i="45"/>
  <c r="BD598" i="45"/>
  <c r="BF599" i="45"/>
  <c r="BF598" i="45"/>
  <c r="BG599" i="45"/>
  <c r="BG598" i="45"/>
  <c r="BH599" i="45"/>
  <c r="BH598" i="45"/>
  <c r="BJ599" i="45"/>
  <c r="BJ598" i="45"/>
  <c r="BK599" i="45"/>
  <c r="BK598" i="45"/>
  <c r="BL599" i="45"/>
  <c r="BL598" i="45"/>
  <c r="BN599" i="45"/>
  <c r="BN598" i="45"/>
  <c r="BO599" i="45"/>
  <c r="BO598" i="45"/>
  <c r="BP599" i="45"/>
  <c r="BP598" i="45"/>
  <c r="BQ599" i="45"/>
  <c r="BQ598" i="45"/>
  <c r="BR599" i="45"/>
  <c r="BR598" i="45"/>
  <c r="BS599" i="45"/>
  <c r="BS598" i="45"/>
  <c r="BT599" i="45"/>
  <c r="BT598" i="45"/>
  <c r="BU599" i="45"/>
  <c r="BU598" i="45"/>
  <c r="BW599" i="45"/>
  <c r="BW598" i="45"/>
  <c r="BX599" i="45"/>
  <c r="BX598" i="45"/>
  <c r="BZ599" i="45"/>
  <c r="BZ598" i="45"/>
  <c r="CA599" i="45"/>
  <c r="CA598" i="45"/>
  <c r="CB599" i="45"/>
  <c r="CB598" i="45"/>
  <c r="CD599" i="45"/>
  <c r="CD598" i="45"/>
  <c r="CE599" i="45"/>
  <c r="CE598" i="45"/>
  <c r="CF599" i="45"/>
  <c r="CF598" i="45"/>
  <c r="CP599" i="45"/>
  <c r="CP598" i="45"/>
  <c r="CH598" i="45"/>
  <c r="CQ599" i="45"/>
  <c r="CI599" i="45"/>
  <c r="CR599" i="45"/>
  <c r="CR598" i="45"/>
  <c r="CJ598" i="45"/>
  <c r="CS599" i="45"/>
  <c r="CS598" i="45"/>
  <c r="CK598" i="45"/>
  <c r="W600" i="45"/>
  <c r="X600" i="45"/>
  <c r="CC600" i="45"/>
  <c r="Y600" i="45"/>
  <c r="AH600" i="45"/>
  <c r="BE600" i="45"/>
  <c r="BI600" i="45"/>
  <c r="BY600" i="45"/>
  <c r="CC599" i="45"/>
  <c r="CC598" i="45"/>
  <c r="CH600" i="45"/>
  <c r="CI600" i="45"/>
  <c r="AE600" i="45"/>
  <c r="AK600" i="45"/>
  <c r="CJ600" i="45"/>
  <c r="AF600" i="45"/>
  <c r="AL600" i="45"/>
  <c r="CK600" i="45"/>
  <c r="AG600" i="45"/>
  <c r="AM600" i="45"/>
  <c r="CZ600" i="45"/>
  <c r="Y601" i="45"/>
  <c r="AH601" i="45"/>
  <c r="CH601" i="45"/>
  <c r="AC601" i="45"/>
  <c r="AI601" i="45"/>
  <c r="Z601" i="45"/>
  <c r="AA601" i="45"/>
  <c r="CI601" i="45"/>
  <c r="AE601" i="45"/>
  <c r="AK601" i="45"/>
  <c r="CJ601" i="45"/>
  <c r="AF601" i="45"/>
  <c r="AL601" i="45"/>
  <c r="CK601" i="45"/>
  <c r="AG601" i="45"/>
  <c r="AM601" i="45"/>
  <c r="W602" i="45"/>
  <c r="X602" i="45"/>
  <c r="Y602" i="45"/>
  <c r="AH602" i="45"/>
  <c r="BE602" i="45"/>
  <c r="BI602" i="45"/>
  <c r="BM602" i="45"/>
  <c r="BM599" i="45"/>
  <c r="BM598" i="45"/>
  <c r="CH602" i="45"/>
  <c r="CI602" i="45"/>
  <c r="AE602" i="45"/>
  <c r="AK602" i="45"/>
  <c r="CJ602" i="45"/>
  <c r="AF602" i="45"/>
  <c r="AL602" i="45"/>
  <c r="CK602" i="45"/>
  <c r="AG602" i="45"/>
  <c r="AM602" i="45"/>
  <c r="AJ602" i="45"/>
  <c r="CZ602" i="45"/>
  <c r="AA603" i="45"/>
  <c r="CH603" i="45"/>
  <c r="AC603" i="45"/>
  <c r="AI603" i="45"/>
  <c r="AH603" i="45"/>
  <c r="CI603" i="45"/>
  <c r="AE603" i="45"/>
  <c r="AK603" i="45"/>
  <c r="CJ603" i="45"/>
  <c r="AF603" i="45"/>
  <c r="AL603" i="45"/>
  <c r="CK603" i="45"/>
  <c r="AG603" i="45"/>
  <c r="AM603" i="45"/>
  <c r="AA604" i="45"/>
  <c r="CH604" i="45"/>
  <c r="AC604" i="45"/>
  <c r="AH604" i="45"/>
  <c r="AI604" i="45"/>
  <c r="CI604" i="45"/>
  <c r="AE604" i="45"/>
  <c r="CJ604" i="45"/>
  <c r="AF604" i="45"/>
  <c r="AL604" i="45"/>
  <c r="CK604" i="45"/>
  <c r="AG604" i="45"/>
  <c r="AM604" i="45"/>
  <c r="AA605" i="45"/>
  <c r="AH605" i="45"/>
  <c r="BY605" i="45"/>
  <c r="CH605" i="45"/>
  <c r="CI605" i="45"/>
  <c r="AE605" i="45"/>
  <c r="AK605" i="45"/>
  <c r="CJ605" i="45"/>
  <c r="AF605" i="45"/>
  <c r="AL605" i="45"/>
  <c r="CK605" i="45"/>
  <c r="AG605" i="45"/>
  <c r="AM605" i="45"/>
  <c r="AA606" i="45"/>
  <c r="CH606" i="45"/>
  <c r="AC606" i="45"/>
  <c r="AH606" i="45"/>
  <c r="AI606" i="45"/>
  <c r="CI606" i="45"/>
  <c r="AE606" i="45"/>
  <c r="CJ606" i="45"/>
  <c r="AF606" i="45"/>
  <c r="AL606" i="45"/>
  <c r="CK606" i="45"/>
  <c r="AG606" i="45"/>
  <c r="AM606" i="45"/>
  <c r="J607" i="45"/>
  <c r="AA607" i="45"/>
  <c r="AH607" i="45"/>
  <c r="CH607" i="45"/>
  <c r="AC607" i="45"/>
  <c r="AI607" i="45"/>
  <c r="CI607" i="45"/>
  <c r="AE607" i="45"/>
  <c r="CJ607" i="45"/>
  <c r="AF607" i="45"/>
  <c r="AL607" i="45"/>
  <c r="CK607" i="45"/>
  <c r="AG607" i="45"/>
  <c r="AM607" i="45"/>
  <c r="AA608" i="45"/>
  <c r="AH608" i="45"/>
  <c r="CH608" i="45"/>
  <c r="AC608" i="45"/>
  <c r="CI608" i="45"/>
  <c r="AE608" i="45"/>
  <c r="AK608" i="45"/>
  <c r="CJ608" i="45"/>
  <c r="AF608" i="45"/>
  <c r="AL608" i="45"/>
  <c r="CK608" i="45"/>
  <c r="AG608" i="45"/>
  <c r="AM608" i="45"/>
  <c r="AJ608" i="45"/>
  <c r="AA609" i="45"/>
  <c r="CI609" i="45"/>
  <c r="AE609" i="45"/>
  <c r="AK609" i="45"/>
  <c r="AH609" i="45"/>
  <c r="BY609" i="45"/>
  <c r="BY529" i="45"/>
  <c r="CH609" i="45"/>
  <c r="AC609" i="45"/>
  <c r="AI609" i="45"/>
  <c r="CJ609" i="45"/>
  <c r="AF609" i="45"/>
  <c r="AL609" i="45"/>
  <c r="CK609" i="45"/>
  <c r="AG609" i="45"/>
  <c r="AM609" i="45"/>
  <c r="AA610" i="45"/>
  <c r="AH610" i="45"/>
  <c r="CH610" i="45"/>
  <c r="AC610" i="45"/>
  <c r="AI610" i="45"/>
  <c r="CI610" i="45"/>
  <c r="AE610" i="45"/>
  <c r="AK610" i="45"/>
  <c r="CJ610" i="45"/>
  <c r="AF610" i="45"/>
  <c r="AL610" i="45"/>
  <c r="CK610" i="45"/>
  <c r="AG610" i="45"/>
  <c r="AM610" i="45"/>
  <c r="AJ610" i="45"/>
  <c r="J611" i="45"/>
  <c r="AA611" i="45"/>
  <c r="AH611" i="45"/>
  <c r="BV611" i="45"/>
  <c r="BV599" i="45"/>
  <c r="BV598" i="45"/>
  <c r="CH611" i="45"/>
  <c r="AC611" i="45"/>
  <c r="AI611" i="45"/>
  <c r="CI611" i="45"/>
  <c r="CJ611" i="45"/>
  <c r="AF611" i="45"/>
  <c r="AL611" i="45"/>
  <c r="CK611" i="45"/>
  <c r="AG611" i="45"/>
  <c r="AM611" i="45"/>
  <c r="AA612" i="45"/>
  <c r="AH612" i="45"/>
  <c r="CH612" i="45"/>
  <c r="AC612" i="45"/>
  <c r="AI612" i="45"/>
  <c r="CI612" i="45"/>
  <c r="AE612" i="45"/>
  <c r="AK612" i="45"/>
  <c r="CJ612" i="45"/>
  <c r="AF612" i="45"/>
  <c r="AL612" i="45"/>
  <c r="CK612" i="45"/>
  <c r="AG612" i="45"/>
  <c r="AM612" i="45"/>
  <c r="AA613" i="45"/>
  <c r="AH613" i="45"/>
  <c r="AL613" i="45"/>
  <c r="CH613" i="45"/>
  <c r="CI613" i="45"/>
  <c r="CJ613" i="45"/>
  <c r="CK613" i="45"/>
  <c r="AA614" i="45"/>
  <c r="AH614" i="45"/>
  <c r="J615" i="45"/>
  <c r="J614" i="45"/>
  <c r="O615" i="45"/>
  <c r="Q615" i="45"/>
  <c r="R615" i="45"/>
  <c r="S615" i="45"/>
  <c r="AA615" i="45"/>
  <c r="AH615" i="45"/>
  <c r="AO615" i="45"/>
  <c r="AO614" i="45"/>
  <c r="AP615" i="45"/>
  <c r="AP614" i="45"/>
  <c r="AQ615" i="45"/>
  <c r="AQ614" i="45"/>
  <c r="AR615" i="45"/>
  <c r="AR614" i="45"/>
  <c r="AS615" i="45"/>
  <c r="AS614" i="45"/>
  <c r="AT615" i="45"/>
  <c r="AT614" i="45"/>
  <c r="AU615" i="45"/>
  <c r="AU614" i="45"/>
  <c r="AV615" i="45"/>
  <c r="AV614" i="45"/>
  <c r="AW615" i="45"/>
  <c r="AW614" i="45"/>
  <c r="AX615" i="45"/>
  <c r="AX614" i="45"/>
  <c r="AY615" i="45"/>
  <c r="AY614" i="45"/>
  <c r="AZ615" i="45"/>
  <c r="AZ614" i="45"/>
  <c r="BA615" i="45"/>
  <c r="BA614" i="45"/>
  <c r="BB615" i="45"/>
  <c r="BB614" i="45"/>
  <c r="BC615" i="45"/>
  <c r="BC614" i="45"/>
  <c r="BD615" i="45"/>
  <c r="BD614" i="45"/>
  <c r="BE615" i="45"/>
  <c r="BE614" i="45"/>
  <c r="BF615" i="45"/>
  <c r="BF614" i="45"/>
  <c r="BG615" i="45"/>
  <c r="BG614" i="45"/>
  <c r="BH615" i="45"/>
  <c r="BH614" i="45"/>
  <c r="BJ615" i="45"/>
  <c r="BJ614" i="45"/>
  <c r="BK615" i="45"/>
  <c r="BK614" i="45"/>
  <c r="BL615" i="45"/>
  <c r="BL614" i="45"/>
  <c r="BM615" i="45"/>
  <c r="BM614" i="45"/>
  <c r="BN615" i="45"/>
  <c r="BN614" i="45"/>
  <c r="BO615" i="45"/>
  <c r="BO614" i="45"/>
  <c r="BP615" i="45"/>
  <c r="BP614" i="45"/>
  <c r="BR615" i="45"/>
  <c r="BR614" i="45"/>
  <c r="BS615" i="45"/>
  <c r="BS614" i="45"/>
  <c r="BT615" i="45"/>
  <c r="BT614" i="45"/>
  <c r="BU615" i="45"/>
  <c r="BU614" i="45"/>
  <c r="BV615" i="45"/>
  <c r="BV614" i="45"/>
  <c r="BW615" i="45"/>
  <c r="BW614" i="45"/>
  <c r="BX615" i="45"/>
  <c r="BX614" i="45"/>
  <c r="BZ615" i="45"/>
  <c r="BZ614" i="45"/>
  <c r="CA615" i="45"/>
  <c r="CA614" i="45"/>
  <c r="CB615" i="45"/>
  <c r="CB614" i="45"/>
  <c r="CD615" i="45"/>
  <c r="CD614" i="45"/>
  <c r="CE615" i="45"/>
  <c r="CE614" i="45"/>
  <c r="CF615" i="45"/>
  <c r="CF614" i="45"/>
  <c r="CP615" i="45"/>
  <c r="CP614" i="45"/>
  <c r="CH614" i="45"/>
  <c r="CQ615" i="45"/>
  <c r="CQ614" i="45"/>
  <c r="CI614" i="45"/>
  <c r="CR615" i="45"/>
  <c r="CR614" i="45"/>
  <c r="CJ614" i="45"/>
  <c r="CS615" i="45"/>
  <c r="CS614" i="45"/>
  <c r="CK614" i="45"/>
  <c r="W616" i="45"/>
  <c r="X616" i="45"/>
  <c r="AH616" i="45"/>
  <c r="BI616" i="45"/>
  <c r="BY616" i="45"/>
  <c r="BY615" i="45"/>
  <c r="BY614" i="45"/>
  <c r="CC616" i="45"/>
  <c r="CC615" i="45"/>
  <c r="CC614" i="45"/>
  <c r="CH616" i="45"/>
  <c r="CI616" i="45"/>
  <c r="AE616" i="45"/>
  <c r="CJ616" i="45"/>
  <c r="AF616" i="45"/>
  <c r="CK616" i="45"/>
  <c r="AG616" i="45"/>
  <c r="CZ616" i="45"/>
  <c r="Y617" i="45"/>
  <c r="CI617" i="45"/>
  <c r="AE617" i="45"/>
  <c r="AK617" i="45"/>
  <c r="AH617" i="45"/>
  <c r="CH617" i="45"/>
  <c r="AC617" i="45"/>
  <c r="AI617" i="45"/>
  <c r="Z617" i="45"/>
  <c r="AA617" i="45"/>
  <c r="CJ617" i="45"/>
  <c r="AF617" i="45"/>
  <c r="AL617" i="45"/>
  <c r="CK617" i="45"/>
  <c r="AG617" i="45"/>
  <c r="AM617" i="45"/>
  <c r="W618" i="45"/>
  <c r="X618" i="45"/>
  <c r="Y618" i="45"/>
  <c r="AH618" i="45"/>
  <c r="BI618" i="45"/>
  <c r="CH618" i="45"/>
  <c r="AC618" i="45"/>
  <c r="CI618" i="45"/>
  <c r="AE618" i="45"/>
  <c r="CJ618" i="45"/>
  <c r="AF618" i="45"/>
  <c r="AL618" i="45"/>
  <c r="CK618" i="45"/>
  <c r="AG618" i="45"/>
  <c r="AM618" i="45"/>
  <c r="CZ618" i="45"/>
  <c r="AA619" i="45"/>
  <c r="AH619" i="45"/>
  <c r="CH619" i="45"/>
  <c r="AC619" i="45"/>
  <c r="AI619" i="45"/>
  <c r="CI619" i="45"/>
  <c r="AE619" i="45"/>
  <c r="AK619" i="45"/>
  <c r="CJ619" i="45"/>
  <c r="AF619" i="45"/>
  <c r="AL619" i="45"/>
  <c r="CK619" i="45"/>
  <c r="AG619" i="45"/>
  <c r="AM619" i="45"/>
  <c r="AA620" i="45"/>
  <c r="AH620" i="45"/>
  <c r="CH620" i="45"/>
  <c r="AC620" i="45"/>
  <c r="AI620" i="45"/>
  <c r="CI620" i="45"/>
  <c r="AE620" i="45"/>
  <c r="AK620" i="45"/>
  <c r="CJ620" i="45"/>
  <c r="AF620" i="45"/>
  <c r="AL620" i="45"/>
  <c r="CK620" i="45"/>
  <c r="AG620" i="45"/>
  <c r="AM620" i="45"/>
  <c r="AA621" i="45"/>
  <c r="AH621" i="45"/>
  <c r="CH621" i="45"/>
  <c r="AC621" i="45"/>
  <c r="AI621" i="45"/>
  <c r="CI621" i="45"/>
  <c r="AE621" i="45"/>
  <c r="AK621" i="45"/>
  <c r="CJ621" i="45"/>
  <c r="AF621" i="45"/>
  <c r="AL621" i="45"/>
  <c r="CK621" i="45"/>
  <c r="AG621" i="45"/>
  <c r="AM621" i="45"/>
  <c r="AA622" i="45"/>
  <c r="AH622" i="45"/>
  <c r="CH622" i="45"/>
  <c r="AC622" i="45"/>
  <c r="AI622" i="45"/>
  <c r="CI622" i="45"/>
  <c r="AE622" i="45"/>
  <c r="AK622" i="45"/>
  <c r="CJ622" i="45"/>
  <c r="AF622" i="45"/>
  <c r="AL622" i="45"/>
  <c r="CK622" i="45"/>
  <c r="AG622" i="45"/>
  <c r="AM622" i="45"/>
  <c r="AA623" i="45"/>
  <c r="AH623" i="45"/>
  <c r="CH623" i="45"/>
  <c r="AC623" i="45"/>
  <c r="AI623" i="45"/>
  <c r="CI623" i="45"/>
  <c r="AE623" i="45"/>
  <c r="AK623" i="45"/>
  <c r="CJ623" i="45"/>
  <c r="AF623" i="45"/>
  <c r="AL623" i="45"/>
  <c r="CK623" i="45"/>
  <c r="AG623" i="45"/>
  <c r="AM623" i="45"/>
  <c r="H615" i="45"/>
  <c r="K624" i="45"/>
  <c r="K615" i="45"/>
  <c r="K614" i="45"/>
  <c r="AA624" i="45"/>
  <c r="AG624" i="45"/>
  <c r="AM624" i="45"/>
  <c r="AH624" i="45"/>
  <c r="BQ624" i="45"/>
  <c r="BQ615" i="45"/>
  <c r="BQ614" i="45"/>
  <c r="CH624" i="45"/>
  <c r="CI624" i="45"/>
  <c r="AE624" i="45"/>
  <c r="AK624" i="45"/>
  <c r="CJ624" i="45"/>
  <c r="AF624" i="45"/>
  <c r="AL624" i="45"/>
  <c r="AA625" i="45"/>
  <c r="AH625" i="45"/>
  <c r="AL625" i="45"/>
  <c r="CH625" i="45"/>
  <c r="AC625" i="45"/>
  <c r="AI625" i="45"/>
  <c r="CI625" i="45"/>
  <c r="CJ625" i="45"/>
  <c r="CK625" i="45"/>
  <c r="AA626" i="45"/>
  <c r="AH626" i="45"/>
  <c r="CH626" i="45"/>
  <c r="AC626" i="45"/>
  <c r="AI626" i="45"/>
  <c r="CI626" i="45"/>
  <c r="AE626" i="45"/>
  <c r="AK626" i="45"/>
  <c r="CJ626" i="45"/>
  <c r="AF626" i="45"/>
  <c r="AL626" i="45"/>
  <c r="CK626" i="45"/>
  <c r="AG626" i="45"/>
  <c r="AM626" i="45"/>
  <c r="AA627" i="45"/>
  <c r="AH627" i="45"/>
  <c r="CH627" i="45"/>
  <c r="AC627" i="45"/>
  <c r="AI627" i="45"/>
  <c r="CI627" i="45"/>
  <c r="AE627" i="45"/>
  <c r="AK627" i="45"/>
  <c r="CJ627" i="45"/>
  <c r="AF627" i="45"/>
  <c r="AL627" i="45"/>
  <c r="CK627" i="45"/>
  <c r="AG627" i="45"/>
  <c r="AM627" i="45"/>
  <c r="AA628" i="45"/>
  <c r="AH628" i="45"/>
  <c r="CH628" i="45"/>
  <c r="AC628" i="45"/>
  <c r="AI628" i="45"/>
  <c r="CI628" i="45"/>
  <c r="AE628" i="45"/>
  <c r="CJ628" i="45"/>
  <c r="AF628" i="45"/>
  <c r="AL628" i="45"/>
  <c r="CK628" i="45"/>
  <c r="AG628" i="45"/>
  <c r="AM628" i="45"/>
  <c r="AA629" i="45"/>
  <c r="AH629" i="45"/>
  <c r="CH629" i="45"/>
  <c r="AC629" i="45"/>
  <c r="AI629" i="45"/>
  <c r="CI629" i="45"/>
  <c r="AE629" i="45"/>
  <c r="CJ629" i="45"/>
  <c r="AF629" i="45"/>
  <c r="AL629" i="45"/>
  <c r="CK629" i="45"/>
  <c r="AG629" i="45"/>
  <c r="AM629" i="45"/>
  <c r="AA630" i="45"/>
  <c r="AH630" i="45"/>
  <c r="AL630" i="45"/>
  <c r="CH630" i="45"/>
  <c r="CI630" i="45"/>
  <c r="CJ630" i="45"/>
  <c r="CK630" i="45"/>
  <c r="AA631" i="45"/>
  <c r="AH631" i="45"/>
  <c r="BH632" i="45"/>
  <c r="BH631" i="45"/>
  <c r="BN632" i="45"/>
  <c r="BN631" i="45"/>
  <c r="I632" i="45"/>
  <c r="I631" i="45"/>
  <c r="K632" i="45"/>
  <c r="K631" i="45"/>
  <c r="O632" i="45"/>
  <c r="Q632" i="45"/>
  <c r="R632" i="45"/>
  <c r="AA632" i="45"/>
  <c r="AH632" i="45"/>
  <c r="AP632" i="45"/>
  <c r="AP631" i="45"/>
  <c r="AQ632" i="45"/>
  <c r="AQ631" i="45"/>
  <c r="AR632" i="45"/>
  <c r="AR631" i="45"/>
  <c r="AS632" i="45"/>
  <c r="AS631" i="45"/>
  <c r="AT632" i="45"/>
  <c r="AT631" i="45"/>
  <c r="AU632" i="45"/>
  <c r="AU631" i="45"/>
  <c r="AV632" i="45"/>
  <c r="AV631" i="45"/>
  <c r="AW632" i="45"/>
  <c r="AW631" i="45"/>
  <c r="AX632" i="45"/>
  <c r="AX631" i="45"/>
  <c r="AY632" i="45"/>
  <c r="AY631" i="45"/>
  <c r="AZ632" i="45"/>
  <c r="AZ631" i="45"/>
  <c r="BA632" i="45"/>
  <c r="BA631" i="45"/>
  <c r="BB632" i="45"/>
  <c r="BB631" i="45"/>
  <c r="BC632" i="45"/>
  <c r="BC631" i="45"/>
  <c r="BD632" i="45"/>
  <c r="BD631" i="45"/>
  <c r="BF632" i="45"/>
  <c r="BF631" i="45"/>
  <c r="BG632" i="45"/>
  <c r="BG631" i="45"/>
  <c r="BJ632" i="45"/>
  <c r="BJ631" i="45"/>
  <c r="BK632" i="45"/>
  <c r="BK631" i="45"/>
  <c r="BL632" i="45"/>
  <c r="BL631" i="45"/>
  <c r="BM632" i="45"/>
  <c r="BM631" i="45"/>
  <c r="BO632" i="45"/>
  <c r="BO631" i="45"/>
  <c r="BP632" i="45"/>
  <c r="BP631" i="45"/>
  <c r="BR632" i="45"/>
  <c r="BR631" i="45"/>
  <c r="BS632" i="45"/>
  <c r="BS631" i="45"/>
  <c r="BT632" i="45"/>
  <c r="BT631" i="45"/>
  <c r="BU632" i="45"/>
  <c r="BU631" i="45"/>
  <c r="BV632" i="45"/>
  <c r="BV631" i="45"/>
  <c r="BW632" i="45"/>
  <c r="BW631" i="45"/>
  <c r="BX632" i="45"/>
  <c r="BX631" i="45"/>
  <c r="BZ632" i="45"/>
  <c r="BZ631" i="45"/>
  <c r="CA632" i="45"/>
  <c r="CA631" i="45"/>
  <c r="CB632" i="45"/>
  <c r="CB631" i="45"/>
  <c r="CD632" i="45"/>
  <c r="CD631" i="45"/>
  <c r="CE632" i="45"/>
  <c r="CE631" i="45"/>
  <c r="CF632" i="45"/>
  <c r="CF631" i="45"/>
  <c r="CP632" i="45"/>
  <c r="CP631" i="45"/>
  <c r="CH631" i="45"/>
  <c r="CQ632" i="45"/>
  <c r="CI632" i="45"/>
  <c r="CR632" i="45"/>
  <c r="CR631" i="45"/>
  <c r="CJ631" i="45"/>
  <c r="CS632" i="45"/>
  <c r="CK632" i="45"/>
  <c r="W633" i="45"/>
  <c r="X633" i="45"/>
  <c r="CJ633" i="45"/>
  <c r="AF633" i="45"/>
  <c r="AH633" i="45"/>
  <c r="AL633" i="45"/>
  <c r="BI633" i="45"/>
  <c r="BQ633" i="45"/>
  <c r="BQ635" i="45"/>
  <c r="BQ632" i="45"/>
  <c r="BQ631" i="45"/>
  <c r="BY633" i="45"/>
  <c r="BY632" i="45"/>
  <c r="BY631" i="45"/>
  <c r="CC633" i="45"/>
  <c r="CC632" i="45"/>
  <c r="CC631" i="45"/>
  <c r="CH633" i="45"/>
  <c r="CI633" i="45"/>
  <c r="AE633" i="45"/>
  <c r="CK633" i="45"/>
  <c r="AG633" i="45"/>
  <c r="CZ633" i="45"/>
  <c r="Y634" i="45"/>
  <c r="AH634" i="45"/>
  <c r="CH634" i="45"/>
  <c r="AC634" i="45"/>
  <c r="AI634" i="45"/>
  <c r="Z634" i="45"/>
  <c r="AA634" i="45"/>
  <c r="CI634" i="45"/>
  <c r="AE634" i="45"/>
  <c r="AK634" i="45"/>
  <c r="CJ634" i="45"/>
  <c r="AF634" i="45"/>
  <c r="AL634" i="45"/>
  <c r="CK634" i="45"/>
  <c r="AG634" i="45"/>
  <c r="AM634" i="45"/>
  <c r="AJ634" i="45"/>
  <c r="W635" i="45"/>
  <c r="X635" i="45"/>
  <c r="Y635" i="45"/>
  <c r="AH635" i="45"/>
  <c r="BI635" i="45"/>
  <c r="CH635" i="45"/>
  <c r="CI635" i="45"/>
  <c r="AE635" i="45"/>
  <c r="AK635" i="45"/>
  <c r="CJ635" i="45"/>
  <c r="AF635" i="45"/>
  <c r="AL635" i="45"/>
  <c r="CK635" i="45"/>
  <c r="AG635" i="45"/>
  <c r="AM635" i="45"/>
  <c r="CZ635" i="45"/>
  <c r="AA636" i="45"/>
  <c r="AH636" i="45"/>
  <c r="CH636" i="45"/>
  <c r="AC636" i="45"/>
  <c r="AI636" i="45"/>
  <c r="CI636" i="45"/>
  <c r="AE636" i="45"/>
  <c r="AK636" i="45"/>
  <c r="CJ636" i="45"/>
  <c r="AF636" i="45"/>
  <c r="AL636" i="45"/>
  <c r="CK636" i="45"/>
  <c r="AG636" i="45"/>
  <c r="AM636" i="45"/>
  <c r="AA637" i="45"/>
  <c r="AH637" i="45"/>
  <c r="CH637" i="45"/>
  <c r="AC637" i="45"/>
  <c r="AI637" i="45"/>
  <c r="CI637" i="45"/>
  <c r="AE637" i="45"/>
  <c r="AK637" i="45"/>
  <c r="CJ637" i="45"/>
  <c r="AF637" i="45"/>
  <c r="AL637" i="45"/>
  <c r="CK637" i="45"/>
  <c r="AG637" i="45"/>
  <c r="AM637" i="45"/>
  <c r="AA638" i="45"/>
  <c r="AH638" i="45"/>
  <c r="CH638" i="45"/>
  <c r="AC638" i="45"/>
  <c r="AI638" i="45"/>
  <c r="CI638" i="45"/>
  <c r="AE638" i="45"/>
  <c r="AK638" i="45"/>
  <c r="CJ638" i="45"/>
  <c r="AF638" i="45"/>
  <c r="AL638" i="45"/>
  <c r="CK638" i="45"/>
  <c r="AG638" i="45"/>
  <c r="AM638" i="45"/>
  <c r="AA639" i="45"/>
  <c r="AH639" i="45"/>
  <c r="CH639" i="45"/>
  <c r="AC639" i="45"/>
  <c r="AI639" i="45"/>
  <c r="CI639" i="45"/>
  <c r="AE639" i="45"/>
  <c r="AK639" i="45"/>
  <c r="CJ639" i="45"/>
  <c r="AF639" i="45"/>
  <c r="AL639" i="45"/>
  <c r="CK639" i="45"/>
  <c r="AG639" i="45"/>
  <c r="AM639" i="45"/>
  <c r="J640" i="45"/>
  <c r="J632" i="45"/>
  <c r="J631" i="45"/>
  <c r="AA640" i="45"/>
  <c r="AH640" i="45"/>
  <c r="CH640" i="45"/>
  <c r="AC640" i="45"/>
  <c r="CI640" i="45"/>
  <c r="AE640" i="45"/>
  <c r="AK640" i="45"/>
  <c r="CJ640" i="45"/>
  <c r="AF640" i="45"/>
  <c r="CK640" i="45"/>
  <c r="AG640" i="45"/>
  <c r="AM640" i="45"/>
  <c r="AA641" i="45"/>
  <c r="AH641" i="45"/>
  <c r="CH641" i="45"/>
  <c r="AC641" i="45"/>
  <c r="AI641" i="45"/>
  <c r="CI641" i="45"/>
  <c r="AE641" i="45"/>
  <c r="CJ641" i="45"/>
  <c r="AF641" i="45"/>
  <c r="AL641" i="45"/>
  <c r="CK641" i="45"/>
  <c r="AG641" i="45"/>
  <c r="AM641" i="45"/>
  <c r="AA642" i="45"/>
  <c r="AH642" i="45"/>
  <c r="BE642" i="45"/>
  <c r="BE645" i="45"/>
  <c r="BE632" i="45"/>
  <c r="BE631" i="45"/>
  <c r="CH642" i="45"/>
  <c r="CI642" i="45"/>
  <c r="AE642" i="45"/>
  <c r="AK642" i="45"/>
  <c r="CJ642" i="45"/>
  <c r="AF642" i="45"/>
  <c r="AL642" i="45"/>
  <c r="CK642" i="45"/>
  <c r="AG642" i="45"/>
  <c r="AM642" i="45"/>
  <c r="AA643" i="45"/>
  <c r="AH643" i="45"/>
  <c r="CH643" i="45"/>
  <c r="AC643" i="45"/>
  <c r="AI643" i="45"/>
  <c r="CI643" i="45"/>
  <c r="AE643" i="45"/>
  <c r="AK643" i="45"/>
  <c r="CJ643" i="45"/>
  <c r="AF643" i="45"/>
  <c r="AL643" i="45"/>
  <c r="CK643" i="45"/>
  <c r="AG643" i="45"/>
  <c r="AM643" i="45"/>
  <c r="AA644" i="45"/>
  <c r="AH644" i="45"/>
  <c r="CH644" i="45"/>
  <c r="AC644" i="45"/>
  <c r="AI644" i="45"/>
  <c r="CI644" i="45"/>
  <c r="AE644" i="45"/>
  <c r="AK644" i="45"/>
  <c r="CJ644" i="45"/>
  <c r="AF644" i="45"/>
  <c r="AL644" i="45"/>
  <c r="CK644" i="45"/>
  <c r="AG644" i="45"/>
  <c r="AM644" i="45"/>
  <c r="AA645" i="45"/>
  <c r="AH645" i="45"/>
  <c r="AO645" i="45"/>
  <c r="AO632" i="45"/>
  <c r="AO631" i="45"/>
  <c r="CH645" i="45"/>
  <c r="CI645" i="45"/>
  <c r="AE645" i="45"/>
  <c r="AK645" i="45"/>
  <c r="CJ645" i="45"/>
  <c r="AF645" i="45"/>
  <c r="AL645" i="45"/>
  <c r="CK645" i="45"/>
  <c r="AG645" i="45"/>
  <c r="AM645" i="45"/>
  <c r="H646" i="45"/>
  <c r="AA646" i="45"/>
  <c r="AH646" i="45"/>
  <c r="AL646" i="45"/>
  <c r="CH646" i="45"/>
  <c r="CI646" i="45"/>
  <c r="CJ646" i="45"/>
  <c r="CK646" i="45"/>
  <c r="AA647" i="45"/>
  <c r="AH647" i="45"/>
  <c r="J648" i="45"/>
  <c r="K648" i="45"/>
  <c r="K647" i="45"/>
  <c r="AA648" i="45"/>
  <c r="AH648" i="45"/>
  <c r="AO648" i="45"/>
  <c r="AO647" i="45"/>
  <c r="AP648" i="45"/>
  <c r="AP647" i="45"/>
  <c r="AQ648" i="45"/>
  <c r="AQ647" i="45"/>
  <c r="AR648" i="45"/>
  <c r="AR647" i="45"/>
  <c r="AS648" i="45"/>
  <c r="AS647" i="45"/>
  <c r="AT648" i="45"/>
  <c r="AT647" i="45"/>
  <c r="AU648" i="45"/>
  <c r="AU647" i="45"/>
  <c r="AV648" i="45"/>
  <c r="AV647" i="45"/>
  <c r="AW648" i="45"/>
  <c r="AW647" i="45"/>
  <c r="AX648" i="45"/>
  <c r="AX647" i="45"/>
  <c r="AY648" i="45"/>
  <c r="AY647" i="45"/>
  <c r="AZ648" i="45"/>
  <c r="AZ647" i="45"/>
  <c r="BA648" i="45"/>
  <c r="BA647" i="45"/>
  <c r="BB648" i="45"/>
  <c r="BB647" i="45"/>
  <c r="BC648" i="45"/>
  <c r="BC647" i="45"/>
  <c r="BD648" i="45"/>
  <c r="BD647" i="45"/>
  <c r="BF648" i="45"/>
  <c r="BF647" i="45"/>
  <c r="BG648" i="45"/>
  <c r="BG647" i="45"/>
  <c r="BH648" i="45"/>
  <c r="BH647" i="45"/>
  <c r="BJ648" i="45"/>
  <c r="BJ647" i="45"/>
  <c r="BK648" i="45"/>
  <c r="BK647" i="45"/>
  <c r="BL648" i="45"/>
  <c r="BL647" i="45"/>
  <c r="BM649" i="45"/>
  <c r="BM651" i="45"/>
  <c r="BM648" i="45"/>
  <c r="BM647" i="45"/>
  <c r="BN648" i="45"/>
  <c r="BN647" i="45"/>
  <c r="BO648" i="45"/>
  <c r="BO647" i="45"/>
  <c r="BP648" i="45"/>
  <c r="BP647" i="45"/>
  <c r="BQ648" i="45"/>
  <c r="BQ647" i="45"/>
  <c r="BR648" i="45"/>
  <c r="BR647" i="45"/>
  <c r="BS648" i="45"/>
  <c r="BS647" i="45"/>
  <c r="BT648" i="45"/>
  <c r="BT647" i="45"/>
  <c r="BU648" i="45"/>
  <c r="BU647" i="45"/>
  <c r="BV648" i="45"/>
  <c r="BV647" i="45"/>
  <c r="BW648" i="45"/>
  <c r="BW647" i="45"/>
  <c r="BX648" i="45"/>
  <c r="BX647" i="45"/>
  <c r="BZ648" i="45"/>
  <c r="BZ647" i="45"/>
  <c r="CA648" i="45"/>
  <c r="CA647" i="45"/>
  <c r="CB648" i="45"/>
  <c r="CB647" i="45"/>
  <c r="CD648" i="45"/>
  <c r="CD647" i="45"/>
  <c r="CE648" i="45"/>
  <c r="CE647" i="45"/>
  <c r="CF648" i="45"/>
  <c r="CF647" i="45"/>
  <c r="CP648" i="45"/>
  <c r="CP647" i="45"/>
  <c r="CH647" i="45"/>
  <c r="CQ648" i="45"/>
  <c r="CQ647" i="45"/>
  <c r="CI647" i="45"/>
  <c r="CR648" i="45"/>
  <c r="CJ648" i="45"/>
  <c r="CS648" i="45"/>
  <c r="CS647" i="45"/>
  <c r="CK647" i="45"/>
  <c r="W649" i="45"/>
  <c r="X649" i="45"/>
  <c r="CK649" i="45"/>
  <c r="AG649" i="45"/>
  <c r="AM649" i="45"/>
  <c r="AH649" i="45"/>
  <c r="BI649" i="45"/>
  <c r="BY649" i="45"/>
  <c r="BY648" i="45"/>
  <c r="BY647" i="45"/>
  <c r="CC649" i="45"/>
  <c r="Y649" i="45"/>
  <c r="CH649" i="45"/>
  <c r="CI649" i="45"/>
  <c r="AE649" i="45"/>
  <c r="AK649" i="45"/>
  <c r="CJ649" i="45"/>
  <c r="AF649" i="45"/>
  <c r="AL649" i="45"/>
  <c r="Y650" i="45"/>
  <c r="AH650" i="45"/>
  <c r="CH650" i="45"/>
  <c r="AC650" i="45"/>
  <c r="AI650" i="45"/>
  <c r="Z650" i="45"/>
  <c r="AA650" i="45"/>
  <c r="CI650" i="45"/>
  <c r="AE650" i="45"/>
  <c r="CJ650" i="45"/>
  <c r="AF650" i="45"/>
  <c r="AL650" i="45"/>
  <c r="CK650" i="45"/>
  <c r="AG650" i="45"/>
  <c r="AM650" i="45"/>
  <c r="W651" i="45"/>
  <c r="X651" i="45"/>
  <c r="Y651" i="45"/>
  <c r="AH651" i="45"/>
  <c r="CH651" i="45"/>
  <c r="CI651" i="45"/>
  <c r="AE651" i="45"/>
  <c r="AK651" i="45"/>
  <c r="CJ651" i="45"/>
  <c r="AF651" i="45"/>
  <c r="AL651" i="45"/>
  <c r="CK651" i="45"/>
  <c r="AG651" i="45"/>
  <c r="AM651" i="45"/>
  <c r="CZ651" i="45"/>
  <c r="AA652" i="45"/>
  <c r="CH652" i="45"/>
  <c r="AC652" i="45"/>
  <c r="AH652" i="45"/>
  <c r="AI652" i="45"/>
  <c r="CI652" i="45"/>
  <c r="AE652" i="45"/>
  <c r="CJ652" i="45"/>
  <c r="AF652" i="45"/>
  <c r="AL652" i="45"/>
  <c r="CK652" i="45"/>
  <c r="AG652" i="45"/>
  <c r="AM652" i="45"/>
  <c r="AA653" i="45"/>
  <c r="CH653" i="45"/>
  <c r="AC653" i="45"/>
  <c r="AH653" i="45"/>
  <c r="AI653" i="45"/>
  <c r="CI653" i="45"/>
  <c r="AE653" i="45"/>
  <c r="CJ653" i="45"/>
  <c r="AF653" i="45"/>
  <c r="AL653" i="45"/>
  <c r="CK653" i="45"/>
  <c r="AG653" i="45"/>
  <c r="AM653" i="45"/>
  <c r="AA654" i="45"/>
  <c r="CH654" i="45"/>
  <c r="AC654" i="45"/>
  <c r="AH654" i="45"/>
  <c r="AI654" i="45"/>
  <c r="CI654" i="45"/>
  <c r="AE654" i="45"/>
  <c r="CJ654" i="45"/>
  <c r="AF654" i="45"/>
  <c r="AL654" i="45"/>
  <c r="CK654" i="45"/>
  <c r="AG654" i="45"/>
  <c r="AM654" i="45"/>
  <c r="AA655" i="45"/>
  <c r="CH655" i="45"/>
  <c r="AC655" i="45"/>
  <c r="AH655" i="45"/>
  <c r="AI655" i="45"/>
  <c r="CI655" i="45"/>
  <c r="AE655" i="45"/>
  <c r="CJ655" i="45"/>
  <c r="AF655" i="45"/>
  <c r="AL655" i="45"/>
  <c r="CK655" i="45"/>
  <c r="AG655" i="45"/>
  <c r="AM655" i="45"/>
  <c r="AA656" i="45"/>
  <c r="CH656" i="45"/>
  <c r="AC656" i="45"/>
  <c r="AH656" i="45"/>
  <c r="AI656" i="45"/>
  <c r="CI656" i="45"/>
  <c r="AE656" i="45"/>
  <c r="CJ656" i="45"/>
  <c r="AF656" i="45"/>
  <c r="AL656" i="45"/>
  <c r="CK656" i="45"/>
  <c r="AG656" i="45"/>
  <c r="AM656" i="45"/>
  <c r="I648" i="45"/>
  <c r="I647" i="45"/>
  <c r="AA657" i="45"/>
  <c r="CH657" i="45"/>
  <c r="AC657" i="45"/>
  <c r="AH657" i="45"/>
  <c r="AI657" i="45"/>
  <c r="CI657" i="45"/>
  <c r="AE657" i="45"/>
  <c r="CJ657" i="45"/>
  <c r="AF657" i="45"/>
  <c r="AL657" i="45"/>
  <c r="CK657" i="45"/>
  <c r="AG657" i="45"/>
  <c r="AM657" i="45"/>
  <c r="AA658" i="45"/>
  <c r="AH658" i="45"/>
  <c r="CH658" i="45"/>
  <c r="AC658" i="45"/>
  <c r="AI658" i="45"/>
  <c r="CI658" i="45"/>
  <c r="AE658" i="45"/>
  <c r="AK658" i="45"/>
  <c r="CJ658" i="45"/>
  <c r="AF658" i="45"/>
  <c r="AL658" i="45"/>
  <c r="CK658" i="45"/>
  <c r="AG658" i="45"/>
  <c r="AM658" i="45"/>
  <c r="AJ658" i="45"/>
  <c r="AA659" i="45"/>
  <c r="AH659" i="45"/>
  <c r="CH659" i="45"/>
  <c r="AC659" i="45"/>
  <c r="AI659" i="45"/>
  <c r="CI659" i="45"/>
  <c r="AE659" i="45"/>
  <c r="AK659" i="45"/>
  <c r="CJ659" i="45"/>
  <c r="AF659" i="45"/>
  <c r="AL659" i="45"/>
  <c r="CK659" i="45"/>
  <c r="AG659" i="45"/>
  <c r="AM659" i="45"/>
  <c r="AJ659" i="45"/>
  <c r="AA660" i="45"/>
  <c r="CI660" i="45"/>
  <c r="AE660" i="45"/>
  <c r="AK660" i="45"/>
  <c r="AH660" i="45"/>
  <c r="BE660" i="45"/>
  <c r="BE531" i="45"/>
  <c r="CH660" i="45"/>
  <c r="AC660" i="45"/>
  <c r="AI660" i="45"/>
  <c r="CJ660" i="45"/>
  <c r="AF660" i="45"/>
  <c r="AL660" i="45"/>
  <c r="CK660" i="45"/>
  <c r="AG660" i="45"/>
  <c r="AM660" i="45"/>
  <c r="AA661" i="45"/>
  <c r="CI661" i="45"/>
  <c r="AE661" i="45"/>
  <c r="AK661" i="45"/>
  <c r="AH661" i="45"/>
  <c r="BE661" i="45"/>
  <c r="CH661" i="45"/>
  <c r="AC661" i="45"/>
  <c r="AI661" i="45"/>
  <c r="CJ661" i="45"/>
  <c r="AF661" i="45"/>
  <c r="AL661" i="45"/>
  <c r="CK661" i="45"/>
  <c r="AG661" i="45"/>
  <c r="AM661" i="45"/>
  <c r="H662" i="45"/>
  <c r="AA662" i="45"/>
  <c r="AH662" i="45"/>
  <c r="AL662" i="45"/>
  <c r="CH662" i="45"/>
  <c r="CI662" i="45"/>
  <c r="CJ662" i="45"/>
  <c r="CK662" i="45"/>
  <c r="AA663" i="45"/>
  <c r="AH663" i="45"/>
  <c r="J664" i="45"/>
  <c r="J663" i="45"/>
  <c r="K664" i="45"/>
  <c r="K663" i="45"/>
  <c r="AA664" i="45"/>
  <c r="AH664" i="45"/>
  <c r="AO664" i="45"/>
  <c r="AO663" i="45"/>
  <c r="AP664" i="45"/>
  <c r="AP663" i="45"/>
  <c r="AQ664" i="45"/>
  <c r="AQ663" i="45"/>
  <c r="AR664" i="45"/>
  <c r="AR663" i="45"/>
  <c r="AS664" i="45"/>
  <c r="AS663" i="45"/>
  <c r="AT664" i="45"/>
  <c r="AT663" i="45"/>
  <c r="AU664" i="45"/>
  <c r="AU663" i="45"/>
  <c r="AV664" i="45"/>
  <c r="AV663" i="45"/>
  <c r="AW664" i="45"/>
  <c r="AW663" i="45"/>
  <c r="AX664" i="45"/>
  <c r="AX663" i="45"/>
  <c r="AY664" i="45"/>
  <c r="AY663" i="45"/>
  <c r="AZ664" i="45"/>
  <c r="AZ663" i="45"/>
  <c r="BA664" i="45"/>
  <c r="BA663" i="45"/>
  <c r="BB664" i="45"/>
  <c r="BB663" i="45"/>
  <c r="BC664" i="45"/>
  <c r="BC663" i="45"/>
  <c r="BD664" i="45"/>
  <c r="BD663" i="45"/>
  <c r="BE664" i="45"/>
  <c r="BE663" i="45"/>
  <c r="BF664" i="45"/>
  <c r="BF663" i="45"/>
  <c r="BG664" i="45"/>
  <c r="BG663" i="45"/>
  <c r="BH664" i="45"/>
  <c r="BH663" i="45"/>
  <c r="BJ664" i="45"/>
  <c r="BJ663" i="45"/>
  <c r="BK664" i="45"/>
  <c r="BK663" i="45"/>
  <c r="BL664" i="45"/>
  <c r="BL663" i="45"/>
  <c r="BN664" i="45"/>
  <c r="BN663" i="45"/>
  <c r="BO664" i="45"/>
  <c r="BO663" i="45"/>
  <c r="BP664" i="45"/>
  <c r="BP663" i="45"/>
  <c r="BR664" i="45"/>
  <c r="BR663" i="45"/>
  <c r="BS664" i="45"/>
  <c r="BS663" i="45"/>
  <c r="BT664" i="45"/>
  <c r="BT663" i="45"/>
  <c r="BU664" i="45"/>
  <c r="BU663" i="45"/>
  <c r="BV664" i="45"/>
  <c r="BV663" i="45"/>
  <c r="BW664" i="45"/>
  <c r="BW663" i="45"/>
  <c r="BX664" i="45"/>
  <c r="BX663" i="45"/>
  <c r="BY664" i="45"/>
  <c r="BY663" i="45"/>
  <c r="BZ664" i="45"/>
  <c r="BZ663" i="45"/>
  <c r="CA664" i="45"/>
  <c r="CA663" i="45"/>
  <c r="CB664" i="45"/>
  <c r="CB663" i="45"/>
  <c r="CD664" i="45"/>
  <c r="CD663" i="45"/>
  <c r="CE664" i="45"/>
  <c r="CE663" i="45"/>
  <c r="CF664" i="45"/>
  <c r="CF663" i="45"/>
  <c r="CR664" i="45"/>
  <c r="CJ664" i="45"/>
  <c r="CP664" i="45"/>
  <c r="CH664" i="45"/>
  <c r="CQ664" i="45"/>
  <c r="CQ663" i="45"/>
  <c r="CI663" i="45"/>
  <c r="CR663" i="45"/>
  <c r="CJ663" i="45"/>
  <c r="CS664" i="45"/>
  <c r="CS663" i="45"/>
  <c r="CK663" i="45"/>
  <c r="AH665" i="45"/>
  <c r="BI665" i="45"/>
  <c r="BI664" i="45"/>
  <c r="BI663" i="45"/>
  <c r="BM665" i="45"/>
  <c r="BM667" i="45"/>
  <c r="BM664" i="45"/>
  <c r="BM663" i="45"/>
  <c r="BQ665" i="45"/>
  <c r="CC665" i="45"/>
  <c r="Y665" i="45"/>
  <c r="CH665" i="45"/>
  <c r="CI665" i="45"/>
  <c r="AE665" i="45"/>
  <c r="AK665" i="45"/>
  <c r="CJ665" i="45"/>
  <c r="AF665" i="45"/>
  <c r="AL665" i="45"/>
  <c r="CK665" i="45"/>
  <c r="AG665" i="45"/>
  <c r="AM665" i="45"/>
  <c r="CZ665" i="45"/>
  <c r="Y666" i="45"/>
  <c r="AA666" i="45"/>
  <c r="CH666" i="45"/>
  <c r="AC666" i="45"/>
  <c r="AI666" i="45"/>
  <c r="AH666" i="45"/>
  <c r="CI666" i="45"/>
  <c r="AE666" i="45"/>
  <c r="AK666" i="45"/>
  <c r="CJ666" i="45"/>
  <c r="AF666" i="45"/>
  <c r="AL666" i="45"/>
  <c r="CK666" i="45"/>
  <c r="AG666" i="45"/>
  <c r="AM666" i="45"/>
  <c r="Y667" i="45"/>
  <c r="CJ667" i="45"/>
  <c r="AF667" i="45"/>
  <c r="AH667" i="45"/>
  <c r="AL667" i="45"/>
  <c r="BQ667" i="45"/>
  <c r="CH667" i="45"/>
  <c r="CI667" i="45"/>
  <c r="AE667" i="45"/>
  <c r="AK667" i="45"/>
  <c r="CK667" i="45"/>
  <c r="AG667" i="45"/>
  <c r="AM667" i="45"/>
  <c r="CZ667" i="45"/>
  <c r="AA668" i="45"/>
  <c r="AH668" i="45"/>
  <c r="CH668" i="45"/>
  <c r="AC668" i="45"/>
  <c r="AI668" i="45"/>
  <c r="CI668" i="45"/>
  <c r="AE668" i="45"/>
  <c r="AK668" i="45"/>
  <c r="CJ668" i="45"/>
  <c r="AF668" i="45"/>
  <c r="AL668" i="45"/>
  <c r="CK668" i="45"/>
  <c r="AG668" i="45"/>
  <c r="AM668" i="45"/>
  <c r="AJ668" i="45"/>
  <c r="AA669" i="45"/>
  <c r="AH669" i="45"/>
  <c r="CH669" i="45"/>
  <c r="AC669" i="45"/>
  <c r="AI669" i="45"/>
  <c r="CI669" i="45"/>
  <c r="AE669" i="45"/>
  <c r="AK669" i="45"/>
  <c r="CJ669" i="45"/>
  <c r="AF669" i="45"/>
  <c r="AL669" i="45"/>
  <c r="CK669" i="45"/>
  <c r="AG669" i="45"/>
  <c r="AM669" i="45"/>
  <c r="AJ669" i="45"/>
  <c r="AA670" i="45"/>
  <c r="AH670" i="45"/>
  <c r="CH670" i="45"/>
  <c r="AC670" i="45"/>
  <c r="AI670" i="45"/>
  <c r="CI670" i="45"/>
  <c r="AE670" i="45"/>
  <c r="AK670" i="45"/>
  <c r="CJ670" i="45"/>
  <c r="AF670" i="45"/>
  <c r="AL670" i="45"/>
  <c r="CK670" i="45"/>
  <c r="AG670" i="45"/>
  <c r="AM670" i="45"/>
  <c r="AJ670" i="45"/>
  <c r="AA671" i="45"/>
  <c r="AH671" i="45"/>
  <c r="CH671" i="45"/>
  <c r="AC671" i="45"/>
  <c r="AI671" i="45"/>
  <c r="CI671" i="45"/>
  <c r="AE671" i="45"/>
  <c r="AK671" i="45"/>
  <c r="CJ671" i="45"/>
  <c r="AF671" i="45"/>
  <c r="AL671" i="45"/>
  <c r="CK671" i="45"/>
  <c r="AG671" i="45"/>
  <c r="AM671" i="45"/>
  <c r="AJ671" i="45"/>
  <c r="AA672" i="45"/>
  <c r="CH672" i="45"/>
  <c r="AC672" i="45"/>
  <c r="AH672" i="45"/>
  <c r="AI672" i="45"/>
  <c r="CI672" i="45"/>
  <c r="AE672" i="45"/>
  <c r="CJ672" i="45"/>
  <c r="AF672" i="45"/>
  <c r="AL672" i="45"/>
  <c r="CK672" i="45"/>
  <c r="AG672" i="45"/>
  <c r="AM672" i="45"/>
  <c r="AA673" i="45"/>
  <c r="AH673" i="45"/>
  <c r="CH673" i="45"/>
  <c r="AC673" i="45"/>
  <c r="AI673" i="45"/>
  <c r="CI673" i="45"/>
  <c r="AE673" i="45"/>
  <c r="AK673" i="45"/>
  <c r="CJ673" i="45"/>
  <c r="AF673" i="45"/>
  <c r="AL673" i="45"/>
  <c r="CK673" i="45"/>
  <c r="AG673" i="45"/>
  <c r="AM673" i="45"/>
  <c r="AJ673" i="45"/>
  <c r="AA674" i="45"/>
  <c r="AH674" i="45"/>
  <c r="CH674" i="45"/>
  <c r="AC674" i="45"/>
  <c r="AI674" i="45"/>
  <c r="CI674" i="45"/>
  <c r="AE674" i="45"/>
  <c r="AK674" i="45"/>
  <c r="CJ674" i="45"/>
  <c r="AF674" i="45"/>
  <c r="AL674" i="45"/>
  <c r="CK674" i="45"/>
  <c r="AG674" i="45"/>
  <c r="AM674" i="45"/>
  <c r="AJ674" i="45"/>
  <c r="AA675" i="45"/>
  <c r="AH675" i="45"/>
  <c r="CH675" i="45"/>
  <c r="AC675" i="45"/>
  <c r="AI675" i="45"/>
  <c r="CI675" i="45"/>
  <c r="AE675" i="45"/>
  <c r="AK675" i="45"/>
  <c r="CJ675" i="45"/>
  <c r="AF675" i="45"/>
  <c r="AL675" i="45"/>
  <c r="CK675" i="45"/>
  <c r="AG675" i="45"/>
  <c r="AM675" i="45"/>
  <c r="AJ675" i="45"/>
  <c r="I664" i="45"/>
  <c r="I663" i="45"/>
  <c r="AA676" i="45"/>
  <c r="AH676" i="45"/>
  <c r="CH676" i="45"/>
  <c r="AC676" i="45"/>
  <c r="CI676" i="45"/>
  <c r="AE676" i="45"/>
  <c r="AK676" i="45"/>
  <c r="CJ676" i="45"/>
  <c r="AF676" i="45"/>
  <c r="AL676" i="45"/>
  <c r="CK676" i="45"/>
  <c r="AG676" i="45"/>
  <c r="AM676" i="45"/>
  <c r="AJ676" i="45"/>
  <c r="AA677" i="45"/>
  <c r="AH677" i="45"/>
  <c r="CH677" i="45"/>
  <c r="AC677" i="45"/>
  <c r="AI677" i="45"/>
  <c r="CI677" i="45"/>
  <c r="AE677" i="45"/>
  <c r="AK677" i="45"/>
  <c r="CJ677" i="45"/>
  <c r="AF677" i="45"/>
  <c r="AL677" i="45"/>
  <c r="CK677" i="45"/>
  <c r="AG677" i="45"/>
  <c r="AM677" i="45"/>
  <c r="AJ677" i="45"/>
  <c r="H678" i="45"/>
  <c r="AA678" i="45"/>
  <c r="AH678" i="45"/>
  <c r="AL678" i="45"/>
  <c r="CH678" i="45"/>
  <c r="CI678" i="45"/>
  <c r="CJ678" i="45"/>
  <c r="CK678" i="45"/>
  <c r="AA679" i="45"/>
  <c r="AH679" i="45"/>
  <c r="J680" i="45"/>
  <c r="J679" i="45"/>
  <c r="AA680" i="45"/>
  <c r="AH680" i="45"/>
  <c r="AO680" i="45"/>
  <c r="AO679" i="45"/>
  <c r="AP680" i="45"/>
  <c r="AP679" i="45"/>
  <c r="AQ680" i="45"/>
  <c r="AQ679" i="45"/>
  <c r="AR680" i="45"/>
  <c r="AR679" i="45"/>
  <c r="AS680" i="45"/>
  <c r="AS679" i="45"/>
  <c r="AT680" i="45"/>
  <c r="AT679" i="45"/>
  <c r="AU680" i="45"/>
  <c r="AU679" i="45"/>
  <c r="AV680" i="45"/>
  <c r="AV679" i="45"/>
  <c r="AW680" i="45"/>
  <c r="AW679" i="45"/>
  <c r="AX680" i="45"/>
  <c r="AX679" i="45"/>
  <c r="AY680" i="45"/>
  <c r="AY679" i="45"/>
  <c r="AZ680" i="45"/>
  <c r="AZ679" i="45"/>
  <c r="BA680" i="45"/>
  <c r="BA679" i="45"/>
  <c r="BB680" i="45"/>
  <c r="BB679" i="45"/>
  <c r="BC680" i="45"/>
  <c r="BC679" i="45"/>
  <c r="BD680" i="45"/>
  <c r="BD679" i="45"/>
  <c r="BE680" i="45"/>
  <c r="BE679" i="45"/>
  <c r="BF680" i="45"/>
  <c r="BF679" i="45"/>
  <c r="BG680" i="45"/>
  <c r="BG679" i="45"/>
  <c r="BH680" i="45"/>
  <c r="BH679" i="45"/>
  <c r="BJ680" i="45"/>
  <c r="BJ679" i="45"/>
  <c r="BK680" i="45"/>
  <c r="BK679" i="45"/>
  <c r="BL680" i="45"/>
  <c r="BL679" i="45"/>
  <c r="BM680" i="45"/>
  <c r="BM679" i="45"/>
  <c r="BN680" i="45"/>
  <c r="BN679" i="45"/>
  <c r="BO680" i="45"/>
  <c r="BO679" i="45"/>
  <c r="BP680" i="45"/>
  <c r="BP679" i="45"/>
  <c r="BR680" i="45"/>
  <c r="BR679" i="45"/>
  <c r="BS680" i="45"/>
  <c r="BS679" i="45"/>
  <c r="BT680" i="45"/>
  <c r="BT679" i="45"/>
  <c r="BU680" i="45"/>
  <c r="BU679" i="45"/>
  <c r="BV680" i="45"/>
  <c r="BV679" i="45"/>
  <c r="BW680" i="45"/>
  <c r="BW679" i="45"/>
  <c r="BX680" i="45"/>
  <c r="BX679" i="45"/>
  <c r="BZ680" i="45"/>
  <c r="BZ679" i="45"/>
  <c r="CA680" i="45"/>
  <c r="CA679" i="45"/>
  <c r="CB680" i="45"/>
  <c r="CB679" i="45"/>
  <c r="CD680" i="45"/>
  <c r="CD679" i="45"/>
  <c r="CE680" i="45"/>
  <c r="CE679" i="45"/>
  <c r="CF680" i="45"/>
  <c r="CF679" i="45"/>
  <c r="CP680" i="45"/>
  <c r="CP679" i="45"/>
  <c r="CH679" i="45"/>
  <c r="CQ680" i="45"/>
  <c r="CQ679" i="45"/>
  <c r="CI679" i="45"/>
  <c r="CR680" i="45"/>
  <c r="CR679" i="45"/>
  <c r="CJ679" i="45"/>
  <c r="CS680" i="45"/>
  <c r="CS679" i="45"/>
  <c r="CK679" i="45"/>
  <c r="W681" i="45"/>
  <c r="X681" i="45"/>
  <c r="AH681" i="45"/>
  <c r="BI681" i="45"/>
  <c r="BY681" i="45"/>
  <c r="BY680" i="45"/>
  <c r="BY679" i="45"/>
  <c r="CC681" i="45"/>
  <c r="CC680" i="45"/>
  <c r="CC679" i="45"/>
  <c r="CH681" i="45"/>
  <c r="CI681" i="45"/>
  <c r="AE681" i="45"/>
  <c r="CJ681" i="45"/>
  <c r="AF681" i="45"/>
  <c r="CK681" i="45"/>
  <c r="AG681" i="45"/>
  <c r="CZ681" i="45"/>
  <c r="Y682" i="45"/>
  <c r="CI682" i="45"/>
  <c r="AE682" i="45"/>
  <c r="AK682" i="45"/>
  <c r="AH682" i="45"/>
  <c r="CH682" i="45"/>
  <c r="AC682" i="45"/>
  <c r="AI682" i="45"/>
  <c r="Z682" i="45"/>
  <c r="AA682" i="45"/>
  <c r="CJ682" i="45"/>
  <c r="AF682" i="45"/>
  <c r="AL682" i="45"/>
  <c r="CK682" i="45"/>
  <c r="AG682" i="45"/>
  <c r="AM682" i="45"/>
  <c r="W683" i="45"/>
  <c r="X683" i="45"/>
  <c r="Y683" i="45"/>
  <c r="AH683" i="45"/>
  <c r="BI683" i="45"/>
  <c r="CH683" i="45"/>
  <c r="AC683" i="45"/>
  <c r="CI683" i="45"/>
  <c r="AE683" i="45"/>
  <c r="CJ683" i="45"/>
  <c r="AF683" i="45"/>
  <c r="AL683" i="45"/>
  <c r="CK683" i="45"/>
  <c r="AG683" i="45"/>
  <c r="AM683" i="45"/>
  <c r="CZ683" i="45"/>
  <c r="AA684" i="45"/>
  <c r="AH684" i="45"/>
  <c r="CH684" i="45"/>
  <c r="AC684" i="45"/>
  <c r="AI684" i="45"/>
  <c r="CI684" i="45"/>
  <c r="AE684" i="45"/>
  <c r="AK684" i="45"/>
  <c r="CJ684" i="45"/>
  <c r="AF684" i="45"/>
  <c r="AL684" i="45"/>
  <c r="CK684" i="45"/>
  <c r="AG684" i="45"/>
  <c r="AM684" i="45"/>
  <c r="AA685" i="45"/>
  <c r="AH685" i="45"/>
  <c r="CH685" i="45"/>
  <c r="AC685" i="45"/>
  <c r="AI685" i="45"/>
  <c r="CI685" i="45"/>
  <c r="AE685" i="45"/>
  <c r="AK685" i="45"/>
  <c r="CJ685" i="45"/>
  <c r="AF685" i="45"/>
  <c r="AL685" i="45"/>
  <c r="CK685" i="45"/>
  <c r="AG685" i="45"/>
  <c r="AM685" i="45"/>
  <c r="AA686" i="45"/>
  <c r="AH686" i="45"/>
  <c r="CH686" i="45"/>
  <c r="AC686" i="45"/>
  <c r="AI686" i="45"/>
  <c r="CI686" i="45"/>
  <c r="AE686" i="45"/>
  <c r="AK686" i="45"/>
  <c r="CJ686" i="45"/>
  <c r="AF686" i="45"/>
  <c r="AL686" i="45"/>
  <c r="CK686" i="45"/>
  <c r="AG686" i="45"/>
  <c r="AM686" i="45"/>
  <c r="AA687" i="45"/>
  <c r="AH687" i="45"/>
  <c r="CH687" i="45"/>
  <c r="AC687" i="45"/>
  <c r="AI687" i="45"/>
  <c r="CI687" i="45"/>
  <c r="AE687" i="45"/>
  <c r="AK687" i="45"/>
  <c r="CJ687" i="45"/>
  <c r="AF687" i="45"/>
  <c r="AL687" i="45"/>
  <c r="CK687" i="45"/>
  <c r="AG687" i="45"/>
  <c r="AM687" i="45"/>
  <c r="AA688" i="45"/>
  <c r="AH688" i="45"/>
  <c r="CH688" i="45"/>
  <c r="AC688" i="45"/>
  <c r="AI688" i="45"/>
  <c r="CI688" i="45"/>
  <c r="AE688" i="45"/>
  <c r="CJ688" i="45"/>
  <c r="AF688" i="45"/>
  <c r="AL688" i="45"/>
  <c r="CK688" i="45"/>
  <c r="AG688" i="45"/>
  <c r="AM688" i="45"/>
  <c r="K689" i="45"/>
  <c r="K680" i="45"/>
  <c r="K679" i="45"/>
  <c r="AA689" i="45"/>
  <c r="AH689" i="45"/>
  <c r="BQ689" i="45"/>
  <c r="BQ680" i="45"/>
  <c r="BQ679" i="45"/>
  <c r="CH689" i="45"/>
  <c r="CI689" i="45"/>
  <c r="AE689" i="45"/>
  <c r="AK689" i="45"/>
  <c r="CJ689" i="45"/>
  <c r="AF689" i="45"/>
  <c r="AL689" i="45"/>
  <c r="CK689" i="45"/>
  <c r="AG689" i="45"/>
  <c r="AM689" i="45"/>
  <c r="AA690" i="45"/>
  <c r="AH690" i="45"/>
  <c r="CH690" i="45"/>
  <c r="AC690" i="45"/>
  <c r="AI690" i="45"/>
  <c r="CI690" i="45"/>
  <c r="AE690" i="45"/>
  <c r="AK690" i="45"/>
  <c r="CJ690" i="45"/>
  <c r="AF690" i="45"/>
  <c r="AL690" i="45"/>
  <c r="CK690" i="45"/>
  <c r="AG690" i="45"/>
  <c r="AM690" i="45"/>
  <c r="AA691" i="45"/>
  <c r="AH691" i="45"/>
  <c r="CH691" i="45"/>
  <c r="AC691" i="45"/>
  <c r="AI691" i="45"/>
  <c r="CI691" i="45"/>
  <c r="AE691" i="45"/>
  <c r="AK691" i="45"/>
  <c r="CJ691" i="45"/>
  <c r="AF691" i="45"/>
  <c r="AL691" i="45"/>
  <c r="CK691" i="45"/>
  <c r="AG691" i="45"/>
  <c r="AM691" i="45"/>
  <c r="I680" i="45"/>
  <c r="I679" i="45"/>
  <c r="AA692" i="45"/>
  <c r="AH692" i="45"/>
  <c r="CH692" i="45"/>
  <c r="AC692" i="45"/>
  <c r="AI692" i="45"/>
  <c r="CI692" i="45"/>
  <c r="AE692" i="45"/>
  <c r="CJ692" i="45"/>
  <c r="AF692" i="45"/>
  <c r="AL692" i="45"/>
  <c r="CK692" i="45"/>
  <c r="AG692" i="45"/>
  <c r="AM692" i="45"/>
  <c r="AA693" i="45"/>
  <c r="AH693" i="45"/>
  <c r="CH693" i="45"/>
  <c r="AC693" i="45"/>
  <c r="CI693" i="45"/>
  <c r="AE693" i="45"/>
  <c r="AK693" i="45"/>
  <c r="CJ693" i="45"/>
  <c r="AF693" i="45"/>
  <c r="AL693" i="45"/>
  <c r="CK693" i="45"/>
  <c r="AG693" i="45"/>
  <c r="AM693" i="45"/>
  <c r="H694" i="45"/>
  <c r="AA694" i="45"/>
  <c r="AH694" i="45"/>
  <c r="AL694" i="45"/>
  <c r="CH694" i="45"/>
  <c r="CI694" i="45"/>
  <c r="CJ694" i="45"/>
  <c r="CK694" i="45"/>
  <c r="AA695" i="45"/>
  <c r="AH695" i="45"/>
  <c r="AS696" i="45"/>
  <c r="AS695" i="45"/>
  <c r="BA696" i="45"/>
  <c r="BA695" i="45"/>
  <c r="J696" i="45"/>
  <c r="J695" i="45"/>
  <c r="K696" i="45"/>
  <c r="K695" i="45"/>
  <c r="O696" i="45"/>
  <c r="Q696" i="45"/>
  <c r="R696" i="45"/>
  <c r="S696" i="45"/>
  <c r="AA696" i="45"/>
  <c r="AH696" i="45"/>
  <c r="AO696" i="45"/>
  <c r="AO695" i="45"/>
  <c r="AP696" i="45"/>
  <c r="AP695" i="45"/>
  <c r="AQ696" i="45"/>
  <c r="AQ695" i="45"/>
  <c r="AR696" i="45"/>
  <c r="AR695" i="45"/>
  <c r="AT696" i="45"/>
  <c r="AT695" i="45"/>
  <c r="AU696" i="45"/>
  <c r="AU695" i="45"/>
  <c r="AV696" i="45"/>
  <c r="AV695" i="45"/>
  <c r="AW696" i="45"/>
  <c r="AW695" i="45"/>
  <c r="AX696" i="45"/>
  <c r="AX695" i="45"/>
  <c r="AY696" i="45"/>
  <c r="AY695" i="45"/>
  <c r="AZ696" i="45"/>
  <c r="AZ695" i="45"/>
  <c r="BB696" i="45"/>
  <c r="BB695" i="45"/>
  <c r="BC696" i="45"/>
  <c r="BC695" i="45"/>
  <c r="BD696" i="45"/>
  <c r="BD695" i="45"/>
  <c r="BE696" i="45"/>
  <c r="BE695" i="45"/>
  <c r="BF696" i="45"/>
  <c r="BF695" i="45"/>
  <c r="BG696" i="45"/>
  <c r="BG695" i="45"/>
  <c r="BH696" i="45"/>
  <c r="BH695" i="45"/>
  <c r="BJ696" i="45"/>
  <c r="BJ695" i="45"/>
  <c r="BK696" i="45"/>
  <c r="BK695" i="45"/>
  <c r="BL696" i="45"/>
  <c r="BL695" i="45"/>
  <c r="BM696" i="45"/>
  <c r="BM695" i="45"/>
  <c r="BN696" i="45"/>
  <c r="BN695" i="45"/>
  <c r="BO696" i="45"/>
  <c r="BO695" i="45"/>
  <c r="BP696" i="45"/>
  <c r="BP695" i="45"/>
  <c r="BQ696" i="45"/>
  <c r="BQ695" i="45"/>
  <c r="BR696" i="45"/>
  <c r="BR695" i="45"/>
  <c r="BS696" i="45"/>
  <c r="BS695" i="45"/>
  <c r="BT696" i="45"/>
  <c r="BT695" i="45"/>
  <c r="BV696" i="45"/>
  <c r="BV695" i="45"/>
  <c r="BW696" i="45"/>
  <c r="BW695" i="45"/>
  <c r="BX696" i="45"/>
  <c r="BX695" i="45"/>
  <c r="BZ696" i="45"/>
  <c r="BZ695" i="45"/>
  <c r="CA696" i="45"/>
  <c r="CA695" i="45"/>
  <c r="CB696" i="45"/>
  <c r="CB695" i="45"/>
  <c r="CD696" i="45"/>
  <c r="CD695" i="45"/>
  <c r="CE696" i="45"/>
  <c r="CE695" i="45"/>
  <c r="CF696" i="45"/>
  <c r="CF695" i="45"/>
  <c r="CP696" i="45"/>
  <c r="CH696" i="45"/>
  <c r="CQ696" i="45"/>
  <c r="CQ695" i="45"/>
  <c r="CI695" i="45"/>
  <c r="CR696" i="45"/>
  <c r="CR695" i="45"/>
  <c r="CJ695" i="45"/>
  <c r="CS696" i="45"/>
  <c r="CS695" i="45"/>
  <c r="CK695" i="45"/>
  <c r="W697" i="45"/>
  <c r="X697" i="45"/>
  <c r="AH697" i="45"/>
  <c r="BI697" i="45"/>
  <c r="BU697" i="45"/>
  <c r="BU699" i="45"/>
  <c r="BU696" i="45"/>
  <c r="BU695" i="45"/>
  <c r="BY697" i="45"/>
  <c r="BY696" i="45"/>
  <c r="BY695" i="45"/>
  <c r="CC697" i="45"/>
  <c r="Y697" i="45"/>
  <c r="CH697" i="45"/>
  <c r="CI697" i="45"/>
  <c r="AE697" i="45"/>
  <c r="AK697" i="45"/>
  <c r="CJ697" i="45"/>
  <c r="AF697" i="45"/>
  <c r="AL697" i="45"/>
  <c r="CK697" i="45"/>
  <c r="AG697" i="45"/>
  <c r="AM697" i="45"/>
  <c r="CZ697" i="45"/>
  <c r="DD697" i="45"/>
  <c r="Y698" i="45"/>
  <c r="AH698" i="45"/>
  <c r="CH698" i="45"/>
  <c r="AC698" i="45"/>
  <c r="AI698" i="45"/>
  <c r="Z698" i="45"/>
  <c r="AA698" i="45"/>
  <c r="CI698" i="45"/>
  <c r="AE698" i="45"/>
  <c r="AK698" i="45"/>
  <c r="CJ698" i="45"/>
  <c r="AF698" i="45"/>
  <c r="AL698" i="45"/>
  <c r="CK698" i="45"/>
  <c r="AG698" i="45"/>
  <c r="AM698" i="45"/>
  <c r="AJ698" i="45"/>
  <c r="W699" i="45"/>
  <c r="X699" i="45"/>
  <c r="Y699" i="45"/>
  <c r="CI699" i="45"/>
  <c r="AE699" i="45"/>
  <c r="AH699" i="45"/>
  <c r="AK699" i="45"/>
  <c r="BI699" i="45"/>
  <c r="CH699" i="45"/>
  <c r="AC699" i="45"/>
  <c r="CX699" i="45"/>
  <c r="CJ699" i="45"/>
  <c r="AF699" i="45"/>
  <c r="AL699" i="45"/>
  <c r="CK699" i="45"/>
  <c r="AG699" i="45"/>
  <c r="AM699" i="45"/>
  <c r="CZ699" i="45"/>
  <c r="DD699" i="45"/>
  <c r="AA700" i="45"/>
  <c r="AH700" i="45"/>
  <c r="CH700" i="45"/>
  <c r="AC700" i="45"/>
  <c r="AI700" i="45"/>
  <c r="CI700" i="45"/>
  <c r="AE700" i="45"/>
  <c r="AK700" i="45"/>
  <c r="CJ700" i="45"/>
  <c r="AF700" i="45"/>
  <c r="AL700" i="45"/>
  <c r="CK700" i="45"/>
  <c r="AG700" i="45"/>
  <c r="AM700" i="45"/>
  <c r="AA701" i="45"/>
  <c r="AH701" i="45"/>
  <c r="CH701" i="45"/>
  <c r="AC701" i="45"/>
  <c r="AI701" i="45"/>
  <c r="CI701" i="45"/>
  <c r="AE701" i="45"/>
  <c r="AK701" i="45"/>
  <c r="CJ701" i="45"/>
  <c r="AF701" i="45"/>
  <c r="AL701" i="45"/>
  <c r="CK701" i="45"/>
  <c r="AG701" i="45"/>
  <c r="AM701" i="45"/>
  <c r="AA702" i="45"/>
  <c r="CI702" i="45"/>
  <c r="AE702" i="45"/>
  <c r="AK702" i="45"/>
  <c r="AH702" i="45"/>
  <c r="CH702" i="45"/>
  <c r="AC702" i="45"/>
  <c r="AI702" i="45"/>
  <c r="CJ702" i="45"/>
  <c r="AF702" i="45"/>
  <c r="AL702" i="45"/>
  <c r="CK702" i="45"/>
  <c r="AG702" i="45"/>
  <c r="AM702" i="45"/>
  <c r="AA703" i="45"/>
  <c r="CI703" i="45"/>
  <c r="AE703" i="45"/>
  <c r="AK703" i="45"/>
  <c r="AH703" i="45"/>
  <c r="CH703" i="45"/>
  <c r="AC703" i="45"/>
  <c r="AI703" i="45"/>
  <c r="CJ703" i="45"/>
  <c r="AF703" i="45"/>
  <c r="AL703" i="45"/>
  <c r="CK703" i="45"/>
  <c r="AG703" i="45"/>
  <c r="AM703" i="45"/>
  <c r="AA704" i="45"/>
  <c r="AH704" i="45"/>
  <c r="CH704" i="45"/>
  <c r="AC704" i="45"/>
  <c r="CI704" i="45"/>
  <c r="AE704" i="45"/>
  <c r="AK704" i="45"/>
  <c r="CJ704" i="45"/>
  <c r="AF704" i="45"/>
  <c r="AL704" i="45"/>
  <c r="CK704" i="45"/>
  <c r="AG704" i="45"/>
  <c r="AM704" i="45"/>
  <c r="AA705" i="45"/>
  <c r="CI705" i="45"/>
  <c r="AE705" i="45"/>
  <c r="AK705" i="45"/>
  <c r="AH705" i="45"/>
  <c r="CH705" i="45"/>
  <c r="AC705" i="45"/>
  <c r="AI705" i="45"/>
  <c r="CJ705" i="45"/>
  <c r="AF705" i="45"/>
  <c r="AL705" i="45"/>
  <c r="CK705" i="45"/>
  <c r="AG705" i="45"/>
  <c r="AM705" i="45"/>
  <c r="AA706" i="45"/>
  <c r="AH706" i="45"/>
  <c r="CH706" i="45"/>
  <c r="AC706" i="45"/>
  <c r="CI706" i="45"/>
  <c r="AE706" i="45"/>
  <c r="AK706" i="45"/>
  <c r="CJ706" i="45"/>
  <c r="AF706" i="45"/>
  <c r="AL706" i="45"/>
  <c r="CK706" i="45"/>
  <c r="AG706" i="45"/>
  <c r="AM706" i="45"/>
  <c r="AA707" i="45"/>
  <c r="AH707" i="45"/>
  <c r="CH707" i="45"/>
  <c r="AC707" i="45"/>
  <c r="AI707" i="45"/>
  <c r="CI707" i="45"/>
  <c r="AE707" i="45"/>
  <c r="AK707" i="45"/>
  <c r="CJ707" i="45"/>
  <c r="AF707" i="45"/>
  <c r="AL707" i="45"/>
  <c r="CK707" i="45"/>
  <c r="AG707" i="45"/>
  <c r="AM707" i="45"/>
  <c r="I696" i="45"/>
  <c r="I695" i="45"/>
  <c r="AA708" i="45"/>
  <c r="CI708" i="45"/>
  <c r="AE708" i="45"/>
  <c r="AK708" i="45"/>
  <c r="AH708" i="45"/>
  <c r="CH708" i="45"/>
  <c r="AC708" i="45"/>
  <c r="AI708" i="45"/>
  <c r="CJ708" i="45"/>
  <c r="AF708" i="45"/>
  <c r="AL708" i="45"/>
  <c r="CK708" i="45"/>
  <c r="AG708" i="45"/>
  <c r="AM708" i="45"/>
  <c r="AA709" i="45"/>
  <c r="AH709" i="45"/>
  <c r="CH709" i="45"/>
  <c r="AC709" i="45"/>
  <c r="CI709" i="45"/>
  <c r="AE709" i="45"/>
  <c r="AK709" i="45"/>
  <c r="CJ709" i="45"/>
  <c r="AF709" i="45"/>
  <c r="AL709" i="45"/>
  <c r="CK709" i="45"/>
  <c r="AG709" i="45"/>
  <c r="AM709" i="45"/>
  <c r="H710" i="45"/>
  <c r="AA710" i="45"/>
  <c r="AH710" i="45"/>
  <c r="AL710" i="45"/>
  <c r="CH710" i="45"/>
  <c r="CI710" i="45"/>
  <c r="CJ710" i="45"/>
  <c r="CK710" i="45"/>
  <c r="AA711" i="45"/>
  <c r="AH711" i="45"/>
  <c r="H712" i="45"/>
  <c r="I712" i="45"/>
  <c r="I711" i="45"/>
  <c r="J712" i="45"/>
  <c r="J711" i="45"/>
  <c r="K712" i="45"/>
  <c r="K711" i="45"/>
  <c r="AA712" i="45"/>
  <c r="AC712" i="45"/>
  <c r="AC711" i="45"/>
  <c r="AH712" i="45"/>
  <c r="AO712" i="45"/>
  <c r="AO711" i="45"/>
  <c r="AP712" i="45"/>
  <c r="AP711" i="45"/>
  <c r="AQ712" i="45"/>
  <c r="AQ711" i="45"/>
  <c r="AR712" i="45"/>
  <c r="AR711" i="45"/>
  <c r="AS712" i="45"/>
  <c r="AS711" i="45"/>
  <c r="AT712" i="45"/>
  <c r="AT711" i="45"/>
  <c r="AU712" i="45"/>
  <c r="AU711" i="45"/>
  <c r="AV712" i="45"/>
  <c r="AV711" i="45"/>
  <c r="AW712" i="45"/>
  <c r="AW711" i="45"/>
  <c r="AX712" i="45"/>
  <c r="AX711" i="45"/>
  <c r="AY712" i="45"/>
  <c r="AY711" i="45"/>
  <c r="AZ712" i="45"/>
  <c r="AZ711" i="45"/>
  <c r="BA712" i="45"/>
  <c r="BA711" i="45"/>
  <c r="BB712" i="45"/>
  <c r="BB711" i="45"/>
  <c r="BC712" i="45"/>
  <c r="BC711" i="45"/>
  <c r="BD712" i="45"/>
  <c r="BD711" i="45"/>
  <c r="BE712" i="45"/>
  <c r="BE711" i="45"/>
  <c r="BF712" i="45"/>
  <c r="BF711" i="45"/>
  <c r="BG712" i="45"/>
  <c r="BG711" i="45"/>
  <c r="BH712" i="45"/>
  <c r="BH711" i="45"/>
  <c r="BI712" i="45"/>
  <c r="BI711" i="45"/>
  <c r="BJ712" i="45"/>
  <c r="BJ711" i="45"/>
  <c r="BK712" i="45"/>
  <c r="BK711" i="45"/>
  <c r="BL712" i="45"/>
  <c r="BL711" i="45"/>
  <c r="BM712" i="45"/>
  <c r="BM711" i="45"/>
  <c r="BN712" i="45"/>
  <c r="BN711" i="45"/>
  <c r="BO712" i="45"/>
  <c r="BO711" i="45"/>
  <c r="BP712" i="45"/>
  <c r="BP711" i="45"/>
  <c r="BQ712" i="45"/>
  <c r="BQ711" i="45"/>
  <c r="BR712" i="45"/>
  <c r="BR711" i="45"/>
  <c r="BS712" i="45"/>
  <c r="BS711" i="45"/>
  <c r="BT712" i="45"/>
  <c r="BT711" i="45"/>
  <c r="BU712" i="45"/>
  <c r="BU711" i="45"/>
  <c r="BV712" i="45"/>
  <c r="BV711" i="45"/>
  <c r="BW712" i="45"/>
  <c r="BW711" i="45"/>
  <c r="BX712" i="45"/>
  <c r="BX711" i="45"/>
  <c r="BY712" i="45"/>
  <c r="BY711" i="45"/>
  <c r="BZ712" i="45"/>
  <c r="BZ711" i="45"/>
  <c r="CA712" i="45"/>
  <c r="CA711" i="45"/>
  <c r="CB712" i="45"/>
  <c r="CB711" i="45"/>
  <c r="CC712" i="45"/>
  <c r="CC711" i="45"/>
  <c r="CD712" i="45"/>
  <c r="CD711" i="45"/>
  <c r="CE712" i="45"/>
  <c r="CE711" i="45"/>
  <c r="CF712" i="45"/>
  <c r="CF711" i="45"/>
  <c r="CP712" i="45"/>
  <c r="CP711" i="45"/>
  <c r="CH711" i="45"/>
  <c r="CQ712" i="45"/>
  <c r="CQ711" i="45"/>
  <c r="CI711" i="45"/>
  <c r="CR712" i="45"/>
  <c r="CR711" i="45"/>
  <c r="CJ711" i="45"/>
  <c r="CS712" i="45"/>
  <c r="CS711" i="45"/>
  <c r="CK711" i="45"/>
  <c r="AH713" i="45"/>
  <c r="AI713" i="45"/>
  <c r="CH713" i="45"/>
  <c r="CI713" i="45"/>
  <c r="AE713" i="45"/>
  <c r="CJ713" i="45"/>
  <c r="AF713" i="45"/>
  <c r="CK713" i="45"/>
  <c r="AG713" i="45"/>
  <c r="CX713" i="45"/>
  <c r="CY713" i="45"/>
  <c r="AA714" i="45"/>
  <c r="AH714" i="45"/>
  <c r="AI714" i="45"/>
  <c r="CH714" i="45"/>
  <c r="CI714" i="45"/>
  <c r="AE714" i="45"/>
  <c r="CJ714" i="45"/>
  <c r="AF714" i="45"/>
  <c r="AL714" i="45"/>
  <c r="CK714" i="45"/>
  <c r="AG714" i="45"/>
  <c r="AM714" i="45"/>
  <c r="AH715" i="45"/>
  <c r="AI715" i="45"/>
  <c r="AB715" i="45"/>
  <c r="AA715" i="45"/>
  <c r="CH715" i="45"/>
  <c r="CI715" i="45"/>
  <c r="AE715" i="45"/>
  <c r="CJ715" i="45"/>
  <c r="AF715" i="45"/>
  <c r="AL715" i="45"/>
  <c r="CK715" i="45"/>
  <c r="AG715" i="45"/>
  <c r="AM715" i="45"/>
  <c r="CX715" i="45"/>
  <c r="CY715" i="45"/>
  <c r="AA716" i="45"/>
  <c r="AH716" i="45"/>
  <c r="AI716" i="45"/>
  <c r="CH716" i="45"/>
  <c r="CI716" i="45"/>
  <c r="AE716" i="45"/>
  <c r="CJ716" i="45"/>
  <c r="AF716" i="45"/>
  <c r="AL716" i="45"/>
  <c r="CK716" i="45"/>
  <c r="AG716" i="45"/>
  <c r="AM716" i="45"/>
  <c r="AA717" i="45"/>
  <c r="AH717" i="45"/>
  <c r="AI717" i="45"/>
  <c r="CH717" i="45"/>
  <c r="CI717" i="45"/>
  <c r="AE717" i="45"/>
  <c r="CJ717" i="45"/>
  <c r="AF717" i="45"/>
  <c r="AL717" i="45"/>
  <c r="CK717" i="45"/>
  <c r="AG717" i="45"/>
  <c r="AM717" i="45"/>
  <c r="AA718" i="45"/>
  <c r="AH718" i="45"/>
  <c r="AI718" i="45"/>
  <c r="CH718" i="45"/>
  <c r="CI718" i="45"/>
  <c r="AE718" i="45"/>
  <c r="CJ718" i="45"/>
  <c r="AF718" i="45"/>
  <c r="AL718" i="45"/>
  <c r="CK718" i="45"/>
  <c r="AG718" i="45"/>
  <c r="AM718" i="45"/>
  <c r="AA719" i="45"/>
  <c r="AH719" i="45"/>
  <c r="AI719" i="45"/>
  <c r="CH719" i="45"/>
  <c r="CI719" i="45"/>
  <c r="AE719" i="45"/>
  <c r="CJ719" i="45"/>
  <c r="AF719" i="45"/>
  <c r="AL719" i="45"/>
  <c r="CK719" i="45"/>
  <c r="AG719" i="45"/>
  <c r="AM719" i="45"/>
  <c r="AA720" i="45"/>
  <c r="AE720" i="45"/>
  <c r="AK720" i="45"/>
  <c r="AH720" i="45"/>
  <c r="AI720" i="45"/>
  <c r="CH720" i="45"/>
  <c r="CJ720" i="45"/>
  <c r="AF720" i="45"/>
  <c r="AL720" i="45"/>
  <c r="CK720" i="45"/>
  <c r="AG720" i="45"/>
  <c r="AM720" i="45"/>
  <c r="AA721" i="45"/>
  <c r="AH721" i="45"/>
  <c r="AI721" i="45"/>
  <c r="CH721" i="45"/>
  <c r="CI721" i="45"/>
  <c r="AE721" i="45"/>
  <c r="CJ721" i="45"/>
  <c r="AF721" i="45"/>
  <c r="AL721" i="45"/>
  <c r="CK721" i="45"/>
  <c r="AG721" i="45"/>
  <c r="AM721" i="45"/>
  <c r="AA722" i="45"/>
  <c r="AH722" i="45"/>
  <c r="AI722" i="45"/>
  <c r="CH722" i="45"/>
  <c r="CI722" i="45"/>
  <c r="AE722" i="45"/>
  <c r="CJ722" i="45"/>
  <c r="AF722" i="45"/>
  <c r="AL722" i="45"/>
  <c r="CK722" i="45"/>
  <c r="AG722" i="45"/>
  <c r="AM722" i="45"/>
  <c r="AA723" i="45"/>
  <c r="AH723" i="45"/>
  <c r="AI723" i="45"/>
  <c r="CH723" i="45"/>
  <c r="CI723" i="45"/>
  <c r="AE723" i="45"/>
  <c r="CJ723" i="45"/>
  <c r="AF723" i="45"/>
  <c r="AL723" i="45"/>
  <c r="CK723" i="45"/>
  <c r="AG723" i="45"/>
  <c r="AM723" i="45"/>
  <c r="AA724" i="45"/>
  <c r="AH724" i="45"/>
  <c r="AI724" i="45"/>
  <c r="CH724" i="45"/>
  <c r="CI724" i="45"/>
  <c r="AE724" i="45"/>
  <c r="CJ724" i="45"/>
  <c r="AF724" i="45"/>
  <c r="AL724" i="45"/>
  <c r="CK724" i="45"/>
  <c r="AG724" i="45"/>
  <c r="AM724" i="45"/>
  <c r="AA725" i="45"/>
  <c r="AH725" i="45"/>
  <c r="AI725" i="45"/>
  <c r="CH725" i="45"/>
  <c r="CI725" i="45"/>
  <c r="AE725" i="45"/>
  <c r="CJ725" i="45"/>
  <c r="AF725" i="45"/>
  <c r="AL725" i="45"/>
  <c r="CK725" i="45"/>
  <c r="AG725" i="45"/>
  <c r="AM725" i="45"/>
  <c r="H726" i="45"/>
  <c r="AA726" i="45"/>
  <c r="AH726" i="45"/>
  <c r="CH726" i="45"/>
  <c r="CI726" i="45"/>
  <c r="CJ726" i="45"/>
  <c r="CK726" i="45"/>
  <c r="AA727" i="45"/>
  <c r="AH727" i="45"/>
  <c r="O728" i="45"/>
  <c r="Q728" i="45"/>
  <c r="R728" i="45"/>
  <c r="S728" i="45"/>
  <c r="AA728" i="45"/>
  <c r="AH728" i="45"/>
  <c r="AP728" i="45"/>
  <c r="AP727" i="45"/>
  <c r="AQ728" i="45"/>
  <c r="AQ727" i="45"/>
  <c r="AR728" i="45"/>
  <c r="AR727" i="45"/>
  <c r="AS728" i="45"/>
  <c r="AS727" i="45"/>
  <c r="AT728" i="45"/>
  <c r="AT727" i="45"/>
  <c r="AU728" i="45"/>
  <c r="AU727" i="45"/>
  <c r="AV728" i="45"/>
  <c r="AV727" i="45"/>
  <c r="AW728" i="45"/>
  <c r="AW727" i="45"/>
  <c r="AY728" i="45"/>
  <c r="AY727" i="45"/>
  <c r="AZ728" i="45"/>
  <c r="AZ727" i="45"/>
  <c r="BA728" i="45"/>
  <c r="BA727" i="45"/>
  <c r="BB728" i="45"/>
  <c r="BB727" i="45"/>
  <c r="BC728" i="45"/>
  <c r="BC727" i="45"/>
  <c r="BD728" i="45"/>
  <c r="BD727" i="45"/>
  <c r="BF728" i="45"/>
  <c r="BF727" i="45"/>
  <c r="BG728" i="45"/>
  <c r="BG727" i="45"/>
  <c r="BH728" i="45"/>
  <c r="BH727" i="45"/>
  <c r="BJ728" i="45"/>
  <c r="BJ727" i="45"/>
  <c r="BK728" i="45"/>
  <c r="BK727" i="45"/>
  <c r="BL728" i="45"/>
  <c r="BL727" i="45"/>
  <c r="BN728" i="45"/>
  <c r="BN727" i="45"/>
  <c r="BO728" i="45"/>
  <c r="BO727" i="45"/>
  <c r="BP728" i="45"/>
  <c r="BP727" i="45"/>
  <c r="BQ728" i="45"/>
  <c r="BQ727" i="45"/>
  <c r="BR728" i="45"/>
  <c r="BR727" i="45"/>
  <c r="BS728" i="45"/>
  <c r="BS727" i="45"/>
  <c r="BT728" i="45"/>
  <c r="BT727" i="45"/>
  <c r="BU728" i="45"/>
  <c r="BU727" i="45"/>
  <c r="BW728" i="45"/>
  <c r="BW727" i="45"/>
  <c r="BX728" i="45"/>
  <c r="BX727" i="45"/>
  <c r="BY728" i="45"/>
  <c r="BY727" i="45"/>
  <c r="CA728" i="45"/>
  <c r="CA727" i="45"/>
  <c r="CB728" i="45"/>
  <c r="CB727" i="45"/>
  <c r="CD728" i="45"/>
  <c r="CD727" i="45"/>
  <c r="CE728" i="45"/>
  <c r="CE727" i="45"/>
  <c r="CF728" i="45"/>
  <c r="CF727" i="45"/>
  <c r="CP728" i="45"/>
  <c r="CP727" i="45"/>
  <c r="CH727" i="45"/>
  <c r="CR728" i="45"/>
  <c r="CR727" i="45"/>
  <c r="CJ727" i="45"/>
  <c r="CS728" i="45"/>
  <c r="CS727" i="45"/>
  <c r="CK727" i="45"/>
  <c r="X729" i="45"/>
  <c r="AH729" i="45"/>
  <c r="BI729" i="45"/>
  <c r="BI728" i="45"/>
  <c r="BI727" i="45"/>
  <c r="BM729" i="45"/>
  <c r="BM731" i="45"/>
  <c r="BM728" i="45"/>
  <c r="BM727" i="45"/>
  <c r="CC729" i="45"/>
  <c r="CC728" i="45"/>
  <c r="CC727" i="45"/>
  <c r="CH729" i="45"/>
  <c r="CI729" i="45"/>
  <c r="AE729" i="45"/>
  <c r="CJ729" i="45"/>
  <c r="AF729" i="45"/>
  <c r="CK729" i="45"/>
  <c r="AG729" i="45"/>
  <c r="CZ729" i="45"/>
  <c r="Y730" i="45"/>
  <c r="AH730" i="45"/>
  <c r="CH730" i="45"/>
  <c r="AC730" i="45"/>
  <c r="AI730" i="45"/>
  <c r="Z730" i="45"/>
  <c r="AA730" i="45"/>
  <c r="CI730" i="45"/>
  <c r="AE730" i="45"/>
  <c r="CJ730" i="45"/>
  <c r="AF730" i="45"/>
  <c r="AL730" i="45"/>
  <c r="CK730" i="45"/>
  <c r="AG730" i="45"/>
  <c r="AM730" i="45"/>
  <c r="W731" i="45"/>
  <c r="X731" i="45"/>
  <c r="Y731" i="45"/>
  <c r="AH731" i="45"/>
  <c r="CH731" i="45"/>
  <c r="CI731" i="45"/>
  <c r="AE731" i="45"/>
  <c r="CJ731" i="45"/>
  <c r="AF731" i="45"/>
  <c r="AL731" i="45"/>
  <c r="CK731" i="45"/>
  <c r="AG731" i="45"/>
  <c r="AM731" i="45"/>
  <c r="CZ731" i="45"/>
  <c r="AA732" i="45"/>
  <c r="AH732" i="45"/>
  <c r="CH732" i="45"/>
  <c r="AC732" i="45"/>
  <c r="AI732" i="45"/>
  <c r="CI732" i="45"/>
  <c r="AE732" i="45"/>
  <c r="CJ732" i="45"/>
  <c r="AF732" i="45"/>
  <c r="AL732" i="45"/>
  <c r="CK732" i="45"/>
  <c r="AG732" i="45"/>
  <c r="AM732" i="45"/>
  <c r="AA733" i="45"/>
  <c r="AH733" i="45"/>
  <c r="CH733" i="45"/>
  <c r="AC733" i="45"/>
  <c r="AI733" i="45"/>
  <c r="CI733" i="45"/>
  <c r="AE733" i="45"/>
  <c r="CJ733" i="45"/>
  <c r="AF733" i="45"/>
  <c r="AL733" i="45"/>
  <c r="CK733" i="45"/>
  <c r="AG733" i="45"/>
  <c r="AM733" i="45"/>
  <c r="AA734" i="45"/>
  <c r="AH734" i="45"/>
  <c r="CH734" i="45"/>
  <c r="AC734" i="45"/>
  <c r="AI734" i="45"/>
  <c r="CI734" i="45"/>
  <c r="AE734" i="45"/>
  <c r="CJ734" i="45"/>
  <c r="AF734" i="45"/>
  <c r="AL734" i="45"/>
  <c r="CK734" i="45"/>
  <c r="AG734" i="45"/>
  <c r="AM734" i="45"/>
  <c r="AA735" i="45"/>
  <c r="AH735" i="45"/>
  <c r="CH735" i="45"/>
  <c r="AC735" i="45"/>
  <c r="AI735" i="45"/>
  <c r="CI735" i="45"/>
  <c r="AE735" i="45"/>
  <c r="CJ735" i="45"/>
  <c r="AF735" i="45"/>
  <c r="AL735" i="45"/>
  <c r="CK735" i="45"/>
  <c r="AG735" i="45"/>
  <c r="AM735" i="45"/>
  <c r="J736" i="45"/>
  <c r="J728" i="45"/>
  <c r="AA736" i="45"/>
  <c r="AH736" i="45"/>
  <c r="CH736" i="45"/>
  <c r="AC736" i="45"/>
  <c r="AI736" i="45"/>
  <c r="CI736" i="45"/>
  <c r="AE736" i="45"/>
  <c r="CJ736" i="45"/>
  <c r="AF736" i="45"/>
  <c r="CK736" i="45"/>
  <c r="AG736" i="45"/>
  <c r="AM736" i="45"/>
  <c r="K737" i="45"/>
  <c r="AA737" i="45"/>
  <c r="AG737" i="45"/>
  <c r="AH737" i="45"/>
  <c r="AM737" i="45"/>
  <c r="AO737" i="45"/>
  <c r="BE737" i="45"/>
  <c r="BE528" i="45"/>
  <c r="BZ737" i="45"/>
  <c r="BZ528" i="45"/>
  <c r="CH737" i="45"/>
  <c r="CJ737" i="45"/>
  <c r="AF737" i="45"/>
  <c r="AL737" i="45"/>
  <c r="CQ737" i="45"/>
  <c r="AA738" i="45"/>
  <c r="AH738" i="45"/>
  <c r="CH738" i="45"/>
  <c r="AC738" i="45"/>
  <c r="CI738" i="45"/>
  <c r="AE738" i="45"/>
  <c r="CJ738" i="45"/>
  <c r="AF738" i="45"/>
  <c r="AL738" i="45"/>
  <c r="CK738" i="45"/>
  <c r="AG738" i="45"/>
  <c r="AM738" i="45"/>
  <c r="AA739" i="45"/>
  <c r="AH739" i="45"/>
  <c r="CH739" i="45"/>
  <c r="AC739" i="45"/>
  <c r="AI739" i="45"/>
  <c r="CI739" i="45"/>
  <c r="AE739" i="45"/>
  <c r="CJ739" i="45"/>
  <c r="AF739" i="45"/>
  <c r="AL739" i="45"/>
  <c r="CK739" i="45"/>
  <c r="AG739" i="45"/>
  <c r="AM739" i="45"/>
  <c r="K740" i="45"/>
  <c r="AA740" i="45"/>
  <c r="AH740" i="45"/>
  <c r="AX740" i="45"/>
  <c r="AX531" i="45"/>
  <c r="BV740" i="45"/>
  <c r="BV728" i="45"/>
  <c r="BV727" i="45"/>
  <c r="CH740" i="45"/>
  <c r="AC740" i="45"/>
  <c r="AI740" i="45"/>
  <c r="CJ740" i="45"/>
  <c r="AF740" i="45"/>
  <c r="AL740" i="45"/>
  <c r="CK740" i="45"/>
  <c r="AG740" i="45"/>
  <c r="CQ740" i="45"/>
  <c r="CI740" i="45"/>
  <c r="AA741" i="45"/>
  <c r="AH741" i="45"/>
  <c r="AO741" i="45"/>
  <c r="CH741" i="45"/>
  <c r="AC741" i="45"/>
  <c r="AI741" i="45"/>
  <c r="CI741" i="45"/>
  <c r="AE741" i="45"/>
  <c r="CJ741" i="45"/>
  <c r="AF741" i="45"/>
  <c r="AL741" i="45"/>
  <c r="CK741" i="45"/>
  <c r="AG741" i="45"/>
  <c r="AM741" i="45"/>
  <c r="AA742" i="45"/>
  <c r="AH742" i="45"/>
  <c r="AL742" i="45"/>
  <c r="CH742" i="45"/>
  <c r="CI742" i="45"/>
  <c r="CJ742" i="45"/>
  <c r="CK742" i="45"/>
  <c r="AA743" i="45"/>
  <c r="AH743" i="45"/>
  <c r="I744" i="45"/>
  <c r="I743" i="45"/>
  <c r="J744" i="45"/>
  <c r="J743" i="45"/>
  <c r="K744" i="45"/>
  <c r="K743" i="45"/>
  <c r="AA744" i="45"/>
  <c r="AH744" i="45"/>
  <c r="AO744" i="45"/>
  <c r="AO743" i="45"/>
  <c r="AP744" i="45"/>
  <c r="AP743" i="45"/>
  <c r="AQ744" i="45"/>
  <c r="AQ743" i="45"/>
  <c r="AR744" i="45"/>
  <c r="AR743" i="45"/>
  <c r="AS744" i="45"/>
  <c r="AS743" i="45"/>
  <c r="AT744" i="45"/>
  <c r="AT743" i="45"/>
  <c r="AU744" i="45"/>
  <c r="AU743" i="45"/>
  <c r="AV744" i="45"/>
  <c r="AV743" i="45"/>
  <c r="AX744" i="45"/>
  <c r="AX743" i="45"/>
  <c r="AY744" i="45"/>
  <c r="AY743" i="45"/>
  <c r="AZ744" i="45"/>
  <c r="AZ743" i="45"/>
  <c r="BA744" i="45"/>
  <c r="BA743" i="45"/>
  <c r="BB744" i="45"/>
  <c r="BB743" i="45"/>
  <c r="BC744" i="45"/>
  <c r="BC743" i="45"/>
  <c r="BD744" i="45"/>
  <c r="BD743" i="45"/>
  <c r="BE744" i="45"/>
  <c r="BE743" i="45"/>
  <c r="BF744" i="45"/>
  <c r="BF743" i="45"/>
  <c r="BG744" i="45"/>
  <c r="BG743" i="45"/>
  <c r="BH744" i="45"/>
  <c r="BH743" i="45"/>
  <c r="BJ744" i="45"/>
  <c r="BJ743" i="45"/>
  <c r="BK744" i="45"/>
  <c r="BK743" i="45"/>
  <c r="BL744" i="45"/>
  <c r="BL743" i="45"/>
  <c r="BN744" i="45"/>
  <c r="BN743" i="45"/>
  <c r="BO744" i="45"/>
  <c r="BO743" i="45"/>
  <c r="BP744" i="45"/>
  <c r="BP743" i="45"/>
  <c r="BR744" i="45"/>
  <c r="BR743" i="45"/>
  <c r="BS744" i="45"/>
  <c r="BS743" i="45"/>
  <c r="BT744" i="45"/>
  <c r="BT743" i="45"/>
  <c r="BU744" i="45"/>
  <c r="BU743" i="45"/>
  <c r="BV744" i="45"/>
  <c r="BV743" i="45"/>
  <c r="BW744" i="45"/>
  <c r="BW743" i="45"/>
  <c r="BX744" i="45"/>
  <c r="BX743" i="45"/>
  <c r="BZ744" i="45"/>
  <c r="BZ743" i="45"/>
  <c r="CA744" i="45"/>
  <c r="CA743" i="45"/>
  <c r="CB744" i="45"/>
  <c r="CB743" i="45"/>
  <c r="CD744" i="45"/>
  <c r="CD743" i="45"/>
  <c r="CE744" i="45"/>
  <c r="CE743" i="45"/>
  <c r="CF744" i="45"/>
  <c r="CF743" i="45"/>
  <c r="CP744" i="45"/>
  <c r="CP743" i="45"/>
  <c r="CH743" i="45"/>
  <c r="CQ744" i="45"/>
  <c r="CQ743" i="45"/>
  <c r="CI743" i="45"/>
  <c r="CR744" i="45"/>
  <c r="CR743" i="45"/>
  <c r="CJ743" i="45"/>
  <c r="CS744" i="45"/>
  <c r="CS743" i="45"/>
  <c r="CK743" i="45"/>
  <c r="W745" i="45"/>
  <c r="X745" i="45"/>
  <c r="CK745" i="45"/>
  <c r="AG745" i="45"/>
  <c r="AM745" i="45"/>
  <c r="AH745" i="45"/>
  <c r="AW745" i="45"/>
  <c r="AW520" i="45"/>
  <c r="BI745" i="45"/>
  <c r="BI744" i="45"/>
  <c r="BI743" i="45"/>
  <c r="BM745" i="45"/>
  <c r="BM747" i="45"/>
  <c r="BM744" i="45"/>
  <c r="BM743" i="45"/>
  <c r="BQ745" i="45"/>
  <c r="BQ744" i="45"/>
  <c r="BQ743" i="45"/>
  <c r="BY745" i="45"/>
  <c r="BY744" i="45"/>
  <c r="BY743" i="45"/>
  <c r="CC745" i="45"/>
  <c r="CC744" i="45"/>
  <c r="CC743" i="45"/>
  <c r="CH745" i="45"/>
  <c r="CI745" i="45"/>
  <c r="AE745" i="45"/>
  <c r="AK745" i="45"/>
  <c r="CJ745" i="45"/>
  <c r="AF745" i="45"/>
  <c r="CZ745" i="45"/>
  <c r="Y746" i="45"/>
  <c r="CH746" i="45"/>
  <c r="AC746" i="45"/>
  <c r="AH746" i="45"/>
  <c r="AI746" i="45"/>
  <c r="Z746" i="45"/>
  <c r="AA746" i="45"/>
  <c r="CI746" i="45"/>
  <c r="AE746" i="45"/>
  <c r="CJ746" i="45"/>
  <c r="AF746" i="45"/>
  <c r="AL746" i="45"/>
  <c r="CK746" i="45"/>
  <c r="AG746" i="45"/>
  <c r="AM746" i="45"/>
  <c r="W747" i="45"/>
  <c r="X747" i="45"/>
  <c r="Y747" i="45"/>
  <c r="AH747" i="45"/>
  <c r="CH747" i="45"/>
  <c r="CI747" i="45"/>
  <c r="AE747" i="45"/>
  <c r="CJ747" i="45"/>
  <c r="AF747" i="45"/>
  <c r="AL747" i="45"/>
  <c r="CK747" i="45"/>
  <c r="AG747" i="45"/>
  <c r="AM747" i="45"/>
  <c r="CZ747" i="45"/>
  <c r="AA748" i="45"/>
  <c r="AH748" i="45"/>
  <c r="CH748" i="45"/>
  <c r="AC748" i="45"/>
  <c r="AI748" i="45"/>
  <c r="CI748" i="45"/>
  <c r="AE748" i="45"/>
  <c r="CJ748" i="45"/>
  <c r="AF748" i="45"/>
  <c r="AL748" i="45"/>
  <c r="CK748" i="45"/>
  <c r="AG748" i="45"/>
  <c r="AM748" i="45"/>
  <c r="AA749" i="45"/>
  <c r="AH749" i="45"/>
  <c r="CH749" i="45"/>
  <c r="AC749" i="45"/>
  <c r="AI749" i="45"/>
  <c r="CI749" i="45"/>
  <c r="AE749" i="45"/>
  <c r="CJ749" i="45"/>
  <c r="AF749" i="45"/>
  <c r="AL749" i="45"/>
  <c r="CK749" i="45"/>
  <c r="AG749" i="45"/>
  <c r="AM749" i="45"/>
  <c r="AA750" i="45"/>
  <c r="AH750" i="45"/>
  <c r="CH750" i="45"/>
  <c r="AC750" i="45"/>
  <c r="AI750" i="45"/>
  <c r="CI750" i="45"/>
  <c r="AE750" i="45"/>
  <c r="CJ750" i="45"/>
  <c r="AF750" i="45"/>
  <c r="AL750" i="45"/>
  <c r="CK750" i="45"/>
  <c r="AG750" i="45"/>
  <c r="AM750" i="45"/>
  <c r="AA751" i="45"/>
  <c r="AH751" i="45"/>
  <c r="CH751" i="45"/>
  <c r="AC751" i="45"/>
  <c r="AI751" i="45"/>
  <c r="CI751" i="45"/>
  <c r="AE751" i="45"/>
  <c r="CJ751" i="45"/>
  <c r="AF751" i="45"/>
  <c r="AL751" i="45"/>
  <c r="CK751" i="45"/>
  <c r="AG751" i="45"/>
  <c r="AM751" i="45"/>
  <c r="AA752" i="45"/>
  <c r="AH752" i="45"/>
  <c r="CH752" i="45"/>
  <c r="AC752" i="45"/>
  <c r="AI752" i="45"/>
  <c r="CI752" i="45"/>
  <c r="AE752" i="45"/>
  <c r="CJ752" i="45"/>
  <c r="AF752" i="45"/>
  <c r="AL752" i="45"/>
  <c r="CK752" i="45"/>
  <c r="AG752" i="45"/>
  <c r="AM752" i="45"/>
  <c r="H744" i="45"/>
  <c r="AA753" i="45"/>
  <c r="AG753" i="45"/>
  <c r="AH753" i="45"/>
  <c r="AM753" i="45"/>
  <c r="CH753" i="45"/>
  <c r="AC753" i="45"/>
  <c r="AI753" i="45"/>
  <c r="CI753" i="45"/>
  <c r="AE753" i="45"/>
  <c r="CJ753" i="45"/>
  <c r="AF753" i="45"/>
  <c r="AL753" i="45"/>
  <c r="AA754" i="45"/>
  <c r="AH754" i="45"/>
  <c r="CH754" i="45"/>
  <c r="AC754" i="45"/>
  <c r="AI754" i="45"/>
  <c r="CI754" i="45"/>
  <c r="AE754" i="45"/>
  <c r="CJ754" i="45"/>
  <c r="AF754" i="45"/>
  <c r="AL754" i="45"/>
  <c r="CK754" i="45"/>
  <c r="AG754" i="45"/>
  <c r="AM754" i="45"/>
  <c r="AA755" i="45"/>
  <c r="AH755" i="45"/>
  <c r="CH755" i="45"/>
  <c r="AC755" i="45"/>
  <c r="AI755" i="45"/>
  <c r="CI755" i="45"/>
  <c r="AE755" i="45"/>
  <c r="CJ755" i="45"/>
  <c r="AF755" i="45"/>
  <c r="AL755" i="45"/>
  <c r="CK755" i="45"/>
  <c r="AG755" i="45"/>
  <c r="AM755" i="45"/>
  <c r="AA756" i="45"/>
  <c r="AH756" i="45"/>
  <c r="CH756" i="45"/>
  <c r="AC756" i="45"/>
  <c r="AI756" i="45"/>
  <c r="CI756" i="45"/>
  <c r="AE756" i="45"/>
  <c r="CJ756" i="45"/>
  <c r="AF756" i="45"/>
  <c r="AL756" i="45"/>
  <c r="CK756" i="45"/>
  <c r="AG756" i="45"/>
  <c r="AM756" i="45"/>
  <c r="AA757" i="45"/>
  <c r="AH757" i="45"/>
  <c r="AW757" i="45"/>
  <c r="AW532" i="45"/>
  <c r="CH757" i="45"/>
  <c r="CI757" i="45"/>
  <c r="AE757" i="45"/>
  <c r="CJ757" i="45"/>
  <c r="AF757" i="45"/>
  <c r="AL757" i="45"/>
  <c r="CK757" i="45"/>
  <c r="AG757" i="45"/>
  <c r="AM757" i="45"/>
  <c r="H758" i="45"/>
  <c r="AA758" i="45"/>
  <c r="AH758" i="45"/>
  <c r="AL758" i="45"/>
  <c r="CH758" i="45"/>
  <c r="CI758" i="45"/>
  <c r="CJ758" i="45"/>
  <c r="CK758" i="45"/>
  <c r="AA759" i="45"/>
  <c r="AH759" i="45"/>
  <c r="J760" i="45"/>
  <c r="J759" i="45"/>
  <c r="O760" i="45"/>
  <c r="T760" i="45"/>
  <c r="U760" i="45"/>
  <c r="V760" i="45"/>
  <c r="AB760" i="45"/>
  <c r="AH760" i="45"/>
  <c r="AO760" i="45"/>
  <c r="AO759" i="45"/>
  <c r="AP760" i="45"/>
  <c r="AP759" i="45"/>
  <c r="AQ760" i="45"/>
  <c r="AQ759" i="45"/>
  <c r="AR760" i="45"/>
  <c r="AR759" i="45"/>
  <c r="AS760" i="45"/>
  <c r="AS759" i="45"/>
  <c r="AT760" i="45"/>
  <c r="AT759" i="45"/>
  <c r="AU760" i="45"/>
  <c r="AU759" i="45"/>
  <c r="AV760" i="45"/>
  <c r="AV759" i="45"/>
  <c r="AW760" i="45"/>
  <c r="AW759" i="45"/>
  <c r="AX760" i="45"/>
  <c r="AX759" i="45"/>
  <c r="AY760" i="45"/>
  <c r="AY759" i="45"/>
  <c r="AZ760" i="45"/>
  <c r="AZ759" i="45"/>
  <c r="BA760" i="45"/>
  <c r="BA759" i="45"/>
  <c r="BB760" i="45"/>
  <c r="BB759" i="45"/>
  <c r="BC760" i="45"/>
  <c r="BC759" i="45"/>
  <c r="BD760" i="45"/>
  <c r="BD759" i="45"/>
  <c r="BE760" i="45"/>
  <c r="BE759" i="45"/>
  <c r="BF760" i="45"/>
  <c r="BF759" i="45"/>
  <c r="BG760" i="45"/>
  <c r="BG759" i="45"/>
  <c r="BH760" i="45"/>
  <c r="BH759" i="45"/>
  <c r="BJ760" i="45"/>
  <c r="BJ759" i="45"/>
  <c r="BK760" i="45"/>
  <c r="BK759" i="45"/>
  <c r="BL760" i="45"/>
  <c r="BL759" i="45"/>
  <c r="BM760" i="45"/>
  <c r="BM759" i="45"/>
  <c r="BN760" i="45"/>
  <c r="BN759" i="45"/>
  <c r="BO760" i="45"/>
  <c r="BO759" i="45"/>
  <c r="BP760" i="45"/>
  <c r="BP759" i="45"/>
  <c r="BR760" i="45"/>
  <c r="BR759" i="45"/>
  <c r="BS760" i="45"/>
  <c r="BS759" i="45"/>
  <c r="BT760" i="45"/>
  <c r="BT759" i="45"/>
  <c r="BU760" i="45"/>
  <c r="BU759" i="45"/>
  <c r="BV760" i="45"/>
  <c r="BV759" i="45"/>
  <c r="BW760" i="45"/>
  <c r="BW759" i="45"/>
  <c r="BX760" i="45"/>
  <c r="BX759" i="45"/>
  <c r="BZ760" i="45"/>
  <c r="BZ759" i="45"/>
  <c r="CA760" i="45"/>
  <c r="CA759" i="45"/>
  <c r="CB760" i="45"/>
  <c r="CB759" i="45"/>
  <c r="CD760" i="45"/>
  <c r="CD759" i="45"/>
  <c r="CE760" i="45"/>
  <c r="CE759" i="45"/>
  <c r="CF760" i="45"/>
  <c r="CF759" i="45"/>
  <c r="CP760" i="45"/>
  <c r="CP759" i="45"/>
  <c r="CH759" i="45"/>
  <c r="CQ760" i="45"/>
  <c r="CI760" i="45"/>
  <c r="CR760" i="45"/>
  <c r="CR759" i="45"/>
  <c r="CJ759" i="45"/>
  <c r="CS760" i="45"/>
  <c r="CK760" i="45"/>
  <c r="X761" i="45"/>
  <c r="AH761" i="45"/>
  <c r="BI761" i="45"/>
  <c r="BQ761" i="45"/>
  <c r="BY761" i="45"/>
  <c r="BY760" i="45"/>
  <c r="BY759" i="45"/>
  <c r="CC761" i="45"/>
  <c r="Y761" i="45"/>
  <c r="CH761" i="45"/>
  <c r="CI761" i="45"/>
  <c r="AE761" i="45"/>
  <c r="CJ761" i="45"/>
  <c r="AF761" i="45"/>
  <c r="CK761" i="45"/>
  <c r="AG761" i="45"/>
  <c r="CZ761" i="45"/>
  <c r="Y762" i="45"/>
  <c r="AH762" i="45"/>
  <c r="CH762" i="45"/>
  <c r="AC762" i="45"/>
  <c r="CI762" i="45"/>
  <c r="AE762" i="45"/>
  <c r="CJ762" i="45"/>
  <c r="AF762" i="45"/>
  <c r="AL762" i="45"/>
  <c r="CK762" i="45"/>
  <c r="AG762" i="45"/>
  <c r="AM762" i="45"/>
  <c r="W763" i="45"/>
  <c r="X763" i="45"/>
  <c r="Y763" i="45"/>
  <c r="AH763" i="45"/>
  <c r="BI763" i="45"/>
  <c r="BQ763" i="45"/>
  <c r="CH763" i="45"/>
  <c r="CI763" i="45"/>
  <c r="AE763" i="45"/>
  <c r="CJ763" i="45"/>
  <c r="AF763" i="45"/>
  <c r="AL763" i="45"/>
  <c r="CK763" i="45"/>
  <c r="AG763" i="45"/>
  <c r="AM763" i="45"/>
  <c r="CZ763" i="45"/>
  <c r="AA764" i="45"/>
  <c r="AH764" i="45"/>
  <c r="CH764" i="45"/>
  <c r="AC764" i="45"/>
  <c r="AI764" i="45"/>
  <c r="CI764" i="45"/>
  <c r="AE764" i="45"/>
  <c r="CJ764" i="45"/>
  <c r="AF764" i="45"/>
  <c r="AL764" i="45"/>
  <c r="CK764" i="45"/>
  <c r="AG764" i="45"/>
  <c r="AM764" i="45"/>
  <c r="AA765" i="45"/>
  <c r="CH765" i="45"/>
  <c r="AC765" i="45"/>
  <c r="AH765" i="45"/>
  <c r="AI765" i="45"/>
  <c r="CI765" i="45"/>
  <c r="AE765" i="45"/>
  <c r="CJ765" i="45"/>
  <c r="AF765" i="45"/>
  <c r="AL765" i="45"/>
  <c r="CK765" i="45"/>
  <c r="AG765" i="45"/>
  <c r="AM765" i="45"/>
  <c r="AA766" i="45"/>
  <c r="CH766" i="45"/>
  <c r="AC766" i="45"/>
  <c r="AH766" i="45"/>
  <c r="AI766" i="45"/>
  <c r="CI766" i="45"/>
  <c r="AE766" i="45"/>
  <c r="CJ766" i="45"/>
  <c r="AF766" i="45"/>
  <c r="AL766" i="45"/>
  <c r="CK766" i="45"/>
  <c r="AG766" i="45"/>
  <c r="AM766" i="45"/>
  <c r="AA767" i="45"/>
  <c r="CH767" i="45"/>
  <c r="AC767" i="45"/>
  <c r="AH767" i="45"/>
  <c r="AI767" i="45"/>
  <c r="CI767" i="45"/>
  <c r="AE767" i="45"/>
  <c r="CJ767" i="45"/>
  <c r="AF767" i="45"/>
  <c r="AL767" i="45"/>
  <c r="CK767" i="45"/>
  <c r="AG767" i="45"/>
  <c r="AM767" i="45"/>
  <c r="AA768" i="45"/>
  <c r="AH768" i="45"/>
  <c r="BQ768" i="45"/>
  <c r="CH768" i="45"/>
  <c r="AC768" i="45"/>
  <c r="AI768" i="45"/>
  <c r="CI768" i="45"/>
  <c r="AE768" i="45"/>
  <c r="CJ768" i="45"/>
  <c r="AF768" i="45"/>
  <c r="AL768" i="45"/>
  <c r="CK768" i="45"/>
  <c r="AG768" i="45"/>
  <c r="AM768" i="45"/>
  <c r="AA769" i="45"/>
  <c r="AH769" i="45"/>
  <c r="BI769" i="45"/>
  <c r="BI528" i="45"/>
  <c r="BQ769" i="45"/>
  <c r="CH769" i="45"/>
  <c r="CI769" i="45"/>
  <c r="AE769" i="45"/>
  <c r="CJ769" i="45"/>
  <c r="AF769" i="45"/>
  <c r="AL769" i="45"/>
  <c r="CK769" i="45"/>
  <c r="AG769" i="45"/>
  <c r="AM769" i="45"/>
  <c r="AA770" i="45"/>
  <c r="CH770" i="45"/>
  <c r="AC770" i="45"/>
  <c r="AH770" i="45"/>
  <c r="AI770" i="45"/>
  <c r="CI770" i="45"/>
  <c r="AE770" i="45"/>
  <c r="CJ770" i="45"/>
  <c r="AF770" i="45"/>
  <c r="AL770" i="45"/>
  <c r="CK770" i="45"/>
  <c r="AG770" i="45"/>
  <c r="AM770" i="45"/>
  <c r="AA771" i="45"/>
  <c r="CH771" i="45"/>
  <c r="AC771" i="45"/>
  <c r="AH771" i="45"/>
  <c r="AI771" i="45"/>
  <c r="CI771" i="45"/>
  <c r="AE771" i="45"/>
  <c r="CJ771" i="45"/>
  <c r="AF771" i="45"/>
  <c r="AL771" i="45"/>
  <c r="CK771" i="45"/>
  <c r="AG771" i="45"/>
  <c r="AM771" i="45"/>
  <c r="K772" i="45"/>
  <c r="K760" i="45"/>
  <c r="K759" i="45"/>
  <c r="AA772" i="45"/>
  <c r="CH772" i="45"/>
  <c r="AC772" i="45"/>
  <c r="AH772" i="45"/>
  <c r="AI772" i="45"/>
  <c r="CI772" i="45"/>
  <c r="AE772" i="45"/>
  <c r="CJ772" i="45"/>
  <c r="AF772" i="45"/>
  <c r="AL772" i="45"/>
  <c r="CK772" i="45"/>
  <c r="AG772" i="45"/>
  <c r="AM772" i="45"/>
  <c r="AA773" i="45"/>
  <c r="CH773" i="45"/>
  <c r="AC773" i="45"/>
  <c r="AH773" i="45"/>
  <c r="AI773" i="45"/>
  <c r="CI773" i="45"/>
  <c r="AE773" i="45"/>
  <c r="CJ773" i="45"/>
  <c r="AF773" i="45"/>
  <c r="AL773" i="45"/>
  <c r="CK773" i="45"/>
  <c r="AG773" i="45"/>
  <c r="AM773" i="45"/>
  <c r="AA774" i="45"/>
  <c r="AH774" i="45"/>
  <c r="AL774" i="45"/>
  <c r="CH774" i="45"/>
  <c r="CI774" i="45"/>
  <c r="CJ774" i="45"/>
  <c r="CK774" i="45"/>
  <c r="AA775" i="45"/>
  <c r="AH775" i="45"/>
  <c r="J776" i="45"/>
  <c r="J775" i="45"/>
  <c r="AA776" i="45"/>
  <c r="AH776" i="45"/>
  <c r="AO776" i="45"/>
  <c r="AO775" i="45"/>
  <c r="AP776" i="45"/>
  <c r="AP775" i="45"/>
  <c r="AQ776" i="45"/>
  <c r="AQ775" i="45"/>
  <c r="AR776" i="45"/>
  <c r="AR775" i="45"/>
  <c r="AS776" i="45"/>
  <c r="AS775" i="45"/>
  <c r="AT776" i="45"/>
  <c r="AT775" i="45"/>
  <c r="AU776" i="45"/>
  <c r="AU775" i="45"/>
  <c r="AV776" i="45"/>
  <c r="AV775" i="45"/>
  <c r="AW776" i="45"/>
  <c r="AW775" i="45"/>
  <c r="AX776" i="45"/>
  <c r="AX775" i="45"/>
  <c r="AY776" i="45"/>
  <c r="AY775" i="45"/>
  <c r="AZ776" i="45"/>
  <c r="AZ775" i="45"/>
  <c r="BA776" i="45"/>
  <c r="BA775" i="45"/>
  <c r="BB776" i="45"/>
  <c r="BB775" i="45"/>
  <c r="BC776" i="45"/>
  <c r="BC775" i="45"/>
  <c r="BD776" i="45"/>
  <c r="BD775" i="45"/>
  <c r="BE776" i="45"/>
  <c r="BE775" i="45"/>
  <c r="BF776" i="45"/>
  <c r="BF775" i="45"/>
  <c r="BG776" i="45"/>
  <c r="BG775" i="45"/>
  <c r="BH776" i="45"/>
  <c r="BH775" i="45"/>
  <c r="BJ776" i="45"/>
  <c r="BJ775" i="45"/>
  <c r="BK776" i="45"/>
  <c r="BK775" i="45"/>
  <c r="BL776" i="45"/>
  <c r="BL775" i="45"/>
  <c r="BN776" i="45"/>
  <c r="BN775" i="45"/>
  <c r="BO776" i="45"/>
  <c r="BO775" i="45"/>
  <c r="BP776" i="45"/>
  <c r="BP775" i="45"/>
  <c r="BR776" i="45"/>
  <c r="BR775" i="45"/>
  <c r="BS776" i="45"/>
  <c r="BS775" i="45"/>
  <c r="BT776" i="45"/>
  <c r="BT775" i="45"/>
  <c r="BU776" i="45"/>
  <c r="BU775" i="45"/>
  <c r="BV776" i="45"/>
  <c r="BV775" i="45"/>
  <c r="BW776" i="45"/>
  <c r="BW775" i="45"/>
  <c r="BX776" i="45"/>
  <c r="BX775" i="45"/>
  <c r="BZ776" i="45"/>
  <c r="BZ775" i="45"/>
  <c r="CA776" i="45"/>
  <c r="CA775" i="45"/>
  <c r="CB776" i="45"/>
  <c r="CB775" i="45"/>
  <c r="CC776" i="45"/>
  <c r="CC775" i="45"/>
  <c r="CD776" i="45"/>
  <c r="CD775" i="45"/>
  <c r="CE776" i="45"/>
  <c r="CE775" i="45"/>
  <c r="CF776" i="45"/>
  <c r="CF775" i="45"/>
  <c r="CP776" i="45"/>
  <c r="CP775" i="45"/>
  <c r="CH775" i="45"/>
  <c r="CQ776" i="45"/>
  <c r="CQ775" i="45"/>
  <c r="CI775" i="45"/>
  <c r="CR776" i="45"/>
  <c r="CR775" i="45"/>
  <c r="CJ775" i="45"/>
  <c r="CS776" i="45"/>
  <c r="CS775" i="45"/>
  <c r="CK775" i="45"/>
  <c r="W777" i="45"/>
  <c r="X777" i="45"/>
  <c r="Y777" i="45"/>
  <c r="AH777" i="45"/>
  <c r="BI777" i="45"/>
  <c r="BY777" i="45"/>
  <c r="BY779" i="45"/>
  <c r="BY776" i="45"/>
  <c r="BY775" i="45"/>
  <c r="CH777" i="45"/>
  <c r="CI777" i="45"/>
  <c r="AE777" i="45"/>
  <c r="CJ777" i="45"/>
  <c r="AF777" i="45"/>
  <c r="CK777" i="45"/>
  <c r="AG777" i="45"/>
  <c r="CZ777" i="45"/>
  <c r="Y778" i="45"/>
  <c r="AH778" i="45"/>
  <c r="CH778" i="45"/>
  <c r="AC778" i="45"/>
  <c r="AI778" i="45"/>
  <c r="Z778" i="45"/>
  <c r="AA778" i="45"/>
  <c r="CI778" i="45"/>
  <c r="AE778" i="45"/>
  <c r="CJ778" i="45"/>
  <c r="AF778" i="45"/>
  <c r="AL778" i="45"/>
  <c r="CK778" i="45"/>
  <c r="AG778" i="45"/>
  <c r="AM778" i="45"/>
  <c r="W779" i="45"/>
  <c r="X779" i="45"/>
  <c r="Y779" i="45"/>
  <c r="AH779" i="45"/>
  <c r="BM779" i="45"/>
  <c r="BY522" i="45"/>
  <c r="CH779" i="45"/>
  <c r="CI779" i="45"/>
  <c r="AE779" i="45"/>
  <c r="CJ779" i="45"/>
  <c r="AF779" i="45"/>
  <c r="AL779" i="45"/>
  <c r="CK779" i="45"/>
  <c r="AG779" i="45"/>
  <c r="AM779" i="45"/>
  <c r="CZ779" i="45"/>
  <c r="AA780" i="45"/>
  <c r="AH780" i="45"/>
  <c r="CH780" i="45"/>
  <c r="AC780" i="45"/>
  <c r="AI780" i="45"/>
  <c r="CI780" i="45"/>
  <c r="AE780" i="45"/>
  <c r="CJ780" i="45"/>
  <c r="AF780" i="45"/>
  <c r="AL780" i="45"/>
  <c r="CK780" i="45"/>
  <c r="AG780" i="45"/>
  <c r="AM780" i="45"/>
  <c r="AA781" i="45"/>
  <c r="AH781" i="45"/>
  <c r="CH781" i="45"/>
  <c r="AC781" i="45"/>
  <c r="AI781" i="45"/>
  <c r="CI781" i="45"/>
  <c r="AE781" i="45"/>
  <c r="CJ781" i="45"/>
  <c r="AF781" i="45"/>
  <c r="AL781" i="45"/>
  <c r="CK781" i="45"/>
  <c r="AG781" i="45"/>
  <c r="AM781" i="45"/>
  <c r="AA782" i="45"/>
  <c r="AH782" i="45"/>
  <c r="BQ782" i="45"/>
  <c r="BQ525" i="45"/>
  <c r="CH782" i="45"/>
  <c r="CI782" i="45"/>
  <c r="AE782" i="45"/>
  <c r="CJ782" i="45"/>
  <c r="AF782" i="45"/>
  <c r="AL782" i="45"/>
  <c r="CK782" i="45"/>
  <c r="AG782" i="45"/>
  <c r="AM782" i="45"/>
  <c r="AA783" i="45"/>
  <c r="AH783" i="45"/>
  <c r="CH783" i="45"/>
  <c r="AC783" i="45"/>
  <c r="AI783" i="45"/>
  <c r="CI783" i="45"/>
  <c r="AE783" i="45"/>
  <c r="CJ783" i="45"/>
  <c r="AF783" i="45"/>
  <c r="AL783" i="45"/>
  <c r="CK783" i="45"/>
  <c r="AG783" i="45"/>
  <c r="AM783" i="45"/>
  <c r="AA784" i="45"/>
  <c r="AH784" i="45"/>
  <c r="CH784" i="45"/>
  <c r="AC784" i="45"/>
  <c r="AI784" i="45"/>
  <c r="CI784" i="45"/>
  <c r="AE784" i="45"/>
  <c r="CJ784" i="45"/>
  <c r="AF784" i="45"/>
  <c r="AL784" i="45"/>
  <c r="CK784" i="45"/>
  <c r="AG784" i="45"/>
  <c r="AM784" i="45"/>
  <c r="H776" i="45"/>
  <c r="AA785" i="45"/>
  <c r="AH785" i="45"/>
  <c r="CH785" i="45"/>
  <c r="AC785" i="45"/>
  <c r="AI785" i="45"/>
  <c r="CI785" i="45"/>
  <c r="AE785" i="45"/>
  <c r="CJ785" i="45"/>
  <c r="AF785" i="45"/>
  <c r="AL785" i="45"/>
  <c r="CK785" i="45"/>
  <c r="AG785" i="45"/>
  <c r="AM785" i="45"/>
  <c r="AA786" i="45"/>
  <c r="AH786" i="45"/>
  <c r="CH786" i="45"/>
  <c r="AC786" i="45"/>
  <c r="AI786" i="45"/>
  <c r="CI786" i="45"/>
  <c r="AE786" i="45"/>
  <c r="CJ786" i="45"/>
  <c r="AF786" i="45"/>
  <c r="AL786" i="45"/>
  <c r="CK786" i="45"/>
  <c r="AG786" i="45"/>
  <c r="AM786" i="45"/>
  <c r="AA787" i="45"/>
  <c r="AH787" i="45"/>
  <c r="CH787" i="45"/>
  <c r="AC787" i="45"/>
  <c r="AI787" i="45"/>
  <c r="CI787" i="45"/>
  <c r="AE787" i="45"/>
  <c r="CJ787" i="45"/>
  <c r="AF787" i="45"/>
  <c r="AL787" i="45"/>
  <c r="CK787" i="45"/>
  <c r="AG787" i="45"/>
  <c r="AM787" i="45"/>
  <c r="K788" i="45"/>
  <c r="K776" i="45"/>
  <c r="K775" i="45"/>
  <c r="AA788" i="45"/>
  <c r="AH788" i="45"/>
  <c r="CH788" i="45"/>
  <c r="AC788" i="45"/>
  <c r="AI788" i="45"/>
  <c r="CI788" i="45"/>
  <c r="AE788" i="45"/>
  <c r="CJ788" i="45"/>
  <c r="AF788" i="45"/>
  <c r="AL788" i="45"/>
  <c r="CK788" i="45"/>
  <c r="AG788" i="45"/>
  <c r="AM788" i="45"/>
  <c r="AA789" i="45"/>
  <c r="AH789" i="45"/>
  <c r="CH789" i="45"/>
  <c r="AC789" i="45"/>
  <c r="AI789" i="45"/>
  <c r="CI789" i="45"/>
  <c r="AE789" i="45"/>
  <c r="CJ789" i="45"/>
  <c r="AF789" i="45"/>
  <c r="AL789" i="45"/>
  <c r="CK789" i="45"/>
  <c r="AG789" i="45"/>
  <c r="AM789" i="45"/>
  <c r="AA790" i="45"/>
  <c r="AH790" i="45"/>
  <c r="AL790" i="45"/>
  <c r="CH790" i="45"/>
  <c r="CI790" i="45"/>
  <c r="CJ790" i="45"/>
  <c r="CK790" i="45"/>
  <c r="AA791" i="45"/>
  <c r="AH791" i="45"/>
  <c r="I792" i="45"/>
  <c r="I791" i="45"/>
  <c r="O792" i="45"/>
  <c r="Q792" i="45"/>
  <c r="R792" i="45"/>
  <c r="S792" i="45"/>
  <c r="AA792" i="45"/>
  <c r="AH792" i="45"/>
  <c r="AO792" i="45"/>
  <c r="AO791" i="45"/>
  <c r="AP792" i="45"/>
  <c r="AP791" i="45"/>
  <c r="AQ792" i="45"/>
  <c r="AQ791" i="45"/>
  <c r="AR792" i="45"/>
  <c r="AR791" i="45"/>
  <c r="AS792" i="45"/>
  <c r="AS791" i="45"/>
  <c r="AT792" i="45"/>
  <c r="AT791" i="45"/>
  <c r="AU792" i="45"/>
  <c r="AU791" i="45"/>
  <c r="AV792" i="45"/>
  <c r="AV791" i="45"/>
  <c r="AW792" i="45"/>
  <c r="AW791" i="45"/>
  <c r="AX792" i="45"/>
  <c r="AX791" i="45"/>
  <c r="AY792" i="45"/>
  <c r="AY791" i="45"/>
  <c r="AZ792" i="45"/>
  <c r="AZ791" i="45"/>
  <c r="BA792" i="45"/>
  <c r="BA791" i="45"/>
  <c r="BB792" i="45"/>
  <c r="BB791" i="45"/>
  <c r="BC792" i="45"/>
  <c r="BC791" i="45"/>
  <c r="BD792" i="45"/>
  <c r="BD791" i="45"/>
  <c r="BE792" i="45"/>
  <c r="BE791" i="45"/>
  <c r="BF792" i="45"/>
  <c r="BF791" i="45"/>
  <c r="BG792" i="45"/>
  <c r="BG791" i="45"/>
  <c r="BH792" i="45"/>
  <c r="BH791" i="45"/>
  <c r="BJ792" i="45"/>
  <c r="BJ791" i="45"/>
  <c r="BK792" i="45"/>
  <c r="BK791" i="45"/>
  <c r="BL792" i="45"/>
  <c r="BL791" i="45"/>
  <c r="BM792" i="45"/>
  <c r="BM791" i="45"/>
  <c r="BN792" i="45"/>
  <c r="BN791" i="45"/>
  <c r="BO792" i="45"/>
  <c r="BO791" i="45"/>
  <c r="BP792" i="45"/>
  <c r="BP791" i="45"/>
  <c r="BQ792" i="45"/>
  <c r="BQ791" i="45"/>
  <c r="BR792" i="45"/>
  <c r="BR791" i="45"/>
  <c r="BS792" i="45"/>
  <c r="BS791" i="45"/>
  <c r="BT792" i="45"/>
  <c r="BT791" i="45"/>
  <c r="BV792" i="45"/>
  <c r="BV791" i="45"/>
  <c r="BW792" i="45"/>
  <c r="BW791" i="45"/>
  <c r="BX792" i="45"/>
  <c r="BX791" i="45"/>
  <c r="BZ792" i="45"/>
  <c r="BZ791" i="45"/>
  <c r="CA792" i="45"/>
  <c r="CA791" i="45"/>
  <c r="CB792" i="45"/>
  <c r="CB791" i="45"/>
  <c r="CD792" i="45"/>
  <c r="CD791" i="45"/>
  <c r="CE792" i="45"/>
  <c r="CE791" i="45"/>
  <c r="CF792" i="45"/>
  <c r="CF791" i="45"/>
  <c r="CP792" i="45"/>
  <c r="CP791" i="45"/>
  <c r="CH791" i="45"/>
  <c r="CQ792" i="45"/>
  <c r="CQ791" i="45"/>
  <c r="CI791" i="45"/>
  <c r="CR792" i="45"/>
  <c r="CR791" i="45"/>
  <c r="CJ791" i="45"/>
  <c r="CS792" i="45"/>
  <c r="CS791" i="45"/>
  <c r="CK791" i="45"/>
  <c r="W793" i="45"/>
  <c r="X793" i="45"/>
  <c r="AH793" i="45"/>
  <c r="BI793" i="45"/>
  <c r="BU793" i="45"/>
  <c r="BY793" i="45"/>
  <c r="BY792" i="45"/>
  <c r="BY791" i="45"/>
  <c r="CC793" i="45"/>
  <c r="CC792" i="45"/>
  <c r="CC791" i="45"/>
  <c r="CH793" i="45"/>
  <c r="CI793" i="45"/>
  <c r="AE793" i="45"/>
  <c r="CJ793" i="45"/>
  <c r="AF793" i="45"/>
  <c r="CK793" i="45"/>
  <c r="AG793" i="45"/>
  <c r="CZ793" i="45"/>
  <c r="DE793" i="45"/>
  <c r="DF793" i="45"/>
  <c r="Y794" i="45"/>
  <c r="AH794" i="45"/>
  <c r="CH794" i="45"/>
  <c r="AC794" i="45"/>
  <c r="AI794" i="45"/>
  <c r="Z794" i="45"/>
  <c r="AA794" i="45"/>
  <c r="CI794" i="45"/>
  <c r="AE794" i="45"/>
  <c r="CJ794" i="45"/>
  <c r="AF794" i="45"/>
  <c r="AL794" i="45"/>
  <c r="CK794" i="45"/>
  <c r="AG794" i="45"/>
  <c r="AM794" i="45"/>
  <c r="W795" i="45"/>
  <c r="X795" i="45"/>
  <c r="Y795" i="45"/>
  <c r="AH795" i="45"/>
  <c r="BI795" i="45"/>
  <c r="BU795" i="45"/>
  <c r="CH795" i="45"/>
  <c r="CI795" i="45"/>
  <c r="AE795" i="45"/>
  <c r="CJ795" i="45"/>
  <c r="AF795" i="45"/>
  <c r="AL795" i="45"/>
  <c r="CK795" i="45"/>
  <c r="AG795" i="45"/>
  <c r="AM795" i="45"/>
  <c r="DE795" i="45"/>
  <c r="AA796" i="45"/>
  <c r="AH796" i="45"/>
  <c r="CH796" i="45"/>
  <c r="AC796" i="45"/>
  <c r="AI796" i="45"/>
  <c r="CI796" i="45"/>
  <c r="AE796" i="45"/>
  <c r="CJ796" i="45"/>
  <c r="AF796" i="45"/>
  <c r="AL796" i="45"/>
  <c r="CK796" i="45"/>
  <c r="AG796" i="45"/>
  <c r="AM796" i="45"/>
  <c r="AA797" i="45"/>
  <c r="AH797" i="45"/>
  <c r="CH797" i="45"/>
  <c r="AC797" i="45"/>
  <c r="AI797" i="45"/>
  <c r="CI797" i="45"/>
  <c r="AE797" i="45"/>
  <c r="CJ797" i="45"/>
  <c r="AF797" i="45"/>
  <c r="AL797" i="45"/>
  <c r="CK797" i="45"/>
  <c r="AG797" i="45"/>
  <c r="AM797" i="45"/>
  <c r="AA798" i="45"/>
  <c r="AH798" i="45"/>
  <c r="CH798" i="45"/>
  <c r="AC798" i="45"/>
  <c r="AI798" i="45"/>
  <c r="CI798" i="45"/>
  <c r="AE798" i="45"/>
  <c r="CJ798" i="45"/>
  <c r="AF798" i="45"/>
  <c r="AL798" i="45"/>
  <c r="CK798" i="45"/>
  <c r="AG798" i="45"/>
  <c r="AM798" i="45"/>
  <c r="AA799" i="45"/>
  <c r="AH799" i="45"/>
  <c r="CH799" i="45"/>
  <c r="AC799" i="45"/>
  <c r="AI799" i="45"/>
  <c r="CI799" i="45"/>
  <c r="AE799" i="45"/>
  <c r="CJ799" i="45"/>
  <c r="AF799" i="45"/>
  <c r="AL799" i="45"/>
  <c r="CK799" i="45"/>
  <c r="AG799" i="45"/>
  <c r="AM799" i="45"/>
  <c r="J800" i="45"/>
  <c r="AA800" i="45"/>
  <c r="AH800" i="45"/>
  <c r="BI800" i="45"/>
  <c r="BI527" i="45"/>
  <c r="CH800" i="45"/>
  <c r="CI800" i="45"/>
  <c r="AE800" i="45"/>
  <c r="CJ800" i="45"/>
  <c r="AF800" i="45"/>
  <c r="AL800" i="45"/>
  <c r="CK800" i="45"/>
  <c r="AG800" i="45"/>
  <c r="AM800" i="45"/>
  <c r="J801" i="45"/>
  <c r="AA801" i="45"/>
  <c r="CH801" i="45"/>
  <c r="AC801" i="45"/>
  <c r="AH801" i="45"/>
  <c r="AI801" i="45"/>
  <c r="CI801" i="45"/>
  <c r="AE801" i="45"/>
  <c r="CJ801" i="45"/>
  <c r="AF801" i="45"/>
  <c r="CK801" i="45"/>
  <c r="AG801" i="45"/>
  <c r="AM801" i="45"/>
  <c r="AA802" i="45"/>
  <c r="CH802" i="45"/>
  <c r="AC802" i="45"/>
  <c r="AH802" i="45"/>
  <c r="AI802" i="45"/>
  <c r="CI802" i="45"/>
  <c r="AE802" i="45"/>
  <c r="CJ802" i="45"/>
  <c r="AF802" i="45"/>
  <c r="AL802" i="45"/>
  <c r="CK802" i="45"/>
  <c r="AG802" i="45"/>
  <c r="AM802" i="45"/>
  <c r="AA803" i="45"/>
  <c r="CH803" i="45"/>
  <c r="AC803" i="45"/>
  <c r="AH803" i="45"/>
  <c r="AI803" i="45"/>
  <c r="CI803" i="45"/>
  <c r="AE803" i="45"/>
  <c r="CJ803" i="45"/>
  <c r="AF803" i="45"/>
  <c r="AL803" i="45"/>
  <c r="CK803" i="45"/>
  <c r="AG803" i="45"/>
  <c r="AM803" i="45"/>
  <c r="K804" i="45"/>
  <c r="K792" i="45"/>
  <c r="K791" i="45"/>
  <c r="AA804" i="45"/>
  <c r="CH804" i="45"/>
  <c r="AC804" i="45"/>
  <c r="AH804" i="45"/>
  <c r="AI804" i="45"/>
  <c r="CI804" i="45"/>
  <c r="AE804" i="45"/>
  <c r="CJ804" i="45"/>
  <c r="AF804" i="45"/>
  <c r="AL804" i="45"/>
  <c r="CK804" i="45"/>
  <c r="AG804" i="45"/>
  <c r="AM804" i="45"/>
  <c r="AA805" i="45"/>
  <c r="CH805" i="45"/>
  <c r="AC805" i="45"/>
  <c r="AH805" i="45"/>
  <c r="AI805" i="45"/>
  <c r="CI805" i="45"/>
  <c r="AE805" i="45"/>
  <c r="CJ805" i="45"/>
  <c r="AF805" i="45"/>
  <c r="AL805" i="45"/>
  <c r="CK805" i="45"/>
  <c r="AG805" i="45"/>
  <c r="AM805" i="45"/>
  <c r="H806" i="45"/>
  <c r="AA806" i="45"/>
  <c r="AH806" i="45"/>
  <c r="AL806" i="45"/>
  <c r="CH806" i="45"/>
  <c r="CI806" i="45"/>
  <c r="CJ806" i="45"/>
  <c r="CK806" i="45"/>
  <c r="AA807" i="45"/>
  <c r="AH807" i="45"/>
  <c r="I808" i="45"/>
  <c r="I807" i="45"/>
  <c r="K808" i="45"/>
  <c r="K807" i="45"/>
  <c r="AA808" i="45"/>
  <c r="AH808" i="45"/>
  <c r="AO808" i="45"/>
  <c r="AO807" i="45"/>
  <c r="AP808" i="45"/>
  <c r="AP807" i="45"/>
  <c r="AQ808" i="45"/>
  <c r="AQ807" i="45"/>
  <c r="AR808" i="45"/>
  <c r="AR807" i="45"/>
  <c r="AS808" i="45"/>
  <c r="AS807" i="45"/>
  <c r="AT808" i="45"/>
  <c r="AT807" i="45"/>
  <c r="AU808" i="45"/>
  <c r="AU807" i="45"/>
  <c r="AV808" i="45"/>
  <c r="AV807" i="45"/>
  <c r="AW808" i="45"/>
  <c r="AW807" i="45"/>
  <c r="AX808" i="45"/>
  <c r="AX807" i="45"/>
  <c r="AY808" i="45"/>
  <c r="AY807" i="45"/>
  <c r="AZ808" i="45"/>
  <c r="AZ807" i="45"/>
  <c r="BA808" i="45"/>
  <c r="BA807" i="45"/>
  <c r="BB808" i="45"/>
  <c r="BB807" i="45"/>
  <c r="BC808" i="45"/>
  <c r="BC807" i="45"/>
  <c r="BD808" i="45"/>
  <c r="BD807" i="45"/>
  <c r="BE808" i="45"/>
  <c r="BE807" i="45"/>
  <c r="BF808" i="45"/>
  <c r="BF807" i="45"/>
  <c r="BG808" i="45"/>
  <c r="BG807" i="45"/>
  <c r="BH808" i="45"/>
  <c r="BH807" i="45"/>
  <c r="BJ808" i="45"/>
  <c r="BJ807" i="45"/>
  <c r="BK808" i="45"/>
  <c r="BK807" i="45"/>
  <c r="BL808" i="45"/>
  <c r="BL807" i="45"/>
  <c r="BN808" i="45"/>
  <c r="BN807" i="45"/>
  <c r="BO808" i="45"/>
  <c r="BO807" i="45"/>
  <c r="BP808" i="45"/>
  <c r="BP807" i="45"/>
  <c r="BQ808" i="45"/>
  <c r="BQ807" i="45"/>
  <c r="BR808" i="45"/>
  <c r="BR807" i="45"/>
  <c r="BS808" i="45"/>
  <c r="BS807" i="45"/>
  <c r="BT808" i="45"/>
  <c r="BT807" i="45"/>
  <c r="BU808" i="45"/>
  <c r="BU807" i="45"/>
  <c r="BV808" i="45"/>
  <c r="BV807" i="45"/>
  <c r="BW808" i="45"/>
  <c r="BW807" i="45"/>
  <c r="BX808" i="45"/>
  <c r="BX807" i="45"/>
  <c r="BZ808" i="45"/>
  <c r="BZ807" i="45"/>
  <c r="CA808" i="45"/>
  <c r="CA807" i="45"/>
  <c r="CB808" i="45"/>
  <c r="CB807" i="45"/>
  <c r="CD808" i="45"/>
  <c r="CD807" i="45"/>
  <c r="CE808" i="45"/>
  <c r="CE807" i="45"/>
  <c r="CF808" i="45"/>
  <c r="CF807" i="45"/>
  <c r="CP808" i="45"/>
  <c r="CP807" i="45"/>
  <c r="CH807" i="45"/>
  <c r="CQ808" i="45"/>
  <c r="CQ807" i="45"/>
  <c r="CI807" i="45"/>
  <c r="CR808" i="45"/>
  <c r="CR807" i="45"/>
  <c r="CJ807" i="45"/>
  <c r="CS808" i="45"/>
  <c r="CS807" i="45"/>
  <c r="CK807" i="45"/>
  <c r="W809" i="45"/>
  <c r="X809" i="45"/>
  <c r="AH809" i="45"/>
  <c r="BI809" i="45"/>
  <c r="BI808" i="45"/>
  <c r="BI807" i="45"/>
  <c r="BY809" i="45"/>
  <c r="BY808" i="45"/>
  <c r="BY807" i="45"/>
  <c r="CC809" i="45"/>
  <c r="CC808" i="45"/>
  <c r="CC807" i="45"/>
  <c r="CH809" i="45"/>
  <c r="CI809" i="45"/>
  <c r="AE809" i="45"/>
  <c r="CJ809" i="45"/>
  <c r="AF809" i="45"/>
  <c r="CK809" i="45"/>
  <c r="AG809" i="45"/>
  <c r="CZ809" i="45"/>
  <c r="Y810" i="45"/>
  <c r="AH810" i="45"/>
  <c r="CH810" i="45"/>
  <c r="AC810" i="45"/>
  <c r="AI810" i="45"/>
  <c r="Z810" i="45"/>
  <c r="AA810" i="45"/>
  <c r="CI810" i="45"/>
  <c r="AE810" i="45"/>
  <c r="CJ810" i="45"/>
  <c r="AF810" i="45"/>
  <c r="AL810" i="45"/>
  <c r="CK810" i="45"/>
  <c r="AG810" i="45"/>
  <c r="AM810" i="45"/>
  <c r="W811" i="45"/>
  <c r="X811" i="45"/>
  <c r="Y811" i="45"/>
  <c r="AH811" i="45"/>
  <c r="BM811" i="45"/>
  <c r="BM808" i="45"/>
  <c r="BM807" i="45"/>
  <c r="CH811" i="45"/>
  <c r="CI811" i="45"/>
  <c r="AE811" i="45"/>
  <c r="CJ811" i="45"/>
  <c r="AF811" i="45"/>
  <c r="AL811" i="45"/>
  <c r="CK811" i="45"/>
  <c r="AG811" i="45"/>
  <c r="AM811" i="45"/>
  <c r="CZ811" i="45"/>
  <c r="AA812" i="45"/>
  <c r="AH812" i="45"/>
  <c r="CH812" i="45"/>
  <c r="AC812" i="45"/>
  <c r="AI812" i="45"/>
  <c r="CI812" i="45"/>
  <c r="AE812" i="45"/>
  <c r="CJ812" i="45"/>
  <c r="AF812" i="45"/>
  <c r="AL812" i="45"/>
  <c r="CK812" i="45"/>
  <c r="AG812" i="45"/>
  <c r="AM812" i="45"/>
  <c r="AA813" i="45"/>
  <c r="AH813" i="45"/>
  <c r="CH813" i="45"/>
  <c r="AC813" i="45"/>
  <c r="AI813" i="45"/>
  <c r="CI813" i="45"/>
  <c r="AE813" i="45"/>
  <c r="CJ813" i="45"/>
  <c r="AF813" i="45"/>
  <c r="AL813" i="45"/>
  <c r="CK813" i="45"/>
  <c r="AG813" i="45"/>
  <c r="AM813" i="45"/>
  <c r="AA814" i="45"/>
  <c r="AH814" i="45"/>
  <c r="CH814" i="45"/>
  <c r="AC814" i="45"/>
  <c r="AI814" i="45"/>
  <c r="CI814" i="45"/>
  <c r="AE814" i="45"/>
  <c r="CJ814" i="45"/>
  <c r="AF814" i="45"/>
  <c r="AL814" i="45"/>
  <c r="CK814" i="45"/>
  <c r="AG814" i="45"/>
  <c r="AM814" i="45"/>
  <c r="AA815" i="45"/>
  <c r="AH815" i="45"/>
  <c r="CH815" i="45"/>
  <c r="AC815" i="45"/>
  <c r="AI815" i="45"/>
  <c r="CI815" i="45"/>
  <c r="AE815" i="45"/>
  <c r="CJ815" i="45"/>
  <c r="AF815" i="45"/>
  <c r="AL815" i="45"/>
  <c r="CK815" i="45"/>
  <c r="AG815" i="45"/>
  <c r="AM815" i="45"/>
  <c r="J816" i="45"/>
  <c r="J808" i="45"/>
  <c r="AA816" i="45"/>
  <c r="AH816" i="45"/>
  <c r="CH816" i="45"/>
  <c r="AC816" i="45"/>
  <c r="AI816" i="45"/>
  <c r="CI816" i="45"/>
  <c r="AE816" i="45"/>
  <c r="CJ816" i="45"/>
  <c r="AF816" i="45"/>
  <c r="AL816" i="45"/>
  <c r="CK816" i="45"/>
  <c r="AG816" i="45"/>
  <c r="AM816" i="45"/>
  <c r="AA817" i="45"/>
  <c r="AH817" i="45"/>
  <c r="CH817" i="45"/>
  <c r="AC817" i="45"/>
  <c r="CI817" i="45"/>
  <c r="AE817" i="45"/>
  <c r="CJ817" i="45"/>
  <c r="AF817" i="45"/>
  <c r="AL817" i="45"/>
  <c r="CK817" i="45"/>
  <c r="AG817" i="45"/>
  <c r="AM817" i="45"/>
  <c r="AA818" i="45"/>
  <c r="AH818" i="45"/>
  <c r="CH818" i="45"/>
  <c r="AC818" i="45"/>
  <c r="AI818" i="45"/>
  <c r="CI818" i="45"/>
  <c r="AE818" i="45"/>
  <c r="CJ818" i="45"/>
  <c r="AF818" i="45"/>
  <c r="AL818" i="45"/>
  <c r="CK818" i="45"/>
  <c r="AG818" i="45"/>
  <c r="AM818" i="45"/>
  <c r="AA819" i="45"/>
  <c r="AH819" i="45"/>
  <c r="CH819" i="45"/>
  <c r="AC819" i="45"/>
  <c r="AI819" i="45"/>
  <c r="CI819" i="45"/>
  <c r="AE819" i="45"/>
  <c r="CJ819" i="45"/>
  <c r="AF819" i="45"/>
  <c r="AL819" i="45"/>
  <c r="CK819" i="45"/>
  <c r="AG819" i="45"/>
  <c r="AM819" i="45"/>
  <c r="AA820" i="45"/>
  <c r="AH820" i="45"/>
  <c r="CH820" i="45"/>
  <c r="AC820" i="45"/>
  <c r="AI820" i="45"/>
  <c r="CI820" i="45"/>
  <c r="AE820" i="45"/>
  <c r="CJ820" i="45"/>
  <c r="AF820" i="45"/>
  <c r="AL820" i="45"/>
  <c r="CK820" i="45"/>
  <c r="AG820" i="45"/>
  <c r="AM820" i="45"/>
  <c r="AA821" i="45"/>
  <c r="AH821" i="45"/>
  <c r="CH821" i="45"/>
  <c r="AC821" i="45"/>
  <c r="AI821" i="45"/>
  <c r="CI821" i="45"/>
  <c r="AE821" i="45"/>
  <c r="CJ821" i="45"/>
  <c r="AF821" i="45"/>
  <c r="AL821" i="45"/>
  <c r="CK821" i="45"/>
  <c r="AG821" i="45"/>
  <c r="AM821" i="45"/>
  <c r="H822" i="45"/>
  <c r="AA822" i="45"/>
  <c r="AH822" i="45"/>
  <c r="AL822" i="45"/>
  <c r="CH822" i="45"/>
  <c r="CI822" i="45"/>
  <c r="CJ822" i="45"/>
  <c r="CK822" i="45"/>
  <c r="AA823" i="45"/>
  <c r="AH823" i="45"/>
  <c r="J824" i="45"/>
  <c r="J823" i="45"/>
  <c r="K824" i="45"/>
  <c r="K823" i="45"/>
  <c r="AA824" i="45"/>
  <c r="AH824" i="45"/>
  <c r="AO824" i="45"/>
  <c r="AO823" i="45"/>
  <c r="AP824" i="45"/>
  <c r="AP823" i="45"/>
  <c r="AQ824" i="45"/>
  <c r="AQ823" i="45"/>
  <c r="AR824" i="45"/>
  <c r="AR823" i="45"/>
  <c r="AS824" i="45"/>
  <c r="AS823" i="45"/>
  <c r="AT824" i="45"/>
  <c r="AT823" i="45"/>
  <c r="AU824" i="45"/>
  <c r="AU823" i="45"/>
  <c r="AV824" i="45"/>
  <c r="AV823" i="45"/>
  <c r="AW824" i="45"/>
  <c r="AW823" i="45"/>
  <c r="AX824" i="45"/>
  <c r="AX823" i="45"/>
  <c r="AY824" i="45"/>
  <c r="AY823" i="45"/>
  <c r="AZ824" i="45"/>
  <c r="AZ823" i="45"/>
  <c r="BA824" i="45"/>
  <c r="BA823" i="45"/>
  <c r="BB824" i="45"/>
  <c r="BB823" i="45"/>
  <c r="BC824" i="45"/>
  <c r="BC823" i="45"/>
  <c r="BD824" i="45"/>
  <c r="BD823" i="45"/>
  <c r="BE824" i="45"/>
  <c r="BE823" i="45"/>
  <c r="BF824" i="45"/>
  <c r="BF823" i="45"/>
  <c r="BG824" i="45"/>
  <c r="BG823" i="45"/>
  <c r="BH824" i="45"/>
  <c r="BH823" i="45"/>
  <c r="BJ824" i="45"/>
  <c r="BJ823" i="45"/>
  <c r="BK824" i="45"/>
  <c r="BK823" i="45"/>
  <c r="BL824" i="45"/>
  <c r="BL823" i="45"/>
  <c r="BN824" i="45"/>
  <c r="BN823" i="45"/>
  <c r="BO824" i="45"/>
  <c r="BO823" i="45"/>
  <c r="BP824" i="45"/>
  <c r="BP823" i="45"/>
  <c r="BR824" i="45"/>
  <c r="BR823" i="45"/>
  <c r="BS824" i="45"/>
  <c r="BS823" i="45"/>
  <c r="BT824" i="45"/>
  <c r="BT823" i="45"/>
  <c r="BU824" i="45"/>
  <c r="BU823" i="45"/>
  <c r="BV824" i="45"/>
  <c r="BV823" i="45"/>
  <c r="BW824" i="45"/>
  <c r="BW823" i="45"/>
  <c r="BX824" i="45"/>
  <c r="BX823" i="45"/>
  <c r="BY824" i="45"/>
  <c r="BY823" i="45"/>
  <c r="BZ824" i="45"/>
  <c r="BZ823" i="45"/>
  <c r="CA824" i="45"/>
  <c r="CA823" i="45"/>
  <c r="CB824" i="45"/>
  <c r="CB823" i="45"/>
  <c r="CD824" i="45"/>
  <c r="CD823" i="45"/>
  <c r="CE824" i="45"/>
  <c r="CE823" i="45"/>
  <c r="CF824" i="45"/>
  <c r="CF823" i="45"/>
  <c r="CP824" i="45"/>
  <c r="CP823" i="45"/>
  <c r="CH823" i="45"/>
  <c r="CQ824" i="45"/>
  <c r="CQ823" i="45"/>
  <c r="CI823" i="45"/>
  <c r="CR824" i="45"/>
  <c r="CR823" i="45"/>
  <c r="CJ823" i="45"/>
  <c r="CS824" i="45"/>
  <c r="CS823" i="45"/>
  <c r="CK823" i="45"/>
  <c r="W825" i="45"/>
  <c r="X825" i="45"/>
  <c r="AH825" i="45"/>
  <c r="BI825" i="45"/>
  <c r="BI824" i="45"/>
  <c r="BI823" i="45"/>
  <c r="BM825" i="45"/>
  <c r="BQ825" i="45"/>
  <c r="CC825" i="45"/>
  <c r="CC824" i="45"/>
  <c r="CC823" i="45"/>
  <c r="CH825" i="45"/>
  <c r="CI825" i="45"/>
  <c r="AE825" i="45"/>
  <c r="CJ825" i="45"/>
  <c r="AF825" i="45"/>
  <c r="CK825" i="45"/>
  <c r="AG825" i="45"/>
  <c r="CZ825" i="45"/>
  <c r="Y826" i="45"/>
  <c r="AH826" i="45"/>
  <c r="CH826" i="45"/>
  <c r="AC826" i="45"/>
  <c r="AI826" i="45"/>
  <c r="Z826" i="45"/>
  <c r="AA826" i="45"/>
  <c r="CI826" i="45"/>
  <c r="AE826" i="45"/>
  <c r="CJ826" i="45"/>
  <c r="AF826" i="45"/>
  <c r="AL826" i="45"/>
  <c r="CK826" i="45"/>
  <c r="AG826" i="45"/>
  <c r="AM826" i="45"/>
  <c r="W827" i="45"/>
  <c r="X827" i="45"/>
  <c r="Y827" i="45"/>
  <c r="AH827" i="45"/>
  <c r="BM827" i="45"/>
  <c r="BQ827" i="45"/>
  <c r="CH827" i="45"/>
  <c r="CI827" i="45"/>
  <c r="AE827" i="45"/>
  <c r="CJ827" i="45"/>
  <c r="AF827" i="45"/>
  <c r="AL827" i="45"/>
  <c r="CK827" i="45"/>
  <c r="AG827" i="45"/>
  <c r="AM827" i="45"/>
  <c r="CZ827" i="45"/>
  <c r="AA828" i="45"/>
  <c r="AH828" i="45"/>
  <c r="CH828" i="45"/>
  <c r="AC828" i="45"/>
  <c r="AI828" i="45"/>
  <c r="CI828" i="45"/>
  <c r="AE828" i="45"/>
  <c r="CJ828" i="45"/>
  <c r="AF828" i="45"/>
  <c r="AL828" i="45"/>
  <c r="CK828" i="45"/>
  <c r="AG828" i="45"/>
  <c r="AM828" i="45"/>
  <c r="AA829" i="45"/>
  <c r="CH829" i="45"/>
  <c r="AC829" i="45"/>
  <c r="AH829" i="45"/>
  <c r="AI829" i="45"/>
  <c r="CI829" i="45"/>
  <c r="AE829" i="45"/>
  <c r="CJ829" i="45"/>
  <c r="AF829" i="45"/>
  <c r="AL829" i="45"/>
  <c r="CK829" i="45"/>
  <c r="AG829" i="45"/>
  <c r="AM829" i="45"/>
  <c r="AA830" i="45"/>
  <c r="CH830" i="45"/>
  <c r="AC830" i="45"/>
  <c r="AH830" i="45"/>
  <c r="AI830" i="45"/>
  <c r="CI830" i="45"/>
  <c r="AE830" i="45"/>
  <c r="CJ830" i="45"/>
  <c r="AF830" i="45"/>
  <c r="AL830" i="45"/>
  <c r="CK830" i="45"/>
  <c r="AG830" i="45"/>
  <c r="AM830" i="45"/>
  <c r="AA831" i="45"/>
  <c r="CH831" i="45"/>
  <c r="AC831" i="45"/>
  <c r="AH831" i="45"/>
  <c r="AI831" i="45"/>
  <c r="CI831" i="45"/>
  <c r="AE831" i="45"/>
  <c r="CJ831" i="45"/>
  <c r="AF831" i="45"/>
  <c r="AL831" i="45"/>
  <c r="CK831" i="45"/>
  <c r="AG831" i="45"/>
  <c r="AM831" i="45"/>
  <c r="AA832" i="45"/>
  <c r="CH832" i="45"/>
  <c r="AC832" i="45"/>
  <c r="AH832" i="45"/>
  <c r="AI832" i="45"/>
  <c r="CI832" i="45"/>
  <c r="AE832" i="45"/>
  <c r="CJ832" i="45"/>
  <c r="AF832" i="45"/>
  <c r="AL832" i="45"/>
  <c r="CK832" i="45"/>
  <c r="AG832" i="45"/>
  <c r="AM832" i="45"/>
  <c r="I824" i="45"/>
  <c r="AA833" i="45"/>
  <c r="CI833" i="45"/>
  <c r="AE833" i="45"/>
  <c r="AH833" i="45"/>
  <c r="BQ833" i="45"/>
  <c r="CH833" i="45"/>
  <c r="AC833" i="45"/>
  <c r="AI833" i="45"/>
  <c r="CJ833" i="45"/>
  <c r="AF833" i="45"/>
  <c r="AL833" i="45"/>
  <c r="CK833" i="45"/>
  <c r="AG833" i="45"/>
  <c r="AM833" i="45"/>
  <c r="AA834" i="45"/>
  <c r="CI834" i="45"/>
  <c r="AE834" i="45"/>
  <c r="AK834" i="45"/>
  <c r="AH834" i="45"/>
  <c r="BQ834" i="45"/>
  <c r="BQ529" i="45"/>
  <c r="CH834" i="45"/>
  <c r="AC834" i="45"/>
  <c r="AI834" i="45"/>
  <c r="CJ834" i="45"/>
  <c r="AF834" i="45"/>
  <c r="AL834" i="45"/>
  <c r="CK834" i="45"/>
  <c r="AG834" i="45"/>
  <c r="AM834" i="45"/>
  <c r="AA835" i="45"/>
  <c r="AH835" i="45"/>
  <c r="CH835" i="45"/>
  <c r="AC835" i="45"/>
  <c r="AI835" i="45"/>
  <c r="CI835" i="45"/>
  <c r="AE835" i="45"/>
  <c r="CJ835" i="45"/>
  <c r="AF835" i="45"/>
  <c r="AL835" i="45"/>
  <c r="CK835" i="45"/>
  <c r="AG835" i="45"/>
  <c r="AM835" i="45"/>
  <c r="AA836" i="45"/>
  <c r="AH836" i="45"/>
  <c r="CH836" i="45"/>
  <c r="AC836" i="45"/>
  <c r="CI836" i="45"/>
  <c r="AE836" i="45"/>
  <c r="CJ836" i="45"/>
  <c r="AF836" i="45"/>
  <c r="AL836" i="45"/>
  <c r="CK836" i="45"/>
  <c r="AG836" i="45"/>
  <c r="AM836" i="45"/>
  <c r="AA837" i="45"/>
  <c r="CH837" i="45"/>
  <c r="AC837" i="45"/>
  <c r="AH837" i="45"/>
  <c r="AI837" i="45"/>
  <c r="CI837" i="45"/>
  <c r="AE837" i="45"/>
  <c r="CJ837" i="45"/>
  <c r="AF837" i="45"/>
  <c r="AL837" i="45"/>
  <c r="CK837" i="45"/>
  <c r="AG837" i="45"/>
  <c r="AM837" i="45"/>
  <c r="AA838" i="45"/>
  <c r="AH838" i="45"/>
  <c r="AL838" i="45"/>
  <c r="CH838" i="45"/>
  <c r="CI838" i="45"/>
  <c r="CJ838" i="45"/>
  <c r="CK838" i="45"/>
  <c r="AA839" i="45"/>
  <c r="AH839" i="45"/>
  <c r="I840" i="45"/>
  <c r="I839" i="45"/>
  <c r="J840" i="45"/>
  <c r="J839" i="45"/>
  <c r="K840" i="45"/>
  <c r="K839" i="45"/>
  <c r="AA840" i="45"/>
  <c r="AH840" i="45"/>
  <c r="AO840" i="45"/>
  <c r="AO839" i="45"/>
  <c r="AP840" i="45"/>
  <c r="AP839" i="45"/>
  <c r="AQ840" i="45"/>
  <c r="AQ839" i="45"/>
  <c r="AR840" i="45"/>
  <c r="AR839" i="45"/>
  <c r="AS840" i="45"/>
  <c r="AS839" i="45"/>
  <c r="AT840" i="45"/>
  <c r="AT839" i="45"/>
  <c r="AU840" i="45"/>
  <c r="AU839" i="45"/>
  <c r="AV840" i="45"/>
  <c r="AV839" i="45"/>
  <c r="AW840" i="45"/>
  <c r="AW839" i="45"/>
  <c r="AX840" i="45"/>
  <c r="AX839" i="45"/>
  <c r="AY840" i="45"/>
  <c r="AY839" i="45"/>
  <c r="AZ840" i="45"/>
  <c r="AZ839" i="45"/>
  <c r="BA840" i="45"/>
  <c r="BA839" i="45"/>
  <c r="BB840" i="45"/>
  <c r="BB839" i="45"/>
  <c r="BC840" i="45"/>
  <c r="BC839" i="45"/>
  <c r="BD840" i="45"/>
  <c r="BD839" i="45"/>
  <c r="BE840" i="45"/>
  <c r="BE839" i="45"/>
  <c r="BF840" i="45"/>
  <c r="BF839" i="45"/>
  <c r="BG840" i="45"/>
  <c r="BG839" i="45"/>
  <c r="BH840" i="45"/>
  <c r="BH839" i="45"/>
  <c r="BJ840" i="45"/>
  <c r="BJ839" i="45"/>
  <c r="BK840" i="45"/>
  <c r="BK839" i="45"/>
  <c r="BL840" i="45"/>
  <c r="BL839" i="45"/>
  <c r="BN840" i="45"/>
  <c r="BN839" i="45"/>
  <c r="BO840" i="45"/>
  <c r="BO839" i="45"/>
  <c r="BP840" i="45"/>
  <c r="BP839" i="45"/>
  <c r="BQ840" i="45"/>
  <c r="BQ839" i="45"/>
  <c r="BR840" i="45"/>
  <c r="BR839" i="45"/>
  <c r="BS840" i="45"/>
  <c r="BS839" i="45"/>
  <c r="BT840" i="45"/>
  <c r="BT839" i="45"/>
  <c r="BU840" i="45"/>
  <c r="BU839" i="45"/>
  <c r="BV840" i="45"/>
  <c r="BV839" i="45"/>
  <c r="BW840" i="45"/>
  <c r="BW839" i="45"/>
  <c r="BX840" i="45"/>
  <c r="BX839" i="45"/>
  <c r="BZ840" i="45"/>
  <c r="BZ839" i="45"/>
  <c r="CA840" i="45"/>
  <c r="CA839" i="45"/>
  <c r="CB840" i="45"/>
  <c r="CB839" i="45"/>
  <c r="CD840" i="45"/>
  <c r="CD839" i="45"/>
  <c r="CE840" i="45"/>
  <c r="CE839" i="45"/>
  <c r="CF840" i="45"/>
  <c r="CF839" i="45"/>
  <c r="CP840" i="45"/>
  <c r="CP839" i="45"/>
  <c r="CH839" i="45"/>
  <c r="CQ840" i="45"/>
  <c r="CQ839" i="45"/>
  <c r="CI839" i="45"/>
  <c r="CR840" i="45"/>
  <c r="CR839" i="45"/>
  <c r="CJ839" i="45"/>
  <c r="CS840" i="45"/>
  <c r="CS839" i="45"/>
  <c r="CK839" i="45"/>
  <c r="W841" i="45"/>
  <c r="X841" i="45"/>
  <c r="AH841" i="45"/>
  <c r="BI841" i="45"/>
  <c r="BI840" i="45"/>
  <c r="BI839" i="45"/>
  <c r="BM841" i="45"/>
  <c r="BM843" i="45"/>
  <c r="BM840" i="45"/>
  <c r="BM839" i="45"/>
  <c r="BY841" i="45"/>
  <c r="BY840" i="45"/>
  <c r="BY839" i="45"/>
  <c r="CC841" i="45"/>
  <c r="CC840" i="45"/>
  <c r="CC839" i="45"/>
  <c r="CH841" i="45"/>
  <c r="CI841" i="45"/>
  <c r="AE841" i="45"/>
  <c r="CJ841" i="45"/>
  <c r="AF841" i="45"/>
  <c r="CK841" i="45"/>
  <c r="AG841" i="45"/>
  <c r="CZ841" i="45"/>
  <c r="DC841" i="45"/>
  <c r="DA841" i="45"/>
  <c r="DB841" i="45"/>
  <c r="Y842" i="45"/>
  <c r="AH842" i="45"/>
  <c r="CH842" i="45"/>
  <c r="AC842" i="45"/>
  <c r="AI842" i="45"/>
  <c r="Z842" i="45"/>
  <c r="AA842" i="45"/>
  <c r="CI842" i="45"/>
  <c r="AE842" i="45"/>
  <c r="CJ842" i="45"/>
  <c r="AF842" i="45"/>
  <c r="AL842" i="45"/>
  <c r="CK842" i="45"/>
  <c r="AG842" i="45"/>
  <c r="AM842" i="45"/>
  <c r="DB842" i="45"/>
  <c r="DC842" i="45"/>
  <c r="DD842" i="45"/>
  <c r="DE842" i="45"/>
  <c r="DH842" i="45"/>
  <c r="DI842" i="45"/>
  <c r="W843" i="45"/>
  <c r="X843" i="45"/>
  <c r="Y843" i="45"/>
  <c r="AH843" i="45"/>
  <c r="CH843" i="45"/>
  <c r="CI843" i="45"/>
  <c r="AE843" i="45"/>
  <c r="CJ843" i="45"/>
  <c r="AF843" i="45"/>
  <c r="AL843" i="45"/>
  <c r="CK843" i="45"/>
  <c r="AG843" i="45"/>
  <c r="AM843" i="45"/>
  <c r="CZ843" i="45"/>
  <c r="DA843" i="45"/>
  <c r="DC843" i="45"/>
  <c r="AA844" i="45"/>
  <c r="CH844" i="45"/>
  <c r="AC844" i="45"/>
  <c r="AH844" i="45"/>
  <c r="AI844" i="45"/>
  <c r="CI844" i="45"/>
  <c r="AE844" i="45"/>
  <c r="CJ844" i="45"/>
  <c r="AF844" i="45"/>
  <c r="AL844" i="45"/>
  <c r="CK844" i="45"/>
  <c r="AG844" i="45"/>
  <c r="AM844" i="45"/>
  <c r="AA845" i="45"/>
  <c r="CH845" i="45"/>
  <c r="AC845" i="45"/>
  <c r="AH845" i="45"/>
  <c r="AI845" i="45"/>
  <c r="CI845" i="45"/>
  <c r="AE845" i="45"/>
  <c r="CJ845" i="45"/>
  <c r="AF845" i="45"/>
  <c r="AL845" i="45"/>
  <c r="CK845" i="45"/>
  <c r="AG845" i="45"/>
  <c r="AM845" i="45"/>
  <c r="AA846" i="45"/>
  <c r="CH846" i="45"/>
  <c r="AC846" i="45"/>
  <c r="AH846" i="45"/>
  <c r="AI846" i="45"/>
  <c r="CI846" i="45"/>
  <c r="AE846" i="45"/>
  <c r="CJ846" i="45"/>
  <c r="AF846" i="45"/>
  <c r="AL846" i="45"/>
  <c r="CK846" i="45"/>
  <c r="AG846" i="45"/>
  <c r="AM846" i="45"/>
  <c r="AA847" i="45"/>
  <c r="CH847" i="45"/>
  <c r="AC847" i="45"/>
  <c r="AH847" i="45"/>
  <c r="AI847" i="45"/>
  <c r="CI847" i="45"/>
  <c r="AE847" i="45"/>
  <c r="CJ847" i="45"/>
  <c r="AF847" i="45"/>
  <c r="AL847" i="45"/>
  <c r="CK847" i="45"/>
  <c r="AG847" i="45"/>
  <c r="AM847" i="45"/>
  <c r="AA848" i="45"/>
  <c r="CH848" i="45"/>
  <c r="AC848" i="45"/>
  <c r="AH848" i="45"/>
  <c r="AI848" i="45"/>
  <c r="CI848" i="45"/>
  <c r="AE848" i="45"/>
  <c r="CJ848" i="45"/>
  <c r="AF848" i="45"/>
  <c r="AL848" i="45"/>
  <c r="CK848" i="45"/>
  <c r="AG848" i="45"/>
  <c r="AM848" i="45"/>
  <c r="AA849" i="45"/>
  <c r="AH849" i="45"/>
  <c r="CH849" i="45"/>
  <c r="AC849" i="45"/>
  <c r="AI849" i="45"/>
  <c r="CI849" i="45"/>
  <c r="AE849" i="45"/>
  <c r="CJ849" i="45"/>
  <c r="AF849" i="45"/>
  <c r="AL849" i="45"/>
  <c r="CK849" i="45"/>
  <c r="AG849" i="45"/>
  <c r="AM849" i="45"/>
  <c r="AA850" i="45"/>
  <c r="AH850" i="45"/>
  <c r="CH850" i="45"/>
  <c r="AC850" i="45"/>
  <c r="AI850" i="45"/>
  <c r="CI850" i="45"/>
  <c r="AE850" i="45"/>
  <c r="CJ850" i="45"/>
  <c r="AF850" i="45"/>
  <c r="AL850" i="45"/>
  <c r="CK850" i="45"/>
  <c r="AG850" i="45"/>
  <c r="AM850" i="45"/>
  <c r="AA851" i="45"/>
  <c r="AH851" i="45"/>
  <c r="CH851" i="45"/>
  <c r="AC851" i="45"/>
  <c r="AI851" i="45"/>
  <c r="CI851" i="45"/>
  <c r="AE851" i="45"/>
  <c r="CJ851" i="45"/>
  <c r="AF851" i="45"/>
  <c r="AL851" i="45"/>
  <c r="CK851" i="45"/>
  <c r="AG851" i="45"/>
  <c r="AM851" i="45"/>
  <c r="AA852" i="45"/>
  <c r="AH852" i="45"/>
  <c r="CH852" i="45"/>
  <c r="AC852" i="45"/>
  <c r="AI852" i="45"/>
  <c r="CI852" i="45"/>
  <c r="AE852" i="45"/>
  <c r="CJ852" i="45"/>
  <c r="AF852" i="45"/>
  <c r="AL852" i="45"/>
  <c r="CK852" i="45"/>
  <c r="AG852" i="45"/>
  <c r="AM852" i="45"/>
  <c r="AA853" i="45"/>
  <c r="AH853" i="45"/>
  <c r="CH853" i="45"/>
  <c r="AC853" i="45"/>
  <c r="AI853" i="45"/>
  <c r="CI853" i="45"/>
  <c r="AE853" i="45"/>
  <c r="CJ853" i="45"/>
  <c r="AF853" i="45"/>
  <c r="AL853" i="45"/>
  <c r="CK853" i="45"/>
  <c r="AG853" i="45"/>
  <c r="AM853" i="45"/>
  <c r="H854" i="45"/>
  <c r="AA854" i="45"/>
  <c r="AH854" i="45"/>
  <c r="AL854" i="45"/>
  <c r="CH854" i="45"/>
  <c r="CI854" i="45"/>
  <c r="CJ854" i="45"/>
  <c r="CK854" i="45"/>
  <c r="AA855" i="45"/>
  <c r="AH855" i="45"/>
  <c r="I856" i="45"/>
  <c r="I855" i="45"/>
  <c r="J856" i="45"/>
  <c r="J855" i="45"/>
  <c r="K856" i="45"/>
  <c r="K855" i="45"/>
  <c r="AA856" i="45"/>
  <c r="AH856" i="45"/>
  <c r="AO856" i="45"/>
  <c r="AO855" i="45"/>
  <c r="AP856" i="45"/>
  <c r="AP855" i="45"/>
  <c r="AQ856" i="45"/>
  <c r="AQ855" i="45"/>
  <c r="AR856" i="45"/>
  <c r="AR855" i="45"/>
  <c r="AS856" i="45"/>
  <c r="AS855" i="45"/>
  <c r="AT856" i="45"/>
  <c r="AT855" i="45"/>
  <c r="AU856" i="45"/>
  <c r="AU855" i="45"/>
  <c r="AV856" i="45"/>
  <c r="AV855" i="45"/>
  <c r="AW856" i="45"/>
  <c r="AW855" i="45"/>
  <c r="AX856" i="45"/>
  <c r="AX855" i="45"/>
  <c r="AY856" i="45"/>
  <c r="AY855" i="45"/>
  <c r="AZ856" i="45"/>
  <c r="AZ855" i="45"/>
  <c r="BA856" i="45"/>
  <c r="BA855" i="45"/>
  <c r="BB856" i="45"/>
  <c r="BB855" i="45"/>
  <c r="BC856" i="45"/>
  <c r="BC855" i="45"/>
  <c r="BD856" i="45"/>
  <c r="BD855" i="45"/>
  <c r="BE856" i="45"/>
  <c r="BE855" i="45"/>
  <c r="BF856" i="45"/>
  <c r="BF855" i="45"/>
  <c r="BG856" i="45"/>
  <c r="BG855" i="45"/>
  <c r="BH856" i="45"/>
  <c r="BH855" i="45"/>
  <c r="BJ856" i="45"/>
  <c r="BJ855" i="45"/>
  <c r="BK856" i="45"/>
  <c r="BK855" i="45"/>
  <c r="BL856" i="45"/>
  <c r="BL855" i="45"/>
  <c r="BN856" i="45"/>
  <c r="BN855" i="45"/>
  <c r="BO856" i="45"/>
  <c r="BO855" i="45"/>
  <c r="BP856" i="45"/>
  <c r="BP855" i="45"/>
  <c r="BR856" i="45"/>
  <c r="BR855" i="45"/>
  <c r="BS856" i="45"/>
  <c r="BS855" i="45"/>
  <c r="BT856" i="45"/>
  <c r="BT855" i="45"/>
  <c r="BU856" i="45"/>
  <c r="BU855" i="45"/>
  <c r="BV856" i="45"/>
  <c r="BV855" i="45"/>
  <c r="BW856" i="45"/>
  <c r="BW855" i="45"/>
  <c r="BX856" i="45"/>
  <c r="BX855" i="45"/>
  <c r="BY856" i="45"/>
  <c r="BY855" i="45"/>
  <c r="BZ856" i="45"/>
  <c r="BZ855" i="45"/>
  <c r="CA856" i="45"/>
  <c r="CA855" i="45"/>
  <c r="CB856" i="45"/>
  <c r="CB855" i="45"/>
  <c r="CD856" i="45"/>
  <c r="CD855" i="45"/>
  <c r="CE856" i="45"/>
  <c r="CE855" i="45"/>
  <c r="CF856" i="45"/>
  <c r="CF855" i="45"/>
  <c r="CP856" i="45"/>
  <c r="CP855" i="45"/>
  <c r="CH855" i="45"/>
  <c r="CQ856" i="45"/>
  <c r="CQ855" i="45"/>
  <c r="CI855" i="45"/>
  <c r="CR856" i="45"/>
  <c r="CR855" i="45"/>
  <c r="CJ855" i="45"/>
  <c r="CS856" i="45"/>
  <c r="CS855" i="45"/>
  <c r="CK855" i="45"/>
  <c r="W857" i="45"/>
  <c r="X857" i="45"/>
  <c r="AH857" i="45"/>
  <c r="BI857" i="45"/>
  <c r="BI856" i="45"/>
  <c r="BI855" i="45"/>
  <c r="BM857" i="45"/>
  <c r="BM859" i="45"/>
  <c r="BM856" i="45"/>
  <c r="BM855" i="45"/>
  <c r="BQ857" i="45"/>
  <c r="CC857" i="45"/>
  <c r="CC856" i="45"/>
  <c r="CC855" i="45"/>
  <c r="CH857" i="45"/>
  <c r="CI857" i="45"/>
  <c r="AE857" i="45"/>
  <c r="CJ857" i="45"/>
  <c r="AF857" i="45"/>
  <c r="CK857" i="45"/>
  <c r="AG857" i="45"/>
  <c r="CZ857" i="45"/>
  <c r="Y858" i="45"/>
  <c r="AH858" i="45"/>
  <c r="CH858" i="45"/>
  <c r="AC858" i="45"/>
  <c r="AI858" i="45"/>
  <c r="Z858" i="45"/>
  <c r="AA858" i="45"/>
  <c r="CI858" i="45"/>
  <c r="AE858" i="45"/>
  <c r="CJ858" i="45"/>
  <c r="AF858" i="45"/>
  <c r="AL858" i="45"/>
  <c r="CK858" i="45"/>
  <c r="AG858" i="45"/>
  <c r="AM858" i="45"/>
  <c r="W859" i="45"/>
  <c r="X859" i="45"/>
  <c r="Y859" i="45"/>
  <c r="AH859" i="45"/>
  <c r="CH859" i="45"/>
  <c r="CI859" i="45"/>
  <c r="AE859" i="45"/>
  <c r="CJ859" i="45"/>
  <c r="AF859" i="45"/>
  <c r="AL859" i="45"/>
  <c r="CK859" i="45"/>
  <c r="AG859" i="45"/>
  <c r="AM859" i="45"/>
  <c r="CZ859" i="45"/>
  <c r="AA860" i="45"/>
  <c r="CH860" i="45"/>
  <c r="AC860" i="45"/>
  <c r="AH860" i="45"/>
  <c r="AI860" i="45"/>
  <c r="CI860" i="45"/>
  <c r="AE860" i="45"/>
  <c r="CJ860" i="45"/>
  <c r="AF860" i="45"/>
  <c r="AL860" i="45"/>
  <c r="CK860" i="45"/>
  <c r="AG860" i="45"/>
  <c r="AM860" i="45"/>
  <c r="AA861" i="45"/>
  <c r="AH861" i="45"/>
  <c r="CH861" i="45"/>
  <c r="AC861" i="45"/>
  <c r="AI861" i="45"/>
  <c r="CI861" i="45"/>
  <c r="AE861" i="45"/>
  <c r="CJ861" i="45"/>
  <c r="AF861" i="45"/>
  <c r="AL861" i="45"/>
  <c r="CK861" i="45"/>
  <c r="AG861" i="45"/>
  <c r="AM861" i="45"/>
  <c r="AA862" i="45"/>
  <c r="AH862" i="45"/>
  <c r="CH862" i="45"/>
  <c r="AC862" i="45"/>
  <c r="AI862" i="45"/>
  <c r="CI862" i="45"/>
  <c r="AE862" i="45"/>
  <c r="CJ862" i="45"/>
  <c r="AF862" i="45"/>
  <c r="AL862" i="45"/>
  <c r="CK862" i="45"/>
  <c r="AG862" i="45"/>
  <c r="AM862" i="45"/>
  <c r="AA863" i="45"/>
  <c r="AH863" i="45"/>
  <c r="CH863" i="45"/>
  <c r="AC863" i="45"/>
  <c r="AI863" i="45"/>
  <c r="CI863" i="45"/>
  <c r="AE863" i="45"/>
  <c r="CJ863" i="45"/>
  <c r="AF863" i="45"/>
  <c r="AL863" i="45"/>
  <c r="CK863" i="45"/>
  <c r="AG863" i="45"/>
  <c r="AM863" i="45"/>
  <c r="AA864" i="45"/>
  <c r="AH864" i="45"/>
  <c r="CH864" i="45"/>
  <c r="AC864" i="45"/>
  <c r="AI864" i="45"/>
  <c r="CI864" i="45"/>
  <c r="AE864" i="45"/>
  <c r="CJ864" i="45"/>
  <c r="AF864" i="45"/>
  <c r="AL864" i="45"/>
  <c r="CK864" i="45"/>
  <c r="AG864" i="45"/>
  <c r="AM864" i="45"/>
  <c r="AA865" i="45"/>
  <c r="AH865" i="45"/>
  <c r="BQ865" i="45"/>
  <c r="CH865" i="45"/>
  <c r="CI865" i="45"/>
  <c r="AE865" i="45"/>
  <c r="CJ865" i="45"/>
  <c r="AF865" i="45"/>
  <c r="AL865" i="45"/>
  <c r="CK865" i="45"/>
  <c r="AG865" i="45"/>
  <c r="AM865" i="45"/>
  <c r="AA866" i="45"/>
  <c r="AH866" i="45"/>
  <c r="CH866" i="45"/>
  <c r="AC866" i="45"/>
  <c r="AI866" i="45"/>
  <c r="CI866" i="45"/>
  <c r="AE866" i="45"/>
  <c r="CJ866" i="45"/>
  <c r="AF866" i="45"/>
  <c r="AL866" i="45"/>
  <c r="CK866" i="45"/>
  <c r="AG866" i="45"/>
  <c r="AM866" i="45"/>
  <c r="AA867" i="45"/>
  <c r="AH867" i="45"/>
  <c r="CH867" i="45"/>
  <c r="AC867" i="45"/>
  <c r="AI867" i="45"/>
  <c r="CI867" i="45"/>
  <c r="AE867" i="45"/>
  <c r="CJ867" i="45"/>
  <c r="AF867" i="45"/>
  <c r="AL867" i="45"/>
  <c r="CK867" i="45"/>
  <c r="AG867" i="45"/>
  <c r="AM867" i="45"/>
  <c r="AA868" i="45"/>
  <c r="AH868" i="45"/>
  <c r="CH868" i="45"/>
  <c r="AC868" i="45"/>
  <c r="AI868" i="45"/>
  <c r="CI868" i="45"/>
  <c r="AE868" i="45"/>
  <c r="CJ868" i="45"/>
  <c r="AF868" i="45"/>
  <c r="AL868" i="45"/>
  <c r="CK868" i="45"/>
  <c r="AG868" i="45"/>
  <c r="AM868" i="45"/>
  <c r="AA869" i="45"/>
  <c r="AH869" i="45"/>
  <c r="CH869" i="45"/>
  <c r="AC869" i="45"/>
  <c r="AI869" i="45"/>
  <c r="CI869" i="45"/>
  <c r="AE869" i="45"/>
  <c r="CJ869" i="45"/>
  <c r="AF869" i="45"/>
  <c r="AL869" i="45"/>
  <c r="CK869" i="45"/>
  <c r="AG869" i="45"/>
  <c r="AM869" i="45"/>
  <c r="H870" i="45"/>
  <c r="AA870" i="45"/>
  <c r="AH870" i="45"/>
  <c r="AL870" i="45"/>
  <c r="CH870" i="45"/>
  <c r="CI870" i="45"/>
  <c r="CJ870" i="45"/>
  <c r="CK870" i="45"/>
  <c r="AA871" i="45"/>
  <c r="AH871" i="45"/>
  <c r="I872" i="45"/>
  <c r="I871" i="45"/>
  <c r="J872" i="45"/>
  <c r="J871" i="45"/>
  <c r="AA872" i="45"/>
  <c r="AH872" i="45"/>
  <c r="AO872" i="45"/>
  <c r="AO871" i="45"/>
  <c r="AP872" i="45"/>
  <c r="AP871" i="45"/>
  <c r="AQ872" i="45"/>
  <c r="AQ871" i="45"/>
  <c r="AR872" i="45"/>
  <c r="AR871" i="45"/>
  <c r="AS872" i="45"/>
  <c r="AS871" i="45"/>
  <c r="AT872" i="45"/>
  <c r="AT871" i="45"/>
  <c r="AU872" i="45"/>
  <c r="AU871" i="45"/>
  <c r="AV872" i="45"/>
  <c r="AV871" i="45"/>
  <c r="AW872" i="45"/>
  <c r="AW871" i="45"/>
  <c r="AX872" i="45"/>
  <c r="AX871" i="45"/>
  <c r="AY872" i="45"/>
  <c r="AY871" i="45"/>
  <c r="AZ872" i="45"/>
  <c r="AZ871" i="45"/>
  <c r="BA872" i="45"/>
  <c r="BA871" i="45"/>
  <c r="BB872" i="45"/>
  <c r="BB871" i="45"/>
  <c r="BC872" i="45"/>
  <c r="BC871" i="45"/>
  <c r="BD872" i="45"/>
  <c r="BD871" i="45"/>
  <c r="BE872" i="45"/>
  <c r="BE871" i="45"/>
  <c r="BF872" i="45"/>
  <c r="BF871" i="45"/>
  <c r="BG872" i="45"/>
  <c r="BG871" i="45"/>
  <c r="BH872" i="45"/>
  <c r="BH871" i="45"/>
  <c r="BJ872" i="45"/>
  <c r="BJ871" i="45"/>
  <c r="BK872" i="45"/>
  <c r="BK871" i="45"/>
  <c r="BL872" i="45"/>
  <c r="BL871" i="45"/>
  <c r="BN872" i="45"/>
  <c r="BN871" i="45"/>
  <c r="BO872" i="45"/>
  <c r="BO871" i="45"/>
  <c r="BP872" i="45"/>
  <c r="BP871" i="45"/>
  <c r="BQ872" i="45"/>
  <c r="BQ871" i="45"/>
  <c r="BR872" i="45"/>
  <c r="BR871" i="45"/>
  <c r="BS872" i="45"/>
  <c r="BS871" i="45"/>
  <c r="BT872" i="45"/>
  <c r="BT871" i="45"/>
  <c r="BU872" i="45"/>
  <c r="BU871" i="45"/>
  <c r="BV872" i="45"/>
  <c r="BV871" i="45"/>
  <c r="BW872" i="45"/>
  <c r="BW871" i="45"/>
  <c r="BX872" i="45"/>
  <c r="BX871" i="45"/>
  <c r="BZ872" i="45"/>
  <c r="BZ871" i="45"/>
  <c r="CA872" i="45"/>
  <c r="CA871" i="45"/>
  <c r="CB872" i="45"/>
  <c r="CB871" i="45"/>
  <c r="CD872" i="45"/>
  <c r="CD871" i="45"/>
  <c r="CE872" i="45"/>
  <c r="CE871" i="45"/>
  <c r="CF872" i="45"/>
  <c r="CF871" i="45"/>
  <c r="CP872" i="45"/>
  <c r="CP871" i="45"/>
  <c r="CH871" i="45"/>
  <c r="CQ872" i="45"/>
  <c r="CQ871" i="45"/>
  <c r="CI871" i="45"/>
  <c r="CR872" i="45"/>
  <c r="CR871" i="45"/>
  <c r="CJ871" i="45"/>
  <c r="CS872" i="45"/>
  <c r="CS871" i="45"/>
  <c r="CK871" i="45"/>
  <c r="AH873" i="45"/>
  <c r="BI873" i="45"/>
  <c r="BI872" i="45"/>
  <c r="BI871" i="45"/>
  <c r="BM873" i="45"/>
  <c r="BM875" i="45"/>
  <c r="BM872" i="45"/>
  <c r="BM871" i="45"/>
  <c r="BY873" i="45"/>
  <c r="BY872" i="45"/>
  <c r="BY871" i="45"/>
  <c r="CC873" i="45"/>
  <c r="CC872" i="45"/>
  <c r="CC871" i="45"/>
  <c r="CH873" i="45"/>
  <c r="CI873" i="45"/>
  <c r="AE873" i="45"/>
  <c r="CJ873" i="45"/>
  <c r="AF873" i="45"/>
  <c r="CK873" i="45"/>
  <c r="AG873" i="45"/>
  <c r="CZ873" i="45"/>
  <c r="AA874" i="45"/>
  <c r="AH874" i="45"/>
  <c r="CH874" i="45"/>
  <c r="AC874" i="45"/>
  <c r="AI874" i="45"/>
  <c r="CI874" i="45"/>
  <c r="AE874" i="45"/>
  <c r="CJ874" i="45"/>
  <c r="AF874" i="45"/>
  <c r="AL874" i="45"/>
  <c r="CK874" i="45"/>
  <c r="AG874" i="45"/>
  <c r="AM874" i="45"/>
  <c r="AH875" i="45"/>
  <c r="CH875" i="45"/>
  <c r="CI875" i="45"/>
  <c r="AE875" i="45"/>
  <c r="CJ875" i="45"/>
  <c r="AF875" i="45"/>
  <c r="AL875" i="45"/>
  <c r="CK875" i="45"/>
  <c r="AG875" i="45"/>
  <c r="AM875" i="45"/>
  <c r="CZ875" i="45"/>
  <c r="AA876" i="45"/>
  <c r="AH876" i="45"/>
  <c r="CH876" i="45"/>
  <c r="AC876" i="45"/>
  <c r="AI876" i="45"/>
  <c r="CI876" i="45"/>
  <c r="AE876" i="45"/>
  <c r="CJ876" i="45"/>
  <c r="AF876" i="45"/>
  <c r="AL876" i="45"/>
  <c r="CK876" i="45"/>
  <c r="AG876" i="45"/>
  <c r="AM876" i="45"/>
  <c r="AA877" i="45"/>
  <c r="CH877" i="45"/>
  <c r="AC877" i="45"/>
  <c r="AH877" i="45"/>
  <c r="AI877" i="45"/>
  <c r="CI877" i="45"/>
  <c r="AE877" i="45"/>
  <c r="CJ877" i="45"/>
  <c r="AF877" i="45"/>
  <c r="AL877" i="45"/>
  <c r="CK877" i="45"/>
  <c r="AG877" i="45"/>
  <c r="AM877" i="45"/>
  <c r="AA878" i="45"/>
  <c r="CH878" i="45"/>
  <c r="AC878" i="45"/>
  <c r="AH878" i="45"/>
  <c r="AI878" i="45"/>
  <c r="CI878" i="45"/>
  <c r="AE878" i="45"/>
  <c r="CJ878" i="45"/>
  <c r="AF878" i="45"/>
  <c r="AL878" i="45"/>
  <c r="CK878" i="45"/>
  <c r="AG878" i="45"/>
  <c r="AM878" i="45"/>
  <c r="AA879" i="45"/>
  <c r="CH879" i="45"/>
  <c r="AC879" i="45"/>
  <c r="AH879" i="45"/>
  <c r="AI879" i="45"/>
  <c r="CI879" i="45"/>
  <c r="AE879" i="45"/>
  <c r="CJ879" i="45"/>
  <c r="AF879" i="45"/>
  <c r="AL879" i="45"/>
  <c r="CK879" i="45"/>
  <c r="AG879" i="45"/>
  <c r="AM879" i="45"/>
  <c r="AA880" i="45"/>
  <c r="CH880" i="45"/>
  <c r="AC880" i="45"/>
  <c r="AH880" i="45"/>
  <c r="AI880" i="45"/>
  <c r="CI880" i="45"/>
  <c r="AE880" i="45"/>
  <c r="CJ880" i="45"/>
  <c r="AF880" i="45"/>
  <c r="AL880" i="45"/>
  <c r="CK880" i="45"/>
  <c r="AG880" i="45"/>
  <c r="AM880" i="45"/>
  <c r="AA881" i="45"/>
  <c r="AH881" i="45"/>
  <c r="CH881" i="45"/>
  <c r="AC881" i="45"/>
  <c r="AI881" i="45"/>
  <c r="CI881" i="45"/>
  <c r="AE881" i="45"/>
  <c r="CJ881" i="45"/>
  <c r="AF881" i="45"/>
  <c r="AL881" i="45"/>
  <c r="CK881" i="45"/>
  <c r="AG881" i="45"/>
  <c r="AM881" i="45"/>
  <c r="AA882" i="45"/>
  <c r="AH882" i="45"/>
  <c r="CH882" i="45"/>
  <c r="AC882" i="45"/>
  <c r="AI882" i="45"/>
  <c r="CI882" i="45"/>
  <c r="AE882" i="45"/>
  <c r="CJ882" i="45"/>
  <c r="AF882" i="45"/>
  <c r="AL882" i="45"/>
  <c r="CK882" i="45"/>
  <c r="AG882" i="45"/>
  <c r="AM882" i="45"/>
  <c r="AA883" i="45"/>
  <c r="AH883" i="45"/>
  <c r="CH883" i="45"/>
  <c r="AC883" i="45"/>
  <c r="AI883" i="45"/>
  <c r="CI883" i="45"/>
  <c r="AE883" i="45"/>
  <c r="CJ883" i="45"/>
  <c r="AF883" i="45"/>
  <c r="AL883" i="45"/>
  <c r="CK883" i="45"/>
  <c r="AG883" i="45"/>
  <c r="AM883" i="45"/>
  <c r="K884" i="45"/>
  <c r="K872" i="45"/>
  <c r="K871" i="45"/>
  <c r="AA884" i="45"/>
  <c r="AH884" i="45"/>
  <c r="CH884" i="45"/>
  <c r="AC884" i="45"/>
  <c r="AI884" i="45"/>
  <c r="CI884" i="45"/>
  <c r="AE884" i="45"/>
  <c r="CJ884" i="45"/>
  <c r="AF884" i="45"/>
  <c r="AL884" i="45"/>
  <c r="CK884" i="45"/>
  <c r="AG884" i="45"/>
  <c r="AM884" i="45"/>
  <c r="AA885" i="45"/>
  <c r="AH885" i="45"/>
  <c r="CH885" i="45"/>
  <c r="AC885" i="45"/>
  <c r="AI885" i="45"/>
  <c r="CI885" i="45"/>
  <c r="AE885" i="45"/>
  <c r="CJ885" i="45"/>
  <c r="AF885" i="45"/>
  <c r="AL885" i="45"/>
  <c r="CK885" i="45"/>
  <c r="AG885" i="45"/>
  <c r="AM885" i="45"/>
  <c r="H886" i="45"/>
  <c r="AA886" i="45"/>
  <c r="AH886" i="45"/>
  <c r="AL886" i="45"/>
  <c r="CH886" i="45"/>
  <c r="CI886" i="45"/>
  <c r="CJ886" i="45"/>
  <c r="CK886" i="45"/>
  <c r="AA887" i="45"/>
  <c r="AH887" i="45"/>
  <c r="J888" i="45"/>
  <c r="J887" i="45"/>
  <c r="AA888" i="45"/>
  <c r="AH888" i="45"/>
  <c r="AO888" i="45"/>
  <c r="AO887" i="45"/>
  <c r="AP888" i="45"/>
  <c r="AP887" i="45"/>
  <c r="AQ888" i="45"/>
  <c r="AQ887" i="45"/>
  <c r="AR888" i="45"/>
  <c r="AR887" i="45"/>
  <c r="AS888" i="45"/>
  <c r="AS887" i="45"/>
  <c r="AT888" i="45"/>
  <c r="AT887" i="45"/>
  <c r="AU888" i="45"/>
  <c r="AU887" i="45"/>
  <c r="AV888" i="45"/>
  <c r="AV887" i="45"/>
  <c r="AW888" i="45"/>
  <c r="AW887" i="45"/>
  <c r="AY888" i="45"/>
  <c r="AY887" i="45"/>
  <c r="AZ888" i="45"/>
  <c r="AZ887" i="45"/>
  <c r="BA888" i="45"/>
  <c r="BA887" i="45"/>
  <c r="BC888" i="45"/>
  <c r="BC887" i="45"/>
  <c r="BD888" i="45"/>
  <c r="BD887" i="45"/>
  <c r="BE888" i="45"/>
  <c r="BE887" i="45"/>
  <c r="BG888" i="45"/>
  <c r="BG887" i="45"/>
  <c r="BH888" i="45"/>
  <c r="BH887" i="45"/>
  <c r="BJ888" i="45"/>
  <c r="BJ887" i="45"/>
  <c r="BK888" i="45"/>
  <c r="BK887" i="45"/>
  <c r="BL888" i="45"/>
  <c r="BL887" i="45"/>
  <c r="BO888" i="45"/>
  <c r="BO887" i="45"/>
  <c r="BP888" i="45"/>
  <c r="BP887" i="45"/>
  <c r="BS888" i="45"/>
  <c r="BS887" i="45"/>
  <c r="BT888" i="45"/>
  <c r="BT887" i="45"/>
  <c r="BU888" i="45"/>
  <c r="BU887" i="45"/>
  <c r="BV888" i="45"/>
  <c r="BV887" i="45"/>
  <c r="BW888" i="45"/>
  <c r="BW887" i="45"/>
  <c r="BX888" i="45"/>
  <c r="BX887" i="45"/>
  <c r="BZ888" i="45"/>
  <c r="BZ887" i="45"/>
  <c r="CA888" i="45"/>
  <c r="CA887" i="45"/>
  <c r="CB888" i="45"/>
  <c r="CB887" i="45"/>
  <c r="CD888" i="45"/>
  <c r="CD887" i="45"/>
  <c r="CE888" i="45"/>
  <c r="CE887" i="45"/>
  <c r="CF888" i="45"/>
  <c r="CF887" i="45"/>
  <c r="CP888" i="45"/>
  <c r="CP887" i="45"/>
  <c r="CH887" i="45"/>
  <c r="CR888" i="45"/>
  <c r="CR887" i="45"/>
  <c r="CJ887" i="45"/>
  <c r="CS888" i="45"/>
  <c r="CS887" i="45"/>
  <c r="CK887" i="45"/>
  <c r="W889" i="45"/>
  <c r="X889" i="45"/>
  <c r="AH889" i="45"/>
  <c r="BI889" i="45"/>
  <c r="BM889" i="45"/>
  <c r="BY889" i="45"/>
  <c r="BY888" i="45"/>
  <c r="BY887" i="45"/>
  <c r="CC889" i="45"/>
  <c r="CC888" i="45"/>
  <c r="CC887" i="45"/>
  <c r="CH889" i="45"/>
  <c r="CI889" i="45"/>
  <c r="AE889" i="45"/>
  <c r="CJ889" i="45"/>
  <c r="AF889" i="45"/>
  <c r="CK889" i="45"/>
  <c r="AG889" i="45"/>
  <c r="CZ889" i="45"/>
  <c r="Y890" i="45"/>
  <c r="AH890" i="45"/>
  <c r="CH890" i="45"/>
  <c r="AC890" i="45"/>
  <c r="AI890" i="45"/>
  <c r="Z890" i="45"/>
  <c r="AA890" i="45"/>
  <c r="CI890" i="45"/>
  <c r="AE890" i="45"/>
  <c r="CJ890" i="45"/>
  <c r="AF890" i="45"/>
  <c r="AL890" i="45"/>
  <c r="CK890" i="45"/>
  <c r="AG890" i="45"/>
  <c r="AM890" i="45"/>
  <c r="W891" i="45"/>
  <c r="X891" i="45"/>
  <c r="Y891" i="45"/>
  <c r="AH891" i="45"/>
  <c r="BM891" i="45"/>
  <c r="CH891" i="45"/>
  <c r="AC891" i="45"/>
  <c r="CI891" i="45"/>
  <c r="AE891" i="45"/>
  <c r="CJ891" i="45"/>
  <c r="AF891" i="45"/>
  <c r="AL891" i="45"/>
  <c r="CK891" i="45"/>
  <c r="AG891" i="45"/>
  <c r="AM891" i="45"/>
  <c r="CZ891" i="45"/>
  <c r="AA892" i="45"/>
  <c r="AH892" i="45"/>
  <c r="CH892" i="45"/>
  <c r="AC892" i="45"/>
  <c r="AI892" i="45"/>
  <c r="CI892" i="45"/>
  <c r="AE892" i="45"/>
  <c r="CJ892" i="45"/>
  <c r="AF892" i="45"/>
  <c r="AL892" i="45"/>
  <c r="CK892" i="45"/>
  <c r="AG892" i="45"/>
  <c r="AM892" i="45"/>
  <c r="AA893" i="45"/>
  <c r="AH893" i="45"/>
  <c r="CH893" i="45"/>
  <c r="AC893" i="45"/>
  <c r="CI893" i="45"/>
  <c r="AE893" i="45"/>
  <c r="CJ893" i="45"/>
  <c r="AF893" i="45"/>
  <c r="AL893" i="45"/>
  <c r="CK893" i="45"/>
  <c r="AG893" i="45"/>
  <c r="AM893" i="45"/>
  <c r="AA894" i="45"/>
  <c r="AH894" i="45"/>
  <c r="CH894" i="45"/>
  <c r="AC894" i="45"/>
  <c r="AI894" i="45"/>
  <c r="CI894" i="45"/>
  <c r="AE894" i="45"/>
  <c r="CJ894" i="45"/>
  <c r="AF894" i="45"/>
  <c r="AL894" i="45"/>
  <c r="CK894" i="45"/>
  <c r="AG894" i="45"/>
  <c r="AM894" i="45"/>
  <c r="AA895" i="45"/>
  <c r="AH895" i="45"/>
  <c r="BQ895" i="45"/>
  <c r="BQ526" i="45"/>
  <c r="CH895" i="45"/>
  <c r="CI895" i="45"/>
  <c r="AE895" i="45"/>
  <c r="AK895" i="45"/>
  <c r="CJ895" i="45"/>
  <c r="AF895" i="45"/>
  <c r="AL895" i="45"/>
  <c r="CK895" i="45"/>
  <c r="AG895" i="45"/>
  <c r="AM895" i="45"/>
  <c r="AA896" i="45"/>
  <c r="AH896" i="45"/>
  <c r="CH896" i="45"/>
  <c r="AC896" i="45"/>
  <c r="AI896" i="45"/>
  <c r="CI896" i="45"/>
  <c r="AE896" i="45"/>
  <c r="CJ896" i="45"/>
  <c r="AF896" i="45"/>
  <c r="AL896" i="45"/>
  <c r="CK896" i="45"/>
  <c r="AG896" i="45"/>
  <c r="AM896" i="45"/>
  <c r="K897" i="45"/>
  <c r="K888" i="45"/>
  <c r="K887" i="45"/>
  <c r="T528" i="45"/>
  <c r="AA897" i="45"/>
  <c r="AH897" i="45"/>
  <c r="AX897" i="45"/>
  <c r="AX528" i="45"/>
  <c r="BB897" i="45"/>
  <c r="BB528" i="45"/>
  <c r="BF897" i="45"/>
  <c r="BF528" i="45"/>
  <c r="BN897" i="45"/>
  <c r="BN528" i="45"/>
  <c r="BR897" i="45"/>
  <c r="BR528" i="45"/>
  <c r="CH897" i="45"/>
  <c r="AC897" i="45"/>
  <c r="AI897" i="45"/>
  <c r="CQ897" i="45"/>
  <c r="CI897" i="45"/>
  <c r="CJ897" i="45"/>
  <c r="AF897" i="45"/>
  <c r="AL897" i="45"/>
  <c r="CK897" i="45"/>
  <c r="AG897" i="45"/>
  <c r="AM897" i="45"/>
  <c r="CQ888" i="45"/>
  <c r="AA898" i="45"/>
  <c r="CH898" i="45"/>
  <c r="AC898" i="45"/>
  <c r="AH898" i="45"/>
  <c r="AI898" i="45"/>
  <c r="CI898" i="45"/>
  <c r="AE898" i="45"/>
  <c r="CJ898" i="45"/>
  <c r="AF898" i="45"/>
  <c r="AL898" i="45"/>
  <c r="CK898" i="45"/>
  <c r="AG898" i="45"/>
  <c r="AM898" i="45"/>
  <c r="AA899" i="45"/>
  <c r="CH899" i="45"/>
  <c r="AC899" i="45"/>
  <c r="AH899" i="45"/>
  <c r="AI899" i="45"/>
  <c r="CI899" i="45"/>
  <c r="AE899" i="45"/>
  <c r="CJ899" i="45"/>
  <c r="AF899" i="45"/>
  <c r="AL899" i="45"/>
  <c r="CK899" i="45"/>
  <c r="AG899" i="45"/>
  <c r="AM899" i="45"/>
  <c r="AA900" i="45"/>
  <c r="CH900" i="45"/>
  <c r="AC900" i="45"/>
  <c r="AH900" i="45"/>
  <c r="AI900" i="45"/>
  <c r="CI900" i="45"/>
  <c r="AE900" i="45"/>
  <c r="CJ900" i="45"/>
  <c r="AF900" i="45"/>
  <c r="AL900" i="45"/>
  <c r="CK900" i="45"/>
  <c r="AG900" i="45"/>
  <c r="AM900" i="45"/>
  <c r="AA901" i="45"/>
  <c r="AH901" i="45"/>
  <c r="CH901" i="45"/>
  <c r="AC901" i="45"/>
  <c r="AI901" i="45"/>
  <c r="CI901" i="45"/>
  <c r="AE901" i="45"/>
  <c r="CJ901" i="45"/>
  <c r="AF901" i="45"/>
  <c r="AL901" i="45"/>
  <c r="CK901" i="45"/>
  <c r="AG901" i="45"/>
  <c r="AM901" i="45"/>
  <c r="AA902" i="45"/>
  <c r="AH902" i="45"/>
  <c r="AL902" i="45"/>
  <c r="AM902" i="45"/>
  <c r="CH902" i="45"/>
  <c r="CI902" i="45"/>
  <c r="CJ902" i="45"/>
  <c r="CK902" i="45"/>
  <c r="AA903" i="45"/>
  <c r="AH903" i="45"/>
  <c r="K904" i="45"/>
  <c r="K903" i="45"/>
  <c r="AA904" i="45"/>
  <c r="AH904" i="45"/>
  <c r="AP904" i="45"/>
  <c r="AP903" i="45"/>
  <c r="AQ904" i="45"/>
  <c r="AQ903" i="45"/>
  <c r="AR904" i="45"/>
  <c r="AR903" i="45"/>
  <c r="AS904" i="45"/>
  <c r="AS903" i="45"/>
  <c r="AT904" i="45"/>
  <c r="AT903" i="45"/>
  <c r="AU904" i="45"/>
  <c r="AU903" i="45"/>
  <c r="AV904" i="45"/>
  <c r="AV903" i="45"/>
  <c r="AW904" i="45"/>
  <c r="AW903" i="45"/>
  <c r="AX904" i="45"/>
  <c r="AX903" i="45"/>
  <c r="AY904" i="45"/>
  <c r="AY903" i="45"/>
  <c r="AZ904" i="45"/>
  <c r="AZ903" i="45"/>
  <c r="BA904" i="45"/>
  <c r="BA903" i="45"/>
  <c r="BB904" i="45"/>
  <c r="BB903" i="45"/>
  <c r="BC904" i="45"/>
  <c r="BC903" i="45"/>
  <c r="BD904" i="45"/>
  <c r="BD903" i="45"/>
  <c r="BF904" i="45"/>
  <c r="BF903" i="45"/>
  <c r="BG904" i="45"/>
  <c r="BG903" i="45"/>
  <c r="BH904" i="45"/>
  <c r="BH903" i="45"/>
  <c r="BI904" i="45"/>
  <c r="BI903" i="45"/>
  <c r="BJ904" i="45"/>
  <c r="BJ903" i="45"/>
  <c r="BK904" i="45"/>
  <c r="BK903" i="45"/>
  <c r="BL904" i="45"/>
  <c r="BL903" i="45"/>
  <c r="BM904" i="45"/>
  <c r="BM903" i="45"/>
  <c r="BN904" i="45"/>
  <c r="BN903" i="45"/>
  <c r="BO904" i="45"/>
  <c r="BO903" i="45"/>
  <c r="BP904" i="45"/>
  <c r="BP903" i="45"/>
  <c r="BQ904" i="45"/>
  <c r="BQ903" i="45"/>
  <c r="BR904" i="45"/>
  <c r="BR903" i="45"/>
  <c r="BS904" i="45"/>
  <c r="BS903" i="45"/>
  <c r="BT904" i="45"/>
  <c r="BT903" i="45"/>
  <c r="BU904" i="45"/>
  <c r="BU903" i="45"/>
  <c r="BV904" i="45"/>
  <c r="BV903" i="45"/>
  <c r="BW904" i="45"/>
  <c r="BW903" i="45"/>
  <c r="BX904" i="45"/>
  <c r="BX903" i="45"/>
  <c r="BZ904" i="45"/>
  <c r="BZ903" i="45"/>
  <c r="CA904" i="45"/>
  <c r="CA903" i="45"/>
  <c r="CB904" i="45"/>
  <c r="CB903" i="45"/>
  <c r="CD904" i="45"/>
  <c r="CD903" i="45"/>
  <c r="CE904" i="45"/>
  <c r="CE903" i="45"/>
  <c r="CF904" i="45"/>
  <c r="CF903" i="45"/>
  <c r="CP904" i="45"/>
  <c r="CP903" i="45"/>
  <c r="CH903" i="45"/>
  <c r="CQ904" i="45"/>
  <c r="CQ903" i="45"/>
  <c r="CI903" i="45"/>
  <c r="CR904" i="45"/>
  <c r="CR903" i="45"/>
  <c r="CJ903" i="45"/>
  <c r="CS904" i="45"/>
  <c r="CS903" i="45"/>
  <c r="CK903" i="45"/>
  <c r="W905" i="45"/>
  <c r="X905" i="45"/>
  <c r="AH905" i="45"/>
  <c r="BE905" i="45"/>
  <c r="BY905" i="45"/>
  <c r="BY904" i="45"/>
  <c r="BY903" i="45"/>
  <c r="CC905" i="45"/>
  <c r="CC904" i="45"/>
  <c r="CC903" i="45"/>
  <c r="CH905" i="45"/>
  <c r="CI905" i="45"/>
  <c r="AE905" i="45"/>
  <c r="CJ905" i="45"/>
  <c r="AF905" i="45"/>
  <c r="CK905" i="45"/>
  <c r="AG905" i="45"/>
  <c r="CZ905" i="45"/>
  <c r="Y906" i="45"/>
  <c r="AH906" i="45"/>
  <c r="CH906" i="45"/>
  <c r="AC906" i="45"/>
  <c r="AI906" i="45"/>
  <c r="Z906" i="45"/>
  <c r="AA906" i="45"/>
  <c r="CI906" i="45"/>
  <c r="AE906" i="45"/>
  <c r="CJ906" i="45"/>
  <c r="AF906" i="45"/>
  <c r="AL906" i="45"/>
  <c r="CK906" i="45"/>
  <c r="AG906" i="45"/>
  <c r="AM906" i="45"/>
  <c r="W907" i="45"/>
  <c r="X907" i="45"/>
  <c r="Y907" i="45"/>
  <c r="AH907" i="45"/>
  <c r="BE907" i="45"/>
  <c r="CH907" i="45"/>
  <c r="AC907" i="45"/>
  <c r="CI907" i="45"/>
  <c r="AE907" i="45"/>
  <c r="CJ907" i="45"/>
  <c r="AF907" i="45"/>
  <c r="AL907" i="45"/>
  <c r="CK907" i="45"/>
  <c r="AG907" i="45"/>
  <c r="AM907" i="45"/>
  <c r="CZ907" i="45"/>
  <c r="AA908" i="45"/>
  <c r="AH908" i="45"/>
  <c r="CH908" i="45"/>
  <c r="AC908" i="45"/>
  <c r="AI908" i="45"/>
  <c r="CI908" i="45"/>
  <c r="AE908" i="45"/>
  <c r="CJ908" i="45"/>
  <c r="AF908" i="45"/>
  <c r="AL908" i="45"/>
  <c r="CK908" i="45"/>
  <c r="AG908" i="45"/>
  <c r="AM908" i="45"/>
  <c r="AA909" i="45"/>
  <c r="AH909" i="45"/>
  <c r="CH909" i="45"/>
  <c r="AC909" i="45"/>
  <c r="AI909" i="45"/>
  <c r="CI909" i="45"/>
  <c r="AE909" i="45"/>
  <c r="CJ909" i="45"/>
  <c r="AF909" i="45"/>
  <c r="AL909" i="45"/>
  <c r="CK909" i="45"/>
  <c r="AG909" i="45"/>
  <c r="AM909" i="45"/>
  <c r="AA910" i="45"/>
  <c r="AH910" i="45"/>
  <c r="CH910" i="45"/>
  <c r="AC910" i="45"/>
  <c r="AI910" i="45"/>
  <c r="CI910" i="45"/>
  <c r="AE910" i="45"/>
  <c r="CJ910" i="45"/>
  <c r="AF910" i="45"/>
  <c r="AL910" i="45"/>
  <c r="CK910" i="45"/>
  <c r="AG910" i="45"/>
  <c r="AM910" i="45"/>
  <c r="AA911" i="45"/>
  <c r="AH911" i="45"/>
  <c r="CH911" i="45"/>
  <c r="AC911" i="45"/>
  <c r="AI911" i="45"/>
  <c r="CI911" i="45"/>
  <c r="AE911" i="45"/>
  <c r="CJ911" i="45"/>
  <c r="AF911" i="45"/>
  <c r="AL911" i="45"/>
  <c r="CK911" i="45"/>
  <c r="AG911" i="45"/>
  <c r="AM911" i="45"/>
  <c r="J912" i="45"/>
  <c r="J904" i="45"/>
  <c r="AA912" i="45"/>
  <c r="AH912" i="45"/>
  <c r="CH912" i="45"/>
  <c r="AC912" i="45"/>
  <c r="CI912" i="45"/>
  <c r="AE912" i="45"/>
  <c r="CJ912" i="45"/>
  <c r="AF912" i="45"/>
  <c r="CK912" i="45"/>
  <c r="AG912" i="45"/>
  <c r="AM912" i="45"/>
  <c r="AA913" i="45"/>
  <c r="AH913" i="45"/>
  <c r="AO913" i="45"/>
  <c r="AO904" i="45"/>
  <c r="AO903" i="45"/>
  <c r="CH913" i="45"/>
  <c r="CI913" i="45"/>
  <c r="AE913" i="45"/>
  <c r="AK913" i="45"/>
  <c r="CJ913" i="45"/>
  <c r="AF913" i="45"/>
  <c r="AL913" i="45"/>
  <c r="CK913" i="45"/>
  <c r="AG913" i="45"/>
  <c r="AM913" i="45"/>
  <c r="AA914" i="45"/>
  <c r="AH914" i="45"/>
  <c r="CH914" i="45"/>
  <c r="AC914" i="45"/>
  <c r="AI914" i="45"/>
  <c r="CI914" i="45"/>
  <c r="AE914" i="45"/>
  <c r="CJ914" i="45"/>
  <c r="AF914" i="45"/>
  <c r="AL914" i="45"/>
  <c r="CK914" i="45"/>
  <c r="AG914" i="45"/>
  <c r="AM914" i="45"/>
  <c r="AA915" i="45"/>
  <c r="AH915" i="45"/>
  <c r="CH915" i="45"/>
  <c r="AC915" i="45"/>
  <c r="AI915" i="45"/>
  <c r="CI915" i="45"/>
  <c r="AE915" i="45"/>
  <c r="CJ915" i="45"/>
  <c r="AF915" i="45"/>
  <c r="AL915" i="45"/>
  <c r="CK915" i="45"/>
  <c r="AG915" i="45"/>
  <c r="AM915" i="45"/>
  <c r="AA916" i="45"/>
  <c r="AH916" i="45"/>
  <c r="CH916" i="45"/>
  <c r="AC916" i="45"/>
  <c r="AI916" i="45"/>
  <c r="CI916" i="45"/>
  <c r="AE916" i="45"/>
  <c r="CJ916" i="45"/>
  <c r="AF916" i="45"/>
  <c r="AL916" i="45"/>
  <c r="CK916" i="45"/>
  <c r="AG916" i="45"/>
  <c r="AM916" i="45"/>
  <c r="AA917" i="45"/>
  <c r="AH917" i="45"/>
  <c r="CH917" i="45"/>
  <c r="AC917" i="45"/>
  <c r="AI917" i="45"/>
  <c r="CI917" i="45"/>
  <c r="AE917" i="45"/>
  <c r="CJ917" i="45"/>
  <c r="AF917" i="45"/>
  <c r="AL917" i="45"/>
  <c r="CK917" i="45"/>
  <c r="AG917" i="45"/>
  <c r="AM917" i="45"/>
  <c r="AA918" i="45"/>
  <c r="AH918" i="45"/>
  <c r="AL918" i="45"/>
  <c r="CH918" i="45"/>
  <c r="CI918" i="45"/>
  <c r="CJ918" i="45"/>
  <c r="CK918" i="45"/>
  <c r="AA919" i="45"/>
  <c r="AH919" i="45"/>
  <c r="J920" i="45"/>
  <c r="J919" i="45"/>
  <c r="AA920" i="45"/>
  <c r="AH920" i="45"/>
  <c r="AO920" i="45"/>
  <c r="AO919" i="45"/>
  <c r="AP920" i="45"/>
  <c r="AP919" i="45"/>
  <c r="AQ920" i="45"/>
  <c r="AQ919" i="45"/>
  <c r="AR920" i="45"/>
  <c r="AR919" i="45"/>
  <c r="AS920" i="45"/>
  <c r="AS919" i="45"/>
  <c r="AT920" i="45"/>
  <c r="AT919" i="45"/>
  <c r="AU920" i="45"/>
  <c r="AU919" i="45"/>
  <c r="AV920" i="45"/>
  <c r="AV919" i="45"/>
  <c r="AW920" i="45"/>
  <c r="AW919" i="45"/>
  <c r="AX920" i="45"/>
  <c r="AX919" i="45"/>
  <c r="AY920" i="45"/>
  <c r="AY919" i="45"/>
  <c r="AZ920" i="45"/>
  <c r="AZ919" i="45"/>
  <c r="BA920" i="45"/>
  <c r="BA919" i="45"/>
  <c r="BB920" i="45"/>
  <c r="BB919" i="45"/>
  <c r="BC920" i="45"/>
  <c r="BC919" i="45"/>
  <c r="BD920" i="45"/>
  <c r="BD919" i="45"/>
  <c r="BE920" i="45"/>
  <c r="BE919" i="45"/>
  <c r="BF920" i="45"/>
  <c r="BF919" i="45"/>
  <c r="BG920" i="45"/>
  <c r="BG919" i="45"/>
  <c r="BH920" i="45"/>
  <c r="BH919" i="45"/>
  <c r="BJ920" i="45"/>
  <c r="BJ919" i="45"/>
  <c r="BK920" i="45"/>
  <c r="BK919" i="45"/>
  <c r="BL920" i="45"/>
  <c r="BL919" i="45"/>
  <c r="BN920" i="45"/>
  <c r="BN919" i="45"/>
  <c r="BO920" i="45"/>
  <c r="BO919" i="45"/>
  <c r="BP920" i="45"/>
  <c r="BP919" i="45"/>
  <c r="BR920" i="45"/>
  <c r="BR919" i="45"/>
  <c r="BS920" i="45"/>
  <c r="BS919" i="45"/>
  <c r="BT920" i="45"/>
  <c r="BT919" i="45"/>
  <c r="BV920" i="45"/>
  <c r="BV919" i="45"/>
  <c r="BW920" i="45"/>
  <c r="BW919" i="45"/>
  <c r="BX920" i="45"/>
  <c r="BX919" i="45"/>
  <c r="BY920" i="45"/>
  <c r="BY919" i="45"/>
  <c r="BZ920" i="45"/>
  <c r="BZ919" i="45"/>
  <c r="CA920" i="45"/>
  <c r="CA919" i="45"/>
  <c r="CB920" i="45"/>
  <c r="CB919" i="45"/>
  <c r="CD920" i="45"/>
  <c r="CD919" i="45"/>
  <c r="CE920" i="45"/>
  <c r="CE919" i="45"/>
  <c r="CF920" i="45"/>
  <c r="CF919" i="45"/>
  <c r="CP920" i="45"/>
  <c r="CP919" i="45"/>
  <c r="CH919" i="45"/>
  <c r="CQ920" i="45"/>
  <c r="CQ919" i="45"/>
  <c r="CI919" i="45"/>
  <c r="CR920" i="45"/>
  <c r="CR919" i="45"/>
  <c r="CJ919" i="45"/>
  <c r="CS920" i="45"/>
  <c r="CS919" i="45"/>
  <c r="CK919" i="45"/>
  <c r="AH921" i="45"/>
  <c r="BI921" i="45"/>
  <c r="BI920" i="45"/>
  <c r="BI919" i="45"/>
  <c r="BM921" i="45"/>
  <c r="BQ921" i="45"/>
  <c r="CC921" i="45"/>
  <c r="CC920" i="45"/>
  <c r="CC919" i="45"/>
  <c r="CH921" i="45"/>
  <c r="CI921" i="45"/>
  <c r="AE921" i="45"/>
  <c r="CJ921" i="45"/>
  <c r="AF921" i="45"/>
  <c r="CK921" i="45"/>
  <c r="AG921" i="45"/>
  <c r="CZ921" i="45"/>
  <c r="AA922" i="45"/>
  <c r="AH922" i="45"/>
  <c r="CH922" i="45"/>
  <c r="AC922" i="45"/>
  <c r="AI922" i="45"/>
  <c r="CI922" i="45"/>
  <c r="AE922" i="45"/>
  <c r="CJ922" i="45"/>
  <c r="AF922" i="45"/>
  <c r="AL922" i="45"/>
  <c r="CK922" i="45"/>
  <c r="AG922" i="45"/>
  <c r="AM922" i="45"/>
  <c r="AH923" i="45"/>
  <c r="BM923" i="45"/>
  <c r="BQ923" i="45"/>
  <c r="CH923" i="45"/>
  <c r="CI923" i="45"/>
  <c r="AE923" i="45"/>
  <c r="CJ923" i="45"/>
  <c r="AF923" i="45"/>
  <c r="AL923" i="45"/>
  <c r="CK923" i="45"/>
  <c r="AG923" i="45"/>
  <c r="AM923" i="45"/>
  <c r="CZ923" i="45"/>
  <c r="AA924" i="45"/>
  <c r="AH924" i="45"/>
  <c r="CH924" i="45"/>
  <c r="AC924" i="45"/>
  <c r="AI924" i="45"/>
  <c r="CI924" i="45"/>
  <c r="AE924" i="45"/>
  <c r="CJ924" i="45"/>
  <c r="AF924" i="45"/>
  <c r="AL924" i="45"/>
  <c r="CK924" i="45"/>
  <c r="AG924" i="45"/>
  <c r="AM924" i="45"/>
  <c r="AA925" i="45"/>
  <c r="AH925" i="45"/>
  <c r="CH925" i="45"/>
  <c r="AC925" i="45"/>
  <c r="AI925" i="45"/>
  <c r="CI925" i="45"/>
  <c r="AE925" i="45"/>
  <c r="CJ925" i="45"/>
  <c r="AF925" i="45"/>
  <c r="AL925" i="45"/>
  <c r="CK925" i="45"/>
  <c r="AG925" i="45"/>
  <c r="AM925" i="45"/>
  <c r="AA926" i="45"/>
  <c r="CH926" i="45"/>
  <c r="AC926" i="45"/>
  <c r="AH926" i="45"/>
  <c r="AI926" i="45"/>
  <c r="CI926" i="45"/>
  <c r="AE926" i="45"/>
  <c r="CJ926" i="45"/>
  <c r="AF926" i="45"/>
  <c r="AL926" i="45"/>
  <c r="CK926" i="45"/>
  <c r="AG926" i="45"/>
  <c r="AM926" i="45"/>
  <c r="AA927" i="45"/>
  <c r="AH927" i="45"/>
  <c r="BU927" i="45"/>
  <c r="BU526" i="45"/>
  <c r="CH927" i="45"/>
  <c r="CI927" i="45"/>
  <c r="AE927" i="45"/>
  <c r="CJ927" i="45"/>
  <c r="AF927" i="45"/>
  <c r="AL927" i="45"/>
  <c r="CK927" i="45"/>
  <c r="AG927" i="45"/>
  <c r="AM927" i="45"/>
  <c r="AA928" i="45"/>
  <c r="AH928" i="45"/>
  <c r="BQ928" i="45"/>
  <c r="CH928" i="45"/>
  <c r="AC928" i="45"/>
  <c r="AI928" i="45"/>
  <c r="CI928" i="45"/>
  <c r="AE928" i="45"/>
  <c r="CJ928" i="45"/>
  <c r="AF928" i="45"/>
  <c r="AL928" i="45"/>
  <c r="CK928" i="45"/>
  <c r="AG928" i="45"/>
  <c r="AM928" i="45"/>
  <c r="K929" i="45"/>
  <c r="AA929" i="45"/>
  <c r="CH929" i="45"/>
  <c r="AC929" i="45"/>
  <c r="AH929" i="45"/>
  <c r="AI929" i="45"/>
  <c r="CI929" i="45"/>
  <c r="AE929" i="45"/>
  <c r="CJ929" i="45"/>
  <c r="AF929" i="45"/>
  <c r="AL929" i="45"/>
  <c r="CK929" i="45"/>
  <c r="AG929" i="45"/>
  <c r="AM929" i="45"/>
  <c r="AA930" i="45"/>
  <c r="CH930" i="45"/>
  <c r="AC930" i="45"/>
  <c r="AH930" i="45"/>
  <c r="AI930" i="45"/>
  <c r="CI930" i="45"/>
  <c r="AE930" i="45"/>
  <c r="CJ930" i="45"/>
  <c r="AF930" i="45"/>
  <c r="AL930" i="45"/>
  <c r="CK930" i="45"/>
  <c r="AG930" i="45"/>
  <c r="AM930" i="45"/>
  <c r="AA931" i="45"/>
  <c r="CH931" i="45"/>
  <c r="AC931" i="45"/>
  <c r="AH931" i="45"/>
  <c r="AI931" i="45"/>
  <c r="CI931" i="45"/>
  <c r="AE931" i="45"/>
  <c r="CJ931" i="45"/>
  <c r="AF931" i="45"/>
  <c r="AL931" i="45"/>
  <c r="CK931" i="45"/>
  <c r="AG931" i="45"/>
  <c r="AM931" i="45"/>
  <c r="I920" i="45"/>
  <c r="K932" i="45"/>
  <c r="AA932" i="45"/>
  <c r="CH932" i="45"/>
  <c r="AC932" i="45"/>
  <c r="AH932" i="45"/>
  <c r="AI932" i="45"/>
  <c r="CI932" i="45"/>
  <c r="AE932" i="45"/>
  <c r="CJ932" i="45"/>
  <c r="AF932" i="45"/>
  <c r="AL932" i="45"/>
  <c r="CK932" i="45"/>
  <c r="AG932" i="45"/>
  <c r="AM932" i="45"/>
  <c r="AA933" i="45"/>
  <c r="CH933" i="45"/>
  <c r="AC933" i="45"/>
  <c r="AH933" i="45"/>
  <c r="AI933" i="45"/>
  <c r="CI933" i="45"/>
  <c r="AE933" i="45"/>
  <c r="CJ933" i="45"/>
  <c r="AF933" i="45"/>
  <c r="AL933" i="45"/>
  <c r="CK933" i="45"/>
  <c r="AG933" i="45"/>
  <c r="AM933" i="45"/>
  <c r="AA934" i="45"/>
  <c r="AH934" i="45"/>
  <c r="AA935" i="45"/>
  <c r="AH935" i="45"/>
  <c r="AA936" i="45"/>
  <c r="AH936" i="45"/>
  <c r="AA937" i="45"/>
  <c r="AH937" i="45"/>
  <c r="I938" i="45"/>
  <c r="I937" i="45"/>
  <c r="I936" i="45"/>
  <c r="I935" i="45"/>
  <c r="J938" i="45"/>
  <c r="J937" i="45"/>
  <c r="J936" i="45"/>
  <c r="J935" i="45"/>
  <c r="K938" i="45"/>
  <c r="K937" i="45"/>
  <c r="K936" i="45"/>
  <c r="K935" i="45"/>
  <c r="AA938" i="45"/>
  <c r="AD938" i="45"/>
  <c r="AD937" i="45"/>
  <c r="AD936" i="45"/>
  <c r="AD935" i="45"/>
  <c r="AE938" i="45"/>
  <c r="AE937" i="45"/>
  <c r="AE936" i="45"/>
  <c r="AE935" i="45"/>
  <c r="AF938" i="45"/>
  <c r="AF937" i="45"/>
  <c r="AF936" i="45"/>
  <c r="AF935" i="45"/>
  <c r="AG938" i="45"/>
  <c r="AG937" i="45"/>
  <c r="AG936" i="45"/>
  <c r="AG935" i="45"/>
  <c r="AH938" i="45"/>
  <c r="AO938" i="45"/>
  <c r="AO937" i="45"/>
  <c r="AO936" i="45"/>
  <c r="AO935" i="45"/>
  <c r="AP938" i="45"/>
  <c r="AP937" i="45"/>
  <c r="AP936" i="45"/>
  <c r="AP935" i="45"/>
  <c r="AQ938" i="45"/>
  <c r="AQ937" i="45"/>
  <c r="AQ936" i="45"/>
  <c r="AQ935" i="45"/>
  <c r="AR938" i="45"/>
  <c r="AR937" i="45"/>
  <c r="AR936" i="45"/>
  <c r="AR935" i="45"/>
  <c r="AS938" i="45"/>
  <c r="AS937" i="45"/>
  <c r="AS936" i="45"/>
  <c r="AS935" i="45"/>
  <c r="AT938" i="45"/>
  <c r="AT937" i="45"/>
  <c r="AT936" i="45"/>
  <c r="AT935" i="45"/>
  <c r="AU938" i="45"/>
  <c r="AU937" i="45"/>
  <c r="AU936" i="45"/>
  <c r="AU935" i="45"/>
  <c r="AV938" i="45"/>
  <c r="AV937" i="45"/>
  <c r="AV936" i="45"/>
  <c r="AV935" i="45"/>
  <c r="AW938" i="45"/>
  <c r="AW937" i="45"/>
  <c r="AW936" i="45"/>
  <c r="AW935" i="45"/>
  <c r="AX938" i="45"/>
  <c r="AX937" i="45"/>
  <c r="AX936" i="45"/>
  <c r="AX935" i="45"/>
  <c r="AY938" i="45"/>
  <c r="AY937" i="45"/>
  <c r="AY936" i="45"/>
  <c r="AY935" i="45"/>
  <c r="AZ938" i="45"/>
  <c r="AZ937" i="45"/>
  <c r="AZ936" i="45"/>
  <c r="AZ935" i="45"/>
  <c r="BA938" i="45"/>
  <c r="BA937" i="45"/>
  <c r="BA936" i="45"/>
  <c r="BA935" i="45"/>
  <c r="BB938" i="45"/>
  <c r="BB937" i="45"/>
  <c r="BB936" i="45"/>
  <c r="BB935" i="45"/>
  <c r="BC938" i="45"/>
  <c r="BC937" i="45"/>
  <c r="BC936" i="45"/>
  <c r="BC935" i="45"/>
  <c r="BD938" i="45"/>
  <c r="BD937" i="45"/>
  <c r="BD936" i="45"/>
  <c r="BD935" i="45"/>
  <c r="BE938" i="45"/>
  <c r="BE937" i="45"/>
  <c r="BE936" i="45"/>
  <c r="BE935" i="45"/>
  <c r="BF938" i="45"/>
  <c r="BF937" i="45"/>
  <c r="BF936" i="45"/>
  <c r="BF935" i="45"/>
  <c r="BG938" i="45"/>
  <c r="BG937" i="45"/>
  <c r="BG936" i="45"/>
  <c r="BG935" i="45"/>
  <c r="BH938" i="45"/>
  <c r="BH937" i="45"/>
  <c r="BH936" i="45"/>
  <c r="BH935" i="45"/>
  <c r="BI938" i="45"/>
  <c r="BI937" i="45"/>
  <c r="BI936" i="45"/>
  <c r="BI935" i="45"/>
  <c r="BJ938" i="45"/>
  <c r="BJ937" i="45"/>
  <c r="BJ936" i="45"/>
  <c r="BJ935" i="45"/>
  <c r="BK938" i="45"/>
  <c r="BK937" i="45"/>
  <c r="BK936" i="45"/>
  <c r="BK935" i="45"/>
  <c r="BL938" i="45"/>
  <c r="BL937" i="45"/>
  <c r="BL936" i="45"/>
  <c r="BL935" i="45"/>
  <c r="BM938" i="45"/>
  <c r="BM937" i="45"/>
  <c r="BM936" i="45"/>
  <c r="BM935" i="45"/>
  <c r="BN938" i="45"/>
  <c r="BN937" i="45"/>
  <c r="BN936" i="45"/>
  <c r="BN935" i="45"/>
  <c r="BO938" i="45"/>
  <c r="BO937" i="45"/>
  <c r="BO936" i="45"/>
  <c r="BO935" i="45"/>
  <c r="BP938" i="45"/>
  <c r="BP937" i="45"/>
  <c r="BP936" i="45"/>
  <c r="BP935" i="45"/>
  <c r="BR938" i="45"/>
  <c r="BR937" i="45"/>
  <c r="BR936" i="45"/>
  <c r="BR935" i="45"/>
  <c r="BS938" i="45"/>
  <c r="BS937" i="45"/>
  <c r="BS936" i="45"/>
  <c r="BS935" i="45"/>
  <c r="BT938" i="45"/>
  <c r="BT937" i="45"/>
  <c r="BT936" i="45"/>
  <c r="BT935" i="45"/>
  <c r="BU938" i="45"/>
  <c r="BU937" i="45"/>
  <c r="BU936" i="45"/>
  <c r="BU935" i="45"/>
  <c r="BV938" i="45"/>
  <c r="BV937" i="45"/>
  <c r="BV936" i="45"/>
  <c r="BV935" i="45"/>
  <c r="BW938" i="45"/>
  <c r="BW937" i="45"/>
  <c r="BW936" i="45"/>
  <c r="BW935" i="45"/>
  <c r="BX938" i="45"/>
  <c r="BX937" i="45"/>
  <c r="BX936" i="45"/>
  <c r="BX935" i="45"/>
  <c r="BY938" i="45"/>
  <c r="BY937" i="45"/>
  <c r="BY936" i="45"/>
  <c r="BY935" i="45"/>
  <c r="BZ938" i="45"/>
  <c r="BZ937" i="45"/>
  <c r="BZ936" i="45"/>
  <c r="BZ935" i="45"/>
  <c r="CA938" i="45"/>
  <c r="CA937" i="45"/>
  <c r="CA936" i="45"/>
  <c r="CA935" i="45"/>
  <c r="CB938" i="45"/>
  <c r="CB937" i="45"/>
  <c r="CB936" i="45"/>
  <c r="CB935" i="45"/>
  <c r="CC938" i="45"/>
  <c r="CC937" i="45"/>
  <c r="CC936" i="45"/>
  <c r="CC935" i="45"/>
  <c r="CD938" i="45"/>
  <c r="CD937" i="45"/>
  <c r="CD936" i="45"/>
  <c r="CD935" i="45"/>
  <c r="CE938" i="45"/>
  <c r="CE937" i="45"/>
  <c r="CE936" i="45"/>
  <c r="CE935" i="45"/>
  <c r="CF938" i="45"/>
  <c r="CF937" i="45"/>
  <c r="CF936" i="45"/>
  <c r="CF935" i="45"/>
  <c r="CH938" i="45"/>
  <c r="CH937" i="45"/>
  <c r="CH936" i="45"/>
  <c r="CH935" i="45"/>
  <c r="CI938" i="45"/>
  <c r="CI937" i="45"/>
  <c r="CI936" i="45"/>
  <c r="CI935" i="45"/>
  <c r="CJ938" i="45"/>
  <c r="CJ937" i="45"/>
  <c r="CJ936" i="45"/>
  <c r="CJ935" i="45"/>
  <c r="CK938" i="45"/>
  <c r="CK937" i="45"/>
  <c r="CK936" i="45"/>
  <c r="CK935" i="45"/>
  <c r="AH939" i="45"/>
  <c r="AK939" i="45"/>
  <c r="AL939" i="45"/>
  <c r="AM939" i="45"/>
  <c r="BQ939" i="45"/>
  <c r="AC939" i="45"/>
  <c r="AC940" i="45"/>
  <c r="Z940" i="45"/>
  <c r="AH940" i="45"/>
  <c r="AI940" i="45"/>
  <c r="AK940" i="45"/>
  <c r="AL940" i="45"/>
  <c r="AM940" i="45"/>
  <c r="AC941" i="45"/>
  <c r="AH941" i="45"/>
  <c r="AI941" i="45"/>
  <c r="AK941" i="45"/>
  <c r="AL941" i="45"/>
  <c r="AM941" i="45"/>
  <c r="AJ941" i="45"/>
  <c r="AC942" i="45"/>
  <c r="Z942" i="45"/>
  <c r="AH942" i="45"/>
  <c r="AI942" i="45"/>
  <c r="AK942" i="45"/>
  <c r="AL942" i="45"/>
  <c r="AM942" i="45"/>
  <c r="AC943" i="45"/>
  <c r="Z943" i="45"/>
  <c r="AH943" i="45"/>
  <c r="AI943" i="45"/>
  <c r="AK943" i="45"/>
  <c r="AL943" i="45"/>
  <c r="AM943" i="45"/>
  <c r="AJ943" i="45"/>
  <c r="AC944" i="45"/>
  <c r="Z944" i="45"/>
  <c r="AH944" i="45"/>
  <c r="AI944" i="45"/>
  <c r="AK944" i="45"/>
  <c r="AL944" i="45"/>
  <c r="AM944" i="45"/>
  <c r="AC945" i="45"/>
  <c r="Z945" i="45"/>
  <c r="AH945" i="45"/>
  <c r="AI945" i="45"/>
  <c r="AK945" i="45"/>
  <c r="AL945" i="45"/>
  <c r="AM945" i="45"/>
  <c r="AJ945" i="45"/>
  <c r="AC946" i="45"/>
  <c r="Z946" i="45"/>
  <c r="AH946" i="45"/>
  <c r="AI946" i="45"/>
  <c r="AK946" i="45"/>
  <c r="AL946" i="45"/>
  <c r="AM946" i="45"/>
  <c r="AC947" i="45"/>
  <c r="Z947" i="45"/>
  <c r="AH947" i="45"/>
  <c r="AI947" i="45"/>
  <c r="AK947" i="45"/>
  <c r="AL947" i="45"/>
  <c r="AM947" i="45"/>
  <c r="AJ947" i="45"/>
  <c r="AC948" i="45"/>
  <c r="Z948" i="45"/>
  <c r="AH948" i="45"/>
  <c r="AK948" i="45"/>
  <c r="AL948" i="45"/>
  <c r="AM948" i="45"/>
  <c r="I949" i="45"/>
  <c r="J949" i="45"/>
  <c r="AC949" i="45"/>
  <c r="AH949" i="45"/>
  <c r="AO949" i="45"/>
  <c r="AP949" i="45"/>
  <c r="AQ949" i="45"/>
  <c r="AS949" i="45"/>
  <c r="AT949" i="45"/>
  <c r="AU949" i="45"/>
  <c r="AW949" i="45"/>
  <c r="AX949" i="45"/>
  <c r="AY949" i="45"/>
  <c r="BA949" i="45"/>
  <c r="BB949" i="45"/>
  <c r="BC949" i="45"/>
  <c r="BF949" i="45"/>
  <c r="BG949" i="45"/>
  <c r="BI949" i="45"/>
  <c r="BJ949" i="45"/>
  <c r="BK949" i="45"/>
  <c r="BM949" i="45"/>
  <c r="BN949" i="45"/>
  <c r="BO949" i="45"/>
  <c r="BQ949" i="45"/>
  <c r="BR949" i="45"/>
  <c r="BS949" i="45"/>
  <c r="BU949" i="45"/>
  <c r="BV949" i="45"/>
  <c r="BW949" i="45"/>
  <c r="BY949" i="45"/>
  <c r="CA949" i="45"/>
  <c r="CC949" i="45"/>
  <c r="CD949" i="45"/>
  <c r="CE949" i="45"/>
  <c r="CH949" i="45"/>
  <c r="CI949" i="45"/>
  <c r="CJ949" i="45"/>
  <c r="CM949" i="45"/>
  <c r="CM223" i="45"/>
  <c r="CM222" i="45"/>
  <c r="CN949" i="45"/>
  <c r="CN222" i="45"/>
  <c r="AE950" i="45"/>
  <c r="AE949" i="45"/>
  <c r="AF950" i="45"/>
  <c r="AL950" i="45"/>
  <c r="AL949" i="45"/>
  <c r="AH950" i="45"/>
  <c r="BE950" i="45"/>
  <c r="BE949" i="45"/>
  <c r="AH951" i="45"/>
  <c r="AH952" i="45"/>
  <c r="F953" i="45"/>
  <c r="G953" i="45"/>
  <c r="AH953" i="45"/>
  <c r="I954" i="45"/>
  <c r="J954" i="45"/>
  <c r="K954" i="45"/>
  <c r="AH954" i="45"/>
  <c r="AP954" i="45"/>
  <c r="AQ954" i="45"/>
  <c r="AR954" i="45"/>
  <c r="AS954" i="45"/>
  <c r="AT954" i="45"/>
  <c r="AU954" i="45"/>
  <c r="AV954" i="45"/>
  <c r="AX954" i="45"/>
  <c r="AY954" i="45"/>
  <c r="AZ954" i="45"/>
  <c r="BA954" i="45"/>
  <c r="BB954" i="45"/>
  <c r="BC954" i="45"/>
  <c r="BD954" i="45"/>
  <c r="BF954" i="45"/>
  <c r="BG954" i="45"/>
  <c r="BH954" i="45"/>
  <c r="BJ954" i="45"/>
  <c r="BK954" i="45"/>
  <c r="BL954" i="45"/>
  <c r="BN954" i="45"/>
  <c r="BO954" i="45"/>
  <c r="BP954" i="45"/>
  <c r="BQ954" i="45"/>
  <c r="BR954" i="45"/>
  <c r="BS954" i="45"/>
  <c r="BT954" i="45"/>
  <c r="BU954" i="45"/>
  <c r="BV954" i="45"/>
  <c r="BW954" i="45"/>
  <c r="BX954" i="45"/>
  <c r="BZ954" i="45"/>
  <c r="CA954" i="45"/>
  <c r="CB954" i="45"/>
  <c r="CC954" i="45"/>
  <c r="CD954" i="45"/>
  <c r="CE954" i="45"/>
  <c r="CF954" i="45"/>
  <c r="CI954" i="45"/>
  <c r="CJ954" i="45"/>
  <c r="CK954" i="45"/>
  <c r="I955" i="45"/>
  <c r="J955" i="45"/>
  <c r="AH955" i="45"/>
  <c r="AO955" i="45"/>
  <c r="AP955" i="45"/>
  <c r="AQ955" i="45"/>
  <c r="AR955" i="45"/>
  <c r="AS955" i="45"/>
  <c r="AT955" i="45"/>
  <c r="AU955" i="45"/>
  <c r="AV955" i="45"/>
  <c r="AW955" i="45"/>
  <c r="AX955" i="45"/>
  <c r="AY955" i="45"/>
  <c r="AZ955" i="45"/>
  <c r="BA955" i="45"/>
  <c r="BB955" i="45"/>
  <c r="BC955" i="45"/>
  <c r="BD955" i="45"/>
  <c r="BE955" i="45"/>
  <c r="BF955" i="45"/>
  <c r="BG955" i="45"/>
  <c r="BH955" i="45"/>
  <c r="BI955" i="45"/>
  <c r="BJ955" i="45"/>
  <c r="BK955" i="45"/>
  <c r="BL955" i="45"/>
  <c r="BN955" i="45"/>
  <c r="BO955" i="45"/>
  <c r="BP955" i="45"/>
  <c r="BQ955" i="45"/>
  <c r="BR955" i="45"/>
  <c r="BS955" i="45"/>
  <c r="BT955" i="45"/>
  <c r="BV955" i="45"/>
  <c r="BW955" i="45"/>
  <c r="BX955" i="45"/>
  <c r="BZ955" i="45"/>
  <c r="CA955" i="45"/>
  <c r="CB955" i="45"/>
  <c r="CD955" i="45"/>
  <c r="CE955" i="45"/>
  <c r="CF955" i="45"/>
  <c r="CI955" i="45"/>
  <c r="CJ955" i="45"/>
  <c r="CK955" i="45"/>
  <c r="I956" i="45"/>
  <c r="J956" i="45"/>
  <c r="K956" i="45"/>
  <c r="U956" i="45"/>
  <c r="AH956" i="45"/>
  <c r="AO956" i="45"/>
  <c r="AP956" i="45"/>
  <c r="AQ956" i="45"/>
  <c r="AR956" i="45"/>
  <c r="AS956" i="45"/>
  <c r="AT956" i="45"/>
  <c r="AU956" i="45"/>
  <c r="AV956" i="45"/>
  <c r="AW956" i="45"/>
  <c r="AX956" i="45"/>
  <c r="AY956" i="45"/>
  <c r="AZ956" i="45"/>
  <c r="BA956" i="45"/>
  <c r="BB956" i="45"/>
  <c r="BC956" i="45"/>
  <c r="BD956" i="45"/>
  <c r="BF956" i="45"/>
  <c r="BG956" i="45"/>
  <c r="BH956" i="45"/>
  <c r="BI956" i="45"/>
  <c r="BJ956" i="45"/>
  <c r="BK956" i="45"/>
  <c r="BL956" i="45"/>
  <c r="BM956" i="45"/>
  <c r="BN956" i="45"/>
  <c r="BO956" i="45"/>
  <c r="BP956" i="45"/>
  <c r="BQ956" i="45"/>
  <c r="BR956" i="45"/>
  <c r="BS956" i="45"/>
  <c r="BT956" i="45"/>
  <c r="BU956" i="45"/>
  <c r="BV956" i="45"/>
  <c r="BW956" i="45"/>
  <c r="BX956" i="45"/>
  <c r="BY956" i="45"/>
  <c r="BZ956" i="45"/>
  <c r="CA956" i="45"/>
  <c r="CB956" i="45"/>
  <c r="CC956" i="45"/>
  <c r="CD956" i="45"/>
  <c r="CE956" i="45"/>
  <c r="CF956" i="45"/>
  <c r="CH956" i="45"/>
  <c r="CI956" i="45"/>
  <c r="CJ956" i="45"/>
  <c r="CK956" i="45"/>
  <c r="AH957" i="45"/>
  <c r="AE958" i="45"/>
  <c r="AF958" i="45"/>
  <c r="AG958" i="45"/>
  <c r="AH958" i="45"/>
  <c r="AK958" i="45"/>
  <c r="AL958" i="45"/>
  <c r="AM958" i="45"/>
  <c r="AW958" i="45"/>
  <c r="BI958" i="45"/>
  <c r="BI954" i="45"/>
  <c r="BI953" i="45"/>
  <c r="BI952" i="45"/>
  <c r="BI951" i="45"/>
  <c r="BM958" i="45"/>
  <c r="BY958" i="45"/>
  <c r="CH958" i="45"/>
  <c r="AE959" i="45"/>
  <c r="AF959" i="45"/>
  <c r="AG959" i="45"/>
  <c r="AH959" i="45"/>
  <c r="AK959" i="45"/>
  <c r="AL959" i="45"/>
  <c r="AM959" i="45"/>
  <c r="BM959" i="45"/>
  <c r="BY959" i="45"/>
  <c r="CX959" i="45"/>
  <c r="AC960" i="45"/>
  <c r="AI960" i="45"/>
  <c r="AE960" i="45"/>
  <c r="AF960" i="45"/>
  <c r="AG960" i="45"/>
  <c r="AD960" i="45"/>
  <c r="AH960" i="45"/>
  <c r="AK960" i="45"/>
  <c r="AM960" i="45"/>
  <c r="CX960" i="45"/>
  <c r="AE961" i="45"/>
  <c r="AF961" i="45"/>
  <c r="AG961" i="45"/>
  <c r="AH961" i="45"/>
  <c r="AK961" i="45"/>
  <c r="AL961" i="45"/>
  <c r="AM961" i="45"/>
  <c r="AO961" i="45"/>
  <c r="BE961" i="45"/>
  <c r="BE954" i="45"/>
  <c r="CH961" i="45"/>
  <c r="AE962" i="45"/>
  <c r="AF962" i="45"/>
  <c r="AG962" i="45"/>
  <c r="AH962" i="45"/>
  <c r="AL962" i="45"/>
  <c r="AO962" i="45"/>
  <c r="CH962" i="45"/>
  <c r="AE963" i="45"/>
  <c r="AF963" i="45"/>
  <c r="AG963" i="45"/>
  <c r="AH963" i="45"/>
  <c r="AK963" i="45"/>
  <c r="AL963" i="45"/>
  <c r="AM963" i="45"/>
  <c r="BY963" i="45"/>
  <c r="CH963" i="45"/>
  <c r="O3" i="45"/>
  <c r="T3" i="45"/>
  <c r="AE964" i="45"/>
  <c r="AF964" i="45"/>
  <c r="AG964" i="45"/>
  <c r="AH964" i="45"/>
  <c r="AK964" i="45"/>
  <c r="AL964" i="45"/>
  <c r="AM964" i="45"/>
  <c r="BY964" i="45"/>
  <c r="CH964" i="45"/>
  <c r="AE965" i="45"/>
  <c r="AF965" i="45"/>
  <c r="AG965" i="45"/>
  <c r="AH965" i="45"/>
  <c r="AK965" i="45"/>
  <c r="AL965" i="45"/>
  <c r="AM965" i="45"/>
  <c r="BM965" i="45"/>
  <c r="CC965" i="45"/>
  <c r="CH965" i="45"/>
  <c r="AE966" i="45"/>
  <c r="AF966" i="45"/>
  <c r="AG966" i="45"/>
  <c r="AD966" i="45"/>
  <c r="AH966" i="45"/>
  <c r="AK966" i="45"/>
  <c r="AL966" i="45"/>
  <c r="AM966" i="45"/>
  <c r="AJ966" i="45"/>
  <c r="BM966" i="45"/>
  <c r="BU966" i="45"/>
  <c r="BU955" i="45"/>
  <c r="CC966" i="45"/>
  <c r="CH966" i="45"/>
  <c r="CH967" i="45"/>
  <c r="AC967" i="45"/>
  <c r="AI967" i="45"/>
  <c r="AE968" i="45"/>
  <c r="AF968" i="45"/>
  <c r="AG968" i="45"/>
  <c r="AH968" i="45"/>
  <c r="AK968" i="45"/>
  <c r="AL968" i="45"/>
  <c r="AM968" i="45"/>
  <c r="CH968" i="45"/>
  <c r="AC968" i="45"/>
  <c r="AE969" i="45"/>
  <c r="AF969" i="45"/>
  <c r="AG969" i="45"/>
  <c r="AH969" i="45"/>
  <c r="AK969" i="45"/>
  <c r="AL969" i="45"/>
  <c r="AM969" i="45"/>
  <c r="CH969" i="45"/>
  <c r="AC969" i="45"/>
  <c r="AI969" i="45"/>
  <c r="AC970" i="45"/>
  <c r="AE970" i="45"/>
  <c r="AE971" i="45"/>
  <c r="AE956" i="45"/>
  <c r="AF970" i="45"/>
  <c r="AG970" i="45"/>
  <c r="AG971" i="45"/>
  <c r="AG956" i="45"/>
  <c r="AH970" i="45"/>
  <c r="AI970" i="45"/>
  <c r="AL970" i="45"/>
  <c r="AF971" i="45"/>
  <c r="AH971" i="45"/>
  <c r="AK971" i="45"/>
  <c r="AL971" i="45"/>
  <c r="AM971" i="45"/>
  <c r="BE971" i="45"/>
  <c r="BE956" i="45"/>
  <c r="AH972" i="45"/>
  <c r="AH973" i="45"/>
  <c r="AH974" i="45"/>
  <c r="AH975" i="45"/>
  <c r="I976" i="45"/>
  <c r="I975" i="45"/>
  <c r="I974" i="45"/>
  <c r="I973" i="45"/>
  <c r="I972" i="45"/>
  <c r="K976" i="45"/>
  <c r="K975" i="45"/>
  <c r="K974" i="45"/>
  <c r="K973" i="45"/>
  <c r="K972" i="45"/>
  <c r="AH976" i="45"/>
  <c r="AO976" i="45"/>
  <c r="AO975" i="45"/>
  <c r="AO974" i="45"/>
  <c r="AO973" i="45"/>
  <c r="AO972" i="45"/>
  <c r="AP976" i="45"/>
  <c r="AP975" i="45"/>
  <c r="AP974" i="45"/>
  <c r="AP973" i="45"/>
  <c r="AP972" i="45"/>
  <c r="AQ976" i="45"/>
  <c r="AQ975" i="45"/>
  <c r="AQ974" i="45"/>
  <c r="AQ973" i="45"/>
  <c r="AQ972" i="45"/>
  <c r="AR976" i="45"/>
  <c r="AR975" i="45"/>
  <c r="AR974" i="45"/>
  <c r="AR973" i="45"/>
  <c r="AR972" i="45"/>
  <c r="AS976" i="45"/>
  <c r="AS975" i="45"/>
  <c r="AS974" i="45"/>
  <c r="AS973" i="45"/>
  <c r="AS972" i="45"/>
  <c r="AT976" i="45"/>
  <c r="AT975" i="45"/>
  <c r="AT974" i="45"/>
  <c r="AT973" i="45"/>
  <c r="AT972" i="45"/>
  <c r="AU976" i="45"/>
  <c r="AU975" i="45"/>
  <c r="AU974" i="45"/>
  <c r="AU973" i="45"/>
  <c r="AU972" i="45"/>
  <c r="AV976" i="45"/>
  <c r="AV975" i="45"/>
  <c r="AV974" i="45"/>
  <c r="AV973" i="45"/>
  <c r="AV972" i="45"/>
  <c r="AW976" i="45"/>
  <c r="AW975" i="45"/>
  <c r="AW974" i="45"/>
  <c r="AW973" i="45"/>
  <c r="AW972" i="45"/>
  <c r="AX976" i="45"/>
  <c r="AX975" i="45"/>
  <c r="AX974" i="45"/>
  <c r="AX973" i="45"/>
  <c r="AX972" i="45"/>
  <c r="AY976" i="45"/>
  <c r="AY975" i="45"/>
  <c r="AY974" i="45"/>
  <c r="AY973" i="45"/>
  <c r="AY972" i="45"/>
  <c r="AZ976" i="45"/>
  <c r="AZ975" i="45"/>
  <c r="AZ974" i="45"/>
  <c r="AZ973" i="45"/>
  <c r="AZ972" i="45"/>
  <c r="BA976" i="45"/>
  <c r="BA975" i="45"/>
  <c r="BA974" i="45"/>
  <c r="BA973" i="45"/>
  <c r="BA972" i="45"/>
  <c r="BB976" i="45"/>
  <c r="BB975" i="45"/>
  <c r="BB974" i="45"/>
  <c r="BB973" i="45"/>
  <c r="BB972" i="45"/>
  <c r="BC976" i="45"/>
  <c r="BC975" i="45"/>
  <c r="BC974" i="45"/>
  <c r="BC973" i="45"/>
  <c r="BC972" i="45"/>
  <c r="BD976" i="45"/>
  <c r="BD975" i="45"/>
  <c r="BD974" i="45"/>
  <c r="BD973" i="45"/>
  <c r="BD972" i="45"/>
  <c r="BF976" i="45"/>
  <c r="BF975" i="45"/>
  <c r="BF974" i="45"/>
  <c r="BF973" i="45"/>
  <c r="BF972" i="45"/>
  <c r="BG976" i="45"/>
  <c r="BG975" i="45"/>
  <c r="BG974" i="45"/>
  <c r="BG973" i="45"/>
  <c r="BG972" i="45"/>
  <c r="BH976" i="45"/>
  <c r="BH975" i="45"/>
  <c r="BH974" i="45"/>
  <c r="BH973" i="45"/>
  <c r="BH972" i="45"/>
  <c r="BJ976" i="45"/>
  <c r="BJ975" i="45"/>
  <c r="BJ974" i="45"/>
  <c r="BJ973" i="45"/>
  <c r="BJ972" i="45"/>
  <c r="BK976" i="45"/>
  <c r="BK975" i="45"/>
  <c r="BK974" i="45"/>
  <c r="BK973" i="45"/>
  <c r="BK972" i="45"/>
  <c r="BL976" i="45"/>
  <c r="BL975" i="45"/>
  <c r="BL974" i="45"/>
  <c r="BL973" i="45"/>
  <c r="BL972" i="45"/>
  <c r="BM976" i="45"/>
  <c r="BM975" i="45"/>
  <c r="BM974" i="45"/>
  <c r="BM973" i="45"/>
  <c r="BM972" i="45"/>
  <c r="BN976" i="45"/>
  <c r="BN975" i="45"/>
  <c r="BN974" i="45"/>
  <c r="BN973" i="45"/>
  <c r="BN972" i="45"/>
  <c r="BO976" i="45"/>
  <c r="BO975" i="45"/>
  <c r="BO974" i="45"/>
  <c r="BO973" i="45"/>
  <c r="BO972" i="45"/>
  <c r="BP976" i="45"/>
  <c r="BP975" i="45"/>
  <c r="BP974" i="45"/>
  <c r="BP973" i="45"/>
  <c r="BP972" i="45"/>
  <c r="BQ976" i="45"/>
  <c r="BQ975" i="45"/>
  <c r="BQ974" i="45"/>
  <c r="BQ973" i="45"/>
  <c r="BQ972" i="45"/>
  <c r="BR976" i="45"/>
  <c r="BR975" i="45"/>
  <c r="BR974" i="45"/>
  <c r="BR973" i="45"/>
  <c r="BR972" i="45"/>
  <c r="BS976" i="45"/>
  <c r="BS975" i="45"/>
  <c r="BS974" i="45"/>
  <c r="BS973" i="45"/>
  <c r="BS972" i="45"/>
  <c r="BT976" i="45"/>
  <c r="BT975" i="45"/>
  <c r="BT974" i="45"/>
  <c r="BT973" i="45"/>
  <c r="BT972" i="45"/>
  <c r="BU976" i="45"/>
  <c r="BU975" i="45"/>
  <c r="BU974" i="45"/>
  <c r="BU973" i="45"/>
  <c r="BU972" i="45"/>
  <c r="BV976" i="45"/>
  <c r="BV975" i="45"/>
  <c r="BV974" i="45"/>
  <c r="BV973" i="45"/>
  <c r="BV972" i="45"/>
  <c r="BW976" i="45"/>
  <c r="BW975" i="45"/>
  <c r="BW974" i="45"/>
  <c r="BW973" i="45"/>
  <c r="BW972" i="45"/>
  <c r="BX976" i="45"/>
  <c r="BX975" i="45"/>
  <c r="BX974" i="45"/>
  <c r="BX973" i="45"/>
  <c r="BX972" i="45"/>
  <c r="BY976" i="45"/>
  <c r="BY975" i="45"/>
  <c r="BY974" i="45"/>
  <c r="BY973" i="45"/>
  <c r="BY972" i="45"/>
  <c r="BZ976" i="45"/>
  <c r="BZ975" i="45"/>
  <c r="BZ974" i="45"/>
  <c r="BZ973" i="45"/>
  <c r="BZ972" i="45"/>
  <c r="CA976" i="45"/>
  <c r="CA975" i="45"/>
  <c r="CA974" i="45"/>
  <c r="CA973" i="45"/>
  <c r="CA972" i="45"/>
  <c r="CB976" i="45"/>
  <c r="CB975" i="45"/>
  <c r="CB974" i="45"/>
  <c r="CB973" i="45"/>
  <c r="CB972" i="45"/>
  <c r="CC976" i="45"/>
  <c r="CC975" i="45"/>
  <c r="CC974" i="45"/>
  <c r="CC973" i="45"/>
  <c r="CC972" i="45"/>
  <c r="CD976" i="45"/>
  <c r="CD975" i="45"/>
  <c r="CD974" i="45"/>
  <c r="CD973" i="45"/>
  <c r="CD972" i="45"/>
  <c r="CE976" i="45"/>
  <c r="CE975" i="45"/>
  <c r="CE974" i="45"/>
  <c r="CE973" i="45"/>
  <c r="CE972" i="45"/>
  <c r="CF976" i="45"/>
  <c r="CF975" i="45"/>
  <c r="CF974" i="45"/>
  <c r="CF973" i="45"/>
  <c r="CF972" i="45"/>
  <c r="CH976" i="45"/>
  <c r="CH975" i="45"/>
  <c r="CH974" i="45"/>
  <c r="CH973" i="45"/>
  <c r="CH972" i="45"/>
  <c r="CI976" i="45"/>
  <c r="CI975" i="45"/>
  <c r="CI974" i="45"/>
  <c r="CI973" i="45"/>
  <c r="CI972" i="45"/>
  <c r="CJ976" i="45"/>
  <c r="CJ975" i="45"/>
  <c r="CJ974" i="45"/>
  <c r="CJ973" i="45"/>
  <c r="CJ972" i="45"/>
  <c r="CK976" i="45"/>
  <c r="CK975" i="45"/>
  <c r="CK974" i="45"/>
  <c r="CK973" i="45"/>
  <c r="CK972" i="45"/>
  <c r="AE977" i="45"/>
  <c r="AE976" i="45"/>
  <c r="AE975" i="45"/>
  <c r="AE974" i="45"/>
  <c r="AE973" i="45"/>
  <c r="AE972" i="45"/>
  <c r="AF977" i="45"/>
  <c r="AF976" i="45"/>
  <c r="AG977" i="45"/>
  <c r="AG976" i="45"/>
  <c r="AG975" i="45"/>
  <c r="AG974" i="45"/>
  <c r="AG973" i="45"/>
  <c r="AG972" i="45"/>
  <c r="AH977" i="45"/>
  <c r="AK977" i="45"/>
  <c r="AK976" i="45"/>
  <c r="AK975" i="45"/>
  <c r="AK974" i="45"/>
  <c r="AK973" i="45"/>
  <c r="AK972" i="45"/>
  <c r="AL977" i="45"/>
  <c r="AM977" i="45"/>
  <c r="AM976" i="45"/>
  <c r="AM975" i="45"/>
  <c r="AM974" i="45"/>
  <c r="AM973" i="45"/>
  <c r="AM972" i="45"/>
  <c r="BE977" i="45"/>
  <c r="BE976" i="45"/>
  <c r="BE975" i="45"/>
  <c r="BE974" i="45"/>
  <c r="BE973" i="45"/>
  <c r="BE972" i="45"/>
  <c r="BI977" i="45"/>
  <c r="BI976" i="45"/>
  <c r="BI975" i="45"/>
  <c r="BI974" i="45"/>
  <c r="BI973" i="45"/>
  <c r="BI972" i="45"/>
  <c r="AC978" i="45"/>
  <c r="AE978" i="45"/>
  <c r="AF978" i="45"/>
  <c r="AG978" i="45"/>
  <c r="AD978" i="45"/>
  <c r="AH978" i="45"/>
  <c r="AK978" i="45"/>
  <c r="AL978" i="45"/>
  <c r="AM978" i="45"/>
  <c r="AJ978" i="45"/>
  <c r="AC979" i="45"/>
  <c r="AI979" i="45"/>
  <c r="AE979" i="45"/>
  <c r="AF979" i="45"/>
  <c r="AL979" i="45"/>
  <c r="AG979" i="45"/>
  <c r="AH979" i="45"/>
  <c r="AK979" i="45"/>
  <c r="AM979" i="45"/>
  <c r="AC980" i="45"/>
  <c r="AH980" i="45"/>
  <c r="AI980" i="45"/>
  <c r="AL980" i="45"/>
  <c r="AC981" i="45"/>
  <c r="AH981" i="45"/>
  <c r="AI981" i="45"/>
  <c r="AL981" i="45"/>
  <c r="AC982" i="45"/>
  <c r="AH982" i="45"/>
  <c r="AI982" i="45"/>
  <c r="AL982" i="45"/>
  <c r="AC983" i="45"/>
  <c r="AH983" i="45"/>
  <c r="AI983" i="45"/>
  <c r="AL983" i="45"/>
  <c r="AC984" i="45"/>
  <c r="AH984" i="45"/>
  <c r="AI984" i="45"/>
  <c r="AC985" i="45"/>
  <c r="AH985" i="45"/>
  <c r="AI985" i="45"/>
  <c r="AL985" i="45"/>
  <c r="AH986" i="45"/>
  <c r="AC986" i="45"/>
  <c r="AI986" i="45"/>
  <c r="AH987" i="45"/>
  <c r="AC987" i="45"/>
  <c r="AI987" i="45"/>
  <c r="AH988" i="45"/>
  <c r="AC988" i="45"/>
  <c r="AI988" i="45"/>
  <c r="AH989" i="45"/>
  <c r="AC989" i="45"/>
  <c r="AI989" i="45"/>
  <c r="AH990" i="45"/>
  <c r="AC990" i="45"/>
  <c r="AI990" i="45"/>
  <c r="CG991" i="45"/>
  <c r="CG223" i="45"/>
  <c r="AH992" i="45"/>
  <c r="AC992" i="45"/>
  <c r="I994" i="45"/>
  <c r="H995" i="45"/>
  <c r="H996" i="45"/>
  <c r="H998" i="45"/>
  <c r="H999" i="45"/>
  <c r="AE1012" i="45"/>
  <c r="I1013" i="45"/>
  <c r="AE1013" i="45"/>
  <c r="AE1014" i="45"/>
  <c r="I1015" i="45"/>
  <c r="AE1015" i="45"/>
  <c r="AI1015" i="45"/>
  <c r="AE1016" i="45"/>
  <c r="AI1016" i="45"/>
  <c r="AE1017" i="45"/>
  <c r="AE1019" i="45"/>
  <c r="AE1020" i="45"/>
  <c r="AE1021" i="45"/>
  <c r="AI1021" i="45"/>
  <c r="I1022" i="45"/>
  <c r="AI1022" i="45"/>
  <c r="AE1023" i="45"/>
  <c r="AE1024" i="45"/>
  <c r="F30" i="11"/>
  <c r="G30" i="11"/>
  <c r="H30" i="11"/>
  <c r="I30" i="11"/>
  <c r="F31" i="11"/>
  <c r="G31" i="11"/>
  <c r="H31" i="11"/>
  <c r="I31" i="11"/>
  <c r="F33" i="11"/>
  <c r="G33" i="11"/>
  <c r="H33" i="11"/>
  <c r="I33" i="11"/>
  <c r="F34" i="11"/>
  <c r="G34" i="11"/>
  <c r="H34" i="11"/>
  <c r="I34" i="11"/>
  <c r="F35" i="11"/>
  <c r="G35" i="11"/>
  <c r="H35" i="11"/>
  <c r="I35" i="11"/>
  <c r="F47" i="11"/>
  <c r="G47" i="11"/>
  <c r="H47" i="11"/>
  <c r="I47" i="11"/>
  <c r="I50" i="11"/>
  <c r="F64" i="11"/>
  <c r="H64" i="11"/>
  <c r="I64" i="11"/>
  <c r="F76" i="11"/>
  <c r="G76" i="11"/>
  <c r="H76" i="11"/>
  <c r="I76" i="11"/>
  <c r="F86" i="11"/>
  <c r="G86" i="11"/>
  <c r="H86" i="11"/>
  <c r="I86" i="11"/>
  <c r="F88" i="11"/>
  <c r="G88" i="11"/>
  <c r="H88" i="11"/>
  <c r="I88" i="11"/>
  <c r="F89" i="11"/>
  <c r="G89" i="11"/>
  <c r="H89" i="11"/>
  <c r="I89" i="11"/>
  <c r="F90" i="11"/>
  <c r="G90" i="11"/>
  <c r="H90" i="11"/>
  <c r="I90" i="11"/>
  <c r="H94" i="11"/>
  <c r="F112" i="11"/>
  <c r="G112" i="11"/>
  <c r="H112" i="11"/>
  <c r="I112" i="11"/>
  <c r="F113" i="11"/>
  <c r="G113" i="11"/>
  <c r="H113" i="11"/>
  <c r="I113" i="11"/>
  <c r="F114" i="11"/>
  <c r="G114" i="11"/>
  <c r="H114" i="11"/>
  <c r="I114" i="11"/>
  <c r="F115" i="11"/>
  <c r="G115" i="11"/>
  <c r="H115" i="11"/>
  <c r="I115" i="11"/>
  <c r="F116" i="11"/>
  <c r="G116" i="11"/>
  <c r="H116" i="11"/>
  <c r="I116" i="11"/>
  <c r="G121" i="11"/>
  <c r="H121" i="11"/>
  <c r="H118" i="11"/>
  <c r="I121" i="11"/>
  <c r="I118" i="11"/>
  <c r="F124" i="4"/>
  <c r="F112" i="4"/>
  <c r="F113" i="4"/>
  <c r="F125" i="4"/>
  <c r="F108" i="4"/>
  <c r="F110" i="4"/>
  <c r="F119" i="4"/>
  <c r="H119" i="4"/>
  <c r="F117" i="4"/>
  <c r="F118" i="4"/>
  <c r="F120" i="4"/>
  <c r="F121" i="4"/>
  <c r="F122" i="4"/>
  <c r="H122" i="4"/>
  <c r="F123" i="4"/>
  <c r="H123" i="4"/>
  <c r="G95" i="4"/>
  <c r="H95" i="4"/>
  <c r="I95" i="4"/>
  <c r="J95" i="4"/>
  <c r="O16" i="14"/>
  <c r="P16" i="14"/>
  <c r="N19" i="14"/>
  <c r="E36" i="14"/>
  <c r="F36" i="14"/>
  <c r="G36" i="14"/>
  <c r="H36" i="14"/>
  <c r="I36" i="14"/>
  <c r="J36" i="14"/>
  <c r="K36" i="14"/>
  <c r="E37" i="14"/>
  <c r="F37" i="14"/>
  <c r="L37" i="14"/>
  <c r="M37" i="14"/>
  <c r="F51" i="14"/>
  <c r="H59" i="14"/>
  <c r="I59" i="14"/>
  <c r="J59" i="14"/>
  <c r="K59" i="14"/>
  <c r="S14" i="23"/>
  <c r="S23" i="23"/>
  <c r="T35" i="23"/>
  <c r="S54" i="23"/>
  <c r="I23" i="14"/>
  <c r="I25" i="14"/>
  <c r="I26" i="14"/>
  <c r="J23" i="14"/>
  <c r="J25" i="14"/>
  <c r="J26" i="14"/>
  <c r="U66" i="23"/>
  <c r="U68" i="23"/>
  <c r="V6" i="12"/>
  <c r="L9" i="32"/>
  <c r="N9" i="32"/>
  <c r="AA11" i="12"/>
  <c r="AB11" i="12"/>
  <c r="AC11" i="12"/>
  <c r="AD11" i="12"/>
  <c r="AE11" i="12"/>
  <c r="AF11" i="12"/>
  <c r="AG11" i="12"/>
  <c r="AA12" i="12"/>
  <c r="AB12" i="12"/>
  <c r="O9" i="33"/>
  <c r="O10" i="33"/>
  <c r="L11" i="33"/>
  <c r="L12" i="33"/>
  <c r="AB17" i="12"/>
  <c r="AC17" i="12"/>
  <c r="AD17" i="12"/>
  <c r="AE17" i="12"/>
  <c r="AF17" i="12"/>
  <c r="AG17" i="12"/>
  <c r="AH17" i="12"/>
  <c r="O13" i="33"/>
  <c r="N8" i="32"/>
  <c r="O8" i="32"/>
  <c r="M9" i="32"/>
  <c r="O9" i="32"/>
  <c r="M10" i="32"/>
  <c r="O10" i="32"/>
  <c r="H33" i="19"/>
  <c r="L33" i="19"/>
  <c r="J48" i="31"/>
  <c r="H35" i="19"/>
  <c r="X56" i="12"/>
  <c r="H98" i="12"/>
  <c r="H99" i="12"/>
  <c r="H100" i="12"/>
  <c r="H102" i="12"/>
  <c r="K98" i="12"/>
  <c r="N98" i="12"/>
  <c r="R98" i="12"/>
  <c r="V98" i="12"/>
  <c r="V99" i="12"/>
  <c r="V100" i="12"/>
  <c r="V102" i="12"/>
  <c r="K99" i="12"/>
  <c r="N99" i="12"/>
  <c r="R99" i="12"/>
  <c r="K100" i="12"/>
  <c r="N100" i="12"/>
  <c r="R100" i="12"/>
  <c r="F102" i="12"/>
  <c r="G102" i="12"/>
  <c r="I102" i="12"/>
  <c r="J102" i="12"/>
  <c r="L102" i="12"/>
  <c r="M102" i="12"/>
  <c r="N102" i="12"/>
  <c r="O102" i="12"/>
  <c r="P102" i="12"/>
  <c r="T102" i="12"/>
  <c r="U102" i="12"/>
  <c r="H107" i="12"/>
  <c r="I107" i="12"/>
  <c r="K107" i="12"/>
  <c r="L107" i="12"/>
  <c r="N107" i="12"/>
  <c r="H108" i="12"/>
  <c r="I108" i="12"/>
  <c r="K108" i="12"/>
  <c r="L108" i="12"/>
  <c r="N108" i="12"/>
  <c r="O108" i="12"/>
  <c r="R108" i="12"/>
  <c r="T108" i="12"/>
  <c r="V108" i="12"/>
  <c r="H109" i="12"/>
  <c r="I109" i="12"/>
  <c r="K109" i="12"/>
  <c r="L109" i="12"/>
  <c r="N109" i="12"/>
  <c r="I110" i="12"/>
  <c r="L110" i="12"/>
  <c r="F111" i="12"/>
  <c r="G111" i="12"/>
  <c r="H111" i="12"/>
  <c r="J111" i="12"/>
  <c r="M111" i="12"/>
  <c r="P111" i="12"/>
  <c r="U111" i="12"/>
  <c r="V115" i="12"/>
  <c r="AA115" i="12"/>
  <c r="AF115" i="12"/>
  <c r="K116" i="12"/>
  <c r="L116" i="12"/>
  <c r="M116" i="12"/>
  <c r="N116" i="12"/>
  <c r="P116" i="12"/>
  <c r="R116" i="12"/>
  <c r="T116" i="12"/>
  <c r="U116" i="12"/>
  <c r="V116" i="12"/>
  <c r="W116" i="12"/>
  <c r="X116" i="12"/>
  <c r="V117" i="12"/>
  <c r="Z116" i="12"/>
  <c r="V118" i="12"/>
  <c r="AA118" i="12"/>
  <c r="AF118" i="12"/>
  <c r="V119" i="12"/>
  <c r="Y116" i="12"/>
  <c r="AA119" i="12"/>
  <c r="AD116" i="12"/>
  <c r="V122" i="12"/>
  <c r="H132" i="12"/>
  <c r="K132" i="12"/>
  <c r="N132" i="12"/>
  <c r="O132" i="12"/>
  <c r="R132" i="12"/>
  <c r="H76" i="4"/>
  <c r="H68" i="4"/>
  <c r="F114" i="4"/>
  <c r="F116" i="4"/>
  <c r="O58" i="31"/>
  <c r="P58" i="31"/>
  <c r="O54" i="31"/>
  <c r="O53" i="31"/>
  <c r="P53" i="31"/>
  <c r="O42" i="31"/>
  <c r="P42" i="31"/>
  <c r="O33" i="31"/>
  <c r="P33" i="31"/>
  <c r="O27" i="31"/>
  <c r="P27" i="31"/>
  <c r="I22" i="32"/>
  <c r="K18" i="32"/>
  <c r="H34" i="19"/>
  <c r="J34" i="19"/>
  <c r="J37" i="19"/>
  <c r="J28" i="19"/>
  <c r="J24" i="19"/>
  <c r="J22" i="19"/>
  <c r="J18" i="19"/>
  <c r="J31" i="19"/>
  <c r="J13" i="19"/>
  <c r="J11" i="19"/>
  <c r="J50" i="13"/>
  <c r="J53" i="13"/>
  <c r="N32" i="4"/>
  <c r="J51" i="11"/>
  <c r="J32" i="4"/>
  <c r="H51" i="60"/>
  <c r="L49" i="4"/>
  <c r="I68" i="60"/>
  <c r="I67" i="60"/>
  <c r="J49" i="4"/>
  <c r="H68" i="60"/>
  <c r="H67" i="60"/>
  <c r="L32" i="4"/>
  <c r="I51" i="60"/>
  <c r="J125" i="11"/>
  <c r="J22" i="11"/>
  <c r="I13" i="4"/>
  <c r="J13" i="4"/>
  <c r="H51" i="11"/>
  <c r="H50" i="11"/>
  <c r="O81" i="4"/>
  <c r="P81" i="4"/>
  <c r="O79" i="4"/>
  <c r="P79" i="4"/>
  <c r="O76" i="4"/>
  <c r="P76" i="4"/>
  <c r="O72" i="4"/>
  <c r="P72" i="4"/>
  <c r="O74" i="4"/>
  <c r="P74" i="4"/>
  <c r="O68" i="4"/>
  <c r="P68" i="4"/>
  <c r="O65" i="4"/>
  <c r="P65" i="4"/>
  <c r="O62" i="4"/>
  <c r="P62" i="4"/>
  <c r="O60" i="4"/>
  <c r="P60" i="4"/>
  <c r="O56" i="4"/>
  <c r="P56" i="4"/>
  <c r="O52" i="4"/>
  <c r="P52" i="4"/>
  <c r="O44" i="4"/>
  <c r="P44" i="4"/>
  <c r="O37" i="4"/>
  <c r="P37" i="4"/>
  <c r="O32" i="4"/>
  <c r="P32" i="4"/>
  <c r="O34" i="4"/>
  <c r="P34" i="4"/>
  <c r="O26" i="4"/>
  <c r="P26" i="4"/>
  <c r="O23" i="4"/>
  <c r="P23" i="4"/>
  <c r="O21" i="4"/>
  <c r="P21" i="4"/>
  <c r="O17" i="4"/>
  <c r="P17" i="4"/>
  <c r="H39" i="11"/>
  <c r="H38" i="11"/>
  <c r="D45" i="19"/>
  <c r="K23" i="14"/>
  <c r="K25" i="14"/>
  <c r="K26" i="14"/>
  <c r="I110" i="4"/>
  <c r="G39" i="11"/>
  <c r="G38" i="11"/>
  <c r="G79" i="11"/>
  <c r="G78" i="11"/>
  <c r="H79" i="11"/>
  <c r="H78" i="11"/>
  <c r="G68" i="11"/>
  <c r="G67" i="11"/>
  <c r="G118" i="11"/>
  <c r="H23" i="11"/>
  <c r="H22" i="11"/>
  <c r="H68" i="11"/>
  <c r="H67" i="11"/>
  <c r="P54" i="31"/>
  <c r="K66" i="23"/>
  <c r="S69" i="23"/>
  <c r="H30" i="31"/>
  <c r="G23" i="11"/>
  <c r="M13" i="4"/>
  <c r="N13" i="4"/>
  <c r="I31" i="4"/>
  <c r="J31" i="4"/>
  <c r="I34" i="19"/>
  <c r="K18" i="31"/>
  <c r="K57" i="31"/>
  <c r="H52" i="31"/>
  <c r="K47" i="31"/>
  <c r="H46" i="31"/>
  <c r="K43" i="31"/>
  <c r="N40" i="31"/>
  <c r="N39" i="31"/>
  <c r="H35" i="31"/>
  <c r="H33" i="31"/>
  <c r="H23" i="31"/>
  <c r="H22" i="31"/>
  <c r="F40" i="19"/>
  <c r="M59" i="4"/>
  <c r="N59" i="4"/>
  <c r="J72" i="4"/>
  <c r="G31" i="4"/>
  <c r="H31" i="4"/>
  <c r="G51" i="11"/>
  <c r="G50" i="11"/>
  <c r="I23" i="11"/>
  <c r="I22" i="11"/>
  <c r="N14" i="4"/>
  <c r="I79" i="11"/>
  <c r="I78" i="11"/>
  <c r="N54" i="4"/>
  <c r="I38" i="11"/>
  <c r="G29" i="15"/>
  <c r="K31" i="4"/>
  <c r="L31" i="4"/>
  <c r="M49" i="4"/>
  <c r="I68" i="11"/>
  <c r="I67" i="11"/>
  <c r="N41" i="4"/>
  <c r="I59" i="11"/>
  <c r="I58" i="11"/>
  <c r="K61" i="31"/>
  <c r="H16" i="31"/>
  <c r="H15" i="31"/>
  <c r="F33" i="19"/>
  <c r="F43" i="19"/>
  <c r="F30" i="19"/>
  <c r="F26" i="19"/>
  <c r="F25" i="19"/>
  <c r="J25" i="19"/>
  <c r="J30" i="19"/>
  <c r="J44" i="31"/>
  <c r="I18" i="32"/>
  <c r="I35" i="19"/>
  <c r="K58" i="31"/>
  <c r="O57" i="31"/>
  <c r="P57" i="31"/>
  <c r="N54" i="31"/>
  <c r="H54" i="31"/>
  <c r="K24" i="31"/>
  <c r="H19" i="31"/>
  <c r="H18" i="31"/>
  <c r="I41" i="19"/>
  <c r="J41" i="19"/>
  <c r="I40" i="19"/>
  <c r="F39" i="19"/>
  <c r="I38" i="19"/>
  <c r="I37" i="19"/>
  <c r="F37" i="19"/>
  <c r="J27" i="19"/>
  <c r="F23" i="19"/>
  <c r="F22" i="19"/>
  <c r="I21" i="19"/>
  <c r="F21" i="19"/>
  <c r="I20" i="19"/>
  <c r="J20" i="19"/>
  <c r="I19" i="19"/>
  <c r="F8" i="19"/>
  <c r="F16" i="19"/>
  <c r="O48" i="31"/>
  <c r="K48" i="31"/>
  <c r="J35" i="19"/>
  <c r="I21" i="32"/>
  <c r="O16" i="31"/>
  <c r="P16" i="31"/>
  <c r="M44" i="31"/>
  <c r="N44" i="31"/>
  <c r="J49" i="31"/>
  <c r="O52" i="31"/>
  <c r="P52" i="31"/>
  <c r="O61" i="31"/>
  <c r="P61" i="31"/>
  <c r="K63" i="31"/>
  <c r="N62" i="31"/>
  <c r="H62" i="31"/>
  <c r="N61" i="31"/>
  <c r="N59" i="31"/>
  <c r="N58" i="31"/>
  <c r="N57" i="31"/>
  <c r="N52" i="31"/>
  <c r="K52" i="31"/>
  <c r="H50" i="31"/>
  <c r="N49" i="31"/>
  <c r="H48" i="31"/>
  <c r="O47" i="31"/>
  <c r="P47" i="31"/>
  <c r="H44" i="31"/>
  <c r="O43" i="31"/>
  <c r="H42" i="31"/>
  <c r="H38" i="31"/>
  <c r="K36" i="31"/>
  <c r="K34" i="31"/>
  <c r="K26" i="31"/>
  <c r="H26" i="31"/>
  <c r="N24" i="31"/>
  <c r="N20" i="31"/>
  <c r="N19" i="31"/>
  <c r="K19" i="31"/>
  <c r="K17" i="31"/>
  <c r="N16" i="31"/>
  <c r="K16" i="31"/>
  <c r="I42" i="19"/>
  <c r="F42" i="19"/>
  <c r="F36" i="19"/>
  <c r="F34" i="19"/>
  <c r="I28" i="19"/>
  <c r="F28" i="19"/>
  <c r="I26" i="19"/>
  <c r="I24" i="19"/>
  <c r="F24" i="19"/>
  <c r="J23" i="19"/>
  <c r="I13" i="19"/>
  <c r="F11" i="19"/>
  <c r="F10" i="19"/>
  <c r="H105" i="11"/>
  <c r="H104" i="11"/>
  <c r="M63" i="23"/>
  <c r="E45" i="19"/>
  <c r="P8" i="31"/>
  <c r="E66" i="31"/>
  <c r="H233" i="36"/>
  <c r="AJ913" i="45"/>
  <c r="AI912" i="45"/>
  <c r="AJ895" i="45"/>
  <c r="CX683" i="45"/>
  <c r="AI683" i="45"/>
  <c r="CY683" i="45"/>
  <c r="F109" i="4"/>
  <c r="F115" i="4"/>
  <c r="AJ979" i="45"/>
  <c r="AL956" i="45"/>
  <c r="H997" i="45"/>
  <c r="AJ969" i="45"/>
  <c r="AD969" i="45"/>
  <c r="AC966" i="45"/>
  <c r="AI966" i="45"/>
  <c r="CC955" i="45"/>
  <c r="AJ965" i="45"/>
  <c r="AD965" i="45"/>
  <c r="AJ964" i="45"/>
  <c r="CH955" i="45"/>
  <c r="AM955" i="45"/>
  <c r="AK955" i="45"/>
  <c r="AG955" i="45"/>
  <c r="AE955" i="45"/>
  <c r="AD962" i="45"/>
  <c r="AC961" i="45"/>
  <c r="AI961" i="45"/>
  <c r="CH954" i="45"/>
  <c r="BM954" i="45"/>
  <c r="AC958" i="45"/>
  <c r="AF954" i="45"/>
  <c r="CK953" i="45"/>
  <c r="CK952" i="45"/>
  <c r="CK951" i="45"/>
  <c r="CI953" i="45"/>
  <c r="CI952" i="45"/>
  <c r="CI951" i="45"/>
  <c r="CE953" i="45"/>
  <c r="CE952" i="45"/>
  <c r="CE951" i="45"/>
  <c r="CA953" i="45"/>
  <c r="CA952" i="45"/>
  <c r="CA951" i="45"/>
  <c r="BX953" i="45"/>
  <c r="BX952" i="45"/>
  <c r="BX951" i="45"/>
  <c r="BV953" i="45"/>
  <c r="BV952" i="45"/>
  <c r="BV951" i="45"/>
  <c r="BT953" i="45"/>
  <c r="BT952" i="45"/>
  <c r="BT951" i="45"/>
  <c r="BR953" i="45"/>
  <c r="BR952" i="45"/>
  <c r="BR951" i="45"/>
  <c r="BP953" i="45"/>
  <c r="BP952" i="45"/>
  <c r="BP951" i="45"/>
  <c r="BN953" i="45"/>
  <c r="BN952" i="45"/>
  <c r="BN951" i="45"/>
  <c r="BK953" i="45"/>
  <c r="BK952" i="45"/>
  <c r="BK951" i="45"/>
  <c r="BH953" i="45"/>
  <c r="BH952" i="45"/>
  <c r="BH951" i="45"/>
  <c r="BF953" i="45"/>
  <c r="BF952" i="45"/>
  <c r="BF951" i="45"/>
  <c r="BC953" i="45"/>
  <c r="BC952" i="45"/>
  <c r="BC951" i="45"/>
  <c r="BA953" i="45"/>
  <c r="BA952" i="45"/>
  <c r="BA951" i="45"/>
  <c r="AY953" i="45"/>
  <c r="AY952" i="45"/>
  <c r="AY951" i="45"/>
  <c r="AV953" i="45"/>
  <c r="AV952" i="45"/>
  <c r="AV951" i="45"/>
  <c r="AT953" i="45"/>
  <c r="AT952" i="45"/>
  <c r="AT951" i="45"/>
  <c r="AR953" i="45"/>
  <c r="AR952" i="45"/>
  <c r="AR951" i="45"/>
  <c r="AP953" i="45"/>
  <c r="AP952" i="45"/>
  <c r="AP951" i="45"/>
  <c r="I953" i="45"/>
  <c r="I952" i="45"/>
  <c r="I951" i="45"/>
  <c r="AJ948" i="45"/>
  <c r="H937" i="45"/>
  <c r="H936" i="45"/>
  <c r="H935" i="45"/>
  <c r="E88" i="4"/>
  <c r="F88" i="4"/>
  <c r="H120" i="4"/>
  <c r="AM938" i="45"/>
  <c r="AM937" i="45"/>
  <c r="AM936" i="45"/>
  <c r="AM935" i="45"/>
  <c r="AK938" i="45"/>
  <c r="AK937" i="45"/>
  <c r="AK936" i="45"/>
  <c r="AK935" i="45"/>
  <c r="K920" i="45"/>
  <c r="K919" i="45"/>
  <c r="AC923" i="45"/>
  <c r="BQ920" i="45"/>
  <c r="BQ919" i="45"/>
  <c r="H888" i="45"/>
  <c r="BM888" i="45"/>
  <c r="BM887" i="45"/>
  <c r="AC827" i="45"/>
  <c r="BM824" i="45"/>
  <c r="BM823" i="45"/>
  <c r="H808" i="45"/>
  <c r="H807" i="45"/>
  <c r="CZ795" i="45"/>
  <c r="AC795" i="45"/>
  <c r="BI792" i="45"/>
  <c r="BI791" i="45"/>
  <c r="H792" i="45"/>
  <c r="H791" i="45"/>
  <c r="AC779" i="45"/>
  <c r="AC763" i="45"/>
  <c r="AC761" i="45"/>
  <c r="X760" i="45"/>
  <c r="I728" i="45"/>
  <c r="H728" i="45"/>
  <c r="AJ706" i="45"/>
  <c r="AJ704" i="45"/>
  <c r="AJ701" i="45"/>
  <c r="AJ700" i="45"/>
  <c r="AC697" i="45"/>
  <c r="AI697" i="45"/>
  <c r="CP695" i="45"/>
  <c r="CH695" i="45"/>
  <c r="H664" i="45"/>
  <c r="H663" i="45"/>
  <c r="AJ667" i="45"/>
  <c r="AC665" i="45"/>
  <c r="AI665" i="45"/>
  <c r="X665" i="45"/>
  <c r="CC664" i="45"/>
  <c r="CC663" i="45"/>
  <c r="AC649" i="45"/>
  <c r="BE532" i="45"/>
  <c r="AJ638" i="45"/>
  <c r="AJ637" i="45"/>
  <c r="AJ636" i="45"/>
  <c r="AC635" i="45"/>
  <c r="AD633" i="45"/>
  <c r="BI632" i="45"/>
  <c r="BI631" i="45"/>
  <c r="CQ631" i="45"/>
  <c r="CI631" i="45"/>
  <c r="CX618" i="45"/>
  <c r="AI618" i="45"/>
  <c r="CY618" i="45"/>
  <c r="AJ517" i="45"/>
  <c r="AI498" i="45"/>
  <c r="AI491" i="45"/>
  <c r="AI481" i="45"/>
  <c r="AI478" i="45"/>
  <c r="AI411" i="45"/>
  <c r="AJ332" i="45"/>
  <c r="AJ328" i="45"/>
  <c r="AJ326" i="45"/>
  <c r="AJ311" i="45"/>
  <c r="AJ308" i="45"/>
  <c r="AM268" i="45"/>
  <c r="AK268" i="45"/>
  <c r="AM266" i="45"/>
  <c r="AK266" i="45"/>
  <c r="AJ285" i="45"/>
  <c r="F111" i="4"/>
  <c r="AA117" i="12"/>
  <c r="O109" i="12"/>
  <c r="O107" i="12"/>
  <c r="R102" i="12"/>
  <c r="K102" i="12"/>
  <c r="AD979" i="45"/>
  <c r="AI978" i="45"/>
  <c r="AJ977" i="45"/>
  <c r="AJ976" i="45"/>
  <c r="AJ975" i="45"/>
  <c r="AJ974" i="45"/>
  <c r="AJ973" i="45"/>
  <c r="AJ972" i="45"/>
  <c r="AJ971" i="45"/>
  <c r="AD971" i="45"/>
  <c r="K955" i="45"/>
  <c r="AM970" i="45"/>
  <c r="AM956" i="45"/>
  <c r="AK970" i="45"/>
  <c r="AK956" i="45"/>
  <c r="AF956" i="45"/>
  <c r="AJ968" i="45"/>
  <c r="AD968" i="45"/>
  <c r="BM955" i="45"/>
  <c r="AC964" i="45"/>
  <c r="AI964" i="45"/>
  <c r="AD964" i="45"/>
  <c r="BY955" i="45"/>
  <c r="AL955" i="45"/>
  <c r="AF955" i="45"/>
  <c r="AC962" i="45"/>
  <c r="AI962" i="45"/>
  <c r="AJ961" i="45"/>
  <c r="AD961" i="45"/>
  <c r="AL960" i="45"/>
  <c r="AJ960" i="45"/>
  <c r="AC959" i="45"/>
  <c r="AI959" i="45"/>
  <c r="AJ959" i="45"/>
  <c r="AD959" i="45"/>
  <c r="CX958" i="45"/>
  <c r="BY954" i="45"/>
  <c r="AM954" i="45"/>
  <c r="AK954" i="45"/>
  <c r="AG954" i="45"/>
  <c r="AE954" i="45"/>
  <c r="CJ953" i="45"/>
  <c r="CJ952" i="45"/>
  <c r="CJ951" i="45"/>
  <c r="CF953" i="45"/>
  <c r="CF952" i="45"/>
  <c r="CF951" i="45"/>
  <c r="CD953" i="45"/>
  <c r="CD952" i="45"/>
  <c r="CD951" i="45"/>
  <c r="CB953" i="45"/>
  <c r="CB952" i="45"/>
  <c r="CB951" i="45"/>
  <c r="BZ953" i="45"/>
  <c r="BZ952" i="45"/>
  <c r="BZ951" i="45"/>
  <c r="BW953" i="45"/>
  <c r="BW952" i="45"/>
  <c r="BW951" i="45"/>
  <c r="BS953" i="45"/>
  <c r="BS952" i="45"/>
  <c r="BS951" i="45"/>
  <c r="BQ953" i="45"/>
  <c r="BQ952" i="45"/>
  <c r="BQ951" i="45"/>
  <c r="BO953" i="45"/>
  <c r="BO952" i="45"/>
  <c r="BO951" i="45"/>
  <c r="BL953" i="45"/>
  <c r="BL952" i="45"/>
  <c r="BL951" i="45"/>
  <c r="BJ953" i="45"/>
  <c r="BJ952" i="45"/>
  <c r="BJ951" i="45"/>
  <c r="BG953" i="45"/>
  <c r="BG952" i="45"/>
  <c r="BG951" i="45"/>
  <c r="BD953" i="45"/>
  <c r="BD952" i="45"/>
  <c r="BD951" i="45"/>
  <c r="BB953" i="45"/>
  <c r="BB952" i="45"/>
  <c r="BB951" i="45"/>
  <c r="AZ953" i="45"/>
  <c r="AZ952" i="45"/>
  <c r="AZ951" i="45"/>
  <c r="AX953" i="45"/>
  <c r="AX952" i="45"/>
  <c r="AX951" i="45"/>
  <c r="AU953" i="45"/>
  <c r="AU952" i="45"/>
  <c r="AU951" i="45"/>
  <c r="AS953" i="45"/>
  <c r="AS952" i="45"/>
  <c r="AS951" i="45"/>
  <c r="AQ953" i="45"/>
  <c r="AQ952" i="45"/>
  <c r="AQ951" i="45"/>
  <c r="J953" i="45"/>
  <c r="J952" i="45"/>
  <c r="J951" i="45"/>
  <c r="AK950" i="45"/>
  <c r="AI948" i="45"/>
  <c r="AJ946" i="45"/>
  <c r="AJ944" i="45"/>
  <c r="AJ942" i="45"/>
  <c r="Z941" i="45"/>
  <c r="AJ940" i="45"/>
  <c r="AL938" i="45"/>
  <c r="AL937" i="45"/>
  <c r="AL936" i="45"/>
  <c r="AL935" i="45"/>
  <c r="H920" i="45"/>
  <c r="BM920" i="45"/>
  <c r="BM919" i="45"/>
  <c r="AC913" i="45"/>
  <c r="AI913" i="45"/>
  <c r="I904" i="45"/>
  <c r="BE904" i="45"/>
  <c r="BE903" i="45"/>
  <c r="H904" i="45"/>
  <c r="AC895" i="45"/>
  <c r="AI895" i="45"/>
  <c r="AI893" i="45"/>
  <c r="AC889" i="45"/>
  <c r="H872" i="45"/>
  <c r="H871" i="45"/>
  <c r="AC875" i="45"/>
  <c r="AC865" i="45"/>
  <c r="AI865" i="45"/>
  <c r="AC859" i="45"/>
  <c r="BQ856" i="45"/>
  <c r="BQ855" i="45"/>
  <c r="H856" i="45"/>
  <c r="H855" i="45"/>
  <c r="DB843" i="45"/>
  <c r="DD843" i="45"/>
  <c r="AC843" i="45"/>
  <c r="DE843" i="45"/>
  <c r="DD841" i="45"/>
  <c r="H840" i="45"/>
  <c r="H839" i="45"/>
  <c r="AI836" i="45"/>
  <c r="AK833" i="45"/>
  <c r="H824" i="45"/>
  <c r="BQ824" i="45"/>
  <c r="BQ823" i="45"/>
  <c r="AI817" i="45"/>
  <c r="J792" i="45"/>
  <c r="BU792" i="45"/>
  <c r="BU791" i="45"/>
  <c r="I776" i="45"/>
  <c r="AC777" i="45"/>
  <c r="I760" i="45"/>
  <c r="Y760" i="45"/>
  <c r="BQ760" i="45"/>
  <c r="BQ759" i="45"/>
  <c r="H760" i="45"/>
  <c r="H743" i="45"/>
  <c r="AC747" i="45"/>
  <c r="AM740" i="45"/>
  <c r="AI738" i="45"/>
  <c r="CQ728" i="45"/>
  <c r="K728" i="45"/>
  <c r="K727" i="45"/>
  <c r="AL736" i="45"/>
  <c r="AC731" i="45"/>
  <c r="AI712" i="45"/>
  <c r="AI711" i="45"/>
  <c r="H711" i="45"/>
  <c r="AI709" i="45"/>
  <c r="AI706" i="45"/>
  <c r="AI704" i="45"/>
  <c r="AI699" i="45"/>
  <c r="BI696" i="45"/>
  <c r="BI695" i="45"/>
  <c r="CJ696" i="45"/>
  <c r="CC696" i="45"/>
  <c r="CC695" i="45"/>
  <c r="AJ693" i="45"/>
  <c r="AI693" i="45"/>
  <c r="AJ691" i="45"/>
  <c r="AJ690" i="45"/>
  <c r="AC689" i="45"/>
  <c r="AI689" i="45"/>
  <c r="H680" i="45"/>
  <c r="H679" i="45"/>
  <c r="AJ687" i="45"/>
  <c r="AJ686" i="45"/>
  <c r="AJ685" i="45"/>
  <c r="AJ684" i="45"/>
  <c r="AC681" i="45"/>
  <c r="Y681" i="45"/>
  <c r="BI680" i="45"/>
  <c r="BI679" i="45"/>
  <c r="AC667" i="45"/>
  <c r="AD667" i="45"/>
  <c r="BQ664" i="45"/>
  <c r="BQ663" i="45"/>
  <c r="CP663" i="45"/>
  <c r="CH663" i="45"/>
  <c r="AJ651" i="45"/>
  <c r="AC651" i="45"/>
  <c r="AI651" i="45"/>
  <c r="CY651" i="45"/>
  <c r="CC648" i="45"/>
  <c r="CC647" i="45"/>
  <c r="BE648" i="45"/>
  <c r="BE647" i="45"/>
  <c r="AJ644" i="45"/>
  <c r="AJ643" i="45"/>
  <c r="AC642" i="45"/>
  <c r="AI642" i="45"/>
  <c r="AL640" i="45"/>
  <c r="AJ640" i="45"/>
  <c r="AJ639" i="45"/>
  <c r="AJ635" i="45"/>
  <c r="CS631" i="45"/>
  <c r="CK631" i="45"/>
  <c r="CX586" i="45"/>
  <c r="AI586" i="45"/>
  <c r="CY586" i="45"/>
  <c r="AJ310" i="45"/>
  <c r="AM275" i="45"/>
  <c r="AK275" i="45"/>
  <c r="AJ627" i="45"/>
  <c r="AJ626" i="45"/>
  <c r="AC624" i="45"/>
  <c r="AI624" i="45"/>
  <c r="AJ623" i="45"/>
  <c r="AJ622" i="45"/>
  <c r="AJ621" i="45"/>
  <c r="AJ620" i="45"/>
  <c r="AJ619" i="45"/>
  <c r="AC616" i="45"/>
  <c r="CX616" i="45"/>
  <c r="Y616" i="45"/>
  <c r="BI615" i="45"/>
  <c r="BI614" i="45"/>
  <c r="AJ612" i="45"/>
  <c r="J599" i="45"/>
  <c r="AJ600" i="45"/>
  <c r="BX535" i="45"/>
  <c r="BX534" i="45"/>
  <c r="R519" i="45"/>
  <c r="P519" i="45"/>
  <c r="N519" i="45"/>
  <c r="L519" i="45"/>
  <c r="CE519" i="45"/>
  <c r="CE518" i="45"/>
  <c r="CB519" i="45"/>
  <c r="CB518" i="45"/>
  <c r="BW519" i="45"/>
  <c r="BW518" i="45"/>
  <c r="BO519" i="45"/>
  <c r="BO518" i="45"/>
  <c r="BG519" i="45"/>
  <c r="BG518" i="45"/>
  <c r="AU519" i="45"/>
  <c r="AU518" i="45"/>
  <c r="AS519" i="45"/>
  <c r="AS518" i="45"/>
  <c r="AQ519" i="45"/>
  <c r="AQ518" i="45"/>
  <c r="AL516" i="45"/>
  <c r="AJ516" i="45"/>
  <c r="AC504" i="45"/>
  <c r="AC502" i="45"/>
  <c r="CP500" i="45"/>
  <c r="CH500" i="45"/>
  <c r="H485" i="45"/>
  <c r="H484" i="45"/>
  <c r="AI493" i="45"/>
  <c r="J485" i="45"/>
  <c r="AI492" i="45"/>
  <c r="BM485" i="45"/>
  <c r="BM484" i="45"/>
  <c r="CP484" i="45"/>
  <c r="CH484" i="45"/>
  <c r="AJ479" i="45"/>
  <c r="H469" i="45"/>
  <c r="H468" i="45"/>
  <c r="AJ476" i="45"/>
  <c r="AJ475" i="45"/>
  <c r="AJ472" i="45"/>
  <c r="AC472" i="45"/>
  <c r="AI472" i="45"/>
  <c r="CY472" i="45"/>
  <c r="BM469" i="45"/>
  <c r="BM468" i="45"/>
  <c r="CQ468" i="45"/>
  <c r="CI468" i="45"/>
  <c r="BY438" i="45"/>
  <c r="BY453" i="45"/>
  <c r="BY452" i="45"/>
  <c r="AO453" i="45"/>
  <c r="AO452" i="45"/>
  <c r="BV449" i="45"/>
  <c r="BX437" i="45"/>
  <c r="BX436" i="45"/>
  <c r="BV437" i="45"/>
  <c r="BV436" i="45"/>
  <c r="BD437" i="45"/>
  <c r="BD436" i="45"/>
  <c r="BB437" i="45"/>
  <c r="BB436" i="45"/>
  <c r="CE437" i="45"/>
  <c r="CE436" i="45"/>
  <c r="CC437" i="45"/>
  <c r="CA437" i="45"/>
  <c r="CA436" i="45"/>
  <c r="BT437" i="45"/>
  <c r="BT436" i="45"/>
  <c r="BR437" i="45"/>
  <c r="BR436" i="45"/>
  <c r="BP437" i="45"/>
  <c r="BP436" i="45"/>
  <c r="BN437" i="45"/>
  <c r="BN436" i="45"/>
  <c r="BK437" i="45"/>
  <c r="BK436" i="45"/>
  <c r="BH437" i="45"/>
  <c r="BH436" i="45"/>
  <c r="BF437" i="45"/>
  <c r="BF436" i="45"/>
  <c r="AZ437" i="45"/>
  <c r="AZ436" i="45"/>
  <c r="AX437" i="45"/>
  <c r="AX436" i="45"/>
  <c r="AV437" i="45"/>
  <c r="AV436" i="45"/>
  <c r="AT437" i="45"/>
  <c r="AT436" i="45"/>
  <c r="AR437" i="45"/>
  <c r="AR436" i="45"/>
  <c r="AP437" i="45"/>
  <c r="AP436" i="45"/>
  <c r="R437" i="45"/>
  <c r="AD435" i="45"/>
  <c r="AJ433" i="45"/>
  <c r="AD433" i="45"/>
  <c r="BU419" i="45"/>
  <c r="Y419" i="45"/>
  <c r="W420" i="45"/>
  <c r="AC412" i="45"/>
  <c r="AI412" i="45"/>
  <c r="AC409" i="45"/>
  <c r="AI409" i="45"/>
  <c r="BI403" i="45"/>
  <c r="BI402" i="45"/>
  <c r="CQ402" i="45"/>
  <c r="CI402" i="45"/>
  <c r="H387" i="45"/>
  <c r="H386" i="45"/>
  <c r="AC391" i="45"/>
  <c r="AI391" i="45"/>
  <c r="BU342" i="45"/>
  <c r="BU340" i="45"/>
  <c r="BM387" i="45"/>
  <c r="BM386" i="45"/>
  <c r="CR386" i="45"/>
  <c r="CJ386" i="45"/>
  <c r="AM384" i="45"/>
  <c r="AE383" i="45"/>
  <c r="AL380" i="45"/>
  <c r="H371" i="45"/>
  <c r="AC372" i="45"/>
  <c r="AH352" i="45"/>
  <c r="CJ351" i="45"/>
  <c r="CH351" i="45"/>
  <c r="AH351" i="45"/>
  <c r="CJ350" i="45"/>
  <c r="CH350" i="45"/>
  <c r="AH350" i="45"/>
  <c r="CK349" i="45"/>
  <c r="CI349" i="45"/>
  <c r="AH349" i="45"/>
  <c r="CK348" i="45"/>
  <c r="CI348" i="45"/>
  <c r="AH348" i="45"/>
  <c r="CJ347" i="45"/>
  <c r="AH347" i="45"/>
  <c r="CK346" i="45"/>
  <c r="CI346" i="45"/>
  <c r="AH346" i="45"/>
  <c r="CJ345" i="45"/>
  <c r="CH345" i="45"/>
  <c r="AH345" i="45"/>
  <c r="CJ344" i="45"/>
  <c r="CH344" i="45"/>
  <c r="AH344" i="45"/>
  <c r="CK343" i="45"/>
  <c r="CI343" i="45"/>
  <c r="AH343" i="45"/>
  <c r="CK342" i="45"/>
  <c r="CI342" i="45"/>
  <c r="BM342" i="45"/>
  <c r="Y342" i="45"/>
  <c r="CJ341" i="45"/>
  <c r="CH341" i="45"/>
  <c r="AH341" i="45"/>
  <c r="CK355" i="45"/>
  <c r="CK354" i="45"/>
  <c r="CI355" i="45"/>
  <c r="CI354" i="45"/>
  <c r="BY340" i="45"/>
  <c r="BY339" i="45"/>
  <c r="BY338" i="45"/>
  <c r="BI340" i="45"/>
  <c r="Y340" i="45"/>
  <c r="W340" i="45"/>
  <c r="BT339" i="45"/>
  <c r="BT338" i="45"/>
  <c r="BR339" i="45"/>
  <c r="BR338" i="45"/>
  <c r="BL339" i="45"/>
  <c r="BL338" i="45"/>
  <c r="BJ339" i="45"/>
  <c r="BJ338" i="45"/>
  <c r="BH339" i="45"/>
  <c r="BH338" i="45"/>
  <c r="BD339" i="45"/>
  <c r="BD338" i="45"/>
  <c r="BB339" i="45"/>
  <c r="BB338" i="45"/>
  <c r="AZ339" i="45"/>
  <c r="AZ338" i="45"/>
  <c r="AX339" i="45"/>
  <c r="AX338" i="45"/>
  <c r="AV339" i="45"/>
  <c r="AV338" i="45"/>
  <c r="AT339" i="45"/>
  <c r="AT338" i="45"/>
  <c r="AR339" i="45"/>
  <c r="AR338" i="45"/>
  <c r="R339" i="45"/>
  <c r="P339" i="45"/>
  <c r="N339" i="45"/>
  <c r="L339" i="45"/>
  <c r="CE339" i="45"/>
  <c r="CE338" i="45"/>
  <c r="CC339" i="45"/>
  <c r="CA339" i="45"/>
  <c r="CA338" i="45"/>
  <c r="BS339" i="45"/>
  <c r="BS338" i="45"/>
  <c r="BK339" i="45"/>
  <c r="BK338" i="45"/>
  <c r="AD337" i="45"/>
  <c r="AD336" i="45"/>
  <c r="AL333" i="45"/>
  <c r="AJ333" i="45"/>
  <c r="AJ331" i="45"/>
  <c r="AD331" i="45"/>
  <c r="AE330" i="45"/>
  <c r="AL327" i="45"/>
  <c r="AJ327" i="45"/>
  <c r="AL325" i="45"/>
  <c r="AJ325" i="45"/>
  <c r="AD324" i="45"/>
  <c r="AD323" i="45"/>
  <c r="AF321" i="45"/>
  <c r="AF320" i="45"/>
  <c r="AD319" i="45"/>
  <c r="AD317" i="45"/>
  <c r="AD315" i="45"/>
  <c r="AD314" i="45"/>
  <c r="AL312" i="45"/>
  <c r="K272" i="45"/>
  <c r="AC310" i="45"/>
  <c r="AI310" i="45"/>
  <c r="AL309" i="45"/>
  <c r="AJ309" i="45"/>
  <c r="AC307" i="45"/>
  <c r="AC306" i="45"/>
  <c r="AI306" i="45"/>
  <c r="BI304" i="45"/>
  <c r="BI303" i="45"/>
  <c r="AJ305" i="45"/>
  <c r="AD305" i="45"/>
  <c r="AD302" i="45"/>
  <c r="AJ299" i="45"/>
  <c r="AL292" i="45"/>
  <c r="AJ292" i="45"/>
  <c r="AC268" i="45"/>
  <c r="AM267" i="45"/>
  <c r="AK267" i="45"/>
  <c r="AD290" i="45"/>
  <c r="BM265" i="45"/>
  <c r="AM265" i="45"/>
  <c r="AK265" i="45"/>
  <c r="AD288" i="45"/>
  <c r="X287" i="45"/>
  <c r="F83" i="4"/>
  <c r="H117" i="4"/>
  <c r="AL283" i="45"/>
  <c r="AC281" i="45"/>
  <c r="AM202" i="45"/>
  <c r="AM201" i="45"/>
  <c r="AM200" i="45"/>
  <c r="AM199" i="45"/>
  <c r="AM198" i="45"/>
  <c r="AK202" i="45"/>
  <c r="AK201" i="45"/>
  <c r="AK200" i="45"/>
  <c r="AK199" i="45"/>
  <c r="AK198" i="45"/>
  <c r="AJ193" i="45"/>
  <c r="AJ180" i="45"/>
  <c r="AJ175" i="45"/>
  <c r="AJ172" i="45"/>
  <c r="I599" i="45"/>
  <c r="AJ605" i="45"/>
  <c r="AJ601" i="45"/>
  <c r="AJ588" i="45"/>
  <c r="AJ587" i="45"/>
  <c r="AC584" i="45"/>
  <c r="AI584" i="45"/>
  <c r="AL579" i="45"/>
  <c r="AJ577" i="45"/>
  <c r="AE547" i="45"/>
  <c r="I535" i="45"/>
  <c r="H549" i="45"/>
  <c r="BX531" i="45"/>
  <c r="BT519" i="45"/>
  <c r="BT518" i="45"/>
  <c r="BP519" i="45"/>
  <c r="BP518" i="45"/>
  <c r="BL519" i="45"/>
  <c r="BL518" i="45"/>
  <c r="BJ519" i="45"/>
  <c r="BJ518" i="45"/>
  <c r="BH519" i="45"/>
  <c r="BH518" i="45"/>
  <c r="BD519" i="45"/>
  <c r="BD518" i="45"/>
  <c r="AZ519" i="45"/>
  <c r="AZ518" i="45"/>
  <c r="AV519" i="45"/>
  <c r="AV518" i="45"/>
  <c r="AT519" i="45"/>
  <c r="AT518" i="45"/>
  <c r="AR519" i="45"/>
  <c r="AR518" i="45"/>
  <c r="AP519" i="45"/>
  <c r="AP518" i="45"/>
  <c r="CF519" i="45"/>
  <c r="CF518" i="45"/>
  <c r="CA519" i="45"/>
  <c r="CA518" i="45"/>
  <c r="BX519" i="45"/>
  <c r="BX518" i="45"/>
  <c r="BS519" i="45"/>
  <c r="BS518" i="45"/>
  <c r="BK519" i="45"/>
  <c r="BK518" i="45"/>
  <c r="BC519" i="45"/>
  <c r="BC518" i="45"/>
  <c r="BA519" i="45"/>
  <c r="BA518" i="45"/>
  <c r="AY519" i="45"/>
  <c r="AY518" i="45"/>
  <c r="S519" i="45"/>
  <c r="Q519" i="45"/>
  <c r="O519" i="45"/>
  <c r="M519" i="45"/>
  <c r="AD517" i="45"/>
  <c r="H501" i="45"/>
  <c r="H500" i="45"/>
  <c r="CR500" i="45"/>
  <c r="CJ500" i="45"/>
  <c r="AC486" i="45"/>
  <c r="CR484" i="45"/>
  <c r="CJ484" i="45"/>
  <c r="CS468" i="45"/>
  <c r="CK468" i="45"/>
  <c r="AI459" i="45"/>
  <c r="CF437" i="45"/>
  <c r="CF436" i="45"/>
  <c r="CD437" i="45"/>
  <c r="CD436" i="45"/>
  <c r="CB437" i="45"/>
  <c r="CB436" i="45"/>
  <c r="BZ437" i="45"/>
  <c r="BZ436" i="45"/>
  <c r="BW437" i="45"/>
  <c r="BW436" i="45"/>
  <c r="BS437" i="45"/>
  <c r="BS436" i="45"/>
  <c r="BQ437" i="45"/>
  <c r="BQ436" i="45"/>
  <c r="BO437" i="45"/>
  <c r="BO436" i="45"/>
  <c r="BL437" i="45"/>
  <c r="BL436" i="45"/>
  <c r="BJ437" i="45"/>
  <c r="BJ436" i="45"/>
  <c r="BG437" i="45"/>
  <c r="BG436" i="45"/>
  <c r="BC437" i="45"/>
  <c r="BC436" i="45"/>
  <c r="AY437" i="45"/>
  <c r="AY436" i="45"/>
  <c r="AW437" i="45"/>
  <c r="AW436" i="45"/>
  <c r="AU437" i="45"/>
  <c r="AU436" i="45"/>
  <c r="AS437" i="45"/>
  <c r="AS436" i="45"/>
  <c r="AQ437" i="45"/>
  <c r="AQ436" i="45"/>
  <c r="S437" i="45"/>
  <c r="Q437" i="45"/>
  <c r="O437" i="45"/>
  <c r="O436" i="45"/>
  <c r="K437" i="45"/>
  <c r="K436" i="45"/>
  <c r="F39" i="4"/>
  <c r="AJ435" i="45"/>
  <c r="X419" i="45"/>
  <c r="H403" i="45"/>
  <c r="H402" i="45"/>
  <c r="CS402" i="45"/>
  <c r="CK402" i="45"/>
  <c r="BU351" i="45"/>
  <c r="BU349" i="45"/>
  <c r="CJ352" i="45"/>
  <c r="CH352" i="45"/>
  <c r="BQ348" i="45"/>
  <c r="BM371" i="45"/>
  <c r="BM370" i="45"/>
  <c r="CJ349" i="45"/>
  <c r="CH349" i="45"/>
  <c r="CJ348" i="45"/>
  <c r="J348" i="45"/>
  <c r="CK347" i="45"/>
  <c r="CH347" i="45"/>
  <c r="J347" i="45"/>
  <c r="CJ346" i="45"/>
  <c r="CH346" i="45"/>
  <c r="CJ343" i="45"/>
  <c r="CH343" i="45"/>
  <c r="AH342" i="45"/>
  <c r="X342" i="45"/>
  <c r="CK341" i="45"/>
  <c r="CI341" i="45"/>
  <c r="AG357" i="45"/>
  <c r="AM357" i="45"/>
  <c r="CJ340" i="45"/>
  <c r="BM340" i="45"/>
  <c r="AH340" i="45"/>
  <c r="X340" i="45"/>
  <c r="CF339" i="45"/>
  <c r="CF338" i="45"/>
  <c r="CD339" i="45"/>
  <c r="CD338" i="45"/>
  <c r="CB339" i="45"/>
  <c r="CB338" i="45"/>
  <c r="BZ339" i="45"/>
  <c r="BZ338" i="45"/>
  <c r="BX339" i="45"/>
  <c r="BX338" i="45"/>
  <c r="BV339" i="45"/>
  <c r="BV338" i="45"/>
  <c r="BP339" i="45"/>
  <c r="BP338" i="45"/>
  <c r="BN339" i="45"/>
  <c r="BN338" i="45"/>
  <c r="BW339" i="45"/>
  <c r="BW338" i="45"/>
  <c r="BO339" i="45"/>
  <c r="BO338" i="45"/>
  <c r="BG339" i="45"/>
  <c r="BG338" i="45"/>
  <c r="BE339" i="45"/>
  <c r="BE338" i="45"/>
  <c r="BC339" i="45"/>
  <c r="BC338" i="45"/>
  <c r="BA339" i="45"/>
  <c r="BA338" i="45"/>
  <c r="AY339" i="45"/>
  <c r="AY338" i="45"/>
  <c r="AW339" i="45"/>
  <c r="AW338" i="45"/>
  <c r="AU339" i="45"/>
  <c r="AU338" i="45"/>
  <c r="AS339" i="45"/>
  <c r="AS338" i="45"/>
  <c r="AQ339" i="45"/>
  <c r="AQ338" i="45"/>
  <c r="S339" i="45"/>
  <c r="Q339" i="45"/>
  <c r="O339" i="45"/>
  <c r="M339" i="45"/>
  <c r="AJ337" i="45"/>
  <c r="AJ336" i="45"/>
  <c r="AD332" i="45"/>
  <c r="AD328" i="45"/>
  <c r="AD326" i="45"/>
  <c r="AJ324" i="45"/>
  <c r="AJ323" i="45"/>
  <c r="AG321" i="45"/>
  <c r="AG320" i="45"/>
  <c r="AJ319" i="45"/>
  <c r="AJ317" i="45"/>
  <c r="AJ315" i="45"/>
  <c r="AJ314" i="45"/>
  <c r="AD311" i="45"/>
  <c r="AD310" i="45"/>
  <c r="AD308" i="45"/>
  <c r="AJ307" i="45"/>
  <c r="AD307" i="45"/>
  <c r="AJ302" i="45"/>
  <c r="AM276" i="45"/>
  <c r="AJ298" i="45"/>
  <c r="AM274" i="45"/>
  <c r="AK274" i="45"/>
  <c r="AM271" i="45"/>
  <c r="AK271" i="45"/>
  <c r="AM269" i="45"/>
  <c r="AK269" i="45"/>
  <c r="AG268" i="45"/>
  <c r="AE268" i="45"/>
  <c r="AJ289" i="45"/>
  <c r="AD285" i="45"/>
  <c r="AM253" i="45"/>
  <c r="AK253" i="45"/>
  <c r="AJ192" i="45"/>
  <c r="AJ191" i="45"/>
  <c r="AJ179" i="45"/>
  <c r="AJ178" i="45"/>
  <c r="AJ177" i="45"/>
  <c r="AJ176" i="45"/>
  <c r="AJ162" i="45"/>
  <c r="AJ159" i="45"/>
  <c r="AM132" i="45"/>
  <c r="AK132" i="45"/>
  <c r="AM124" i="45"/>
  <c r="AK124" i="45"/>
  <c r="CK264" i="45"/>
  <c r="CK263" i="45"/>
  <c r="CK262" i="45"/>
  <c r="CI264" i="45"/>
  <c r="CI263" i="45"/>
  <c r="CI262" i="45"/>
  <c r="CF264" i="45"/>
  <c r="CF263" i="45"/>
  <c r="CF262" i="45"/>
  <c r="CD264" i="45"/>
  <c r="CD263" i="45"/>
  <c r="CD262" i="45"/>
  <c r="CB264" i="45"/>
  <c r="CB263" i="45"/>
  <c r="CB262" i="45"/>
  <c r="BZ264" i="45"/>
  <c r="BZ263" i="45"/>
  <c r="BZ262" i="45"/>
  <c r="BP264" i="45"/>
  <c r="BP263" i="45"/>
  <c r="BP262" i="45"/>
  <c r="BD264" i="45"/>
  <c r="BD263" i="45"/>
  <c r="BD262" i="45"/>
  <c r="BB264" i="45"/>
  <c r="BB263" i="45"/>
  <c r="BB262" i="45"/>
  <c r="AZ264" i="45"/>
  <c r="AZ263" i="45"/>
  <c r="AZ262" i="45"/>
  <c r="AX264" i="45"/>
  <c r="AX263" i="45"/>
  <c r="AX262" i="45"/>
  <c r="AV264" i="45"/>
  <c r="AV263" i="45"/>
  <c r="AV262" i="45"/>
  <c r="AT264" i="45"/>
  <c r="AT263" i="45"/>
  <c r="AT262" i="45"/>
  <c r="AR264" i="45"/>
  <c r="AR263" i="45"/>
  <c r="AR262" i="45"/>
  <c r="AD261" i="45"/>
  <c r="AD260" i="45"/>
  <c r="AD259" i="45"/>
  <c r="AD258" i="45"/>
  <c r="AD257" i="45"/>
  <c r="AD256" i="45"/>
  <c r="AD255" i="45"/>
  <c r="AD254" i="45"/>
  <c r="AC253" i="45"/>
  <c r="AJ252" i="45"/>
  <c r="AD252" i="45"/>
  <c r="AD251" i="45"/>
  <c r="AI250" i="45"/>
  <c r="AF241" i="45"/>
  <c r="AC241" i="45"/>
  <c r="AJ245" i="45"/>
  <c r="AD245" i="45"/>
  <c r="AD244" i="45"/>
  <c r="AG240" i="45"/>
  <c r="AE240" i="45"/>
  <c r="CK239" i="45"/>
  <c r="CI239" i="45"/>
  <c r="CF239" i="45"/>
  <c r="CD239" i="45"/>
  <c r="CB239" i="45"/>
  <c r="BZ239" i="45"/>
  <c r="BX239" i="45"/>
  <c r="BV239" i="45"/>
  <c r="BT239" i="45"/>
  <c r="BR239" i="45"/>
  <c r="BP239" i="45"/>
  <c r="BN239" i="45"/>
  <c r="BL239" i="45"/>
  <c r="BJ239" i="45"/>
  <c r="BH239" i="45"/>
  <c r="BF239" i="45"/>
  <c r="BD239" i="45"/>
  <c r="BB239" i="45"/>
  <c r="AZ239" i="45"/>
  <c r="AX239" i="45"/>
  <c r="AV239" i="45"/>
  <c r="AT239" i="45"/>
  <c r="AR239" i="45"/>
  <c r="AP239" i="45"/>
  <c r="AM239" i="45"/>
  <c r="K239" i="45"/>
  <c r="I239" i="45"/>
  <c r="AD215" i="45"/>
  <c r="AD214" i="45"/>
  <c r="AD213" i="45"/>
  <c r="AI212" i="45"/>
  <c r="AJ211" i="45"/>
  <c r="AD211" i="45"/>
  <c r="AD210" i="45"/>
  <c r="AD209" i="45"/>
  <c r="AD208" i="45"/>
  <c r="AD207" i="45"/>
  <c r="AD206" i="45"/>
  <c r="AC204" i="45"/>
  <c r="AI204" i="45"/>
  <c r="AS202" i="45"/>
  <c r="AS201" i="45"/>
  <c r="AS200" i="45"/>
  <c r="AS199" i="45"/>
  <c r="AS198" i="45"/>
  <c r="AJ203" i="45"/>
  <c r="AD203" i="45"/>
  <c r="AI196" i="45"/>
  <c r="AJ195" i="45"/>
  <c r="AD195" i="45"/>
  <c r="AI194" i="45"/>
  <c r="AL190" i="45"/>
  <c r="AJ190" i="45"/>
  <c r="AJ189" i="45"/>
  <c r="AD189" i="45"/>
  <c r="AI188" i="45"/>
  <c r="AL187" i="45"/>
  <c r="AJ187" i="45"/>
  <c r="DD186" i="45"/>
  <c r="AJ186" i="45"/>
  <c r="AD186" i="45"/>
  <c r="AJ185" i="45"/>
  <c r="AF183" i="45"/>
  <c r="AF182" i="45"/>
  <c r="BY183" i="45"/>
  <c r="BY182" i="45"/>
  <c r="AM183" i="45"/>
  <c r="AM182" i="45"/>
  <c r="AK183" i="45"/>
  <c r="AK182" i="45"/>
  <c r="AG183" i="45"/>
  <c r="AG182" i="45"/>
  <c r="AE183" i="45"/>
  <c r="AE182" i="45"/>
  <c r="H183" i="45"/>
  <c r="H182" i="45"/>
  <c r="AI179" i="45"/>
  <c r="AC178" i="45"/>
  <c r="AI178" i="45"/>
  <c r="AC176" i="45"/>
  <c r="AI176" i="45"/>
  <c r="AL174" i="45"/>
  <c r="AJ174" i="45"/>
  <c r="AL173" i="45"/>
  <c r="AJ173" i="45"/>
  <c r="AL171" i="45"/>
  <c r="AJ171" i="45"/>
  <c r="DD170" i="45"/>
  <c r="AJ170" i="45"/>
  <c r="AD170" i="45"/>
  <c r="BY167" i="45"/>
  <c r="BY166" i="45"/>
  <c r="AM167" i="45"/>
  <c r="AM166" i="45"/>
  <c r="AK167" i="45"/>
  <c r="AK166" i="45"/>
  <c r="AG167" i="45"/>
  <c r="AG166" i="45"/>
  <c r="AE167" i="45"/>
  <c r="AE166" i="45"/>
  <c r="H167" i="45"/>
  <c r="H166" i="45"/>
  <c r="BU167" i="45"/>
  <c r="BU166" i="45"/>
  <c r="AI164" i="45"/>
  <c r="AL163" i="45"/>
  <c r="AJ163" i="45"/>
  <c r="AD161" i="45"/>
  <c r="AD160" i="45"/>
  <c r="AL158" i="45"/>
  <c r="AJ158" i="45"/>
  <c r="AD157" i="45"/>
  <c r="AD156" i="45"/>
  <c r="AC154" i="45"/>
  <c r="AJ154" i="45"/>
  <c r="AD154" i="45"/>
  <c r="BY151" i="45"/>
  <c r="BY150" i="45"/>
  <c r="AM151" i="45"/>
  <c r="AM150" i="45"/>
  <c r="AK151" i="45"/>
  <c r="AK150" i="45"/>
  <c r="AG151" i="45"/>
  <c r="AG150" i="45"/>
  <c r="AE151" i="45"/>
  <c r="AE150" i="45"/>
  <c r="F67" i="4"/>
  <c r="AH132" i="45"/>
  <c r="AF132" i="45"/>
  <c r="AL132" i="45"/>
  <c r="AC148" i="45"/>
  <c r="AM131" i="45"/>
  <c r="AG131" i="45"/>
  <c r="AE131" i="45"/>
  <c r="K131" i="45"/>
  <c r="AG130" i="45"/>
  <c r="AE130" i="45"/>
  <c r="AM129" i="45"/>
  <c r="AK129" i="45"/>
  <c r="AG129" i="45"/>
  <c r="AE129" i="45"/>
  <c r="AM128" i="45"/>
  <c r="AK128" i="45"/>
  <c r="AG128" i="45"/>
  <c r="AE128" i="45"/>
  <c r="AG127" i="45"/>
  <c r="AE127" i="45"/>
  <c r="J127" i="45"/>
  <c r="AH126" i="45"/>
  <c r="AF126" i="45"/>
  <c r="AL126" i="45"/>
  <c r="AC126" i="45"/>
  <c r="AH125" i="45"/>
  <c r="AF125" i="45"/>
  <c r="AL125" i="45"/>
  <c r="AC125" i="45"/>
  <c r="AH124" i="45"/>
  <c r="AF124" i="45"/>
  <c r="AL124" i="45"/>
  <c r="AC124" i="45"/>
  <c r="AJ138" i="45"/>
  <c r="AD138" i="45"/>
  <c r="AO135" i="45"/>
  <c r="AO134" i="45"/>
  <c r="AJ137" i="45"/>
  <c r="BY120" i="45"/>
  <c r="AM135" i="45"/>
  <c r="AM134" i="45"/>
  <c r="AK120" i="45"/>
  <c r="AG120" i="45"/>
  <c r="AE135" i="45"/>
  <c r="AE134" i="45"/>
  <c r="S119" i="45"/>
  <c r="Q119" i="45"/>
  <c r="O119" i="45"/>
  <c r="M119" i="45"/>
  <c r="I119" i="45"/>
  <c r="I118" i="45"/>
  <c r="I117" i="45"/>
  <c r="I116" i="45"/>
  <c r="I115" i="45"/>
  <c r="CJ119" i="45"/>
  <c r="CJ118" i="45"/>
  <c r="CJ117" i="45"/>
  <c r="CJ116" i="45"/>
  <c r="CJ115" i="45"/>
  <c r="CE119" i="45"/>
  <c r="CE118" i="45"/>
  <c r="CE117" i="45"/>
  <c r="CE116" i="45"/>
  <c r="CE115" i="45"/>
  <c r="BW119" i="45"/>
  <c r="BW118" i="45"/>
  <c r="BW117" i="45"/>
  <c r="BW116" i="45"/>
  <c r="BW115" i="45"/>
  <c r="BS119" i="45"/>
  <c r="BS118" i="45"/>
  <c r="BS117" i="45"/>
  <c r="BS116" i="45"/>
  <c r="BS115" i="45"/>
  <c r="BQ119" i="45"/>
  <c r="BQ118" i="45"/>
  <c r="BQ117" i="45"/>
  <c r="BQ116" i="45"/>
  <c r="BQ115" i="45"/>
  <c r="BO119" i="45"/>
  <c r="BO118" i="45"/>
  <c r="BO117" i="45"/>
  <c r="BO116" i="45"/>
  <c r="BO115" i="45"/>
  <c r="BM119" i="45"/>
  <c r="BM118" i="45"/>
  <c r="BM117" i="45"/>
  <c r="BM116" i="45"/>
  <c r="BM115" i="45"/>
  <c r="BK119" i="45"/>
  <c r="BK118" i="45"/>
  <c r="BK117" i="45"/>
  <c r="BK116" i="45"/>
  <c r="BK115" i="45"/>
  <c r="BK99" i="45"/>
  <c r="AI113" i="45"/>
  <c r="AD111" i="45"/>
  <c r="AC109" i="45"/>
  <c r="AI109" i="45"/>
  <c r="J100" i="45"/>
  <c r="AD107" i="45"/>
  <c r="AC106" i="45"/>
  <c r="AI106" i="45"/>
  <c r="AJ105" i="45"/>
  <c r="AD105" i="45"/>
  <c r="CZ103" i="45"/>
  <c r="Y103" i="45"/>
  <c r="AC103" i="45"/>
  <c r="CX103" i="45"/>
  <c r="AI103" i="45"/>
  <c r="CY103" i="45"/>
  <c r="AD103" i="45"/>
  <c r="H969" i="35"/>
  <c r="BX264" i="45"/>
  <c r="BX263" i="45"/>
  <c r="BX262" i="45"/>
  <c r="BV264" i="45"/>
  <c r="BV263" i="45"/>
  <c r="BV262" i="45"/>
  <c r="BT264" i="45"/>
  <c r="BT263" i="45"/>
  <c r="BT262" i="45"/>
  <c r="BR264" i="45"/>
  <c r="BR263" i="45"/>
  <c r="BR262" i="45"/>
  <c r="BL264" i="45"/>
  <c r="BL263" i="45"/>
  <c r="BL262" i="45"/>
  <c r="J264" i="45"/>
  <c r="AJ261" i="45"/>
  <c r="AJ260" i="45"/>
  <c r="AJ259" i="45"/>
  <c r="AJ258" i="45"/>
  <c r="AJ257" i="45"/>
  <c r="AJ256" i="45"/>
  <c r="AJ255" i="45"/>
  <c r="AJ254" i="45"/>
  <c r="AJ251" i="45"/>
  <c r="AL241" i="45"/>
  <c r="AG241" i="45"/>
  <c r="AE241" i="45"/>
  <c r="AD247" i="45"/>
  <c r="AD246" i="45"/>
  <c r="AJ244" i="45"/>
  <c r="AK240" i="45"/>
  <c r="AK239" i="45"/>
  <c r="AF240" i="45"/>
  <c r="AF239" i="45"/>
  <c r="AC240" i="45"/>
  <c r="AC239" i="45"/>
  <c r="CJ239" i="45"/>
  <c r="CH239" i="45"/>
  <c r="CE239" i="45"/>
  <c r="CC239" i="45"/>
  <c r="CA239" i="45"/>
  <c r="BY239" i="45"/>
  <c r="BW239" i="45"/>
  <c r="BU239" i="45"/>
  <c r="BS239" i="45"/>
  <c r="BQ239" i="45"/>
  <c r="BO239" i="45"/>
  <c r="BM239" i="45"/>
  <c r="BK239" i="45"/>
  <c r="BI239" i="45"/>
  <c r="BG239" i="45"/>
  <c r="BE239" i="45"/>
  <c r="BC239" i="45"/>
  <c r="BA239" i="45"/>
  <c r="AY239" i="45"/>
  <c r="AW239" i="45"/>
  <c r="AU239" i="45"/>
  <c r="AS239" i="45"/>
  <c r="AQ239" i="45"/>
  <c r="AO239" i="45"/>
  <c r="AJ215" i="45"/>
  <c r="AJ214" i="45"/>
  <c r="AJ213" i="45"/>
  <c r="AJ210" i="45"/>
  <c r="AJ209" i="45"/>
  <c r="AJ208" i="45"/>
  <c r="AJ207" i="45"/>
  <c r="AJ206" i="45"/>
  <c r="AC205" i="45"/>
  <c r="AG202" i="45"/>
  <c r="AG201" i="45"/>
  <c r="AG200" i="45"/>
  <c r="AG199" i="45"/>
  <c r="AG198" i="45"/>
  <c r="AE202" i="45"/>
  <c r="AE201" i="45"/>
  <c r="AE200" i="45"/>
  <c r="AE199" i="45"/>
  <c r="AE198" i="45"/>
  <c r="AD193" i="45"/>
  <c r="AD192" i="45"/>
  <c r="AD191" i="45"/>
  <c r="AD180" i="45"/>
  <c r="AD179" i="45"/>
  <c r="AD178" i="45"/>
  <c r="AD177" i="45"/>
  <c r="AD176" i="45"/>
  <c r="AD175" i="45"/>
  <c r="J167" i="45"/>
  <c r="AD172" i="45"/>
  <c r="AC168" i="45"/>
  <c r="AF167" i="45"/>
  <c r="AF166" i="45"/>
  <c r="U167" i="45"/>
  <c r="AD162" i="45"/>
  <c r="AJ161" i="45"/>
  <c r="AJ160" i="45"/>
  <c r="AD159" i="45"/>
  <c r="AJ157" i="45"/>
  <c r="AJ156" i="45"/>
  <c r="AC152" i="45"/>
  <c r="AF151" i="45"/>
  <c r="AF150" i="45"/>
  <c r="H151" i="45"/>
  <c r="H150" i="45"/>
  <c r="AG132" i="45"/>
  <c r="AE132" i="45"/>
  <c r="AK131" i="45"/>
  <c r="AH131" i="45"/>
  <c r="AF131" i="45"/>
  <c r="AC131" i="45"/>
  <c r="J131" i="45"/>
  <c r="AM130" i="45"/>
  <c r="AK130" i="45"/>
  <c r="AH130" i="45"/>
  <c r="AF130" i="45"/>
  <c r="AL130" i="45"/>
  <c r="AC130" i="45"/>
  <c r="CH129" i="45"/>
  <c r="AH129" i="45"/>
  <c r="CN129" i="45"/>
  <c r="AH128" i="45"/>
  <c r="AC128" i="45"/>
  <c r="AM127" i="45"/>
  <c r="AK127" i="45"/>
  <c r="AH127" i="45"/>
  <c r="AF127" i="45"/>
  <c r="AC127" i="45"/>
  <c r="AI126" i="45"/>
  <c r="AG126" i="45"/>
  <c r="AE126" i="45"/>
  <c r="AG125" i="45"/>
  <c r="AE125" i="45"/>
  <c r="CN125" i="45"/>
  <c r="CN127" i="45"/>
  <c r="AG124" i="45"/>
  <c r="AE124" i="45"/>
  <c r="AH123" i="45"/>
  <c r="AF123" i="45"/>
  <c r="AH122" i="45"/>
  <c r="AF122" i="45"/>
  <c r="AL122" i="45"/>
  <c r="AM121" i="45"/>
  <c r="AK121" i="45"/>
  <c r="AG121" i="45"/>
  <c r="AE121" i="45"/>
  <c r="CC120" i="45"/>
  <c r="BI120" i="45"/>
  <c r="BI119" i="45"/>
  <c r="BI118" i="45"/>
  <c r="BI117" i="45"/>
  <c r="BI116" i="45"/>
  <c r="BI115" i="45"/>
  <c r="T135" i="45"/>
  <c r="CA119" i="45"/>
  <c r="CA118" i="45"/>
  <c r="CA117" i="45"/>
  <c r="CA116" i="45"/>
  <c r="CA115" i="45"/>
  <c r="BG119" i="45"/>
  <c r="BG118" i="45"/>
  <c r="BG117" i="45"/>
  <c r="BG116" i="45"/>
  <c r="BG115" i="45"/>
  <c r="BC119" i="45"/>
  <c r="BC118" i="45"/>
  <c r="BC117" i="45"/>
  <c r="BC116" i="45"/>
  <c r="BC115" i="45"/>
  <c r="BA119" i="45"/>
  <c r="BA118" i="45"/>
  <c r="BA117" i="45"/>
  <c r="BA116" i="45"/>
  <c r="BA115" i="45"/>
  <c r="AY119" i="45"/>
  <c r="AY118" i="45"/>
  <c r="AY117" i="45"/>
  <c r="AY116" i="45"/>
  <c r="AY115" i="45"/>
  <c r="AW119" i="45"/>
  <c r="AW118" i="45"/>
  <c r="AW117" i="45"/>
  <c r="AW116" i="45"/>
  <c r="AW115" i="45"/>
  <c r="AU119" i="45"/>
  <c r="AU118" i="45"/>
  <c r="AU117" i="45"/>
  <c r="AU116" i="45"/>
  <c r="AU115" i="45"/>
  <c r="AS119" i="45"/>
  <c r="AS118" i="45"/>
  <c r="AS117" i="45"/>
  <c r="AS116" i="45"/>
  <c r="AS115" i="45"/>
  <c r="AQ119" i="45"/>
  <c r="AQ118" i="45"/>
  <c r="AQ117" i="45"/>
  <c r="AQ116" i="45"/>
  <c r="AQ115" i="45"/>
  <c r="AI112" i="45"/>
  <c r="AJ111" i="45"/>
  <c r="AI108" i="45"/>
  <c r="AJ107" i="45"/>
  <c r="AJ104" i="45"/>
  <c r="AJ103" i="45"/>
  <c r="AI102" i="45"/>
  <c r="AJ97" i="45"/>
  <c r="AJ96" i="45"/>
  <c r="AJ95" i="45"/>
  <c r="AJ92" i="45"/>
  <c r="AJ91" i="45"/>
  <c r="AJ90" i="45"/>
  <c r="AJ89" i="45"/>
  <c r="AJ88" i="45"/>
  <c r="AM84" i="45"/>
  <c r="AM83" i="45"/>
  <c r="AK84" i="45"/>
  <c r="AK83" i="45"/>
  <c r="H84" i="45"/>
  <c r="H83" i="45"/>
  <c r="AD80" i="45"/>
  <c r="AD79" i="45"/>
  <c r="AD77" i="45"/>
  <c r="AD75" i="45"/>
  <c r="AJ74" i="45"/>
  <c r="AJ73" i="45"/>
  <c r="AJ72" i="45"/>
  <c r="CC39" i="45"/>
  <c r="AC71" i="45"/>
  <c r="AF68" i="45"/>
  <c r="AH48" i="45"/>
  <c r="AI47" i="45"/>
  <c r="AG47" i="45"/>
  <c r="AE47" i="45"/>
  <c r="AM46" i="45"/>
  <c r="AK46" i="45"/>
  <c r="AG46" i="45"/>
  <c r="AE46" i="45"/>
  <c r="AH45" i="45"/>
  <c r="AF45" i="45"/>
  <c r="AH44" i="45"/>
  <c r="AF44" i="45"/>
  <c r="AI43" i="45"/>
  <c r="AG43" i="45"/>
  <c r="AE43" i="45"/>
  <c r="AH42" i="45"/>
  <c r="AF42" i="45"/>
  <c r="AM41" i="45"/>
  <c r="AK41" i="45"/>
  <c r="AC41" i="45"/>
  <c r="AI40" i="45"/>
  <c r="AG40" i="45"/>
  <c r="AE40" i="45"/>
  <c r="AL39" i="45"/>
  <c r="AH39" i="45"/>
  <c r="AF39" i="45"/>
  <c r="AC55" i="45"/>
  <c r="T39" i="45"/>
  <c r="AM38" i="45"/>
  <c r="AK38" i="45"/>
  <c r="AG38" i="45"/>
  <c r="AE38" i="45"/>
  <c r="BY37" i="45"/>
  <c r="AM37" i="45"/>
  <c r="AK37" i="45"/>
  <c r="AG37" i="45"/>
  <c r="AE37" i="45"/>
  <c r="AG12" i="45"/>
  <c r="AG11" i="45"/>
  <c r="AG10" i="45"/>
  <c r="AG9" i="45"/>
  <c r="AG8" i="45"/>
  <c r="AE12" i="45"/>
  <c r="AE11" i="45"/>
  <c r="AE10" i="45"/>
  <c r="AE9" i="45"/>
  <c r="AE8" i="45"/>
  <c r="O113" i="22"/>
  <c r="I50" i="22"/>
  <c r="G50" i="22"/>
  <c r="L44" i="38"/>
  <c r="H208" i="36"/>
  <c r="H207" i="36"/>
  <c r="H190" i="36"/>
  <c r="H189" i="36"/>
  <c r="H262" i="36"/>
  <c r="H172" i="36"/>
  <c r="H171" i="36"/>
  <c r="H154" i="36"/>
  <c r="H153" i="36"/>
  <c r="H137" i="36"/>
  <c r="H136" i="36"/>
  <c r="H116" i="36"/>
  <c r="H94" i="36"/>
  <c r="H114" i="36"/>
  <c r="H92" i="36"/>
  <c r="H112" i="36"/>
  <c r="H90" i="36"/>
  <c r="H110" i="36"/>
  <c r="H88" i="36"/>
  <c r="H108" i="36"/>
  <c r="H86" i="36"/>
  <c r="H106" i="36"/>
  <c r="H84" i="36"/>
  <c r="H120" i="36"/>
  <c r="H119" i="36"/>
  <c r="H21" i="36"/>
  <c r="H19" i="36"/>
  <c r="H17" i="36"/>
  <c r="H15" i="36"/>
  <c r="H13" i="36"/>
  <c r="H11" i="36"/>
  <c r="E1026" i="35"/>
  <c r="E1022" i="35"/>
  <c r="E1018" i="35"/>
  <c r="K916" i="35"/>
  <c r="J917" i="35"/>
  <c r="K914" i="35"/>
  <c r="I885" i="35"/>
  <c r="K885" i="35"/>
  <c r="M885" i="35"/>
  <c r="K852" i="35"/>
  <c r="K848" i="35"/>
  <c r="K844" i="35"/>
  <c r="I839" i="35"/>
  <c r="K835" i="35"/>
  <c r="L820" i="35"/>
  <c r="O822" i="35"/>
  <c r="O825" i="35"/>
  <c r="I806" i="35"/>
  <c r="K806" i="35"/>
  <c r="K801" i="35"/>
  <c r="K793" i="35"/>
  <c r="K771" i="35"/>
  <c r="K767" i="35"/>
  <c r="K763" i="35"/>
  <c r="K753" i="35"/>
  <c r="K749" i="35"/>
  <c r="K745" i="35"/>
  <c r="K738" i="35"/>
  <c r="K734" i="35"/>
  <c r="K730" i="35"/>
  <c r="K727" i="35"/>
  <c r="K723" i="35"/>
  <c r="K719" i="35"/>
  <c r="K715" i="35"/>
  <c r="K711" i="35"/>
  <c r="K705" i="35"/>
  <c r="K701" i="35"/>
  <c r="K697" i="35"/>
  <c r="K689" i="35"/>
  <c r="K685" i="35"/>
  <c r="K681" i="35"/>
  <c r="K670" i="35"/>
  <c r="K666" i="35"/>
  <c r="AC101" i="45"/>
  <c r="AJ101" i="45"/>
  <c r="AD101" i="45"/>
  <c r="AD97" i="45"/>
  <c r="AD96" i="45"/>
  <c r="AD95" i="45"/>
  <c r="AI94" i="45"/>
  <c r="AJ93" i="45"/>
  <c r="AD93" i="45"/>
  <c r="AD92" i="45"/>
  <c r="AD91" i="45"/>
  <c r="AD90" i="45"/>
  <c r="AD89" i="45"/>
  <c r="AD88" i="45"/>
  <c r="AJ87" i="45"/>
  <c r="AD87" i="45"/>
  <c r="AO84" i="45"/>
  <c r="AO83" i="45"/>
  <c r="AG84" i="45"/>
  <c r="AG83" i="45"/>
  <c r="AE84" i="45"/>
  <c r="AE83" i="45"/>
  <c r="AC85" i="45"/>
  <c r="AJ85" i="45"/>
  <c r="AD85" i="45"/>
  <c r="AL81" i="45"/>
  <c r="AJ81" i="45"/>
  <c r="AK80" i="45"/>
  <c r="AJ80" i="45"/>
  <c r="AK79" i="45"/>
  <c r="AJ79" i="45"/>
  <c r="AL78" i="45"/>
  <c r="AJ78" i="45"/>
  <c r="AK77" i="45"/>
  <c r="AJ77" i="45"/>
  <c r="AL76" i="45"/>
  <c r="AJ76" i="45"/>
  <c r="AK75" i="45"/>
  <c r="AJ75" i="45"/>
  <c r="AD74" i="45"/>
  <c r="AD73" i="45"/>
  <c r="AD72" i="45"/>
  <c r="AJ71" i="45"/>
  <c r="AD71" i="45"/>
  <c r="AM68" i="45"/>
  <c r="AM67" i="45"/>
  <c r="AK68" i="45"/>
  <c r="AK67" i="45"/>
  <c r="AG68" i="45"/>
  <c r="AG67" i="45"/>
  <c r="AE68" i="45"/>
  <c r="AE67" i="45"/>
  <c r="AH49" i="45"/>
  <c r="AF49" i="45"/>
  <c r="AL64" i="45"/>
  <c r="AJ64" i="45"/>
  <c r="AM63" i="45"/>
  <c r="AM47" i="45"/>
  <c r="AK63" i="45"/>
  <c r="AK47" i="45"/>
  <c r="AC47" i="45"/>
  <c r="AJ62" i="45"/>
  <c r="AD62" i="45"/>
  <c r="AL61" i="45"/>
  <c r="AL45" i="45"/>
  <c r="AL60" i="45"/>
  <c r="AL44" i="45"/>
  <c r="J44" i="45"/>
  <c r="AM59" i="45"/>
  <c r="AM43" i="45"/>
  <c r="AK59" i="45"/>
  <c r="AK43" i="45"/>
  <c r="AC43" i="45"/>
  <c r="BE42" i="45"/>
  <c r="AL58" i="45"/>
  <c r="AL42" i="45"/>
  <c r="AI57" i="45"/>
  <c r="AG41" i="45"/>
  <c r="AE41" i="45"/>
  <c r="AM56" i="45"/>
  <c r="AM40" i="45"/>
  <c r="AK56" i="45"/>
  <c r="AK40" i="45"/>
  <c r="AH40" i="45"/>
  <c r="AD56" i="45"/>
  <c r="AC40" i="45"/>
  <c r="AM39" i="45"/>
  <c r="AK39" i="45"/>
  <c r="AG39" i="45"/>
  <c r="AE39" i="45"/>
  <c r="AO38" i="45"/>
  <c r="AL38" i="45"/>
  <c r="AH38" i="45"/>
  <c r="AF38" i="45"/>
  <c r="CC37" i="45"/>
  <c r="BI37" i="45"/>
  <c r="AL37" i="45"/>
  <c r="AH37" i="45"/>
  <c r="AF37" i="45"/>
  <c r="T37" i="45"/>
  <c r="M55" i="38"/>
  <c r="K55" i="38"/>
  <c r="K44" i="38"/>
  <c r="H117" i="36"/>
  <c r="H95" i="36"/>
  <c r="H115" i="36"/>
  <c r="H93" i="36"/>
  <c r="H113" i="36"/>
  <c r="H91" i="36"/>
  <c r="H111" i="36"/>
  <c r="H89" i="36"/>
  <c r="H109" i="36"/>
  <c r="H87" i="36"/>
  <c r="H107" i="36"/>
  <c r="H85" i="36"/>
  <c r="H105" i="36"/>
  <c r="H83" i="36"/>
  <c r="H63" i="36"/>
  <c r="H62" i="36"/>
  <c r="H45" i="36"/>
  <c r="H44" i="36"/>
  <c r="H22" i="36"/>
  <c r="H20" i="36"/>
  <c r="H18" i="36"/>
  <c r="H16" i="36"/>
  <c r="H14" i="36"/>
  <c r="H12" i="36"/>
  <c r="H27" i="36"/>
  <c r="G1024" i="35"/>
  <c r="G1020" i="35"/>
  <c r="G1016" i="35"/>
  <c r="H1011" i="35"/>
  <c r="H1007" i="35"/>
  <c r="H1003" i="35"/>
  <c r="G998" i="35"/>
  <c r="H996" i="35"/>
  <c r="H992" i="35"/>
  <c r="H988" i="35"/>
  <c r="E998" i="35"/>
  <c r="H982" i="35"/>
  <c r="H978" i="35"/>
  <c r="H974" i="35"/>
  <c r="G954" i="35"/>
  <c r="H952" i="35"/>
  <c r="E1024" i="35"/>
  <c r="H948" i="35"/>
  <c r="E1020" i="35"/>
  <c r="H944" i="35"/>
  <c r="E954" i="35"/>
  <c r="H939" i="35"/>
  <c r="H935" i="35"/>
  <c r="H931" i="35"/>
  <c r="H928" i="35"/>
  <c r="K915" i="35"/>
  <c r="K912" i="35"/>
  <c r="K911" i="35"/>
  <c r="K906" i="35"/>
  <c r="K902" i="35"/>
  <c r="K891" i="35"/>
  <c r="K886" i="35"/>
  <c r="K882" i="35"/>
  <c r="K880" i="35"/>
  <c r="K881" i="35"/>
  <c r="K879" i="35"/>
  <c r="I879" i="35"/>
  <c r="I876" i="35"/>
  <c r="K873" i="35"/>
  <c r="K876" i="35"/>
  <c r="K850" i="35"/>
  <c r="I854" i="35"/>
  <c r="L854" i="35"/>
  <c r="K846" i="35"/>
  <c r="K842" i="35"/>
  <c r="K828" i="35"/>
  <c r="K803" i="35"/>
  <c r="K799" i="35"/>
  <c r="K792" i="35"/>
  <c r="K787" i="35"/>
  <c r="K769" i="35"/>
  <c r="K765" i="35"/>
  <c r="K761" i="35"/>
  <c r="J757" i="35"/>
  <c r="K755" i="35"/>
  <c r="K751" i="35"/>
  <c r="K747" i="35"/>
  <c r="J740" i="35"/>
  <c r="I741" i="35"/>
  <c r="K741" i="35"/>
  <c r="K736" i="35"/>
  <c r="K732" i="35"/>
  <c r="K728" i="35"/>
  <c r="H724" i="35"/>
  <c r="K721" i="35"/>
  <c r="I724" i="35"/>
  <c r="K717" i="35"/>
  <c r="K713" i="35"/>
  <c r="K707" i="35"/>
  <c r="I708" i="35"/>
  <c r="K703" i="35"/>
  <c r="K699" i="35"/>
  <c r="K695" i="35"/>
  <c r="K691" i="35"/>
  <c r="I692" i="35"/>
  <c r="K687" i="35"/>
  <c r="K683" i="35"/>
  <c r="K679" i="35"/>
  <c r="K672" i="35"/>
  <c r="O386" i="35"/>
  <c r="I250" i="35"/>
  <c r="L249" i="35"/>
  <c r="K664" i="35"/>
  <c r="J658" i="35"/>
  <c r="I659" i="35"/>
  <c r="K659" i="35"/>
  <c r="K656" i="35"/>
  <c r="K652" i="35"/>
  <c r="K648" i="35"/>
  <c r="K637" i="35"/>
  <c r="K634" i="35"/>
  <c r="K631" i="35"/>
  <c r="K629" i="35"/>
  <c r="J625" i="35"/>
  <c r="I626" i="35"/>
  <c r="K626" i="35"/>
  <c r="K621" i="35"/>
  <c r="K618" i="35"/>
  <c r="K614" i="35"/>
  <c r="K606" i="35"/>
  <c r="K602" i="35"/>
  <c r="K598" i="35"/>
  <c r="K592" i="35"/>
  <c r="K580" i="35"/>
  <c r="K576" i="35"/>
  <c r="K572" i="35"/>
  <c r="I577" i="35"/>
  <c r="K568" i="35"/>
  <c r="K564" i="35"/>
  <c r="K556" i="35"/>
  <c r="K552" i="35"/>
  <c r="K548" i="35"/>
  <c r="K542" i="35"/>
  <c r="K539" i="35"/>
  <c r="J544" i="35"/>
  <c r="K535" i="35"/>
  <c r="K533" i="35"/>
  <c r="K531" i="35"/>
  <c r="K527" i="35"/>
  <c r="K523" i="35"/>
  <c r="K519" i="35"/>
  <c r="K515" i="35"/>
  <c r="K511" i="35"/>
  <c r="K507" i="35"/>
  <c r="K503" i="35"/>
  <c r="K499" i="35"/>
  <c r="K495" i="35"/>
  <c r="K491" i="35"/>
  <c r="I496" i="35"/>
  <c r="K487" i="35"/>
  <c r="K483" i="35"/>
  <c r="K479" i="35"/>
  <c r="K475" i="35"/>
  <c r="K471" i="35"/>
  <c r="K467" i="35"/>
  <c r="K461" i="35"/>
  <c r="K456" i="35"/>
  <c r="K452" i="35"/>
  <c r="K447" i="35"/>
  <c r="I447" i="35"/>
  <c r="K413" i="35"/>
  <c r="J415" i="35"/>
  <c r="K410" i="35"/>
  <c r="K406" i="35"/>
  <c r="O402" i="35"/>
  <c r="K432" i="35"/>
  <c r="M432" i="35"/>
  <c r="K397" i="35"/>
  <c r="I399" i="35"/>
  <c r="K394" i="35"/>
  <c r="K389" i="35"/>
  <c r="K380" i="35"/>
  <c r="K376" i="35"/>
  <c r="K372" i="35"/>
  <c r="K364" i="35"/>
  <c r="K359" i="35"/>
  <c r="K356" i="35"/>
  <c r="K354" i="35"/>
  <c r="K328" i="35"/>
  <c r="K345" i="35"/>
  <c r="I965" i="35"/>
  <c r="K321" i="35"/>
  <c r="K313" i="35"/>
  <c r="K346" i="35"/>
  <c r="K309" i="35"/>
  <c r="K305" i="35"/>
  <c r="K299" i="35"/>
  <c r="K294" i="35"/>
  <c r="K291" i="35"/>
  <c r="K341" i="35"/>
  <c r="I961" i="35"/>
  <c r="K288" i="35"/>
  <c r="K277" i="35"/>
  <c r="K273" i="35"/>
  <c r="K246" i="35"/>
  <c r="K242" i="35"/>
  <c r="K259" i="35"/>
  <c r="K241" i="35"/>
  <c r="K238" i="35"/>
  <c r="K236" i="35"/>
  <c r="K232" i="35"/>
  <c r="K227" i="35"/>
  <c r="K260" i="35"/>
  <c r="K224" i="35"/>
  <c r="K257" i="35"/>
  <c r="J216" i="35"/>
  <c r="H216" i="35"/>
  <c r="K194" i="35"/>
  <c r="K190" i="35"/>
  <c r="K186" i="35"/>
  <c r="J181" i="35"/>
  <c r="H181" i="35"/>
  <c r="K654" i="35"/>
  <c r="K650" i="35"/>
  <c r="K646" i="35"/>
  <c r="K641" i="35"/>
  <c r="K639" i="35"/>
  <c r="K636" i="35"/>
  <c r="K632" i="35"/>
  <c r="K630" i="35"/>
  <c r="K623" i="35"/>
  <c r="K620" i="35"/>
  <c r="K616" i="35"/>
  <c r="K612" i="35"/>
  <c r="K608" i="35"/>
  <c r="K604" i="35"/>
  <c r="K600" i="35"/>
  <c r="K596" i="35"/>
  <c r="K590" i="35"/>
  <c r="H577" i="35"/>
  <c r="K574" i="35"/>
  <c r="K570" i="35"/>
  <c r="K566" i="35"/>
  <c r="K562" i="35"/>
  <c r="K558" i="35"/>
  <c r="J560" i="35"/>
  <c r="I561" i="35"/>
  <c r="K561" i="35"/>
  <c r="K554" i="35"/>
  <c r="K550" i="35"/>
  <c r="K541" i="35"/>
  <c r="K537" i="35"/>
  <c r="N533" i="35"/>
  <c r="K532" i="35"/>
  <c r="K525" i="35"/>
  <c r="K521" i="35"/>
  <c r="I528" i="35"/>
  <c r="K517" i="35"/>
  <c r="K509" i="35"/>
  <c r="K505" i="35"/>
  <c r="I512" i="35"/>
  <c r="K501" i="35"/>
  <c r="K497" i="35"/>
  <c r="H496" i="35"/>
  <c r="K493" i="35"/>
  <c r="K489" i="35"/>
  <c r="K485" i="35"/>
  <c r="K477" i="35"/>
  <c r="I480" i="35"/>
  <c r="K473" i="35"/>
  <c r="K469" i="35"/>
  <c r="K463" i="35"/>
  <c r="I464" i="35"/>
  <c r="K458" i="35"/>
  <c r="K454" i="35"/>
  <c r="I431" i="35"/>
  <c r="L431" i="35"/>
  <c r="K411" i="35"/>
  <c r="M410" i="35"/>
  <c r="K408" i="35"/>
  <c r="O403" i="35"/>
  <c r="K402" i="35"/>
  <c r="K398" i="35"/>
  <c r="K395" i="35"/>
  <c r="K391" i="35"/>
  <c r="K423" i="35"/>
  <c r="K388" i="35"/>
  <c r="K420" i="35"/>
  <c r="K386" i="35"/>
  <c r="K382" i="35"/>
  <c r="I383" i="35"/>
  <c r="K378" i="35"/>
  <c r="K374" i="35"/>
  <c r="K370" i="35"/>
  <c r="K366" i="35"/>
  <c r="I367" i="35"/>
  <c r="K360" i="35"/>
  <c r="K357" i="35"/>
  <c r="K355" i="35"/>
  <c r="K419" i="35"/>
  <c r="K352" i="35"/>
  <c r="I333" i="35"/>
  <c r="K326" i="35"/>
  <c r="K343" i="35"/>
  <c r="I963" i="35"/>
  <c r="K320" i="35"/>
  <c r="J317" i="35"/>
  <c r="K315" i="35"/>
  <c r="K348" i="35"/>
  <c r="I967" i="35"/>
  <c r="K311" i="35"/>
  <c r="K307" i="35"/>
  <c r="J300" i="35"/>
  <c r="K297" i="35"/>
  <c r="K292" i="35"/>
  <c r="K289" i="35"/>
  <c r="K339" i="35"/>
  <c r="I959" i="35"/>
  <c r="K287" i="35"/>
  <c r="K282" i="35"/>
  <c r="I283" i="35"/>
  <c r="K280" i="35"/>
  <c r="K275" i="35"/>
  <c r="K271" i="35"/>
  <c r="I266" i="35"/>
  <c r="M265" i="35"/>
  <c r="K248" i="35"/>
  <c r="K265" i="35"/>
  <c r="K244" i="35"/>
  <c r="K261" i="35"/>
  <c r="K239" i="35"/>
  <c r="K256" i="35"/>
  <c r="K237" i="35"/>
  <c r="K254" i="35"/>
  <c r="K234" i="35"/>
  <c r="K230" i="35"/>
  <c r="K225" i="35"/>
  <c r="K222" i="35"/>
  <c r="K217" i="35"/>
  <c r="K196" i="35"/>
  <c r="K192" i="35"/>
  <c r="K188" i="35"/>
  <c r="K185" i="35"/>
  <c r="N182" i="35"/>
  <c r="K153" i="35"/>
  <c r="K165" i="35"/>
  <c r="K148" i="35"/>
  <c r="K180" i="35"/>
  <c r="I149" i="35"/>
  <c r="L149" i="35"/>
  <c r="K144" i="35"/>
  <c r="K176" i="35"/>
  <c r="K140" i="35"/>
  <c r="K136" i="35"/>
  <c r="K120" i="35"/>
  <c r="K169" i="35"/>
  <c r="M119" i="35"/>
  <c r="K106" i="35"/>
  <c r="J99" i="35"/>
  <c r="H99" i="35"/>
  <c r="H101" i="35"/>
  <c r="I83" i="35"/>
  <c r="K78" i="35"/>
  <c r="K76" i="35"/>
  <c r="K74" i="35"/>
  <c r="K72" i="35"/>
  <c r="K88" i="35"/>
  <c r="K70" i="35"/>
  <c r="I67" i="35"/>
  <c r="K49" i="35"/>
  <c r="K44" i="35"/>
  <c r="O38" i="35"/>
  <c r="K32" i="35"/>
  <c r="K96" i="35"/>
  <c r="K28" i="35"/>
  <c r="K26" i="35"/>
  <c r="K22" i="35"/>
  <c r="K13" i="35"/>
  <c r="H63" i="31"/>
  <c r="K55" i="31"/>
  <c r="H55" i="31"/>
  <c r="K42" i="31"/>
  <c r="F35" i="19"/>
  <c r="I22" i="19"/>
  <c r="F15" i="19"/>
  <c r="F13" i="19"/>
  <c r="F12" i="19"/>
  <c r="I11" i="19"/>
  <c r="H819" i="26"/>
  <c r="H832" i="26"/>
  <c r="H397" i="26"/>
  <c r="H322" i="27"/>
  <c r="K146" i="35"/>
  <c r="K142" i="35"/>
  <c r="K174" i="35"/>
  <c r="K138" i="35"/>
  <c r="K170" i="35"/>
  <c r="K205" i="35"/>
  <c r="K183" i="35"/>
  <c r="K218" i="35"/>
  <c r="M125" i="35"/>
  <c r="M123" i="35"/>
  <c r="O120" i="35"/>
  <c r="O122" i="35"/>
  <c r="K112" i="35"/>
  <c r="I115" i="35"/>
  <c r="N100" i="35"/>
  <c r="K77" i="35"/>
  <c r="K93" i="35"/>
  <c r="K75" i="35"/>
  <c r="K73" i="35"/>
  <c r="K89" i="35"/>
  <c r="K71" i="35"/>
  <c r="K46" i="35"/>
  <c r="J51" i="35"/>
  <c r="K42" i="35"/>
  <c r="K38" i="35"/>
  <c r="K34" i="35"/>
  <c r="K98" i="35"/>
  <c r="K30" i="35"/>
  <c r="I35" i="35"/>
  <c r="K27" i="35"/>
  <c r="K23" i="35"/>
  <c r="AA119" i="31"/>
  <c r="V105" i="31"/>
  <c r="C51" i="31"/>
  <c r="N48" i="31"/>
  <c r="N46" i="31"/>
  <c r="K46" i="31"/>
  <c r="H36" i="31"/>
  <c r="H34" i="31"/>
  <c r="H32" i="31"/>
  <c r="C28" i="31"/>
  <c r="H29" i="31"/>
  <c r="K27" i="31"/>
  <c r="H27" i="31"/>
  <c r="O26" i="31"/>
  <c r="P26" i="31"/>
  <c r="N23" i="31"/>
  <c r="N22" i="31"/>
  <c r="K22" i="31"/>
  <c r="H20" i="31"/>
  <c r="AB14" i="31"/>
  <c r="N17" i="31"/>
  <c r="N15" i="31"/>
  <c r="K15" i="31"/>
  <c r="C12" i="31"/>
  <c r="H13" i="31"/>
  <c r="H844" i="26"/>
  <c r="H802" i="26"/>
  <c r="H742" i="26"/>
  <c r="H697" i="26"/>
  <c r="H667" i="26"/>
  <c r="H622" i="26"/>
  <c r="H592" i="26"/>
  <c r="H517" i="26"/>
  <c r="H352" i="26"/>
  <c r="H155" i="26"/>
  <c r="H110" i="26"/>
  <c r="H834" i="27"/>
  <c r="H787" i="27"/>
  <c r="H682" i="27"/>
  <c r="H532" i="27"/>
  <c r="H367" i="27"/>
  <c r="H20" i="27"/>
  <c r="H817" i="26"/>
  <c r="H872" i="26"/>
  <c r="H757" i="26"/>
  <c r="H682" i="26"/>
  <c r="H637" i="26"/>
  <c r="H607" i="26"/>
  <c r="H532" i="26"/>
  <c r="H487" i="26"/>
  <c r="H367" i="26"/>
  <c r="H262" i="26"/>
  <c r="H125" i="26"/>
  <c r="H87" i="26"/>
  <c r="H194" i="26"/>
  <c r="H35" i="26"/>
  <c r="H824" i="27"/>
  <c r="H757" i="27"/>
  <c r="H712" i="27"/>
  <c r="H652" i="27"/>
  <c r="H412" i="27"/>
  <c r="H392" i="27"/>
  <c r="H797" i="27"/>
  <c r="H232" i="27"/>
  <c r="H160" i="27"/>
  <c r="H192" i="27"/>
  <c r="H158" i="27"/>
  <c r="H170" i="27"/>
  <c r="H397" i="27"/>
  <c r="H95" i="27"/>
  <c r="J844" i="27"/>
  <c r="H140" i="27"/>
  <c r="H65" i="27"/>
  <c r="I53" i="13"/>
  <c r="P56" i="13"/>
  <c r="Q9" i="20"/>
  <c r="K97" i="4"/>
  <c r="L97" i="4"/>
  <c r="I126" i="11"/>
  <c r="G126" i="11"/>
  <c r="H126" i="11"/>
  <c r="F126" i="11"/>
  <c r="I123" i="4"/>
  <c r="H60" i="4"/>
  <c r="G13" i="4"/>
  <c r="H13" i="4"/>
  <c r="I109" i="4"/>
  <c r="L63" i="23"/>
  <c r="L66" i="23"/>
  <c r="G122" i="4"/>
  <c r="P48" i="31"/>
  <c r="AF975" i="45"/>
  <c r="AL976" i="45"/>
  <c r="E92" i="4"/>
  <c r="F92" i="4"/>
  <c r="H121" i="4"/>
  <c r="AC938" i="45"/>
  <c r="AC937" i="45"/>
  <c r="AC936" i="45"/>
  <c r="AC935" i="45"/>
  <c r="AI939" i="45"/>
  <c r="AI938" i="45"/>
  <c r="AI937" i="45"/>
  <c r="AI936" i="45"/>
  <c r="AI935" i="45"/>
  <c r="Z939" i="45"/>
  <c r="H934" i="45"/>
  <c r="I919" i="45"/>
  <c r="AD923" i="45"/>
  <c r="AK923" i="45"/>
  <c r="AJ923" i="45"/>
  <c r="AM921" i="45"/>
  <c r="AM920" i="45"/>
  <c r="AM919" i="45"/>
  <c r="AG920" i="45"/>
  <c r="AG919" i="45"/>
  <c r="AK921" i="45"/>
  <c r="AE920" i="45"/>
  <c r="AE919" i="45"/>
  <c r="AD921" i="45"/>
  <c r="AD917" i="45"/>
  <c r="AK917" i="45"/>
  <c r="AJ917" i="45"/>
  <c r="AD916" i="45"/>
  <c r="AK916" i="45"/>
  <c r="AJ916" i="45"/>
  <c r="H918" i="45"/>
  <c r="I903" i="45"/>
  <c r="AD912" i="45"/>
  <c r="AK912" i="45"/>
  <c r="J903" i="45"/>
  <c r="AD911" i="45"/>
  <c r="AK911" i="45"/>
  <c r="AJ911" i="45"/>
  <c r="AD910" i="45"/>
  <c r="AK910" i="45"/>
  <c r="AJ910" i="45"/>
  <c r="AD909" i="45"/>
  <c r="AK909" i="45"/>
  <c r="AJ909" i="45"/>
  <c r="AD908" i="45"/>
  <c r="AK908" i="45"/>
  <c r="AJ908" i="45"/>
  <c r="AM905" i="45"/>
  <c r="AM904" i="45"/>
  <c r="AM903" i="45"/>
  <c r="AG904" i="45"/>
  <c r="AG903" i="45"/>
  <c r="AK905" i="45"/>
  <c r="AE904" i="45"/>
  <c r="AE903" i="45"/>
  <c r="AD905" i="45"/>
  <c r="AK901" i="45"/>
  <c r="AJ901" i="45"/>
  <c r="AD901" i="45"/>
  <c r="CQ887" i="45"/>
  <c r="CI887" i="45"/>
  <c r="CI888" i="45"/>
  <c r="AD892" i="45"/>
  <c r="AK892" i="45"/>
  <c r="AJ892" i="45"/>
  <c r="AK890" i="45"/>
  <c r="AJ890" i="45"/>
  <c r="AD890" i="45"/>
  <c r="AF888" i="45"/>
  <c r="AL889" i="45"/>
  <c r="AC888" i="45"/>
  <c r="AC887" i="45"/>
  <c r="AI889" i="45"/>
  <c r="CX889" i="45"/>
  <c r="AD885" i="45"/>
  <c r="AK885" i="45"/>
  <c r="AJ885" i="45"/>
  <c r="AD884" i="45"/>
  <c r="AK884" i="45"/>
  <c r="AJ884" i="45"/>
  <c r="AD883" i="45"/>
  <c r="AK883" i="45"/>
  <c r="AJ883" i="45"/>
  <c r="AD882" i="45"/>
  <c r="AK882" i="45"/>
  <c r="AJ882" i="45"/>
  <c r="AD881" i="45"/>
  <c r="AK881" i="45"/>
  <c r="AJ881" i="45"/>
  <c r="AD875" i="45"/>
  <c r="AK875" i="45"/>
  <c r="AJ875" i="45"/>
  <c r="CX875" i="45"/>
  <c r="AI875" i="45"/>
  <c r="AK874" i="45"/>
  <c r="AJ874" i="45"/>
  <c r="AD874" i="45"/>
  <c r="AF872" i="45"/>
  <c r="AL873" i="45"/>
  <c r="AD869" i="45"/>
  <c r="AK869" i="45"/>
  <c r="AJ869" i="45"/>
  <c r="AD868" i="45"/>
  <c r="AK868" i="45"/>
  <c r="AJ868" i="45"/>
  <c r="AD867" i="45"/>
  <c r="AK867" i="45"/>
  <c r="AJ867" i="45"/>
  <c r="AD866" i="45"/>
  <c r="AK866" i="45"/>
  <c r="AJ866" i="45"/>
  <c r="AK865" i="45"/>
  <c r="AJ865" i="45"/>
  <c r="AD865" i="45"/>
  <c r="AD864" i="45"/>
  <c r="AK864" i="45"/>
  <c r="AJ864" i="45"/>
  <c r="AD863" i="45"/>
  <c r="AK863" i="45"/>
  <c r="AJ863" i="45"/>
  <c r="AD862" i="45"/>
  <c r="AK862" i="45"/>
  <c r="AJ862" i="45"/>
  <c r="AD861" i="45"/>
  <c r="AK861" i="45"/>
  <c r="AJ861" i="45"/>
  <c r="AD859" i="45"/>
  <c r="AK859" i="45"/>
  <c r="AJ859" i="45"/>
  <c r="CX859" i="45"/>
  <c r="AI859" i="45"/>
  <c r="AK858" i="45"/>
  <c r="AJ858" i="45"/>
  <c r="AD858" i="45"/>
  <c r="AF856" i="45"/>
  <c r="AL857" i="45"/>
  <c r="AD853" i="45"/>
  <c r="AK853" i="45"/>
  <c r="AJ853" i="45"/>
  <c r="AD852" i="45"/>
  <c r="AK852" i="45"/>
  <c r="AJ852" i="45"/>
  <c r="AD851" i="45"/>
  <c r="AK851" i="45"/>
  <c r="AJ851" i="45"/>
  <c r="AD850" i="45"/>
  <c r="AK850" i="45"/>
  <c r="AJ850" i="45"/>
  <c r="AD849" i="45"/>
  <c r="AK849" i="45"/>
  <c r="AJ849" i="45"/>
  <c r="AK843" i="45"/>
  <c r="AJ843" i="45"/>
  <c r="AD843" i="45"/>
  <c r="AI843" i="45"/>
  <c r="CX843" i="45"/>
  <c r="AD842" i="45"/>
  <c r="AK842" i="45"/>
  <c r="AJ842" i="45"/>
  <c r="AF840" i="45"/>
  <c r="AL841" i="45"/>
  <c r="AK835" i="45"/>
  <c r="AJ835" i="45"/>
  <c r="AD835" i="45"/>
  <c r="AD827" i="45"/>
  <c r="AK827" i="45"/>
  <c r="AJ827" i="45"/>
  <c r="AD826" i="45"/>
  <c r="AK826" i="45"/>
  <c r="AJ826" i="45"/>
  <c r="AF824" i="45"/>
  <c r="AL825" i="45"/>
  <c r="AD821" i="45"/>
  <c r="AK821" i="45"/>
  <c r="AJ821" i="45"/>
  <c r="AD820" i="45"/>
  <c r="AK820" i="45"/>
  <c r="AJ820" i="45"/>
  <c r="AD816" i="45"/>
  <c r="AK816" i="45"/>
  <c r="AJ816" i="45"/>
  <c r="J807" i="45"/>
  <c r="AD815" i="45"/>
  <c r="AK815" i="45"/>
  <c r="AJ815" i="45"/>
  <c r="AD814" i="45"/>
  <c r="AK814" i="45"/>
  <c r="AJ814" i="45"/>
  <c r="AD813" i="45"/>
  <c r="AK813" i="45"/>
  <c r="AJ813" i="45"/>
  <c r="AD812" i="45"/>
  <c r="AK812" i="45"/>
  <c r="AJ812" i="45"/>
  <c r="AK810" i="45"/>
  <c r="AJ810" i="45"/>
  <c r="AD810" i="45"/>
  <c r="AF808" i="45"/>
  <c r="AF807" i="45"/>
  <c r="AL809" i="45"/>
  <c r="J791" i="45"/>
  <c r="AK799" i="45"/>
  <c r="AJ799" i="45"/>
  <c r="AD799" i="45"/>
  <c r="AK798" i="45"/>
  <c r="AJ798" i="45"/>
  <c r="AD798" i="45"/>
  <c r="AK797" i="45"/>
  <c r="AJ797" i="45"/>
  <c r="AD797" i="45"/>
  <c r="AK796" i="45"/>
  <c r="AJ796" i="45"/>
  <c r="AD796" i="45"/>
  <c r="AD795" i="45"/>
  <c r="AK795" i="45"/>
  <c r="AJ795" i="45"/>
  <c r="AM793" i="45"/>
  <c r="AM792" i="45"/>
  <c r="AM791" i="45"/>
  <c r="AG792" i="45"/>
  <c r="AG791" i="45"/>
  <c r="AK793" i="45"/>
  <c r="AE792" i="45"/>
  <c r="AE791" i="45"/>
  <c r="AD793" i="45"/>
  <c r="AD789" i="45"/>
  <c r="AK789" i="45"/>
  <c r="AJ789" i="45"/>
  <c r="AD787" i="45"/>
  <c r="AK787" i="45"/>
  <c r="AJ787" i="45"/>
  <c r="AD786" i="45"/>
  <c r="AK786" i="45"/>
  <c r="AJ786" i="45"/>
  <c r="AD785" i="45"/>
  <c r="AK785" i="45"/>
  <c r="AJ785" i="45"/>
  <c r="I775" i="45"/>
  <c r="H790" i="45"/>
  <c r="AD784" i="45"/>
  <c r="AK784" i="45"/>
  <c r="AJ784" i="45"/>
  <c r="AD783" i="45"/>
  <c r="AK783" i="45"/>
  <c r="AJ783" i="45"/>
  <c r="AK782" i="45"/>
  <c r="AJ782" i="45"/>
  <c r="AD782" i="45"/>
  <c r="AK779" i="45"/>
  <c r="AJ779" i="45"/>
  <c r="AD779" i="45"/>
  <c r="AK778" i="45"/>
  <c r="AJ778" i="45"/>
  <c r="AD778" i="45"/>
  <c r="AF776" i="45"/>
  <c r="AL777" i="45"/>
  <c r="AI777" i="45"/>
  <c r="CX777" i="45"/>
  <c r="AD769" i="45"/>
  <c r="AK769" i="45"/>
  <c r="AJ769" i="45"/>
  <c r="I759" i="45"/>
  <c r="H774" i="45"/>
  <c r="AK768" i="45"/>
  <c r="AJ768" i="45"/>
  <c r="AD768" i="45"/>
  <c r="AK763" i="45"/>
  <c r="AJ763" i="45"/>
  <c r="AD763" i="45"/>
  <c r="AI762" i="45"/>
  <c r="Z762" i="45"/>
  <c r="Z760" i="45"/>
  <c r="AA762" i="45"/>
  <c r="AG760" i="45"/>
  <c r="AG759" i="45"/>
  <c r="AM761" i="45"/>
  <c r="AM760" i="45"/>
  <c r="AM759" i="45"/>
  <c r="AE760" i="45"/>
  <c r="AE759" i="45"/>
  <c r="AK761" i="45"/>
  <c r="AD761" i="45"/>
  <c r="AK757" i="45"/>
  <c r="AJ757" i="45"/>
  <c r="AD757" i="45"/>
  <c r="AD753" i="45"/>
  <c r="AK753" i="45"/>
  <c r="AJ753" i="45"/>
  <c r="AD747" i="45"/>
  <c r="AK747" i="45"/>
  <c r="AJ747" i="45"/>
  <c r="CX747" i="45"/>
  <c r="AI747" i="45"/>
  <c r="CQ727" i="45"/>
  <c r="CI727" i="45"/>
  <c r="CI728" i="45"/>
  <c r="AK731" i="45"/>
  <c r="AJ731" i="45"/>
  <c r="AD731" i="45"/>
  <c r="AI731" i="45"/>
  <c r="CX731" i="45"/>
  <c r="AM729" i="45"/>
  <c r="AM728" i="45"/>
  <c r="AM727" i="45"/>
  <c r="AG728" i="45"/>
  <c r="AG727" i="45"/>
  <c r="AK729" i="45"/>
  <c r="AD729" i="45"/>
  <c r="AK725" i="45"/>
  <c r="AJ725" i="45"/>
  <c r="AD725" i="45"/>
  <c r="AK723" i="45"/>
  <c r="AJ723" i="45"/>
  <c r="AD723" i="45"/>
  <c r="AK721" i="45"/>
  <c r="AJ721" i="45"/>
  <c r="AD721" i="45"/>
  <c r="AK718" i="45"/>
  <c r="AJ718" i="45"/>
  <c r="AD718" i="45"/>
  <c r="AK716" i="45"/>
  <c r="AJ716" i="45"/>
  <c r="AD716" i="45"/>
  <c r="AG712" i="45"/>
  <c r="AG711" i="45"/>
  <c r="AM713" i="45"/>
  <c r="AM712" i="45"/>
  <c r="AM711" i="45"/>
  <c r="AE712" i="45"/>
  <c r="AE711" i="45"/>
  <c r="AK713" i="45"/>
  <c r="AD713" i="45"/>
  <c r="AD688" i="45"/>
  <c r="AK688" i="45"/>
  <c r="AJ688" i="45"/>
  <c r="AD650" i="45"/>
  <c r="AK650" i="45"/>
  <c r="AJ650" i="45"/>
  <c r="AD641" i="45"/>
  <c r="AK641" i="45"/>
  <c r="AJ641" i="45"/>
  <c r="AD618" i="45"/>
  <c r="AK618" i="45"/>
  <c r="AJ618" i="45"/>
  <c r="AF615" i="45"/>
  <c r="AL616" i="45"/>
  <c r="H613" i="45"/>
  <c r="I598" i="45"/>
  <c r="AD606" i="45"/>
  <c r="AK606" i="45"/>
  <c r="AJ606" i="45"/>
  <c r="AD604" i="45"/>
  <c r="AK604" i="45"/>
  <c r="AJ604" i="45"/>
  <c r="AD596" i="45"/>
  <c r="AK596" i="45"/>
  <c r="AJ596" i="45"/>
  <c r="AD592" i="45"/>
  <c r="AK592" i="45"/>
  <c r="AJ592" i="45"/>
  <c r="AD591" i="45"/>
  <c r="AK591" i="45"/>
  <c r="AD590" i="45"/>
  <c r="AK590" i="45"/>
  <c r="AJ590" i="45"/>
  <c r="AD589" i="45"/>
  <c r="AK589" i="45"/>
  <c r="AJ589" i="45"/>
  <c r="AD580" i="45"/>
  <c r="AK580" i="45"/>
  <c r="AJ580" i="45"/>
  <c r="AD579" i="45"/>
  <c r="AK579" i="45"/>
  <c r="AJ579" i="45"/>
  <c r="AD578" i="45"/>
  <c r="AK578" i="45"/>
  <c r="AJ578" i="45"/>
  <c r="N111" i="12"/>
  <c r="BE953" i="45"/>
  <c r="BE952" i="45"/>
  <c r="BE951" i="45"/>
  <c r="BY953" i="45"/>
  <c r="BY952" i="45"/>
  <c r="BY951" i="45"/>
  <c r="AM953" i="45"/>
  <c r="AM952" i="45"/>
  <c r="AM951" i="45"/>
  <c r="AK953" i="45"/>
  <c r="AK952" i="45"/>
  <c r="AK951" i="45"/>
  <c r="AG953" i="45"/>
  <c r="AG952" i="45"/>
  <c r="AG951" i="45"/>
  <c r="AE953" i="45"/>
  <c r="AE952" i="45"/>
  <c r="AE951" i="45"/>
  <c r="BU953" i="45"/>
  <c r="BU952" i="45"/>
  <c r="BU951" i="45"/>
  <c r="H919" i="45"/>
  <c r="AD913" i="45"/>
  <c r="H903" i="45"/>
  <c r="AD895" i="45"/>
  <c r="DH843" i="45"/>
  <c r="DI843" i="45"/>
  <c r="AJ834" i="45"/>
  <c r="AJ833" i="45"/>
  <c r="AD788" i="45"/>
  <c r="H759" i="45"/>
  <c r="AM744" i="45"/>
  <c r="AM743" i="45"/>
  <c r="AD745" i="45"/>
  <c r="AJ720" i="45"/>
  <c r="AD692" i="45"/>
  <c r="AM583" i="45"/>
  <c r="AM582" i="45"/>
  <c r="AG583" i="45"/>
  <c r="AG582" i="45"/>
  <c r="AC583" i="45"/>
  <c r="AC582" i="45"/>
  <c r="AD576" i="45"/>
  <c r="AJ572" i="45"/>
  <c r="AJ571" i="45"/>
  <c r="O110" i="12"/>
  <c r="L111" i="12"/>
  <c r="AC4" i="45"/>
  <c r="AI968" i="45"/>
  <c r="AC954" i="45"/>
  <c r="AI958" i="45"/>
  <c r="AI954" i="45"/>
  <c r="AD933" i="45"/>
  <c r="AK933" i="45"/>
  <c r="AJ933" i="45"/>
  <c r="AD932" i="45"/>
  <c r="AK932" i="45"/>
  <c r="AJ932" i="45"/>
  <c r="AD931" i="45"/>
  <c r="AK931" i="45"/>
  <c r="AJ931" i="45"/>
  <c r="AD930" i="45"/>
  <c r="AK930" i="45"/>
  <c r="AJ930" i="45"/>
  <c r="AD929" i="45"/>
  <c r="AK929" i="45"/>
  <c r="AJ929" i="45"/>
  <c r="AK928" i="45"/>
  <c r="AJ928" i="45"/>
  <c r="AD928" i="45"/>
  <c r="AK927" i="45"/>
  <c r="AJ927" i="45"/>
  <c r="AD927" i="45"/>
  <c r="AD926" i="45"/>
  <c r="AK926" i="45"/>
  <c r="AJ926" i="45"/>
  <c r="AD925" i="45"/>
  <c r="AK925" i="45"/>
  <c r="AJ925" i="45"/>
  <c r="AD924" i="45"/>
  <c r="AK924" i="45"/>
  <c r="AJ924" i="45"/>
  <c r="AI923" i="45"/>
  <c r="CX923" i="45"/>
  <c r="AK922" i="45"/>
  <c r="AJ922" i="45"/>
  <c r="AD922" i="45"/>
  <c r="AF920" i="45"/>
  <c r="AL921" i="45"/>
  <c r="AK915" i="45"/>
  <c r="AJ915" i="45"/>
  <c r="AD915" i="45"/>
  <c r="AK914" i="45"/>
  <c r="AJ914" i="45"/>
  <c r="AD914" i="45"/>
  <c r="AK907" i="45"/>
  <c r="AJ907" i="45"/>
  <c r="AD907" i="45"/>
  <c r="AI907" i="45"/>
  <c r="CX907" i="45"/>
  <c r="AD906" i="45"/>
  <c r="AK906" i="45"/>
  <c r="AJ906" i="45"/>
  <c r="AF904" i="45"/>
  <c r="AF903" i="45"/>
  <c r="AL905" i="45"/>
  <c r="AD900" i="45"/>
  <c r="AK900" i="45"/>
  <c r="AJ900" i="45"/>
  <c r="AD899" i="45"/>
  <c r="AK899" i="45"/>
  <c r="AJ899" i="45"/>
  <c r="AD898" i="45"/>
  <c r="AK898" i="45"/>
  <c r="AJ898" i="45"/>
  <c r="AK896" i="45"/>
  <c r="AJ896" i="45"/>
  <c r="AD896" i="45"/>
  <c r="AK894" i="45"/>
  <c r="AJ894" i="45"/>
  <c r="AD894" i="45"/>
  <c r="AK893" i="45"/>
  <c r="AJ893" i="45"/>
  <c r="AD893" i="45"/>
  <c r="AK891" i="45"/>
  <c r="AJ891" i="45"/>
  <c r="AD891" i="45"/>
  <c r="AI891" i="45"/>
  <c r="CX891" i="45"/>
  <c r="AG888" i="45"/>
  <c r="AG887" i="45"/>
  <c r="AM889" i="45"/>
  <c r="AM888" i="45"/>
  <c r="AK889" i="45"/>
  <c r="AD889" i="45"/>
  <c r="AK880" i="45"/>
  <c r="AJ880" i="45"/>
  <c r="AD880" i="45"/>
  <c r="AK879" i="45"/>
  <c r="AJ879" i="45"/>
  <c r="AD879" i="45"/>
  <c r="AK878" i="45"/>
  <c r="AJ878" i="45"/>
  <c r="AD878" i="45"/>
  <c r="AK877" i="45"/>
  <c r="AJ877" i="45"/>
  <c r="AD877" i="45"/>
  <c r="AK876" i="45"/>
  <c r="AJ876" i="45"/>
  <c r="AD876" i="45"/>
  <c r="AM873" i="45"/>
  <c r="AM872" i="45"/>
  <c r="AM871" i="45"/>
  <c r="AG872" i="45"/>
  <c r="AG871" i="45"/>
  <c r="AK873" i="45"/>
  <c r="AE872" i="45"/>
  <c r="AE871" i="45"/>
  <c r="AD873" i="45"/>
  <c r="AK860" i="45"/>
  <c r="AJ860" i="45"/>
  <c r="AD860" i="45"/>
  <c r="AM857" i="45"/>
  <c r="AM856" i="45"/>
  <c r="AM855" i="45"/>
  <c r="AG856" i="45"/>
  <c r="AG855" i="45"/>
  <c r="AK857" i="45"/>
  <c r="AE856" i="45"/>
  <c r="AE855" i="45"/>
  <c r="AD857" i="45"/>
  <c r="AK848" i="45"/>
  <c r="AJ848" i="45"/>
  <c r="AD848" i="45"/>
  <c r="AK847" i="45"/>
  <c r="AJ847" i="45"/>
  <c r="AD847" i="45"/>
  <c r="AK846" i="45"/>
  <c r="AJ846" i="45"/>
  <c r="AD846" i="45"/>
  <c r="AK845" i="45"/>
  <c r="AJ845" i="45"/>
  <c r="AD845" i="45"/>
  <c r="AK844" i="45"/>
  <c r="AJ844" i="45"/>
  <c r="AD844" i="45"/>
  <c r="AM841" i="45"/>
  <c r="AM840" i="45"/>
  <c r="AM839" i="45"/>
  <c r="AG840" i="45"/>
  <c r="AG839" i="45"/>
  <c r="AK841" i="45"/>
  <c r="AE840" i="45"/>
  <c r="AE839" i="45"/>
  <c r="AD841" i="45"/>
  <c r="AD837" i="45"/>
  <c r="AK837" i="45"/>
  <c r="AJ837" i="45"/>
  <c r="AD836" i="45"/>
  <c r="AK836" i="45"/>
  <c r="AJ836" i="45"/>
  <c r="H838" i="45"/>
  <c r="H823" i="45"/>
  <c r="I823" i="45"/>
  <c r="AD832" i="45"/>
  <c r="AK832" i="45"/>
  <c r="AJ832" i="45"/>
  <c r="AD831" i="45"/>
  <c r="AK831" i="45"/>
  <c r="AJ831" i="45"/>
  <c r="AD830" i="45"/>
  <c r="AK830" i="45"/>
  <c r="AJ830" i="45"/>
  <c r="AD829" i="45"/>
  <c r="AK829" i="45"/>
  <c r="AJ829" i="45"/>
  <c r="AD828" i="45"/>
  <c r="AK828" i="45"/>
  <c r="AJ828" i="45"/>
  <c r="AI827" i="45"/>
  <c r="CX827" i="45"/>
  <c r="AG824" i="45"/>
  <c r="AG823" i="45"/>
  <c r="AM825" i="45"/>
  <c r="AM824" i="45"/>
  <c r="AM823" i="45"/>
  <c r="AD825" i="45"/>
  <c r="AE824" i="45"/>
  <c r="AE823" i="45"/>
  <c r="AK825" i="45"/>
  <c r="AK819" i="45"/>
  <c r="AJ819" i="45"/>
  <c r="AD819" i="45"/>
  <c r="AK818" i="45"/>
  <c r="AJ818" i="45"/>
  <c r="AD818" i="45"/>
  <c r="AK817" i="45"/>
  <c r="AJ817" i="45"/>
  <c r="AD817" i="45"/>
  <c r="AK811" i="45"/>
  <c r="AJ811" i="45"/>
  <c r="AD811" i="45"/>
  <c r="AG808" i="45"/>
  <c r="AG807" i="45"/>
  <c r="AM809" i="45"/>
  <c r="AM808" i="45"/>
  <c r="AM807" i="45"/>
  <c r="AD809" i="45"/>
  <c r="AE808" i="45"/>
  <c r="AE807" i="45"/>
  <c r="AK809" i="45"/>
  <c r="AD805" i="45"/>
  <c r="AK805" i="45"/>
  <c r="AJ805" i="45"/>
  <c r="AD804" i="45"/>
  <c r="AK804" i="45"/>
  <c r="AJ804" i="45"/>
  <c r="AD803" i="45"/>
  <c r="AK803" i="45"/>
  <c r="AJ803" i="45"/>
  <c r="AD802" i="45"/>
  <c r="AK802" i="45"/>
  <c r="AJ802" i="45"/>
  <c r="AD801" i="45"/>
  <c r="AK801" i="45"/>
  <c r="AK800" i="45"/>
  <c r="AJ800" i="45"/>
  <c r="AD800" i="45"/>
  <c r="AI795" i="45"/>
  <c r="CX795" i="45"/>
  <c r="AK794" i="45"/>
  <c r="AJ794" i="45"/>
  <c r="AD794" i="45"/>
  <c r="AF792" i="45"/>
  <c r="AF791" i="45"/>
  <c r="AL793" i="45"/>
  <c r="AK781" i="45"/>
  <c r="AJ781" i="45"/>
  <c r="AD781" i="45"/>
  <c r="AK780" i="45"/>
  <c r="AJ780" i="45"/>
  <c r="AD780" i="45"/>
  <c r="AI779" i="45"/>
  <c r="CX779" i="45"/>
  <c r="AG776" i="45"/>
  <c r="AG775" i="45"/>
  <c r="AM777" i="45"/>
  <c r="AM776" i="45"/>
  <c r="AM775" i="45"/>
  <c r="AE776" i="45"/>
  <c r="AE775" i="45"/>
  <c r="AK777" i="45"/>
  <c r="AD777" i="45"/>
  <c r="AK773" i="45"/>
  <c r="AJ773" i="45"/>
  <c r="AD773" i="45"/>
  <c r="AK772" i="45"/>
  <c r="AJ772" i="45"/>
  <c r="AD772" i="45"/>
  <c r="AK771" i="45"/>
  <c r="AJ771" i="45"/>
  <c r="AD771" i="45"/>
  <c r="AK770" i="45"/>
  <c r="AJ770" i="45"/>
  <c r="AD770" i="45"/>
  <c r="AK767" i="45"/>
  <c r="AJ767" i="45"/>
  <c r="AD767" i="45"/>
  <c r="AK766" i="45"/>
  <c r="AJ766" i="45"/>
  <c r="AD766" i="45"/>
  <c r="AK765" i="45"/>
  <c r="AJ765" i="45"/>
  <c r="AD765" i="45"/>
  <c r="AK764" i="45"/>
  <c r="AJ764" i="45"/>
  <c r="AD764" i="45"/>
  <c r="AI763" i="45"/>
  <c r="CX763" i="45"/>
  <c r="AA763" i="45"/>
  <c r="AK762" i="45"/>
  <c r="AJ762" i="45"/>
  <c r="AD762" i="45"/>
  <c r="AF760" i="45"/>
  <c r="AL761" i="45"/>
  <c r="AI761" i="45"/>
  <c r="CX761" i="45"/>
  <c r="AA761" i="45"/>
  <c r="AK756" i="45"/>
  <c r="AJ756" i="45"/>
  <c r="AD756" i="45"/>
  <c r="AK755" i="45"/>
  <c r="AJ755" i="45"/>
  <c r="AD755" i="45"/>
  <c r="AK754" i="45"/>
  <c r="AJ754" i="45"/>
  <c r="AD754" i="45"/>
  <c r="AK752" i="45"/>
  <c r="AJ752" i="45"/>
  <c r="AD752" i="45"/>
  <c r="AK751" i="45"/>
  <c r="AJ751" i="45"/>
  <c r="AD751" i="45"/>
  <c r="AK750" i="45"/>
  <c r="AJ750" i="45"/>
  <c r="AD750" i="45"/>
  <c r="AK749" i="45"/>
  <c r="AJ749" i="45"/>
  <c r="AD749" i="45"/>
  <c r="AK748" i="45"/>
  <c r="AJ748" i="45"/>
  <c r="AD748" i="45"/>
  <c r="AD746" i="45"/>
  <c r="AK746" i="45"/>
  <c r="AJ746" i="45"/>
  <c r="AF744" i="45"/>
  <c r="AL745" i="45"/>
  <c r="AK741" i="45"/>
  <c r="AJ741" i="45"/>
  <c r="AD741" i="45"/>
  <c r="AK739" i="45"/>
  <c r="AJ739" i="45"/>
  <c r="AD739" i="45"/>
  <c r="AK738" i="45"/>
  <c r="AJ738" i="45"/>
  <c r="AD738" i="45"/>
  <c r="H742" i="45"/>
  <c r="H727" i="45"/>
  <c r="I727" i="45"/>
  <c r="AD736" i="45"/>
  <c r="AK736" i="45"/>
  <c r="AJ736" i="45"/>
  <c r="J727" i="45"/>
  <c r="AD735" i="45"/>
  <c r="AK735" i="45"/>
  <c r="AJ735" i="45"/>
  <c r="AD734" i="45"/>
  <c r="AK734" i="45"/>
  <c r="AJ734" i="45"/>
  <c r="AD733" i="45"/>
  <c r="AK733" i="45"/>
  <c r="AJ733" i="45"/>
  <c r="AD732" i="45"/>
  <c r="AK732" i="45"/>
  <c r="AJ732" i="45"/>
  <c r="AD730" i="45"/>
  <c r="AK730" i="45"/>
  <c r="AJ730" i="45"/>
  <c r="AF728" i="45"/>
  <c r="AF727" i="45"/>
  <c r="AL729" i="45"/>
  <c r="AD724" i="45"/>
  <c r="AK724" i="45"/>
  <c r="AJ724" i="45"/>
  <c r="AD722" i="45"/>
  <c r="AK722" i="45"/>
  <c r="AJ722" i="45"/>
  <c r="AD719" i="45"/>
  <c r="AK719" i="45"/>
  <c r="AJ719" i="45"/>
  <c r="AD717" i="45"/>
  <c r="AK717" i="45"/>
  <c r="AJ717" i="45"/>
  <c r="AD715" i="45"/>
  <c r="AK715" i="45"/>
  <c r="AJ715" i="45"/>
  <c r="AD714" i="45"/>
  <c r="AK714" i="45"/>
  <c r="AJ714" i="45"/>
  <c r="AF712" i="45"/>
  <c r="AL713" i="45"/>
  <c r="AD683" i="45"/>
  <c r="AK683" i="45"/>
  <c r="AJ683" i="45"/>
  <c r="AF680" i="45"/>
  <c r="AL681" i="45"/>
  <c r="AD672" i="45"/>
  <c r="AK672" i="45"/>
  <c r="AJ672" i="45"/>
  <c r="AD656" i="45"/>
  <c r="AK656" i="45"/>
  <c r="AJ656" i="45"/>
  <c r="AD655" i="45"/>
  <c r="AK655" i="45"/>
  <c r="AJ655" i="45"/>
  <c r="AD654" i="45"/>
  <c r="AK654" i="45"/>
  <c r="AJ654" i="45"/>
  <c r="AD653" i="45"/>
  <c r="AK653" i="45"/>
  <c r="AJ653" i="45"/>
  <c r="AD652" i="45"/>
  <c r="AK652" i="45"/>
  <c r="AJ652" i="45"/>
  <c r="AC648" i="45"/>
  <c r="AC647" i="45"/>
  <c r="CX649" i="45"/>
  <c r="AD629" i="45"/>
  <c r="AK629" i="45"/>
  <c r="AJ629" i="45"/>
  <c r="AD586" i="45"/>
  <c r="AK586" i="45"/>
  <c r="AJ586" i="45"/>
  <c r="AD575" i="45"/>
  <c r="AK575" i="45"/>
  <c r="AD574" i="45"/>
  <c r="AK574" i="45"/>
  <c r="AJ574" i="45"/>
  <c r="AD573" i="45"/>
  <c r="AK573" i="45"/>
  <c r="AJ573" i="45"/>
  <c r="K111" i="12"/>
  <c r="CH953" i="45"/>
  <c r="CH952" i="45"/>
  <c r="CH951" i="45"/>
  <c r="AF953" i="45"/>
  <c r="AF952" i="45"/>
  <c r="AF951" i="45"/>
  <c r="E86" i="4"/>
  <c r="CC953" i="45"/>
  <c r="CC952" i="45"/>
  <c r="CC951" i="45"/>
  <c r="K953" i="45"/>
  <c r="K952" i="45"/>
  <c r="K951" i="45"/>
  <c r="AD834" i="45"/>
  <c r="AD833" i="45"/>
  <c r="AL801" i="45"/>
  <c r="AK788" i="45"/>
  <c r="AJ788" i="45"/>
  <c r="H775" i="45"/>
  <c r="AJ745" i="45"/>
  <c r="AJ744" i="45"/>
  <c r="AJ743" i="45"/>
  <c r="AG744" i="45"/>
  <c r="AG743" i="45"/>
  <c r="AD720" i="45"/>
  <c r="AJ709" i="45"/>
  <c r="AJ707" i="45"/>
  <c r="AD657" i="45"/>
  <c r="AJ645" i="45"/>
  <c r="AL632" i="45"/>
  <c r="AF632" i="45"/>
  <c r="AF631" i="45"/>
  <c r="AD628" i="45"/>
  <c r="AK628" i="45"/>
  <c r="AJ628" i="45"/>
  <c r="AD607" i="45"/>
  <c r="AM599" i="45"/>
  <c r="AM598" i="45"/>
  <c r="AK583" i="45"/>
  <c r="AK582" i="45"/>
  <c r="AE583" i="45"/>
  <c r="AE582" i="45"/>
  <c r="L12" i="19"/>
  <c r="M43" i="31"/>
  <c r="N43" i="31"/>
  <c r="K17" i="32"/>
  <c r="M38" i="31"/>
  <c r="N38" i="31"/>
  <c r="L15" i="19"/>
  <c r="K8" i="34"/>
  <c r="L26" i="19"/>
  <c r="K14" i="32"/>
  <c r="M35" i="31"/>
  <c r="N35" i="31"/>
  <c r="K12" i="32"/>
  <c r="M33" i="31"/>
  <c r="N33" i="31"/>
  <c r="K10" i="19"/>
  <c r="J10" i="32"/>
  <c r="L30" i="31"/>
  <c r="H10" i="32"/>
  <c r="G10" i="19"/>
  <c r="I30" i="31"/>
  <c r="J9" i="32"/>
  <c r="L29" i="31"/>
  <c r="K9" i="19"/>
  <c r="G9" i="19"/>
  <c r="H9" i="32"/>
  <c r="I29" i="31"/>
  <c r="J23" i="31"/>
  <c r="H29" i="19"/>
  <c r="I29" i="19"/>
  <c r="I8" i="32"/>
  <c r="I13" i="33"/>
  <c r="J20" i="31"/>
  <c r="K20" i="31"/>
  <c r="L8" i="19"/>
  <c r="M13" i="31"/>
  <c r="N13" i="31"/>
  <c r="AB699" i="45"/>
  <c r="AA699" i="45"/>
  <c r="AN699" i="45"/>
  <c r="CY699" i="45"/>
  <c r="AI696" i="45"/>
  <c r="AI695" i="45"/>
  <c r="AB697" i="45"/>
  <c r="AA697" i="45"/>
  <c r="AN697" i="45"/>
  <c r="CY697" i="45"/>
  <c r="AB683" i="45"/>
  <c r="AA683" i="45"/>
  <c r="AN683" i="45"/>
  <c r="AG680" i="45"/>
  <c r="AG679" i="45"/>
  <c r="AM681" i="45"/>
  <c r="AM680" i="45"/>
  <c r="AM679" i="45"/>
  <c r="AE680" i="45"/>
  <c r="AE679" i="45"/>
  <c r="AK681" i="45"/>
  <c r="AC680" i="45"/>
  <c r="AC679" i="45"/>
  <c r="AI681" i="45"/>
  <c r="AI667" i="45"/>
  <c r="CX667" i="45"/>
  <c r="AB665" i="45"/>
  <c r="AA665" i="45"/>
  <c r="AN665" i="45"/>
  <c r="CY665" i="45"/>
  <c r="AJ649" i="45"/>
  <c r="AE648" i="45"/>
  <c r="AE647" i="45"/>
  <c r="AD649" i="45"/>
  <c r="J598" i="45"/>
  <c r="J583" i="45"/>
  <c r="AL591" i="45"/>
  <c r="AB586" i="45"/>
  <c r="AA586" i="45"/>
  <c r="AN586" i="45"/>
  <c r="AB584" i="45"/>
  <c r="AA584" i="45"/>
  <c r="AN584" i="45"/>
  <c r="CY584" i="45"/>
  <c r="BE567" i="45"/>
  <c r="BE566" i="45"/>
  <c r="AC577" i="45"/>
  <c r="AI577" i="45"/>
  <c r="AK576" i="45"/>
  <c r="AJ576" i="45"/>
  <c r="I567" i="45"/>
  <c r="J567" i="45"/>
  <c r="AL575" i="45"/>
  <c r="AB570" i="45"/>
  <c r="AA570" i="45"/>
  <c r="AN570" i="45"/>
  <c r="AM568" i="45"/>
  <c r="AM567" i="45"/>
  <c r="AM566" i="45"/>
  <c r="AG567" i="45"/>
  <c r="AG566" i="45"/>
  <c r="AK568" i="45"/>
  <c r="AE567" i="45"/>
  <c r="AE566" i="45"/>
  <c r="AD568" i="45"/>
  <c r="I550" i="45"/>
  <c r="H565" i="45"/>
  <c r="AK556" i="45"/>
  <c r="AJ556" i="45"/>
  <c r="AD556" i="45"/>
  <c r="AK555" i="45"/>
  <c r="AJ555" i="45"/>
  <c r="AD555" i="45"/>
  <c r="AD554" i="45"/>
  <c r="AK554" i="45"/>
  <c r="AJ554" i="45"/>
  <c r="AL552" i="45"/>
  <c r="AF551" i="45"/>
  <c r="AF550" i="45"/>
  <c r="AK547" i="45"/>
  <c r="AM541" i="45"/>
  <c r="AM525" i="45"/>
  <c r="AG525" i="45"/>
  <c r="AK541" i="45"/>
  <c r="AE525" i="45"/>
  <c r="AD541" i="45"/>
  <c r="AG521" i="45"/>
  <c r="AM537" i="45"/>
  <c r="AM521" i="45"/>
  <c r="AE521" i="45"/>
  <c r="AK537" i="45"/>
  <c r="AK514" i="45"/>
  <c r="AJ514" i="45"/>
  <c r="AD514" i="45"/>
  <c r="AK513" i="45"/>
  <c r="AJ513" i="45"/>
  <c r="AD513" i="45"/>
  <c r="AK512" i="45"/>
  <c r="AJ512" i="45"/>
  <c r="AD512" i="45"/>
  <c r="AK510" i="45"/>
  <c r="AJ510" i="45"/>
  <c r="AD510" i="45"/>
  <c r="AK509" i="45"/>
  <c r="AJ509" i="45"/>
  <c r="AD509" i="45"/>
  <c r="AK507" i="45"/>
  <c r="AJ507" i="45"/>
  <c r="AD507" i="45"/>
  <c r="AK505" i="45"/>
  <c r="AJ505" i="45"/>
  <c r="AD505" i="45"/>
  <c r="AD503" i="45"/>
  <c r="AK503" i="45"/>
  <c r="AJ503" i="45"/>
  <c r="AD495" i="45"/>
  <c r="AK495" i="45"/>
  <c r="AJ495" i="45"/>
  <c r="AD494" i="45"/>
  <c r="AK494" i="45"/>
  <c r="AJ494" i="45"/>
  <c r="AD493" i="45"/>
  <c r="AK493" i="45"/>
  <c r="AJ493" i="45"/>
  <c r="AD489" i="45"/>
  <c r="AK489" i="45"/>
  <c r="AJ489" i="45"/>
  <c r="AD488" i="45"/>
  <c r="AK488" i="45"/>
  <c r="AJ488" i="45"/>
  <c r="CX488" i="45"/>
  <c r="AI488" i="45"/>
  <c r="AF485" i="45"/>
  <c r="AF484" i="45"/>
  <c r="AL486" i="45"/>
  <c r="AC485" i="45"/>
  <c r="AC484" i="45"/>
  <c r="AI486" i="45"/>
  <c r="CX486" i="45"/>
  <c r="AD474" i="45"/>
  <c r="AK474" i="45"/>
  <c r="AJ474" i="45"/>
  <c r="AE447" i="45"/>
  <c r="AK463" i="45"/>
  <c r="O25" i="31"/>
  <c r="P25" i="31"/>
  <c r="AF119" i="12"/>
  <c r="AI116" i="12"/>
  <c r="AF117" i="12"/>
  <c r="AA116" i="12"/>
  <c r="O111" i="12"/>
  <c r="I111" i="12"/>
  <c r="N10" i="32"/>
  <c r="L10" i="32"/>
  <c r="AC12" i="12"/>
  <c r="AC977" i="45"/>
  <c r="AC976" i="45"/>
  <c r="AC975" i="45"/>
  <c r="AC974" i="45"/>
  <c r="AC973" i="45"/>
  <c r="AC972" i="45"/>
  <c r="AJ970" i="45"/>
  <c r="AJ956" i="45"/>
  <c r="AD970" i="45"/>
  <c r="AD956" i="45"/>
  <c r="AJ963" i="45"/>
  <c r="AJ955" i="45"/>
  <c r="AD963" i="45"/>
  <c r="AD955" i="45"/>
  <c r="AJ958" i="45"/>
  <c r="AD958" i="45"/>
  <c r="AD954" i="45"/>
  <c r="AD953" i="45"/>
  <c r="AD952" i="45"/>
  <c r="AD951" i="45"/>
  <c r="AW954" i="45"/>
  <c r="AW953" i="45"/>
  <c r="AW952" i="45"/>
  <c r="AW951" i="45"/>
  <c r="AO954" i="45"/>
  <c r="AO953" i="45"/>
  <c r="AO952" i="45"/>
  <c r="AO951" i="45"/>
  <c r="AK949" i="45"/>
  <c r="AF949" i="45"/>
  <c r="AJ939" i="45"/>
  <c r="AJ938" i="45"/>
  <c r="AJ937" i="45"/>
  <c r="AJ936" i="45"/>
  <c r="AJ935" i="45"/>
  <c r="BQ938" i="45"/>
  <c r="BQ937" i="45"/>
  <c r="BQ936" i="45"/>
  <c r="BQ935" i="45"/>
  <c r="CK920" i="45"/>
  <c r="CI920" i="45"/>
  <c r="Y905" i="45"/>
  <c r="CK904" i="45"/>
  <c r="CI904" i="45"/>
  <c r="I1018" i="45"/>
  <c r="Y889" i="45"/>
  <c r="CJ888" i="45"/>
  <c r="CH888" i="45"/>
  <c r="BQ888" i="45"/>
  <c r="BQ887" i="45"/>
  <c r="BI888" i="45"/>
  <c r="BI887" i="45"/>
  <c r="CK872" i="45"/>
  <c r="CI872" i="45"/>
  <c r="I1016" i="45"/>
  <c r="Y857" i="45"/>
  <c r="CK856" i="45"/>
  <c r="CI856" i="45"/>
  <c r="Y841" i="45"/>
  <c r="CK840" i="45"/>
  <c r="CI840" i="45"/>
  <c r="AC825" i="45"/>
  <c r="CK824" i="45"/>
  <c r="CI824" i="45"/>
  <c r="AC809" i="45"/>
  <c r="CK808" i="45"/>
  <c r="CI808" i="45"/>
  <c r="Y793" i="45"/>
  <c r="CK792" i="45"/>
  <c r="CI792" i="45"/>
  <c r="CJ776" i="45"/>
  <c r="CH776" i="45"/>
  <c r="BQ776" i="45"/>
  <c r="BQ775" i="45"/>
  <c r="BM776" i="45"/>
  <c r="BM775" i="45"/>
  <c r="BI776" i="45"/>
  <c r="BI775" i="45"/>
  <c r="AC769" i="45"/>
  <c r="AI769" i="45"/>
  <c r="BQ527" i="45"/>
  <c r="CJ760" i="45"/>
  <c r="CH760" i="45"/>
  <c r="CC760" i="45"/>
  <c r="CC759" i="45"/>
  <c r="BI760" i="45"/>
  <c r="BI759" i="45"/>
  <c r="CS759" i="45"/>
  <c r="CK759" i="45"/>
  <c r="CQ759" i="45"/>
  <c r="CI759" i="45"/>
  <c r="AW519" i="45"/>
  <c r="AW518" i="45"/>
  <c r="AC745" i="45"/>
  <c r="CK744" i="45"/>
  <c r="CI744" i="45"/>
  <c r="AK744" i="45"/>
  <c r="AK743" i="45"/>
  <c r="AE744" i="45"/>
  <c r="AE743" i="45"/>
  <c r="CI737" i="45"/>
  <c r="AO528" i="45"/>
  <c r="Y729" i="45"/>
  <c r="W729" i="45"/>
  <c r="CK728" i="45"/>
  <c r="BZ728" i="45"/>
  <c r="BZ727" i="45"/>
  <c r="AX728" i="45"/>
  <c r="AX727" i="45"/>
  <c r="CJ712" i="45"/>
  <c r="CH712" i="45"/>
  <c r="AD709" i="45"/>
  <c r="AJ708" i="45"/>
  <c r="AD708" i="45"/>
  <c r="AD707" i="45"/>
  <c r="AD706" i="45"/>
  <c r="AJ705" i="45"/>
  <c r="AD705" i="45"/>
  <c r="AD704" i="45"/>
  <c r="AJ703" i="45"/>
  <c r="AD703" i="45"/>
  <c r="AJ702" i="45"/>
  <c r="AD702" i="45"/>
  <c r="AD701" i="45"/>
  <c r="AD700" i="45"/>
  <c r="BU522" i="45"/>
  <c r="BU520" i="45"/>
  <c r="AM696" i="45"/>
  <c r="AM695" i="45"/>
  <c r="AG696" i="45"/>
  <c r="AG695" i="45"/>
  <c r="AC696" i="45"/>
  <c r="AC695" i="45"/>
  <c r="H696" i="45"/>
  <c r="H695" i="45"/>
  <c r="AJ682" i="45"/>
  <c r="AD682" i="45"/>
  <c r="AD681" i="45"/>
  <c r="CH680" i="45"/>
  <c r="AI676" i="45"/>
  <c r="AI664" i="45"/>
  <c r="AI663" i="45"/>
  <c r="X667" i="45"/>
  <c r="W667" i="45"/>
  <c r="AJ666" i="45"/>
  <c r="AD666" i="45"/>
  <c r="AM664" i="45"/>
  <c r="AM663" i="45"/>
  <c r="AG664" i="45"/>
  <c r="AG663" i="45"/>
  <c r="AC664" i="45"/>
  <c r="AC663" i="45"/>
  <c r="AD651" i="45"/>
  <c r="CH648" i="45"/>
  <c r="BI648" i="45"/>
  <c r="BI647" i="45"/>
  <c r="AF648" i="45"/>
  <c r="AF647" i="45"/>
  <c r="CR647" i="45"/>
  <c r="CJ647" i="45"/>
  <c r="J647" i="45"/>
  <c r="AL647" i="45"/>
  <c r="AD645" i="45"/>
  <c r="AD644" i="45"/>
  <c r="AD643" i="45"/>
  <c r="AJ642" i="45"/>
  <c r="AD642" i="45"/>
  <c r="AD640" i="45"/>
  <c r="AL631" i="45"/>
  <c r="AD639" i="45"/>
  <c r="AD638" i="45"/>
  <c r="AD637" i="45"/>
  <c r="AD636" i="45"/>
  <c r="BQ522" i="45"/>
  <c r="AD634" i="45"/>
  <c r="AC633" i="45"/>
  <c r="Y633" i="45"/>
  <c r="CH632" i="45"/>
  <c r="AD627" i="45"/>
  <c r="AD626" i="45"/>
  <c r="BQ528" i="45"/>
  <c r="AJ624" i="45"/>
  <c r="AD624" i="45"/>
  <c r="I615" i="45"/>
  <c r="AD623" i="45"/>
  <c r="AD622" i="45"/>
  <c r="AD621" i="45"/>
  <c r="AD620" i="45"/>
  <c r="AD619" i="45"/>
  <c r="CJ615" i="45"/>
  <c r="AD612" i="45"/>
  <c r="AD610" i="45"/>
  <c r="AJ609" i="45"/>
  <c r="AD609" i="45"/>
  <c r="AD608" i="45"/>
  <c r="AD605" i="45"/>
  <c r="AJ603" i="45"/>
  <c r="AD603" i="45"/>
  <c r="AD601" i="45"/>
  <c r="BY599" i="45"/>
  <c r="BY598" i="45"/>
  <c r="BE520" i="45"/>
  <c r="AD600" i="45"/>
  <c r="CK599" i="45"/>
  <c r="CQ598" i="45"/>
  <c r="CI598" i="45"/>
  <c r="H583" i="45"/>
  <c r="H582" i="45"/>
  <c r="AJ585" i="45"/>
  <c r="AD585" i="45"/>
  <c r="BM583" i="45"/>
  <c r="BM582" i="45"/>
  <c r="CK583" i="45"/>
  <c r="CQ582" i="45"/>
  <c r="CI582" i="45"/>
  <c r="I582" i="45"/>
  <c r="AA529" i="45"/>
  <c r="AD570" i="45"/>
  <c r="AK570" i="45"/>
  <c r="AJ570" i="45"/>
  <c r="BM567" i="45"/>
  <c r="BM566" i="45"/>
  <c r="AF567" i="45"/>
  <c r="AF566" i="45"/>
  <c r="BM522" i="45"/>
  <c r="BM520" i="45"/>
  <c r="BM519" i="45"/>
  <c r="BM518" i="45"/>
  <c r="AO532" i="45"/>
  <c r="CJ531" i="45"/>
  <c r="CH531" i="45"/>
  <c r="AA531" i="45"/>
  <c r="J531" i="45"/>
  <c r="CJ530" i="45"/>
  <c r="CH530" i="45"/>
  <c r="AA530" i="45"/>
  <c r="CJ529" i="45"/>
  <c r="CH529" i="45"/>
  <c r="BE529" i="45"/>
  <c r="AH529" i="45"/>
  <c r="CJ528" i="45"/>
  <c r="CH528" i="45"/>
  <c r="AA528" i="45"/>
  <c r="CK527" i="45"/>
  <c r="CI527" i="45"/>
  <c r="J527" i="45"/>
  <c r="CK526" i="45"/>
  <c r="CI526" i="45"/>
  <c r="AH525" i="45"/>
  <c r="AA525" i="45"/>
  <c r="CK524" i="45"/>
  <c r="CI524" i="45"/>
  <c r="AI524" i="45"/>
  <c r="AC524" i="45"/>
  <c r="CK523" i="45"/>
  <c r="CI523" i="45"/>
  <c r="AI523" i="45"/>
  <c r="AC523" i="45"/>
  <c r="CJ522" i="45"/>
  <c r="CH522" i="45"/>
  <c r="AH522" i="45"/>
  <c r="X522" i="45"/>
  <c r="AH521" i="45"/>
  <c r="CJ520" i="45"/>
  <c r="CH520" i="45"/>
  <c r="BY520" i="45"/>
  <c r="AH520" i="45"/>
  <c r="BR519" i="45"/>
  <c r="BR518" i="45"/>
  <c r="BN519" i="45"/>
  <c r="BN518" i="45"/>
  <c r="BF519" i="45"/>
  <c r="BF518" i="45"/>
  <c r="BB519" i="45"/>
  <c r="BB518" i="45"/>
  <c r="AX519" i="45"/>
  <c r="AX518" i="45"/>
  <c r="AM501" i="45"/>
  <c r="AM500" i="45"/>
  <c r="AE501" i="45"/>
  <c r="AE500" i="45"/>
  <c r="AG485" i="45"/>
  <c r="AG484" i="45"/>
  <c r="AJ471" i="45"/>
  <c r="H39" i="19"/>
  <c r="I20" i="33"/>
  <c r="J59" i="31"/>
  <c r="L36" i="19"/>
  <c r="K23" i="32"/>
  <c r="M50" i="31"/>
  <c r="N50" i="31"/>
  <c r="M42" i="31"/>
  <c r="N42" i="31"/>
  <c r="K16" i="32"/>
  <c r="H15" i="19"/>
  <c r="J38" i="31"/>
  <c r="I8" i="34"/>
  <c r="M30" i="31"/>
  <c r="N30" i="31"/>
  <c r="L10" i="19"/>
  <c r="K10" i="32"/>
  <c r="H10" i="19"/>
  <c r="I10" i="19"/>
  <c r="J30" i="31"/>
  <c r="K30" i="31"/>
  <c r="I10" i="32"/>
  <c r="L9" i="19"/>
  <c r="K9" i="32"/>
  <c r="M29" i="31"/>
  <c r="N29" i="31"/>
  <c r="J29" i="31"/>
  <c r="H9" i="19"/>
  <c r="I9" i="32"/>
  <c r="H8" i="19"/>
  <c r="J13" i="31"/>
  <c r="K13" i="31"/>
  <c r="AK696" i="45"/>
  <c r="AK695" i="45"/>
  <c r="AJ697" i="45"/>
  <c r="AE696" i="45"/>
  <c r="AE695" i="45"/>
  <c r="AD697" i="45"/>
  <c r="AK664" i="45"/>
  <c r="AK663" i="45"/>
  <c r="AJ665" i="45"/>
  <c r="AJ664" i="45"/>
  <c r="AJ663" i="45"/>
  <c r="AE664" i="45"/>
  <c r="AE663" i="45"/>
  <c r="AD665" i="45"/>
  <c r="H632" i="45"/>
  <c r="H631" i="45"/>
  <c r="AI640" i="45"/>
  <c r="AI635" i="45"/>
  <c r="CX635" i="45"/>
  <c r="AG632" i="45"/>
  <c r="AG631" i="45"/>
  <c r="AM633" i="45"/>
  <c r="AM632" i="45"/>
  <c r="AM631" i="45"/>
  <c r="AE632" i="45"/>
  <c r="AE631" i="45"/>
  <c r="AK633" i="45"/>
  <c r="AB618" i="45"/>
  <c r="AA618" i="45"/>
  <c r="AN618" i="45"/>
  <c r="AG615" i="45"/>
  <c r="AG614" i="45"/>
  <c r="AM616" i="45"/>
  <c r="AM615" i="45"/>
  <c r="AM614" i="45"/>
  <c r="AE615" i="45"/>
  <c r="AE614" i="45"/>
  <c r="AK616" i="45"/>
  <c r="AC615" i="45"/>
  <c r="AC614" i="45"/>
  <c r="AI616" i="45"/>
  <c r="AK607" i="45"/>
  <c r="AJ607" i="45"/>
  <c r="BY525" i="45"/>
  <c r="AC605" i="45"/>
  <c r="AI605" i="45"/>
  <c r="AF583" i="45"/>
  <c r="AF582" i="45"/>
  <c r="AL584" i="45"/>
  <c r="AK569" i="45"/>
  <c r="AJ569" i="45"/>
  <c r="AD569" i="45"/>
  <c r="AD559" i="45"/>
  <c r="AK559" i="45"/>
  <c r="AJ559" i="45"/>
  <c r="AD558" i="45"/>
  <c r="AK558" i="45"/>
  <c r="AJ558" i="45"/>
  <c r="AD557" i="45"/>
  <c r="AK557" i="45"/>
  <c r="AJ557" i="45"/>
  <c r="AK553" i="45"/>
  <c r="AJ553" i="45"/>
  <c r="AD553" i="45"/>
  <c r="AM552" i="45"/>
  <c r="AD552" i="45"/>
  <c r="AK552" i="45"/>
  <c r="AM547" i="45"/>
  <c r="AM531" i="45"/>
  <c r="AG531" i="45"/>
  <c r="AM546" i="45"/>
  <c r="AK546" i="45"/>
  <c r="AM544" i="45"/>
  <c r="AI538" i="45"/>
  <c r="CX538" i="45"/>
  <c r="AD511" i="45"/>
  <c r="AK511" i="45"/>
  <c r="AJ511" i="45"/>
  <c r="AD508" i="45"/>
  <c r="AK508" i="45"/>
  <c r="AJ508" i="45"/>
  <c r="AD506" i="45"/>
  <c r="AK506" i="45"/>
  <c r="AJ506" i="45"/>
  <c r="AD504" i="45"/>
  <c r="AK504" i="45"/>
  <c r="AJ504" i="45"/>
  <c r="CX504" i="45"/>
  <c r="AI504" i="45"/>
  <c r="AF501" i="45"/>
  <c r="AF500" i="45"/>
  <c r="AL500" i="45"/>
  <c r="AL502" i="45"/>
  <c r="AC501" i="45"/>
  <c r="AC500" i="45"/>
  <c r="AI502" i="45"/>
  <c r="CX502" i="45"/>
  <c r="AK498" i="45"/>
  <c r="AJ498" i="45"/>
  <c r="AD498" i="45"/>
  <c r="AK497" i="45"/>
  <c r="AJ497" i="45"/>
  <c r="AD497" i="45"/>
  <c r="AK496" i="45"/>
  <c r="AJ496" i="45"/>
  <c r="AD496" i="45"/>
  <c r="J484" i="45"/>
  <c r="AL484" i="45"/>
  <c r="AL485" i="45"/>
  <c r="AK492" i="45"/>
  <c r="AJ492" i="45"/>
  <c r="AD492" i="45"/>
  <c r="AK491" i="45"/>
  <c r="AJ491" i="45"/>
  <c r="AD491" i="45"/>
  <c r="AK490" i="45"/>
  <c r="AJ490" i="45"/>
  <c r="AD490" i="45"/>
  <c r="AD487" i="45"/>
  <c r="AK487" i="45"/>
  <c r="AJ487" i="45"/>
  <c r="AK481" i="45"/>
  <c r="AK480" i="45"/>
  <c r="AD478" i="45"/>
  <c r="AK478" i="45"/>
  <c r="AJ478" i="45"/>
  <c r="AD477" i="45"/>
  <c r="AK477" i="45"/>
  <c r="AJ477" i="45"/>
  <c r="AL470" i="45"/>
  <c r="AE444" i="45"/>
  <c r="AK460" i="45"/>
  <c r="AD12" i="12"/>
  <c r="AH991" i="45"/>
  <c r="AC991" i="45"/>
  <c r="AI991" i="45"/>
  <c r="AI238" i="45"/>
  <c r="AD977" i="45"/>
  <c r="AD976" i="45"/>
  <c r="AD975" i="45"/>
  <c r="AD974" i="45"/>
  <c r="AD973" i="45"/>
  <c r="AD972" i="45"/>
  <c r="AC971" i="45"/>
  <c r="AI971" i="45"/>
  <c r="AI956" i="45"/>
  <c r="AC965" i="45"/>
  <c r="AI965" i="45"/>
  <c r="AC963" i="45"/>
  <c r="K950" i="45"/>
  <c r="AC927" i="45"/>
  <c r="AI927" i="45"/>
  <c r="AI526" i="45"/>
  <c r="AC921" i="45"/>
  <c r="CJ920" i="45"/>
  <c r="CH920" i="45"/>
  <c r="BU920" i="45"/>
  <c r="BU919" i="45"/>
  <c r="AL912" i="45"/>
  <c r="AC905" i="45"/>
  <c r="CJ904" i="45"/>
  <c r="CH904" i="45"/>
  <c r="AE897" i="45"/>
  <c r="AD897" i="45"/>
  <c r="CK888" i="45"/>
  <c r="BR888" i="45"/>
  <c r="BR887" i="45"/>
  <c r="BN888" i="45"/>
  <c r="BN887" i="45"/>
  <c r="BF888" i="45"/>
  <c r="BF887" i="45"/>
  <c r="BB888" i="45"/>
  <c r="BB887" i="45"/>
  <c r="AX888" i="45"/>
  <c r="AX887" i="45"/>
  <c r="AC873" i="45"/>
  <c r="CJ872" i="45"/>
  <c r="CH872" i="45"/>
  <c r="AC857" i="45"/>
  <c r="CJ856" i="45"/>
  <c r="CH856" i="45"/>
  <c r="AC841" i="45"/>
  <c r="DE841" i="45"/>
  <c r="CJ840" i="45"/>
  <c r="CH840" i="45"/>
  <c r="BQ3" i="45"/>
  <c r="Y825" i="45"/>
  <c r="CJ824" i="45"/>
  <c r="CH824" i="45"/>
  <c r="AC811" i="45"/>
  <c r="Y809" i="45"/>
  <c r="CJ808" i="45"/>
  <c r="CH808" i="45"/>
  <c r="AC800" i="45"/>
  <c r="AI800" i="45"/>
  <c r="AC793" i="45"/>
  <c r="CJ792" i="45"/>
  <c r="CH792" i="45"/>
  <c r="AC782" i="45"/>
  <c r="AI782" i="45"/>
  <c r="CK776" i="45"/>
  <c r="CI776" i="45"/>
  <c r="W761" i="45"/>
  <c r="W760" i="45"/>
  <c r="AC757" i="45"/>
  <c r="AI757" i="45"/>
  <c r="Y745" i="45"/>
  <c r="CJ744" i="45"/>
  <c r="CH744" i="45"/>
  <c r="AW744" i="45"/>
  <c r="AW743" i="45"/>
  <c r="AE740" i="45"/>
  <c r="AD740" i="45"/>
  <c r="K531" i="45"/>
  <c r="AE737" i="45"/>
  <c r="AE728" i="45"/>
  <c r="AE727" i="45"/>
  <c r="AC737" i="45"/>
  <c r="AI737" i="45"/>
  <c r="AC729" i="45"/>
  <c r="CJ728" i="45"/>
  <c r="CH728" i="45"/>
  <c r="BE728" i="45"/>
  <c r="BE727" i="45"/>
  <c r="AO728" i="45"/>
  <c r="AO727" i="45"/>
  <c r="AB713" i="45"/>
  <c r="AA713" i="45"/>
  <c r="CK712" i="45"/>
  <c r="CI712" i="45"/>
  <c r="AJ699" i="45"/>
  <c r="AD699" i="45"/>
  <c r="AD698" i="45"/>
  <c r="CX697" i="45"/>
  <c r="AF696" i="45"/>
  <c r="AD693" i="45"/>
  <c r="AK692" i="45"/>
  <c r="AJ692" i="45"/>
  <c r="AD691" i="45"/>
  <c r="AD690" i="45"/>
  <c r="AJ689" i="45"/>
  <c r="AD689" i="45"/>
  <c r="AD687" i="45"/>
  <c r="AD686" i="45"/>
  <c r="AD685" i="45"/>
  <c r="AD684" i="45"/>
  <c r="CX681" i="45"/>
  <c r="CJ680" i="45"/>
  <c r="AD677" i="45"/>
  <c r="AD676" i="45"/>
  <c r="AD675" i="45"/>
  <c r="AD674" i="45"/>
  <c r="AD673" i="45"/>
  <c r="AD671" i="45"/>
  <c r="AD670" i="45"/>
  <c r="AD669" i="45"/>
  <c r="AD668" i="45"/>
  <c r="X666" i="45"/>
  <c r="X521" i="45"/>
  <c r="CX665" i="45"/>
  <c r="AF664" i="45"/>
  <c r="AJ661" i="45"/>
  <c r="AD661" i="45"/>
  <c r="AJ660" i="45"/>
  <c r="AD660" i="45"/>
  <c r="AD659" i="45"/>
  <c r="AD658" i="45"/>
  <c r="AK657" i="45"/>
  <c r="AJ657" i="45"/>
  <c r="CX651" i="45"/>
  <c r="AN651" i="45"/>
  <c r="AB651" i="45"/>
  <c r="AA651" i="45"/>
  <c r="CZ649" i="45"/>
  <c r="AM648" i="45"/>
  <c r="AM647" i="45"/>
  <c r="AI649" i="45"/>
  <c r="AG648" i="45"/>
  <c r="AG647" i="45"/>
  <c r="H648" i="45"/>
  <c r="H647" i="45"/>
  <c r="AC645" i="45"/>
  <c r="AI645" i="45"/>
  <c r="AD635" i="45"/>
  <c r="BQ520" i="45"/>
  <c r="BQ519" i="45"/>
  <c r="BQ518" i="45"/>
  <c r="CJ632" i="45"/>
  <c r="AJ617" i="45"/>
  <c r="AD617" i="45"/>
  <c r="AD616" i="45"/>
  <c r="CH615" i="45"/>
  <c r="AA532" i="45"/>
  <c r="AE611" i="45"/>
  <c r="AD611" i="45"/>
  <c r="AI608" i="45"/>
  <c r="AC602" i="45"/>
  <c r="AD602" i="45"/>
  <c r="BI599" i="45"/>
  <c r="BI598" i="45"/>
  <c r="AF599" i="45"/>
  <c r="AF598" i="45"/>
  <c r="H599" i="45"/>
  <c r="H598" i="45"/>
  <c r="AG599" i="45"/>
  <c r="AG598" i="45"/>
  <c r="AD595" i="45"/>
  <c r="AD594" i="45"/>
  <c r="AJ593" i="45"/>
  <c r="AD593" i="45"/>
  <c r="AA527" i="45"/>
  <c r="AA526" i="45"/>
  <c r="AD588" i="45"/>
  <c r="AD587" i="45"/>
  <c r="CX584" i="45"/>
  <c r="AJ584" i="45"/>
  <c r="AD584" i="45"/>
  <c r="AI583" i="45"/>
  <c r="AI582" i="45"/>
  <c r="AD577" i="45"/>
  <c r="AD572" i="45"/>
  <c r="AD571" i="45"/>
  <c r="H567" i="45"/>
  <c r="CK532" i="45"/>
  <c r="CI532" i="45"/>
  <c r="CI531" i="45"/>
  <c r="CK530" i="45"/>
  <c r="CI530" i="45"/>
  <c r="CK529" i="45"/>
  <c r="CI529" i="45"/>
  <c r="CK528" i="45"/>
  <c r="CI528" i="45"/>
  <c r="AA524" i="45"/>
  <c r="CJ532" i="45"/>
  <c r="CH532" i="45"/>
  <c r="AH532" i="45"/>
  <c r="AH531" i="45"/>
  <c r="AH530" i="45"/>
  <c r="AH528" i="45"/>
  <c r="J528" i="45"/>
  <c r="CJ527" i="45"/>
  <c r="CH527" i="45"/>
  <c r="AH527" i="45"/>
  <c r="CJ526" i="45"/>
  <c r="CH526" i="45"/>
  <c r="AH526" i="45"/>
  <c r="CJ525" i="45"/>
  <c r="CH525" i="45"/>
  <c r="AL525" i="45"/>
  <c r="AF525" i="45"/>
  <c r="CJ524" i="45"/>
  <c r="CH524" i="45"/>
  <c r="AH524" i="45"/>
  <c r="CJ523" i="45"/>
  <c r="CH523" i="45"/>
  <c r="AH523" i="45"/>
  <c r="AA523" i="45"/>
  <c r="CK522" i="45"/>
  <c r="CI522" i="45"/>
  <c r="Y522" i="45"/>
  <c r="CJ521" i="45"/>
  <c r="CH521" i="45"/>
  <c r="Y521" i="45"/>
  <c r="CK520" i="45"/>
  <c r="CI520" i="45"/>
  <c r="CC520" i="45"/>
  <c r="CC519" i="45"/>
  <c r="CC518" i="45"/>
  <c r="BI520" i="45"/>
  <c r="T519" i="45"/>
  <c r="T518" i="45"/>
  <c r="J519" i="45"/>
  <c r="BZ519" i="45"/>
  <c r="BZ518" i="45"/>
  <c r="AO519" i="45"/>
  <c r="AO518" i="45"/>
  <c r="AK501" i="45"/>
  <c r="AK500" i="45"/>
  <c r="AG501" i="45"/>
  <c r="AG500" i="45"/>
  <c r="AI495" i="45"/>
  <c r="AM485" i="45"/>
  <c r="AM484" i="45"/>
  <c r="AE485" i="45"/>
  <c r="AE484" i="45"/>
  <c r="AJ482" i="45"/>
  <c r="AM470" i="45"/>
  <c r="AE469" i="45"/>
  <c r="AE468" i="45"/>
  <c r="AK470" i="45"/>
  <c r="AK449" i="45"/>
  <c r="AE449" i="45"/>
  <c r="AC448" i="45"/>
  <c r="AA464" i="45"/>
  <c r="CH446" i="45"/>
  <c r="AC462" i="45"/>
  <c r="AC445" i="45"/>
  <c r="AA461" i="45"/>
  <c r="AA459" i="45"/>
  <c r="W456" i="45"/>
  <c r="CZ456" i="45"/>
  <c r="CJ439" i="45"/>
  <c r="AF455" i="45"/>
  <c r="AD431" i="45"/>
  <c r="AK431" i="45"/>
  <c r="AJ431" i="45"/>
  <c r="AD429" i="45"/>
  <c r="AK429" i="45"/>
  <c r="AJ429" i="45"/>
  <c r="AD426" i="45"/>
  <c r="AK426" i="45"/>
  <c r="AJ426" i="45"/>
  <c r="AK423" i="45"/>
  <c r="AJ423" i="45"/>
  <c r="AD423" i="45"/>
  <c r="AD422" i="45"/>
  <c r="AK422" i="45"/>
  <c r="AJ422" i="45"/>
  <c r="AF419" i="45"/>
  <c r="AL420" i="45"/>
  <c r="AD416" i="45"/>
  <c r="AK416" i="45"/>
  <c r="AJ416" i="45"/>
  <c r="AD415" i="45"/>
  <c r="AK415" i="45"/>
  <c r="AJ415" i="45"/>
  <c r="AD413" i="45"/>
  <c r="AK413" i="45"/>
  <c r="AJ413" i="45"/>
  <c r="AD407" i="45"/>
  <c r="AK407" i="45"/>
  <c r="AJ407" i="45"/>
  <c r="AK405" i="45"/>
  <c r="AJ405" i="45"/>
  <c r="AD405" i="45"/>
  <c r="AG403" i="45"/>
  <c r="AG402" i="45"/>
  <c r="AM404" i="45"/>
  <c r="AM403" i="45"/>
  <c r="AM402" i="45"/>
  <c r="AD404" i="45"/>
  <c r="AE403" i="45"/>
  <c r="AE402" i="45"/>
  <c r="AK404" i="45"/>
  <c r="AD399" i="45"/>
  <c r="AK399" i="45"/>
  <c r="AJ399" i="45"/>
  <c r="AD397" i="45"/>
  <c r="AK397" i="45"/>
  <c r="AJ397" i="45"/>
  <c r="AK396" i="45"/>
  <c r="AJ396" i="45"/>
  <c r="AD396" i="45"/>
  <c r="AD394" i="45"/>
  <c r="AK394" i="45"/>
  <c r="AJ394" i="45"/>
  <c r="AD390" i="45"/>
  <c r="AK390" i="45"/>
  <c r="AJ390" i="45"/>
  <c r="AD389" i="45"/>
  <c r="AK389" i="45"/>
  <c r="AJ389" i="45"/>
  <c r="CP386" i="45"/>
  <c r="CH386" i="45"/>
  <c r="CH387" i="45"/>
  <c r="AF387" i="45"/>
  <c r="AF386" i="45"/>
  <c r="AL388" i="45"/>
  <c r="AD382" i="45"/>
  <c r="AK382" i="45"/>
  <c r="AJ382" i="45"/>
  <c r="AD378" i="45"/>
  <c r="AK378" i="45"/>
  <c r="AJ378" i="45"/>
  <c r="AD376" i="45"/>
  <c r="AK376" i="45"/>
  <c r="AD375" i="45"/>
  <c r="AK375" i="45"/>
  <c r="AJ375" i="45"/>
  <c r="AD374" i="45"/>
  <c r="AK374" i="45"/>
  <c r="AJ374" i="45"/>
  <c r="AN374" i="45"/>
  <c r="CX374" i="45"/>
  <c r="AI374" i="45"/>
  <c r="CY374" i="45"/>
  <c r="AL372" i="45"/>
  <c r="AM368" i="45"/>
  <c r="AM352" i="45"/>
  <c r="AG352" i="45"/>
  <c r="AK368" i="45"/>
  <c r="AE352" i="45"/>
  <c r="AD368" i="45"/>
  <c r="AM367" i="45"/>
  <c r="AM351" i="45"/>
  <c r="AG351" i="45"/>
  <c r="AK367" i="45"/>
  <c r="AE351" i="45"/>
  <c r="AM366" i="45"/>
  <c r="AM350" i="45"/>
  <c r="AG350" i="45"/>
  <c r="AK366" i="45"/>
  <c r="AE350" i="45"/>
  <c r="AM361" i="45"/>
  <c r="AM345" i="45"/>
  <c r="AG345" i="45"/>
  <c r="AK361" i="45"/>
  <c r="AE345" i="45"/>
  <c r="AM360" i="45"/>
  <c r="AG344" i="45"/>
  <c r="AK360" i="45"/>
  <c r="AE344" i="45"/>
  <c r="AF342" i="45"/>
  <c r="AL342" i="45"/>
  <c r="AL358" i="45"/>
  <c r="AC321" i="45"/>
  <c r="AC320" i="45"/>
  <c r="AI322" i="45"/>
  <c r="CX322" i="45"/>
  <c r="AO226" i="45"/>
  <c r="AO264" i="45"/>
  <c r="AO263" i="45"/>
  <c r="BY225" i="45"/>
  <c r="BY264" i="45"/>
  <c r="BY263" i="45"/>
  <c r="AD269" i="45"/>
  <c r="AC267" i="45"/>
  <c r="AI290" i="45"/>
  <c r="AC287" i="45"/>
  <c r="AC286" i="45"/>
  <c r="AI288" i="45"/>
  <c r="CX288" i="45"/>
  <c r="AL279" i="45"/>
  <c r="J263" i="45"/>
  <c r="AL239" i="45"/>
  <c r="Y568" i="45"/>
  <c r="CK567" i="45"/>
  <c r="CI567" i="45"/>
  <c r="AG564" i="45"/>
  <c r="AM564" i="45"/>
  <c r="AM532" i="45"/>
  <c r="AE564" i="45"/>
  <c r="AG562" i="45"/>
  <c r="AM562" i="45"/>
  <c r="AE562" i="45"/>
  <c r="AG561" i="45"/>
  <c r="AM561" i="45"/>
  <c r="AM529" i="45"/>
  <c r="AE561" i="45"/>
  <c r="AG560" i="45"/>
  <c r="AM560" i="45"/>
  <c r="AE560" i="45"/>
  <c r="AC554" i="45"/>
  <c r="AI554" i="45"/>
  <c r="AC552" i="45"/>
  <c r="CJ551" i="45"/>
  <c r="CH551" i="45"/>
  <c r="CC551" i="45"/>
  <c r="CC550" i="45"/>
  <c r="BM551" i="45"/>
  <c r="BM550" i="45"/>
  <c r="J551" i="45"/>
  <c r="H551" i="45"/>
  <c r="H550" i="45"/>
  <c r="AC548" i="45"/>
  <c r="AC532" i="45"/>
  <c r="AF547" i="45"/>
  <c r="AF546" i="45"/>
  <c r="AD546" i="45"/>
  <c r="AC545" i="45"/>
  <c r="AF544" i="45"/>
  <c r="AD544" i="45"/>
  <c r="AG543" i="45"/>
  <c r="AE543" i="45"/>
  <c r="AG542" i="45"/>
  <c r="AE542" i="45"/>
  <c r="AG540" i="45"/>
  <c r="AE540" i="45"/>
  <c r="AG539" i="45"/>
  <c r="AE539" i="45"/>
  <c r="AF538" i="45"/>
  <c r="AF537" i="45"/>
  <c r="AD537" i="45"/>
  <c r="AD521" i="45"/>
  <c r="AG536" i="45"/>
  <c r="AE536" i="45"/>
  <c r="AC536" i="45"/>
  <c r="CK535" i="45"/>
  <c r="CK534" i="45"/>
  <c r="CI535" i="45"/>
  <c r="CI534" i="45"/>
  <c r="BV535" i="45"/>
  <c r="BV534" i="45"/>
  <c r="J535" i="45"/>
  <c r="H535" i="45"/>
  <c r="H534" i="45"/>
  <c r="AE532" i="45"/>
  <c r="U532" i="45"/>
  <c r="U519" i="45"/>
  <c r="U518" i="45"/>
  <c r="CK531" i="45"/>
  <c r="CD531" i="45"/>
  <c r="CD519" i="45"/>
  <c r="CD518" i="45"/>
  <c r="BV531" i="45"/>
  <c r="BV519" i="45"/>
  <c r="BV518" i="45"/>
  <c r="AE529" i="45"/>
  <c r="K528" i="45"/>
  <c r="K519" i="45"/>
  <c r="K518" i="45"/>
  <c r="CK525" i="45"/>
  <c r="CI525" i="45"/>
  <c r="BI522" i="45"/>
  <c r="BE522" i="45"/>
  <c r="CK521" i="45"/>
  <c r="CI521" i="45"/>
  <c r="AJ502" i="45"/>
  <c r="AJ501" i="45"/>
  <c r="AJ500" i="45"/>
  <c r="AD502" i="45"/>
  <c r="AD501" i="45"/>
  <c r="AD500" i="45"/>
  <c r="BI501" i="45"/>
  <c r="BI500" i="45"/>
  <c r="AL501" i="45"/>
  <c r="CS500" i="45"/>
  <c r="CK500" i="45"/>
  <c r="CQ500" i="45"/>
  <c r="CI500" i="45"/>
  <c r="AI494" i="45"/>
  <c r="AJ486" i="45"/>
  <c r="AJ485" i="45"/>
  <c r="AJ484" i="45"/>
  <c r="AD486" i="45"/>
  <c r="AD485" i="45"/>
  <c r="AD484" i="45"/>
  <c r="BI485" i="45"/>
  <c r="BI484" i="45"/>
  <c r="CS484" i="45"/>
  <c r="CK484" i="45"/>
  <c r="CQ484" i="45"/>
  <c r="CI484" i="45"/>
  <c r="AD482" i="45"/>
  <c r="CJ448" i="45"/>
  <c r="CH448" i="45"/>
  <c r="AH448" i="45"/>
  <c r="AD479" i="45"/>
  <c r="AD476" i="45"/>
  <c r="AD475" i="45"/>
  <c r="AD473" i="45"/>
  <c r="CX472" i="45"/>
  <c r="AN472" i="45"/>
  <c r="AC470" i="45"/>
  <c r="AD470" i="45"/>
  <c r="CJ469" i="45"/>
  <c r="CK450" i="45"/>
  <c r="CI450" i="45"/>
  <c r="AH450" i="45"/>
  <c r="AH449" i="45"/>
  <c r="CK448" i="45"/>
  <c r="CI448" i="45"/>
  <c r="AI448" i="45"/>
  <c r="AG464" i="45"/>
  <c r="CJ447" i="45"/>
  <c r="CH447" i="45"/>
  <c r="AH447" i="45"/>
  <c r="CJ446" i="45"/>
  <c r="AF462" i="45"/>
  <c r="CK445" i="45"/>
  <c r="CI445" i="45"/>
  <c r="AI445" i="45"/>
  <c r="AG461" i="45"/>
  <c r="CJ444" i="45"/>
  <c r="CH444" i="45"/>
  <c r="AH444" i="45"/>
  <c r="CK443" i="45"/>
  <c r="CI443" i="45"/>
  <c r="AG459" i="45"/>
  <c r="CK442" i="45"/>
  <c r="CI442" i="45"/>
  <c r="AH442" i="45"/>
  <c r="CK441" i="45"/>
  <c r="CI441" i="45"/>
  <c r="AH441" i="45"/>
  <c r="CJ440" i="45"/>
  <c r="CH440" i="45"/>
  <c r="AH440" i="45"/>
  <c r="Y440" i="45"/>
  <c r="CH439" i="45"/>
  <c r="AM439" i="45"/>
  <c r="AG439" i="45"/>
  <c r="AC455" i="45"/>
  <c r="CJ438" i="45"/>
  <c r="CH438" i="45"/>
  <c r="BM438" i="45"/>
  <c r="AH438" i="45"/>
  <c r="X438" i="45"/>
  <c r="AO437" i="45"/>
  <c r="AO436" i="45"/>
  <c r="AI431" i="45"/>
  <c r="AI429" i="45"/>
  <c r="AI428" i="45"/>
  <c r="H231" i="45"/>
  <c r="AI425" i="45"/>
  <c r="U339" i="45"/>
  <c r="AJ412" i="45"/>
  <c r="AJ409" i="45"/>
  <c r="AD406" i="45"/>
  <c r="AF403" i="45"/>
  <c r="AJ391" i="45"/>
  <c r="BQ339" i="45"/>
  <c r="BQ338" i="45"/>
  <c r="AC352" i="45"/>
  <c r="AI350" i="45"/>
  <c r="AC350" i="45"/>
  <c r="CH348" i="45"/>
  <c r="AF347" i="45"/>
  <c r="AL347" i="45"/>
  <c r="AI344" i="45"/>
  <c r="AC344" i="45"/>
  <c r="CH342" i="45"/>
  <c r="AG341" i="45"/>
  <c r="BM339" i="45"/>
  <c r="BM338" i="45"/>
  <c r="AH339" i="45"/>
  <c r="AH338" i="45"/>
  <c r="AO339" i="45"/>
  <c r="AO338" i="45"/>
  <c r="K339" i="45"/>
  <c r="I339" i="45"/>
  <c r="I232" i="45"/>
  <c r="AL320" i="45"/>
  <c r="I236" i="45"/>
  <c r="BH233" i="45"/>
  <c r="BE233" i="45"/>
  <c r="AP233" i="45"/>
  <c r="K233" i="45"/>
  <c r="H232" i="45"/>
  <c r="AJ275" i="45"/>
  <c r="AH231" i="45"/>
  <c r="AH229" i="45"/>
  <c r="BY262" i="45"/>
  <c r="AL280" i="45"/>
  <c r="AO262" i="45"/>
  <c r="CE237" i="45"/>
  <c r="CC237" i="45"/>
  <c r="CA237" i="45"/>
  <c r="BY237" i="45"/>
  <c r="BW237" i="45"/>
  <c r="BU237" i="45"/>
  <c r="BS237" i="45"/>
  <c r="BQ237" i="45"/>
  <c r="BO237" i="45"/>
  <c r="BM237" i="45"/>
  <c r="BK237" i="45"/>
  <c r="BI237" i="45"/>
  <c r="BG237" i="45"/>
  <c r="BE237" i="45"/>
  <c r="BC237" i="45"/>
  <c r="BA237" i="45"/>
  <c r="AY237" i="45"/>
  <c r="AW237" i="45"/>
  <c r="AU237" i="45"/>
  <c r="AS237" i="45"/>
  <c r="AQ237" i="45"/>
  <c r="AO237" i="45"/>
  <c r="R237" i="45"/>
  <c r="P237" i="45"/>
  <c r="N237" i="45"/>
  <c r="L237" i="45"/>
  <c r="J237" i="45"/>
  <c r="CF236" i="45"/>
  <c r="CD236" i="45"/>
  <c r="CB236" i="45"/>
  <c r="BZ236" i="45"/>
  <c r="BX236" i="45"/>
  <c r="BV236" i="45"/>
  <c r="BT236" i="45"/>
  <c r="BR236" i="45"/>
  <c r="BP236" i="45"/>
  <c r="BM236" i="45"/>
  <c r="BK236" i="45"/>
  <c r="BI236" i="45"/>
  <c r="BG236" i="45"/>
  <c r="BC236" i="45"/>
  <c r="BA236" i="45"/>
  <c r="AY236" i="45"/>
  <c r="AW236" i="45"/>
  <c r="AU236" i="45"/>
  <c r="AS236" i="45"/>
  <c r="R236" i="45"/>
  <c r="P236" i="45"/>
  <c r="N236" i="45"/>
  <c r="L236" i="45"/>
  <c r="S235" i="45"/>
  <c r="Q235" i="45"/>
  <c r="O235" i="45"/>
  <c r="M235" i="45"/>
  <c r="K235" i="45"/>
  <c r="I235" i="45"/>
  <c r="CF234" i="45"/>
  <c r="CD234" i="45"/>
  <c r="CB234" i="45"/>
  <c r="BZ234" i="45"/>
  <c r="BX234" i="45"/>
  <c r="BV234" i="45"/>
  <c r="BT234" i="45"/>
  <c r="BR234" i="45"/>
  <c r="BP234" i="45"/>
  <c r="BN234" i="45"/>
  <c r="BL234" i="45"/>
  <c r="BJ234" i="45"/>
  <c r="BH234" i="45"/>
  <c r="BF234" i="45"/>
  <c r="BD234" i="45"/>
  <c r="BB234" i="45"/>
  <c r="AZ234" i="45"/>
  <c r="AX234" i="45"/>
  <c r="AV234" i="45"/>
  <c r="AT234" i="45"/>
  <c r="AR234" i="45"/>
  <c r="AP234" i="45"/>
  <c r="CJ233" i="45"/>
  <c r="BI233" i="45"/>
  <c r="AY233" i="45"/>
  <c r="AW233" i="45"/>
  <c r="AU233" i="45"/>
  <c r="AS233" i="45"/>
  <c r="AQ233" i="45"/>
  <c r="S233" i="45"/>
  <c r="Q233" i="45"/>
  <c r="O233" i="45"/>
  <c r="M233" i="45"/>
  <c r="BH232" i="45"/>
  <c r="BF232" i="45"/>
  <c r="BD232" i="45"/>
  <c r="BB232" i="45"/>
  <c r="AZ232" i="45"/>
  <c r="AX232" i="45"/>
  <c r="AV232" i="45"/>
  <c r="AT232" i="45"/>
  <c r="AR232" i="45"/>
  <c r="AP232" i="45"/>
  <c r="CJ231" i="45"/>
  <c r="CH231" i="45"/>
  <c r="CE231" i="45"/>
  <c r="CC231" i="45"/>
  <c r="CA231" i="45"/>
  <c r="BY231" i="45"/>
  <c r="BW231" i="45"/>
  <c r="BU231" i="45"/>
  <c r="BS231" i="45"/>
  <c r="BQ231" i="45"/>
  <c r="BO231" i="45"/>
  <c r="BM231" i="45"/>
  <c r="BK231" i="45"/>
  <c r="BI231" i="45"/>
  <c r="BG231" i="45"/>
  <c r="BE231" i="45"/>
  <c r="BC231" i="45"/>
  <c r="BA231" i="45"/>
  <c r="AY231" i="45"/>
  <c r="AW231" i="45"/>
  <c r="AU231" i="45"/>
  <c r="AS231" i="45"/>
  <c r="AQ231" i="45"/>
  <c r="AO231" i="45"/>
  <c r="BD230" i="45"/>
  <c r="BB230" i="45"/>
  <c r="AZ230" i="45"/>
  <c r="AX230" i="45"/>
  <c r="AV230" i="45"/>
  <c r="AT230" i="45"/>
  <c r="AR230" i="45"/>
  <c r="AP230" i="45"/>
  <c r="S229" i="45"/>
  <c r="Q229" i="45"/>
  <c r="O229" i="45"/>
  <c r="M229" i="45"/>
  <c r="K229" i="45"/>
  <c r="I229" i="45"/>
  <c r="CK228" i="45"/>
  <c r="CI228" i="45"/>
  <c r="CF228" i="45"/>
  <c r="CD228" i="45"/>
  <c r="CB228" i="45"/>
  <c r="BZ228" i="45"/>
  <c r="BX228" i="45"/>
  <c r="BV228" i="45"/>
  <c r="BT228" i="45"/>
  <c r="BR228" i="45"/>
  <c r="BP228" i="45"/>
  <c r="BN228" i="45"/>
  <c r="BL228" i="45"/>
  <c r="BJ228" i="45"/>
  <c r="BH228" i="45"/>
  <c r="BF228" i="45"/>
  <c r="BD228" i="45"/>
  <c r="BB228" i="45"/>
  <c r="AZ228" i="45"/>
  <c r="AX228" i="45"/>
  <c r="AV228" i="45"/>
  <c r="AT228" i="45"/>
  <c r="AR228" i="45"/>
  <c r="AP228" i="45"/>
  <c r="AJ253" i="45"/>
  <c r="AI241" i="45"/>
  <c r="BE443" i="45"/>
  <c r="BE230" i="45"/>
  <c r="AC475" i="45"/>
  <c r="AI475" i="45"/>
  <c r="AI443" i="45"/>
  <c r="CH450" i="45"/>
  <c r="CH237" i="45"/>
  <c r="AC466" i="45"/>
  <c r="CJ449" i="45"/>
  <c r="AF465" i="45"/>
  <c r="AL464" i="45"/>
  <c r="AK448" i="45"/>
  <c r="AE448" i="45"/>
  <c r="AD464" i="45"/>
  <c r="AC447" i="45"/>
  <c r="AA463" i="45"/>
  <c r="AK445" i="45"/>
  <c r="AE445" i="45"/>
  <c r="J445" i="45"/>
  <c r="J232" i="45"/>
  <c r="J453" i="45"/>
  <c r="AC444" i="45"/>
  <c r="AA460" i="45"/>
  <c r="AK443" i="45"/>
  <c r="AE443" i="45"/>
  <c r="AE230" i="45"/>
  <c r="CH442" i="45"/>
  <c r="AC458" i="45"/>
  <c r="CH441" i="45"/>
  <c r="AC457" i="45"/>
  <c r="CK440" i="45"/>
  <c r="AG456" i="45"/>
  <c r="CI440" i="45"/>
  <c r="AE456" i="45"/>
  <c r="AK439" i="45"/>
  <c r="AE439" i="45"/>
  <c r="AD455" i="45"/>
  <c r="Q3" i="45"/>
  <c r="CZ438" i="45"/>
  <c r="W438" i="45"/>
  <c r="AD432" i="45"/>
  <c r="AK432" i="45"/>
  <c r="AJ432" i="45"/>
  <c r="AD430" i="45"/>
  <c r="AK430" i="45"/>
  <c r="AJ430" i="45"/>
  <c r="AD428" i="45"/>
  <c r="AK428" i="45"/>
  <c r="AJ428" i="45"/>
  <c r="AD427" i="45"/>
  <c r="AK427" i="45"/>
  <c r="AJ427" i="45"/>
  <c r="AD425" i="45"/>
  <c r="AK425" i="45"/>
  <c r="AJ425" i="45"/>
  <c r="AD424" i="45"/>
  <c r="AK424" i="45"/>
  <c r="AJ424" i="45"/>
  <c r="AK421" i="45"/>
  <c r="AJ421" i="45"/>
  <c r="AD421" i="45"/>
  <c r="AM420" i="45"/>
  <c r="AM419" i="45"/>
  <c r="AM418" i="45"/>
  <c r="AG419" i="45"/>
  <c r="AG418" i="45"/>
  <c r="AK420" i="45"/>
  <c r="AE419" i="45"/>
  <c r="AE418" i="45"/>
  <c r="AD420" i="45"/>
  <c r="BV2" i="45"/>
  <c r="CA4" i="45"/>
  <c r="BU418" i="45"/>
  <c r="AK414" i="45"/>
  <c r="AJ414" i="45"/>
  <c r="AD414" i="45"/>
  <c r="AK411" i="45"/>
  <c r="AJ411" i="45"/>
  <c r="AD411" i="45"/>
  <c r="AK410" i="45"/>
  <c r="AJ410" i="45"/>
  <c r="AD410" i="45"/>
  <c r="AK408" i="45"/>
  <c r="AJ408" i="45"/>
  <c r="AD408" i="45"/>
  <c r="AI406" i="45"/>
  <c r="CY406" i="45"/>
  <c r="CX406" i="45"/>
  <c r="AN406" i="45"/>
  <c r="AN404" i="45"/>
  <c r="AC403" i="45"/>
  <c r="AC402" i="45"/>
  <c r="AI404" i="45"/>
  <c r="CX404" i="45"/>
  <c r="AD400" i="45"/>
  <c r="AK400" i="45"/>
  <c r="AJ400" i="45"/>
  <c r="AD398" i="45"/>
  <c r="AK398" i="45"/>
  <c r="AJ398" i="45"/>
  <c r="AD395" i="45"/>
  <c r="AK395" i="45"/>
  <c r="AJ395" i="45"/>
  <c r="AD393" i="45"/>
  <c r="AK393" i="45"/>
  <c r="AJ393" i="45"/>
  <c r="AK392" i="45"/>
  <c r="AJ392" i="45"/>
  <c r="AD392" i="45"/>
  <c r="AG387" i="45"/>
  <c r="AG386" i="45"/>
  <c r="AM388" i="45"/>
  <c r="AM387" i="45"/>
  <c r="AM386" i="45"/>
  <c r="AE387" i="45"/>
  <c r="AE386" i="45"/>
  <c r="AK388" i="45"/>
  <c r="AD388" i="45"/>
  <c r="AK384" i="45"/>
  <c r="AK383" i="45"/>
  <c r="AJ383" i="45"/>
  <c r="AD383" i="45"/>
  <c r="AK381" i="45"/>
  <c r="AJ381" i="45"/>
  <c r="AD381" i="45"/>
  <c r="AK379" i="45"/>
  <c r="AJ379" i="45"/>
  <c r="AD379" i="45"/>
  <c r="AK377" i="45"/>
  <c r="AJ377" i="45"/>
  <c r="AD377" i="45"/>
  <c r="AD373" i="45"/>
  <c r="AK373" i="45"/>
  <c r="AJ373" i="45"/>
  <c r="AG371" i="45"/>
  <c r="AG370" i="45"/>
  <c r="AM372" i="45"/>
  <c r="AD372" i="45"/>
  <c r="AK372" i="45"/>
  <c r="AN372" i="45"/>
  <c r="CX372" i="45"/>
  <c r="AI372" i="45"/>
  <c r="AL368" i="45"/>
  <c r="I303" i="45"/>
  <c r="F25" i="4"/>
  <c r="AI307" i="45"/>
  <c r="AN307" i="45"/>
  <c r="CX307" i="45"/>
  <c r="BQ225" i="45"/>
  <c r="BQ264" i="45"/>
  <c r="BQ263" i="45"/>
  <c r="BQ262" i="45"/>
  <c r="F82" i="4"/>
  <c r="I286" i="45"/>
  <c r="AD267" i="45"/>
  <c r="BM225" i="45"/>
  <c r="G117" i="4"/>
  <c r="AI281" i="45"/>
  <c r="CK696" i="45"/>
  <c r="CI696" i="45"/>
  <c r="CK680" i="45"/>
  <c r="CI680" i="45"/>
  <c r="CK664" i="45"/>
  <c r="CI664" i="45"/>
  <c r="CK648" i="45"/>
  <c r="CI648" i="45"/>
  <c r="CK615" i="45"/>
  <c r="CI615" i="45"/>
  <c r="AC600" i="45"/>
  <c r="CJ599" i="45"/>
  <c r="CH599" i="45"/>
  <c r="BE599" i="45"/>
  <c r="BE598" i="45"/>
  <c r="Y584" i="45"/>
  <c r="CJ583" i="45"/>
  <c r="CH583" i="45"/>
  <c r="CZ570" i="45"/>
  <c r="CX570" i="45"/>
  <c r="AC568" i="45"/>
  <c r="CJ567" i="45"/>
  <c r="CH567" i="45"/>
  <c r="AE563" i="45"/>
  <c r="CZ554" i="45"/>
  <c r="CX554" i="45"/>
  <c r="W554" i="45"/>
  <c r="W522" i="45"/>
  <c r="CZ552" i="45"/>
  <c r="CX552" i="45"/>
  <c r="CK551" i="45"/>
  <c r="CI551" i="45"/>
  <c r="AF548" i="45"/>
  <c r="AD548" i="45"/>
  <c r="AC547" i="45"/>
  <c r="AC531" i="45"/>
  <c r="AC546" i="45"/>
  <c r="AF545" i="45"/>
  <c r="AD545" i="45"/>
  <c r="AK544" i="45"/>
  <c r="AC544" i="45"/>
  <c r="AF543" i="45"/>
  <c r="AF527" i="45"/>
  <c r="AF542" i="45"/>
  <c r="AC541" i="45"/>
  <c r="AF540" i="45"/>
  <c r="AF539" i="45"/>
  <c r="AG538" i="45"/>
  <c r="AE538" i="45"/>
  <c r="AC537" i="45"/>
  <c r="AF536" i="45"/>
  <c r="Y536" i="45"/>
  <c r="Y520" i="45"/>
  <c r="CJ535" i="45"/>
  <c r="CJ534" i="45"/>
  <c r="CH535" i="45"/>
  <c r="CH534" i="45"/>
  <c r="CC535" i="45"/>
  <c r="CC534" i="45"/>
  <c r="BY535" i="45"/>
  <c r="BY534" i="45"/>
  <c r="BU535" i="45"/>
  <c r="BU534" i="45"/>
  <c r="BI535" i="45"/>
  <c r="BI534" i="45"/>
  <c r="BE535" i="45"/>
  <c r="BE534" i="45"/>
  <c r="AO535" i="45"/>
  <c r="AO534" i="45"/>
  <c r="CK449" i="45"/>
  <c r="CI449" i="45"/>
  <c r="AG481" i="45"/>
  <c r="AM481" i="45"/>
  <c r="AD472" i="45"/>
  <c r="AD471" i="45"/>
  <c r="CH469" i="45"/>
  <c r="BE469" i="45"/>
  <c r="BE468" i="45"/>
  <c r="CJ450" i="45"/>
  <c r="CJ237" i="45"/>
  <c r="AF466" i="45"/>
  <c r="CH449" i="45"/>
  <c r="AM449" i="45"/>
  <c r="AM236" i="45"/>
  <c r="AG449" i="45"/>
  <c r="AG236" i="45"/>
  <c r="AC465" i="45"/>
  <c r="CK447" i="45"/>
  <c r="CK234" i="45"/>
  <c r="CI447" i="45"/>
  <c r="CI234" i="45"/>
  <c r="AI447" i="45"/>
  <c r="AG463" i="45"/>
  <c r="CK446" i="45"/>
  <c r="CI446" i="45"/>
  <c r="AH446" i="45"/>
  <c r="AH233" i="45"/>
  <c r="CJ445" i="45"/>
  <c r="CH445" i="45"/>
  <c r="AH445" i="45"/>
  <c r="CK444" i="45"/>
  <c r="CI444" i="45"/>
  <c r="AI444" i="45"/>
  <c r="AG460" i="45"/>
  <c r="CJ443" i="45"/>
  <c r="CH443" i="45"/>
  <c r="AH443" i="45"/>
  <c r="CJ442" i="45"/>
  <c r="AF458" i="45"/>
  <c r="CJ441" i="45"/>
  <c r="AF457" i="45"/>
  <c r="BM440" i="45"/>
  <c r="AF440" i="45"/>
  <c r="AL440" i="45"/>
  <c r="X440" i="45"/>
  <c r="CK439" i="45"/>
  <c r="CI439" i="45"/>
  <c r="AH439" i="45"/>
  <c r="CK438" i="45"/>
  <c r="CI438" i="45"/>
  <c r="BI438" i="45"/>
  <c r="BI437" i="45"/>
  <c r="BI436" i="45"/>
  <c r="Y438" i="45"/>
  <c r="J437" i="45"/>
  <c r="H228" i="45"/>
  <c r="AD417" i="45"/>
  <c r="AI416" i="45"/>
  <c r="AI352" i="45"/>
  <c r="AI413" i="45"/>
  <c r="AD412" i="45"/>
  <c r="AD409" i="45"/>
  <c r="AJ406" i="45"/>
  <c r="AD391" i="45"/>
  <c r="AC390" i="45"/>
  <c r="BU339" i="45"/>
  <c r="AL386" i="45"/>
  <c r="AE347" i="45"/>
  <c r="H230" i="45"/>
  <c r="AM341" i="45"/>
  <c r="AE341" i="45"/>
  <c r="BI339" i="45"/>
  <c r="BI338" i="45"/>
  <c r="AP339" i="45"/>
  <c r="AP338" i="45"/>
  <c r="J339" i="45"/>
  <c r="H237" i="45"/>
  <c r="BJ233" i="45"/>
  <c r="BN236" i="45"/>
  <c r="BE236" i="45"/>
  <c r="K236" i="45"/>
  <c r="CH233" i="45"/>
  <c r="BF233" i="45"/>
  <c r="BA233" i="45"/>
  <c r="K232" i="45"/>
  <c r="BQ227" i="45"/>
  <c r="AH237" i="45"/>
  <c r="AH235" i="45"/>
  <c r="AJ271" i="45"/>
  <c r="AJ269" i="45"/>
  <c r="AM226" i="45"/>
  <c r="AC282" i="45"/>
  <c r="AI282" i="45"/>
  <c r="CF237" i="45"/>
  <c r="CD237" i="45"/>
  <c r="CB237" i="45"/>
  <c r="BZ237" i="45"/>
  <c r="BX237" i="45"/>
  <c r="BV237" i="45"/>
  <c r="BT237" i="45"/>
  <c r="BR237" i="45"/>
  <c r="BP237" i="45"/>
  <c r="BN237" i="45"/>
  <c r="BL237" i="45"/>
  <c r="BJ237" i="45"/>
  <c r="BH237" i="45"/>
  <c r="BF237" i="45"/>
  <c r="BD237" i="45"/>
  <c r="BB237" i="45"/>
  <c r="AZ237" i="45"/>
  <c r="AX237" i="45"/>
  <c r="AV237" i="45"/>
  <c r="AT237" i="45"/>
  <c r="AR237" i="45"/>
  <c r="AP237" i="45"/>
  <c r="S237" i="45"/>
  <c r="Q237" i="45"/>
  <c r="O237" i="45"/>
  <c r="M237" i="45"/>
  <c r="K237" i="45"/>
  <c r="I237" i="45"/>
  <c r="CJ236" i="45"/>
  <c r="CH236" i="45"/>
  <c r="CE236" i="45"/>
  <c r="CC236" i="45"/>
  <c r="CA236" i="45"/>
  <c r="BY236" i="45"/>
  <c r="BW236" i="45"/>
  <c r="BU236" i="45"/>
  <c r="BS236" i="45"/>
  <c r="BQ236" i="45"/>
  <c r="BO236" i="45"/>
  <c r="BL236" i="45"/>
  <c r="BJ236" i="45"/>
  <c r="BH236" i="45"/>
  <c r="BD236" i="45"/>
  <c r="BB236" i="45"/>
  <c r="AZ236" i="45"/>
  <c r="AX236" i="45"/>
  <c r="AV236" i="45"/>
  <c r="AT236" i="45"/>
  <c r="AR236" i="45"/>
  <c r="AP236" i="45"/>
  <c r="J236" i="45"/>
  <c r="CJ235" i="45"/>
  <c r="CH235" i="45"/>
  <c r="CE235" i="45"/>
  <c r="CC235" i="45"/>
  <c r="CA235" i="45"/>
  <c r="BY235" i="45"/>
  <c r="BW235" i="45"/>
  <c r="BU235" i="45"/>
  <c r="BS235" i="45"/>
  <c r="BQ235" i="45"/>
  <c r="BO235" i="45"/>
  <c r="BM235" i="45"/>
  <c r="BK235" i="45"/>
  <c r="BI235" i="45"/>
  <c r="BG235" i="45"/>
  <c r="BE235" i="45"/>
  <c r="BC235" i="45"/>
  <c r="BA235" i="45"/>
  <c r="AY235" i="45"/>
  <c r="AW235" i="45"/>
  <c r="AU235" i="45"/>
  <c r="AS235" i="45"/>
  <c r="AQ235" i="45"/>
  <c r="AO235" i="45"/>
  <c r="R234" i="45"/>
  <c r="P234" i="45"/>
  <c r="N234" i="45"/>
  <c r="L234" i="45"/>
  <c r="J234" i="45"/>
  <c r="CE233" i="45"/>
  <c r="CC233" i="45"/>
  <c r="CA233" i="45"/>
  <c r="BY233" i="45"/>
  <c r="BW233" i="45"/>
  <c r="BU233" i="45"/>
  <c r="BS233" i="45"/>
  <c r="BQ233" i="45"/>
  <c r="BO233" i="45"/>
  <c r="BM233" i="45"/>
  <c r="BK233" i="45"/>
  <c r="BG233" i="45"/>
  <c r="BC233" i="45"/>
  <c r="AO233" i="45"/>
  <c r="CK232" i="45"/>
  <c r="CF232" i="45"/>
  <c r="CD232" i="45"/>
  <c r="CB232" i="45"/>
  <c r="BZ232" i="45"/>
  <c r="BX232" i="45"/>
  <c r="BV232" i="45"/>
  <c r="BT232" i="45"/>
  <c r="BR232" i="45"/>
  <c r="BP232" i="45"/>
  <c r="BN232" i="45"/>
  <c r="BL232" i="45"/>
  <c r="R232" i="45"/>
  <c r="P232" i="45"/>
  <c r="N232" i="45"/>
  <c r="L232" i="45"/>
  <c r="S231" i="45"/>
  <c r="Q231" i="45"/>
  <c r="O231" i="45"/>
  <c r="M231" i="45"/>
  <c r="K231" i="45"/>
  <c r="I231" i="45"/>
  <c r="CF230" i="45"/>
  <c r="CD230" i="45"/>
  <c r="CB230" i="45"/>
  <c r="BZ230" i="45"/>
  <c r="BX230" i="45"/>
  <c r="BV230" i="45"/>
  <c r="BT230" i="45"/>
  <c r="BR230" i="45"/>
  <c r="BP230" i="45"/>
  <c r="BN230" i="45"/>
  <c r="BL230" i="45"/>
  <c r="BJ230" i="45"/>
  <c r="BH230" i="45"/>
  <c r="BF230" i="45"/>
  <c r="R230" i="45"/>
  <c r="P230" i="45"/>
  <c r="N230" i="45"/>
  <c r="L230" i="45"/>
  <c r="J230" i="45"/>
  <c r="CJ229" i="45"/>
  <c r="CH229" i="45"/>
  <c r="CE229" i="45"/>
  <c r="CC229" i="45"/>
  <c r="CA229" i="45"/>
  <c r="BY229" i="45"/>
  <c r="BW229" i="45"/>
  <c r="BU229" i="45"/>
  <c r="BS229" i="45"/>
  <c r="BQ229" i="45"/>
  <c r="BO229" i="45"/>
  <c r="BM229" i="45"/>
  <c r="BK229" i="45"/>
  <c r="BI229" i="45"/>
  <c r="BG229" i="45"/>
  <c r="BE229" i="45"/>
  <c r="BC229" i="45"/>
  <c r="BA229" i="45"/>
  <c r="AY229" i="45"/>
  <c r="AW229" i="45"/>
  <c r="AU229" i="45"/>
  <c r="AS229" i="45"/>
  <c r="AQ229" i="45"/>
  <c r="AO229" i="45"/>
  <c r="BN264" i="45"/>
  <c r="BN263" i="45"/>
  <c r="BN262" i="45"/>
  <c r="BH264" i="45"/>
  <c r="BH263" i="45"/>
  <c r="BH262" i="45"/>
  <c r="AP264" i="45"/>
  <c r="AP263" i="45"/>
  <c r="AP262" i="45"/>
  <c r="AG239" i="45"/>
  <c r="AE239" i="45"/>
  <c r="X205" i="45"/>
  <c r="Y205" i="45"/>
  <c r="AN205" i="45"/>
  <c r="CX205" i="45"/>
  <c r="J182" i="45"/>
  <c r="AL182" i="45"/>
  <c r="AL183" i="45"/>
  <c r="AI184" i="45"/>
  <c r="CX184" i="45"/>
  <c r="AL167" i="45"/>
  <c r="J166" i="45"/>
  <c r="AL166" i="45"/>
  <c r="AI170" i="45"/>
  <c r="CX170" i="45"/>
  <c r="CX168" i="45"/>
  <c r="AI168" i="45"/>
  <c r="DA168" i="45"/>
  <c r="AL151" i="45"/>
  <c r="J150" i="45"/>
  <c r="AL150" i="45"/>
  <c r="CX152" i="45"/>
  <c r="X156" i="45"/>
  <c r="AF480" i="45"/>
  <c r="AL480" i="45"/>
  <c r="AG466" i="45"/>
  <c r="AE466" i="45"/>
  <c r="AF463" i="45"/>
  <c r="AG462" i="45"/>
  <c r="AE462" i="45"/>
  <c r="AF461" i="45"/>
  <c r="AF445" i="45"/>
  <c r="AF460" i="45"/>
  <c r="AF459" i="45"/>
  <c r="AG458" i="45"/>
  <c r="AE458" i="45"/>
  <c r="AG457" i="45"/>
  <c r="AE457" i="45"/>
  <c r="AC456" i="45"/>
  <c r="AG454" i="45"/>
  <c r="AE454" i="45"/>
  <c r="AC454" i="45"/>
  <c r="W454" i="45"/>
  <c r="W453" i="45"/>
  <c r="CK453" i="45"/>
  <c r="CK452" i="45"/>
  <c r="CI453" i="45"/>
  <c r="CI452" i="45"/>
  <c r="Y453" i="45"/>
  <c r="H453" i="45"/>
  <c r="H452" i="45"/>
  <c r="AC426" i="45"/>
  <c r="AI426" i="45"/>
  <c r="CZ420" i="45"/>
  <c r="CK419" i="45"/>
  <c r="CI419" i="45"/>
  <c r="CR402" i="45"/>
  <c r="CJ402" i="45"/>
  <c r="CP402" i="45"/>
  <c r="CH402" i="45"/>
  <c r="AC399" i="45"/>
  <c r="AC351" i="45"/>
  <c r="AC397" i="45"/>
  <c r="AI397" i="45"/>
  <c r="AC395" i="45"/>
  <c r="AI395" i="45"/>
  <c r="AC393" i="45"/>
  <c r="AI393" i="45"/>
  <c r="AI345" i="45"/>
  <c r="CH388" i="45"/>
  <c r="AC388" i="45"/>
  <c r="BU387" i="45"/>
  <c r="BQ387" i="45"/>
  <c r="BQ386" i="45"/>
  <c r="BI387" i="45"/>
  <c r="BI386" i="45"/>
  <c r="AL387" i="45"/>
  <c r="CS386" i="45"/>
  <c r="CK386" i="45"/>
  <c r="CQ386" i="45"/>
  <c r="CI386" i="45"/>
  <c r="AF384" i="45"/>
  <c r="AL384" i="45"/>
  <c r="AM380" i="45"/>
  <c r="AE380" i="45"/>
  <c r="AD380" i="45"/>
  <c r="AC380" i="45"/>
  <c r="AI380" i="45"/>
  <c r="AM376" i="45"/>
  <c r="CK371" i="45"/>
  <c r="CI371" i="45"/>
  <c r="BF371" i="45"/>
  <c r="BF370" i="45"/>
  <c r="AP371" i="45"/>
  <c r="AP370" i="45"/>
  <c r="K371" i="45"/>
  <c r="K370" i="45"/>
  <c r="AF367" i="45"/>
  <c r="AF366" i="45"/>
  <c r="AD366" i="45"/>
  <c r="AD350" i="45"/>
  <c r="AG365" i="45"/>
  <c r="AE365" i="45"/>
  <c r="AC365" i="45"/>
  <c r="AC349" i="45"/>
  <c r="AG364" i="45"/>
  <c r="AE364" i="45"/>
  <c r="AC364" i="45"/>
  <c r="AG363" i="45"/>
  <c r="AC363" i="45"/>
  <c r="AC347" i="45"/>
  <c r="AG362" i="45"/>
  <c r="AE362" i="45"/>
  <c r="AC362" i="45"/>
  <c r="AF361" i="45"/>
  <c r="AF360" i="45"/>
  <c r="AG359" i="45"/>
  <c r="AE359" i="45"/>
  <c r="AC359" i="45"/>
  <c r="AG358" i="45"/>
  <c r="AE358" i="45"/>
  <c r="AC358" i="45"/>
  <c r="AF357" i="45"/>
  <c r="AF356" i="45"/>
  <c r="CJ355" i="45"/>
  <c r="CJ354" i="45"/>
  <c r="CH355" i="45"/>
  <c r="CH354" i="45"/>
  <c r="BY355" i="45"/>
  <c r="BY354" i="45"/>
  <c r="BM355" i="45"/>
  <c r="BM354" i="45"/>
  <c r="BI355" i="45"/>
  <c r="BI354" i="45"/>
  <c r="AO355" i="45"/>
  <c r="AO354" i="45"/>
  <c r="CK352" i="45"/>
  <c r="CK237" i="45"/>
  <c r="CI352" i="45"/>
  <c r="CI237" i="45"/>
  <c r="CK351" i="45"/>
  <c r="CK236" i="45"/>
  <c r="CI351" i="45"/>
  <c r="CI236" i="45"/>
  <c r="BF351" i="45"/>
  <c r="BF339" i="45"/>
  <c r="BF338" i="45"/>
  <c r="CK350" i="45"/>
  <c r="CI350" i="45"/>
  <c r="CI347" i="45"/>
  <c r="CI232" i="45"/>
  <c r="CK345" i="45"/>
  <c r="CK230" i="45"/>
  <c r="CI345" i="45"/>
  <c r="CI230" i="45"/>
  <c r="CK344" i="45"/>
  <c r="CI344" i="45"/>
  <c r="CJ342" i="45"/>
  <c r="CJ339" i="45"/>
  <c r="CJ338" i="45"/>
  <c r="H226" i="45"/>
  <c r="CK340" i="45"/>
  <c r="CK339" i="45"/>
  <c r="CK338" i="45"/>
  <c r="CI340" i="45"/>
  <c r="CI339" i="45"/>
  <c r="CI338" i="45"/>
  <c r="AI334" i="45"/>
  <c r="AI331" i="45"/>
  <c r="AM329" i="45"/>
  <c r="AM321" i="45"/>
  <c r="AM320" i="45"/>
  <c r="AE329" i="45"/>
  <c r="AJ322" i="45"/>
  <c r="AD322" i="45"/>
  <c r="BM321" i="45"/>
  <c r="BM320" i="45"/>
  <c r="AL321" i="45"/>
  <c r="AG313" i="45"/>
  <c r="AG304" i="45"/>
  <c r="AG303" i="45"/>
  <c r="AE313" i="45"/>
  <c r="AC313" i="45"/>
  <c r="AI313" i="45"/>
  <c r="AM312" i="45"/>
  <c r="AJ306" i="45"/>
  <c r="AD306" i="45"/>
  <c r="CZ305" i="45"/>
  <c r="AC305" i="45"/>
  <c r="AI305" i="45"/>
  <c r="W305" i="45"/>
  <c r="W304" i="45"/>
  <c r="BY304" i="45"/>
  <c r="BN304" i="45"/>
  <c r="BN303" i="45"/>
  <c r="BE304" i="45"/>
  <c r="BE303" i="45"/>
  <c r="BA304" i="45"/>
  <c r="BA303" i="45"/>
  <c r="AO304" i="45"/>
  <c r="AO303" i="45"/>
  <c r="AF304" i="45"/>
  <c r="AF303" i="45"/>
  <c r="AL303" i="45"/>
  <c r="K304" i="45"/>
  <c r="K303" i="45"/>
  <c r="AJ300" i="45"/>
  <c r="AJ277" i="45"/>
  <c r="AD300" i="45"/>
  <c r="AI299" i="45"/>
  <c r="AJ297" i="45"/>
  <c r="AJ274" i="45"/>
  <c r="AH234" i="45"/>
  <c r="AD297" i="45"/>
  <c r="AK296" i="45"/>
  <c r="H233" i="45"/>
  <c r="AJ295" i="45"/>
  <c r="AH232" i="45"/>
  <c r="AF232" i="45"/>
  <c r="AD295" i="45"/>
  <c r="AJ293" i="45"/>
  <c r="AJ270" i="45"/>
  <c r="AH230" i="45"/>
  <c r="AD293" i="45"/>
  <c r="AJ291" i="45"/>
  <c r="AJ268" i="45"/>
  <c r="AH228" i="45"/>
  <c r="AD291" i="45"/>
  <c r="CZ290" i="45"/>
  <c r="CX290" i="45"/>
  <c r="AN290" i="45"/>
  <c r="AJ290" i="45"/>
  <c r="AJ267" i="45"/>
  <c r="AH227" i="45"/>
  <c r="AG226" i="45"/>
  <c r="AE226" i="45"/>
  <c r="AN288" i="45"/>
  <c r="AJ288" i="45"/>
  <c r="AH225" i="45"/>
  <c r="W288" i="45"/>
  <c r="W287" i="45"/>
  <c r="BI287" i="45"/>
  <c r="AF287" i="45"/>
  <c r="AC284" i="45"/>
  <c r="AC280" i="45"/>
  <c r="AC279" i="45"/>
  <c r="AC283" i="45"/>
  <c r="AI283" i="45"/>
  <c r="AJ281" i="45"/>
  <c r="AJ280" i="45"/>
  <c r="AJ279" i="45"/>
  <c r="AD281" i="45"/>
  <c r="AD280" i="45"/>
  <c r="AD279" i="45"/>
  <c r="BM280" i="45"/>
  <c r="BM279" i="45"/>
  <c r="AH277" i="45"/>
  <c r="AF277" i="45"/>
  <c r="AL277" i="45"/>
  <c r="BF276" i="45"/>
  <c r="BF236" i="45"/>
  <c r="AG276" i="45"/>
  <c r="AC276" i="45"/>
  <c r="H276" i="45"/>
  <c r="AH275" i="45"/>
  <c r="AF275" i="45"/>
  <c r="AL275" i="45"/>
  <c r="AI274" i="45"/>
  <c r="AG274" i="45"/>
  <c r="AE274" i="45"/>
  <c r="AC274" i="45"/>
  <c r="H274" i="45"/>
  <c r="AH273" i="45"/>
  <c r="AF273" i="45"/>
  <c r="AL273" i="45"/>
  <c r="I273" i="45"/>
  <c r="I233" i="45"/>
  <c r="BJ272" i="45"/>
  <c r="BJ232" i="45"/>
  <c r="AI272" i="45"/>
  <c r="AG272" i="45"/>
  <c r="AE272" i="45"/>
  <c r="AC272" i="45"/>
  <c r="H272" i="45"/>
  <c r="AH271" i="45"/>
  <c r="AF271" i="45"/>
  <c r="AL271" i="45"/>
  <c r="AI270" i="45"/>
  <c r="AG270" i="45"/>
  <c r="AE270" i="45"/>
  <c r="AC270" i="45"/>
  <c r="AH269" i="45"/>
  <c r="AF269" i="45"/>
  <c r="AL269" i="45"/>
  <c r="AI268" i="45"/>
  <c r="R228" i="45"/>
  <c r="P228" i="45"/>
  <c r="N228" i="45"/>
  <c r="L228" i="45"/>
  <c r="J228" i="45"/>
  <c r="CJ227" i="45"/>
  <c r="CH227" i="45"/>
  <c r="CE227" i="45"/>
  <c r="CC227" i="45"/>
  <c r="CA227" i="45"/>
  <c r="BY227" i="45"/>
  <c r="BW227" i="45"/>
  <c r="BU227" i="45"/>
  <c r="BS227" i="45"/>
  <c r="BO227" i="45"/>
  <c r="BM267" i="45"/>
  <c r="BM227" i="45"/>
  <c r="BK227" i="45"/>
  <c r="BI267" i="45"/>
  <c r="BI227" i="45"/>
  <c r="BG227" i="45"/>
  <c r="BE227" i="45"/>
  <c r="BC227" i="45"/>
  <c r="BA227" i="45"/>
  <c r="AY227" i="45"/>
  <c r="AW227" i="45"/>
  <c r="AU227" i="45"/>
  <c r="AS227" i="45"/>
  <c r="AQ227" i="45"/>
  <c r="AO227" i="45"/>
  <c r="AH267" i="45"/>
  <c r="AF267" i="45"/>
  <c r="AL267" i="45"/>
  <c r="S227" i="45"/>
  <c r="Q227" i="45"/>
  <c r="O227" i="45"/>
  <c r="M227" i="45"/>
  <c r="K227" i="45"/>
  <c r="I227" i="45"/>
  <c r="CK226" i="45"/>
  <c r="CI226" i="45"/>
  <c r="CF226" i="45"/>
  <c r="CD226" i="45"/>
  <c r="CB226" i="45"/>
  <c r="BZ226" i="45"/>
  <c r="BX226" i="45"/>
  <c r="BV226" i="45"/>
  <c r="BT226" i="45"/>
  <c r="BR226" i="45"/>
  <c r="BP226" i="45"/>
  <c r="BN226" i="45"/>
  <c r="BL226" i="45"/>
  <c r="BJ226" i="45"/>
  <c r="BH226" i="45"/>
  <c r="BF226" i="45"/>
  <c r="BD226" i="45"/>
  <c r="BB226" i="45"/>
  <c r="AZ226" i="45"/>
  <c r="AX226" i="45"/>
  <c r="AV226" i="45"/>
  <c r="AT226" i="45"/>
  <c r="AR226" i="45"/>
  <c r="AP226" i="45"/>
  <c r="AI266" i="45"/>
  <c r="AG266" i="45"/>
  <c r="AE266" i="45"/>
  <c r="AC266" i="45"/>
  <c r="R226" i="45"/>
  <c r="P226" i="45"/>
  <c r="N226" i="45"/>
  <c r="L226" i="45"/>
  <c r="J226" i="45"/>
  <c r="CJ225" i="45"/>
  <c r="CE225" i="45"/>
  <c r="CC225" i="45"/>
  <c r="CA225" i="45"/>
  <c r="BW225" i="45"/>
  <c r="BU225" i="45"/>
  <c r="BS225" i="45"/>
  <c r="BO225" i="45"/>
  <c r="BK225" i="45"/>
  <c r="BI265" i="45"/>
  <c r="BG225" i="45"/>
  <c r="BE225" i="45"/>
  <c r="BC225" i="45"/>
  <c r="BA225" i="45"/>
  <c r="AY225" i="45"/>
  <c r="AW225" i="45"/>
  <c r="AU225" i="45"/>
  <c r="AS225" i="45"/>
  <c r="AQ225" i="45"/>
  <c r="AO225" i="45"/>
  <c r="AH265" i="45"/>
  <c r="AF265" i="45"/>
  <c r="S225" i="45"/>
  <c r="Q225" i="45"/>
  <c r="O225" i="45"/>
  <c r="M225" i="45"/>
  <c r="K225" i="45"/>
  <c r="I225" i="45"/>
  <c r="AF253" i="45"/>
  <c r="AL253" i="45"/>
  <c r="AZ3" i="45"/>
  <c r="AJ249" i="45"/>
  <c r="AJ241" i="45"/>
  <c r="AD249" i="45"/>
  <c r="AD241" i="45"/>
  <c r="AI245" i="45"/>
  <c r="AI253" i="45"/>
  <c r="AJ243" i="45"/>
  <c r="AJ240" i="45"/>
  <c r="AJ239" i="45"/>
  <c r="AD243" i="45"/>
  <c r="AL240" i="45"/>
  <c r="H234" i="45"/>
  <c r="AA205" i="45"/>
  <c r="AB205" i="45"/>
  <c r="AJ167" i="45"/>
  <c r="AJ166" i="45"/>
  <c r="AJ151" i="45"/>
  <c r="AJ150" i="45"/>
  <c r="AL131" i="45"/>
  <c r="AJ129" i="45"/>
  <c r="AD129" i="45"/>
  <c r="AJ128" i="45"/>
  <c r="AD128" i="45"/>
  <c r="AI125" i="45"/>
  <c r="AI124" i="45"/>
  <c r="AL123" i="45"/>
  <c r="BE119" i="45"/>
  <c r="BE118" i="45"/>
  <c r="BE117" i="45"/>
  <c r="BE116" i="45"/>
  <c r="BE115" i="45"/>
  <c r="J199" i="45"/>
  <c r="CX186" i="45"/>
  <c r="AI186" i="45"/>
  <c r="DA186" i="45"/>
  <c r="DA154" i="45"/>
  <c r="AI154" i="45"/>
  <c r="CX154" i="45"/>
  <c r="X158" i="45"/>
  <c r="Y158" i="45"/>
  <c r="AB158" i="45"/>
  <c r="AA162" i="45"/>
  <c r="AF454" i="45"/>
  <c r="CJ453" i="45"/>
  <c r="CJ452" i="45"/>
  <c r="CH453" i="45"/>
  <c r="CH452" i="45"/>
  <c r="BM453" i="45"/>
  <c r="BM452" i="45"/>
  <c r="X453" i="45"/>
  <c r="AC420" i="45"/>
  <c r="CJ419" i="45"/>
  <c r="CH419" i="45"/>
  <c r="U419" i="45"/>
  <c r="BQ418" i="45"/>
  <c r="AC396" i="45"/>
  <c r="AI396" i="45"/>
  <c r="CJ371" i="45"/>
  <c r="CH371" i="45"/>
  <c r="AF365" i="45"/>
  <c r="AF364" i="45"/>
  <c r="AD363" i="45"/>
  <c r="AD347" i="45"/>
  <c r="AF362" i="45"/>
  <c r="AF359" i="45"/>
  <c r="AC357" i="45"/>
  <c r="AG356" i="45"/>
  <c r="AE356" i="45"/>
  <c r="AC356" i="45"/>
  <c r="J355" i="45"/>
  <c r="H355" i="45"/>
  <c r="H235" i="45"/>
  <c r="H229" i="45"/>
  <c r="AE316" i="45"/>
  <c r="BH304" i="45"/>
  <c r="BH303" i="45"/>
  <c r="AP304" i="45"/>
  <c r="AP303" i="45"/>
  <c r="AH236" i="45"/>
  <c r="AD299" i="45"/>
  <c r="AD298" i="45"/>
  <c r="AD294" i="45"/>
  <c r="AH226" i="45"/>
  <c r="AD289" i="45"/>
  <c r="H225" i="45"/>
  <c r="AM287" i="45"/>
  <c r="AM286" i="45"/>
  <c r="AK287" i="45"/>
  <c r="AK286" i="45"/>
  <c r="AG287" i="45"/>
  <c r="AG286" i="45"/>
  <c r="AE287" i="45"/>
  <c r="AE286" i="45"/>
  <c r="AI277" i="45"/>
  <c r="AG277" i="45"/>
  <c r="AE277" i="45"/>
  <c r="AC277" i="45"/>
  <c r="H277" i="45"/>
  <c r="AQ236" i="45"/>
  <c r="AO236" i="45"/>
  <c r="AH276" i="45"/>
  <c r="AF276" i="45"/>
  <c r="AL276" i="45"/>
  <c r="S236" i="45"/>
  <c r="Q236" i="45"/>
  <c r="O236" i="45"/>
  <c r="M236" i="45"/>
  <c r="CK235" i="45"/>
  <c r="CI235" i="45"/>
  <c r="CF235" i="45"/>
  <c r="CD235" i="45"/>
  <c r="CB235" i="45"/>
  <c r="BZ235" i="45"/>
  <c r="BX235" i="45"/>
  <c r="BV235" i="45"/>
  <c r="BT235" i="45"/>
  <c r="BR235" i="45"/>
  <c r="BP235" i="45"/>
  <c r="BN235" i="45"/>
  <c r="BL235" i="45"/>
  <c r="BJ235" i="45"/>
  <c r="BH235" i="45"/>
  <c r="BF235" i="45"/>
  <c r="BD235" i="45"/>
  <c r="BB235" i="45"/>
  <c r="AZ235" i="45"/>
  <c r="AX235" i="45"/>
  <c r="AV235" i="45"/>
  <c r="AT235" i="45"/>
  <c r="AR235" i="45"/>
  <c r="AP235" i="45"/>
  <c r="AI275" i="45"/>
  <c r="AG275" i="45"/>
  <c r="AE275" i="45"/>
  <c r="AC275" i="45"/>
  <c r="R235" i="45"/>
  <c r="P235" i="45"/>
  <c r="N235" i="45"/>
  <c r="L235" i="45"/>
  <c r="J235" i="45"/>
  <c r="CJ234" i="45"/>
  <c r="CH234" i="45"/>
  <c r="CE234" i="45"/>
  <c r="CC234" i="45"/>
  <c r="CA234" i="45"/>
  <c r="BY234" i="45"/>
  <c r="BW234" i="45"/>
  <c r="BU234" i="45"/>
  <c r="BS234" i="45"/>
  <c r="BQ234" i="45"/>
  <c r="BO234" i="45"/>
  <c r="BM234" i="45"/>
  <c r="BK234" i="45"/>
  <c r="BI234" i="45"/>
  <c r="BG234" i="45"/>
  <c r="BE234" i="45"/>
  <c r="BC234" i="45"/>
  <c r="BA234" i="45"/>
  <c r="AY234" i="45"/>
  <c r="AW234" i="45"/>
  <c r="AU234" i="45"/>
  <c r="AS234" i="45"/>
  <c r="AQ234" i="45"/>
  <c r="AO234" i="45"/>
  <c r="AH274" i="45"/>
  <c r="AF274" i="45"/>
  <c r="AL274" i="45"/>
  <c r="S234" i="45"/>
  <c r="Q234" i="45"/>
  <c r="O234" i="45"/>
  <c r="M234" i="45"/>
  <c r="K234" i="45"/>
  <c r="I234" i="45"/>
  <c r="CK233" i="45"/>
  <c r="CI233" i="45"/>
  <c r="CF233" i="45"/>
  <c r="CD233" i="45"/>
  <c r="CB233" i="45"/>
  <c r="BZ233" i="45"/>
  <c r="BX233" i="45"/>
  <c r="BV233" i="45"/>
  <c r="BT233" i="45"/>
  <c r="BR233" i="45"/>
  <c r="BP233" i="45"/>
  <c r="BN233" i="45"/>
  <c r="BL233" i="45"/>
  <c r="BD233" i="45"/>
  <c r="BB233" i="45"/>
  <c r="AZ233" i="45"/>
  <c r="AX233" i="45"/>
  <c r="AV233" i="45"/>
  <c r="AT233" i="45"/>
  <c r="AR233" i="45"/>
  <c r="AG273" i="45"/>
  <c r="AE273" i="45"/>
  <c r="AC273" i="45"/>
  <c r="R233" i="45"/>
  <c r="P233" i="45"/>
  <c r="N233" i="45"/>
  <c r="L233" i="45"/>
  <c r="J233" i="45"/>
  <c r="H273" i="45"/>
  <c r="CJ232" i="45"/>
  <c r="CH232" i="45"/>
  <c r="CE232" i="45"/>
  <c r="CC232" i="45"/>
  <c r="CA232" i="45"/>
  <c r="BY232" i="45"/>
  <c r="BW232" i="45"/>
  <c r="BU232" i="45"/>
  <c r="BS232" i="45"/>
  <c r="BQ232" i="45"/>
  <c r="BO232" i="45"/>
  <c r="BM232" i="45"/>
  <c r="BK232" i="45"/>
  <c r="BI232" i="45"/>
  <c r="BG232" i="45"/>
  <c r="BE232" i="45"/>
  <c r="BC232" i="45"/>
  <c r="BA232" i="45"/>
  <c r="AY232" i="45"/>
  <c r="AW232" i="45"/>
  <c r="AU232" i="45"/>
  <c r="AS232" i="45"/>
  <c r="AQ232" i="45"/>
  <c r="AO232" i="45"/>
  <c r="AH272" i="45"/>
  <c r="AF272" i="45"/>
  <c r="AL272" i="45"/>
  <c r="S232" i="45"/>
  <c r="Q232" i="45"/>
  <c r="O232" i="45"/>
  <c r="M232" i="45"/>
  <c r="CK231" i="45"/>
  <c r="CI231" i="45"/>
  <c r="CF231" i="45"/>
  <c r="CD231" i="45"/>
  <c r="CB231" i="45"/>
  <c r="BZ231" i="45"/>
  <c r="BX231" i="45"/>
  <c r="BV231" i="45"/>
  <c r="BT231" i="45"/>
  <c r="BR231" i="45"/>
  <c r="BP231" i="45"/>
  <c r="BN231" i="45"/>
  <c r="BL231" i="45"/>
  <c r="BJ231" i="45"/>
  <c r="BH231" i="45"/>
  <c r="BF231" i="45"/>
  <c r="BD231" i="45"/>
  <c r="BB231" i="45"/>
  <c r="AZ231" i="45"/>
  <c r="AX231" i="45"/>
  <c r="AV231" i="45"/>
  <c r="AT231" i="45"/>
  <c r="AR231" i="45"/>
  <c r="AP231" i="45"/>
  <c r="AI271" i="45"/>
  <c r="AG271" i="45"/>
  <c r="AE271" i="45"/>
  <c r="AC271" i="45"/>
  <c r="R231" i="45"/>
  <c r="P231" i="45"/>
  <c r="N231" i="45"/>
  <c r="L231" i="45"/>
  <c r="J231" i="45"/>
  <c r="CJ230" i="45"/>
  <c r="CH230" i="45"/>
  <c r="CE230" i="45"/>
  <c r="CC230" i="45"/>
  <c r="CA230" i="45"/>
  <c r="BY230" i="45"/>
  <c r="BW230" i="45"/>
  <c r="BU230" i="45"/>
  <c r="BS230" i="45"/>
  <c r="BQ230" i="45"/>
  <c r="BO230" i="45"/>
  <c r="BM230" i="45"/>
  <c r="BK230" i="45"/>
  <c r="BI230" i="45"/>
  <c r="BG230" i="45"/>
  <c r="BC230" i="45"/>
  <c r="BA230" i="45"/>
  <c r="AY230" i="45"/>
  <c r="AW230" i="45"/>
  <c r="AU230" i="45"/>
  <c r="AS230" i="45"/>
  <c r="AQ230" i="45"/>
  <c r="AO230" i="45"/>
  <c r="AH270" i="45"/>
  <c r="AF270" i="45"/>
  <c r="AL270" i="45"/>
  <c r="S230" i="45"/>
  <c r="Q230" i="45"/>
  <c r="O230" i="45"/>
  <c r="M230" i="45"/>
  <c r="K230" i="45"/>
  <c r="I230" i="45"/>
  <c r="CK229" i="45"/>
  <c r="CI229" i="45"/>
  <c r="CF229" i="45"/>
  <c r="CD229" i="45"/>
  <c r="CB229" i="45"/>
  <c r="BZ229" i="45"/>
  <c r="BX229" i="45"/>
  <c r="BV229" i="45"/>
  <c r="BT229" i="45"/>
  <c r="BR229" i="45"/>
  <c r="BP229" i="45"/>
  <c r="BN229" i="45"/>
  <c r="BL229" i="45"/>
  <c r="BJ229" i="45"/>
  <c r="BH229" i="45"/>
  <c r="BF229" i="45"/>
  <c r="BD229" i="45"/>
  <c r="BB229" i="45"/>
  <c r="AZ229" i="45"/>
  <c r="AX229" i="45"/>
  <c r="AV229" i="45"/>
  <c r="AT229" i="45"/>
  <c r="AR229" i="45"/>
  <c r="AP229" i="45"/>
  <c r="AI269" i="45"/>
  <c r="AG269" i="45"/>
  <c r="AE269" i="45"/>
  <c r="AC269" i="45"/>
  <c r="R229" i="45"/>
  <c r="P229" i="45"/>
  <c r="N229" i="45"/>
  <c r="L229" i="45"/>
  <c r="J229" i="45"/>
  <c r="CJ228" i="45"/>
  <c r="CH228" i="45"/>
  <c r="CE228" i="45"/>
  <c r="CC228" i="45"/>
  <c r="CA228" i="45"/>
  <c r="BY228" i="45"/>
  <c r="BW228" i="45"/>
  <c r="BU228" i="45"/>
  <c r="BS228" i="45"/>
  <c r="BQ228" i="45"/>
  <c r="BO228" i="45"/>
  <c r="BM228" i="45"/>
  <c r="BK228" i="45"/>
  <c r="BI228" i="45"/>
  <c r="BG228" i="45"/>
  <c r="BE228" i="45"/>
  <c r="BC228" i="45"/>
  <c r="BA228" i="45"/>
  <c r="AY228" i="45"/>
  <c r="AW228" i="45"/>
  <c r="AU228" i="45"/>
  <c r="AS228" i="45"/>
  <c r="AQ228" i="45"/>
  <c r="AO228" i="45"/>
  <c r="AH268" i="45"/>
  <c r="AF268" i="45"/>
  <c r="AL268" i="45"/>
  <c r="S228" i="45"/>
  <c r="Q228" i="45"/>
  <c r="O228" i="45"/>
  <c r="M228" i="45"/>
  <c r="K228" i="45"/>
  <c r="I228" i="45"/>
  <c r="CK227" i="45"/>
  <c r="CI227" i="45"/>
  <c r="CF227" i="45"/>
  <c r="CD227" i="45"/>
  <c r="CB227" i="45"/>
  <c r="BZ227" i="45"/>
  <c r="BX227" i="45"/>
  <c r="BV227" i="45"/>
  <c r="BT227" i="45"/>
  <c r="BR227" i="45"/>
  <c r="BP227" i="45"/>
  <c r="BN227" i="45"/>
  <c r="BL227" i="45"/>
  <c r="BJ227" i="45"/>
  <c r="BH227" i="45"/>
  <c r="BF227" i="45"/>
  <c r="BD227" i="45"/>
  <c r="BB227" i="45"/>
  <c r="AZ227" i="45"/>
  <c r="AX227" i="45"/>
  <c r="AV227" i="45"/>
  <c r="AT227" i="45"/>
  <c r="AR227" i="45"/>
  <c r="AP227" i="45"/>
  <c r="AG267" i="45"/>
  <c r="AE267" i="45"/>
  <c r="R227" i="45"/>
  <c r="P227" i="45"/>
  <c r="N227" i="45"/>
  <c r="L227" i="45"/>
  <c r="J227" i="45"/>
  <c r="H267" i="45"/>
  <c r="CJ226" i="45"/>
  <c r="CH226" i="45"/>
  <c r="CE226" i="45"/>
  <c r="CC226" i="45"/>
  <c r="CA226" i="45"/>
  <c r="BY226" i="45"/>
  <c r="BW226" i="45"/>
  <c r="BU226" i="45"/>
  <c r="BS226" i="45"/>
  <c r="BQ226" i="45"/>
  <c r="BO226" i="45"/>
  <c r="BM226" i="45"/>
  <c r="BK226" i="45"/>
  <c r="BI226" i="45"/>
  <c r="BG226" i="45"/>
  <c r="BE226" i="45"/>
  <c r="BC226" i="45"/>
  <c r="BA226" i="45"/>
  <c r="AY226" i="45"/>
  <c r="AW226" i="45"/>
  <c r="AU226" i="45"/>
  <c r="AS226" i="45"/>
  <c r="AQ226" i="45"/>
  <c r="AH266" i="45"/>
  <c r="AF266" i="45"/>
  <c r="AL266" i="45"/>
  <c r="S226" i="45"/>
  <c r="Q226" i="45"/>
  <c r="O226" i="45"/>
  <c r="M226" i="45"/>
  <c r="K226" i="45"/>
  <c r="I226" i="45"/>
  <c r="CK225" i="45"/>
  <c r="CI225" i="45"/>
  <c r="CF225" i="45"/>
  <c r="CD225" i="45"/>
  <c r="CD224" i="45"/>
  <c r="CD223" i="45"/>
  <c r="CD222" i="45"/>
  <c r="CD221" i="45"/>
  <c r="CB225" i="45"/>
  <c r="BZ225" i="45"/>
  <c r="BZ224" i="45"/>
  <c r="BZ223" i="45"/>
  <c r="BZ222" i="45"/>
  <c r="BZ221" i="45"/>
  <c r="BX225" i="45"/>
  <c r="BV225" i="45"/>
  <c r="BV224" i="45"/>
  <c r="BV223" i="45"/>
  <c r="BV222" i="45"/>
  <c r="BV221" i="45"/>
  <c r="BT225" i="45"/>
  <c r="BR225" i="45"/>
  <c r="BR224" i="45"/>
  <c r="BR223" i="45"/>
  <c r="BR222" i="45"/>
  <c r="BR221" i="45"/>
  <c r="BP225" i="45"/>
  <c r="BN225" i="45"/>
  <c r="BN224" i="45"/>
  <c r="BN223" i="45"/>
  <c r="BN222" i="45"/>
  <c r="BN221" i="45"/>
  <c r="BL225" i="45"/>
  <c r="BJ225" i="45"/>
  <c r="BJ224" i="45"/>
  <c r="BJ223" i="45"/>
  <c r="BJ222" i="45"/>
  <c r="BJ221" i="45"/>
  <c r="BH225" i="45"/>
  <c r="BF225" i="45"/>
  <c r="BF224" i="45"/>
  <c r="BF223" i="45"/>
  <c r="BF222" i="45"/>
  <c r="BF221" i="45"/>
  <c r="BD225" i="45"/>
  <c r="BB225" i="45"/>
  <c r="BB224" i="45"/>
  <c r="BB223" i="45"/>
  <c r="BB222" i="45"/>
  <c r="BB221" i="45"/>
  <c r="AZ225" i="45"/>
  <c r="AX225" i="45"/>
  <c r="AX224" i="45"/>
  <c r="AX223" i="45"/>
  <c r="AX222" i="45"/>
  <c r="AX221" i="45"/>
  <c r="AV225" i="45"/>
  <c r="AT225" i="45"/>
  <c r="AT224" i="45"/>
  <c r="AT223" i="45"/>
  <c r="AT222" i="45"/>
  <c r="AT221" i="45"/>
  <c r="AR225" i="45"/>
  <c r="AP225" i="45"/>
  <c r="AP224" i="45"/>
  <c r="AP223" i="45"/>
  <c r="AP222" i="45"/>
  <c r="AP221" i="45"/>
  <c r="AG265" i="45"/>
  <c r="AG264" i="45"/>
  <c r="AG263" i="45"/>
  <c r="AG262" i="45"/>
  <c r="AE265" i="45"/>
  <c r="R225" i="45"/>
  <c r="R224" i="45"/>
  <c r="P225" i="45"/>
  <c r="P224" i="45"/>
  <c r="N225" i="45"/>
  <c r="N224" i="45"/>
  <c r="L225" i="45"/>
  <c r="L224" i="45"/>
  <c r="J225" i="45"/>
  <c r="H265" i="45"/>
  <c r="H264" i="45"/>
  <c r="CJ264" i="45"/>
  <c r="CJ263" i="45"/>
  <c r="CJ262" i="45"/>
  <c r="CH264" i="45"/>
  <c r="CH263" i="45"/>
  <c r="CH262" i="45"/>
  <c r="CE264" i="45"/>
  <c r="CE263" i="45"/>
  <c r="CE262" i="45"/>
  <c r="CC264" i="45"/>
  <c r="CC263" i="45"/>
  <c r="CC262" i="45"/>
  <c r="CA264" i="45"/>
  <c r="CA263" i="45"/>
  <c r="CA262" i="45"/>
  <c r="BW264" i="45"/>
  <c r="BW263" i="45"/>
  <c r="BW262" i="45"/>
  <c r="BU264" i="45"/>
  <c r="BU263" i="45"/>
  <c r="BU262" i="45"/>
  <c r="BS264" i="45"/>
  <c r="BS263" i="45"/>
  <c r="BS262" i="45"/>
  <c r="BO264" i="45"/>
  <c r="BO263" i="45"/>
  <c r="BO262" i="45"/>
  <c r="BK264" i="45"/>
  <c r="BK263" i="45"/>
  <c r="BK262" i="45"/>
  <c r="BG264" i="45"/>
  <c r="BG263" i="45"/>
  <c r="BG262" i="45"/>
  <c r="BE264" i="45"/>
  <c r="BE263" i="45"/>
  <c r="BE262" i="45"/>
  <c r="BC264" i="45"/>
  <c r="BC263" i="45"/>
  <c r="BC262" i="45"/>
  <c r="BA264" i="45"/>
  <c r="BA263" i="45"/>
  <c r="BA262" i="45"/>
  <c r="AY264" i="45"/>
  <c r="AY263" i="45"/>
  <c r="AY262" i="45"/>
  <c r="AW264" i="45"/>
  <c r="AW263" i="45"/>
  <c r="AW262" i="45"/>
  <c r="AU264" i="45"/>
  <c r="AU263" i="45"/>
  <c r="AU262" i="45"/>
  <c r="AS264" i="45"/>
  <c r="AS263" i="45"/>
  <c r="AS262" i="45"/>
  <c r="AQ264" i="45"/>
  <c r="AQ263" i="45"/>
  <c r="AQ262" i="45"/>
  <c r="K264" i="45"/>
  <c r="K263" i="45"/>
  <c r="K262" i="45"/>
  <c r="I264" i="45"/>
  <c r="I263" i="45"/>
  <c r="I262" i="45"/>
  <c r="AI131" i="45"/>
  <c r="AI130" i="45"/>
  <c r="AJ127" i="45"/>
  <c r="AJ123" i="45"/>
  <c r="AJ122" i="45"/>
  <c r="AD122" i="45"/>
  <c r="AJ121" i="45"/>
  <c r="U119" i="45"/>
  <c r="K119" i="45"/>
  <c r="K118" i="45"/>
  <c r="K117" i="45"/>
  <c r="K116" i="45"/>
  <c r="K115" i="45"/>
  <c r="CH119" i="45"/>
  <c r="CH118" i="45"/>
  <c r="CH117" i="45"/>
  <c r="CH116" i="45"/>
  <c r="CH115" i="45"/>
  <c r="BU119" i="45"/>
  <c r="BU118" i="45"/>
  <c r="BU117" i="45"/>
  <c r="BU116" i="45"/>
  <c r="BU115" i="45"/>
  <c r="J119" i="45"/>
  <c r="J99" i="45"/>
  <c r="AI101" i="45"/>
  <c r="CY101" i="45"/>
  <c r="DA101" i="45"/>
  <c r="DA85" i="45"/>
  <c r="AI71" i="45"/>
  <c r="CY71" i="45"/>
  <c r="CX71" i="45"/>
  <c r="CZ71" i="45"/>
  <c r="DD71" i="45"/>
  <c r="W71" i="45"/>
  <c r="DA71" i="45"/>
  <c r="CC18" i="45"/>
  <c r="CC36" i="45"/>
  <c r="CC35" i="45"/>
  <c r="CC34" i="45"/>
  <c r="CC33" i="45"/>
  <c r="CC32" i="45"/>
  <c r="BI18" i="45"/>
  <c r="BI36" i="45"/>
  <c r="BI35" i="45"/>
  <c r="BI34" i="45"/>
  <c r="BI33" i="45"/>
  <c r="BI32" i="45"/>
  <c r="T36" i="45"/>
  <c r="Z37" i="45"/>
  <c r="DA205" i="45"/>
  <c r="AI205" i="45"/>
  <c r="CY205" i="45"/>
  <c r="AJ204" i="45"/>
  <c r="AJ202" i="45"/>
  <c r="AJ201" i="45"/>
  <c r="AJ200" i="45"/>
  <c r="AJ199" i="45"/>
  <c r="AJ198" i="45"/>
  <c r="AD204" i="45"/>
  <c r="AD202" i="45"/>
  <c r="AD201" i="45"/>
  <c r="AD200" i="45"/>
  <c r="AD199" i="45"/>
  <c r="AD198" i="45"/>
  <c r="DD203" i="45"/>
  <c r="CZ203" i="45"/>
  <c r="AC203" i="45"/>
  <c r="AI203" i="45"/>
  <c r="W203" i="45"/>
  <c r="AF202" i="45"/>
  <c r="AC185" i="45"/>
  <c r="AI185" i="45"/>
  <c r="DA184" i="45"/>
  <c r="AJ184" i="45"/>
  <c r="AJ183" i="45"/>
  <c r="AJ182" i="45"/>
  <c r="AD184" i="45"/>
  <c r="W184" i="45"/>
  <c r="DA170" i="45"/>
  <c r="AC169" i="45"/>
  <c r="AI169" i="45"/>
  <c r="W156" i="45"/>
  <c r="AI155" i="45"/>
  <c r="AC153" i="45"/>
  <c r="AI153" i="45"/>
  <c r="DA152" i="45"/>
  <c r="AI152" i="45"/>
  <c r="AJ148" i="45"/>
  <c r="AJ132" i="45"/>
  <c r="AD148" i="45"/>
  <c r="AD132" i="45"/>
  <c r="AL147" i="45"/>
  <c r="AJ147" i="45"/>
  <c r="AJ131" i="45"/>
  <c r="AD147" i="45"/>
  <c r="AD131" i="45"/>
  <c r="AJ146" i="45"/>
  <c r="AJ130" i="45"/>
  <c r="AD146" i="45"/>
  <c r="AD130" i="45"/>
  <c r="AC145" i="45"/>
  <c r="AC129" i="45"/>
  <c r="AI144" i="45"/>
  <c r="AI128" i="45"/>
  <c r="AJ142" i="45"/>
  <c r="AJ126" i="45"/>
  <c r="AD142" i="45"/>
  <c r="AD126" i="45"/>
  <c r="AJ141" i="45"/>
  <c r="AJ125" i="45"/>
  <c r="AD141" i="45"/>
  <c r="AD125" i="45"/>
  <c r="AJ140" i="45"/>
  <c r="AJ124" i="45"/>
  <c r="AD140" i="45"/>
  <c r="AD124" i="45"/>
  <c r="AM123" i="45"/>
  <c r="AK123" i="45"/>
  <c r="AI123" i="45"/>
  <c r="AG123" i="45"/>
  <c r="AE123" i="45"/>
  <c r="AC123" i="45"/>
  <c r="CC122" i="45"/>
  <c r="CC119" i="45"/>
  <c r="CC118" i="45"/>
  <c r="CC117" i="45"/>
  <c r="CC116" i="45"/>
  <c r="CC115" i="45"/>
  <c r="Y138" i="45"/>
  <c r="AC137" i="45"/>
  <c r="AJ136" i="45"/>
  <c r="AH120" i="45"/>
  <c r="AF120" i="45"/>
  <c r="AD136" i="45"/>
  <c r="Y136" i="45"/>
  <c r="AF135" i="45"/>
  <c r="AF134" i="45"/>
  <c r="K135" i="45"/>
  <c r="K134" i="45"/>
  <c r="AF129" i="45"/>
  <c r="AL129" i="45"/>
  <c r="AF128" i="45"/>
  <c r="AL128" i="45"/>
  <c r="CK119" i="45"/>
  <c r="CK118" i="45"/>
  <c r="CK117" i="45"/>
  <c r="CK116" i="45"/>
  <c r="CK115" i="45"/>
  <c r="CI119" i="45"/>
  <c r="CI118" i="45"/>
  <c r="CI117" i="45"/>
  <c r="CI116" i="45"/>
  <c r="CI115" i="45"/>
  <c r="CF119" i="45"/>
  <c r="CF118" i="45"/>
  <c r="CF117" i="45"/>
  <c r="CF116" i="45"/>
  <c r="CF115" i="45"/>
  <c r="CD119" i="45"/>
  <c r="CD118" i="45"/>
  <c r="CD117" i="45"/>
  <c r="CD116" i="45"/>
  <c r="CD115" i="45"/>
  <c r="CB119" i="45"/>
  <c r="CB118" i="45"/>
  <c r="CB117" i="45"/>
  <c r="CB116" i="45"/>
  <c r="CB115" i="45"/>
  <c r="BZ119" i="45"/>
  <c r="BZ118" i="45"/>
  <c r="BZ117" i="45"/>
  <c r="BZ116" i="45"/>
  <c r="BZ115" i="45"/>
  <c r="BX119" i="45"/>
  <c r="BX118" i="45"/>
  <c r="BX117" i="45"/>
  <c r="BX116" i="45"/>
  <c r="BX115" i="45"/>
  <c r="BV119" i="45"/>
  <c r="BV118" i="45"/>
  <c r="BV117" i="45"/>
  <c r="BV116" i="45"/>
  <c r="BV115" i="45"/>
  <c r="BT119" i="45"/>
  <c r="BT118" i="45"/>
  <c r="BT117" i="45"/>
  <c r="BT116" i="45"/>
  <c r="BT115" i="45"/>
  <c r="BT99" i="45"/>
  <c r="BR119" i="45"/>
  <c r="BR118" i="45"/>
  <c r="BR117" i="45"/>
  <c r="BR116" i="45"/>
  <c r="BR115" i="45"/>
  <c r="BR99" i="45"/>
  <c r="BP119" i="45"/>
  <c r="BP118" i="45"/>
  <c r="BP117" i="45"/>
  <c r="BP116" i="45"/>
  <c r="BP115" i="45"/>
  <c r="BP99" i="45"/>
  <c r="BN119" i="45"/>
  <c r="BN118" i="45"/>
  <c r="BN117" i="45"/>
  <c r="BN116" i="45"/>
  <c r="BN115" i="45"/>
  <c r="BN99" i="45"/>
  <c r="BL119" i="45"/>
  <c r="BL118" i="45"/>
  <c r="BL117" i="45"/>
  <c r="BL116" i="45"/>
  <c r="BL115" i="45"/>
  <c r="BJ119" i="45"/>
  <c r="BJ118" i="45"/>
  <c r="BJ117" i="45"/>
  <c r="BJ116" i="45"/>
  <c r="BJ115" i="45"/>
  <c r="BH119" i="45"/>
  <c r="BH118" i="45"/>
  <c r="BH117" i="45"/>
  <c r="BH116" i="45"/>
  <c r="BH115" i="45"/>
  <c r="BH99" i="45"/>
  <c r="BF119" i="45"/>
  <c r="BF118" i="45"/>
  <c r="BF117" i="45"/>
  <c r="BF116" i="45"/>
  <c r="BF115" i="45"/>
  <c r="BF99" i="45"/>
  <c r="BD119" i="45"/>
  <c r="BD118" i="45"/>
  <c r="BD117" i="45"/>
  <c r="BD116" i="45"/>
  <c r="BD115" i="45"/>
  <c r="BD99" i="45"/>
  <c r="BB119" i="45"/>
  <c r="BB118" i="45"/>
  <c r="BB117" i="45"/>
  <c r="BB116" i="45"/>
  <c r="BB115" i="45"/>
  <c r="AZ119" i="45"/>
  <c r="AZ118" i="45"/>
  <c r="AZ117" i="45"/>
  <c r="AZ116" i="45"/>
  <c r="AZ115" i="45"/>
  <c r="AZ99" i="45"/>
  <c r="AX119" i="45"/>
  <c r="AX118" i="45"/>
  <c r="AX117" i="45"/>
  <c r="AX116" i="45"/>
  <c r="AX115" i="45"/>
  <c r="AX99" i="45"/>
  <c r="AV119" i="45"/>
  <c r="AV118" i="45"/>
  <c r="AV117" i="45"/>
  <c r="AV116" i="45"/>
  <c r="AV115" i="45"/>
  <c r="AV99" i="45"/>
  <c r="AT119" i="45"/>
  <c r="AT118" i="45"/>
  <c r="AT117" i="45"/>
  <c r="AT116" i="45"/>
  <c r="AT115" i="45"/>
  <c r="AR119" i="45"/>
  <c r="AR118" i="45"/>
  <c r="AR117" i="45"/>
  <c r="AR116" i="45"/>
  <c r="AR115" i="45"/>
  <c r="AR99" i="45"/>
  <c r="AP119" i="45"/>
  <c r="AP118" i="45"/>
  <c r="AP117" i="45"/>
  <c r="AP116" i="45"/>
  <c r="AP115" i="45"/>
  <c r="AM120" i="45"/>
  <c r="AE120" i="45"/>
  <c r="T120" i="45"/>
  <c r="R119" i="45"/>
  <c r="P119" i="45"/>
  <c r="N119" i="45"/>
  <c r="L119" i="45"/>
  <c r="AD113" i="45"/>
  <c r="AD112" i="45"/>
  <c r="J29" i="45"/>
  <c r="BU26" i="45"/>
  <c r="AD109" i="45"/>
  <c r="AD108" i="45"/>
  <c r="AD106" i="45"/>
  <c r="H22" i="45"/>
  <c r="AG100" i="45"/>
  <c r="AG99" i="45"/>
  <c r="AE100" i="45"/>
  <c r="AE99" i="45"/>
  <c r="BB99" i="45"/>
  <c r="AT99" i="45"/>
  <c r="AP99" i="45"/>
  <c r="AO30" i="45"/>
  <c r="H30" i="45"/>
  <c r="H24" i="45"/>
  <c r="AM49" i="45"/>
  <c r="AM30" i="45"/>
  <c r="AK49" i="45"/>
  <c r="AK30" i="45"/>
  <c r="AH30" i="45"/>
  <c r="AF30" i="45"/>
  <c r="AC49" i="45"/>
  <c r="AI48" i="45"/>
  <c r="AI29" i="45"/>
  <c r="AG48" i="45"/>
  <c r="AG29" i="45"/>
  <c r="AE48" i="45"/>
  <c r="AE29" i="45"/>
  <c r="AM28" i="45"/>
  <c r="AK28" i="45"/>
  <c r="AH47" i="45"/>
  <c r="AH28" i="45"/>
  <c r="AF47" i="45"/>
  <c r="AF28" i="45"/>
  <c r="AC28" i="45"/>
  <c r="AJ46" i="45"/>
  <c r="AJ27" i="45"/>
  <c r="AH46" i="45"/>
  <c r="AH27" i="45"/>
  <c r="AD46" i="45"/>
  <c r="AD27" i="45"/>
  <c r="BQ26" i="45"/>
  <c r="AL26" i="45"/>
  <c r="AI45" i="45"/>
  <c r="AI26" i="45"/>
  <c r="AG45" i="45"/>
  <c r="AG26" i="45"/>
  <c r="AE45" i="45"/>
  <c r="AE26" i="45"/>
  <c r="H26" i="45"/>
  <c r="AI44" i="45"/>
  <c r="AI25" i="45"/>
  <c r="AG44" i="45"/>
  <c r="AG25" i="45"/>
  <c r="AE44" i="45"/>
  <c r="AE25" i="45"/>
  <c r="J25" i="45"/>
  <c r="AM24" i="45"/>
  <c r="AK24" i="45"/>
  <c r="AH43" i="45"/>
  <c r="AH24" i="45"/>
  <c r="AF43" i="45"/>
  <c r="AF24" i="45"/>
  <c r="AC24" i="45"/>
  <c r="BE23" i="45"/>
  <c r="AL23" i="45"/>
  <c r="AI42" i="45"/>
  <c r="AI23" i="45"/>
  <c r="AG42" i="45"/>
  <c r="AG23" i="45"/>
  <c r="AE42" i="45"/>
  <c r="AE23" i="45"/>
  <c r="H23" i="45"/>
  <c r="O2" i="45"/>
  <c r="AL41" i="45"/>
  <c r="AL22" i="45"/>
  <c r="AG22" i="45"/>
  <c r="AE22" i="45"/>
  <c r="AM21" i="45"/>
  <c r="AK21" i="45"/>
  <c r="AH21" i="45"/>
  <c r="AC21" i="45"/>
  <c r="AB39" i="45"/>
  <c r="AB37" i="45"/>
  <c r="CK30" i="45"/>
  <c r="CI30" i="45"/>
  <c r="CF30" i="45"/>
  <c r="CD30" i="45"/>
  <c r="CB30" i="45"/>
  <c r="BZ30" i="45"/>
  <c r="BX30" i="45"/>
  <c r="BV30" i="45"/>
  <c r="BT30" i="45"/>
  <c r="BR30" i="45"/>
  <c r="BP30" i="45"/>
  <c r="BN30" i="45"/>
  <c r="BL30" i="45"/>
  <c r="BJ30" i="45"/>
  <c r="BH30" i="45"/>
  <c r="BF30" i="45"/>
  <c r="BD30" i="45"/>
  <c r="BB30" i="45"/>
  <c r="AZ30" i="45"/>
  <c r="AX30" i="45"/>
  <c r="AV30" i="45"/>
  <c r="AT30" i="45"/>
  <c r="AR30" i="45"/>
  <c r="AP30" i="45"/>
  <c r="R30" i="45"/>
  <c r="P30" i="45"/>
  <c r="N30" i="45"/>
  <c r="L30" i="45"/>
  <c r="J30" i="45"/>
  <c r="CK29" i="45"/>
  <c r="CI29" i="45"/>
  <c r="CF29" i="45"/>
  <c r="CD29" i="45"/>
  <c r="CB29" i="45"/>
  <c r="BZ29" i="45"/>
  <c r="BX29" i="45"/>
  <c r="BV29" i="45"/>
  <c r="BT29" i="45"/>
  <c r="BR29" i="45"/>
  <c r="BP29" i="45"/>
  <c r="BN29" i="45"/>
  <c r="BL29" i="45"/>
  <c r="BJ29" i="45"/>
  <c r="BH29" i="45"/>
  <c r="BF29" i="45"/>
  <c r="BD29" i="45"/>
  <c r="BB29" i="45"/>
  <c r="AZ29" i="45"/>
  <c r="AX29" i="45"/>
  <c r="AV29" i="45"/>
  <c r="AT29" i="45"/>
  <c r="AR29" i="45"/>
  <c r="AP29" i="45"/>
  <c r="S29" i="45"/>
  <c r="Q29" i="45"/>
  <c r="O29" i="45"/>
  <c r="M29" i="45"/>
  <c r="K29" i="45"/>
  <c r="CK28" i="45"/>
  <c r="CI28" i="45"/>
  <c r="CF28" i="45"/>
  <c r="CD28" i="45"/>
  <c r="CB28" i="45"/>
  <c r="BZ28" i="45"/>
  <c r="BX28" i="45"/>
  <c r="BV28" i="45"/>
  <c r="BT28" i="45"/>
  <c r="BR28" i="45"/>
  <c r="BP28" i="45"/>
  <c r="BN28" i="45"/>
  <c r="BL28" i="45"/>
  <c r="BJ28" i="45"/>
  <c r="BH28" i="45"/>
  <c r="BF28" i="45"/>
  <c r="BD28" i="45"/>
  <c r="BB28" i="45"/>
  <c r="AZ28" i="45"/>
  <c r="AX28" i="45"/>
  <c r="AV28" i="45"/>
  <c r="AT28" i="45"/>
  <c r="AR28" i="45"/>
  <c r="AP28" i="45"/>
  <c r="BS27" i="45"/>
  <c r="BQ27" i="45"/>
  <c r="BO27" i="45"/>
  <c r="BM27" i="45"/>
  <c r="BK27" i="45"/>
  <c r="BI27" i="45"/>
  <c r="BG27" i="45"/>
  <c r="BE27" i="45"/>
  <c r="BC27" i="45"/>
  <c r="BA27" i="45"/>
  <c r="AY27" i="45"/>
  <c r="AW27" i="45"/>
  <c r="AU27" i="45"/>
  <c r="AS27" i="45"/>
  <c r="AQ27" i="45"/>
  <c r="AO27" i="45"/>
  <c r="CK26" i="45"/>
  <c r="CI26" i="45"/>
  <c r="CF26" i="45"/>
  <c r="CD26" i="45"/>
  <c r="CB26" i="45"/>
  <c r="BZ26" i="45"/>
  <c r="BX26" i="45"/>
  <c r="BV26" i="45"/>
  <c r="BP26" i="45"/>
  <c r="BN26" i="45"/>
  <c r="BL26" i="45"/>
  <c r="BJ26" i="45"/>
  <c r="BH26" i="45"/>
  <c r="BF26" i="45"/>
  <c r="BD26" i="45"/>
  <c r="BB26" i="45"/>
  <c r="AZ26" i="45"/>
  <c r="AX26" i="45"/>
  <c r="AV26" i="45"/>
  <c r="AT26" i="45"/>
  <c r="AR26" i="45"/>
  <c r="AP26" i="45"/>
  <c r="CJ25" i="45"/>
  <c r="CH25" i="45"/>
  <c r="CE25" i="45"/>
  <c r="CC25" i="45"/>
  <c r="CA25" i="45"/>
  <c r="BY25" i="45"/>
  <c r="BW25" i="45"/>
  <c r="BU25" i="45"/>
  <c r="BS25" i="45"/>
  <c r="BQ25" i="45"/>
  <c r="BO25" i="45"/>
  <c r="BM25" i="45"/>
  <c r="BK25" i="45"/>
  <c r="BI25" i="45"/>
  <c r="BG25" i="45"/>
  <c r="BE25" i="45"/>
  <c r="BC25" i="45"/>
  <c r="BA25" i="45"/>
  <c r="AY25" i="45"/>
  <c r="AW25" i="45"/>
  <c r="AU25" i="45"/>
  <c r="AS25" i="45"/>
  <c r="AQ25" i="45"/>
  <c r="AO25" i="45"/>
  <c r="I25" i="45"/>
  <c r="R24" i="45"/>
  <c r="P24" i="45"/>
  <c r="N24" i="45"/>
  <c r="L24" i="45"/>
  <c r="J24" i="45"/>
  <c r="CJ23" i="45"/>
  <c r="CH23" i="45"/>
  <c r="CE23" i="45"/>
  <c r="CC23" i="45"/>
  <c r="CA23" i="45"/>
  <c r="BY23" i="45"/>
  <c r="BW23" i="45"/>
  <c r="BU23" i="45"/>
  <c r="BS23" i="45"/>
  <c r="BQ23" i="45"/>
  <c r="BO23" i="45"/>
  <c r="BM23" i="45"/>
  <c r="BK23" i="45"/>
  <c r="BI23" i="45"/>
  <c r="BG23" i="45"/>
  <c r="S23" i="45"/>
  <c r="Q23" i="45"/>
  <c r="O23" i="45"/>
  <c r="M23" i="45"/>
  <c r="K23" i="45"/>
  <c r="I23" i="45"/>
  <c r="R22" i="45"/>
  <c r="P22" i="45"/>
  <c r="N22" i="45"/>
  <c r="L22" i="45"/>
  <c r="J22" i="45"/>
  <c r="L5" i="45"/>
  <c r="BU46" i="45"/>
  <c r="BU27" i="45"/>
  <c r="AC110" i="45"/>
  <c r="AC46" i="45"/>
  <c r="AC27" i="45"/>
  <c r="AL68" i="45"/>
  <c r="AF67" i="45"/>
  <c r="AL67" i="45"/>
  <c r="CZ69" i="45"/>
  <c r="DD69" i="45"/>
  <c r="H68" i="45"/>
  <c r="H67" i="45"/>
  <c r="W69" i="45"/>
  <c r="T20" i="45"/>
  <c r="Z20" i="45"/>
  <c r="Z39" i="45"/>
  <c r="BY18" i="45"/>
  <c r="BY36" i="45"/>
  <c r="BY35" i="45"/>
  <c r="BY34" i="45"/>
  <c r="BY33" i="45"/>
  <c r="BY32" i="45"/>
  <c r="AM18" i="45"/>
  <c r="AK18" i="45"/>
  <c r="AG18" i="45"/>
  <c r="AE18" i="45"/>
  <c r="AD185" i="45"/>
  <c r="AD168" i="45"/>
  <c r="AD167" i="45"/>
  <c r="AD166" i="45"/>
  <c r="Y154" i="45"/>
  <c r="AD152" i="45"/>
  <c r="AD151" i="45"/>
  <c r="AD150" i="45"/>
  <c r="AD143" i="45"/>
  <c r="AD127" i="45"/>
  <c r="AD139" i="45"/>
  <c r="AD123" i="45"/>
  <c r="BY122" i="45"/>
  <c r="BY119" i="45"/>
  <c r="BY118" i="45"/>
  <c r="BY117" i="45"/>
  <c r="BY116" i="45"/>
  <c r="BY115" i="45"/>
  <c r="AM122" i="45"/>
  <c r="AM20" i="45"/>
  <c r="AK122" i="45"/>
  <c r="AK119" i="45"/>
  <c r="AK118" i="45"/>
  <c r="AK117" i="45"/>
  <c r="AK116" i="45"/>
  <c r="AK115" i="45"/>
  <c r="AG122" i="45"/>
  <c r="AG119" i="45"/>
  <c r="AG118" i="45"/>
  <c r="AG117" i="45"/>
  <c r="AG116" i="45"/>
  <c r="AG115" i="45"/>
  <c r="AE122" i="45"/>
  <c r="AE20" i="45"/>
  <c r="AC138" i="45"/>
  <c r="AC122" i="45"/>
  <c r="X122" i="45"/>
  <c r="AO121" i="45"/>
  <c r="AO119" i="45"/>
  <c r="AO118" i="45"/>
  <c r="AO117" i="45"/>
  <c r="AO116" i="45"/>
  <c r="AO115" i="45"/>
  <c r="AH121" i="45"/>
  <c r="AH19" i="45"/>
  <c r="AF121" i="45"/>
  <c r="AL121" i="45"/>
  <c r="AL19" i="45"/>
  <c r="AD137" i="45"/>
  <c r="AC136" i="45"/>
  <c r="BI135" i="45"/>
  <c r="BI134" i="45"/>
  <c r="AK135" i="45"/>
  <c r="AK134" i="45"/>
  <c r="AG135" i="45"/>
  <c r="AG134" i="45"/>
  <c r="J135" i="45"/>
  <c r="AJ113" i="45"/>
  <c r="AJ112" i="45"/>
  <c r="AJ48" i="45"/>
  <c r="AI110" i="45"/>
  <c r="AJ109" i="45"/>
  <c r="AJ108" i="45"/>
  <c r="AJ106" i="45"/>
  <c r="AF100" i="45"/>
  <c r="AF99" i="45"/>
  <c r="AM100" i="45"/>
  <c r="AM99" i="45"/>
  <c r="AK100" i="45"/>
  <c r="AK99" i="45"/>
  <c r="AC100" i="45"/>
  <c r="AC99" i="45"/>
  <c r="H100" i="45"/>
  <c r="BS99" i="45"/>
  <c r="BQ99" i="45"/>
  <c r="BO99" i="45"/>
  <c r="BL99" i="45"/>
  <c r="BJ99" i="45"/>
  <c r="BG99" i="45"/>
  <c r="BC99" i="45"/>
  <c r="AY99" i="45"/>
  <c r="AU99" i="45"/>
  <c r="AS99" i="45"/>
  <c r="AQ99" i="45"/>
  <c r="AZ2" i="45"/>
  <c r="CC20" i="45"/>
  <c r="AI49" i="45"/>
  <c r="AG49" i="45"/>
  <c r="AG30" i="45"/>
  <c r="AE49" i="45"/>
  <c r="AE30" i="45"/>
  <c r="AM48" i="45"/>
  <c r="AM29" i="45"/>
  <c r="AK48" i="45"/>
  <c r="AK29" i="45"/>
  <c r="AH29" i="45"/>
  <c r="AD48" i="45"/>
  <c r="AD29" i="45"/>
  <c r="AC48" i="45"/>
  <c r="AC29" i="45"/>
  <c r="AC1" i="45"/>
  <c r="AL47" i="45"/>
  <c r="AL28" i="45"/>
  <c r="AI28" i="45"/>
  <c r="AG28" i="45"/>
  <c r="AE28" i="45"/>
  <c r="AM27" i="45"/>
  <c r="AK27" i="45"/>
  <c r="AG27" i="45"/>
  <c r="AE27" i="45"/>
  <c r="H27" i="45"/>
  <c r="AM45" i="45"/>
  <c r="AM26" i="45"/>
  <c r="AK45" i="45"/>
  <c r="AK26" i="45"/>
  <c r="AH26" i="45"/>
  <c r="AF26" i="45"/>
  <c r="AC45" i="45"/>
  <c r="AC26" i="45"/>
  <c r="AM44" i="45"/>
  <c r="AM25" i="45"/>
  <c r="AK44" i="45"/>
  <c r="AK25" i="45"/>
  <c r="AH25" i="45"/>
  <c r="AF25" i="45"/>
  <c r="AC44" i="45"/>
  <c r="AC25" i="45"/>
  <c r="H25" i="45"/>
  <c r="AL43" i="45"/>
  <c r="AL24" i="45"/>
  <c r="AI24" i="45"/>
  <c r="AG24" i="45"/>
  <c r="AE24" i="45"/>
  <c r="AM42" i="45"/>
  <c r="AM23" i="45"/>
  <c r="AK42" i="45"/>
  <c r="AK23" i="45"/>
  <c r="AH23" i="45"/>
  <c r="AF23" i="45"/>
  <c r="AC42" i="45"/>
  <c r="AC23" i="45"/>
  <c r="AM22" i="45"/>
  <c r="AK22" i="45"/>
  <c r="AH41" i="45"/>
  <c r="AH22" i="45"/>
  <c r="AF41" i="45"/>
  <c r="AF22" i="45"/>
  <c r="AC22" i="45"/>
  <c r="AI21" i="45"/>
  <c r="AG21" i="45"/>
  <c r="AE21" i="45"/>
  <c r="BY20" i="45"/>
  <c r="AL20" i="45"/>
  <c r="AH20" i="45"/>
  <c r="AF20" i="45"/>
  <c r="AM19" i="45"/>
  <c r="AK19" i="45"/>
  <c r="AG19" i="45"/>
  <c r="AE19" i="45"/>
  <c r="H19" i="45"/>
  <c r="CJ30" i="45"/>
  <c r="CH30" i="45"/>
  <c r="CE30" i="45"/>
  <c r="CC30" i="45"/>
  <c r="CA30" i="45"/>
  <c r="BY30" i="45"/>
  <c r="BW30" i="45"/>
  <c r="BU30" i="45"/>
  <c r="BS30" i="45"/>
  <c r="BQ30" i="45"/>
  <c r="BO30" i="45"/>
  <c r="BM30" i="45"/>
  <c r="BK30" i="45"/>
  <c r="BI30" i="45"/>
  <c r="BG30" i="45"/>
  <c r="BE30" i="45"/>
  <c r="BC30" i="45"/>
  <c r="BA30" i="45"/>
  <c r="AY30" i="45"/>
  <c r="AW30" i="45"/>
  <c r="AU30" i="45"/>
  <c r="AS30" i="45"/>
  <c r="AQ30" i="45"/>
  <c r="S30" i="45"/>
  <c r="Q30" i="45"/>
  <c r="O30" i="45"/>
  <c r="M30" i="45"/>
  <c r="K30" i="45"/>
  <c r="I30" i="45"/>
  <c r="CJ29" i="45"/>
  <c r="CH29" i="45"/>
  <c r="CE29" i="45"/>
  <c r="CC29" i="45"/>
  <c r="CA29" i="45"/>
  <c r="BY29" i="45"/>
  <c r="BW29" i="45"/>
  <c r="BU29" i="45"/>
  <c r="BS29" i="45"/>
  <c r="BQ29" i="45"/>
  <c r="BO29" i="45"/>
  <c r="BM29" i="45"/>
  <c r="BK29" i="45"/>
  <c r="BI29" i="45"/>
  <c r="BG29" i="45"/>
  <c r="BE29" i="45"/>
  <c r="BC29" i="45"/>
  <c r="BA29" i="45"/>
  <c r="AY29" i="45"/>
  <c r="AW29" i="45"/>
  <c r="AU29" i="45"/>
  <c r="AS29" i="45"/>
  <c r="AQ29" i="45"/>
  <c r="AO29" i="45"/>
  <c r="R29" i="45"/>
  <c r="P29" i="45"/>
  <c r="N29" i="45"/>
  <c r="L29" i="45"/>
  <c r="I29" i="45"/>
  <c r="CJ28" i="45"/>
  <c r="CH28" i="45"/>
  <c r="CE28" i="45"/>
  <c r="CC28" i="45"/>
  <c r="CA28" i="45"/>
  <c r="BY28" i="45"/>
  <c r="BW28" i="45"/>
  <c r="BU28" i="45"/>
  <c r="BS28" i="45"/>
  <c r="BQ28" i="45"/>
  <c r="BO28" i="45"/>
  <c r="BM28" i="45"/>
  <c r="BK28" i="45"/>
  <c r="BI28" i="45"/>
  <c r="BG28" i="45"/>
  <c r="BE28" i="45"/>
  <c r="BC28" i="45"/>
  <c r="BA28" i="45"/>
  <c r="AY28" i="45"/>
  <c r="AW28" i="45"/>
  <c r="AU28" i="45"/>
  <c r="AS28" i="45"/>
  <c r="AQ28" i="45"/>
  <c r="AO28" i="45"/>
  <c r="R28" i="45"/>
  <c r="P28" i="45"/>
  <c r="N28" i="45"/>
  <c r="L28" i="45"/>
  <c r="J28" i="45"/>
  <c r="H28" i="45"/>
  <c r="CJ27" i="45"/>
  <c r="CH27" i="45"/>
  <c r="CE27" i="45"/>
  <c r="CC27" i="45"/>
  <c r="CA27" i="45"/>
  <c r="BY27" i="45"/>
  <c r="BW27" i="45"/>
  <c r="S27" i="45"/>
  <c r="Q27" i="45"/>
  <c r="O27" i="45"/>
  <c r="M27" i="45"/>
  <c r="K27" i="45"/>
  <c r="I27" i="45"/>
  <c r="BT26" i="45"/>
  <c r="BR26" i="45"/>
  <c r="R26" i="45"/>
  <c r="P26" i="45"/>
  <c r="N26" i="45"/>
  <c r="L26" i="45"/>
  <c r="J26" i="45"/>
  <c r="S25" i="45"/>
  <c r="Q25" i="45"/>
  <c r="O25" i="45"/>
  <c r="M25" i="45"/>
  <c r="K25" i="45"/>
  <c r="CK24" i="45"/>
  <c r="CI24" i="45"/>
  <c r="CF24" i="45"/>
  <c r="CD24" i="45"/>
  <c r="CB24" i="45"/>
  <c r="BZ24" i="45"/>
  <c r="BX24" i="45"/>
  <c r="BV24" i="45"/>
  <c r="BT24" i="45"/>
  <c r="BR24" i="45"/>
  <c r="BP24" i="45"/>
  <c r="BN24" i="45"/>
  <c r="BL24" i="45"/>
  <c r="BJ24" i="45"/>
  <c r="BH24" i="45"/>
  <c r="BF24" i="45"/>
  <c r="BD24" i="45"/>
  <c r="BB24" i="45"/>
  <c r="AZ24" i="45"/>
  <c r="AX24" i="45"/>
  <c r="AV24" i="45"/>
  <c r="AT24" i="45"/>
  <c r="AR24" i="45"/>
  <c r="AP24" i="45"/>
  <c r="BC23" i="45"/>
  <c r="BA23" i="45"/>
  <c r="AY23" i="45"/>
  <c r="AW23" i="45"/>
  <c r="AU23" i="45"/>
  <c r="AS23" i="45"/>
  <c r="AQ23" i="45"/>
  <c r="AO23" i="45"/>
  <c r="CK22" i="45"/>
  <c r="CI22" i="45"/>
  <c r="CF22" i="45"/>
  <c r="CD22" i="45"/>
  <c r="CB22" i="45"/>
  <c r="BZ22" i="45"/>
  <c r="BX22" i="45"/>
  <c r="BV22" i="45"/>
  <c r="BT22" i="45"/>
  <c r="BR22" i="45"/>
  <c r="BP22" i="45"/>
  <c r="BN22" i="45"/>
  <c r="BL22" i="45"/>
  <c r="BJ22" i="45"/>
  <c r="BH22" i="45"/>
  <c r="BF22" i="45"/>
  <c r="BD22" i="45"/>
  <c r="BB22" i="45"/>
  <c r="AZ22" i="45"/>
  <c r="AX22" i="45"/>
  <c r="AV22" i="45"/>
  <c r="AT22" i="45"/>
  <c r="AR22" i="45"/>
  <c r="AP22" i="45"/>
  <c r="CJ21" i="45"/>
  <c r="CH21" i="45"/>
  <c r="CE21" i="45"/>
  <c r="CC21" i="45"/>
  <c r="CA21" i="45"/>
  <c r="BY21" i="45"/>
  <c r="BW21" i="45"/>
  <c r="BU21" i="45"/>
  <c r="BS21" i="45"/>
  <c r="BQ21" i="45"/>
  <c r="BO21" i="45"/>
  <c r="BM21" i="45"/>
  <c r="BK21" i="45"/>
  <c r="BI21" i="45"/>
  <c r="BG21" i="45"/>
  <c r="BE21" i="45"/>
  <c r="BC21" i="45"/>
  <c r="BA21" i="45"/>
  <c r="AY21" i="45"/>
  <c r="AW21" i="45"/>
  <c r="AU21" i="45"/>
  <c r="AI105" i="45"/>
  <c r="AI100" i="45"/>
  <c r="AI99" i="45"/>
  <c r="DA103" i="45"/>
  <c r="AJ102" i="45"/>
  <c r="AJ100" i="45"/>
  <c r="AJ99" i="45"/>
  <c r="AD102" i="45"/>
  <c r="DD101" i="45"/>
  <c r="CZ101" i="45"/>
  <c r="CX101" i="45"/>
  <c r="Y101" i="45"/>
  <c r="BU99" i="45"/>
  <c r="DD87" i="45"/>
  <c r="CZ87" i="45"/>
  <c r="AC87" i="45"/>
  <c r="DA87" i="45"/>
  <c r="AJ86" i="45"/>
  <c r="AJ84" i="45"/>
  <c r="AJ83" i="45"/>
  <c r="AD86" i="45"/>
  <c r="AD84" i="45"/>
  <c r="AD83" i="45"/>
  <c r="DD85" i="45"/>
  <c r="CZ85" i="45"/>
  <c r="CX85" i="45"/>
  <c r="AI85" i="45"/>
  <c r="AF84" i="45"/>
  <c r="AF83" i="45"/>
  <c r="AL83" i="45"/>
  <c r="Y71" i="45"/>
  <c r="AC70" i="45"/>
  <c r="AI70" i="45"/>
  <c r="AJ69" i="45"/>
  <c r="AJ68" i="45"/>
  <c r="AJ67" i="45"/>
  <c r="AD69" i="45"/>
  <c r="AJ65" i="45"/>
  <c r="AJ49" i="45"/>
  <c r="AJ30" i="45"/>
  <c r="AD65" i="45"/>
  <c r="AD49" i="45"/>
  <c r="AD30" i="45"/>
  <c r="AJ63" i="45"/>
  <c r="AJ47" i="45"/>
  <c r="AJ28" i="45"/>
  <c r="AD63" i="45"/>
  <c r="AD47" i="45"/>
  <c r="AD28" i="45"/>
  <c r="AI62" i="45"/>
  <c r="AI46" i="45"/>
  <c r="AJ61" i="45"/>
  <c r="AJ45" i="45"/>
  <c r="AJ26" i="45"/>
  <c r="AD61" i="45"/>
  <c r="AD45" i="45"/>
  <c r="AD26" i="45"/>
  <c r="AJ60" i="45"/>
  <c r="AJ44" i="45"/>
  <c r="AJ25" i="45"/>
  <c r="AD60" i="45"/>
  <c r="AD44" i="45"/>
  <c r="AD25" i="45"/>
  <c r="AJ58" i="45"/>
  <c r="AJ42" i="45"/>
  <c r="AJ23" i="45"/>
  <c r="AD58" i="45"/>
  <c r="AD42" i="45"/>
  <c r="AD23" i="45"/>
  <c r="AJ57" i="45"/>
  <c r="AJ41" i="45"/>
  <c r="AJ22" i="45"/>
  <c r="AD57" i="45"/>
  <c r="AD41" i="45"/>
  <c r="AD22" i="45"/>
  <c r="AJ55" i="45"/>
  <c r="AJ39" i="45"/>
  <c r="AJ20" i="45"/>
  <c r="AD55" i="45"/>
  <c r="AD39" i="45"/>
  <c r="AD20" i="45"/>
  <c r="AC54" i="45"/>
  <c r="AJ53" i="45"/>
  <c r="AD53" i="45"/>
  <c r="Y53" i="45"/>
  <c r="CC52" i="45"/>
  <c r="CC51" i="45"/>
  <c r="BY52" i="45"/>
  <c r="BY51" i="45"/>
  <c r="BQ52" i="45"/>
  <c r="BQ51" i="45"/>
  <c r="BI52" i="45"/>
  <c r="BI51" i="45"/>
  <c r="BE52" i="45"/>
  <c r="BE51" i="45"/>
  <c r="AO52" i="45"/>
  <c r="AO51" i="45"/>
  <c r="AL52" i="45"/>
  <c r="AL51" i="45"/>
  <c r="AF52" i="45"/>
  <c r="AF51" i="45"/>
  <c r="AL48" i="45"/>
  <c r="AL29" i="45"/>
  <c r="AF48" i="45"/>
  <c r="AF29" i="45"/>
  <c r="AL46" i="45"/>
  <c r="AL27" i="45"/>
  <c r="AF46" i="45"/>
  <c r="AF27" i="45"/>
  <c r="AS21" i="45"/>
  <c r="AQ21" i="45"/>
  <c r="AO21" i="45"/>
  <c r="AL40" i="45"/>
  <c r="AL21" i="45"/>
  <c r="AF40" i="45"/>
  <c r="AF21" i="45"/>
  <c r="S21" i="45"/>
  <c r="Q21" i="45"/>
  <c r="O21" i="45"/>
  <c r="M21" i="45"/>
  <c r="K21" i="45"/>
  <c r="I21" i="45"/>
  <c r="CJ20" i="45"/>
  <c r="CH20" i="45"/>
  <c r="CE20" i="45"/>
  <c r="CA20" i="45"/>
  <c r="BW20" i="45"/>
  <c r="BU20" i="45"/>
  <c r="BS20" i="45"/>
  <c r="BQ20" i="45"/>
  <c r="BO20" i="45"/>
  <c r="BM20" i="45"/>
  <c r="BK20" i="45"/>
  <c r="BI20" i="45"/>
  <c r="BG20" i="45"/>
  <c r="BE20" i="45"/>
  <c r="BC20" i="45"/>
  <c r="BA20" i="45"/>
  <c r="AY20" i="45"/>
  <c r="AW20" i="45"/>
  <c r="AU20" i="45"/>
  <c r="AS20" i="45"/>
  <c r="AQ20" i="45"/>
  <c r="AO20" i="45"/>
  <c r="R20" i="45"/>
  <c r="P20" i="45"/>
  <c r="N20" i="45"/>
  <c r="L20" i="45"/>
  <c r="J20" i="45"/>
  <c r="CJ19" i="45"/>
  <c r="CH19" i="45"/>
  <c r="CE19" i="45"/>
  <c r="CC19" i="45"/>
  <c r="CA19" i="45"/>
  <c r="BY19" i="45"/>
  <c r="BW19" i="45"/>
  <c r="BU19" i="45"/>
  <c r="BS19" i="45"/>
  <c r="BQ19" i="45"/>
  <c r="BO19" i="45"/>
  <c r="BM19" i="45"/>
  <c r="BK19" i="45"/>
  <c r="BI19" i="45"/>
  <c r="BG19" i="45"/>
  <c r="BE19" i="45"/>
  <c r="BC19" i="45"/>
  <c r="BA19" i="45"/>
  <c r="AY19" i="45"/>
  <c r="AW19" i="45"/>
  <c r="AU19" i="45"/>
  <c r="AS19" i="45"/>
  <c r="AQ19" i="45"/>
  <c r="R19" i="45"/>
  <c r="P19" i="45"/>
  <c r="N19" i="45"/>
  <c r="L19" i="45"/>
  <c r="J19" i="45"/>
  <c r="CK18" i="45"/>
  <c r="CI18" i="45"/>
  <c r="CF18" i="45"/>
  <c r="CD18" i="45"/>
  <c r="CB18" i="45"/>
  <c r="BZ18" i="45"/>
  <c r="BX18" i="45"/>
  <c r="BV18" i="45"/>
  <c r="BT18" i="45"/>
  <c r="BR18" i="45"/>
  <c r="BP18" i="45"/>
  <c r="BN18" i="45"/>
  <c r="BL18" i="45"/>
  <c r="BJ18" i="45"/>
  <c r="BH18" i="45"/>
  <c r="BF18" i="45"/>
  <c r="BD18" i="45"/>
  <c r="BB18" i="45"/>
  <c r="AZ18" i="45"/>
  <c r="AX18" i="45"/>
  <c r="AV18" i="45"/>
  <c r="AT18" i="45"/>
  <c r="AR18" i="45"/>
  <c r="AP18" i="45"/>
  <c r="S18" i="45"/>
  <c r="Q18" i="45"/>
  <c r="O18" i="45"/>
  <c r="M18" i="45"/>
  <c r="K18" i="45"/>
  <c r="I18" i="45"/>
  <c r="CK36" i="45"/>
  <c r="CK35" i="45"/>
  <c r="CK34" i="45"/>
  <c r="CK33" i="45"/>
  <c r="CK32" i="45"/>
  <c r="CI36" i="45"/>
  <c r="CI35" i="45"/>
  <c r="CI34" i="45"/>
  <c r="CI33" i="45"/>
  <c r="CI32" i="45"/>
  <c r="CF36" i="45"/>
  <c r="CF35" i="45"/>
  <c r="CF34" i="45"/>
  <c r="CF33" i="45"/>
  <c r="CF32" i="45"/>
  <c r="CD36" i="45"/>
  <c r="CD35" i="45"/>
  <c r="CD34" i="45"/>
  <c r="CD33" i="45"/>
  <c r="CD32" i="45"/>
  <c r="CB36" i="45"/>
  <c r="CB35" i="45"/>
  <c r="CB34" i="45"/>
  <c r="CB33" i="45"/>
  <c r="CB32" i="45"/>
  <c r="BZ36" i="45"/>
  <c r="BZ35" i="45"/>
  <c r="BZ34" i="45"/>
  <c r="BZ33" i="45"/>
  <c r="BZ32" i="45"/>
  <c r="BX36" i="45"/>
  <c r="BX35" i="45"/>
  <c r="BX34" i="45"/>
  <c r="BX33" i="45"/>
  <c r="BX32" i="45"/>
  <c r="BV36" i="45"/>
  <c r="BV35" i="45"/>
  <c r="BV34" i="45"/>
  <c r="BV33" i="45"/>
  <c r="BV32" i="45"/>
  <c r="BT36" i="45"/>
  <c r="BT35" i="45"/>
  <c r="BT34" i="45"/>
  <c r="BT33" i="45"/>
  <c r="BT32" i="45"/>
  <c r="BR36" i="45"/>
  <c r="BR35" i="45"/>
  <c r="BR34" i="45"/>
  <c r="BR33" i="45"/>
  <c r="BR32" i="45"/>
  <c r="BP36" i="45"/>
  <c r="BP35" i="45"/>
  <c r="BP34" i="45"/>
  <c r="BP33" i="45"/>
  <c r="BP32" i="45"/>
  <c r="BN36" i="45"/>
  <c r="BN35" i="45"/>
  <c r="BN34" i="45"/>
  <c r="BN33" i="45"/>
  <c r="BN32" i="45"/>
  <c r="BL36" i="45"/>
  <c r="BL35" i="45"/>
  <c r="BL34" i="45"/>
  <c r="BL33" i="45"/>
  <c r="BL32" i="45"/>
  <c r="BJ36" i="45"/>
  <c r="BJ35" i="45"/>
  <c r="BJ34" i="45"/>
  <c r="BJ33" i="45"/>
  <c r="BJ32" i="45"/>
  <c r="BH36" i="45"/>
  <c r="BH35" i="45"/>
  <c r="BH34" i="45"/>
  <c r="BH33" i="45"/>
  <c r="BH32" i="45"/>
  <c r="BF36" i="45"/>
  <c r="BF35" i="45"/>
  <c r="BF34" i="45"/>
  <c r="BF33" i="45"/>
  <c r="BF32" i="45"/>
  <c r="BD36" i="45"/>
  <c r="BD35" i="45"/>
  <c r="BD34" i="45"/>
  <c r="BD33" i="45"/>
  <c r="BD32" i="45"/>
  <c r="BB36" i="45"/>
  <c r="BB35" i="45"/>
  <c r="BB34" i="45"/>
  <c r="BB33" i="45"/>
  <c r="BB32" i="45"/>
  <c r="AZ36" i="45"/>
  <c r="AZ35" i="45"/>
  <c r="AZ34" i="45"/>
  <c r="AZ33" i="45"/>
  <c r="AZ32" i="45"/>
  <c r="AX36" i="45"/>
  <c r="AX35" i="45"/>
  <c r="AX34" i="45"/>
  <c r="AX33" i="45"/>
  <c r="AX32" i="45"/>
  <c r="AV36" i="45"/>
  <c r="AV35" i="45"/>
  <c r="AV34" i="45"/>
  <c r="AV33" i="45"/>
  <c r="AV32" i="45"/>
  <c r="AT36" i="45"/>
  <c r="AT35" i="45"/>
  <c r="AT34" i="45"/>
  <c r="AT33" i="45"/>
  <c r="AT32" i="45"/>
  <c r="AR36" i="45"/>
  <c r="AR35" i="45"/>
  <c r="AR34" i="45"/>
  <c r="AR33" i="45"/>
  <c r="AR32" i="45"/>
  <c r="AP36" i="45"/>
  <c r="AP35" i="45"/>
  <c r="AP34" i="45"/>
  <c r="AP33" i="45"/>
  <c r="AP32" i="45"/>
  <c r="K36" i="45"/>
  <c r="K35" i="45"/>
  <c r="K34" i="45"/>
  <c r="K33" i="45"/>
  <c r="K32" i="45"/>
  <c r="I36" i="45"/>
  <c r="I35" i="45"/>
  <c r="I34" i="45"/>
  <c r="I33" i="45"/>
  <c r="I32" i="45"/>
  <c r="AD104" i="45"/>
  <c r="AD40" i="45"/>
  <c r="AD21" i="45"/>
  <c r="AD70" i="45"/>
  <c r="AC69" i="45"/>
  <c r="AC68" i="45"/>
  <c r="AC67" i="45"/>
  <c r="AJ59" i="45"/>
  <c r="AJ43" i="45"/>
  <c r="AJ24" i="45"/>
  <c r="AD59" i="45"/>
  <c r="AD43" i="45"/>
  <c r="AD24" i="45"/>
  <c r="AJ54" i="45"/>
  <c r="AJ38" i="45"/>
  <c r="AJ19" i="45"/>
  <c r="AD54" i="45"/>
  <c r="AD38" i="45"/>
  <c r="AC53" i="45"/>
  <c r="AM52" i="45"/>
  <c r="AM51" i="45"/>
  <c r="AK52" i="45"/>
  <c r="AK51" i="45"/>
  <c r="AG52" i="45"/>
  <c r="AG51" i="45"/>
  <c r="AE52" i="45"/>
  <c r="AE51" i="45"/>
  <c r="S28" i="45"/>
  <c r="Q28" i="45"/>
  <c r="O28" i="45"/>
  <c r="M28" i="45"/>
  <c r="K28" i="45"/>
  <c r="I28" i="45"/>
  <c r="CK27" i="45"/>
  <c r="CI27" i="45"/>
  <c r="CF27" i="45"/>
  <c r="CD27" i="45"/>
  <c r="CB27" i="45"/>
  <c r="BZ27" i="45"/>
  <c r="BX27" i="45"/>
  <c r="BV27" i="45"/>
  <c r="BT27" i="45"/>
  <c r="BR27" i="45"/>
  <c r="BP27" i="45"/>
  <c r="BN27" i="45"/>
  <c r="BL27" i="45"/>
  <c r="BJ27" i="45"/>
  <c r="BH27" i="45"/>
  <c r="BF27" i="45"/>
  <c r="BD27" i="45"/>
  <c r="BB27" i="45"/>
  <c r="AZ27" i="45"/>
  <c r="AX27" i="45"/>
  <c r="AV27" i="45"/>
  <c r="AT27" i="45"/>
  <c r="AR27" i="45"/>
  <c r="AP27" i="45"/>
  <c r="R27" i="45"/>
  <c r="P27" i="45"/>
  <c r="N27" i="45"/>
  <c r="L27" i="45"/>
  <c r="J27" i="45"/>
  <c r="CJ26" i="45"/>
  <c r="CH26" i="45"/>
  <c r="CE26" i="45"/>
  <c r="CC26" i="45"/>
  <c r="CA26" i="45"/>
  <c r="BY26" i="45"/>
  <c r="BW26" i="45"/>
  <c r="BS26" i="45"/>
  <c r="BO26" i="45"/>
  <c r="BM26" i="45"/>
  <c r="BK26" i="45"/>
  <c r="BI26" i="45"/>
  <c r="BG26" i="45"/>
  <c r="BE26" i="45"/>
  <c r="BC26" i="45"/>
  <c r="BA26" i="45"/>
  <c r="AY26" i="45"/>
  <c r="AW26" i="45"/>
  <c r="AU26" i="45"/>
  <c r="AS26" i="45"/>
  <c r="AQ26" i="45"/>
  <c r="AO26" i="45"/>
  <c r="S26" i="45"/>
  <c r="Q26" i="45"/>
  <c r="O26" i="45"/>
  <c r="M26" i="45"/>
  <c r="K26" i="45"/>
  <c r="I26" i="45"/>
  <c r="CK25" i="45"/>
  <c r="CI25" i="45"/>
  <c r="CF25" i="45"/>
  <c r="CD25" i="45"/>
  <c r="CB25" i="45"/>
  <c r="BZ25" i="45"/>
  <c r="BX25" i="45"/>
  <c r="BV25" i="45"/>
  <c r="BT25" i="45"/>
  <c r="BR25" i="45"/>
  <c r="BP25" i="45"/>
  <c r="BN25" i="45"/>
  <c r="BL25" i="45"/>
  <c r="BJ25" i="45"/>
  <c r="BH25" i="45"/>
  <c r="BF25" i="45"/>
  <c r="BD25" i="45"/>
  <c r="BB25" i="45"/>
  <c r="AZ25" i="45"/>
  <c r="AX25" i="45"/>
  <c r="AV25" i="45"/>
  <c r="AT25" i="45"/>
  <c r="AR25" i="45"/>
  <c r="AP25" i="45"/>
  <c r="R25" i="45"/>
  <c r="P25" i="45"/>
  <c r="N25" i="45"/>
  <c r="L25" i="45"/>
  <c r="CJ24" i="45"/>
  <c r="CH24" i="45"/>
  <c r="CE24" i="45"/>
  <c r="CC24" i="45"/>
  <c r="CA24" i="45"/>
  <c r="BY24" i="45"/>
  <c r="BW24" i="45"/>
  <c r="BU24" i="45"/>
  <c r="BS24" i="45"/>
  <c r="BQ24" i="45"/>
  <c r="BO24" i="45"/>
  <c r="BM24" i="45"/>
  <c r="BK24" i="45"/>
  <c r="BI24" i="45"/>
  <c r="BG24" i="45"/>
  <c r="BE24" i="45"/>
  <c r="BC24" i="45"/>
  <c r="BA24" i="45"/>
  <c r="AY24" i="45"/>
  <c r="AW24" i="45"/>
  <c r="AU24" i="45"/>
  <c r="AS24" i="45"/>
  <c r="AQ24" i="45"/>
  <c r="AO24" i="45"/>
  <c r="S24" i="45"/>
  <c r="Q24" i="45"/>
  <c r="O24" i="45"/>
  <c r="M24" i="45"/>
  <c r="K24" i="45"/>
  <c r="I24" i="45"/>
  <c r="CK23" i="45"/>
  <c r="CI23" i="45"/>
  <c r="CF23" i="45"/>
  <c r="CD23" i="45"/>
  <c r="CB23" i="45"/>
  <c r="BZ23" i="45"/>
  <c r="BX23" i="45"/>
  <c r="BV23" i="45"/>
  <c r="BT23" i="45"/>
  <c r="BR23" i="45"/>
  <c r="BP23" i="45"/>
  <c r="BN23" i="45"/>
  <c r="BL23" i="45"/>
  <c r="BJ23" i="45"/>
  <c r="BH23" i="45"/>
  <c r="BF23" i="45"/>
  <c r="BD23" i="45"/>
  <c r="BB23" i="45"/>
  <c r="AZ23" i="45"/>
  <c r="AX23" i="45"/>
  <c r="AV23" i="45"/>
  <c r="AT23" i="45"/>
  <c r="AR23" i="45"/>
  <c r="AP23" i="45"/>
  <c r="R23" i="45"/>
  <c r="P23" i="45"/>
  <c r="N23" i="45"/>
  <c r="L23" i="45"/>
  <c r="J23" i="45"/>
  <c r="CJ22" i="45"/>
  <c r="CH22" i="45"/>
  <c r="CE22" i="45"/>
  <c r="CC22" i="45"/>
  <c r="CA22" i="45"/>
  <c r="BY22" i="45"/>
  <c r="BW22" i="45"/>
  <c r="BU22" i="45"/>
  <c r="BS22" i="45"/>
  <c r="BQ22" i="45"/>
  <c r="BO22" i="45"/>
  <c r="BM22" i="45"/>
  <c r="BK22" i="45"/>
  <c r="BI22" i="45"/>
  <c r="BG22" i="45"/>
  <c r="BE22" i="45"/>
  <c r="BC22" i="45"/>
  <c r="BA22" i="45"/>
  <c r="AY22" i="45"/>
  <c r="AW22" i="45"/>
  <c r="AU22" i="45"/>
  <c r="AS22" i="45"/>
  <c r="AQ22" i="45"/>
  <c r="AO22" i="45"/>
  <c r="S22" i="45"/>
  <c r="Q22" i="45"/>
  <c r="O22" i="45"/>
  <c r="M22" i="45"/>
  <c r="K22" i="45"/>
  <c r="I22" i="45"/>
  <c r="CK21" i="45"/>
  <c r="CI21" i="45"/>
  <c r="CF21" i="45"/>
  <c r="CD21" i="45"/>
  <c r="CB21" i="45"/>
  <c r="BZ21" i="45"/>
  <c r="BX21" i="45"/>
  <c r="BV21" i="45"/>
  <c r="BT21" i="45"/>
  <c r="BR21" i="45"/>
  <c r="BP21" i="45"/>
  <c r="BN21" i="45"/>
  <c r="BL21" i="45"/>
  <c r="BJ21" i="45"/>
  <c r="BH21" i="45"/>
  <c r="BF21" i="45"/>
  <c r="BD21" i="45"/>
  <c r="BB21" i="45"/>
  <c r="AZ21" i="45"/>
  <c r="AX21" i="45"/>
  <c r="AV21" i="45"/>
  <c r="AT21" i="45"/>
  <c r="AR21" i="45"/>
  <c r="AP21" i="45"/>
  <c r="R21" i="45"/>
  <c r="P21" i="45"/>
  <c r="N21" i="45"/>
  <c r="L21" i="45"/>
  <c r="J21" i="45"/>
  <c r="H21" i="45"/>
  <c r="CK20" i="45"/>
  <c r="CI20" i="45"/>
  <c r="CF20" i="45"/>
  <c r="CD20" i="45"/>
  <c r="CB20" i="45"/>
  <c r="BZ20" i="45"/>
  <c r="BX20" i="45"/>
  <c r="BV20" i="45"/>
  <c r="BT20" i="45"/>
  <c r="BR20" i="45"/>
  <c r="BP20" i="45"/>
  <c r="BN20" i="45"/>
  <c r="BL20" i="45"/>
  <c r="BJ20" i="45"/>
  <c r="BH20" i="45"/>
  <c r="BF20" i="45"/>
  <c r="BD20" i="45"/>
  <c r="BB20" i="45"/>
  <c r="AZ20" i="45"/>
  <c r="AX20" i="45"/>
  <c r="AV20" i="45"/>
  <c r="AT20" i="45"/>
  <c r="AR20" i="45"/>
  <c r="AP20" i="45"/>
  <c r="S20" i="45"/>
  <c r="Q20" i="45"/>
  <c r="O20" i="45"/>
  <c r="M20" i="45"/>
  <c r="K20" i="45"/>
  <c r="I20" i="45"/>
  <c r="CK19" i="45"/>
  <c r="CI19" i="45"/>
  <c r="CF19" i="45"/>
  <c r="CD19" i="45"/>
  <c r="CB19" i="45"/>
  <c r="BZ19" i="45"/>
  <c r="BX19" i="45"/>
  <c r="BV19" i="45"/>
  <c r="BT19" i="45"/>
  <c r="BR19" i="45"/>
  <c r="BP19" i="45"/>
  <c r="BN19" i="45"/>
  <c r="BL19" i="45"/>
  <c r="BJ19" i="45"/>
  <c r="BH19" i="45"/>
  <c r="BF19" i="45"/>
  <c r="BD19" i="45"/>
  <c r="BB19" i="45"/>
  <c r="AZ19" i="45"/>
  <c r="AX19" i="45"/>
  <c r="AV19" i="45"/>
  <c r="AT19" i="45"/>
  <c r="AR19" i="45"/>
  <c r="AP19" i="45"/>
  <c r="S19" i="45"/>
  <c r="Q19" i="45"/>
  <c r="O19" i="45"/>
  <c r="M19" i="45"/>
  <c r="K19" i="45"/>
  <c r="I19" i="45"/>
  <c r="CJ18" i="45"/>
  <c r="CJ17" i="45"/>
  <c r="CH18" i="45"/>
  <c r="CH17" i="45"/>
  <c r="CH16" i="45"/>
  <c r="CH15" i="45"/>
  <c r="CE18" i="45"/>
  <c r="CE17" i="45"/>
  <c r="CA18" i="45"/>
  <c r="CA17" i="45"/>
  <c r="BW18" i="45"/>
  <c r="BW17" i="45"/>
  <c r="BU18" i="45"/>
  <c r="BU17" i="45"/>
  <c r="BU16" i="45"/>
  <c r="BU15" i="45"/>
  <c r="BS18" i="45"/>
  <c r="BS17" i="45"/>
  <c r="BQ18" i="45"/>
  <c r="BQ17" i="45"/>
  <c r="BQ16" i="45"/>
  <c r="BQ15" i="45"/>
  <c r="BO18" i="45"/>
  <c r="BO17" i="45"/>
  <c r="BM18" i="45"/>
  <c r="BM17" i="45"/>
  <c r="BM16" i="45"/>
  <c r="BM15" i="45"/>
  <c r="BK18" i="45"/>
  <c r="BK17" i="45"/>
  <c r="BG18" i="45"/>
  <c r="BG17" i="45"/>
  <c r="BE18" i="45"/>
  <c r="BE17" i="45"/>
  <c r="BE16" i="45"/>
  <c r="BE15" i="45"/>
  <c r="BC18" i="45"/>
  <c r="BC17" i="45"/>
  <c r="BA18" i="45"/>
  <c r="BA17" i="45"/>
  <c r="BA16" i="45"/>
  <c r="BA15" i="45"/>
  <c r="AY18" i="45"/>
  <c r="AY17" i="45"/>
  <c r="AW18" i="45"/>
  <c r="AW17" i="45"/>
  <c r="AW16" i="45"/>
  <c r="AW15" i="45"/>
  <c r="AU18" i="45"/>
  <c r="AU17" i="45"/>
  <c r="AS18" i="45"/>
  <c r="AS17" i="45"/>
  <c r="AS16" i="45"/>
  <c r="AS15" i="45"/>
  <c r="AQ18" i="45"/>
  <c r="AQ17" i="45"/>
  <c r="AO18" i="45"/>
  <c r="R18" i="45"/>
  <c r="R17" i="45"/>
  <c r="R7" i="45"/>
  <c r="P18" i="45"/>
  <c r="P17" i="45"/>
  <c r="P7" i="45"/>
  <c r="N18" i="45"/>
  <c r="N17" i="45"/>
  <c r="N7" i="45"/>
  <c r="L18" i="45"/>
  <c r="L17" i="45"/>
  <c r="L7" i="45"/>
  <c r="J18" i="45"/>
  <c r="J17" i="45"/>
  <c r="J16" i="45"/>
  <c r="J15" i="45"/>
  <c r="CJ36" i="45"/>
  <c r="CJ35" i="45"/>
  <c r="CJ34" i="45"/>
  <c r="CJ33" i="45"/>
  <c r="CJ32" i="45"/>
  <c r="CH36" i="45"/>
  <c r="CH35" i="45"/>
  <c r="CH34" i="45"/>
  <c r="CH33" i="45"/>
  <c r="CH32" i="45"/>
  <c r="CE36" i="45"/>
  <c r="CE35" i="45"/>
  <c r="CE34" i="45"/>
  <c r="CE33" i="45"/>
  <c r="CE32" i="45"/>
  <c r="CA36" i="45"/>
  <c r="CA35" i="45"/>
  <c r="CA34" i="45"/>
  <c r="CA33" i="45"/>
  <c r="CA32" i="45"/>
  <c r="BW36" i="45"/>
  <c r="BW35" i="45"/>
  <c r="BW34" i="45"/>
  <c r="BW33" i="45"/>
  <c r="BW32" i="45"/>
  <c r="BU36" i="45"/>
  <c r="BU35" i="45"/>
  <c r="BU34" i="45"/>
  <c r="BU33" i="45"/>
  <c r="BU32" i="45"/>
  <c r="BS36" i="45"/>
  <c r="BS35" i="45"/>
  <c r="BS34" i="45"/>
  <c r="BS33" i="45"/>
  <c r="BS32" i="45"/>
  <c r="BQ36" i="45"/>
  <c r="BQ35" i="45"/>
  <c r="BQ34" i="45"/>
  <c r="BQ33" i="45"/>
  <c r="BQ32" i="45"/>
  <c r="BO36" i="45"/>
  <c r="BO35" i="45"/>
  <c r="BO34" i="45"/>
  <c r="BO33" i="45"/>
  <c r="BO32" i="45"/>
  <c r="BM36" i="45"/>
  <c r="BM35" i="45"/>
  <c r="BM34" i="45"/>
  <c r="BM33" i="45"/>
  <c r="BM32" i="45"/>
  <c r="BK36" i="45"/>
  <c r="BK35" i="45"/>
  <c r="BK34" i="45"/>
  <c r="BK33" i="45"/>
  <c r="BK32" i="45"/>
  <c r="BG36" i="45"/>
  <c r="BG35" i="45"/>
  <c r="BG34" i="45"/>
  <c r="BG33" i="45"/>
  <c r="BG32" i="45"/>
  <c r="BE36" i="45"/>
  <c r="BE35" i="45"/>
  <c r="BE34" i="45"/>
  <c r="BE33" i="45"/>
  <c r="BE32" i="45"/>
  <c r="BC36" i="45"/>
  <c r="BC35" i="45"/>
  <c r="BC34" i="45"/>
  <c r="BC33" i="45"/>
  <c r="BC32" i="45"/>
  <c r="BA36" i="45"/>
  <c r="BA35" i="45"/>
  <c r="BA34" i="45"/>
  <c r="BA33" i="45"/>
  <c r="BA32" i="45"/>
  <c r="AY36" i="45"/>
  <c r="AY35" i="45"/>
  <c r="AY34" i="45"/>
  <c r="AY33" i="45"/>
  <c r="AY32" i="45"/>
  <c r="AW36" i="45"/>
  <c r="AW35" i="45"/>
  <c r="AW34" i="45"/>
  <c r="AW33" i="45"/>
  <c r="AW32" i="45"/>
  <c r="AU36" i="45"/>
  <c r="AU35" i="45"/>
  <c r="AU34" i="45"/>
  <c r="AU33" i="45"/>
  <c r="AU32" i="45"/>
  <c r="AS36" i="45"/>
  <c r="AS35" i="45"/>
  <c r="AS34" i="45"/>
  <c r="AS33" i="45"/>
  <c r="AS32" i="45"/>
  <c r="AQ36" i="45"/>
  <c r="AQ35" i="45"/>
  <c r="AQ34" i="45"/>
  <c r="AQ33" i="45"/>
  <c r="AQ32" i="45"/>
  <c r="AO36" i="45"/>
  <c r="AO35" i="45"/>
  <c r="AO34" i="45"/>
  <c r="AO33" i="45"/>
  <c r="AO32" i="45"/>
  <c r="J36" i="45"/>
  <c r="J35" i="45"/>
  <c r="J34" i="45"/>
  <c r="J33" i="45"/>
  <c r="J32" i="45"/>
  <c r="O11" i="22"/>
  <c r="N16" i="22"/>
  <c r="L21" i="32"/>
  <c r="P20" i="39"/>
  <c r="P21" i="39"/>
  <c r="P18" i="39"/>
  <c r="H26" i="36"/>
  <c r="H940" i="35"/>
  <c r="H1015" i="35"/>
  <c r="L793" i="35"/>
  <c r="M793" i="35"/>
  <c r="K805" i="35"/>
  <c r="L805" i="35"/>
  <c r="K809" i="35"/>
  <c r="H1025" i="35"/>
  <c r="H1021" i="35"/>
  <c r="H1017" i="35"/>
  <c r="H1016" i="35"/>
  <c r="H1026" i="35"/>
  <c r="H1022" i="35"/>
  <c r="H1018" i="35"/>
  <c r="K909" i="35"/>
  <c r="K899" i="35"/>
  <c r="N7" i="35"/>
  <c r="K854" i="35"/>
  <c r="K820" i="35"/>
  <c r="K816" i="35"/>
  <c r="K789" i="35"/>
  <c r="K773" i="35"/>
  <c r="K812" i="35"/>
  <c r="K819" i="35"/>
  <c r="K708" i="35"/>
  <c r="K692" i="35"/>
  <c r="K675" i="35"/>
  <c r="K642" i="35"/>
  <c r="I4" i="45"/>
  <c r="H8" i="45"/>
  <c r="N17" i="22"/>
  <c r="O12" i="22"/>
  <c r="H1012" i="35"/>
  <c r="H998" i="35"/>
  <c r="H983" i="35"/>
  <c r="H1023" i="35"/>
  <c r="H1019" i="35"/>
  <c r="H954" i="35"/>
  <c r="H1024" i="35"/>
  <c r="H1020" i="35"/>
  <c r="K917" i="35"/>
  <c r="K839" i="35"/>
  <c r="K814" i="35"/>
  <c r="K757" i="35"/>
  <c r="K740" i="35"/>
  <c r="K724" i="35"/>
  <c r="K658" i="35"/>
  <c r="K625" i="35"/>
  <c r="K609" i="35"/>
  <c r="N413" i="35"/>
  <c r="K429" i="35"/>
  <c r="K250" i="35"/>
  <c r="K267" i="35"/>
  <c r="I267" i="35"/>
  <c r="K258" i="35"/>
  <c r="L241" i="35"/>
  <c r="K249" i="35"/>
  <c r="K253" i="35"/>
  <c r="L181" i="35"/>
  <c r="L182" i="35"/>
  <c r="L216" i="35"/>
  <c r="H104" i="36"/>
  <c r="H10" i="36"/>
  <c r="H9" i="36"/>
  <c r="H757" i="35"/>
  <c r="H740" i="35"/>
  <c r="K677" i="35"/>
  <c r="K824" i="35"/>
  <c r="K872" i="35"/>
  <c r="H658" i="35"/>
  <c r="J642" i="35"/>
  <c r="H642" i="35"/>
  <c r="H625" i="35"/>
  <c r="K588" i="35"/>
  <c r="K817" i="35"/>
  <c r="K584" i="35"/>
  <c r="K813" i="35"/>
  <c r="K577" i="35"/>
  <c r="K560" i="35"/>
  <c r="K544" i="35"/>
  <c r="K528" i="35"/>
  <c r="K512" i="35"/>
  <c r="K496" i="35"/>
  <c r="K480" i="35"/>
  <c r="K464" i="35"/>
  <c r="O464" i="35"/>
  <c r="P464" i="35"/>
  <c r="K421" i="35"/>
  <c r="K367" i="35"/>
  <c r="K317" i="35"/>
  <c r="K344" i="35"/>
  <c r="I964" i="35"/>
  <c r="K340" i="35"/>
  <c r="I960" i="35"/>
  <c r="K212" i="35"/>
  <c r="K132" i="35"/>
  <c r="N78" i="35"/>
  <c r="N83" i="35"/>
  <c r="K418" i="35"/>
  <c r="K415" i="35"/>
  <c r="I301" i="35"/>
  <c r="K301" i="35"/>
  <c r="J350" i="35"/>
  <c r="N870" i="35"/>
  <c r="K300" i="35"/>
  <c r="K337" i="35"/>
  <c r="I957" i="35"/>
  <c r="K283" i="35"/>
  <c r="K338" i="35"/>
  <c r="I958" i="35"/>
  <c r="K198" i="35"/>
  <c r="K168" i="35"/>
  <c r="K149" i="35"/>
  <c r="K83" i="35"/>
  <c r="K86" i="35"/>
  <c r="AC13" i="45"/>
  <c r="M16" i="22"/>
  <c r="M39" i="29"/>
  <c r="M38" i="29"/>
  <c r="H23" i="36"/>
  <c r="G1025" i="35"/>
  <c r="G1023" i="35"/>
  <c r="G1021" i="35"/>
  <c r="G1019" i="35"/>
  <c r="G1017" i="35"/>
  <c r="E1016" i="35"/>
  <c r="E1027" i="35"/>
  <c r="G1015" i="35"/>
  <c r="G1027" i="35"/>
  <c r="G1012" i="35"/>
  <c r="G983" i="35"/>
  <c r="G940" i="35"/>
  <c r="I909" i="35"/>
  <c r="I899" i="35"/>
  <c r="H881" i="35"/>
  <c r="N920" i="35"/>
  <c r="I870" i="35"/>
  <c r="L351" i="35"/>
  <c r="K586" i="35"/>
  <c r="K815" i="35"/>
  <c r="K582" i="35"/>
  <c r="K399" i="35"/>
  <c r="K383" i="35"/>
  <c r="K333" i="35"/>
  <c r="K349" i="35"/>
  <c r="I968" i="35"/>
  <c r="I350" i="35"/>
  <c r="K347" i="35"/>
  <c r="I966" i="35"/>
  <c r="K342" i="35"/>
  <c r="I962" i="35"/>
  <c r="K233" i="35"/>
  <c r="H189" i="26"/>
  <c r="H189" i="27"/>
  <c r="I334" i="35"/>
  <c r="I284" i="35"/>
  <c r="K284" i="35"/>
  <c r="H233" i="35"/>
  <c r="M233" i="35"/>
  <c r="K65" i="35"/>
  <c r="K97" i="35"/>
  <c r="K214" i="35"/>
  <c r="K60" i="35"/>
  <c r="K92" i="35"/>
  <c r="K209" i="35"/>
  <c r="K51" i="35"/>
  <c r="C11" i="31"/>
  <c r="H789" i="27"/>
  <c r="H802" i="27"/>
  <c r="H560" i="35"/>
  <c r="H544" i="35"/>
  <c r="H415" i="35"/>
  <c r="H317" i="35"/>
  <c r="H300" i="35"/>
  <c r="H350" i="35"/>
  <c r="O7" i="35"/>
  <c r="M7" i="35"/>
  <c r="K62" i="35"/>
  <c r="K94" i="35"/>
  <c r="K211" i="35"/>
  <c r="K58" i="35"/>
  <c r="K67" i="35"/>
  <c r="K35" i="35"/>
  <c r="K20" i="35"/>
  <c r="L114" i="31"/>
  <c r="H51" i="35"/>
  <c r="I20" i="35"/>
  <c r="M20" i="35"/>
  <c r="AA122" i="31"/>
  <c r="AA120" i="31"/>
  <c r="AF119" i="31"/>
  <c r="I114" i="31"/>
  <c r="N63" i="31"/>
  <c r="K62" i="31"/>
  <c r="H61" i="31"/>
  <c r="H59" i="31"/>
  <c r="H58" i="31"/>
  <c r="H57" i="31"/>
  <c r="N55" i="31"/>
  <c r="K54" i="31"/>
  <c r="K50" i="31"/>
  <c r="H49" i="31"/>
  <c r="H47" i="31"/>
  <c r="H43" i="31"/>
  <c r="K40" i="31"/>
  <c r="H39" i="31"/>
  <c r="N36" i="31"/>
  <c r="K35" i="31"/>
  <c r="N34" i="31"/>
  <c r="K33" i="31"/>
  <c r="K32" i="31"/>
  <c r="N27" i="31"/>
  <c r="N26" i="31"/>
  <c r="H24" i="31"/>
  <c r="N18" i="31"/>
  <c r="H17" i="31"/>
  <c r="F41" i="19"/>
  <c r="J40" i="19"/>
  <c r="F38" i="19"/>
  <c r="I36" i="19"/>
  <c r="I30" i="19"/>
  <c r="F29" i="19"/>
  <c r="I27" i="19"/>
  <c r="J26" i="19"/>
  <c r="I25" i="19"/>
  <c r="I23" i="19"/>
  <c r="F20" i="19"/>
  <c r="J19" i="19"/>
  <c r="I18" i="19"/>
  <c r="F18" i="19"/>
  <c r="F31" i="19"/>
  <c r="I14" i="19"/>
  <c r="I12" i="19"/>
  <c r="F9" i="19"/>
  <c r="E53" i="13"/>
  <c r="AA14" i="31"/>
  <c r="F44" i="19"/>
  <c r="H158" i="26"/>
  <c r="H84" i="26"/>
  <c r="H191" i="26"/>
  <c r="L34" i="13"/>
  <c r="L50" i="13"/>
  <c r="L53" i="13"/>
  <c r="K50" i="13"/>
  <c r="K53" i="13"/>
  <c r="J33" i="19"/>
  <c r="J43" i="19"/>
  <c r="I33" i="19"/>
  <c r="O62" i="31"/>
  <c r="O32" i="31"/>
  <c r="O30" i="31"/>
  <c r="P30" i="31"/>
  <c r="O22" i="31"/>
  <c r="O20" i="31"/>
  <c r="P20" i="31"/>
  <c r="O19" i="31"/>
  <c r="P19" i="31"/>
  <c r="O15" i="31"/>
  <c r="O13" i="31"/>
  <c r="P13" i="31"/>
  <c r="J42" i="19"/>
  <c r="J38" i="19"/>
  <c r="J29" i="19"/>
  <c r="J21" i="19"/>
  <c r="J10" i="19"/>
  <c r="H74" i="4"/>
  <c r="J50" i="11"/>
  <c r="J51" i="60"/>
  <c r="J68" i="11"/>
  <c r="J67" i="11"/>
  <c r="J68" i="60"/>
  <c r="J67" i="60"/>
  <c r="N49" i="4"/>
  <c r="J124" i="11"/>
  <c r="I124" i="60"/>
  <c r="I50" i="60"/>
  <c r="I123" i="60"/>
  <c r="H124" i="60"/>
  <c r="H50" i="60"/>
  <c r="H123" i="60"/>
  <c r="J123" i="11"/>
  <c r="G22" i="11"/>
  <c r="I31" i="19"/>
  <c r="I59" i="4"/>
  <c r="I43" i="19"/>
  <c r="O59" i="4"/>
  <c r="P59" i="4"/>
  <c r="O54" i="4"/>
  <c r="P54" i="4"/>
  <c r="O49" i="4"/>
  <c r="P49" i="4"/>
  <c r="O41" i="4"/>
  <c r="P41" i="4"/>
  <c r="O14" i="4"/>
  <c r="P14" i="4"/>
  <c r="O13" i="4"/>
  <c r="P13" i="4"/>
  <c r="F16" i="4"/>
  <c r="H124" i="4"/>
  <c r="U69" i="23"/>
  <c r="F45" i="19"/>
  <c r="N45" i="19"/>
  <c r="F60" i="11"/>
  <c r="F45" i="4"/>
  <c r="G95" i="11"/>
  <c r="G94" i="11"/>
  <c r="G26" i="15"/>
  <c r="F27" i="4"/>
  <c r="S105" i="4"/>
  <c r="F127" i="4"/>
  <c r="F69" i="4"/>
  <c r="F40" i="11"/>
  <c r="F24" i="4"/>
  <c r="G28" i="15"/>
  <c r="F86" i="4"/>
  <c r="H118" i="4"/>
  <c r="M31" i="4"/>
  <c r="N31" i="4"/>
  <c r="M66" i="23"/>
  <c r="N63" i="23"/>
  <c r="N66" i="23"/>
  <c r="M11" i="33"/>
  <c r="M97" i="4"/>
  <c r="N97" i="4"/>
  <c r="G121" i="4"/>
  <c r="G24" i="15"/>
  <c r="F120" i="11"/>
  <c r="G120" i="4"/>
  <c r="G22" i="15"/>
  <c r="O44" i="31"/>
  <c r="P44" i="31"/>
  <c r="K44" i="31"/>
  <c r="O49" i="31"/>
  <c r="K49" i="31"/>
  <c r="P43" i="31"/>
  <c r="W665" i="45"/>
  <c r="X520" i="45"/>
  <c r="AD121" i="45"/>
  <c r="AA760" i="45"/>
  <c r="AD776" i="45"/>
  <c r="AD775" i="45"/>
  <c r="AD856" i="45"/>
  <c r="AD855" i="45"/>
  <c r="AB119" i="31"/>
  <c r="AC119" i="31"/>
  <c r="K87" i="35"/>
  <c r="K91" i="35"/>
  <c r="L91" i="35"/>
  <c r="K178" i="35"/>
  <c r="K115" i="35"/>
  <c r="K172" i="35"/>
  <c r="K206" i="35"/>
  <c r="K424" i="35"/>
  <c r="K863" i="35"/>
  <c r="N863" i="35"/>
  <c r="K427" i="35"/>
  <c r="K204" i="35"/>
  <c r="K263" i="35"/>
  <c r="K428" i="35"/>
  <c r="K426" i="35"/>
  <c r="K865" i="35"/>
  <c r="N865" i="35"/>
  <c r="K810" i="35"/>
  <c r="K823" i="35"/>
  <c r="L6" i="36"/>
  <c r="AJ56" i="45"/>
  <c r="AJ40" i="45"/>
  <c r="AJ21" i="45"/>
  <c r="AL127" i="45"/>
  <c r="AL25" i="45"/>
  <c r="AC132" i="45"/>
  <c r="AI148" i="45"/>
  <c r="AI132" i="45"/>
  <c r="AD330" i="45"/>
  <c r="AK330" i="45"/>
  <c r="AJ330" i="45"/>
  <c r="R109" i="12"/>
  <c r="T109" i="12"/>
  <c r="V109" i="12"/>
  <c r="K181" i="35"/>
  <c r="AD19" i="45"/>
  <c r="AI30" i="45"/>
  <c r="AC30" i="45"/>
  <c r="AD287" i="45"/>
  <c r="AD286" i="45"/>
  <c r="AL304" i="45"/>
  <c r="AI399" i="45"/>
  <c r="AI351" i="45"/>
  <c r="CK437" i="45"/>
  <c r="CK436" i="45"/>
  <c r="AI547" i="45"/>
  <c r="AI531" i="45"/>
  <c r="AD615" i="45"/>
  <c r="AD614" i="45"/>
  <c r="AI527" i="45"/>
  <c r="AD632" i="45"/>
  <c r="AD631" i="45"/>
  <c r="BU519" i="45"/>
  <c r="AJ954" i="45"/>
  <c r="AJ953" i="45"/>
  <c r="AJ952" i="45"/>
  <c r="AJ951" i="45"/>
  <c r="AL808" i="45"/>
  <c r="H190" i="27"/>
  <c r="H202" i="27"/>
  <c r="H843" i="27"/>
  <c r="K215" i="35"/>
  <c r="K210" i="35"/>
  <c r="K430" i="35"/>
  <c r="N216" i="35"/>
  <c r="K208" i="35"/>
  <c r="K255" i="35"/>
  <c r="K266" i="35"/>
  <c r="K422" i="35"/>
  <c r="K431" i="35"/>
  <c r="K821" i="35"/>
  <c r="K818" i="35"/>
  <c r="K866" i="35"/>
  <c r="N866" i="35"/>
  <c r="J920" i="35"/>
  <c r="J922" i="35"/>
  <c r="AL49" i="45"/>
  <c r="AL30" i="45"/>
  <c r="R107" i="12"/>
  <c r="T107" i="12"/>
  <c r="V107" i="12"/>
  <c r="AL954" i="45"/>
  <c r="AL953" i="45"/>
  <c r="AL952" i="45"/>
  <c r="AL951" i="45"/>
  <c r="BM953" i="45"/>
  <c r="BM952" i="45"/>
  <c r="BM951" i="45"/>
  <c r="H72" i="4"/>
  <c r="I108" i="4"/>
  <c r="I127" i="4"/>
  <c r="G59" i="4"/>
  <c r="H59" i="4"/>
  <c r="F23" i="4"/>
  <c r="G124" i="4"/>
  <c r="F64" i="4"/>
  <c r="H31" i="45"/>
  <c r="I518" i="45"/>
  <c r="F19" i="4"/>
  <c r="AJ29" i="45"/>
  <c r="AI273" i="45"/>
  <c r="AC387" i="45"/>
  <c r="AC386" i="45"/>
  <c r="AI388" i="45"/>
  <c r="CX388" i="45"/>
  <c r="AN388" i="45"/>
  <c r="F57" i="4"/>
  <c r="F38" i="4"/>
  <c r="AE119" i="31"/>
  <c r="AF120" i="31"/>
  <c r="AJ119" i="31"/>
  <c r="N350" i="35"/>
  <c r="L870" i="35"/>
  <c r="AI13" i="45"/>
  <c r="L814" i="35"/>
  <c r="L822" i="35"/>
  <c r="K862" i="35"/>
  <c r="N862" i="35"/>
  <c r="L22" i="32"/>
  <c r="P11" i="22"/>
  <c r="O16" i="22"/>
  <c r="M21" i="32"/>
  <c r="BK16" i="45"/>
  <c r="BK15" i="45"/>
  <c r="BO16" i="45"/>
  <c r="BO15" i="45"/>
  <c r="BS16" i="45"/>
  <c r="BS15" i="45"/>
  <c r="BW16" i="45"/>
  <c r="BW15" i="45"/>
  <c r="CE16" i="45"/>
  <c r="CE15" i="45"/>
  <c r="CJ16" i="45"/>
  <c r="CJ15" i="45"/>
  <c r="AJ37" i="45"/>
  <c r="AJ52" i="45"/>
  <c r="AJ51" i="45"/>
  <c r="AI55" i="45"/>
  <c r="CX55" i="45"/>
  <c r="CZ55" i="45"/>
  <c r="DD55" i="45"/>
  <c r="W55" i="45"/>
  <c r="DA55" i="45"/>
  <c r="DA39" i="45"/>
  <c r="CY85" i="45"/>
  <c r="T119" i="45"/>
  <c r="Z120" i="45"/>
  <c r="AJ120" i="45"/>
  <c r="AJ119" i="45"/>
  <c r="AJ118" i="45"/>
  <c r="AJ117" i="45"/>
  <c r="AJ116" i="45"/>
  <c r="AJ115" i="45"/>
  <c r="AJ135" i="45"/>
  <c r="AJ134" i="45"/>
  <c r="AI138" i="45"/>
  <c r="CX138" i="45"/>
  <c r="CZ138" i="45"/>
  <c r="DD138" i="45"/>
  <c r="W138" i="45"/>
  <c r="DA138" i="45"/>
  <c r="DA122" i="45"/>
  <c r="AI202" i="45"/>
  <c r="AI201" i="45"/>
  <c r="AI200" i="45"/>
  <c r="AI199" i="45"/>
  <c r="AI198" i="45"/>
  <c r="CY203" i="45"/>
  <c r="F47" i="4"/>
  <c r="H125" i="4"/>
  <c r="AD271" i="45"/>
  <c r="AC340" i="45"/>
  <c r="AC355" i="45"/>
  <c r="AC354" i="45"/>
  <c r="AI356" i="45"/>
  <c r="AN356" i="45"/>
  <c r="CX356" i="45"/>
  <c r="AG340" i="45"/>
  <c r="AG355" i="45"/>
  <c r="AG354" i="45"/>
  <c r="AM356" i="45"/>
  <c r="AF343" i="45"/>
  <c r="AL359" i="45"/>
  <c r="AF349" i="45"/>
  <c r="AL365" i="45"/>
  <c r="AI420" i="45"/>
  <c r="AC419" i="45"/>
  <c r="AC418" i="45"/>
  <c r="AN154" i="45"/>
  <c r="CY154" i="45"/>
  <c r="J198" i="45"/>
  <c r="BI225" i="45"/>
  <c r="BI224" i="45"/>
  <c r="BI223" i="45"/>
  <c r="BI222" i="45"/>
  <c r="BI221" i="45"/>
  <c r="BI264" i="45"/>
  <c r="BI263" i="45"/>
  <c r="BI262" i="45"/>
  <c r="AJ265" i="45"/>
  <c r="AD268" i="45"/>
  <c r="AD270" i="45"/>
  <c r="AD274" i="45"/>
  <c r="AI276" i="45"/>
  <c r="AC304" i="45"/>
  <c r="AC303" i="45"/>
  <c r="AN305" i="45"/>
  <c r="AD313" i="45"/>
  <c r="AK313" i="45"/>
  <c r="AD329" i="45"/>
  <c r="AD272" i="45"/>
  <c r="AK329" i="45"/>
  <c r="CX340" i="45"/>
  <c r="CZ340" i="45"/>
  <c r="AF340" i="45"/>
  <c r="AF355" i="45"/>
  <c r="AF354" i="45"/>
  <c r="AL356" i="45"/>
  <c r="AF341" i="45"/>
  <c r="AL357" i="45"/>
  <c r="AJ357" i="45"/>
  <c r="AJ341" i="45"/>
  <c r="AN358" i="45"/>
  <c r="CX358" i="45"/>
  <c r="AC342" i="45"/>
  <c r="AI358" i="45"/>
  <c r="AG342" i="45"/>
  <c r="AM358" i="45"/>
  <c r="AM342" i="45"/>
  <c r="AD359" i="45"/>
  <c r="AD343" i="45"/>
  <c r="AE343" i="45"/>
  <c r="AK359" i="45"/>
  <c r="AF344" i="45"/>
  <c r="AL360" i="45"/>
  <c r="AC346" i="45"/>
  <c r="AI362" i="45"/>
  <c r="AI346" i="45"/>
  <c r="AI231" i="45"/>
  <c r="AG346" i="45"/>
  <c r="AM362" i="45"/>
  <c r="AM346" i="45"/>
  <c r="AG347" i="45"/>
  <c r="AM363" i="45"/>
  <c r="AC348" i="45"/>
  <c r="AI364" i="45"/>
  <c r="AI348" i="45"/>
  <c r="AG348" i="45"/>
  <c r="AM364" i="45"/>
  <c r="AM348" i="45"/>
  <c r="AD365" i="45"/>
  <c r="AD349" i="45"/>
  <c r="AE349" i="45"/>
  <c r="AE234" i="45"/>
  <c r="AK365" i="45"/>
  <c r="AF351" i="45"/>
  <c r="AL367" i="45"/>
  <c r="CA2" i="45"/>
  <c r="BU2" i="45"/>
  <c r="BU386" i="45"/>
  <c r="CX422" i="45"/>
  <c r="CZ422" i="45"/>
  <c r="W422" i="45"/>
  <c r="AI422" i="45"/>
  <c r="AC438" i="45"/>
  <c r="AA454" i="45"/>
  <c r="AC453" i="45"/>
  <c r="AC452" i="45"/>
  <c r="CX454" i="45"/>
  <c r="AG438" i="45"/>
  <c r="AG453" i="45"/>
  <c r="AG452" i="45"/>
  <c r="AM454" i="45"/>
  <c r="AC440" i="45"/>
  <c r="AA456" i="45"/>
  <c r="AG441" i="45"/>
  <c r="AM457" i="45"/>
  <c r="AM441" i="45"/>
  <c r="AG442" i="45"/>
  <c r="AM458" i="45"/>
  <c r="AM442" i="45"/>
  <c r="AF444" i="45"/>
  <c r="AL444" i="45"/>
  <c r="AL460" i="45"/>
  <c r="AE446" i="45"/>
  <c r="AK462" i="45"/>
  <c r="AD462" i="45"/>
  <c r="AD446" i="45"/>
  <c r="AF447" i="45"/>
  <c r="AL447" i="45"/>
  <c r="AL463" i="45"/>
  <c r="AG450" i="45"/>
  <c r="AM466" i="45"/>
  <c r="AM450" i="45"/>
  <c r="AM237" i="45"/>
  <c r="AN168" i="45"/>
  <c r="AI167" i="45"/>
  <c r="AI166" i="45"/>
  <c r="CY168" i="45"/>
  <c r="AN170" i="45"/>
  <c r="CY170" i="45"/>
  <c r="H200" i="45"/>
  <c r="H199" i="45"/>
  <c r="H198" i="45"/>
  <c r="BY3" i="45"/>
  <c r="BU4" i="45"/>
  <c r="BU338" i="45"/>
  <c r="AF441" i="45"/>
  <c r="AL441" i="45"/>
  <c r="AL457" i="45"/>
  <c r="AF442" i="45"/>
  <c r="AL442" i="45"/>
  <c r="AL458" i="45"/>
  <c r="AG444" i="45"/>
  <c r="AM460" i="45"/>
  <c r="AM444" i="45"/>
  <c r="AC521" i="45"/>
  <c r="AI537" i="45"/>
  <c r="AM538" i="45"/>
  <c r="AM522" i="45"/>
  <c r="AG522" i="45"/>
  <c r="AF524" i="45"/>
  <c r="AL540" i="45"/>
  <c r="AL524" i="45"/>
  <c r="AF526" i="45"/>
  <c r="AL542" i="45"/>
  <c r="AL526" i="45"/>
  <c r="AI546" i="45"/>
  <c r="AI530" i="45"/>
  <c r="AI235" i="45"/>
  <c r="AC530" i="45"/>
  <c r="AC235" i="45"/>
  <c r="AI568" i="45"/>
  <c r="CX568" i="45"/>
  <c r="AC567" i="45"/>
  <c r="AC566" i="45"/>
  <c r="CY307" i="45"/>
  <c r="Z307" i="45"/>
  <c r="CY404" i="45"/>
  <c r="AI403" i="45"/>
  <c r="AI402" i="45"/>
  <c r="J452" i="45"/>
  <c r="AF449" i="45"/>
  <c r="AL449" i="45"/>
  <c r="AL465" i="45"/>
  <c r="AJ465" i="45"/>
  <c r="AC450" i="45"/>
  <c r="AC237" i="45"/>
  <c r="AI466" i="45"/>
  <c r="AI450" i="45"/>
  <c r="AA466" i="45"/>
  <c r="AC439" i="45"/>
  <c r="AA455" i="45"/>
  <c r="AI455" i="45"/>
  <c r="AI439" i="45"/>
  <c r="AG443" i="45"/>
  <c r="AG230" i="45"/>
  <c r="AM459" i="45"/>
  <c r="AM443" i="45"/>
  <c r="AM230" i="45"/>
  <c r="AC469" i="45"/>
  <c r="AC468" i="45"/>
  <c r="AI470" i="45"/>
  <c r="CX470" i="45"/>
  <c r="Q4" i="45"/>
  <c r="CZ520" i="45"/>
  <c r="I1012" i="45"/>
  <c r="I1025" i="45"/>
  <c r="J534" i="45"/>
  <c r="AC520" i="45"/>
  <c r="CX536" i="45"/>
  <c r="AC535" i="45"/>
  <c r="AC534" i="45"/>
  <c r="AI536" i="45"/>
  <c r="AG520" i="45"/>
  <c r="AG535" i="45"/>
  <c r="AG534" i="45"/>
  <c r="AM536" i="45"/>
  <c r="AF522" i="45"/>
  <c r="AF227" i="45"/>
  <c r="AL538" i="45"/>
  <c r="AL522" i="45"/>
  <c r="AL227" i="45"/>
  <c r="AG523" i="45"/>
  <c r="AM539" i="45"/>
  <c r="AM523" i="45"/>
  <c r="AG524" i="45"/>
  <c r="AM540" i="45"/>
  <c r="AM524" i="45"/>
  <c r="AG526" i="45"/>
  <c r="AM542" i="45"/>
  <c r="AM526" i="45"/>
  <c r="AG527" i="45"/>
  <c r="AM543" i="45"/>
  <c r="AM527" i="45"/>
  <c r="AC529" i="45"/>
  <c r="AC234" i="45"/>
  <c r="AI545" i="45"/>
  <c r="AI529" i="45"/>
  <c r="AF531" i="45"/>
  <c r="AL547" i="45"/>
  <c r="AL531" i="45"/>
  <c r="AC551" i="45"/>
  <c r="AC550" i="45"/>
  <c r="AI552" i="45"/>
  <c r="AD560" i="45"/>
  <c r="AK560" i="45"/>
  <c r="AJ560" i="45"/>
  <c r="AD561" i="45"/>
  <c r="AD529" i="45"/>
  <c r="AK561" i="45"/>
  <c r="AD562" i="45"/>
  <c r="AD530" i="45"/>
  <c r="AK562" i="45"/>
  <c r="AJ562" i="45"/>
  <c r="AD564" i="45"/>
  <c r="AD532" i="45"/>
  <c r="AK564" i="45"/>
  <c r="J262" i="45"/>
  <c r="AI265" i="45"/>
  <c r="AI287" i="45"/>
  <c r="AI286" i="45"/>
  <c r="CY288" i="45"/>
  <c r="AI267" i="45"/>
  <c r="CY290" i="45"/>
  <c r="AI321" i="45"/>
  <c r="AI320" i="45"/>
  <c r="CY322" i="45"/>
  <c r="AK344" i="45"/>
  <c r="AJ360" i="45"/>
  <c r="AK350" i="45"/>
  <c r="AK352" i="45"/>
  <c r="AJ368" i="45"/>
  <c r="AJ404" i="45"/>
  <c r="AJ403" i="45"/>
  <c r="AJ402" i="45"/>
  <c r="AK403" i="45"/>
  <c r="AK402" i="45"/>
  <c r="AF418" i="45"/>
  <c r="AL418" i="45"/>
  <c r="AL419" i="45"/>
  <c r="AC446" i="45"/>
  <c r="AI462" i="45"/>
  <c r="AI446" i="45"/>
  <c r="AA462" i="45"/>
  <c r="AK469" i="45"/>
  <c r="AK468" i="45"/>
  <c r="AJ470" i="45"/>
  <c r="J518" i="45"/>
  <c r="AI602" i="45"/>
  <c r="CX602" i="45"/>
  <c r="AI648" i="45"/>
  <c r="AI647" i="45"/>
  <c r="AB649" i="45"/>
  <c r="AA649" i="45"/>
  <c r="AN649" i="45"/>
  <c r="CY649" i="45"/>
  <c r="AI811" i="45"/>
  <c r="CX811" i="45"/>
  <c r="AI857" i="45"/>
  <c r="CX857" i="45"/>
  <c r="AC856" i="45"/>
  <c r="AC855" i="45"/>
  <c r="I888" i="45"/>
  <c r="AK897" i="45"/>
  <c r="AJ897" i="45"/>
  <c r="AI905" i="45"/>
  <c r="AC904" i="45"/>
  <c r="AC903" i="45"/>
  <c r="CX905" i="45"/>
  <c r="AI963" i="45"/>
  <c r="AI955" i="45"/>
  <c r="AC955" i="45"/>
  <c r="AK530" i="45"/>
  <c r="AI615" i="45"/>
  <c r="AI614" i="45"/>
  <c r="CY616" i="45"/>
  <c r="AB616" i="45"/>
  <c r="AA616" i="45"/>
  <c r="AN616" i="45"/>
  <c r="AK615" i="45"/>
  <c r="AJ616" i="45"/>
  <c r="AJ615" i="45"/>
  <c r="AJ614" i="45"/>
  <c r="AK632" i="45"/>
  <c r="AK631" i="45"/>
  <c r="AJ633" i="45"/>
  <c r="AJ632" i="45"/>
  <c r="AJ631" i="45"/>
  <c r="K29" i="31"/>
  <c r="O29" i="31"/>
  <c r="P29" i="31"/>
  <c r="I15" i="19"/>
  <c r="J15" i="19"/>
  <c r="K59" i="31"/>
  <c r="O59" i="31"/>
  <c r="I39" i="19"/>
  <c r="J39" i="19"/>
  <c r="CZ522" i="45"/>
  <c r="I1014" i="45"/>
  <c r="I614" i="45"/>
  <c r="H630" i="45"/>
  <c r="H614" i="45"/>
  <c r="AC632" i="45"/>
  <c r="AC631" i="45"/>
  <c r="AI633" i="45"/>
  <c r="CX633" i="45"/>
  <c r="AC744" i="45"/>
  <c r="AC743" i="45"/>
  <c r="AI745" i="45"/>
  <c r="CX745" i="45"/>
  <c r="CX809" i="45"/>
  <c r="AC808" i="45"/>
  <c r="AC807" i="45"/>
  <c r="AI809" i="45"/>
  <c r="M12" i="33"/>
  <c r="AK447" i="45"/>
  <c r="AI485" i="45"/>
  <c r="AI484" i="45"/>
  <c r="AN486" i="45"/>
  <c r="CY486" i="45"/>
  <c r="AN488" i="45"/>
  <c r="CY488" i="45"/>
  <c r="AJ547" i="45"/>
  <c r="H581" i="45"/>
  <c r="I566" i="45"/>
  <c r="J582" i="45"/>
  <c r="AL582" i="45"/>
  <c r="AL583" i="45"/>
  <c r="AB667" i="45"/>
  <c r="AA667" i="45"/>
  <c r="AN667" i="45"/>
  <c r="CY667" i="45"/>
  <c r="K23" i="31"/>
  <c r="O23" i="31"/>
  <c r="P23" i="31"/>
  <c r="G118" i="4"/>
  <c r="H994" i="45"/>
  <c r="AI760" i="45"/>
  <c r="AI759" i="45"/>
  <c r="AN761" i="45"/>
  <c r="CY761" i="45"/>
  <c r="AN763" i="45"/>
  <c r="CY763" i="45"/>
  <c r="AK776" i="45"/>
  <c r="AK775" i="45"/>
  <c r="AJ777" i="45"/>
  <c r="AJ776" i="45"/>
  <c r="AJ775" i="45"/>
  <c r="AJ809" i="45"/>
  <c r="AJ808" i="45"/>
  <c r="AJ807" i="45"/>
  <c r="AK808" i="45"/>
  <c r="AK807" i="45"/>
  <c r="AK840" i="45"/>
  <c r="AK839" i="45"/>
  <c r="AJ841" i="45"/>
  <c r="AJ840" i="45"/>
  <c r="AJ839" i="45"/>
  <c r="AK872" i="45"/>
  <c r="AK871" i="45"/>
  <c r="AJ873" i="45"/>
  <c r="AJ872" i="45"/>
  <c r="AJ871" i="45"/>
  <c r="AK888" i="45"/>
  <c r="AJ889" i="45"/>
  <c r="AJ888" i="45"/>
  <c r="AB747" i="45"/>
  <c r="AA747" i="45"/>
  <c r="AN747" i="45"/>
  <c r="CY747" i="45"/>
  <c r="AI776" i="45"/>
  <c r="AI775" i="45"/>
  <c r="AB777" i="45"/>
  <c r="AA777" i="45"/>
  <c r="AN777" i="45"/>
  <c r="CY777" i="45"/>
  <c r="AK792" i="45"/>
  <c r="AK791" i="45"/>
  <c r="AJ793" i="45"/>
  <c r="AF823" i="45"/>
  <c r="AL823" i="45"/>
  <c r="AL824" i="45"/>
  <c r="AF839" i="45"/>
  <c r="AL839" i="45"/>
  <c r="AL840" i="45"/>
  <c r="CY843" i="45"/>
  <c r="AB843" i="45"/>
  <c r="AA843" i="45"/>
  <c r="AN843" i="45"/>
  <c r="AF855" i="45"/>
  <c r="AL855" i="45"/>
  <c r="AL856" i="45"/>
  <c r="AF871" i="45"/>
  <c r="AL871" i="45"/>
  <c r="AL872" i="45"/>
  <c r="AI888" i="45"/>
  <c r="AB889" i="45"/>
  <c r="AA889" i="45"/>
  <c r="AN889" i="45"/>
  <c r="CY889" i="45"/>
  <c r="AK904" i="45"/>
  <c r="AK903" i="45"/>
  <c r="AJ905" i="45"/>
  <c r="AF974" i="45"/>
  <c r="AL975" i="45"/>
  <c r="K90" i="35"/>
  <c r="K207" i="35"/>
  <c r="M871" i="35"/>
  <c r="M873" i="35"/>
  <c r="H920" i="35"/>
  <c r="K350" i="35"/>
  <c r="H8" i="36"/>
  <c r="H7" i="36"/>
  <c r="K860" i="35"/>
  <c r="N860" i="35"/>
  <c r="K868" i="35"/>
  <c r="N868" i="35"/>
  <c r="H1027" i="35"/>
  <c r="AE2" i="45"/>
  <c r="K17" i="45"/>
  <c r="K16" i="45"/>
  <c r="K15" i="45"/>
  <c r="O17" i="45"/>
  <c r="S17" i="45"/>
  <c r="AR17" i="45"/>
  <c r="AR16" i="45"/>
  <c r="AR15" i="45"/>
  <c r="AV17" i="45"/>
  <c r="AV16" i="45"/>
  <c r="AV15" i="45"/>
  <c r="AZ17" i="45"/>
  <c r="AZ16" i="45"/>
  <c r="AZ15" i="45"/>
  <c r="BD17" i="45"/>
  <c r="BD16" i="45"/>
  <c r="BD15" i="45"/>
  <c r="BH17" i="45"/>
  <c r="BH16" i="45"/>
  <c r="BH15" i="45"/>
  <c r="BL17" i="45"/>
  <c r="BL16" i="45"/>
  <c r="BL15" i="45"/>
  <c r="BP17" i="45"/>
  <c r="BP16" i="45"/>
  <c r="BP15" i="45"/>
  <c r="BT17" i="45"/>
  <c r="BT16" i="45"/>
  <c r="BT15" i="45"/>
  <c r="BX17" i="45"/>
  <c r="BX16" i="45"/>
  <c r="BX15" i="45"/>
  <c r="CB17" i="45"/>
  <c r="CB16" i="45"/>
  <c r="CB15" i="45"/>
  <c r="CF17" i="45"/>
  <c r="CF16" i="45"/>
  <c r="CF15" i="45"/>
  <c r="CK17" i="45"/>
  <c r="CK16" i="45"/>
  <c r="CK15" i="45"/>
  <c r="AD68" i="45"/>
  <c r="AD67" i="45"/>
  <c r="AL1" i="45"/>
  <c r="AM1" i="45"/>
  <c r="AI87" i="45"/>
  <c r="CY87" i="45"/>
  <c r="H99" i="45"/>
  <c r="AE36" i="45"/>
  <c r="AE35" i="45"/>
  <c r="AE34" i="45"/>
  <c r="AE33" i="45"/>
  <c r="AE32" i="45"/>
  <c r="AG36" i="45"/>
  <c r="AG35" i="45"/>
  <c r="AG34" i="45"/>
  <c r="AG33" i="45"/>
  <c r="AG32" i="45"/>
  <c r="AK36" i="45"/>
  <c r="AK35" i="45"/>
  <c r="AK34" i="45"/>
  <c r="AK33" i="45"/>
  <c r="AK32" i="45"/>
  <c r="AM36" i="45"/>
  <c r="AM35" i="45"/>
  <c r="AM34" i="45"/>
  <c r="AM33" i="45"/>
  <c r="AM32" i="45"/>
  <c r="DA69" i="45"/>
  <c r="AI69" i="45"/>
  <c r="AF19" i="45"/>
  <c r="AG20" i="45"/>
  <c r="AI41" i="45"/>
  <c r="AI22" i="45"/>
  <c r="AM119" i="45"/>
  <c r="AM118" i="45"/>
  <c r="AM117" i="45"/>
  <c r="AM116" i="45"/>
  <c r="AM115" i="45"/>
  <c r="AF119" i="45"/>
  <c r="AF118" i="45"/>
  <c r="AF117" i="45"/>
  <c r="AF116" i="45"/>
  <c r="AF115" i="45"/>
  <c r="AD183" i="45"/>
  <c r="AD182" i="45"/>
  <c r="AF36" i="45"/>
  <c r="AF35" i="45"/>
  <c r="AF34" i="45"/>
  <c r="AF33" i="45"/>
  <c r="AF32" i="45"/>
  <c r="AH36" i="45"/>
  <c r="AH35" i="45"/>
  <c r="AH34" i="45"/>
  <c r="AH33" i="45"/>
  <c r="AL36" i="45"/>
  <c r="AL35" i="45"/>
  <c r="AL34" i="45"/>
  <c r="AL33" i="45"/>
  <c r="AL32" i="45"/>
  <c r="AL99" i="45"/>
  <c r="AL120" i="45"/>
  <c r="AL18" i="45"/>
  <c r="AL17" i="45"/>
  <c r="AL16" i="45"/>
  <c r="AL15" i="45"/>
  <c r="CI224" i="45"/>
  <c r="CI223" i="45"/>
  <c r="CI222" i="45"/>
  <c r="CI221" i="45"/>
  <c r="H1016" i="45"/>
  <c r="H1021" i="45"/>
  <c r="K224" i="45"/>
  <c r="K223" i="45"/>
  <c r="O224" i="45"/>
  <c r="O223" i="45"/>
  <c r="O222" i="45"/>
  <c r="O221" i="45"/>
  <c r="S224" i="45"/>
  <c r="AH264" i="45"/>
  <c r="AH263" i="45"/>
  <c r="AH262" i="45"/>
  <c r="AO224" i="45"/>
  <c r="AO223" i="45"/>
  <c r="AO222" i="45"/>
  <c r="AO221" i="45"/>
  <c r="AS224" i="45"/>
  <c r="AS223" i="45"/>
  <c r="AS222" i="45"/>
  <c r="AS221" i="45"/>
  <c r="AS7" i="45"/>
  <c r="AW224" i="45"/>
  <c r="AW223" i="45"/>
  <c r="AW222" i="45"/>
  <c r="AW221" i="45"/>
  <c r="AW7" i="45"/>
  <c r="BA224" i="45"/>
  <c r="BA223" i="45"/>
  <c r="BA222" i="45"/>
  <c r="BA221" i="45"/>
  <c r="BA7" i="45"/>
  <c r="BE224" i="45"/>
  <c r="BE223" i="45"/>
  <c r="BE222" i="45"/>
  <c r="BE221" i="45"/>
  <c r="BE7" i="45"/>
  <c r="BO224" i="45"/>
  <c r="BO223" i="45"/>
  <c r="BO222" i="45"/>
  <c r="BO221" i="45"/>
  <c r="BU224" i="45"/>
  <c r="BU223" i="45"/>
  <c r="BU222" i="45"/>
  <c r="CA224" i="45"/>
  <c r="CA223" i="45"/>
  <c r="CA222" i="45"/>
  <c r="CA221" i="45"/>
  <c r="CE224" i="45"/>
  <c r="CE223" i="45"/>
  <c r="CE222" i="45"/>
  <c r="CE221" i="45"/>
  <c r="CJ224" i="45"/>
  <c r="CJ223" i="45"/>
  <c r="CJ222" i="45"/>
  <c r="CJ221" i="45"/>
  <c r="AI284" i="45"/>
  <c r="H1020" i="45"/>
  <c r="CX305" i="45"/>
  <c r="AM313" i="45"/>
  <c r="AM273" i="45"/>
  <c r="AD321" i="45"/>
  <c r="AD320" i="45"/>
  <c r="AI365" i="45"/>
  <c r="AI349" i="45"/>
  <c r="AI234" i="45"/>
  <c r="AK380" i="45"/>
  <c r="AJ380" i="45"/>
  <c r="CX420" i="45"/>
  <c r="AC151" i="45"/>
  <c r="AC150" i="45"/>
  <c r="AI240" i="45"/>
  <c r="AI239" i="45"/>
  <c r="AM272" i="45"/>
  <c r="AJ312" i="45"/>
  <c r="H1024" i="45"/>
  <c r="H1017" i="45"/>
  <c r="H419" i="45"/>
  <c r="H1015" i="45"/>
  <c r="CI437" i="45"/>
  <c r="CI436" i="45"/>
  <c r="AL543" i="45"/>
  <c r="AL527" i="45"/>
  <c r="AI280" i="45"/>
  <c r="AI279" i="45"/>
  <c r="BM224" i="45"/>
  <c r="BM223" i="45"/>
  <c r="BM222" i="45"/>
  <c r="BM221" i="45"/>
  <c r="BM7" i="45"/>
  <c r="AF352" i="45"/>
  <c r="AC371" i="45"/>
  <c r="AC370" i="45"/>
  <c r="AE371" i="45"/>
  <c r="AE370" i="45"/>
  <c r="AM371" i="45"/>
  <c r="AM370" i="45"/>
  <c r="AD384" i="45"/>
  <c r="AD387" i="45"/>
  <c r="AD386" i="45"/>
  <c r="AD461" i="45"/>
  <c r="AD445" i="45"/>
  <c r="AJ266" i="45"/>
  <c r="H1019" i="45"/>
  <c r="AE321" i="45"/>
  <c r="AE320" i="45"/>
  <c r="AK341" i="45"/>
  <c r="AC345" i="45"/>
  <c r="AK347" i="45"/>
  <c r="H1018" i="45"/>
  <c r="AH437" i="45"/>
  <c r="AH436" i="45"/>
  <c r="AC265" i="45"/>
  <c r="AC264" i="45"/>
  <c r="AC263" i="45"/>
  <c r="AC262" i="45"/>
  <c r="BY224" i="45"/>
  <c r="BY223" i="45"/>
  <c r="BY222" i="45"/>
  <c r="BY221" i="45"/>
  <c r="AD360" i="45"/>
  <c r="AD344" i="45"/>
  <c r="AM344" i="45"/>
  <c r="AM229" i="45"/>
  <c r="AD352" i="45"/>
  <c r="AF371" i="45"/>
  <c r="AJ376" i="45"/>
  <c r="AD403" i="45"/>
  <c r="AD402" i="45"/>
  <c r="CX456" i="45"/>
  <c r="AD465" i="45"/>
  <c r="AM469" i="45"/>
  <c r="AM468" i="45"/>
  <c r="CK519" i="45"/>
  <c r="CK518" i="45"/>
  <c r="AG529" i="45"/>
  <c r="AD583" i="45"/>
  <c r="AD582" i="45"/>
  <c r="AD460" i="45"/>
  <c r="AD444" i="45"/>
  <c r="AJ480" i="45"/>
  <c r="AJ481" i="45"/>
  <c r="AC522" i="45"/>
  <c r="CX522" i="45"/>
  <c r="AG528" i="45"/>
  <c r="AM530" i="45"/>
  <c r="I1024" i="45"/>
  <c r="AM551" i="45"/>
  <c r="AM550" i="45"/>
  <c r="AD664" i="45"/>
  <c r="AD663" i="45"/>
  <c r="AD696" i="45"/>
  <c r="AD695" i="45"/>
  <c r="AJ696" i="45"/>
  <c r="AJ695" i="45"/>
  <c r="AH519" i="45"/>
  <c r="AH518" i="45"/>
  <c r="CH519" i="45"/>
  <c r="CH518" i="45"/>
  <c r="AC527" i="45"/>
  <c r="AC232" i="45"/>
  <c r="AG532" i="45"/>
  <c r="AD599" i="45"/>
  <c r="AD598" i="45"/>
  <c r="AD680" i="45"/>
  <c r="AD679" i="45"/>
  <c r="BQ4" i="45"/>
  <c r="AI977" i="45"/>
  <c r="AI976" i="45"/>
  <c r="AI975" i="45"/>
  <c r="AI974" i="45"/>
  <c r="AI973" i="45"/>
  <c r="AI972" i="45"/>
  <c r="AD547" i="45"/>
  <c r="AL598" i="45"/>
  <c r="AK648" i="45"/>
  <c r="AK647" i="45"/>
  <c r="AJ575" i="45"/>
  <c r="AL728" i="45"/>
  <c r="AJ801" i="45"/>
  <c r="AD808" i="45"/>
  <c r="AD807" i="45"/>
  <c r="AD840" i="45"/>
  <c r="AD839" i="45"/>
  <c r="AD872" i="45"/>
  <c r="AD871" i="45"/>
  <c r="AI953" i="45"/>
  <c r="AI952" i="45"/>
  <c r="AI951" i="45"/>
  <c r="AK740" i="45"/>
  <c r="AJ740" i="45"/>
  <c r="AD744" i="45"/>
  <c r="AD743" i="45"/>
  <c r="AC956" i="45"/>
  <c r="AJ591" i="45"/>
  <c r="AD712" i="45"/>
  <c r="AD711" i="45"/>
  <c r="AD760" i="45"/>
  <c r="AD759" i="45"/>
  <c r="AD792" i="45"/>
  <c r="AD791" i="45"/>
  <c r="AL791" i="45"/>
  <c r="AL807" i="45"/>
  <c r="AD904" i="45"/>
  <c r="AD903" i="45"/>
  <c r="AL903" i="45"/>
  <c r="H170" i="26"/>
  <c r="H190" i="26"/>
  <c r="H202" i="26"/>
  <c r="H863" i="26"/>
  <c r="AG119" i="31"/>
  <c r="AH119" i="31"/>
  <c r="AF122" i="31"/>
  <c r="AI119" i="31"/>
  <c r="AD119" i="31"/>
  <c r="K334" i="35"/>
  <c r="K351" i="35"/>
  <c r="K871" i="35"/>
  <c r="I351" i="35"/>
  <c r="I871" i="35"/>
  <c r="M350" i="35"/>
  <c r="M870" i="35"/>
  <c r="H103" i="36"/>
  <c r="H82" i="36"/>
  <c r="H81" i="36"/>
  <c r="H80" i="36"/>
  <c r="H79" i="36"/>
  <c r="H78" i="36"/>
  <c r="P12" i="22"/>
  <c r="O17" i="22"/>
  <c r="K857" i="35"/>
  <c r="L13" i="19"/>
  <c r="K20" i="32"/>
  <c r="M47" i="31"/>
  <c r="N47" i="31"/>
  <c r="AQ16" i="45"/>
  <c r="AQ15" i="45"/>
  <c r="AU16" i="45"/>
  <c r="AU15" i="45"/>
  <c r="AY16" i="45"/>
  <c r="AY15" i="45"/>
  <c r="BC16" i="45"/>
  <c r="BC15" i="45"/>
  <c r="BG16" i="45"/>
  <c r="BG15" i="45"/>
  <c r="CA14" i="45"/>
  <c r="CA12" i="45"/>
  <c r="CA11" i="45"/>
  <c r="CA10" i="45"/>
  <c r="CA9" i="45"/>
  <c r="CA8" i="45"/>
  <c r="CA16" i="45"/>
  <c r="CA15" i="45"/>
  <c r="AC37" i="45"/>
  <c r="AC52" i="45"/>
  <c r="AC51" i="45"/>
  <c r="H52" i="45"/>
  <c r="H51" i="45"/>
  <c r="AI53" i="45"/>
  <c r="CX53" i="45"/>
  <c r="CZ53" i="45"/>
  <c r="DD53" i="45"/>
  <c r="W53" i="45"/>
  <c r="DA53" i="45"/>
  <c r="DA37" i="45"/>
  <c r="AD37" i="45"/>
  <c r="AD52" i="45"/>
  <c r="AD51" i="45"/>
  <c r="AC38" i="45"/>
  <c r="AI54" i="45"/>
  <c r="AI38" i="45"/>
  <c r="J134" i="45"/>
  <c r="AL134" i="45"/>
  <c r="AL135" i="45"/>
  <c r="AC120" i="45"/>
  <c r="AC135" i="45"/>
  <c r="AC134" i="45"/>
  <c r="H135" i="45"/>
  <c r="H134" i="45"/>
  <c r="AI136" i="45"/>
  <c r="DA136" i="45"/>
  <c r="DA120" i="45"/>
  <c r="W136" i="45"/>
  <c r="CX136" i="45"/>
  <c r="CZ136" i="45"/>
  <c r="DD136" i="45"/>
  <c r="AD120" i="45"/>
  <c r="AD119" i="45"/>
  <c r="AD118" i="45"/>
  <c r="AD117" i="45"/>
  <c r="AD116" i="45"/>
  <c r="AD115" i="45"/>
  <c r="AD135" i="45"/>
  <c r="AD134" i="45"/>
  <c r="AC121" i="45"/>
  <c r="AI137" i="45"/>
  <c r="AI121" i="45"/>
  <c r="AN152" i="45"/>
  <c r="AI151" i="45"/>
  <c r="AI150" i="45"/>
  <c r="CY152" i="45"/>
  <c r="AF201" i="45"/>
  <c r="AL202" i="45"/>
  <c r="AC202" i="45"/>
  <c r="AC201" i="45"/>
  <c r="AC200" i="45"/>
  <c r="AC199" i="45"/>
  <c r="AC198" i="45"/>
  <c r="X203" i="45"/>
  <c r="Y203" i="45"/>
  <c r="AA203" i="45"/>
  <c r="AB203" i="45"/>
  <c r="AN203" i="45"/>
  <c r="DA203" i="45"/>
  <c r="J118" i="45"/>
  <c r="AL119" i="45"/>
  <c r="AR224" i="45"/>
  <c r="AR950" i="45"/>
  <c r="AV224" i="45"/>
  <c r="AV950" i="45"/>
  <c r="AV949" i="45"/>
  <c r="AZ224" i="45"/>
  <c r="AZ950" i="45"/>
  <c r="AZ949" i="45"/>
  <c r="BD224" i="45"/>
  <c r="BD950" i="45"/>
  <c r="BD949" i="45"/>
  <c r="BH224" i="45"/>
  <c r="BH950" i="45"/>
  <c r="BH949" i="45"/>
  <c r="BL224" i="45"/>
  <c r="BL950" i="45"/>
  <c r="BL949" i="45"/>
  <c r="BP224" i="45"/>
  <c r="BP950" i="45"/>
  <c r="BP949" i="45"/>
  <c r="BT224" i="45"/>
  <c r="BT950" i="45"/>
  <c r="BT949" i="45"/>
  <c r="BX224" i="45"/>
  <c r="BX950" i="45"/>
  <c r="BX949" i="45"/>
  <c r="CB224" i="45"/>
  <c r="CB950" i="45"/>
  <c r="CB949" i="45"/>
  <c r="CF224" i="45"/>
  <c r="CF950" i="45"/>
  <c r="CF949" i="45"/>
  <c r="CK224" i="45"/>
  <c r="CK950" i="45"/>
  <c r="CK949" i="45"/>
  <c r="AD266" i="45"/>
  <c r="AD275" i="45"/>
  <c r="AK316" i="45"/>
  <c r="AD316" i="45"/>
  <c r="AD276" i="45"/>
  <c r="AO4" i="45"/>
  <c r="H1022" i="45"/>
  <c r="J354" i="45"/>
  <c r="AL354" i="45"/>
  <c r="AL355" i="45"/>
  <c r="AE340" i="45"/>
  <c r="AE355" i="45"/>
  <c r="AE354" i="45"/>
  <c r="AK356" i="45"/>
  <c r="AD356" i="45"/>
  <c r="AC341" i="45"/>
  <c r="AC226" i="45"/>
  <c r="AI357" i="45"/>
  <c r="AI341" i="45"/>
  <c r="AF346" i="45"/>
  <c r="AL362" i="45"/>
  <c r="AF348" i="45"/>
  <c r="AL364" i="45"/>
  <c r="AF453" i="45"/>
  <c r="AF452" i="45"/>
  <c r="AL454" i="45"/>
  <c r="AF438" i="45"/>
  <c r="AN186" i="45"/>
  <c r="CY186" i="45"/>
  <c r="AD240" i="45"/>
  <c r="AD239" i="45"/>
  <c r="AD253" i="45"/>
  <c r="AF286" i="45"/>
  <c r="AL286" i="45"/>
  <c r="AL287" i="45"/>
  <c r="AK273" i="45"/>
  <c r="AJ296" i="45"/>
  <c r="AD277" i="45"/>
  <c r="AI304" i="45"/>
  <c r="AI303" i="45"/>
  <c r="Z305" i="45"/>
  <c r="CY305" i="45"/>
  <c r="I320" i="45"/>
  <c r="I354" i="45"/>
  <c r="AD358" i="45"/>
  <c r="AD342" i="45"/>
  <c r="AE342" i="45"/>
  <c r="AK358" i="45"/>
  <c r="AC343" i="45"/>
  <c r="AI359" i="45"/>
  <c r="AI343" i="45"/>
  <c r="AG343" i="45"/>
  <c r="AG228" i="45"/>
  <c r="AM359" i="45"/>
  <c r="AM343" i="45"/>
  <c r="AM228" i="45"/>
  <c r="AF345" i="45"/>
  <c r="AL361" i="45"/>
  <c r="AD362" i="45"/>
  <c r="AD346" i="45"/>
  <c r="AE346" i="45"/>
  <c r="AK362" i="45"/>
  <c r="AD364" i="45"/>
  <c r="AD348" i="45"/>
  <c r="AE348" i="45"/>
  <c r="AK364" i="45"/>
  <c r="AG349" i="45"/>
  <c r="AM365" i="45"/>
  <c r="AM349" i="45"/>
  <c r="AF350" i="45"/>
  <c r="AL366" i="45"/>
  <c r="AJ366" i="45"/>
  <c r="AJ350" i="45"/>
  <c r="I370" i="45"/>
  <c r="H370" i="45"/>
  <c r="AE438" i="45"/>
  <c r="AD454" i="45"/>
  <c r="AE453" i="45"/>
  <c r="AE452" i="45"/>
  <c r="AK454" i="45"/>
  <c r="AE441" i="45"/>
  <c r="AK457" i="45"/>
  <c r="AD457" i="45"/>
  <c r="AD441" i="45"/>
  <c r="AE442" i="45"/>
  <c r="AK458" i="45"/>
  <c r="AD458" i="45"/>
  <c r="AD442" i="45"/>
  <c r="AF443" i="45"/>
  <c r="AL443" i="45"/>
  <c r="AL459" i="45"/>
  <c r="AJ459" i="45"/>
  <c r="AJ443" i="45"/>
  <c r="AG446" i="45"/>
  <c r="AM462" i="45"/>
  <c r="AM446" i="45"/>
  <c r="AE450" i="45"/>
  <c r="AE237" i="45"/>
  <c r="AK466" i="45"/>
  <c r="AD466" i="45"/>
  <c r="AD450" i="45"/>
  <c r="AD237" i="45"/>
  <c r="AI183" i="45"/>
  <c r="AI182" i="45"/>
  <c r="AN184" i="45"/>
  <c r="CY184" i="45"/>
  <c r="J338" i="45"/>
  <c r="AN390" i="45"/>
  <c r="AI390" i="45"/>
  <c r="CY390" i="45"/>
  <c r="CX390" i="45"/>
  <c r="J436" i="45"/>
  <c r="AG447" i="45"/>
  <c r="AM463" i="45"/>
  <c r="AM447" i="45"/>
  <c r="AC449" i="45"/>
  <c r="AC236" i="45"/>
  <c r="AA465" i="45"/>
  <c r="AI465" i="45"/>
  <c r="AI449" i="45"/>
  <c r="AI236" i="45"/>
  <c r="AF450" i="45"/>
  <c r="AL450" i="45"/>
  <c r="AL466" i="45"/>
  <c r="AF535" i="45"/>
  <c r="AF534" i="45"/>
  <c r="AL536" i="45"/>
  <c r="AL520" i="45"/>
  <c r="AF520" i="45"/>
  <c r="AK538" i="45"/>
  <c r="AE522" i="45"/>
  <c r="AD538" i="45"/>
  <c r="AD522" i="45"/>
  <c r="AF523" i="45"/>
  <c r="AL539" i="45"/>
  <c r="AL523" i="45"/>
  <c r="AI541" i="45"/>
  <c r="AI525" i="45"/>
  <c r="AI230" i="45"/>
  <c r="AC525" i="45"/>
  <c r="AI544" i="45"/>
  <c r="AI528" i="45"/>
  <c r="AC528" i="45"/>
  <c r="AF529" i="45"/>
  <c r="AL545" i="45"/>
  <c r="AF532" i="45"/>
  <c r="AL548" i="45"/>
  <c r="AK563" i="45"/>
  <c r="AJ563" i="45"/>
  <c r="AD563" i="45"/>
  <c r="AD551" i="45"/>
  <c r="AD550" i="45"/>
  <c r="AI600" i="45"/>
  <c r="CX600" i="45"/>
  <c r="AC599" i="45"/>
  <c r="AC598" i="45"/>
  <c r="H278" i="45"/>
  <c r="AI371" i="45"/>
  <c r="AI370" i="45"/>
  <c r="CY372" i="45"/>
  <c r="AJ372" i="45"/>
  <c r="AK371" i="45"/>
  <c r="AK370" i="45"/>
  <c r="AK387" i="45"/>
  <c r="AK386" i="45"/>
  <c r="AJ388" i="45"/>
  <c r="AJ387" i="45"/>
  <c r="AJ386" i="45"/>
  <c r="AK419" i="45"/>
  <c r="AK418" i="45"/>
  <c r="AJ420" i="45"/>
  <c r="AJ419" i="45"/>
  <c r="AJ418" i="45"/>
  <c r="AE440" i="45"/>
  <c r="AK456" i="45"/>
  <c r="AD456" i="45"/>
  <c r="AD440" i="45"/>
  <c r="AG440" i="45"/>
  <c r="AM456" i="45"/>
  <c r="AM440" i="45"/>
  <c r="AC441" i="45"/>
  <c r="AI457" i="45"/>
  <c r="AI441" i="45"/>
  <c r="AA457" i="45"/>
  <c r="AC442" i="45"/>
  <c r="AC229" i="45"/>
  <c r="AI458" i="45"/>
  <c r="AI442" i="45"/>
  <c r="AI229" i="45"/>
  <c r="AA458" i="45"/>
  <c r="AL403" i="45"/>
  <c r="AF402" i="45"/>
  <c r="AL402" i="45"/>
  <c r="AG445" i="45"/>
  <c r="AM461" i="45"/>
  <c r="AM445" i="45"/>
  <c r="AF446" i="45"/>
  <c r="AL446" i="45"/>
  <c r="AL462" i="45"/>
  <c r="AG448" i="45"/>
  <c r="AM464" i="45"/>
  <c r="AE520" i="45"/>
  <c r="AD536" i="45"/>
  <c r="AE535" i="45"/>
  <c r="AE534" i="45"/>
  <c r="AK536" i="45"/>
  <c r="AF521" i="45"/>
  <c r="AL537" i="45"/>
  <c r="AL521" i="45"/>
  <c r="AD539" i="45"/>
  <c r="AD523" i="45"/>
  <c r="AE523" i="45"/>
  <c r="AK539" i="45"/>
  <c r="AD540" i="45"/>
  <c r="AD524" i="45"/>
  <c r="AE524" i="45"/>
  <c r="AK540" i="45"/>
  <c r="AD542" i="45"/>
  <c r="AD526" i="45"/>
  <c r="AE526" i="45"/>
  <c r="AK542" i="45"/>
  <c r="AD543" i="45"/>
  <c r="AD527" i="45"/>
  <c r="AE527" i="45"/>
  <c r="AE232" i="45"/>
  <c r="AK543" i="45"/>
  <c r="AF528" i="45"/>
  <c r="AL544" i="45"/>
  <c r="AL528" i="45"/>
  <c r="AF530" i="45"/>
  <c r="AL546" i="45"/>
  <c r="AL530" i="45"/>
  <c r="J550" i="45"/>
  <c r="AL550" i="45"/>
  <c r="AL551" i="45"/>
  <c r="AB554" i="45"/>
  <c r="AA554" i="45"/>
  <c r="AN554" i="45"/>
  <c r="CY554" i="45"/>
  <c r="AK345" i="45"/>
  <c r="AJ361" i="45"/>
  <c r="AJ345" i="45"/>
  <c r="AK351" i="45"/>
  <c r="AJ367" i="45"/>
  <c r="AJ351" i="45"/>
  <c r="AF439" i="45"/>
  <c r="AL439" i="45"/>
  <c r="AL455" i="45"/>
  <c r="AJ455" i="45"/>
  <c r="AJ439" i="45"/>
  <c r="W440" i="45"/>
  <c r="CX440" i="45"/>
  <c r="CZ440" i="45"/>
  <c r="AF663" i="45"/>
  <c r="AL663" i="45"/>
  <c r="AL664" i="45"/>
  <c r="AF695" i="45"/>
  <c r="AL695" i="45"/>
  <c r="AL696" i="45"/>
  <c r="AI729" i="45"/>
  <c r="AC728" i="45"/>
  <c r="AC727" i="45"/>
  <c r="CX729" i="45"/>
  <c r="AK737" i="45"/>
  <c r="AJ737" i="45"/>
  <c r="AD737" i="45"/>
  <c r="AI793" i="45"/>
  <c r="CX793" i="45"/>
  <c r="AC792" i="45"/>
  <c r="AC791" i="45"/>
  <c r="AI841" i="45"/>
  <c r="CX841" i="45"/>
  <c r="DH841" i="45"/>
  <c r="DI841" i="45"/>
  <c r="AC840" i="45"/>
  <c r="AC839" i="45"/>
  <c r="AI873" i="45"/>
  <c r="CX873" i="45"/>
  <c r="AC872" i="45"/>
  <c r="AC871" i="45"/>
  <c r="AI921" i="45"/>
  <c r="CX921" i="45"/>
  <c r="AC920" i="45"/>
  <c r="AC919" i="45"/>
  <c r="K949" i="45"/>
  <c r="AK444" i="45"/>
  <c r="AJ460" i="45"/>
  <c r="AJ444" i="45"/>
  <c r="AI501" i="45"/>
  <c r="AI500" i="45"/>
  <c r="AN502" i="45"/>
  <c r="CY502" i="45"/>
  <c r="AN504" i="45"/>
  <c r="CY504" i="45"/>
  <c r="CY538" i="45"/>
  <c r="AI522" i="45"/>
  <c r="CY522" i="45"/>
  <c r="AB538" i="45"/>
  <c r="AN538" i="45"/>
  <c r="AK551" i="45"/>
  <c r="AK550" i="45"/>
  <c r="AJ552" i="45"/>
  <c r="CY635" i="45"/>
  <c r="AB635" i="45"/>
  <c r="AA635" i="45"/>
  <c r="AN635" i="45"/>
  <c r="I8" i="19"/>
  <c r="J8" i="19"/>
  <c r="J16" i="19"/>
  <c r="J44" i="19"/>
  <c r="I9" i="19"/>
  <c r="J9" i="19"/>
  <c r="K38" i="31"/>
  <c r="O38" i="31"/>
  <c r="BU518" i="45"/>
  <c r="AC824" i="45"/>
  <c r="AC823" i="45"/>
  <c r="AI825" i="45"/>
  <c r="CX825" i="45"/>
  <c r="N11" i="33"/>
  <c r="O11" i="33"/>
  <c r="AE12" i="12"/>
  <c r="AB116" i="12"/>
  <c r="AF116" i="12"/>
  <c r="AC116" i="12"/>
  <c r="AK521" i="45"/>
  <c r="AJ537" i="45"/>
  <c r="AJ521" i="45"/>
  <c r="AK525" i="45"/>
  <c r="AJ541" i="45"/>
  <c r="AJ525" i="45"/>
  <c r="AK567" i="45"/>
  <c r="AK566" i="45"/>
  <c r="AJ568" i="45"/>
  <c r="AJ567" i="45"/>
  <c r="AJ566" i="45"/>
  <c r="J566" i="45"/>
  <c r="AL566" i="45"/>
  <c r="AL567" i="45"/>
  <c r="AI680" i="45"/>
  <c r="AI679" i="45"/>
  <c r="CY681" i="45"/>
  <c r="AB681" i="45"/>
  <c r="AA681" i="45"/>
  <c r="AN681" i="45"/>
  <c r="AK680" i="45"/>
  <c r="AK679" i="45"/>
  <c r="AJ681" i="45"/>
  <c r="AJ680" i="45"/>
  <c r="AJ679" i="45"/>
  <c r="AL680" i="45"/>
  <c r="AF679" i="45"/>
  <c r="AL679" i="45"/>
  <c r="AF711" i="45"/>
  <c r="AL711" i="45"/>
  <c r="AL712" i="45"/>
  <c r="AF743" i="45"/>
  <c r="AL743" i="45"/>
  <c r="AL744" i="45"/>
  <c r="AF759" i="45"/>
  <c r="AL759" i="45"/>
  <c r="AL760" i="45"/>
  <c r="AB779" i="45"/>
  <c r="AA779" i="45"/>
  <c r="AN779" i="45"/>
  <c r="CY779" i="45"/>
  <c r="AB795" i="45"/>
  <c r="AA795" i="45"/>
  <c r="AN795" i="45"/>
  <c r="CY795" i="45"/>
  <c r="AJ825" i="45"/>
  <c r="AJ824" i="45"/>
  <c r="AJ823" i="45"/>
  <c r="AK824" i="45"/>
  <c r="AK823" i="45"/>
  <c r="AB827" i="45"/>
  <c r="AA827" i="45"/>
  <c r="AN827" i="45"/>
  <c r="CY827" i="45"/>
  <c r="AK856" i="45"/>
  <c r="AK855" i="45"/>
  <c r="AJ857" i="45"/>
  <c r="AJ856" i="45"/>
  <c r="AJ855" i="45"/>
  <c r="CY891" i="45"/>
  <c r="AB891" i="45"/>
  <c r="AA891" i="45"/>
  <c r="AN891" i="45"/>
  <c r="CY907" i="45"/>
  <c r="AB907" i="45"/>
  <c r="AA907" i="45"/>
  <c r="AN907" i="45"/>
  <c r="AF919" i="45"/>
  <c r="AL919" i="45"/>
  <c r="AL920" i="45"/>
  <c r="AB923" i="45"/>
  <c r="AA923" i="45"/>
  <c r="AN923" i="45"/>
  <c r="CY923" i="45"/>
  <c r="T110" i="12"/>
  <c r="R110" i="12"/>
  <c r="R111" i="12"/>
  <c r="AF614" i="45"/>
  <c r="AL614" i="45"/>
  <c r="AL615" i="45"/>
  <c r="AK712" i="45"/>
  <c r="AK711" i="45"/>
  <c r="AJ713" i="45"/>
  <c r="AJ712" i="45"/>
  <c r="AJ711" i="45"/>
  <c r="AK728" i="45"/>
  <c r="AK727" i="45"/>
  <c r="AJ729" i="45"/>
  <c r="AJ728" i="45"/>
  <c r="AJ727" i="45"/>
  <c r="CY731" i="45"/>
  <c r="AB731" i="45"/>
  <c r="AA731" i="45"/>
  <c r="AN731" i="45"/>
  <c r="AK760" i="45"/>
  <c r="AK759" i="45"/>
  <c r="AJ761" i="45"/>
  <c r="AJ760" i="45"/>
  <c r="AJ759" i="45"/>
  <c r="AF775" i="45"/>
  <c r="AL775" i="45"/>
  <c r="AL776" i="45"/>
  <c r="AB859" i="45"/>
  <c r="AA859" i="45"/>
  <c r="AN859" i="45"/>
  <c r="CY859" i="45"/>
  <c r="AB875" i="45"/>
  <c r="AA875" i="45"/>
  <c r="AN875" i="45"/>
  <c r="CY875" i="45"/>
  <c r="AF887" i="45"/>
  <c r="AL888" i="45"/>
  <c r="AK920" i="45"/>
  <c r="AK919" i="45"/>
  <c r="AJ921" i="45"/>
  <c r="AJ920" i="45"/>
  <c r="AJ919" i="45"/>
  <c r="H974" i="45"/>
  <c r="H973" i="45"/>
  <c r="H972" i="45"/>
  <c r="H95" i="26"/>
  <c r="K593" i="35"/>
  <c r="I920" i="35"/>
  <c r="K99" i="35"/>
  <c r="O216" i="35"/>
  <c r="K203" i="35"/>
  <c r="I969" i="35"/>
  <c r="K869" i="35"/>
  <c r="N869" i="35"/>
  <c r="K858" i="35"/>
  <c r="N858" i="35"/>
  <c r="K811" i="35"/>
  <c r="K859" i="35"/>
  <c r="N859" i="35"/>
  <c r="K867" i="35"/>
  <c r="N867" i="35"/>
  <c r="K864" i="35"/>
  <c r="N864" i="35"/>
  <c r="M919" i="35"/>
  <c r="I17" i="45"/>
  <c r="I16" i="45"/>
  <c r="I15" i="45"/>
  <c r="M17" i="45"/>
  <c r="Q17" i="45"/>
  <c r="AP17" i="45"/>
  <c r="AP16" i="45"/>
  <c r="AP15" i="45"/>
  <c r="AP7" i="45"/>
  <c r="AT17" i="45"/>
  <c r="AT16" i="45"/>
  <c r="AT15" i="45"/>
  <c r="AT7" i="45"/>
  <c r="AX17" i="45"/>
  <c r="AX16" i="45"/>
  <c r="AX15" i="45"/>
  <c r="AX7" i="45"/>
  <c r="BB17" i="45"/>
  <c r="BB16" i="45"/>
  <c r="BB15" i="45"/>
  <c r="BB7" i="45"/>
  <c r="BF17" i="45"/>
  <c r="BF16" i="45"/>
  <c r="BF15" i="45"/>
  <c r="BF7" i="45"/>
  <c r="BJ17" i="45"/>
  <c r="BJ16" i="45"/>
  <c r="BJ15" i="45"/>
  <c r="BJ7" i="45"/>
  <c r="BN17" i="45"/>
  <c r="BN16" i="45"/>
  <c r="BN15" i="45"/>
  <c r="BN7" i="45"/>
  <c r="BR17" i="45"/>
  <c r="BR16" i="45"/>
  <c r="BR15" i="45"/>
  <c r="BR7" i="45"/>
  <c r="BV17" i="45"/>
  <c r="BV16" i="45"/>
  <c r="BV15" i="45"/>
  <c r="BV7" i="45"/>
  <c r="BZ17" i="45"/>
  <c r="BZ16" i="45"/>
  <c r="BZ15" i="45"/>
  <c r="BZ7" i="45"/>
  <c r="CD17" i="45"/>
  <c r="CD16" i="45"/>
  <c r="CD15" i="45"/>
  <c r="CD7" i="45"/>
  <c r="CI17" i="45"/>
  <c r="CI16" i="45"/>
  <c r="CI15" i="45"/>
  <c r="CI7" i="45"/>
  <c r="AL84" i="45"/>
  <c r="CX87" i="45"/>
  <c r="AD100" i="45"/>
  <c r="AD99" i="45"/>
  <c r="AC39" i="45"/>
  <c r="AE17" i="45"/>
  <c r="AE16" i="45"/>
  <c r="AE15" i="45"/>
  <c r="AG17" i="45"/>
  <c r="AG16" i="45"/>
  <c r="AG15" i="45"/>
  <c r="AM17" i="45"/>
  <c r="AM16" i="45"/>
  <c r="AM15" i="45"/>
  <c r="BY17" i="45"/>
  <c r="BY16" i="45"/>
  <c r="BY15" i="45"/>
  <c r="BY7" i="45"/>
  <c r="CX69" i="45"/>
  <c r="AO19" i="45"/>
  <c r="AO2" i="45"/>
  <c r="AK20" i="45"/>
  <c r="AK17" i="45"/>
  <c r="AK16" i="45"/>
  <c r="AK15" i="45"/>
  <c r="AE119" i="45"/>
  <c r="AE118" i="45"/>
  <c r="AE117" i="45"/>
  <c r="AE116" i="45"/>
  <c r="AE115" i="45"/>
  <c r="AH119" i="45"/>
  <c r="AH118" i="45"/>
  <c r="AH117" i="45"/>
  <c r="AH116" i="45"/>
  <c r="AH115" i="45"/>
  <c r="AI145" i="45"/>
  <c r="AI129" i="45"/>
  <c r="AI27" i="45"/>
  <c r="CX203" i="45"/>
  <c r="T18" i="45"/>
  <c r="AF18" i="45"/>
  <c r="AF17" i="45"/>
  <c r="AF16" i="45"/>
  <c r="AF15" i="45"/>
  <c r="AH18" i="45"/>
  <c r="AH17" i="45"/>
  <c r="AH16" i="45"/>
  <c r="AH15" i="45"/>
  <c r="BI17" i="45"/>
  <c r="BI16" i="45"/>
  <c r="BI15" i="45"/>
  <c r="BI7" i="45"/>
  <c r="CC17" i="45"/>
  <c r="CC16" i="45"/>
  <c r="CC15" i="45"/>
  <c r="AC84" i="45"/>
  <c r="AC83" i="45"/>
  <c r="AL100" i="45"/>
  <c r="U1009" i="45"/>
  <c r="J224" i="45"/>
  <c r="I224" i="45"/>
  <c r="I223" i="45"/>
  <c r="I222" i="45"/>
  <c r="I221" i="45"/>
  <c r="M224" i="45"/>
  <c r="Q224" i="45"/>
  <c r="AF264" i="45"/>
  <c r="AL265" i="45"/>
  <c r="AQ224" i="45"/>
  <c r="AQ223" i="45"/>
  <c r="AQ222" i="45"/>
  <c r="AQ221" i="45"/>
  <c r="AU224" i="45"/>
  <c r="AU223" i="45"/>
  <c r="AU222" i="45"/>
  <c r="AU221" i="45"/>
  <c r="AY224" i="45"/>
  <c r="AY223" i="45"/>
  <c r="AY222" i="45"/>
  <c r="AY221" i="45"/>
  <c r="BC224" i="45"/>
  <c r="BC223" i="45"/>
  <c r="BC222" i="45"/>
  <c r="BC221" i="45"/>
  <c r="BG224" i="45"/>
  <c r="BG223" i="45"/>
  <c r="BG222" i="45"/>
  <c r="BG221" i="45"/>
  <c r="BK224" i="45"/>
  <c r="BK223" i="45"/>
  <c r="BK222" i="45"/>
  <c r="BK221" i="45"/>
  <c r="BS224" i="45"/>
  <c r="BS223" i="45"/>
  <c r="BS222" i="45"/>
  <c r="BS221" i="45"/>
  <c r="BW224" i="45"/>
  <c r="BW223" i="45"/>
  <c r="BW222" i="45"/>
  <c r="BW221" i="45"/>
  <c r="CC224" i="45"/>
  <c r="CC223" i="45"/>
  <c r="CC222" i="45"/>
  <c r="CC221" i="45"/>
  <c r="AE276" i="45"/>
  <c r="AE264" i="45"/>
  <c r="AE263" i="45"/>
  <c r="AE262" i="45"/>
  <c r="AH224" i="45"/>
  <c r="AH223" i="45"/>
  <c r="AH222" i="45"/>
  <c r="AH221" i="45"/>
  <c r="AJ230" i="45"/>
  <c r="H1013" i="45"/>
  <c r="AD357" i="45"/>
  <c r="AD341" i="45"/>
  <c r="AD439" i="45"/>
  <c r="AD226" i="45"/>
  <c r="AI363" i="45"/>
  <c r="AI347" i="45"/>
  <c r="AI232" i="45"/>
  <c r="AI454" i="45"/>
  <c r="Y156" i="45"/>
  <c r="AB156" i="45"/>
  <c r="AA160" i="45"/>
  <c r="AC167" i="45"/>
  <c r="AC166" i="45"/>
  <c r="AC183" i="45"/>
  <c r="AC182" i="45"/>
  <c r="BF264" i="45"/>
  <c r="BF263" i="45"/>
  <c r="BF262" i="45"/>
  <c r="AD265" i="45"/>
  <c r="BM264" i="45"/>
  <c r="BM263" i="45"/>
  <c r="BM262" i="45"/>
  <c r="BQ224" i="45"/>
  <c r="BQ223" i="45"/>
  <c r="BQ222" i="45"/>
  <c r="BQ221" i="45"/>
  <c r="BQ7" i="45"/>
  <c r="AD371" i="45"/>
  <c r="AD370" i="45"/>
  <c r="AJ384" i="45"/>
  <c r="AD419" i="45"/>
  <c r="AD418" i="45"/>
  <c r="AD459" i="45"/>
  <c r="AD443" i="45"/>
  <c r="AL461" i="45"/>
  <c r="AJ461" i="45"/>
  <c r="AJ445" i="45"/>
  <c r="AL445" i="45"/>
  <c r="AL232" i="45"/>
  <c r="AF448" i="45"/>
  <c r="AL448" i="45"/>
  <c r="BJ264" i="45"/>
  <c r="BJ263" i="45"/>
  <c r="BJ262" i="45"/>
  <c r="AE304" i="45"/>
  <c r="AE303" i="45"/>
  <c r="CH340" i="45"/>
  <c r="BM437" i="45"/>
  <c r="BM436" i="45"/>
  <c r="CJ437" i="45"/>
  <c r="CJ436" i="45"/>
  <c r="AC225" i="45"/>
  <c r="AD361" i="45"/>
  <c r="AD345" i="45"/>
  <c r="AD367" i="45"/>
  <c r="AD351" i="45"/>
  <c r="AI456" i="45"/>
  <c r="AC443" i="45"/>
  <c r="AG469" i="45"/>
  <c r="AG468" i="45"/>
  <c r="BI519" i="45"/>
  <c r="BI518" i="45"/>
  <c r="CI519" i="45"/>
  <c r="CI518" i="45"/>
  <c r="I1017" i="45"/>
  <c r="I1019" i="45"/>
  <c r="I1020" i="45"/>
  <c r="H566" i="45"/>
  <c r="AJ583" i="45"/>
  <c r="AJ582" i="45"/>
  <c r="AF469" i="45"/>
  <c r="AD480" i="45"/>
  <c r="AD448" i="45"/>
  <c r="AD235" i="45"/>
  <c r="AD481" i="45"/>
  <c r="AE528" i="45"/>
  <c r="AM528" i="45"/>
  <c r="AE530" i="45"/>
  <c r="AE235" i="45"/>
  <c r="AG530" i="45"/>
  <c r="AI548" i="45"/>
  <c r="AI532" i="45"/>
  <c r="AE551" i="45"/>
  <c r="AE550" i="45"/>
  <c r="AG551" i="45"/>
  <c r="AG550" i="45"/>
  <c r="AK611" i="45"/>
  <c r="AJ611" i="45"/>
  <c r="AJ599" i="45"/>
  <c r="AJ598" i="45"/>
  <c r="AK485" i="45"/>
  <c r="AK484" i="45"/>
  <c r="W520" i="45"/>
  <c r="BY519" i="45"/>
  <c r="BY518" i="45"/>
  <c r="CJ519" i="45"/>
  <c r="CJ518" i="45"/>
  <c r="AC526" i="45"/>
  <c r="I1021" i="45"/>
  <c r="I1023" i="45"/>
  <c r="AE599" i="45"/>
  <c r="AE598" i="45"/>
  <c r="BE519" i="45"/>
  <c r="BE518" i="45"/>
  <c r="AD463" i="45"/>
  <c r="AD447" i="45"/>
  <c r="AD525" i="45"/>
  <c r="AE531" i="45"/>
  <c r="AE236" i="45"/>
  <c r="AD567" i="45"/>
  <c r="AD566" i="45"/>
  <c r="AL599" i="45"/>
  <c r="AD648" i="45"/>
  <c r="AD647" i="45"/>
  <c r="AJ648" i="45"/>
  <c r="AJ647" i="45"/>
  <c r="AE116" i="12"/>
  <c r="AL727" i="45"/>
  <c r="AC760" i="45"/>
  <c r="AC759" i="45"/>
  <c r="AD824" i="45"/>
  <c r="AD823" i="45"/>
  <c r="AD888" i="45"/>
  <c r="AD887" i="45"/>
  <c r="AE888" i="45"/>
  <c r="AE887" i="45"/>
  <c r="AC953" i="45"/>
  <c r="AC952" i="45"/>
  <c r="AC951" i="45"/>
  <c r="AL648" i="45"/>
  <c r="AB967" i="45"/>
  <c r="AD728" i="45"/>
  <c r="AD727" i="45"/>
  <c r="AC776" i="45"/>
  <c r="AC775" i="45"/>
  <c r="AL792" i="45"/>
  <c r="AL904" i="45"/>
  <c r="AJ912" i="45"/>
  <c r="AD920" i="45"/>
  <c r="AD919" i="45"/>
  <c r="P15" i="31"/>
  <c r="O14" i="31"/>
  <c r="P62" i="31"/>
  <c r="O60" i="31"/>
  <c r="O21" i="31"/>
  <c r="P21" i="31"/>
  <c r="P22" i="31"/>
  <c r="O31" i="31"/>
  <c r="P32" i="31"/>
  <c r="H125" i="11"/>
  <c r="G125" i="11"/>
  <c r="J124" i="60"/>
  <c r="J50" i="60"/>
  <c r="J123" i="60"/>
  <c r="J59" i="4"/>
  <c r="I97" i="4"/>
  <c r="G111" i="4"/>
  <c r="O31" i="4"/>
  <c r="P31" i="4"/>
  <c r="O97" i="4"/>
  <c r="P97" i="4"/>
  <c r="G112" i="4"/>
  <c r="F28" i="4"/>
  <c r="G97" i="4"/>
  <c r="G105" i="11"/>
  <c r="F81" i="4"/>
  <c r="H111" i="4"/>
  <c r="G110" i="4"/>
  <c r="F68" i="4"/>
  <c r="H110" i="4"/>
  <c r="E23" i="14"/>
  <c r="E25" i="14"/>
  <c r="E26" i="14"/>
  <c r="F80" i="11"/>
  <c r="G125" i="4"/>
  <c r="G27" i="15"/>
  <c r="G31" i="15"/>
  <c r="O41" i="31"/>
  <c r="P41" i="31"/>
  <c r="P49" i="31"/>
  <c r="O45" i="31"/>
  <c r="P45" i="31"/>
  <c r="J843" i="27"/>
  <c r="H846" i="27"/>
  <c r="I846" i="27"/>
  <c r="J846" i="27"/>
  <c r="AC2" i="45"/>
  <c r="CA7" i="45"/>
  <c r="AD528" i="45"/>
  <c r="AI237" i="45"/>
  <c r="L423" i="35"/>
  <c r="AD230" i="45"/>
  <c r="H238" i="45"/>
  <c r="AG234" i="45"/>
  <c r="AD231" i="45"/>
  <c r="F36" i="4"/>
  <c r="AI233" i="45"/>
  <c r="AD228" i="45"/>
  <c r="K861" i="35"/>
  <c r="N861" i="35"/>
  <c r="K213" i="35"/>
  <c r="K216" i="35"/>
  <c r="L173" i="35"/>
  <c r="F37" i="4"/>
  <c r="J863" i="26"/>
  <c r="J865" i="26"/>
  <c r="H865" i="26"/>
  <c r="AD234" i="45"/>
  <c r="AF468" i="45"/>
  <c r="AL468" i="45"/>
  <c r="AL469" i="45"/>
  <c r="AI440" i="45"/>
  <c r="AN456" i="45"/>
  <c r="AN440" i="45"/>
  <c r="CY456" i="45"/>
  <c r="AF263" i="45"/>
  <c r="AL264" i="45"/>
  <c r="J223" i="45"/>
  <c r="J222" i="45"/>
  <c r="J221" i="45"/>
  <c r="V3" i="45"/>
  <c r="T17" i="45"/>
  <c r="Z18" i="45"/>
  <c r="M9" i="35"/>
  <c r="I922" i="35"/>
  <c r="J923" i="35"/>
  <c r="J925" i="35"/>
  <c r="K929" i="35"/>
  <c r="M921" i="35"/>
  <c r="K927" i="35"/>
  <c r="T111" i="12"/>
  <c r="V110" i="12"/>
  <c r="V111" i="12"/>
  <c r="AH116" i="12"/>
  <c r="AG116" i="12"/>
  <c r="AI872" i="45"/>
  <c r="AI871" i="45"/>
  <c r="AB873" i="45"/>
  <c r="AA873" i="45"/>
  <c r="AN873" i="45"/>
  <c r="CY873" i="45"/>
  <c r="AI792" i="45"/>
  <c r="AI791" i="45"/>
  <c r="AB793" i="45"/>
  <c r="AA793" i="45"/>
  <c r="AN793" i="45"/>
  <c r="CY793" i="45"/>
  <c r="AJ543" i="45"/>
  <c r="AJ527" i="45"/>
  <c r="AK527" i="45"/>
  <c r="AJ540" i="45"/>
  <c r="AJ524" i="45"/>
  <c r="AK524" i="45"/>
  <c r="AK520" i="45"/>
  <c r="AJ536" i="45"/>
  <c r="AK535" i="45"/>
  <c r="AK534" i="45"/>
  <c r="AD535" i="45"/>
  <c r="AD534" i="45"/>
  <c r="AD520" i="45"/>
  <c r="AM448" i="45"/>
  <c r="AM235" i="45"/>
  <c r="AJ464" i="45"/>
  <c r="AJ448" i="45"/>
  <c r="AL532" i="45"/>
  <c r="AJ548" i="45"/>
  <c r="AL529" i="45"/>
  <c r="AJ545" i="45"/>
  <c r="AK522" i="45"/>
  <c r="AJ538" i="45"/>
  <c r="AJ522" i="45"/>
  <c r="AK450" i="45"/>
  <c r="AJ466" i="45"/>
  <c r="AJ450" i="45"/>
  <c r="AK441" i="45"/>
  <c r="AJ457" i="45"/>
  <c r="AJ441" i="45"/>
  <c r="AK438" i="45"/>
  <c r="AJ454" i="45"/>
  <c r="AK453" i="45"/>
  <c r="AK452" i="45"/>
  <c r="AD453" i="45"/>
  <c r="AD452" i="45"/>
  <c r="AD438" i="45"/>
  <c r="AJ364" i="45"/>
  <c r="AJ348" i="45"/>
  <c r="AK348" i="45"/>
  <c r="AJ358" i="45"/>
  <c r="AJ342" i="45"/>
  <c r="AK342" i="45"/>
  <c r="AF437" i="45"/>
  <c r="AL438" i="45"/>
  <c r="AL348" i="45"/>
  <c r="AL233" i="45"/>
  <c r="AF233" i="45"/>
  <c r="AL346" i="45"/>
  <c r="AL231" i="45"/>
  <c r="AF231" i="45"/>
  <c r="AK340" i="45"/>
  <c r="AK355" i="45"/>
  <c r="AK354" i="45"/>
  <c r="AJ356" i="45"/>
  <c r="AE339" i="45"/>
  <c r="AE338" i="45"/>
  <c r="AE225" i="45"/>
  <c r="AJ316" i="45"/>
  <c r="AJ276" i="45"/>
  <c r="AK276" i="45"/>
  <c r="AL118" i="45"/>
  <c r="J117" i="45"/>
  <c r="AF200" i="45"/>
  <c r="AL201" i="45"/>
  <c r="CX120" i="45"/>
  <c r="W120" i="45"/>
  <c r="AI135" i="45"/>
  <c r="AI134" i="45"/>
  <c r="CY136" i="45"/>
  <c r="AI120" i="45"/>
  <c r="AN136" i="45"/>
  <c r="P17" i="22"/>
  <c r="Q12" i="22"/>
  <c r="H102" i="36"/>
  <c r="H101" i="36"/>
  <c r="J6" i="36"/>
  <c r="I262" i="36"/>
  <c r="AF370" i="45"/>
  <c r="AL370" i="45"/>
  <c r="AL371" i="45"/>
  <c r="AL352" i="45"/>
  <c r="AL237" i="45"/>
  <c r="AF237" i="45"/>
  <c r="AI68" i="45"/>
  <c r="AI67" i="45"/>
  <c r="CY69" i="45"/>
  <c r="AF973" i="45"/>
  <c r="AL974" i="45"/>
  <c r="AB809" i="45"/>
  <c r="AA809" i="45"/>
  <c r="AN809" i="45"/>
  <c r="AI808" i="45"/>
  <c r="AI807" i="45"/>
  <c r="CY809" i="45"/>
  <c r="AB745" i="45"/>
  <c r="AA745" i="45"/>
  <c r="AN745" i="45"/>
  <c r="CY745" i="45"/>
  <c r="AI744" i="45"/>
  <c r="AI743" i="45"/>
  <c r="P59" i="31"/>
  <c r="O56" i="31"/>
  <c r="P56" i="31"/>
  <c r="CY905" i="45"/>
  <c r="AI904" i="45"/>
  <c r="AI903" i="45"/>
  <c r="AB905" i="45"/>
  <c r="AA905" i="45"/>
  <c r="AN905" i="45"/>
  <c r="I887" i="45"/>
  <c r="H902" i="45"/>
  <c r="H887" i="45"/>
  <c r="AJ564" i="45"/>
  <c r="AK532" i="45"/>
  <c r="AJ561" i="45"/>
  <c r="AJ551" i="45"/>
  <c r="AJ550" i="45"/>
  <c r="AK529" i="45"/>
  <c r="AI551" i="45"/>
  <c r="AI550" i="45"/>
  <c r="AB552" i="45"/>
  <c r="AA552" i="45"/>
  <c r="AN552" i="45"/>
  <c r="CY552" i="45"/>
  <c r="AM520" i="45"/>
  <c r="AM519" i="45"/>
  <c r="AM518" i="45"/>
  <c r="AM535" i="45"/>
  <c r="AM534" i="45"/>
  <c r="AI521" i="45"/>
  <c r="Z537" i="45"/>
  <c r="AB422" i="45"/>
  <c r="AN422" i="45"/>
  <c r="CY422" i="45"/>
  <c r="CX342" i="45"/>
  <c r="CZ342" i="45"/>
  <c r="H227" i="45"/>
  <c r="AJ365" i="45"/>
  <c r="AJ349" i="45"/>
  <c r="AK349" i="45"/>
  <c r="AK234" i="45"/>
  <c r="AL344" i="45"/>
  <c r="AL229" i="45"/>
  <c r="AF229" i="45"/>
  <c r="AI342" i="45"/>
  <c r="CY358" i="45"/>
  <c r="AF339" i="45"/>
  <c r="AL340" i="45"/>
  <c r="AF225" i="45"/>
  <c r="AD273" i="45"/>
  <c r="AD233" i="45"/>
  <c r="CY420" i="45"/>
  <c r="AI419" i="45"/>
  <c r="AI418" i="45"/>
  <c r="AB420" i="45"/>
  <c r="AN420" i="45"/>
  <c r="AL349" i="45"/>
  <c r="AF234" i="45"/>
  <c r="AL343" i="45"/>
  <c r="AL228" i="45"/>
  <c r="AF228" i="45"/>
  <c r="AI340" i="45"/>
  <c r="AI355" i="45"/>
  <c r="AI354" i="45"/>
  <c r="CY356" i="45"/>
  <c r="W122" i="45"/>
  <c r="Y122" i="45"/>
  <c r="AA122" i="45"/>
  <c r="AB122" i="45"/>
  <c r="CX122" i="45"/>
  <c r="AD469" i="45"/>
  <c r="AD468" i="45"/>
  <c r="CC7" i="45"/>
  <c r="AH7" i="45"/>
  <c r="Q7" i="45"/>
  <c r="I7" i="45"/>
  <c r="BZ2" i="45"/>
  <c r="I16" i="19"/>
  <c r="I44" i="19"/>
  <c r="K44" i="19"/>
  <c r="AK230" i="45"/>
  <c r="AJ371" i="45"/>
  <c r="AJ370" i="45"/>
  <c r="AE229" i="45"/>
  <c r="AM234" i="45"/>
  <c r="AE231" i="45"/>
  <c r="AI228" i="45"/>
  <c r="AD227" i="45"/>
  <c r="CK223" i="45"/>
  <c r="CK222" i="45"/>
  <c r="CK221" i="45"/>
  <c r="CF223" i="45"/>
  <c r="CF222" i="45"/>
  <c r="CF221" i="45"/>
  <c r="CB223" i="45"/>
  <c r="CB222" i="45"/>
  <c r="CB221" i="45"/>
  <c r="BX223" i="45"/>
  <c r="BX222" i="45"/>
  <c r="BX221" i="45"/>
  <c r="BT223" i="45"/>
  <c r="BT222" i="45"/>
  <c r="BT221" i="45"/>
  <c r="BP223" i="45"/>
  <c r="BP222" i="45"/>
  <c r="BP221" i="45"/>
  <c r="BL223" i="45"/>
  <c r="BL222" i="45"/>
  <c r="BL221" i="45"/>
  <c r="BH223" i="45"/>
  <c r="BH222" i="45"/>
  <c r="BH221" i="45"/>
  <c r="BD223" i="45"/>
  <c r="BD222" i="45"/>
  <c r="BD221" i="45"/>
  <c r="AZ223" i="45"/>
  <c r="AZ222" i="45"/>
  <c r="AZ221" i="45"/>
  <c r="AV223" i="45"/>
  <c r="AV222" i="45"/>
  <c r="AV221" i="45"/>
  <c r="AV7" i="45"/>
  <c r="AI19" i="45"/>
  <c r="K822" i="35"/>
  <c r="O870" i="35"/>
  <c r="AD531" i="45"/>
  <c r="AD449" i="45"/>
  <c r="AC230" i="45"/>
  <c r="AJ226" i="45"/>
  <c r="H354" i="45"/>
  <c r="H263" i="45"/>
  <c r="H262" i="45"/>
  <c r="CK7" i="45"/>
  <c r="CB7" i="45"/>
  <c r="BT7" i="45"/>
  <c r="BL7" i="45"/>
  <c r="BD7" i="45"/>
  <c r="S7" i="45"/>
  <c r="AO17" i="45"/>
  <c r="AO16" i="45"/>
  <c r="AO15" i="45"/>
  <c r="AO7" i="45"/>
  <c r="AJ792" i="45"/>
  <c r="AJ791" i="45"/>
  <c r="AJ531" i="45"/>
  <c r="AJ546" i="45"/>
  <c r="AJ530" i="45"/>
  <c r="AJ469" i="45"/>
  <c r="AJ468" i="45"/>
  <c r="AK237" i="45"/>
  <c r="AK235" i="45"/>
  <c r="AI264" i="45"/>
  <c r="AI263" i="45"/>
  <c r="AG519" i="45"/>
  <c r="AG518" i="45"/>
  <c r="AC519" i="45"/>
  <c r="AC518" i="45"/>
  <c r="AL534" i="45"/>
  <c r="AL452" i="45"/>
  <c r="AJ544" i="45"/>
  <c r="AJ528" i="45"/>
  <c r="AG229" i="45"/>
  <c r="AA453" i="45"/>
  <c r="AG233" i="45"/>
  <c r="AC233" i="45"/>
  <c r="AG232" i="45"/>
  <c r="AG231" i="45"/>
  <c r="AC231" i="45"/>
  <c r="AE228" i="45"/>
  <c r="AM227" i="45"/>
  <c r="BR3" i="45"/>
  <c r="BR4" i="45"/>
  <c r="AD232" i="45"/>
  <c r="AC339" i="45"/>
  <c r="AC338" i="45"/>
  <c r="AD236" i="45"/>
  <c r="AI84" i="45"/>
  <c r="AI83" i="45"/>
  <c r="AD304" i="45"/>
  <c r="AD303" i="45"/>
  <c r="CH339" i="45"/>
  <c r="CH225" i="45"/>
  <c r="CH224" i="45"/>
  <c r="CH223" i="45"/>
  <c r="CH222" i="45"/>
  <c r="CH221" i="45"/>
  <c r="CH7" i="45"/>
  <c r="AI438" i="45"/>
  <c r="AN454" i="45"/>
  <c r="AI453" i="45"/>
  <c r="AI452" i="45"/>
  <c r="CY454" i="45"/>
  <c r="AC20" i="45"/>
  <c r="X20" i="45"/>
  <c r="X39" i="45"/>
  <c r="AB825" i="45"/>
  <c r="AA825" i="45"/>
  <c r="AN825" i="45"/>
  <c r="CY825" i="45"/>
  <c r="AI824" i="45"/>
  <c r="AI823" i="45"/>
  <c r="O37" i="31"/>
  <c r="P37" i="31"/>
  <c r="P38" i="31"/>
  <c r="AA538" i="45"/>
  <c r="AI920" i="45"/>
  <c r="AI919" i="45"/>
  <c r="AB921" i="45"/>
  <c r="AA921" i="45"/>
  <c r="AN921" i="45"/>
  <c r="CY921" i="45"/>
  <c r="AI840" i="45"/>
  <c r="AI839" i="45"/>
  <c r="AB841" i="45"/>
  <c r="AA841" i="45"/>
  <c r="AN841" i="45"/>
  <c r="CY841" i="45"/>
  <c r="CY729" i="45"/>
  <c r="AI728" i="45"/>
  <c r="AI727" i="45"/>
  <c r="AB729" i="45"/>
  <c r="AA729" i="45"/>
  <c r="AN729" i="45"/>
  <c r="AJ542" i="45"/>
  <c r="AJ526" i="45"/>
  <c r="AK526" i="45"/>
  <c r="AJ539" i="45"/>
  <c r="AJ523" i="45"/>
  <c r="AK523" i="45"/>
  <c r="AK440" i="45"/>
  <c r="AJ456" i="45"/>
  <c r="AJ440" i="45"/>
  <c r="AI599" i="45"/>
  <c r="AI598" i="45"/>
  <c r="AB600" i="45"/>
  <c r="AA600" i="45"/>
  <c r="AN600" i="45"/>
  <c r="CY600" i="45"/>
  <c r="AK442" i="45"/>
  <c r="AK229" i="45"/>
  <c r="AJ458" i="45"/>
  <c r="AJ442" i="45"/>
  <c r="AL350" i="45"/>
  <c r="AL235" i="45"/>
  <c r="AF235" i="45"/>
  <c r="AJ362" i="45"/>
  <c r="AJ346" i="45"/>
  <c r="AJ231" i="45"/>
  <c r="AK346" i="45"/>
  <c r="AK231" i="45"/>
  <c r="AL345" i="45"/>
  <c r="AL230" i="45"/>
  <c r="AF230" i="45"/>
  <c r="AD340" i="45"/>
  <c r="AD355" i="45"/>
  <c r="AD354" i="45"/>
  <c r="AG950" i="45"/>
  <c r="AR949" i="45"/>
  <c r="AR223" i="45"/>
  <c r="AR222" i="45"/>
  <c r="AR221" i="45"/>
  <c r="AR7" i="45"/>
  <c r="AC119" i="45"/>
  <c r="AC118" i="45"/>
  <c r="AC117" i="45"/>
  <c r="AC116" i="45"/>
  <c r="AC115" i="45"/>
  <c r="X120" i="45"/>
  <c r="Y120" i="45"/>
  <c r="AD18" i="45"/>
  <c r="AD17" i="45"/>
  <c r="AD16" i="45"/>
  <c r="AD15" i="45"/>
  <c r="AD36" i="45"/>
  <c r="AD35" i="45"/>
  <c r="AD34" i="45"/>
  <c r="AD33" i="45"/>
  <c r="AD32" i="45"/>
  <c r="AI37" i="45"/>
  <c r="AI52" i="45"/>
  <c r="AI51" i="45"/>
  <c r="CY53" i="45"/>
  <c r="H18" i="45"/>
  <c r="W37" i="45"/>
  <c r="CX37" i="45"/>
  <c r="AC18" i="45"/>
  <c r="AC36" i="45"/>
  <c r="AC35" i="45"/>
  <c r="AC34" i="45"/>
  <c r="AC33" i="45"/>
  <c r="AC32" i="45"/>
  <c r="X37" i="45"/>
  <c r="Y37" i="45"/>
  <c r="AA37" i="45"/>
  <c r="N857" i="35"/>
  <c r="K870" i="35"/>
  <c r="M22" i="32"/>
  <c r="AT3" i="45"/>
  <c r="H418" i="45"/>
  <c r="AM264" i="45"/>
  <c r="AM263" i="45"/>
  <c r="AM262" i="45"/>
  <c r="BW4" i="45"/>
  <c r="BU221" i="45"/>
  <c r="BU7" i="45"/>
  <c r="BW3" i="45"/>
  <c r="N919" i="35"/>
  <c r="N921" i="35"/>
  <c r="H922" i="35"/>
  <c r="M922" i="35"/>
  <c r="H924" i="35"/>
  <c r="N12" i="33"/>
  <c r="O12" i="33"/>
  <c r="AI632" i="45"/>
  <c r="AI631" i="45"/>
  <c r="AB633" i="45"/>
  <c r="AA633" i="45"/>
  <c r="AN633" i="45"/>
  <c r="CY633" i="45"/>
  <c r="AK3" i="45"/>
  <c r="AK614" i="45"/>
  <c r="AI856" i="45"/>
  <c r="AI855" i="45"/>
  <c r="AB857" i="45"/>
  <c r="AA857" i="45"/>
  <c r="AN857" i="45"/>
  <c r="CY857" i="45"/>
  <c r="CY811" i="45"/>
  <c r="AB811" i="45"/>
  <c r="AA811" i="45"/>
  <c r="AN811" i="45"/>
  <c r="CY602" i="45"/>
  <c r="AB602" i="45"/>
  <c r="AA602" i="45"/>
  <c r="AN602" i="45"/>
  <c r="AN522" i="45"/>
  <c r="AI520" i="45"/>
  <c r="AB536" i="45"/>
  <c r="AN536" i="45"/>
  <c r="AI535" i="45"/>
  <c r="AI534" i="45"/>
  <c r="CY536" i="45"/>
  <c r="AI469" i="45"/>
  <c r="AI468" i="45"/>
  <c r="CY470" i="45"/>
  <c r="AN470" i="45"/>
  <c r="AI567" i="45"/>
  <c r="AI566" i="45"/>
  <c r="AB568" i="45"/>
  <c r="AA568" i="45"/>
  <c r="AN568" i="45"/>
  <c r="CY568" i="45"/>
  <c r="AK446" i="45"/>
  <c r="AJ462" i="45"/>
  <c r="AJ446" i="45"/>
  <c r="AM438" i="45"/>
  <c r="AM437" i="45"/>
  <c r="AM436" i="45"/>
  <c r="AM453" i="45"/>
  <c r="AM452" i="45"/>
  <c r="AC437" i="45"/>
  <c r="AC436" i="45"/>
  <c r="CX438" i="45"/>
  <c r="CX441" i="45"/>
  <c r="CX442" i="45"/>
  <c r="W419" i="45"/>
  <c r="W342" i="45"/>
  <c r="AL351" i="45"/>
  <c r="AL236" i="45"/>
  <c r="AF236" i="45"/>
  <c r="AM347" i="45"/>
  <c r="AM232" i="45"/>
  <c r="AJ363" i="45"/>
  <c r="AJ347" i="45"/>
  <c r="AJ359" i="45"/>
  <c r="AJ343" i="45"/>
  <c r="AK343" i="45"/>
  <c r="AK228" i="45"/>
  <c r="AL341" i="45"/>
  <c r="AL226" i="45"/>
  <c r="AF226" i="45"/>
  <c r="AJ329" i="45"/>
  <c r="AK321" i="45"/>
  <c r="AK320" i="45"/>
  <c r="AK272" i="45"/>
  <c r="AJ313" i="45"/>
  <c r="AJ304" i="45"/>
  <c r="AJ303" i="45"/>
  <c r="AK304" i="45"/>
  <c r="AK303" i="45"/>
  <c r="AM340" i="45"/>
  <c r="AM355" i="45"/>
  <c r="AM354" i="45"/>
  <c r="AG339" i="45"/>
  <c r="AG338" i="45"/>
  <c r="AG225" i="45"/>
  <c r="D23" i="14"/>
  <c r="D25" i="14"/>
  <c r="D26" i="14"/>
  <c r="AI122" i="45"/>
  <c r="AN138" i="45"/>
  <c r="CY138" i="45"/>
  <c r="AA120" i="45"/>
  <c r="AB120" i="45"/>
  <c r="H20" i="45"/>
  <c r="W20" i="45"/>
  <c r="W39" i="45"/>
  <c r="CX39" i="45"/>
  <c r="AI39" i="45"/>
  <c r="CY55" i="45"/>
  <c r="AJ18" i="45"/>
  <c r="AJ17" i="45"/>
  <c r="AJ16" i="45"/>
  <c r="AJ15" i="45"/>
  <c r="AJ36" i="45"/>
  <c r="AJ35" i="45"/>
  <c r="AJ34" i="45"/>
  <c r="AJ33" i="45"/>
  <c r="AJ32" i="45"/>
  <c r="Q11" i="22"/>
  <c r="P16" i="22"/>
  <c r="N21" i="32"/>
  <c r="AI387" i="45"/>
  <c r="AI386" i="45"/>
  <c r="CY388" i="45"/>
  <c r="AD264" i="45"/>
  <c r="AD263" i="45"/>
  <c r="AD262" i="45"/>
  <c r="AL225" i="45"/>
  <c r="M7" i="45"/>
  <c r="AE519" i="45"/>
  <c r="AE518" i="45"/>
  <c r="AG235" i="45"/>
  <c r="R3" i="45"/>
  <c r="AF519" i="45"/>
  <c r="AE437" i="45"/>
  <c r="AE436" i="45"/>
  <c r="AE233" i="45"/>
  <c r="AC228" i="45"/>
  <c r="AE227" i="45"/>
  <c r="AI226" i="45"/>
  <c r="AC19" i="45"/>
  <c r="BG14" i="45"/>
  <c r="BG12" i="45"/>
  <c r="BG11" i="45"/>
  <c r="BG10" i="45"/>
  <c r="BG9" i="45"/>
  <c r="BG8" i="45"/>
  <c r="BG7" i="45"/>
  <c r="BC14" i="45"/>
  <c r="BC12" i="45"/>
  <c r="BC11" i="45"/>
  <c r="BC10" i="45"/>
  <c r="BC9" i="45"/>
  <c r="BC8" i="45"/>
  <c r="BC7" i="45"/>
  <c r="AY14" i="45"/>
  <c r="AY12" i="45"/>
  <c r="AY11" i="45"/>
  <c r="AY10" i="45"/>
  <c r="AY9" i="45"/>
  <c r="AY8" i="45"/>
  <c r="AY7" i="45"/>
  <c r="AU14" i="45"/>
  <c r="AU12" i="45"/>
  <c r="AU11" i="45"/>
  <c r="AU10" i="45"/>
  <c r="AU9" i="45"/>
  <c r="AU8" i="45"/>
  <c r="AU7" i="45"/>
  <c r="AQ14" i="45"/>
  <c r="AJ116" i="12"/>
  <c r="AK599" i="45"/>
  <c r="AK598" i="45"/>
  <c r="AD229" i="45"/>
  <c r="AK226" i="45"/>
  <c r="AI262" i="45"/>
  <c r="AM233" i="45"/>
  <c r="K222" i="45"/>
  <c r="K221" i="45"/>
  <c r="K7" i="45"/>
  <c r="CF7" i="45"/>
  <c r="BX7" i="45"/>
  <c r="BP7" i="45"/>
  <c r="BN3" i="45"/>
  <c r="BP3" i="45"/>
  <c r="BH7" i="45"/>
  <c r="AZ7" i="45"/>
  <c r="O7" i="45"/>
  <c r="H6" i="36"/>
  <c r="J9" i="36"/>
  <c r="AJ904" i="45"/>
  <c r="AJ903" i="45"/>
  <c r="AK531" i="45"/>
  <c r="AJ463" i="45"/>
  <c r="AJ447" i="45"/>
  <c r="AJ352" i="45"/>
  <c r="AJ344" i="45"/>
  <c r="AJ229" i="45"/>
  <c r="AL535" i="45"/>
  <c r="CX520" i="45"/>
  <c r="AJ449" i="45"/>
  <c r="AL453" i="45"/>
  <c r="AK528" i="45"/>
  <c r="AK233" i="45"/>
  <c r="AG237" i="45"/>
  <c r="AG437" i="45"/>
  <c r="AG436" i="45"/>
  <c r="AM231" i="45"/>
  <c r="AG227" i="45"/>
  <c r="AC227" i="45"/>
  <c r="AC224" i="45"/>
  <c r="AC223" i="45"/>
  <c r="AC222" i="45"/>
  <c r="AC221" i="45"/>
  <c r="AN342" i="45"/>
  <c r="AJ287" i="45"/>
  <c r="AJ286" i="45"/>
  <c r="AN340" i="45"/>
  <c r="CJ14" i="45"/>
  <c r="CJ12" i="45"/>
  <c r="CJ11" i="45"/>
  <c r="CJ10" i="45"/>
  <c r="CJ9" i="45"/>
  <c r="CJ8" i="45"/>
  <c r="CJ7" i="45"/>
  <c r="CE14" i="45"/>
  <c r="CE12" i="45"/>
  <c r="CE11" i="45"/>
  <c r="CE10" i="45"/>
  <c r="CE9" i="45"/>
  <c r="CE8" i="45"/>
  <c r="CE7" i="45"/>
  <c r="BW14" i="45"/>
  <c r="BW12" i="45"/>
  <c r="BW11" i="45"/>
  <c r="BW10" i="45"/>
  <c r="BW9" i="45"/>
  <c r="BW8" i="45"/>
  <c r="BW7" i="45"/>
  <c r="BS14" i="45"/>
  <c r="BS12" i="45"/>
  <c r="BS11" i="45"/>
  <c r="BS10" i="45"/>
  <c r="BS9" i="45"/>
  <c r="BS8" i="45"/>
  <c r="BS7" i="45"/>
  <c r="BO14" i="45"/>
  <c r="BO12" i="45"/>
  <c r="BO11" i="45"/>
  <c r="BO10" i="45"/>
  <c r="BO9" i="45"/>
  <c r="BO8" i="45"/>
  <c r="BO7" i="45"/>
  <c r="BK14" i="45"/>
  <c r="BK12" i="45"/>
  <c r="BK11" i="45"/>
  <c r="BK10" i="45"/>
  <c r="BK9" i="45"/>
  <c r="BK8" i="45"/>
  <c r="BK7" i="45"/>
  <c r="AM304" i="45"/>
  <c r="AM303" i="45"/>
  <c r="P31" i="31"/>
  <c r="P60" i="31"/>
  <c r="O51" i="31"/>
  <c r="P51" i="31"/>
  <c r="O12" i="31"/>
  <c r="P14" i="31"/>
  <c r="G104" i="11"/>
  <c r="G124" i="11"/>
  <c r="H97" i="4"/>
  <c r="J97" i="4"/>
  <c r="Y105" i="4"/>
  <c r="F52" i="11"/>
  <c r="F35" i="4"/>
  <c r="G113" i="4"/>
  <c r="F46" i="4"/>
  <c r="F56" i="4"/>
  <c r="H115" i="4"/>
  <c r="F24" i="11"/>
  <c r="F18" i="4"/>
  <c r="F119" i="11"/>
  <c r="F118" i="11"/>
  <c r="F79" i="4"/>
  <c r="F26" i="4"/>
  <c r="H112" i="4"/>
  <c r="V38" i="23"/>
  <c r="G115" i="4"/>
  <c r="K920" i="35"/>
  <c r="K922" i="35"/>
  <c r="Y20" i="45"/>
  <c r="AA20" i="45"/>
  <c r="AJ235" i="45"/>
  <c r="E13" i="4"/>
  <c r="R11" i="22"/>
  <c r="Q16" i="22"/>
  <c r="AI20" i="45"/>
  <c r="CY39" i="45"/>
  <c r="AN122" i="45"/>
  <c r="CY122" i="45"/>
  <c r="AB520" i="45"/>
  <c r="AA536" i="45"/>
  <c r="AA520" i="45"/>
  <c r="F75" i="4"/>
  <c r="F63" i="4"/>
  <c r="P3" i="45"/>
  <c r="P4" i="45"/>
  <c r="AI18" i="45"/>
  <c r="AI17" i="45"/>
  <c r="AI16" i="45"/>
  <c r="AI15" i="45"/>
  <c r="AI36" i="45"/>
  <c r="AI35" i="45"/>
  <c r="AI34" i="45"/>
  <c r="AI33" i="45"/>
  <c r="AI32" i="45"/>
  <c r="CY37" i="45"/>
  <c r="AG949" i="45"/>
  <c r="AD950" i="45"/>
  <c r="AD949" i="45"/>
  <c r="AM950" i="45"/>
  <c r="AD339" i="45"/>
  <c r="AD338" i="45"/>
  <c r="AD225" i="45"/>
  <c r="AD224" i="45"/>
  <c r="F53" i="4"/>
  <c r="AQ12" i="45"/>
  <c r="AQ11" i="45"/>
  <c r="AQ10" i="45"/>
  <c r="AQ9" i="45"/>
  <c r="AQ8" i="45"/>
  <c r="AQ7" i="45"/>
  <c r="AF14" i="45"/>
  <c r="AK232" i="45"/>
  <c r="AK264" i="45"/>
  <c r="AK263" i="45"/>
  <c r="AK262" i="45"/>
  <c r="AJ272" i="45"/>
  <c r="AJ321" i="45"/>
  <c r="AJ320" i="45"/>
  <c r="AI519" i="45"/>
  <c r="AI518" i="45"/>
  <c r="CY520" i="45"/>
  <c r="X18" i="45"/>
  <c r="W18" i="45"/>
  <c r="Y18" i="45"/>
  <c r="AC17" i="45"/>
  <c r="AC16" i="45"/>
  <c r="AC15" i="45"/>
  <c r="H17" i="45"/>
  <c r="CY18" i="45"/>
  <c r="CZ18" i="45"/>
  <c r="H1012" i="45"/>
  <c r="BZ1" i="45"/>
  <c r="BZ4" i="45"/>
  <c r="AI339" i="45"/>
  <c r="AI338" i="45"/>
  <c r="CY340" i="45"/>
  <c r="AI225" i="45"/>
  <c r="H1014" i="45"/>
  <c r="H224" i="45"/>
  <c r="H223" i="45"/>
  <c r="H222" i="45"/>
  <c r="H221" i="45"/>
  <c r="Z521" i="45"/>
  <c r="AA537" i="45"/>
  <c r="AA521" i="45"/>
  <c r="N22" i="32"/>
  <c r="AI119" i="45"/>
  <c r="AI118" i="45"/>
  <c r="AI117" i="45"/>
  <c r="AI116" i="45"/>
  <c r="AI115" i="45"/>
  <c r="AN120" i="45"/>
  <c r="CY120" i="45"/>
  <c r="J116" i="45"/>
  <c r="AL117" i="45"/>
  <c r="AJ340" i="45"/>
  <c r="AJ355" i="45"/>
  <c r="AJ354" i="45"/>
  <c r="AK339" i="45"/>
  <c r="AK338" i="45"/>
  <c r="AK225" i="45"/>
  <c r="AF436" i="45"/>
  <c r="AL436" i="45"/>
  <c r="AL437" i="45"/>
  <c r="AJ453" i="45"/>
  <c r="AJ452" i="45"/>
  <c r="AJ438" i="45"/>
  <c r="AJ437" i="45"/>
  <c r="AJ436" i="45"/>
  <c r="AB440" i="45"/>
  <c r="CY440" i="45"/>
  <c r="O28" i="31"/>
  <c r="P28" i="31"/>
  <c r="AG224" i="45"/>
  <c r="AG223" i="45"/>
  <c r="AG222" i="45"/>
  <c r="AG221" i="45"/>
  <c r="AG7" i="45"/>
  <c r="AJ228" i="45"/>
  <c r="AN520" i="45"/>
  <c r="AA522" i="45"/>
  <c r="Y39" i="45"/>
  <c r="AA39" i="45"/>
  <c r="AN438" i="45"/>
  <c r="AL234" i="45"/>
  <c r="AK236" i="45"/>
  <c r="AE224" i="45"/>
  <c r="AE223" i="45"/>
  <c r="AE222" i="45"/>
  <c r="AE221" i="45"/>
  <c r="AE7" i="45"/>
  <c r="AD7" i="45"/>
  <c r="AJ227" i="45"/>
  <c r="AJ529" i="45"/>
  <c r="AJ532" i="45"/>
  <c r="AJ237" i="45"/>
  <c r="AD519" i="45"/>
  <c r="AD518" i="45"/>
  <c r="AK519" i="45"/>
  <c r="AK518" i="45"/>
  <c r="AF518" i="45"/>
  <c r="AL518" i="45"/>
  <c r="AL519" i="45"/>
  <c r="AM339" i="45"/>
  <c r="AM338" i="45"/>
  <c r="AM225" i="45"/>
  <c r="AM224" i="45"/>
  <c r="AI437" i="45"/>
  <c r="AI436" i="45"/>
  <c r="AB438" i="45"/>
  <c r="CY438" i="45"/>
  <c r="AF338" i="45"/>
  <c r="AL338" i="45"/>
  <c r="AL339" i="45"/>
  <c r="CY342" i="45"/>
  <c r="AI227" i="45"/>
  <c r="AF972" i="45"/>
  <c r="AL972" i="45"/>
  <c r="AL973" i="45"/>
  <c r="R12" i="22"/>
  <c r="Q17" i="22"/>
  <c r="F66" i="4"/>
  <c r="AF199" i="45"/>
  <c r="AL200" i="45"/>
  <c r="AJ535" i="45"/>
  <c r="AJ534" i="45"/>
  <c r="AJ520" i="45"/>
  <c r="J7" i="45"/>
  <c r="AF262" i="45"/>
  <c r="AL262" i="45"/>
  <c r="AL263" i="45"/>
  <c r="AB522" i="45"/>
  <c r="AJ273" i="45"/>
  <c r="AJ233" i="45"/>
  <c r="AF224" i="45"/>
  <c r="AJ234" i="45"/>
  <c r="AJ236" i="45"/>
  <c r="AK227" i="45"/>
  <c r="AD437" i="45"/>
  <c r="AD436" i="45"/>
  <c r="AK437" i="45"/>
  <c r="AK436" i="45"/>
  <c r="AA18" i="45"/>
  <c r="H123" i="11"/>
  <c r="H124" i="11"/>
  <c r="G123" i="11"/>
  <c r="O11" i="31"/>
  <c r="F76" i="4"/>
  <c r="F77" i="4"/>
  <c r="F14" i="4"/>
  <c r="F17" i="4"/>
  <c r="H116" i="4"/>
  <c r="F34" i="4"/>
  <c r="F79" i="11"/>
  <c r="F78" i="11"/>
  <c r="F54" i="4"/>
  <c r="F44" i="4"/>
  <c r="H113" i="4"/>
  <c r="F39" i="11"/>
  <c r="F38" i="11"/>
  <c r="F21" i="4"/>
  <c r="F96" i="11"/>
  <c r="F23" i="11"/>
  <c r="F13" i="4"/>
  <c r="G114" i="4"/>
  <c r="F69" i="11"/>
  <c r="F74" i="4"/>
  <c r="F106" i="11"/>
  <c r="G116" i="4"/>
  <c r="AD223" i="45"/>
  <c r="AD222" i="45"/>
  <c r="AD221" i="45"/>
  <c r="F62" i="4"/>
  <c r="AF223" i="45"/>
  <c r="AF222" i="45"/>
  <c r="AF221" i="45"/>
  <c r="AL221" i="45"/>
  <c r="AL7" i="45"/>
  <c r="AL224" i="45"/>
  <c r="AL223" i="45"/>
  <c r="AL222" i="45"/>
  <c r="H117" i="45"/>
  <c r="H116" i="45"/>
  <c r="H115" i="45"/>
  <c r="AC14" i="45"/>
  <c r="AF12" i="45"/>
  <c r="AF11" i="45"/>
  <c r="AF10" i="45"/>
  <c r="AF9" i="45"/>
  <c r="AF8" i="45"/>
  <c r="AF7" i="45"/>
  <c r="AO1" i="45"/>
  <c r="AJ519" i="45"/>
  <c r="AJ518" i="45"/>
  <c r="AK224" i="45"/>
  <c r="H1025" i="45"/>
  <c r="E1025" i="45"/>
  <c r="AF198" i="45"/>
  <c r="AL198" i="45"/>
  <c r="AL199" i="45"/>
  <c r="AJ339" i="45"/>
  <c r="AJ338" i="45"/>
  <c r="AJ225" i="45"/>
  <c r="J115" i="45"/>
  <c r="AL115" i="45"/>
  <c r="AL116" i="45"/>
  <c r="H4" i="45"/>
  <c r="H16" i="45"/>
  <c r="H15" i="45"/>
  <c r="H7" i="45"/>
  <c r="AJ232" i="45"/>
  <c r="AJ264" i="45"/>
  <c r="AJ263" i="45"/>
  <c r="AJ262" i="45"/>
  <c r="AM949" i="45"/>
  <c r="AM223" i="45"/>
  <c r="AM222" i="45"/>
  <c r="AM221" i="45"/>
  <c r="AM7" i="45"/>
  <c r="AJ950" i="45"/>
  <c r="AJ949" i="45"/>
  <c r="H34" i="45"/>
  <c r="AI224" i="45"/>
  <c r="AI223" i="45"/>
  <c r="AI222" i="45"/>
  <c r="AI221" i="45"/>
  <c r="I123" i="11"/>
  <c r="I124" i="11"/>
  <c r="I125" i="11"/>
  <c r="H108" i="4"/>
  <c r="F105" i="11"/>
  <c r="F104" i="11"/>
  <c r="F72" i="4"/>
  <c r="F59" i="11"/>
  <c r="F58" i="11"/>
  <c r="F41" i="4"/>
  <c r="F51" i="11"/>
  <c r="F50" i="11"/>
  <c r="F32" i="4"/>
  <c r="G109" i="4"/>
  <c r="F65" i="4"/>
  <c r="H109" i="4"/>
  <c r="F52" i="4"/>
  <c r="H114" i="4"/>
  <c r="F125" i="11"/>
  <c r="F22" i="11"/>
  <c r="U71" i="23"/>
  <c r="F60" i="4"/>
  <c r="G108" i="4"/>
  <c r="G127" i="4"/>
  <c r="H1002" i="45"/>
  <c r="O4" i="45"/>
  <c r="I2" i="45"/>
  <c r="K3" i="45"/>
  <c r="AL3" i="45"/>
  <c r="AM3" i="45"/>
  <c r="BF3" i="45"/>
  <c r="AK223" i="45"/>
  <c r="AK222" i="45"/>
  <c r="AK221" i="45"/>
  <c r="AK7" i="45"/>
  <c r="AJ224" i="45"/>
  <c r="AJ223" i="45"/>
  <c r="AJ222" i="45"/>
  <c r="AJ221" i="45"/>
  <c r="AJ7" i="45"/>
  <c r="AI14" i="45"/>
  <c r="AI12" i="45"/>
  <c r="AI11" i="45"/>
  <c r="AI10" i="45"/>
  <c r="AI9" i="45"/>
  <c r="AI8" i="45"/>
  <c r="AI7" i="45"/>
  <c r="AH3" i="45"/>
  <c r="AI3" i="45"/>
  <c r="AC12" i="45"/>
  <c r="AC11" i="45"/>
  <c r="AC10" i="45"/>
  <c r="AC9" i="45"/>
  <c r="AC8" i="45"/>
  <c r="AC7" i="45"/>
  <c r="AD4" i="45"/>
  <c r="AD3" i="45"/>
  <c r="P2" i="45"/>
  <c r="H33" i="45"/>
  <c r="H32" i="45"/>
  <c r="H127" i="4"/>
  <c r="F68" i="11"/>
  <c r="F67" i="11"/>
  <c r="F49" i="4"/>
  <c r="E31" i="4"/>
  <c r="F31" i="4"/>
  <c r="E59" i="4"/>
  <c r="F95" i="11"/>
  <c r="H45" i="19"/>
  <c r="T78" i="23"/>
  <c r="E97" i="4"/>
  <c r="F59" i="4"/>
  <c r="Q8" i="31"/>
  <c r="F94" i="11"/>
  <c r="F123" i="11"/>
  <c r="F124" i="11"/>
  <c r="F97" i="4"/>
  <c r="G66" i="31"/>
  <c r="I66" i="31"/>
  <c r="Q9" i="31"/>
  <c r="I45" i="19"/>
  <c r="N46" i="19"/>
  <c r="J45" i="19"/>
  <c r="N47" i="19"/>
</calcChain>
</file>

<file path=xl/sharedStrings.xml><?xml version="1.0" encoding="utf-8"?>
<sst xmlns="http://schemas.openxmlformats.org/spreadsheetml/2006/main" count="23433" uniqueCount="1896">
  <si>
    <t>Отчетный период</t>
  </si>
  <si>
    <t>Плановый период</t>
  </si>
  <si>
    <t>№ п/п</t>
  </si>
  <si>
    <t>%</t>
  </si>
  <si>
    <t>2011 год</t>
  </si>
  <si>
    <t>2012 год</t>
  </si>
  <si>
    <t>1.</t>
  </si>
  <si>
    <t>1.1.</t>
  </si>
  <si>
    <t>1.2.</t>
  </si>
  <si>
    <t>2.</t>
  </si>
  <si>
    <t>2.1.</t>
  </si>
  <si>
    <t>2.2.</t>
  </si>
  <si>
    <t>3.</t>
  </si>
  <si>
    <t>3.1.</t>
  </si>
  <si>
    <t>3.2.</t>
  </si>
  <si>
    <t>Программы</t>
  </si>
  <si>
    <t>Приложение № 6</t>
  </si>
  <si>
    <t>2013 год</t>
  </si>
  <si>
    <t>тыс. рублей</t>
  </si>
  <si>
    <t>2.3.</t>
  </si>
  <si>
    <t>в т.ч. на оказание подведомственными учреждениями государственных услуг в рамках государственных заданий</t>
  </si>
  <si>
    <t xml:space="preserve">Содействие расширению возможностей граждан реализовывать свои права на свободу творчества,  участие в культурной жизни </t>
  </si>
  <si>
    <t>Предоставление театрально-концертного обслуживания населению, повышение его доступности и разнообразия.</t>
  </si>
  <si>
    <t>Предоставление услуг, направленных  на сохранение  и развитие традиционного народного творчества, а также создание условий для повышения их качества</t>
  </si>
  <si>
    <t>Содействие расширению доступа граждан к культурным ценностям и информации</t>
  </si>
  <si>
    <t>Создание условий приобщения граждан к культурным ценностям.</t>
  </si>
  <si>
    <t>Создание условий для сохранения объектов культурного наследия (памятников истории и культуры) Республики Дагестан</t>
  </si>
  <si>
    <t>Создание условий для сохранения государственной части фонда музеев,  комплектования и популяризации фондов республиканских государственных музеев</t>
  </si>
  <si>
    <t>2.4.</t>
  </si>
  <si>
    <t>Создание условий для доступа населения к информации путем совершенствования библиотечного обслуживания</t>
  </si>
  <si>
    <t>Развитие творческого потенциала республики</t>
  </si>
  <si>
    <t>Образование  в области культуры и искусства</t>
  </si>
  <si>
    <t>Выявление и развитие талантов в сфере культуры</t>
  </si>
  <si>
    <t>3.3.</t>
  </si>
  <si>
    <t>Поддержка творческих инициатив и проектов в сфере культуры</t>
  </si>
  <si>
    <t>Социальные выплаты</t>
  </si>
  <si>
    <t>Выплаты семьям опекунов на содержание подопечных детей</t>
  </si>
  <si>
    <t>Итого</t>
  </si>
  <si>
    <t>РДНТ</t>
  </si>
  <si>
    <t>ДК</t>
  </si>
  <si>
    <t>ТЗП</t>
  </si>
  <si>
    <t>Музеи</t>
  </si>
  <si>
    <t>Библ</t>
  </si>
  <si>
    <t>ЦОПИК</t>
  </si>
  <si>
    <t>МК</t>
  </si>
  <si>
    <t>Союзы</t>
  </si>
  <si>
    <t>пособия</t>
  </si>
  <si>
    <t xml:space="preserve">аппарат </t>
  </si>
  <si>
    <t>программа</t>
  </si>
  <si>
    <t>сироты</t>
  </si>
  <si>
    <t>стипендия</t>
  </si>
  <si>
    <t>охрана федер</t>
  </si>
  <si>
    <t>Центр мер</t>
  </si>
  <si>
    <t>гос. Под</t>
  </si>
  <si>
    <t>Бюдж инвест</t>
  </si>
  <si>
    <t>нац прогр</t>
  </si>
  <si>
    <t>соц. Пол</t>
  </si>
  <si>
    <t>2014 год</t>
  </si>
  <si>
    <t>Распределение средств Министерства культуры Республики Дагестан по целям, задачам и целевым программам.</t>
  </si>
  <si>
    <t xml:space="preserve">Республиканская целевая         </t>
  </si>
  <si>
    <t xml:space="preserve">программа "Комплексные меры     </t>
  </si>
  <si>
    <t>противодействия злоупотреблению</t>
  </si>
  <si>
    <t xml:space="preserve">наркотическими средствами и их  </t>
  </si>
  <si>
    <t>незаконному обороту на 2010-2014</t>
  </si>
  <si>
    <t xml:space="preserve">годы"                           </t>
  </si>
  <si>
    <t>Не распределено по программам</t>
  </si>
  <si>
    <t>Данные приведены в соответсвии со следующими законами:</t>
  </si>
  <si>
    <t>2015 год</t>
  </si>
  <si>
    <t xml:space="preserve">Расходы </t>
  </si>
  <si>
    <t>по Министерству культуры РД</t>
  </si>
  <si>
    <t>Наименование статей</t>
  </si>
  <si>
    <t>Мин</t>
  </si>
  <si>
    <t>Рз</t>
  </si>
  <si>
    <t>Пр</t>
  </si>
  <si>
    <t>ЦСР</t>
  </si>
  <si>
    <t>ВР</t>
  </si>
  <si>
    <t>эк. кл.</t>
  </si>
  <si>
    <t>Аппарат МК РД</t>
  </si>
  <si>
    <t>Заработная плата</t>
  </si>
  <si>
    <t>056</t>
  </si>
  <si>
    <t>08</t>
  </si>
  <si>
    <t>0020400</t>
  </si>
  <si>
    <t>012</t>
  </si>
  <si>
    <t>Прочие выплаты</t>
  </si>
  <si>
    <t>Начисления на оплату труда</t>
  </si>
  <si>
    <t xml:space="preserve">Оплата услуг связи </t>
  </si>
  <si>
    <t>Транспортные услуги</t>
  </si>
  <si>
    <t>Коммунальные услуги</t>
  </si>
  <si>
    <t>Газ</t>
  </si>
  <si>
    <t>Аренда</t>
  </si>
  <si>
    <t>Услуги по содерж. имущества</t>
  </si>
  <si>
    <t>Прочие услуги</t>
  </si>
  <si>
    <t>пособие по соцпомощи</t>
  </si>
  <si>
    <t>262</t>
  </si>
  <si>
    <t xml:space="preserve">Прочие расходы </t>
  </si>
  <si>
    <t>290</t>
  </si>
  <si>
    <t>Увелич. стоимости осн. средств</t>
  </si>
  <si>
    <t>Увелич. стоимости матер. запасов</t>
  </si>
  <si>
    <t>Всего расходов</t>
  </si>
  <si>
    <t>Респ. Цирковая школа</t>
  </si>
  <si>
    <t>07</t>
  </si>
  <si>
    <t>02</t>
  </si>
  <si>
    <t>001</t>
  </si>
  <si>
    <t xml:space="preserve">Прочие выплаты </t>
  </si>
  <si>
    <t>Увелич. стоимости осн.средств</t>
  </si>
  <si>
    <t>Школа-студия «Лезгинка»</t>
  </si>
  <si>
    <t>Дженгутай ДШИ</t>
  </si>
  <si>
    <t>Школа М. Кажлаева</t>
  </si>
  <si>
    <t>Всего по 0702</t>
  </si>
  <si>
    <t>ДККИ</t>
  </si>
  <si>
    <t>04</t>
  </si>
  <si>
    <t>Аренда помещения</t>
  </si>
  <si>
    <t>ДХУ</t>
  </si>
  <si>
    <t>ММУ</t>
  </si>
  <si>
    <t>ДМУ</t>
  </si>
  <si>
    <t>Всего по ССУЗам 0704</t>
  </si>
  <si>
    <t>Курсы повышения квалификации</t>
  </si>
  <si>
    <t>05</t>
  </si>
  <si>
    <t>4299901</t>
  </si>
  <si>
    <t>Стипендия Президента РД</t>
  </si>
  <si>
    <t>09</t>
  </si>
  <si>
    <t>4360400</t>
  </si>
  <si>
    <t>013</t>
  </si>
  <si>
    <t>Всего р.07</t>
  </si>
  <si>
    <t xml:space="preserve">Заработная плата </t>
  </si>
  <si>
    <t>01</t>
  </si>
  <si>
    <t>Дворец культуры</t>
  </si>
  <si>
    <t>Всего Дома культуры</t>
  </si>
  <si>
    <t>ДГОМ</t>
  </si>
  <si>
    <t>Музей ИЗО</t>
  </si>
  <si>
    <t>Дербентский заповедник</t>
  </si>
  <si>
    <t>АУЛ</t>
  </si>
  <si>
    <t>Всего по музеям</t>
  </si>
  <si>
    <t>ДРБ</t>
  </si>
  <si>
    <t>Арендная плата</t>
  </si>
  <si>
    <t>Юношеская библиотека</t>
  </si>
  <si>
    <t>Детская библиотека</t>
  </si>
  <si>
    <t>Библиотека для слепых</t>
  </si>
  <si>
    <t>итого по библиотекам</t>
  </si>
  <si>
    <t>Русский театр</t>
  </si>
  <si>
    <t>Аварский театр</t>
  </si>
  <si>
    <t>Кумыкский театр</t>
  </si>
  <si>
    <t>Даргинский театр</t>
  </si>
  <si>
    <t>Лезгинский театр</t>
  </si>
  <si>
    <t>Лакский театр</t>
  </si>
  <si>
    <t>Театр кукол</t>
  </si>
  <si>
    <t>Театр оперы и балета</t>
  </si>
  <si>
    <t>Азербайджанский театр</t>
  </si>
  <si>
    <t>Ногайский театр</t>
  </si>
  <si>
    <t>Табасаранский театр</t>
  </si>
  <si>
    <t>Даггосфилармония</t>
  </si>
  <si>
    <t>Театр песни</t>
  </si>
  <si>
    <t>Ансамбль Дагестан</t>
  </si>
  <si>
    <t>Ансамбль «Молодость Дагестана»</t>
  </si>
  <si>
    <t>Ногайский оркестр</t>
  </si>
  <si>
    <t>Терский казачий ансамбль</t>
  </si>
  <si>
    <t>Оркестр народных инсрументов</t>
  </si>
  <si>
    <t>Симфонический оркестр</t>
  </si>
  <si>
    <t>Гос. хор</t>
  </si>
  <si>
    <t>Айланай</t>
  </si>
  <si>
    <t>Дагестан-концерт</t>
  </si>
  <si>
    <t xml:space="preserve"> Анс.«Лезгинка»</t>
  </si>
  <si>
    <t>Итого по ТЗП</t>
  </si>
  <si>
    <t>212</t>
  </si>
  <si>
    <t>221</t>
  </si>
  <si>
    <t>222</t>
  </si>
  <si>
    <t>224</t>
  </si>
  <si>
    <t>225</t>
  </si>
  <si>
    <t>централизован</t>
  </si>
  <si>
    <t>4508501</t>
  </si>
  <si>
    <t>310</t>
  </si>
  <si>
    <t>340</t>
  </si>
  <si>
    <t>Респ. методцентр</t>
  </si>
  <si>
    <t>4529901</t>
  </si>
  <si>
    <t>4529902</t>
  </si>
  <si>
    <t>Всего прочие организации</t>
  </si>
  <si>
    <t>4529900</t>
  </si>
  <si>
    <t>Всего р.08</t>
  </si>
  <si>
    <t>Пособия по социальной  помощи</t>
  </si>
  <si>
    <t>5201320</t>
  </si>
  <si>
    <t>005</t>
  </si>
  <si>
    <t>Союз писателей РД</t>
  </si>
  <si>
    <t>4510000</t>
  </si>
  <si>
    <t>006</t>
  </si>
  <si>
    <t>242</t>
  </si>
  <si>
    <t>Союз композиторов РД</t>
  </si>
  <si>
    <t>Союз художников РД</t>
  </si>
  <si>
    <t>Союз музыкантов РД</t>
  </si>
  <si>
    <t>Союз театральных деятелей РД</t>
  </si>
  <si>
    <t>Союз хореографов РД</t>
  </si>
  <si>
    <t>Союз кинематографистов РД</t>
  </si>
  <si>
    <t>Союз женщин РД</t>
  </si>
  <si>
    <t>Союз журналистов</t>
  </si>
  <si>
    <t>Союз архитекторов РД</t>
  </si>
  <si>
    <t>Всего</t>
  </si>
  <si>
    <t>03</t>
  </si>
  <si>
    <t>10</t>
  </si>
  <si>
    <t>5220900</t>
  </si>
  <si>
    <t>226</t>
  </si>
  <si>
    <t>Матер. помощь</t>
  </si>
  <si>
    <t>5058600</t>
  </si>
  <si>
    <t>ОХРАНА</t>
  </si>
  <si>
    <t>0015300</t>
  </si>
  <si>
    <t>211</t>
  </si>
  <si>
    <t>213</t>
  </si>
  <si>
    <t>5225200</t>
  </si>
  <si>
    <t>5223900</t>
  </si>
  <si>
    <t>079</t>
  </si>
  <si>
    <t>Грант</t>
  </si>
  <si>
    <t>4369300</t>
  </si>
  <si>
    <t>ВСЕГО</t>
  </si>
  <si>
    <t>Начальник ПЭО                                                             Д. Нурахмедова</t>
  </si>
  <si>
    <t xml:space="preserve">Республиканского бюджета Республики Дагестан на 2011год </t>
  </si>
  <si>
    <t>4409900</t>
  </si>
  <si>
    <t>4419900</t>
  </si>
  <si>
    <t>4429900</t>
  </si>
  <si>
    <t>4439900</t>
  </si>
  <si>
    <t>95</t>
  </si>
  <si>
    <t xml:space="preserve">Республиканского бюджета Республики Дагестан на 2012год </t>
  </si>
  <si>
    <t>0020000</t>
  </si>
  <si>
    <t>Прочие расходы</t>
  </si>
  <si>
    <t>4239502</t>
  </si>
  <si>
    <t>4230000</t>
  </si>
  <si>
    <t xml:space="preserve">Прочие услуги </t>
  </si>
  <si>
    <t>4279902</t>
  </si>
  <si>
    <t>4279502</t>
  </si>
  <si>
    <t>4270000</t>
  </si>
  <si>
    <t>ГБОУ «РУМЦ»</t>
  </si>
  <si>
    <t>4299501</t>
  </si>
  <si>
    <t>4290000</t>
  </si>
  <si>
    <t>4409500</t>
  </si>
  <si>
    <t>4400000</t>
  </si>
  <si>
    <t>4419500</t>
  </si>
  <si>
    <t>4410000</t>
  </si>
  <si>
    <t>4419901</t>
  </si>
  <si>
    <t>4429500</t>
  </si>
  <si>
    <t>4420000</t>
  </si>
  <si>
    <t>4429901</t>
  </si>
  <si>
    <t>4439500</t>
  </si>
  <si>
    <t>4430000</t>
  </si>
  <si>
    <t>4439901</t>
  </si>
  <si>
    <t>4500000</t>
  </si>
  <si>
    <t>4529500</t>
  </si>
  <si>
    <t>4520000</t>
  </si>
  <si>
    <t xml:space="preserve">РЦП «Сохранение и развитие профессионального искусства и народного творчества Дагестана на 2011-2015 годы» </t>
  </si>
  <si>
    <t>5226200</t>
  </si>
  <si>
    <t xml:space="preserve">РЦП «Сохранение, использование, популяризация и государственная охрана объектов культурного наследия (памятников истории и культуры), расположенных на территории Республики Дагестан, находящихся в собственности Республики Дагестан, на 2011-2016 годы» </t>
  </si>
  <si>
    <t>5226600</t>
  </si>
  <si>
    <t xml:space="preserve">РЦП «Развитие национальных отношений в Республике Дагестан на 2011-2015 годы» </t>
  </si>
  <si>
    <t>13</t>
  </si>
  <si>
    <t xml:space="preserve">РЦП «Пожарная безопастность в Республике Дагестан на период до 2014 года» </t>
  </si>
  <si>
    <t>Министр                                                    З. Сулейманова</t>
  </si>
  <si>
    <t>4279501</t>
  </si>
  <si>
    <t>Гранты</t>
  </si>
  <si>
    <t>014</t>
  </si>
  <si>
    <t>4409901</t>
  </si>
  <si>
    <t>РЦП Патриотическое воспитание</t>
  </si>
  <si>
    <t>5222900</t>
  </si>
  <si>
    <t>447</t>
  </si>
  <si>
    <t>ИТОГО:</t>
  </si>
  <si>
    <t>РЦП "Развитие национальных отношений в РД на 2011 - 2015 годы"</t>
  </si>
  <si>
    <t>мат. пом. Казиеву, Касмине, Наби,Фазу</t>
  </si>
  <si>
    <t>5100300</t>
  </si>
  <si>
    <t>Наименование показателя</t>
  </si>
  <si>
    <t>5220000</t>
  </si>
  <si>
    <t>Министерство культуры Республики Дагестан</t>
  </si>
  <si>
    <t>5220100</t>
  </si>
  <si>
    <t>630</t>
  </si>
  <si>
    <t>314</t>
  </si>
  <si>
    <t>350</t>
  </si>
  <si>
    <t>Приложение № 7</t>
  </si>
  <si>
    <t>Результативность бюджетных расходов</t>
  </si>
  <si>
    <t xml:space="preserve">Плановый период   </t>
  </si>
  <si>
    <t xml:space="preserve">Стратегическая цель 1: Содействие расширению возможностей граждан реализовывать свои права на свободу творчества,  участие в культурной жизни </t>
  </si>
  <si>
    <t>Тактическая задача 1.1: Предоставление театрально-концертного обслуживания населению, повышение его доступности и разнообразия.</t>
  </si>
  <si>
    <t>Процент площади помещений театрально-зрелищных и концертных учреждений, требующих капитального ремонта</t>
  </si>
  <si>
    <t>Доля артистов театрально-зрелищных предприятий, имеющих почётное звание "народный" и "заслуженный" к общему числу артистов</t>
  </si>
  <si>
    <t xml:space="preserve">Количественная   
характеристика   
</t>
  </si>
  <si>
    <t xml:space="preserve">Число мероприятий проведённых театрами (в рамках государственного задания) </t>
  </si>
  <si>
    <t xml:space="preserve">Число зрителей, посетивших мероприятия, проведенные театрами на территории Республики Дагестан </t>
  </si>
  <si>
    <t>(тыс. чел.)</t>
  </si>
  <si>
    <t>Число новых театральных постановок</t>
  </si>
  <si>
    <t xml:space="preserve">Число мероприятий, проведённых концертными организациями (в рамках государственного задания) </t>
  </si>
  <si>
    <t xml:space="preserve">Число зрителей, посетивших мероприятия, проведенные концертными организациями на территории Дагестана </t>
  </si>
  <si>
    <t xml:space="preserve">Расходы:         </t>
  </si>
  <si>
    <t xml:space="preserve">Всего            </t>
  </si>
  <si>
    <t xml:space="preserve">В том числе бюджетные       </t>
  </si>
  <si>
    <t xml:space="preserve">внебюджетные  </t>
  </si>
  <si>
    <t>Тактическая задача 1.2: Предоставление услуг, направленных  на сохранение  и развитие традиционного народного творчества, а также создание условий для повышения их качества</t>
  </si>
  <si>
    <t xml:space="preserve">Качественная     характеристика </t>
  </si>
  <si>
    <t>Количество коллективов, принявших участие в межрегиональных, всероссийских и международных конкурсах</t>
  </si>
  <si>
    <t>(единиц)</t>
  </si>
  <si>
    <t xml:space="preserve">Доля населения Республики Дагестан, проживающего в населенных пунктах, в которых в отчетном периоде проводились республиканские культурно-массовые мероприятия </t>
  </si>
  <si>
    <t xml:space="preserve">Количественная   
характеристика   </t>
  </si>
  <si>
    <t xml:space="preserve"> в т.ч. с ограниченным числом участников </t>
  </si>
  <si>
    <t>Стратегическая цель 2:Содействие расширению доступа граждан к культурным ценностям и информации</t>
  </si>
  <si>
    <t>Тактическая задача 2.1:Создание условий приобщения граждан к культурным ценностям.</t>
  </si>
  <si>
    <t>Процент площади помещений республиканских государственных музейных учреждений, требующих капитального ремонта</t>
  </si>
  <si>
    <t>Степень пополняемости библиотечных фондов республиканских государственных библиотечных учреждений в сравнении с нормативной на 1000 человек населения</t>
  </si>
  <si>
    <t xml:space="preserve">Количественная   
характеристика  </t>
  </si>
  <si>
    <t xml:space="preserve">Общее количество посещений республиканских государственных музейных учреждений </t>
  </si>
  <si>
    <t>(тыс. посещений)</t>
  </si>
  <si>
    <t xml:space="preserve"> в т.ч. индивидуальных посещений </t>
  </si>
  <si>
    <t>(тыс.посещений)</t>
  </si>
  <si>
    <t xml:space="preserve"> в т.ч. групповых посещений (в составе организованных экскурсионных групп) </t>
  </si>
  <si>
    <t>(тыс. посещений.)</t>
  </si>
  <si>
    <t>тыс. чел.</t>
  </si>
  <si>
    <t>Тактическая задача 2.2:Создание условий для сохранения объектов культурного наследия (памятников истории и культуры) Республики Дагестан</t>
  </si>
  <si>
    <t xml:space="preserve">Число объективных претензий к качеству предоставляемых материалов по популяризации объектов культурного наследия </t>
  </si>
  <si>
    <t xml:space="preserve">Число мероприятий по популяризации объектов культурного наследия  </t>
  </si>
  <si>
    <t>Тактическая задача 2.3:Создание условий для сохранения государственной части фонда музеев,  комплектования и популяризации фондов республиканских государственных музеев</t>
  </si>
  <si>
    <t xml:space="preserve">Доля музейных фондов, внесенных в электронный каталог музейных предметов </t>
  </si>
  <si>
    <t xml:space="preserve">Доля индивидуальных посещений </t>
  </si>
  <si>
    <t xml:space="preserve">Количественная   
характеристика </t>
  </si>
  <si>
    <t>Количество выставок, лекций и иных мероприятий</t>
  </si>
  <si>
    <t>Количество профильных тематических выставок, организованных для юридических лиц с оказанием  методической  помощи</t>
  </si>
  <si>
    <t>Тактическая задача 2.4: Создание условий для доступа населения к информации путем совершенствования библиотечного обслуживания</t>
  </si>
  <si>
    <t>Охват населения библиотечным обслуживанием</t>
  </si>
  <si>
    <t>Доля электронных изданий и аудиовизуальных документов в общем объеме библиотечного фонда</t>
  </si>
  <si>
    <t>Процент площади помещений республиканских государственных библиотечных учреждений, требующих капитального ремонта</t>
  </si>
  <si>
    <t>Количество выданных читателям республиканских государственных библиотечных учреждений печатных, электронных и иных изданий</t>
  </si>
  <si>
    <t>тыс. экз.</t>
  </si>
  <si>
    <t>(тыс.шт.)</t>
  </si>
  <si>
    <t>Стратегическая цель 3:Развитие творческого потенциала республики</t>
  </si>
  <si>
    <t>Тактическая задача 3.1: Образование  в области культуры и искусства</t>
  </si>
  <si>
    <t xml:space="preserve">Число предписаний государственных органов в сфере санитарно-эпидемиологического (потребительского) и пожарного надзора, вынесенных в отношении государственных учреждений, предоставляющих государственную услугу </t>
  </si>
  <si>
    <t xml:space="preserve">Процент площади помещений, в которых оказывается услуга, требующих капитального ремонта </t>
  </si>
  <si>
    <t>Количество специальностей,  которые можно получить  в государственных учреждениях среднего  профессионального образования  в сфере культуры и искусства</t>
  </si>
  <si>
    <t>Доля работников методического центра оказывающих консультативно-методические услуги  имеющих различные почетные звания</t>
  </si>
  <si>
    <t>Количество специализаций,  которые можно получить  в государственных учреждениях среднего  профессионального образования  в сфере культуры и искусства</t>
  </si>
  <si>
    <t xml:space="preserve">Среднегодовое число слушателей повышающих квалификацию в сфере культуры и искусства </t>
  </si>
  <si>
    <t>(чел)</t>
  </si>
  <si>
    <t xml:space="preserve">Число школ дополнительного образования в сфере культуры и искусства, получающих методическое и информационное обеспечение </t>
  </si>
  <si>
    <t xml:space="preserve"> - республиканских</t>
  </si>
  <si>
    <t xml:space="preserve"> - муниципальных</t>
  </si>
  <si>
    <t>Тактическая задача 3.2:Выявление и развитие талантов в сфере культуры</t>
  </si>
  <si>
    <t xml:space="preserve">Степень стабильности состава учащихся (в части дополнительного образования в сфере культуры и искусства)  </t>
  </si>
  <si>
    <t>Доля детей, получающих дополнительное образование в сфере культуры и искусства, являющихся лауреатами (призерами) международных, всероссийских и региональных конкурсов, выставок, фестивалей</t>
  </si>
  <si>
    <t>Среднегодовое число детей, получающих дополнительное образование в сфере культуры и искусства на бесплатной  (частично) платной основах</t>
  </si>
  <si>
    <t>чел.</t>
  </si>
  <si>
    <t>Среднегодовое число учащихся, получающих профильное профессиональное образование в сфере культуры и искусства</t>
  </si>
  <si>
    <t>Тактическая задача 3.3:Поддержка творческих инициатив и проектов в сфере культуры</t>
  </si>
  <si>
    <t xml:space="preserve">Количество фестивалей и конкурсов повысивших свой статус </t>
  </si>
  <si>
    <t xml:space="preserve">Число коллективов, принявших участие в межрегиональных, всероссийских и международных конкурсах </t>
  </si>
  <si>
    <t>Число лауреатов и дипломантов межрегиональных, всероссийских и международных конкурсов</t>
  </si>
  <si>
    <t xml:space="preserve">Количество организованных культурно-массовых мероприятий </t>
  </si>
  <si>
    <t xml:space="preserve"> в т.ч. с ограниченным числом участников</t>
  </si>
  <si>
    <t xml:space="preserve">Число посетителей культурно-массовых мероприятий </t>
  </si>
  <si>
    <t>(тыс.чел)</t>
  </si>
  <si>
    <t>в т.ч без ограничения числа посетителей (мероприятия, проводимые на открытом воздухе, гуляния)</t>
  </si>
  <si>
    <t xml:space="preserve">в т.ч.  с ограниченным числом посетителей (мероприятия проводимые в закрытых помещениях) </t>
  </si>
  <si>
    <t>Приложение №1</t>
  </si>
  <si>
    <t>Стратегические цели, задачи, показатели результата.</t>
  </si>
  <si>
    <t>Наименование целей, задач, показателей</t>
  </si>
  <si>
    <t>Ед. изм.</t>
  </si>
  <si>
    <t>Отчётный период</t>
  </si>
  <si>
    <t>Целевое значение</t>
  </si>
  <si>
    <t>план</t>
  </si>
  <si>
    <t>факт</t>
  </si>
  <si>
    <t>оценка</t>
  </si>
  <si>
    <t>Содействие расширению возможностей граждан реализовывать свои права на свободу творчества,  участие в культурной жизни</t>
  </si>
  <si>
    <t>Показатель цели</t>
  </si>
  <si>
    <t>Уровень удовлетворенности населения качеством обслуживания и доступностью услуг учреждений культуры</t>
  </si>
  <si>
    <t>Задача 1.1</t>
  </si>
  <si>
    <t>Основные показатели</t>
  </si>
  <si>
    <t>Количество новых театральных постановок</t>
  </si>
  <si>
    <t>единиц</t>
  </si>
  <si>
    <t>Число мероприятий проведённых театрами.</t>
  </si>
  <si>
    <t>Показатель результата 1.1.3.</t>
  </si>
  <si>
    <t>Число мероприятий, проведённых концертными организациями.</t>
  </si>
  <si>
    <t>Дополни - тельные показатели</t>
  </si>
  <si>
    <t>Число зрителей, посетивших мероприятия, проведенные театрами на территории Республики Дагестан.</t>
  </si>
  <si>
    <t>Число зрителей, посетивших мероприятия, проведенные концертными организациями на территории Дагестана.</t>
  </si>
  <si>
    <t>Задача 1.2</t>
  </si>
  <si>
    <t xml:space="preserve">Число  государственных проектов в сфере традиционной народной культуры, любительского искусства социальной деятельности и патриотического воспитания. </t>
  </si>
  <si>
    <r>
      <t>Число посетителей</t>
    </r>
    <r>
      <rPr>
        <b/>
        <sz val="22"/>
        <color indexed="8"/>
        <rFont val="Times New Roman"/>
        <family val="1"/>
        <charset val="204"/>
      </rPr>
      <t xml:space="preserve"> </t>
    </r>
    <r>
      <rPr>
        <sz val="22"/>
        <color indexed="8"/>
        <rFont val="Times New Roman"/>
        <family val="1"/>
        <charset val="204"/>
      </rPr>
      <t>мероприятий в области</t>
    </r>
    <r>
      <rPr>
        <b/>
        <sz val="22"/>
        <color indexed="8"/>
        <rFont val="Times New Roman"/>
        <family val="1"/>
        <charset val="204"/>
      </rPr>
      <t xml:space="preserve"> </t>
    </r>
    <r>
      <rPr>
        <sz val="22"/>
        <color indexed="8"/>
        <rFont val="Times New Roman"/>
        <family val="1"/>
        <charset val="204"/>
      </rPr>
      <t>традиционной народной культуры, любительского искусства социальной деятельности и патриотического воспитания.</t>
    </r>
  </si>
  <si>
    <t>тыс.чел</t>
  </si>
  <si>
    <t>Показатель результата 1.2.3</t>
  </si>
  <si>
    <t>Количество коллективов, принявших участие в межрегиональных, всероссийских и международных конкурсах.</t>
  </si>
  <si>
    <t>Задача 1.3</t>
  </si>
  <si>
    <t>Повышение доступности и качества услуг в сфере культуры за счет укрепления материально-технической базы республиканских учреждений</t>
  </si>
  <si>
    <t>Показатель результата 1.3.1</t>
  </si>
  <si>
    <t>коэффициент обновления основных фондов республиканских учреждений культуры</t>
  </si>
  <si>
    <t>к</t>
  </si>
  <si>
    <t>Показатель результата 1.3.2</t>
  </si>
  <si>
    <t>затраты на приобретение оборудования по республиканским учреждениям культуры в расчете на 1000 жителей</t>
  </si>
  <si>
    <t>т. руб.</t>
  </si>
  <si>
    <t>Стратегическая Цель 2.</t>
  </si>
  <si>
    <t>Показатель цели 1.</t>
  </si>
  <si>
    <t>Уровень удовлетворенности посетителей доступностью и качеством услуг государственных музеев.</t>
  </si>
  <si>
    <t>Показатель цели 2.</t>
  </si>
  <si>
    <t xml:space="preserve">Уровень удовлетворенности посетителей доступностью и качеством услуг государственных библиотек. </t>
  </si>
  <si>
    <t>Задача 2.1.</t>
  </si>
  <si>
    <t>Показатель результата 2.1.1.</t>
  </si>
  <si>
    <t xml:space="preserve">Число посещений музеев республики </t>
  </si>
  <si>
    <t>тыс.</t>
  </si>
  <si>
    <t>Показатель результата 2.3.2</t>
  </si>
  <si>
    <t xml:space="preserve">Число посещений библиотек республики </t>
  </si>
  <si>
    <t>Дополнительные показатели</t>
  </si>
  <si>
    <t>Показатель результата 2.1.4</t>
  </si>
  <si>
    <t>Доля электронных изданий и аудиовизуальных документов в общем объеме библиотечного фонда.</t>
  </si>
  <si>
    <t>Задача 2.2</t>
  </si>
  <si>
    <t>Показатель результата 2.2.1</t>
  </si>
  <si>
    <t>Показатель результата 2.2.2</t>
  </si>
  <si>
    <t>Объекты культурного наследия, прошедших инвентаризацию и мониторинг</t>
  </si>
  <si>
    <t>Количество выявленных объектов культурного наследия</t>
  </si>
  <si>
    <t>Задача 2.3</t>
  </si>
  <si>
    <t>Показатель результата 2.3.1</t>
  </si>
  <si>
    <t>Доля отреставрированных экспонатов музейного фонда от общего количества экспонатов, нуждающихся в реставрации</t>
  </si>
  <si>
    <t>Прирост экспонатов основного фонда республиканских  государственных музеев</t>
  </si>
  <si>
    <t>Задача 2.4</t>
  </si>
  <si>
    <t>Показатель результата 2.4.1</t>
  </si>
  <si>
    <t xml:space="preserve">Количество библиотек </t>
  </si>
  <si>
    <t>Показатель результата 2.4.2</t>
  </si>
  <si>
    <t>Коэффициент обновления библиотечных фондов республиканских библиотек</t>
  </si>
  <si>
    <t>Показатель результата 2.4.3</t>
  </si>
  <si>
    <t>Книгообеспеченность на 1000 человек</t>
  </si>
  <si>
    <t>Показатель результата 2.4.4</t>
  </si>
  <si>
    <t>Ежегодное пополнение книжных фондов на 1000 человек (норматив ЮНЕСКО – 250 книг)</t>
  </si>
  <si>
    <t>Дополнительный показатель</t>
  </si>
  <si>
    <t>Показатель результата 2.4.5</t>
  </si>
  <si>
    <t>Количество библиотек, имеющих доступ  в Интернет.</t>
  </si>
  <si>
    <t>Показатель цели.</t>
  </si>
  <si>
    <t xml:space="preserve">Среднегодовое число учащихся получающих дополнительное и профессиональное образование в сфере культуры и искусства на бесплатной  (частично) платной основах. </t>
  </si>
  <si>
    <t>Задача 3.1.</t>
  </si>
  <si>
    <t>Показатель результата 3.1.1</t>
  </si>
  <si>
    <t>Число республиканских школ дополнительного образования в сфере культуры и искусства.</t>
  </si>
  <si>
    <t>Показатель результата 3.1.2</t>
  </si>
  <si>
    <t>Число средних специальных учебных заведений в сфере культуры и искусства.</t>
  </si>
  <si>
    <t>Задача 3.2</t>
  </si>
  <si>
    <t>Показатель результата 3.2.1</t>
  </si>
  <si>
    <t>Количество лауреатов межрегиональных, всероссийских и международных конкурсов среди студентов республиканских учебных заведений культуры и искусства</t>
  </si>
  <si>
    <t>Показатель результата 3.2.2</t>
  </si>
  <si>
    <t>Количество специальностей,  которые можно получить  в государственных учреждениях среднего  профессионального образования  в сфере культуры и искусства.</t>
  </si>
  <si>
    <t>Задача 3.3</t>
  </si>
  <si>
    <t>Показатель результата 3.3.1</t>
  </si>
  <si>
    <t>Количество творческих мероприятий (проектов), проведенных при поддержке министерства культуры</t>
  </si>
  <si>
    <t>Показатель результата 3.3.2</t>
  </si>
  <si>
    <t>Количество творческих мероприятий (проектов), проведенных совместно с общественными организациями при поддержке министерства культуры</t>
  </si>
  <si>
    <t>Показатель результата 3.3.3</t>
  </si>
  <si>
    <t>Количество мероприятий (спектаклей, концертов), показанных театрами и концертными организациями за пределами республики.</t>
  </si>
  <si>
    <t>Приложение №2</t>
  </si>
  <si>
    <t>О Ц Е Н К А</t>
  </si>
  <si>
    <t>исполняемых расходных обязательств Министерства культуры Республики Дагестан.</t>
  </si>
  <si>
    <t>Наименование полномочия, расходного обязательства</t>
  </si>
  <si>
    <t>Наименование и реквизиты нормативного правового акта</t>
  </si>
  <si>
    <t>Номер статьи, части, пункта, подпункта, абзаца</t>
  </si>
  <si>
    <t>Объем исполняемых расходных обязательств (тыс.рублей)</t>
  </si>
  <si>
    <t>метод оценки</t>
  </si>
  <si>
    <t>плановый период</t>
  </si>
  <si>
    <t>Раздел 1. Полномочия по предметам ведения Республики Дагестан.</t>
  </si>
  <si>
    <t>материально-техническое и финансовое обеспечение деятельности органов государственной власти субъекта Российской Федерации, в том числе вопросов оплаты труда работников органов государственной власти субъекта Российской Федерации</t>
  </si>
  <si>
    <t>Федеральный закон "Об общих принципах организации законодательных (прдставительных ) и исполнительных органов государственной власти субъектов Российской Федерации" от 06.10.1999 г. № 184-ФЗ</t>
  </si>
  <si>
    <t>Статья 26.3 пункт 2, подпункт 1</t>
  </si>
  <si>
    <t>плановый</t>
  </si>
  <si>
    <t>организация предоставления дополнительного образования детям в учреждениях регионального значения</t>
  </si>
  <si>
    <t xml:space="preserve"> - Федеральный закон  от 06.10.1999     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 </t>
  </si>
  <si>
    <t>Ст. 26.3, п. 2,     п.п. 14.1</t>
  </si>
  <si>
    <t xml:space="preserve"> - Закон РФ "Об образовании" №3266-1 от 10.07.1992 г.; </t>
  </si>
  <si>
    <t xml:space="preserve"> - Постановление Правительства Российской Федерации от 07.03.1995 №233 «Об утверждении Типового положения об образовательном учреждении дополнительного образования детей»</t>
  </si>
  <si>
    <t>1.3.</t>
  </si>
  <si>
    <t>организация предоставления начального, среднего и дополнительного профессионального образования (за исключением образования, получаемого в федеральных образовательных учреждениях, перечень которых утверждается Правительством Российской Федерации)</t>
  </si>
  <si>
    <t xml:space="preserve"> - Федеральный закон  от 06.10.1999     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  </t>
  </si>
  <si>
    <t xml:space="preserve"> - Закон РФ "Об образовании" №3266-1 от 10.07.1992 г. ;</t>
  </si>
  <si>
    <t xml:space="preserve"> - Постановление Правительства Российской Федерации от 14.01.1994 года №1168 «Типовое положение об образовательном уреждении среднего профессионального образования»;</t>
  </si>
  <si>
    <t>1.4.</t>
  </si>
  <si>
    <t xml:space="preserve"> - Федеральный закон  от 06.10.1999     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 Закон Российской Федерации от 10.07.1992     № 3266-1 «Об образовании»; </t>
  </si>
  <si>
    <t xml:space="preserve"> - Постановление Правительства Российской Федерации от 26.06.1995 №10«Об утверждении Типового положения об образовательном учреждении дополнительного профессионального образования (повышения квалификации специалистов)»    </t>
  </si>
  <si>
    <t>1.5.</t>
  </si>
  <si>
    <t>Сохранение, использование и популиризация объектов культурного наследия (памятников истории и культуры) регионального значения;                                                       Прочие учреждения.</t>
  </si>
  <si>
    <t xml:space="preserve"> - Федеральный закон  от  06.10.1999 № 184-ФЗ «Об общих  принципах организации законодательных (представительных) и исполнительных органов государственной власти субъектов  Российской  Федерации» </t>
  </si>
  <si>
    <t xml:space="preserve"> в целом</t>
  </si>
  <si>
    <t xml:space="preserve"> - Федеральный закон от 25.06.2002  № 73-ФЗ «Об объектах культурного наследия (памятниках истории и культуры) народов Российской Федерации»; </t>
  </si>
  <si>
    <t xml:space="preserve"> - Основы законодательства Российской Федерации  о культуре от 09.10.1992 № 3612-1;</t>
  </si>
  <si>
    <t xml:space="preserve"> - Закон РСФСР от 15.12.1978 «Об охране и использовании памятников истории и культуры»- ст.ст. 31, 35, 42.</t>
  </si>
  <si>
    <t>1.6.</t>
  </si>
  <si>
    <t>организация библиотечного обслуживания населения библиотеками субъекта Российской Федерации;</t>
  </si>
  <si>
    <t xml:space="preserve"> - Основы законодательства Российской Федерации  о культуре от 09.10.1992 № 3612-1;Федеральный закон  от  06.10.1999 № 184-ФЗ «Об общих  принципах организации законодательных (представительных) и исполнительных органов государственной власти субъектов  Российской  Федерации» ст. 26.3.</t>
  </si>
  <si>
    <t>в целом</t>
  </si>
  <si>
    <t xml:space="preserve"> - Федеральный закон "О библиотечном деле"от 29.12.94 г. № 78-ФЗ (в ред.Федерального закона от 22.08.04 г. № 122-ФЗ. </t>
  </si>
  <si>
    <t xml:space="preserve"> - Закон Республики Дагестан "О библиотечном обслуживании населения в Республике Дагестан"  от 27.12.2005 г.№ 75.</t>
  </si>
  <si>
    <t xml:space="preserve">  - Закон Республики Дагестан «О культуре» №10 от 13 марта 2000 г.</t>
  </si>
  <si>
    <t>1.7.</t>
  </si>
  <si>
    <t xml:space="preserve">создание и поддержка государственных музеев (за исключением федеральных государственных музеев,перечень которых утверждается Правительством Российской Федерации). </t>
  </si>
  <si>
    <t xml:space="preserve"> - Закон Российской Федерации о культуре 09.10.1992 г. № 3613-1.</t>
  </si>
  <si>
    <t xml:space="preserve"> - Федеральный Закон от 26.05.1996 г. № 54-ФЗ "О музейном фонде РФ и музеях в РФ".</t>
  </si>
  <si>
    <t xml:space="preserve"> -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 .</t>
  </si>
  <si>
    <t xml:space="preserve"> - Закон РД "О музейном фонде Республики Дагестан и музеях Республики Дагестан" 03.02.2006 №10 </t>
  </si>
  <si>
    <t xml:space="preserve"> - Закон Республики Дагестан «О культуре» №10 от 13 марта 2000 г.</t>
  </si>
  <si>
    <t>1.8.</t>
  </si>
  <si>
    <t>организация и поддержка учреждений  культуры и искусства (за исключением федеральных государственных учреждений культуры и искусства, перечень которых утверждается Правительством Российской Федерации).  (ТЗП)</t>
  </si>
  <si>
    <t xml:space="preserve"> - Постановление Российской Федерации от 25.03.1999 г. № 329 "О государственной поддержке театрального искусства в Российской Федерайии" (в ред.постановления Правительства РФ от 23.12.02 г. № 919).</t>
  </si>
  <si>
    <t xml:space="preserve"> - Закон Республики Дагестан "О культуре" от 13.03.2000 г. №10</t>
  </si>
  <si>
    <t>1.9.</t>
  </si>
  <si>
    <t xml:space="preserve">организация и поддержка учреждений  культуры и искусства (за исключением федеральных государственных учреждений культуры и искусства, перечень которых утверждается Правительством Российской Федерации). (Дворцы и дома культуры) </t>
  </si>
  <si>
    <t xml:space="preserve">в целом </t>
  </si>
  <si>
    <t>Закон Республики Дагестан "О культуре" от 13.03.2000 г. №10</t>
  </si>
  <si>
    <t>1.10.</t>
  </si>
  <si>
    <t>организация и поддержка учреждений  культуры и искусства (за исключением федеральных государственных учреждений культуры и искусства, перечень которых утверждается Правительством Российской Федерации). (Централизованные)</t>
  </si>
  <si>
    <t>Закон Российской Федерации о культуре 09.10.1992 г. № 3613-1, Постановление Российской Федерации от 25.03.1999 г. № 329 "О государственной поддержке театрального искусства в Российской Федерайии" (в ред.постановления Правительства РФ от 23.12.02 г. № 919).</t>
  </si>
  <si>
    <t>Государственная поддержка отдельных общественно полезных программ общественных объединений (Союзы).</t>
  </si>
  <si>
    <t xml:space="preserve">Закон РФ от 19.05.95 № 82-ФЗ "Об общественных объединениях" (в редакции от 02.02.2006) </t>
  </si>
  <si>
    <t>Стипендии Правительства Республики Дагестан отдельным категориям граждан</t>
  </si>
  <si>
    <t xml:space="preserve">Распоряжение Президента РД "О присуждении грантов Президента РД" №71-рп от 27 ноября 2010 года                                                           </t>
  </si>
  <si>
    <t xml:space="preserve">Указ президента РД 10.08.2006 №76 "О стипендии Президента РД"
</t>
  </si>
  <si>
    <t xml:space="preserve">Социальная поддержка граждан, находящихся в трудной жизненной ситуации, а также детей-сирот, детей, оставшихся без попечения родителей 
</t>
  </si>
  <si>
    <t>Федеральный закон "О дополнительных гарантиях по социальной поддержке детей сирот и детей, оставшихся без попечения родителей"   № 159 от 21.12.1996 г.     Закон РФ от 06.10.1999 г., №184-фз "Об общих принципах организации законодательных (представительных) и исполнительных органов гос. власти субъектов РФ"</t>
  </si>
  <si>
    <t>Итого по разделу 1</t>
  </si>
  <si>
    <t>Раздел 2. Полномочия, переданные с другого уровня бюджетной системы Российской Федерации (делегированные полномочия)</t>
  </si>
  <si>
    <t>Осуществление полномочий Российской Федерации по государственной охране объектов культурного наследия федерального значения</t>
  </si>
  <si>
    <t xml:space="preserve">Закон РФ от 25 июня 2002 года N 73-ФЗ "Об объектах культурного наследия (памятниках
истории и культуры) народов российской федерации"
 </t>
  </si>
  <si>
    <t>Приложение №3</t>
  </si>
  <si>
    <t>(тыс.руб.)</t>
  </si>
  <si>
    <t>Вид платежа</t>
  </si>
  <si>
    <t>План</t>
  </si>
  <si>
    <t>Факт</t>
  </si>
  <si>
    <t>Доходы подведомственных учреждений</t>
  </si>
  <si>
    <t>Остаток средств на начало года</t>
  </si>
  <si>
    <t>Оказание платных услуг театрально-зрелищными учреждениями</t>
  </si>
  <si>
    <t>Оказание платных услуг музеями</t>
  </si>
  <si>
    <t>Оказание платных услуг библиотеками</t>
  </si>
  <si>
    <t xml:space="preserve">Оказание платных услуг учреждениями дополнительного образования </t>
  </si>
  <si>
    <t xml:space="preserve">Оказание платных услуг учреждениями среднего профессионального  образования </t>
  </si>
  <si>
    <t>Безвозмездные поступления</t>
  </si>
  <si>
    <t>Всего:</t>
  </si>
  <si>
    <t>Поступления из федерального бюджета</t>
  </si>
  <si>
    <t>Субвенция на осуществление полномочий Российской Федерации по госохране объектов культурного наследия</t>
  </si>
  <si>
    <t>Итого:</t>
  </si>
  <si>
    <t xml:space="preserve">Дгом </t>
  </si>
  <si>
    <t>Изо</t>
  </si>
  <si>
    <t>Дербент</t>
  </si>
  <si>
    <t>аул</t>
  </si>
  <si>
    <t>НБ</t>
  </si>
  <si>
    <t>Юнош Библ</t>
  </si>
  <si>
    <t>Детская Библ</t>
  </si>
  <si>
    <t>Слепых</t>
  </si>
  <si>
    <t>библ</t>
  </si>
  <si>
    <t>музеи</t>
  </si>
  <si>
    <t>безвоз</t>
  </si>
  <si>
    <t>Основные показатели непрограммной деятельности.</t>
  </si>
  <si>
    <t>(тыс. рублей)</t>
  </si>
  <si>
    <t>Показатели</t>
  </si>
  <si>
    <t>ед.изм.</t>
  </si>
  <si>
    <t>Субсидии юридическим лицам</t>
  </si>
  <si>
    <t>тыс.руб.</t>
  </si>
  <si>
    <t>Социальные выплаты (материальная помощь)</t>
  </si>
  <si>
    <t>Выплата ежемесячного пособия детям - сиротам и детям, оставшимся без попечения родителей</t>
  </si>
  <si>
    <t>Государственная поддержка талантливой молодежи (Стипендия Президента РД)</t>
  </si>
  <si>
    <t>Организация и поддержка учреждений  культуры и искусства (за исключением федеральных государственных учреждений культуры и искусства, перечень которых утверждается Правительством Российской Федерации). (Дворец культуры)</t>
  </si>
  <si>
    <t xml:space="preserve">Осуществление полномочий Российской Федерации по государственной охране объектов культурного наследия федерального значения </t>
  </si>
  <si>
    <t>Содержание аппарата министерства</t>
  </si>
  <si>
    <t>Затраты на осуществление непрограммной деятельности, всего</t>
  </si>
  <si>
    <t>(чел.)</t>
  </si>
  <si>
    <t xml:space="preserve">Число мероприятий, проводимых учебно -  методическим центром с целью повышения уровня преподавания, внедрения передовых методик обучения в школах дополнительного образования (мастер-классы, семинары, конкурсы, фестивали, выставки, открытые занятия) </t>
  </si>
  <si>
    <t xml:space="preserve">Качест -венная     характе -ристика   </t>
  </si>
  <si>
    <t>ед.</t>
  </si>
  <si>
    <t xml:space="preserve">(тыс. чел.) </t>
  </si>
  <si>
    <t>Число зарегистрированных пользователей республиканских государственных библиотечных учреждений</t>
  </si>
  <si>
    <t>Количество посещений республиканских государственных библиотечных учреждений</t>
  </si>
  <si>
    <t>Число методических разработок (единиц) для школ дополнительного образования разработанных  учебно -методическим центром</t>
  </si>
  <si>
    <t>Постановление ПРД от 20.08.2010 г, № 505. об утверждении РЦП «Сохранение и развитие профессионального искусства и народного творчества Дагестана на 2011-2015 годы»</t>
  </si>
  <si>
    <t>Постановление ПРД от 20.08.2010 г, № 506. об утверждении РЦП «Сохранение, использование, популяризация и государственная охрана объектов культурного наследия (памятников истории и культуры), расположенных на территории Республики Дагестан, на 2011-2016 годы»</t>
  </si>
  <si>
    <t>за напряженность(инвалид) в дарг. т-р</t>
  </si>
  <si>
    <t>Увеличение количества посещений спектаклей, концертов, представлений, в том числе гастрольных и фестивальных, в расчете на 1000 чел. (по сравнению с предыдущим годом)</t>
  </si>
  <si>
    <t>Увеличение количества театрально-концертных  мероприятий за счет   внутрироссийского межрегионального обмена (по сравнению с предыдущим  годом)</t>
  </si>
  <si>
    <t>Увеличение количества культурных акций за пределами республики (по сравнению с предыдущим  годом)</t>
  </si>
  <si>
    <t>Увеличение количества посещений музеев (по сравнению с предыдущим  годом)</t>
  </si>
  <si>
    <t>Доля представленных (во всех формах) зрителю музейных предметов в общем количестве музейных предметов основного фонда</t>
  </si>
  <si>
    <t>Увеличение численности деятелей культуры и искусства, направляемых на обучение и повышение квалификации</t>
  </si>
  <si>
    <t>Увеличение численности участников культурно-досуговых мероприятий (по сравнению с предыдущим  годом)</t>
  </si>
  <si>
    <t>Доля мероприятий, направленных на сохранение и развитие нематериального культурного наследия народов Дагестана, в общем количестве мероприятий, реализованных учреждениями культуры клубного типа</t>
  </si>
  <si>
    <t>объект</t>
  </si>
  <si>
    <r>
      <rPr>
        <b/>
        <sz val="14"/>
        <rFont val="Arial"/>
        <family val="2"/>
      </rPr>
      <t xml:space="preserve">Не распределено по программам </t>
    </r>
    <r>
      <rPr>
        <i/>
        <sz val="14"/>
        <rFont val="Arial"/>
        <family val="2"/>
      </rPr>
      <t>(Государственная поддержка талантливой молодежи).</t>
    </r>
  </si>
  <si>
    <t>Данные приведены в соответсвии со следующими документами:</t>
  </si>
  <si>
    <t xml:space="preserve">Приложение № 1  к Порядку составления и ведения сводной бюджетной росписи републиканского бюджета   и бюджетных росписей главных распорядителей средств республиканского бюджета (главных администраторов источников финансирования дефицита республиканского бюджета), утвержденному приказом Министерства финансов Республики Дагестан от "  17 "  февраля  2009 г.  № 22  §3  "УТОЧНЕННАЯ СВОДНАЯ БЮДЖЕТНАЯ РОСПИСЬ РЕСПУБЛИКАНСКОГО БЮДЖЕТА НА 2010  ФИНАНСОВЫЙ ГОД"  от  "  31 "  декабря  2010  г. (http://www.minfinrd.ru/).
</t>
  </si>
  <si>
    <t>ИТОГО</t>
  </si>
  <si>
    <t xml:space="preserve">Оценка платежей в республиканский бюджет Республики Дагестан </t>
  </si>
  <si>
    <t xml:space="preserve">ИТОГО </t>
  </si>
  <si>
    <t>Показатель результата 2.1.2.</t>
  </si>
  <si>
    <t>Показатели эффективности</t>
  </si>
  <si>
    <t>Среднее значение по показателям эффективности</t>
  </si>
  <si>
    <t>Показатели конечных результатов</t>
  </si>
  <si>
    <r>
      <t>Число посетителей</t>
    </r>
    <r>
      <rPr>
        <b/>
        <sz val="30"/>
        <color indexed="8"/>
        <rFont val="Times New Roman"/>
        <family val="1"/>
        <charset val="204"/>
      </rPr>
      <t xml:space="preserve"> </t>
    </r>
    <r>
      <rPr>
        <sz val="30"/>
        <color indexed="8"/>
        <rFont val="Times New Roman"/>
        <family val="1"/>
        <charset val="204"/>
      </rPr>
      <t>мероприятий в области</t>
    </r>
    <r>
      <rPr>
        <b/>
        <sz val="30"/>
        <color indexed="8"/>
        <rFont val="Times New Roman"/>
        <family val="1"/>
        <charset val="204"/>
      </rPr>
      <t xml:space="preserve"> </t>
    </r>
    <r>
      <rPr>
        <sz val="30"/>
        <color indexed="8"/>
        <rFont val="Times New Roman"/>
        <family val="1"/>
        <charset val="204"/>
      </rPr>
      <t>традиционной народной культуры, любительского искусства социальной деятельности и патриотического воспитания.</t>
    </r>
  </si>
  <si>
    <t>Среднее значение по показателям конечных результатов</t>
  </si>
  <si>
    <t>Показатели результативности</t>
  </si>
  <si>
    <t>Среднее значение по показателям результативности</t>
  </si>
  <si>
    <t>СРЕДНЕЕ ЗНАЧЕНИЕ ПО ВСЕМ ПОКАЗАТЕЛЯМ</t>
  </si>
  <si>
    <t>РАСХОДЫ (руб.).</t>
  </si>
  <si>
    <t>Оценка результативности Министерства культуры РД</t>
  </si>
  <si>
    <t>1.12</t>
  </si>
  <si>
    <t xml:space="preserve"> 1.11 </t>
  </si>
  <si>
    <t xml:space="preserve"> 1.13</t>
  </si>
  <si>
    <t>1.14.</t>
  </si>
  <si>
    <t>1.15.</t>
  </si>
  <si>
    <t>1.16.</t>
  </si>
  <si>
    <r>
      <t>Количество выполненных библиотечно-библиографических  справок</t>
    </r>
    <r>
      <rPr>
        <sz val="16"/>
        <rFont val="Times New Roman"/>
        <family val="1"/>
        <charset val="204"/>
      </rPr>
      <t xml:space="preserve"> </t>
    </r>
  </si>
  <si>
    <t>Дгом</t>
  </si>
  <si>
    <t>Аул</t>
  </si>
  <si>
    <t>Нуж в реставр</t>
  </si>
  <si>
    <t>Реставр</t>
  </si>
  <si>
    <t>всего экспон</t>
  </si>
  <si>
    <t>прибыло</t>
  </si>
  <si>
    <t>Доля отреставр</t>
  </si>
  <si>
    <t>пррирост</t>
  </si>
  <si>
    <t>Объем библиотечного фонда</t>
  </si>
  <si>
    <t xml:space="preserve">Количество электронных изданий и аудиовизуальных документов </t>
  </si>
  <si>
    <t>Пополнение фонда библиотек</t>
  </si>
  <si>
    <t>Коэф-т обнов</t>
  </si>
  <si>
    <t>Книгообес на 1000</t>
  </si>
  <si>
    <t>Ежегод пополн</t>
  </si>
  <si>
    <t>Доля электр</t>
  </si>
  <si>
    <t>детская</t>
  </si>
  <si>
    <t>Спец</t>
  </si>
  <si>
    <t xml:space="preserve">Было </t>
  </si>
  <si>
    <t>пополнение</t>
  </si>
  <si>
    <t>Обнов</t>
  </si>
  <si>
    <t>Ежегодное пополнение книжных фондов на 1000 человек (норматив ЮНЕСКО – 250 книг) *</t>
  </si>
  <si>
    <t>Книгообеспеченность на 1000 человек *</t>
  </si>
  <si>
    <t>* - С учетом экземпляров фонда государственных и муниципальных библиотек РД</t>
  </si>
  <si>
    <t>Степень выполнения плана (%)</t>
  </si>
  <si>
    <t>Ст. 26.3, п. 2, п.п. 14.1</t>
  </si>
  <si>
    <t>Показатель результата 3.2.3</t>
  </si>
  <si>
    <t>РЦП "Повышение правовой культуры населения РД на 2011-2014 гг"</t>
  </si>
  <si>
    <t>РЦП "Комплексные меры противодействия злоупотреблению наркотическими средствами и ихнезаконному обороту в 2010 - 2014 годы"</t>
  </si>
  <si>
    <t>РЦП "Патриотическое воспитание граждан в Республике Дагестан на 2011-2015 годы"</t>
  </si>
  <si>
    <t>Грант Президента РД</t>
  </si>
  <si>
    <t>Проект республиканского бюджета Республики Дагестан по Министерству культуры РД на 2013 год. (направлен в адрес Министерства финансов Республики Дагестан. Письмо № 011245/6-03 от 27.07.2012г.).</t>
  </si>
  <si>
    <t xml:space="preserve">к проекту доклада о результатах и основных направлениях деятельности </t>
  </si>
  <si>
    <t>к Проекту доклада о результатах и основных направлениях деятельности</t>
  </si>
  <si>
    <t>Министерства культуры РД на очередной финансовый год и плановый период до 2015 года.</t>
  </si>
  <si>
    <t>Стратегическая Цель 3.</t>
  </si>
  <si>
    <t>Закон  РД от 27 апреля 2012 года № 18 "О внесении изменений в Закон Республики Дагестан "О республиканском бюджете Республики Дагестан на 2012 год и на плановый период 2013 и 2014 годов"  (принят Народным Собранием РД 25.04.2012).</t>
  </si>
  <si>
    <t>2016 год</t>
  </si>
  <si>
    <t>2017 год</t>
  </si>
  <si>
    <t>2018 год</t>
  </si>
  <si>
    <t>–</t>
  </si>
  <si>
    <t>1) количество посещений театрально-концертных мероприятий:  (тыс. человек)</t>
  </si>
  <si>
    <t>2) количество библиографических записей в электронных базах данных:  (тыс. единиц)</t>
  </si>
  <si>
    <r>
      <t>3)</t>
    </r>
    <r>
      <rPr>
        <sz val="14"/>
        <color indexed="8"/>
        <rFont val="Times New Roman"/>
        <family val="1"/>
        <charset val="204"/>
      </rPr>
      <t xml:space="preserve">  количество объектов культурного наследия, расположенных на территории Республики Дагестан, информация о которых внесена в электронную базу данных единого государственного реестра объектов культурного наследия (памятников истории и культуры) народов Российской Федерации:  (единиц)</t>
    </r>
  </si>
  <si>
    <t>4) увеличение доли представленных (во всех формах) зрителю музейных предметов в общем количестве музейных предметов основного фонда:  (процентов)</t>
  </si>
  <si>
    <t>5) количество посещений государственных музеев:  (тыс. человек)</t>
  </si>
  <si>
    <t>6) количество посетителей культурно-досуговых мероприятий: (тыс. человек)</t>
  </si>
  <si>
    <r>
      <t>7) повышение уровня удовлетворенности граждан в Республике Дагестан качеством предоставления государственных и муниципальных</t>
    </r>
    <r>
      <rPr>
        <b/>
        <sz val="14"/>
        <color indexed="8"/>
        <rFont val="Times New Roman"/>
        <family val="1"/>
        <charset val="204"/>
      </rPr>
      <t xml:space="preserve"> </t>
    </r>
    <r>
      <rPr>
        <sz val="14"/>
        <color indexed="8"/>
        <rFont val="Times New Roman"/>
        <family val="1"/>
        <charset val="204"/>
      </rPr>
      <t>услуг в сфере культуры:  (процентов)</t>
    </r>
  </si>
  <si>
    <t>8) увеличение доли объектов культурного наследия, находящихся в удовлетворительном состоянии, в общем количестве объектов культурного наследия федерального, регионального и местного (муниципального) значения: (процентов)</t>
  </si>
  <si>
    <t>9) увеличение доли общедоступных (публичных) библиотек, подключенных к сети «Интернет», в общем количестве библиотек Республики Дагестан: (процентов)</t>
  </si>
  <si>
    <t>10) увеличение доли музеев, имеющих сайт в сети «Интернет», в общем количестве музеев Республики Дагестан: (процентов)</t>
  </si>
  <si>
    <t xml:space="preserve">11) увеличение доли театров, имеющих сайт в сети «Интернет», в общем количестве театров Республики Дагестан:(процентов) </t>
  </si>
  <si>
    <t>12) увеличение количества выставочных проектов, осуществляемых в субъектах Российской Федерации: (процентов по отношению к 2012 году)</t>
  </si>
  <si>
    <t>13) увеличение доли детей, привлекаемых к участию в творческих мероприятиях, в общем числе детей:  (процентов)</t>
  </si>
  <si>
    <r>
      <t>7) повышение уровня удовлетворенности граждан в Республике Дагестан качеством предоставления государственных и муниципальных</t>
    </r>
    <r>
      <rPr>
        <b/>
        <sz val="28"/>
        <color indexed="8"/>
        <rFont val="Times New Roman"/>
        <family val="1"/>
        <charset val="204"/>
      </rPr>
      <t xml:space="preserve"> </t>
    </r>
    <r>
      <rPr>
        <sz val="28"/>
        <color indexed="8"/>
        <rFont val="Times New Roman"/>
        <family val="1"/>
        <charset val="204"/>
      </rPr>
      <t>услуг в сфере культуры:  (процентов)</t>
    </r>
  </si>
  <si>
    <t>и</t>
  </si>
  <si>
    <t>Показатель результата 2.3.3</t>
  </si>
  <si>
    <t>Увеличение доли представленных (во всех формах) зрителю музейных предметов в общем количестве музейных предметов основного фонда</t>
  </si>
  <si>
    <t>дгом</t>
  </si>
  <si>
    <t>запов-к</t>
  </si>
  <si>
    <t>изо</t>
  </si>
  <si>
    <t>Прирост экспонатов основного фонда республиканских  государственных музеев по сравнению с предыдущим годом</t>
  </si>
  <si>
    <t>Коэффициент пополнения библиотечных фондов республиканских библиотек</t>
  </si>
  <si>
    <t>Библиотечный фонд ВСЕГО Респ-е</t>
  </si>
  <si>
    <t>Библиотечный фонд ВСЕГО ПО РД</t>
  </si>
  <si>
    <t xml:space="preserve">Айланай </t>
  </si>
  <si>
    <t>Анс.Дагестан</t>
  </si>
  <si>
    <t>Анс.Лезгинка</t>
  </si>
  <si>
    <t>Гос.оркестр</t>
  </si>
  <si>
    <t>Гос.Хор</t>
  </si>
  <si>
    <t>Филармония</t>
  </si>
  <si>
    <t>Дагконцерт</t>
  </si>
  <si>
    <t>Каспий</t>
  </si>
  <si>
    <t>Мол.даг.</t>
  </si>
  <si>
    <t>Ног.оркестр</t>
  </si>
  <si>
    <t>Симф-й оркестр</t>
  </si>
  <si>
    <t>Терский.Ансамбль</t>
  </si>
  <si>
    <t>Конц</t>
  </si>
  <si>
    <t>Азербайдж-й театр</t>
  </si>
  <si>
    <t>Театры</t>
  </si>
  <si>
    <t>Новые постановки с Госзаданий</t>
  </si>
  <si>
    <t>2011 (факт)</t>
  </si>
  <si>
    <t>2012 (факт)</t>
  </si>
  <si>
    <t>2013 (оценка)</t>
  </si>
  <si>
    <t>2014 (план)</t>
  </si>
  <si>
    <t>Число  государственных проектов в сфере традиционной народной культуры, любительского искусства социальной деятельности и патриотического воспитания.  ВЦП</t>
  </si>
  <si>
    <t xml:space="preserve">Число посещений библиотек </t>
  </si>
  <si>
    <t>дрб</t>
  </si>
  <si>
    <t>Детская</t>
  </si>
  <si>
    <t>Юнош</t>
  </si>
  <si>
    <t>заповед</t>
  </si>
  <si>
    <t>ИЗО</t>
  </si>
  <si>
    <t>просветительские услуги в об-ласти библиотечного, книжного дела, библиографии, выставоч-ной деятельности (лекции, об-зоры, тренинги и др.)</t>
  </si>
  <si>
    <t>Количество экспозиций и выставок</t>
  </si>
  <si>
    <t>Количество экспозиций, выставок, лекций государственных библиотек и  музеев</t>
  </si>
  <si>
    <t>Увеличение доли объектов культурного наследия, находящихся в удовлетворительном состоянии, в общем количестве объектов культурного наследия федерального, регионального и местного (муниципального) значения</t>
  </si>
  <si>
    <t>За пределами республики</t>
  </si>
  <si>
    <r>
      <t>3)</t>
    </r>
    <r>
      <rPr>
        <b/>
        <sz val="22"/>
        <color indexed="8"/>
        <rFont val="Times New Roman"/>
        <family val="1"/>
        <charset val="204"/>
      </rPr>
      <t xml:space="preserve">  количество объектов культурного наследия, расположенных на территории Республики Дагестан, информация о которых внесена в электронную базу данных единого государственного реестра объектов культурного наследия (памятников истории и культуры) народов Российской Федерации:  (единиц)</t>
    </r>
  </si>
  <si>
    <t>Показатель результата 2.1.3.</t>
  </si>
  <si>
    <t>Показатель результата 2.2.4</t>
  </si>
  <si>
    <t>Увеличение доли театров, имеющих сайт в сети «Интернет», в общем количестве театров Республики Дагестан</t>
  </si>
  <si>
    <t>Увеличение доли музеев, имеющих сайт в сети «Интернет», в общем количестве музеев Республики Дагестан</t>
  </si>
  <si>
    <t>тыс.посещений</t>
  </si>
  <si>
    <t>Стратегическая Цель 1.</t>
  </si>
  <si>
    <t xml:space="preserve"> </t>
  </si>
  <si>
    <t>Количество объектов культурного наследия, расположенных на территории Республики Дагестан, информация о которых внесена в электронную базу данных единого государственного реестра объектов культурного наследия (памятников истории и культуры) народов Российской Федерации</t>
  </si>
  <si>
    <t>Увеличение доли детей, привлекаемых к участию в творческих мероприятиях, в общем числе детей</t>
  </si>
  <si>
    <t>тыс. чел</t>
  </si>
  <si>
    <t>Увеличение доли общедоступных (публичных) библиотек, подключенных к сети «Интернет», в общем количестве библиотек Республики Дагестан</t>
  </si>
  <si>
    <t>Показатель результата 1.1.5.</t>
  </si>
  <si>
    <t>Показатель результата 1.1.4.</t>
  </si>
  <si>
    <t>Показатель результата 1.1.1.</t>
  </si>
  <si>
    <t>Показатель результата 1.1.2.</t>
  </si>
  <si>
    <t>Показатель результата 1.1.6.</t>
  </si>
  <si>
    <t>Показатель результата 1.2.1.</t>
  </si>
  <si>
    <t>Показатель результата 1.2.2.</t>
  </si>
  <si>
    <t>Показатель результата 2.1.5</t>
  </si>
  <si>
    <t>к Докладу о результатах и основных направлениях деятельности Министерства культуры РД на очередной финансовый год и плановый период до 2016 года.</t>
  </si>
  <si>
    <t>сохранение, использование и популяризация объектов культурного наследия (памятников истории и культуры), находящихся в собственности субъекта Российской Федерации, государственной охраны объектов культурного наследия (памятников истории и культуры) регионального значения</t>
  </si>
  <si>
    <t>организация библиотечного обслуживания населения библиотеками субъекта Российской Федерации, комплектования и обеспечения сохранности их библиотечных фондов</t>
  </si>
  <si>
    <t>создание и поддержка государственных музеев (за исключением федеральных государственных музеев, перечень которых утверждается Правительством Российской Федерации)</t>
  </si>
  <si>
    <t>организация и поддержка учреждений культуры и искусства (за исключением федеральных государственных учреждений культуры и искусства, перечень которых утверждается уполномоченным Правительством Российской Федерации федеральным органом исполнительной власти)</t>
  </si>
  <si>
    <t>Мероприятия в области социальной политики</t>
  </si>
  <si>
    <t>организация и осуществление на территории субъекта Российской Федерации мероприятий по предупреждению терроризма и экстремизма, минимизации их последствий, за исключением вопросов, решение которых отнесено к ведению Российской Федерации</t>
  </si>
  <si>
    <t>осуществление региональных и межмуниципальных программ и мероприятий по работе с детьми и молодежью</t>
  </si>
  <si>
    <t>осуществление мероприятий в области охраны труда, предусмотренных трудовым законодательством</t>
  </si>
  <si>
    <t>На оказание единовременной материальной помощи</t>
  </si>
  <si>
    <t>организация тушения пожаров силами Государственной противопожарной службы (за исключением лесных пожаров, пожаров в закрытых административно-территориальных образованиях, на объектах, входящих в утверждаемый Правительством Российской Федерации перечень объектов, критически важных для национальной безопасности страны, других особо важных пожароопасных объектов, особо ценных объектов культурного наследия народов Российской Федерации, а также при проведении мероприятий федерального уровня с массовым сосредоточением людей)</t>
  </si>
  <si>
    <t>Закон Республики Дагестан от 12.03.2004 № 8 "О пожарной безопасности"</t>
  </si>
  <si>
    <t xml:space="preserve">Федеральный Закон от 21.12.1994 № 69-ФЗ "О пожарной безопасности"; </t>
  </si>
  <si>
    <t>Ст. 26.3, п. 2, п.п. 15</t>
  </si>
  <si>
    <t>Ст. 26.3, п. 2, п.п. 16</t>
  </si>
  <si>
    <t>Ст. 26.3, п. 2, п.п. 17</t>
  </si>
  <si>
    <t>В целом</t>
  </si>
  <si>
    <t>Ст. 26.3, п. 2, п.п. 24</t>
  </si>
  <si>
    <t>Итого Муз</t>
  </si>
  <si>
    <t>2015 (план)</t>
  </si>
  <si>
    <t xml:space="preserve"> N п/п</t>
  </si>
  <si>
    <t xml:space="preserve"> Наименование показателя </t>
  </si>
  <si>
    <t xml:space="preserve"> Единица измерения</t>
  </si>
  <si>
    <t xml:space="preserve">2013 год </t>
  </si>
  <si>
    <t xml:space="preserve">2014 год </t>
  </si>
  <si>
    <t xml:space="preserve">2015 год </t>
  </si>
  <si>
    <t xml:space="preserve">2016 год </t>
  </si>
  <si>
    <t xml:space="preserve">2017 год </t>
  </si>
  <si>
    <t xml:space="preserve">Увеличение количества посещений спектаклей, концертов, представлений, в том числе гастрольных и фестивальных, в расчете на 1000 человек (по сравнению с предыдущим годом) </t>
  </si>
  <si>
    <t xml:space="preserve"> процент </t>
  </si>
  <si>
    <t xml:space="preserve">Увеличение количества театрально-концертных мероприятий за счет внутрироссийского межрегионального обмена (по сравнению с предыдущим годом) </t>
  </si>
  <si>
    <t xml:space="preserve">Увеличение количества культурных акций за пределами республики (по сравнению с предыдущим годом) </t>
  </si>
  <si>
    <t xml:space="preserve">Увеличение количества посещений музеев (по сравнению с предыдущим годом) </t>
  </si>
  <si>
    <t xml:space="preserve">Доля представленных (во всех формах) зрителю музейных предметов в общем количестве музейных предметов основного фонда </t>
  </si>
  <si>
    <t xml:space="preserve">Увеличение численности деятелей культуры и искусства, направляемых на обучение и повышение квалификации </t>
  </si>
  <si>
    <t xml:space="preserve">Увеличение численности участников культурно- досуговых мероприятий (по сравнению с предыдущим годом) </t>
  </si>
  <si>
    <t xml:space="preserve">Доля мероприятий, направленных на сохранение и развитие нематериального культурного наследия народов Дагестана, в общем количестве мероприятий, реализованных учреждениями культуры клубного типа </t>
  </si>
  <si>
    <t xml:space="preserve"> объект </t>
  </si>
  <si>
    <t xml:space="preserve">Количество (процент) паспортизированных памятников к общему числу памятников истории и культуры регионального значения (доведение до 6,26 процента охвата) </t>
  </si>
  <si>
    <t xml:space="preserve">Количество (процент) отреставрированных памятников к общему числу памятников истории и культуры регионального значения (доведение до 0,50 процента охвата) </t>
  </si>
  <si>
    <t xml:space="preserve">Количество мероприятий, направленных на реализацию проектов по популяризации памятников истории и культуры </t>
  </si>
  <si>
    <t xml:space="preserve">Количество (процент) сведений о памятниках истории и культуры, внесенных в электронную базу данных, к общему числу памятников истории и культуры регионального значения (доведение до 52,50 процента охвата) </t>
  </si>
  <si>
    <t xml:space="preserve">"Комплексные меры противодействия злоупотреблению наркотическими средствами и ихнезаконному обороту в 2010 - 2014 годы"
</t>
  </si>
  <si>
    <t>ОХРАНА объектов(федеральные полномочия)</t>
  </si>
  <si>
    <t>346</t>
  </si>
  <si>
    <t>Комплексная программа "Программа противодействия экстремизму и терроризму в РД на 2012-2016 гг"</t>
  </si>
  <si>
    <t>5227500</t>
  </si>
  <si>
    <t>ИТОГО на госзадания</t>
  </si>
  <si>
    <t xml:space="preserve">Республиканского бюджета Республики Дагестан на 2013 год </t>
  </si>
  <si>
    <t>Образование</t>
  </si>
  <si>
    <t>Субсидии бюджетным учреждениям</t>
  </si>
  <si>
    <t>610</t>
  </si>
  <si>
    <t>Субсидия на финансовое обеспечение государственного задания на оказание государственных услуг (выполнение работ)</t>
  </si>
  <si>
    <t>611</t>
  </si>
  <si>
    <t>241</t>
  </si>
  <si>
    <t>Субсидии на иные цели</t>
  </si>
  <si>
    <t>612</t>
  </si>
  <si>
    <t>Учреждения по внешкольной работе с детьми</t>
  </si>
  <si>
    <t>Ведомственная целевая программа "Дополнительное образование для детей в области культуры"</t>
  </si>
  <si>
    <t>Среднее професиональное образование</t>
  </si>
  <si>
    <t>Ведомственная целевая программа "Среднее профессиональное  образование  для детей и юношества Республики Дагестан  по выбранной специализации в области культуры"</t>
  </si>
  <si>
    <t>Профессиональная подготовка, переподготовка и повышение квалификации</t>
  </si>
  <si>
    <t>Ведомственная целевая программа "Организация подготовки, переподготовки и повышения профессиональных знаний работников культуры и искусства"</t>
  </si>
  <si>
    <t>Субсидии бюджетным учреждениям на финансовое обеспечение государственного задания на оказание гос.услуг (выполнение работ).</t>
  </si>
  <si>
    <t>Культура, искусство и кинематография</t>
  </si>
  <si>
    <t>Культура и искусство</t>
  </si>
  <si>
    <t>Мероприятия в сфере культуры, кинематографии и СМИ</t>
  </si>
  <si>
    <t>4400100</t>
  </si>
  <si>
    <t>Государственная поддержка в сфере культуры, кинематографии и СМИ</t>
  </si>
  <si>
    <t>Специальные расходы</t>
  </si>
  <si>
    <t>880</t>
  </si>
  <si>
    <t>Субсидии творческим союзам</t>
  </si>
  <si>
    <t>4400500</t>
  </si>
  <si>
    <t>Субсидии некоммерческим организациям (за исключением государственных учреждений)</t>
  </si>
  <si>
    <t>Дворцы и дома культуры, другие учреждения культуры</t>
  </si>
  <si>
    <t>4499000</t>
  </si>
  <si>
    <t>Ведомственная целевая программа "Организация государственных проектов в сфере традиционной народной культуры, любительского искусства, социокультурной деятельности и патриотического воспитания"</t>
  </si>
  <si>
    <t>Ведомственная целевая программа "Популяризация объектов культурного наследия"</t>
  </si>
  <si>
    <t>4409902</t>
  </si>
  <si>
    <t>Музеи и постоянные выставки</t>
  </si>
  <si>
    <t>Ведомственная целевая программа "Организация музейно-выставочной деятельности"</t>
  </si>
  <si>
    <t>Библиотеки</t>
  </si>
  <si>
    <t>Ведомственная целевая программа "Библиотечно-информационное обслуживание населения, в том числе специализированное"</t>
  </si>
  <si>
    <t>Театры, цирки, концертные организации и другие организации исполнительских искусств</t>
  </si>
  <si>
    <t>Ведомственная целевая программа "Организация и постановка театральных представлений и концертных программ, в том числе филармонических"</t>
  </si>
  <si>
    <t xml:space="preserve">Республиканская целевая программа «Развитие культуры Республики Дагестан на 2013-2017 годы» </t>
  </si>
  <si>
    <t>5228400</t>
  </si>
  <si>
    <t>Республиканская целевая программа "Пожарная безопастность в Республике Дагестан на период до 2014 года"</t>
  </si>
  <si>
    <t xml:space="preserve">Выполнение функций           
государственными органами    
</t>
  </si>
  <si>
    <t xml:space="preserve">Меры социальной поддержки </t>
  </si>
  <si>
    <t xml:space="preserve">Осуществление полномочий Российской Федерации по государственной охране обьектов культурного наследия федерального значения </t>
  </si>
  <si>
    <t>Руководство и управление в сфере установленных функций</t>
  </si>
  <si>
    <t>Начальник планово экономического отдела                                            Д. Нурахмедова</t>
  </si>
  <si>
    <t>Динамика фактических показателей на 2012 год по сравнению с 2011г. (%)</t>
  </si>
  <si>
    <t>2.5.</t>
  </si>
  <si>
    <t>2.6.</t>
  </si>
  <si>
    <t>2.7.</t>
  </si>
  <si>
    <t>2.8.</t>
  </si>
  <si>
    <t>2.9.</t>
  </si>
  <si>
    <t>2.10.</t>
  </si>
  <si>
    <t>2.11.</t>
  </si>
  <si>
    <t>2.12.</t>
  </si>
  <si>
    <t>2.13.</t>
  </si>
  <si>
    <t>3.4.</t>
  </si>
  <si>
    <t>3.5.</t>
  </si>
  <si>
    <t>3.6.</t>
  </si>
  <si>
    <t>3.7.</t>
  </si>
  <si>
    <t>3.8.</t>
  </si>
  <si>
    <t>3.9.</t>
  </si>
  <si>
    <t>3.10.</t>
  </si>
  <si>
    <t>Среднее Динамика фактических показателей на 2012 год по сравнению с 2011г. Министерства культуры (9,39%) превышает соответсвующее значение изменения суммы фактического финансирования (8,01%) на 1,38 %</t>
  </si>
  <si>
    <t>Среднее значение результивности Министерства культуры на 2011 год (105,51 %) превышает значение изменения суммы фактического финансирования по сравнению с плановым (104,86 %) на 0,65 %</t>
  </si>
  <si>
    <t>Среднее значение результивности Министерства культуры на 2012 год (128,50 %) превышает значение изменения суммы фактического финансирования по сравнению с плановым (119,42 %) на 9,11 %</t>
  </si>
  <si>
    <t xml:space="preserve">РЦП "Развитие культуры в Республике Дагестан на 2013-2017 годы" </t>
  </si>
  <si>
    <t>ЦЕЛЕВЫЕ ИНДИКАТОРЫ И ПОКАЗАТЕЛИ</t>
  </si>
  <si>
    <t>РЕСПУБЛИКАНСКОЙ ЦЕЛЕВОЙ ПРОГРАММЫ "РАЗВИТИЕ КУЛЬТУРЫ</t>
  </si>
  <si>
    <t>В РЕСПУБЛИКЕ ДАГЕСТАН НА 2013-2017 ГОДЫ"</t>
  </si>
  <si>
    <t xml:space="preserve">Показатель базового 2011 года </t>
  </si>
  <si>
    <t xml:space="preserve">Объемы заключения охранно- договорных обязательств к общему числу памятников истории и культуры регионального значения (доведение до 6,25 процента охвата) </t>
  </si>
  <si>
    <t xml:space="preserve">Число (процент) территорий с установленными границами зон охраны, режимами и регламентами содержания объектов культурного наследия к общему числу памятников истории и культуры регионального значения (доведение до 2,19 процента охвата) </t>
  </si>
  <si>
    <t xml:space="preserve">мероприя- тие </t>
  </si>
  <si>
    <t xml:space="preserve"> Закон Республики Дагестан от 29.12.2012 N 107 "Об утверждении республиканской целевой программы "Развитие культуры в Республике Дагестан на 2013-2017 годы" (принят Народным Собранием РД 26.12.2012) (вместе с "Методикой оценки эффективности реализации республиканской целевой программы "Развитие культуры в Республике Дагестан на 2013-2017 годы" и расчета значений ее целевых индикаторов и показателей", "Перечнем мероприятий республиканской целевой программы "Развитие культуры в Республике Дагестан на 2013-2017 годы", "Методикой оценки результативности реализации республиканской целевой программы "Развитие культуры в Республике Дагестан на 2013-2017 годы") {КонсультантПлюс} </t>
  </si>
  <si>
    <t>Муз+библ *0,3</t>
  </si>
  <si>
    <t>Количество (процент) паспортизированных памятников к общему числу памятников истории и культуры регионального значения (доведение до 6,26 процента охвата)</t>
  </si>
  <si>
    <t xml:space="preserve">Степень стабильности состава слушателей (повышающих квалифика-цию в сфере культуры и искусства </t>
  </si>
  <si>
    <t xml:space="preserve"> - Федеральный закон 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</t>
  </si>
  <si>
    <t xml:space="preserve"> - Закон Республики Дагестан от 29.12.2012 № 107 "Об утверждении республиканской целевой программы "Развитие культуры в Республике Дагестан на 2013-2017 годы" (принят Народным Собранием РД 26.12.2012) </t>
  </si>
  <si>
    <t xml:space="preserve"> - Закон Республики Дагестан от 05.04.2010 № 12 (ред. от 02.11.2012) "Об утверждении республиканской целевой программы "Комплексные меры противодействия злоупотреблению наркотическими средствами и их незаконному обороту на 2010-2014 годы" (принят Народным Собранием РД 24.03.2010)</t>
  </si>
  <si>
    <t xml:space="preserve"> - Закон Республики Дагестан от 08.02.2011 № 11 "Об утверждении республиканской целевой программы "Повышение правовой культуры населения Республики Дагестан (2011-2014 годы)" (принят Народным Собранием РД 27.01.2011)</t>
  </si>
  <si>
    <t xml:space="preserve"> - Федеральный Закон от 06.10.1999 № 184-фз "Об общих принципах организации законодательных(представительных) и исполнительных органов государственной власти субъектов РФ"</t>
  </si>
  <si>
    <t xml:space="preserve"> - Закон РФ от 06.10.1999 № 184-ФЗ "Об общих принципах организации законодательных (представительных) и исполнительных органов государственной власти субъектов РФ"</t>
  </si>
  <si>
    <t xml:space="preserve"> - Закон Республики Дагестан от 20.07.2011 № 48 (ред. от 07.12.2012) "Об утверждении республиканской целевой программы "Пожарная безопасность в Республике Дагестан на период до 2014 года" (принят Народным Собранием РД 07.07.2011)                    </t>
  </si>
  <si>
    <t xml:space="preserve"> 1.8</t>
  </si>
  <si>
    <t>1.9</t>
  </si>
  <si>
    <t>1.10</t>
  </si>
  <si>
    <t>1.11</t>
  </si>
  <si>
    <t>1.13</t>
  </si>
  <si>
    <t>1.14</t>
  </si>
  <si>
    <t>1.15</t>
  </si>
  <si>
    <t>1.16</t>
  </si>
  <si>
    <t xml:space="preserve"> - Федеральный закон  от  06.10.1999 № 184-ФЗ «Об общих  принципах организации законодательных (представительных) и исполнительных органов государственной власти субъектов  Российской  Федерации»; </t>
  </si>
  <si>
    <t xml:space="preserve"> - Федеральный закон  от  06.10.1999 № 184-ФЗ «Об общих  принципах организации законодательных (представительных) и исполнительных органов государственной власти субъектов  Российской  Федерации» ст. 26.3.;</t>
  </si>
  <si>
    <t xml:space="preserve"> - Федеральный закон "О библиотечном деле"от 29.12.94 г. № 78-ФЗ (в ред.Федерального закона от 22.08.04 г. № 122-ФЗ;</t>
  </si>
  <si>
    <t xml:space="preserve"> -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</t>
  </si>
  <si>
    <t xml:space="preserve"> - Закон Республики Дагестан "О культуре" от 13.03.2000 г. №10.</t>
  </si>
  <si>
    <t>2012г бюджет</t>
  </si>
  <si>
    <t xml:space="preserve">поправка </t>
  </si>
  <si>
    <t>сумма</t>
  </si>
  <si>
    <t>О республиканском бюджете Республики Дагестан на 2012 год и на плановый период 2013 и 2014 годов</t>
  </si>
  <si>
    <t>О республиканском бюджете Республики Дагестан на 2013 год и на плановый период 2014 и 2015 годов</t>
  </si>
  <si>
    <t xml:space="preserve">                                                               1127379,300
</t>
  </si>
  <si>
    <t xml:space="preserve">                                                                888720,400
</t>
  </si>
  <si>
    <t xml:space="preserve">                                                                             888794,200
</t>
  </si>
  <si>
    <t>О республиканском бюджете Республики Дагестан на 2011 год и на плановый период 2012 и 2013 годов</t>
  </si>
  <si>
    <t>Показатели качества и объема приведены в соответсвии с:</t>
  </si>
  <si>
    <t>Показатели расходов приведены в соответсвии со следующими законами:</t>
  </si>
  <si>
    <t>Наименование   показателя</t>
  </si>
  <si>
    <t xml:space="preserve">Ед.
изм. </t>
  </si>
  <si>
    <t>№ показателя</t>
  </si>
  <si>
    <t>Баллы фактических значений 2011 года</t>
  </si>
  <si>
    <t>Фактическоевыполнение плана (%)</t>
  </si>
  <si>
    <t>Оценка выполнения плана</t>
  </si>
  <si>
    <t xml:space="preserve">Анализ достижения плановых показателей </t>
  </si>
  <si>
    <t>1.1.1.</t>
  </si>
  <si>
    <t>1.1.2.</t>
  </si>
  <si>
    <t>1.1.3.</t>
  </si>
  <si>
    <t>1.1.4.</t>
  </si>
  <si>
    <t>1.1.5.</t>
  </si>
  <si>
    <t>1.1.6.</t>
  </si>
  <si>
    <t>1.2.1.</t>
  </si>
  <si>
    <t>1.2.2.</t>
  </si>
  <si>
    <t>1.2.3.</t>
  </si>
  <si>
    <t>1.3.1.</t>
  </si>
  <si>
    <t>1.3.2.</t>
  </si>
  <si>
    <t>2.1.1.</t>
  </si>
  <si>
    <t>2.1.2.</t>
  </si>
  <si>
    <t>2.1.3.</t>
  </si>
  <si>
    <t>2.1.4.</t>
  </si>
  <si>
    <t>2.1.5.</t>
  </si>
  <si>
    <t>2.2.1.</t>
  </si>
  <si>
    <t>2.2.2.</t>
  </si>
  <si>
    <t>2.2.4.</t>
  </si>
  <si>
    <t>2.3.1.</t>
  </si>
  <si>
    <t>2.3.2.</t>
  </si>
  <si>
    <t>2.3.3.</t>
  </si>
  <si>
    <t>2.4.1.</t>
  </si>
  <si>
    <t>2.4.2.</t>
  </si>
  <si>
    <t>2.4.3.</t>
  </si>
  <si>
    <t>2.4.4.</t>
  </si>
  <si>
    <t>2.4.5.</t>
  </si>
  <si>
    <t>3.1.1.</t>
  </si>
  <si>
    <t>3.1.2.</t>
  </si>
  <si>
    <t>3.2.1.</t>
  </si>
  <si>
    <t>3.2.2.</t>
  </si>
  <si>
    <t>3.2.3.</t>
  </si>
  <si>
    <t>3.3.1.</t>
  </si>
  <si>
    <t>3.3.2.</t>
  </si>
  <si>
    <t>3.3.3.</t>
  </si>
  <si>
    <t>Номер статьи, части, п., п/п.</t>
  </si>
  <si>
    <t>Сумма финансирования</t>
  </si>
  <si>
    <t>Процент увеличения</t>
  </si>
  <si>
    <t>Баллы фактических значений 2012 года</t>
  </si>
  <si>
    <t>Сумма баллов фактических значений 2011 года  приравнивается 100.</t>
  </si>
  <si>
    <t>14 (2*9/6)</t>
  </si>
  <si>
    <t>7 (6*100/5)</t>
  </si>
  <si>
    <t>10 (9*100/8)</t>
  </si>
  <si>
    <t>Сумма (1.+2.+3.)</t>
  </si>
  <si>
    <t>№</t>
  </si>
  <si>
    <t>Дорожная карта</t>
  </si>
  <si>
    <t xml:space="preserve"> + </t>
  </si>
  <si>
    <t xml:space="preserve"> - </t>
  </si>
  <si>
    <t>Показатели к Докладу о результатах и основных направлениях деятельности Министерства культуры РД на очередной финансовый год и плановый период до 2016 года.</t>
  </si>
  <si>
    <t>Нач. Отдела по социально-культурной и информационно-аналитической работе</t>
  </si>
  <si>
    <t>Шахабасов С.М.</t>
  </si>
  <si>
    <t>тыс.пос</t>
  </si>
  <si>
    <t>Нач. Отдела искусств, художественного и музыкального образования</t>
  </si>
  <si>
    <t>Алиева М.М.</t>
  </si>
  <si>
    <t>Гаджиев Б.Х.</t>
  </si>
  <si>
    <t>Нач. Управления по государственной охране, сохранению, использованию и популяризации объектов культурного наследия</t>
  </si>
  <si>
    <t>2012год</t>
  </si>
  <si>
    <t>профинансировано</t>
  </si>
  <si>
    <t>профинансировано субсидии</t>
  </si>
  <si>
    <t>остаток</t>
  </si>
  <si>
    <t>06</t>
  </si>
  <si>
    <t>4-0,484</t>
  </si>
  <si>
    <t>4239900</t>
  </si>
  <si>
    <t>4279900</t>
  </si>
  <si>
    <t>4299900</t>
  </si>
  <si>
    <t>Стип - РБ</t>
  </si>
  <si>
    <t>ДМЗ</t>
  </si>
  <si>
    <t>учебные</t>
  </si>
  <si>
    <t>МУЗЕИ</t>
  </si>
  <si>
    <t>БИБЛИОТЕКИ</t>
  </si>
  <si>
    <t>ОПИК</t>
  </si>
  <si>
    <t>ОБЩАЯ</t>
  </si>
  <si>
    <t>Дома культуры, ТЗП, Централиз-е, Союзы</t>
  </si>
  <si>
    <t>осуществление мероприятий в области национальных отношений</t>
  </si>
  <si>
    <t>Министр                                                                                                                     З. Сулейманова</t>
  </si>
  <si>
    <t>Сумма баллов фактических значений 2012 года  составляет 111,62.  при этом процентное значение увеличения финансирования составляет 110,9%.</t>
  </si>
  <si>
    <t>1.17</t>
  </si>
  <si>
    <t>1.18</t>
  </si>
  <si>
    <t>в т.ч. на иные цели</t>
  </si>
  <si>
    <t>РЦП</t>
  </si>
  <si>
    <t>Иные цели</t>
  </si>
  <si>
    <t xml:space="preserve">из них на   оказание   подведомственными учреждениями   государственных  услуг в рамках государственных  заданий </t>
  </si>
  <si>
    <t>из них на   оказание   подведомственными учреждениями   государственных  услуг в рамках государственных  заданий</t>
  </si>
  <si>
    <t>С мК РФ</t>
  </si>
  <si>
    <t>ФЦП КУЛЬТУРА</t>
  </si>
  <si>
    <t xml:space="preserve">ФЦП </t>
  </si>
  <si>
    <t xml:space="preserve">                   </t>
  </si>
  <si>
    <t xml:space="preserve">   - Организация и поддержка учреждений  культуры и искусства (за исключением федеральных государственных учреждений культуры и искусства, перечень которых утверждается Правительством Российской Федерации). (Дворец культуры);</t>
  </si>
  <si>
    <t xml:space="preserve">   - Осуществление полномочий Российской Федерации по государственной охране объектов культурного наследия федерального значения;</t>
  </si>
  <si>
    <t xml:space="preserve">   - Государственная поддержка талантливой молодежи;</t>
  </si>
  <si>
    <t xml:space="preserve">   1. Непрограммная деятельность, направленная на обеспечение достижения целей и решения задач главного распорядителя средств республиканского бюджета Республики Дагестан.</t>
  </si>
  <si>
    <t>Основные мероприятия непрограммной деятельности:</t>
  </si>
  <si>
    <t xml:space="preserve">   - Социальная поддержка детей - сирот и детей, оставшихся без попечения родителей.</t>
  </si>
  <si>
    <t>На ГЗ</t>
  </si>
  <si>
    <t xml:space="preserve">Все кроме не наших РЦП и не распределено по программам (6 Приложение) </t>
  </si>
  <si>
    <t>Межбюджетные трансферты</t>
  </si>
  <si>
    <t xml:space="preserve"> - Приказ Минобрнауки России от 29.08.2013 № 1008 "Об утверждении Порядка организации и осуществления образовательной деятельности по дополнительным общеобразовательным программам".</t>
  </si>
  <si>
    <t>Количество отреставрированных музейных предметов</t>
  </si>
  <si>
    <t>-</t>
  </si>
  <si>
    <t xml:space="preserve">купили </t>
  </si>
  <si>
    <t>было</t>
  </si>
  <si>
    <t>Министерства культуры Республики Дагестан на очередной финансовый год и плановый период до 2017 года.</t>
  </si>
  <si>
    <t>(факт)</t>
  </si>
  <si>
    <t>2013 (факт)</t>
  </si>
  <si>
    <t>2014 (оценка)</t>
  </si>
  <si>
    <t>Число мероприятий проведённых театрами (в рамках государственного задания) (представлений)</t>
  </si>
  <si>
    <t>Число зрителей, посетивших мероприятия, проведенные театрами на территории Республики Дагестан (тыс. чел.)</t>
  </si>
  <si>
    <t>Число мероприятий, проведённых концертными организациями (в рамках государственного задания) (концертов)</t>
  </si>
  <si>
    <t xml:space="preserve">Число зрителей, посетивших мероприятия, проведенные концертными организациями на территории Дагестана (тыс.чел.) </t>
  </si>
  <si>
    <t>Доступность государственной услуги</t>
  </si>
  <si>
    <t>Среднее число зрителей на одном спектакле</t>
  </si>
  <si>
    <t>Среднее число зрителей на одном концерте</t>
  </si>
  <si>
    <t>Доля проведённых спектаклей вне стационара (%)</t>
  </si>
  <si>
    <t>Качество предоставления государственной услуги</t>
  </si>
  <si>
    <t>Число предписаний государственных органов в сфере пожарного надзора, вынесенных в отношении государственных бюджетных учреждений, предоставляющих государственную услугу (пунктов)</t>
  </si>
  <si>
    <t>Доля артистов театрально-зрелищных предприятий, имеющих почётное звание "народный" и "заслуженный" к общему числу артистов (%)</t>
  </si>
  <si>
    <t>ВЕДОМСТВЕННАЯ ЦЕЛЕВАЯ ПРОГРАММА РЕСПУБЛИКИ ДАГЕСТАН</t>
  </si>
  <si>
    <t>«Библиотечно-информационное обслуживание населения, в том числе специализированное»</t>
  </si>
  <si>
    <t>Число зарегистрированных пользователей республиканских государственных библиотечных учреждений, тыс. чел.</t>
  </si>
  <si>
    <t>Количество посещений республиканских государственных библиотечных учреждений, тыс. посещений</t>
  </si>
  <si>
    <t xml:space="preserve">Количество выданных читателям республиканских государственных библиотечных учреждений печатных, электронных и иных изданий, тыс. экз. </t>
  </si>
  <si>
    <t>Количество выполненных библиотечно-библиографических  справок (тыс.шт.)</t>
  </si>
  <si>
    <t>Степень посещаемости республиканских государственных библиотечных учреждений, посещений на 1 рабочий день (в среднем 298 дней)</t>
  </si>
  <si>
    <t>Среднее число часов работы в неделю республиканских государственных библиотечных учреждений, доступное для посещения населением Республики Дагестан, час.</t>
  </si>
  <si>
    <t>Охват населения библиотечным обслуживанием, процент</t>
  </si>
  <si>
    <t>Доля электронных изданий и аудиовизуальных документов в общем объеме библиотечного фонда, процент</t>
  </si>
  <si>
    <t>Число пунктов предписаний государственных органов в сфере санитарно-эпидемиологического (потребительского) и пожарного надзора, вынесенных в отношении государственных учреждений, предоставляющих государственную услугу</t>
  </si>
  <si>
    <t>Степень пополняемости библиотечных фондов республиканских государственных библиотечных учреждений в сравнении с нормативной на 1000 человек населения, процент</t>
  </si>
  <si>
    <t>«Организация музейно – выставочной деятельности»</t>
  </si>
  <si>
    <t>«Организация и постановка театральных представлений и концертных программ, в том числе филармонических»</t>
  </si>
  <si>
    <t>Объем предоставления государственной услуги</t>
  </si>
  <si>
    <t>4.</t>
  </si>
  <si>
    <t>Общее количество посещений республиканских государственных музейных учреждений (тыс. посещений)</t>
  </si>
  <si>
    <t>- в т.ч. индивидуальных посещений (тыс. посещений)</t>
  </si>
  <si>
    <t>- в т.ч. групповых посещений (в составе организованных экскурсионных групп) (тыс. посещений.)</t>
  </si>
  <si>
    <t>Количество выставок, лекций и иных мероприятий (ед.)</t>
  </si>
  <si>
    <t>Количество профильных тематических выставок, организованных для юридических лиц с оказанием  методической  помощи (ед.)</t>
  </si>
  <si>
    <t>№п/п</t>
  </si>
  <si>
    <t>Степень посещаемости республиканских государственных музейных учреждений (посещений на 1 рабочий день)</t>
  </si>
  <si>
    <t>Среднее число часов работы в неделю республиканских государственных музейных учреждений, доступное для посещения населением (часов)</t>
  </si>
  <si>
    <t>Доля музейных фондов, внесенных в электронный каталог музейных предметов (%)</t>
  </si>
  <si>
    <t>Доля индивидуальных посещений (%)</t>
  </si>
  <si>
    <t xml:space="preserve"> «Дополнительное образование для детей в области культуры» </t>
  </si>
  <si>
    <t>Среднегодовое число детей, получающих дополнительное образование в сфере культуры и искусства на бесплатной  (частично) платной основах (чел.)</t>
  </si>
  <si>
    <t>Число республиканских школ дополнительного образования в сфере культуры и искусства</t>
  </si>
  <si>
    <t xml:space="preserve">Число профильных направлений и специальностей </t>
  </si>
  <si>
    <t xml:space="preserve">Число предписаний государственных органов в сфере санитарно-эпидемиологического (потребительского) и пожарного надзора, вынесенных в отношении государственных учреждений, предоставляющих государственную услугу (пунктов) </t>
  </si>
  <si>
    <t>Процент площади помещений, в которых оказывается услуга, требующих капитального ремонта %</t>
  </si>
  <si>
    <t>Степень стабильности состава учащихся (в части дополнительного образования в сфере культуры и искусства)  %</t>
  </si>
  <si>
    <t>Доля детей, получающих дополнительное образование в сфере культуры и искусства, являющихся лауреатами (призерами) международных, всероссийских и региональных конкурсов, выставок, фестивалей:</t>
  </si>
  <si>
    <t>Процент площади помещений, в которых оказывается услуга, требующих капитального ремонта (%)</t>
  </si>
  <si>
    <t>Степень стабильности состава учащихся (в части профильного образования в сфере культуры и искусства (%)</t>
  </si>
  <si>
    <t>«Среднее профессиональное образование  для детей и юношества  в Республике Дагестан  по выбранной специализации в области культуры»</t>
  </si>
  <si>
    <t>Конкурс на поступление в государственные образовательные  учреждения  среднего профессионального образования  в сфере культуры и искусства на дневное отделение на бесплатной основе (человек на место)</t>
  </si>
  <si>
    <t>Количество специальностей,  которые можно получить  в государственных учреждениях среднего  профессионального образования  в сфере культуры и искусства (единиц)</t>
  </si>
  <si>
    <t>Количество специализаций,  которые можно получить  в государственных учреждениях среднего  профессионального образования  в сфере культуры и искусства (единиц)</t>
  </si>
  <si>
    <t>Доля учащихся-лауреатов (призеров) международных, всероссийских и региональных конкурсов, выставок, фестивалей.</t>
  </si>
  <si>
    <t>ВЕДОМСТВЕННАЯ ЦЕЛЕВАЯ ПРОГРАММАРЕСПУБЛИКИ ДАГЕСТАН</t>
  </si>
  <si>
    <t>«Методическое обеспечение ОМСУ, профильных организаций в сфере культуры и искусства и организация подготовки, переподготовки и повышения профессиональных знаний работников культуры и искусства»</t>
  </si>
  <si>
    <t>Объем предоставления государственной услуги.</t>
  </si>
  <si>
    <t>Среднегодовое число слушателей повышающих квалификацию в сфере культуры и искусства (чел)</t>
  </si>
  <si>
    <t>Число школ дополнительного образования в сфере культуры и искусства, получающих методическое и информационное обеспечение (единиц)</t>
  </si>
  <si>
    <t xml:space="preserve">Число методических разработок (единиц) для школ дополнительного образования разработанных учебно-методическим центром </t>
  </si>
  <si>
    <t>Число мероприятий, проводимых учебно-методическим центром с целью повышения уровня преподавания, внедрения передовых методик обучения в школах дополнительного образования (мастер-классы, семинары, конкурсы, фестивали, выставки, открытые занятия) (единиц)</t>
  </si>
  <si>
    <t>Число специализаций, повышающих квалификацию в сфере культуры и искусства (единиц)</t>
  </si>
  <si>
    <t>Количество специальностей, по которым оказывается методическая помощь школам дополнительного образования в сфере культуры и искусства (единиц)</t>
  </si>
  <si>
    <t>Количество оказанных  консультативных, методических и организационно-творческих услуг работникам  школ дополнительного образования</t>
  </si>
  <si>
    <t>Доля педагогических и руководящих работников школ дополнительного образования в сфере культуры и искусства, получающих методическую помощь (%)</t>
  </si>
  <si>
    <t>Степень стабильности состава слушателей (повышающих квалификацию в сфере культуры и искусства (%)</t>
  </si>
  <si>
    <t>Доля работников учебно-методического центра оказывающих консультативно-методические услуги  имеющих различные почетные звания(%)</t>
  </si>
  <si>
    <t>«Организация  государственных проектов в сфере традиционной народной культуры, любительского искусства, социокультурной деятельности и патриотического воспитания»</t>
  </si>
  <si>
    <t>Число  государственных проектов в сфере традиционной народной культуры, любительского искусства социальной деятельности и патриотического воспитания (мероприятий)</t>
  </si>
  <si>
    <r>
      <t xml:space="preserve">- в т.ч. с ограниченным числом </t>
    </r>
    <r>
      <rPr>
        <b/>
        <sz val="13"/>
        <rFont val="Times New Roman"/>
        <family val="1"/>
        <charset val="204"/>
      </rPr>
      <t xml:space="preserve">участников </t>
    </r>
    <r>
      <rPr>
        <sz val="13"/>
        <rFont val="Times New Roman"/>
        <family val="1"/>
        <charset val="204"/>
      </rPr>
      <t xml:space="preserve">(мероприятия, проводимые в закрытых помещениях) </t>
    </r>
  </si>
  <si>
    <t>15</t>
  </si>
  <si>
    <r>
      <t xml:space="preserve">Число </t>
    </r>
    <r>
      <rPr>
        <b/>
        <sz val="13"/>
        <rFont val="Times New Roman"/>
        <family val="1"/>
        <charset val="204"/>
      </rPr>
      <t xml:space="preserve">посетителей </t>
    </r>
    <r>
      <rPr>
        <sz val="13"/>
        <rFont val="Times New Roman"/>
        <family val="1"/>
        <charset val="204"/>
      </rPr>
      <t>мероприятий в области</t>
    </r>
    <r>
      <rPr>
        <b/>
        <sz val="13"/>
        <rFont val="Times New Roman"/>
        <family val="1"/>
        <charset val="204"/>
      </rPr>
      <t xml:space="preserve"> </t>
    </r>
    <r>
      <rPr>
        <sz val="13"/>
        <rFont val="Times New Roman"/>
        <family val="1"/>
        <charset val="204"/>
      </rPr>
      <t>традиционной народной культуры, любительского искусства социальной деятельности и патриотического воспитания (тыс.чел)</t>
    </r>
  </si>
  <si>
    <r>
      <t xml:space="preserve">- в т.ч без ограничения числа </t>
    </r>
    <r>
      <rPr>
        <b/>
        <sz val="13"/>
        <rFont val="Times New Roman"/>
        <family val="1"/>
        <charset val="204"/>
      </rPr>
      <t xml:space="preserve">посетителей </t>
    </r>
    <r>
      <rPr>
        <sz val="13"/>
        <rFont val="Times New Roman"/>
        <family val="1"/>
        <charset val="204"/>
      </rPr>
      <t>(мероприятия, проводимые на открытом воздухе, гуляния) (тыс.чел.)</t>
    </r>
  </si>
  <si>
    <t>24</t>
  </si>
  <si>
    <r>
      <t xml:space="preserve">- в т.ч.  с ограниченным числом </t>
    </r>
    <r>
      <rPr>
        <b/>
        <sz val="13"/>
        <rFont val="Times New Roman"/>
        <family val="1"/>
        <charset val="204"/>
      </rPr>
      <t xml:space="preserve">посетителей </t>
    </r>
    <r>
      <rPr>
        <sz val="13"/>
        <rFont val="Times New Roman"/>
        <family val="1"/>
        <charset val="204"/>
      </rPr>
      <t>(мероприятия проводимые в закрытых помещениях) (тыс.чел.)</t>
    </r>
  </si>
  <si>
    <t>Доля населения Республики Дагестан, проживающего в населенных пунктах, в которых в отчетном периоде проводились республиканские культурно-массовые мероприятия (%)</t>
  </si>
  <si>
    <t>Наименования показателя</t>
  </si>
  <si>
    <t>Количество коллективов, принявших участие в межрегиональных, всероссийских и международных конкурсах (ед.)</t>
  </si>
  <si>
    <t>Количество лауреатов и дипломантов межрегиональных, всероссийских и международных конкурсом (коллективов)</t>
  </si>
  <si>
    <t>Количество фестивалей и конкурсов повысивших свой статус (ед.)</t>
  </si>
  <si>
    <t>Число лиц, пострадавших при проведении культурно-массовых мероприятий (в результате пожаров, массовых драк, обрушений конструкций и т.д.) (человек)</t>
  </si>
  <si>
    <t xml:space="preserve"> «Популяризация объектов культурного наследия»</t>
  </si>
  <si>
    <t xml:space="preserve">Наименование объема </t>
  </si>
  <si>
    <t xml:space="preserve">Число мероприятий по популяризации объектов культурного наследия (единиц) </t>
  </si>
  <si>
    <t>Число проведенных мероприятий методической деятельности и научно-исследовательской работ в сфере охраны объектов культурного наследия (единиц)</t>
  </si>
  <si>
    <t>Число изданных научно-популярной и справочной литературы, альбомов, каталогов, сборников, видеопродукции (единиц)</t>
  </si>
  <si>
    <t>№ п.п.</t>
  </si>
  <si>
    <t>Доля населения, посетивших республиканские мероприятия по популяризации объектов культурного наследия (процент)</t>
  </si>
  <si>
    <t>Процентное соотношение тиража изданных научно-популярной и справочной литературы, альбомов, каталогов, сборников, видеопродукции  к населению республики  (процент)</t>
  </si>
  <si>
    <t>Число объективных претензий к качеству предоставляемых материалов по популяризации объектов культурного наследия (единиц)</t>
  </si>
  <si>
    <t>Ед.</t>
  </si>
  <si>
    <t xml:space="preserve">изм. </t>
  </si>
  <si>
    <t xml:space="preserve">Количественная   </t>
  </si>
  <si>
    <t xml:space="preserve">характеристика   </t>
  </si>
  <si>
    <r>
      <t xml:space="preserve">Число  </t>
    </r>
    <r>
      <rPr>
        <sz val="12"/>
        <rFont val="Times New Roman"/>
        <family val="1"/>
        <charset val="204"/>
      </rPr>
      <t xml:space="preserve">государственных проектов в сфере традиционной народной культуры, любительского искусства социальной деятельности и патриотического воспитания </t>
    </r>
  </si>
  <si>
    <t xml:space="preserve">характеристика  </t>
  </si>
  <si>
    <r>
      <t>Число</t>
    </r>
    <r>
      <rPr>
        <sz val="12"/>
        <rFont val="Times New Roman"/>
        <family val="1"/>
        <charset val="204"/>
      </rPr>
      <t xml:space="preserve"> проведенных </t>
    </r>
    <r>
      <rPr>
        <sz val="12"/>
        <color indexed="8"/>
        <rFont val="Times New Roman"/>
        <family val="1"/>
        <charset val="204"/>
      </rPr>
      <t xml:space="preserve">мероприятий методической деятельности и научно-исследовательской работ в сфере охраны объектов культурного наследия </t>
    </r>
  </si>
  <si>
    <r>
      <t>Число</t>
    </r>
    <r>
      <rPr>
        <sz val="12"/>
        <rFont val="Times New Roman"/>
        <family val="1"/>
        <charset val="204"/>
      </rPr>
      <t xml:space="preserve"> изданных научно-популярной и справочной литературы, альбомов, каталогов, сборников, видеопродукции</t>
    </r>
    <r>
      <rPr>
        <sz val="12"/>
        <color indexed="8"/>
        <rFont val="Times New Roman"/>
        <family val="1"/>
        <charset val="204"/>
      </rPr>
      <t xml:space="preserve"> </t>
    </r>
  </si>
  <si>
    <t xml:space="preserve">характеристика </t>
  </si>
  <si>
    <r>
      <t>Количество выполненных библиотечно-библиографических  справок</t>
    </r>
    <r>
      <rPr>
        <sz val="12"/>
        <rFont val="Times New Roman"/>
        <family val="1"/>
        <charset val="204"/>
      </rPr>
      <t xml:space="preserve"> </t>
    </r>
  </si>
  <si>
    <t xml:space="preserve">Качественная     характеристика   </t>
  </si>
  <si>
    <t>Доля новых произведений профессионального искусства в общем репертуаре организаций исполнительских искусств</t>
  </si>
  <si>
    <t>процент</t>
  </si>
  <si>
    <t>Увеличение численности участников клубных формирований самодеятельного народного творчества (по сравнению с предыдущим  годом)</t>
  </si>
  <si>
    <t>Объемы заключения охранно-договорных  обязательств к общему числу (4539) памятников  истории и культуры регионального значения (доведение до 9,35 процента охвата)</t>
  </si>
  <si>
    <t xml:space="preserve">Число (процент) территорий с установленными границами  зон охраны, режимами и регламентами  содержания объектов  культурного наследия к общему числу  памятников истории и культуры регионального значения (доведение до 3,37 процента охвата)  </t>
  </si>
  <si>
    <t xml:space="preserve">Количество (процент) паспортизированных памятников к общему числу  памятников истории и культуры регионального значения (доведение до 8,36 процента охвата)      </t>
  </si>
  <si>
    <t xml:space="preserve">Количество (процент) отреставрированных  памятников к общему числу  памятников истории и культуры  регионального значения (доведение до 0,54 процента охвата)       </t>
  </si>
  <si>
    <t xml:space="preserve">Количество мероприятий, направленных на  реализацию проектов по популяризации  памятников истории и  культуры   </t>
  </si>
  <si>
    <t>мероприятие</t>
  </si>
  <si>
    <t xml:space="preserve">Количество (процент) сведений о памятниках  истории и культуры,   внесенных в электронную базу данных, к общему  числу памятников истории и культуры регионального значения (доведение до 100 процента охвата)       </t>
  </si>
  <si>
    <t>Показатель базового 2013 года</t>
  </si>
  <si>
    <t xml:space="preserve"> год</t>
  </si>
  <si>
    <t>год</t>
  </si>
  <si>
    <t>Характеристика</t>
  </si>
  <si>
    <t>Государственная программа Республики Дагестан "Повышение правовой культуры населения Республики Дагестан (2014-2016 годы)"</t>
  </si>
  <si>
    <t>Предоставление субсидий бюджетным, автономным учреждениям и иным некоммерческим организациям</t>
  </si>
  <si>
    <t>Государственная программа Республики Дагестан "Государственная поддержка казачьих обществ в Республике Дагестан на 2014-2016 годы"</t>
  </si>
  <si>
    <t>Национальная безопасность и правоохранительная деятельность</t>
  </si>
  <si>
    <t>Обеспечение пожарной безопасности</t>
  </si>
  <si>
    <t>Государственная программа Республики Дагестан "Защита населения и территорий от чрезвычайных ситуаций, обеспечение пожарной безопасности и безопасности людей на водных объектах в Республике Дагестан на 2014-2018 годы"</t>
  </si>
  <si>
    <t>Закупка товаров, работ и услуг для государственных (муниципальных) нужд</t>
  </si>
  <si>
    <t>Средние специальные учебные заведения</t>
  </si>
  <si>
    <t>Ведомственная целевая программа "Среднее профессиональное образование для детей и юношества Республики Дагестан по выбранной специализации в области культуры"</t>
  </si>
  <si>
    <t>Учебные заведения и курсы по переподготовке кадров</t>
  </si>
  <si>
    <t>Государственная поддержка талантливой молодежи</t>
  </si>
  <si>
    <t>Культура и кинематография</t>
  </si>
  <si>
    <t>Культура</t>
  </si>
  <si>
    <t>Иные межбюджетные трансферты на премии в области литературы и искусства, образования, печатных средств массовой информации, науки и техники и иные поощрения за особые заслуги перед государством в рамках подпрограммы "Искусство" государственной программы Российской Федерации "Развитие культуры и туризма" на 2013-2020 годы</t>
  </si>
  <si>
    <t>Мероприятия в сфере культуры и кинематографии</t>
  </si>
  <si>
    <t>Дворцы культуры</t>
  </si>
  <si>
    <t>Государственная программа Республики Дагестан "Социальная поддержка граждан"</t>
  </si>
  <si>
    <t>Субсидии отдельным общественным организациям и иным некоммерческим объединениям</t>
  </si>
  <si>
    <t>Государственная программа Республики Дагестан "Развитие культуры Республики Дагестан на 2014-2018 годы"</t>
  </si>
  <si>
    <t>Другие вопросы в области культуры, кинематографии</t>
  </si>
  <si>
    <t>Центральный аппарат</t>
  </si>
  <si>
    <t>Иные бюджетные ассигнования</t>
  </si>
  <si>
    <t>Осуществление переданных органам государственной власти субъектов Российской Федерации в соответствии с пунктом 1 статьи 9.1 Федерального закона "Об объектах культурного наследия (памятниках истории и культуры) народов Российской Федерации" полномочий Российской Федерации в отношении объектов культурного наследия</t>
  </si>
  <si>
    <t>Социальная политика</t>
  </si>
  <si>
    <t>Охрана семьи и детства</t>
  </si>
  <si>
    <t>Иные безвозмездные и безвозвратные перечисления</t>
  </si>
  <si>
    <t>Закон Республики Дагестан от 29 декабря 2004 года N 58 "О дополнительных гарантиях по социальной поддержке детей-сирот и детей, оставшихся без попечения родителей"</t>
  </si>
  <si>
    <t>Подпрограмма "Совершенствование федеративных отношений и механизмов управления региональным развитием" государственной программы Российской Федерации "Региональная политика и федеративные отношения" (лицензирование отдельных видов деятельности в области культурного наследия)</t>
  </si>
  <si>
    <t>союз</t>
  </si>
  <si>
    <t xml:space="preserve">Республиканского бюджета Республики Дагестан на 2014 год </t>
  </si>
  <si>
    <t>Государственная программа Республики Дагестан "Защита населения и территории от чрезвычайных ситуаций, обеспечение пожарной безопасности и безопасности людей на водных объектах в Республике Дагестан на 2014-2018 годы""</t>
  </si>
  <si>
    <t>Подпрограмма "Комплексные меры по обеспечению пожарной безопасности  Республики Дагестан на 2014-2018 годы"</t>
  </si>
  <si>
    <t>Предоставление субсидий бюджетным учреждениям</t>
  </si>
  <si>
    <t xml:space="preserve">Общее образование </t>
  </si>
  <si>
    <t>Государственное бюджетное образовательное учреждение дополнительного образования детей «Республиканская школа циркового искусства»</t>
  </si>
  <si>
    <t>Государственное бюджетное учреждение «Академический заслуженный ансамбль танца Дагестана «Лезгинка» - Школа-студия «Лезгинка»</t>
  </si>
  <si>
    <t>Государственное бюджетное образовательное учреждение дополнительного образования детей  «Республиканская школа искусств им. Барият Мурадовой»</t>
  </si>
  <si>
    <t>Государственное бюджетное образовательное учреждение дополнительного образования детей «Республиканская школа искусств М. Кажлаева для особо одаренных детей»</t>
  </si>
  <si>
    <t>Государственное бюджетное образовательное учреждение среднего профессионального образования «Дагестанский  колледж культуры и искусств им. Б. Мурадовой»</t>
  </si>
  <si>
    <t>Государственное бюджетное образовательное учреждение среднего профессионального образования «Дагестанское художественное училище им. М.А. Джемала»</t>
  </si>
  <si>
    <t>Государственное бюджетное образовательное учреждение среднего профессионального образования «Махачкалинское музыкальное училище им. Г.А. Гасанова»</t>
  </si>
  <si>
    <t>Государственное бюджетное образовательное учреждение среднего профессионального образования «Дербентское музыкальное училище»</t>
  </si>
  <si>
    <t>Предоставление субсидий бюджетным учреждениям на финансовое обеспечение государственного задания на оказание гос.услуг (выполнение работ).</t>
  </si>
  <si>
    <t>Стипендия Президента</t>
  </si>
  <si>
    <t xml:space="preserve">Культура </t>
  </si>
  <si>
    <t>Подпрограмма "Совершенствование федеративных отношений и механизмов управления региональным развитием" государственной программы Российской Федерации "Региональная политика и федеративные отношения" (лицензирование отдельных видов деятельности в области культурного наследия</t>
  </si>
  <si>
    <t>Расходы на выплату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</si>
  <si>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121(177)</t>
  </si>
  <si>
    <t>Учреждения культуры и мероприятия в сфере</t>
  </si>
  <si>
    <t>культуры и кинематографии</t>
  </si>
  <si>
    <t>Государственное бюджетное учреждение «Дагестанский государственный объединенный исторический и архитектурный музей им. А. Тахо-Годи»</t>
  </si>
  <si>
    <t>Государственное бюджетное учреждение «Дагестанский музей изобразительных искусств им. П.С. Гамзатовой»</t>
  </si>
  <si>
    <t>Государственное бюджетное учреждение «Дербентский государственный историко-архитектурный и художественный музей-заповедник»</t>
  </si>
  <si>
    <t>Государственное бюджетное учреждение «Музей-заповедник – этнографический комплекс «Дагестанский аул»</t>
  </si>
  <si>
    <t>Государственное бюджетное учреждение «Музей мировых религий»</t>
  </si>
  <si>
    <t>Государственное бюджетное учреждение «Национальная библиотека Республики Дагестан им. Р. Гамзатова»</t>
  </si>
  <si>
    <t>Государственное бюджетное учреждение «Республиканская юношеская библиотека им. А.С. Пушкина»</t>
  </si>
  <si>
    <t>Государственное бюджетное учреждение «Республиканская детская библиотека им. Н. Юсупова»</t>
  </si>
  <si>
    <t>Государственное бюджетное учреждение «Республиканская специальная библиотека для слепых»</t>
  </si>
  <si>
    <t>Государственное бюджетное учреждение «Государственный республиканский русский драматический театр</t>
  </si>
  <si>
    <t>им. М. Горького»</t>
  </si>
  <si>
    <t>Государственное бюджетное учреждение «Аварский музыкально-драматический театр им. Г. Цадасы»</t>
  </si>
  <si>
    <t>Государственное бюджетное учреждение «Дагестанский государственный кумыкский музыкально-драматический театр им. А.-П. Салаватова»</t>
  </si>
  <si>
    <t>Государственное бюджетное учреждение «Даргинский государственный музыкально-драматический театр</t>
  </si>
  <si>
    <t>им. О. Батырая»</t>
  </si>
  <si>
    <t>Государственное бюджетное учреждение «Государственный лезгинский музыкально-драматический театр им. С. Стальского»</t>
  </si>
  <si>
    <t>Государственное бюджетное учреждение «Лакский государственный музыкально-драматический театр им. Э. Капиева»</t>
  </si>
  <si>
    <t>премия волкова</t>
  </si>
  <si>
    <t>611(093)</t>
  </si>
  <si>
    <t>Государственное бюджетное учреждение «Дагестанский государственный театр кукол»</t>
  </si>
  <si>
    <t>Государственное бюджетное учреждение «Дагестанский государственный театр оперы и балета»</t>
  </si>
  <si>
    <t>Государственное бюджетное учреждение «Азербайджанский государственный драматический театр»</t>
  </si>
  <si>
    <t>Государственное бюджетное учреждение «Государственный ногайский драматический театр»</t>
  </si>
  <si>
    <t>Государственное бюджетное учреждение «Государственный табасаранский драматический театр»</t>
  </si>
  <si>
    <t>Государственное бюджетное учреждение «Дагестанская государственная филармония им. Т. Мурадова»</t>
  </si>
  <si>
    <t xml:space="preserve">Государственное бюджетное учреждение «Государственный театр песни» </t>
  </si>
  <si>
    <t>Государственное бюджетное учреждение «Государственный вокально-хореографический ансамбль «Дагестан»</t>
  </si>
  <si>
    <t>Государственное бюджетное учреждение «Государственный ансамбль танца народов Кавказа «Молодость Дагестана»</t>
  </si>
  <si>
    <t>Государственное бюджетное учреждение «Ногайский государственный оркестр народных инструментов»</t>
  </si>
  <si>
    <t>Государственное бюджетное учреждение «Государственный кизлярский терский ансамбль казачьей песни»</t>
  </si>
  <si>
    <t>Государственное бюджетное учреждение «Государственный оркестр народных инструментов Республики Дагестан»</t>
  </si>
  <si>
    <t>Государственное бюджетное учреждение «Государственный симфонический оркестр Республики Дагестан»</t>
  </si>
  <si>
    <t xml:space="preserve">Государственное бюджетное учреждение «Государственный хор Республики Дагестан» </t>
  </si>
  <si>
    <t>Государственное бюджетное учреждение «Государственный ногайский фольклорно-этнографический ансамбль «Айланай»</t>
  </si>
  <si>
    <t>Государственное бюджетное учреждение «Дагестан-концерт»</t>
  </si>
  <si>
    <t xml:space="preserve">Государственное бюджетное учреждение «Академический заслуженный ансамбль танца Дагестана «Лезгинка» </t>
  </si>
  <si>
    <t xml:space="preserve">Государственное бюджетное учреждение «ансамбль танца Каспий» </t>
  </si>
  <si>
    <t xml:space="preserve">Государственная программа Республики Дагестан «Социальная поддержка граждан» </t>
  </si>
  <si>
    <t>Подпрограмма "Повышение эффективности государственной поддержки социально-ориентированных некоммерчческих организаций"</t>
  </si>
  <si>
    <t xml:space="preserve">Союз театральных деятелей </t>
  </si>
  <si>
    <t xml:space="preserve">Союз журналистов </t>
  </si>
  <si>
    <t>Руководство и управление в сфере установленных функций органов государственной власти субъектов РФ и органов местного самоуправления</t>
  </si>
  <si>
    <t>Закон Республики Дагестан от 29 декабря 2004 года №58 "О дополнительных гарантиях по социальной поддержке детей сирот и детей. Оставшихся без попечения родителей"</t>
  </si>
  <si>
    <t xml:space="preserve">Выплаты семьям опекунов на содержание подопечных детей </t>
  </si>
  <si>
    <t>Социальное обеспечение и иные выплаты</t>
  </si>
  <si>
    <t>ГОСУДАРСТВЕННАЯ ПРОГРАММА РЕСПУБЛИКИ ДАГЕСТАН "ПОВЫШЕНИЕ ПРАВОВОЙ КУЛЬТУРЫ НАСЕЛЕНИЯ РЕСПУБЛИКИ ДАГЕСТАН (2014-2016 ГОДЫ)"</t>
  </si>
  <si>
    <t>ГОСУДАРСТВЕННАЯ ПРОГРАММА РЕСПУБЛИКИ ДАГЕСТАН "ГОСУДАРСТВЕННАЯ ПОДДЕРЖКА КАЗАЧЬИХ ОБЩЕСТВ В РЕСПУБЛИКЕ ДАГЕСТАН НА 2014-2017 ГОДЫ"</t>
  </si>
  <si>
    <r>
      <t>государственная поддержка муниципальных учреждений</t>
    </r>
    <r>
      <rPr>
        <sz val="9"/>
        <color indexed="1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 xml:space="preserve">культуры и лучших работников муниципальных </t>
    </r>
    <r>
      <rPr>
        <sz val="12"/>
        <color indexed="10"/>
        <rFont val="Times New Roman"/>
        <family val="1"/>
        <charset val="204"/>
      </rPr>
      <t>казенных</t>
    </r>
    <r>
      <rPr>
        <sz val="9"/>
        <rFont val="Times New Roman"/>
        <family val="1"/>
        <charset val="204"/>
      </rPr>
      <t xml:space="preserve"> учреждений культурыв рамках подпрограммы «Искусство» государственной программы Российской Федерации «Развитие культуры и туризма»</t>
    </r>
  </si>
  <si>
    <t>001(091)</t>
  </si>
  <si>
    <r>
      <t>государственная поддержка муниципальных учреждений</t>
    </r>
    <r>
      <rPr>
        <sz val="9"/>
        <color indexed="1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 xml:space="preserve">культуры и лучших работников муниципальных </t>
    </r>
    <r>
      <rPr>
        <sz val="12"/>
        <color indexed="10"/>
        <rFont val="Times New Roman"/>
        <family val="1"/>
        <charset val="204"/>
      </rPr>
      <t>бюджетных</t>
    </r>
    <r>
      <rPr>
        <sz val="9"/>
        <rFont val="Times New Roman"/>
        <family val="1"/>
        <charset val="204"/>
      </rPr>
      <t xml:space="preserve"> учреждений культурыв рамках подпрограммы «Искусство» государственной программы Российской Федерации «Развитие культуры и туризма»</t>
    </r>
  </si>
  <si>
    <t>612(091)</t>
  </si>
  <si>
    <t>Государственная программа Республики Дагестан "Формирование и развитие гражданского общества в Республике Дагестан на 2014-2017 годы"</t>
  </si>
  <si>
    <t>Министр                                                                                                  З. Бутаева</t>
  </si>
  <si>
    <t>Количество библиографических записей в электронных базах данных</t>
  </si>
  <si>
    <t>тыс.единиц</t>
  </si>
  <si>
    <t>рб</t>
  </si>
  <si>
    <t>юнош</t>
  </si>
  <si>
    <t>дет</t>
  </si>
  <si>
    <t>спе</t>
  </si>
  <si>
    <t>всего</t>
  </si>
  <si>
    <t>купили</t>
  </si>
  <si>
    <t>запов</t>
  </si>
  <si>
    <t>Коэффициент пополнения фондов республиканских государственных музеев по сравнению с предыдущим годом</t>
  </si>
  <si>
    <r>
      <t>3)</t>
    </r>
    <r>
      <rPr>
        <b/>
        <sz val="11"/>
        <color indexed="8"/>
        <rFont val="Times New Roman"/>
        <family val="1"/>
        <charset val="204"/>
      </rPr>
      <t xml:space="preserve">  количество объектов культурного наследия, расположенных на территории Республики Дагестан, информация о которых внесена в электронную базу данных единого государственного реестра объектов культурного наследия (памятников истории и культуры) народов Российской Федерации:  (единиц)</t>
    </r>
  </si>
  <si>
    <r>
      <t>Число посетителей</t>
    </r>
    <r>
      <rPr>
        <b/>
        <sz val="11"/>
        <color indexed="8"/>
        <rFont val="Times New Roman"/>
        <family val="1"/>
        <charset val="204"/>
      </rPr>
      <t xml:space="preserve"> </t>
    </r>
    <r>
      <rPr>
        <sz val="11"/>
        <color indexed="8"/>
        <rFont val="Times New Roman"/>
        <family val="1"/>
        <charset val="204"/>
      </rPr>
      <t>мероприятий в области</t>
    </r>
    <r>
      <rPr>
        <b/>
        <sz val="11"/>
        <color indexed="8"/>
        <rFont val="Times New Roman"/>
        <family val="1"/>
        <charset val="204"/>
      </rPr>
      <t xml:space="preserve"> </t>
    </r>
    <r>
      <rPr>
        <sz val="11"/>
        <color indexed="8"/>
        <rFont val="Times New Roman"/>
        <family val="1"/>
        <charset val="204"/>
      </rPr>
      <t>традиционной народной культуры, любительского искусства социальной деятельности и патриотического воспитания.</t>
    </r>
  </si>
  <si>
    <r>
      <t>7) повышение уровня удовлетворенности граждан в Республике Дагестан качеством предоставления государственных и муниципальных</t>
    </r>
    <r>
      <rPr>
        <b/>
        <sz val="11"/>
        <color indexed="8"/>
        <rFont val="Times New Roman"/>
        <family val="1"/>
        <charset val="204"/>
      </rPr>
      <t xml:space="preserve"> </t>
    </r>
    <r>
      <rPr>
        <sz val="11"/>
        <color indexed="8"/>
        <rFont val="Times New Roman"/>
        <family val="1"/>
        <charset val="204"/>
      </rPr>
      <t>услуг в сфере культуры:  (процентов)</t>
    </r>
  </si>
  <si>
    <t>Министерство по национальной политике Республики Дагестан</t>
  </si>
  <si>
    <t>Развитие дополнительного образования детей в области культуры</t>
  </si>
  <si>
    <t>Развитие среднего профессионального образования в области культуры</t>
  </si>
  <si>
    <t>Развитие культурно-досуговой деятельности</t>
  </si>
  <si>
    <t>Охрана и сохранение объектов культурного наследия</t>
  </si>
  <si>
    <t>Развитие музейного дела</t>
  </si>
  <si>
    <t>Развитие библиотечного дела</t>
  </si>
  <si>
    <t>плюс</t>
  </si>
  <si>
    <t>Секвестр</t>
  </si>
  <si>
    <t>Секвестр пож</t>
  </si>
  <si>
    <t>Профинансировано</t>
  </si>
  <si>
    <t xml:space="preserve">Остаток 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</si>
  <si>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</si>
  <si>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</si>
  <si>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</si>
  <si>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</si>
  <si>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</si>
  <si>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</si>
  <si>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</si>
  <si>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</si>
  <si>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</si>
  <si>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</si>
  <si>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</si>
  <si>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</si>
  <si>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мероприятия</t>
  </si>
  <si>
    <t>ГП РД "Защита населения и территории от чрезвычайных ситуаций, обеспечение пожарной безопасности и безопасности людей на водных объектах в Республике Дагестан на 2014-2018 годы""</t>
  </si>
  <si>
    <t>ГП РД  "Развитие культуры Республики Дагестан на 2014-2018 годы"</t>
  </si>
  <si>
    <t>рднт</t>
  </si>
  <si>
    <t>презид</t>
  </si>
  <si>
    <t xml:space="preserve">гранты библ </t>
  </si>
  <si>
    <t>грантырус</t>
  </si>
  <si>
    <t>МТ</t>
  </si>
  <si>
    <t>терр</t>
  </si>
  <si>
    <t>ДС</t>
  </si>
  <si>
    <t>гранты</t>
  </si>
  <si>
    <t>грант</t>
  </si>
  <si>
    <t>5220800</t>
  </si>
  <si>
    <t>5220830</t>
  </si>
  <si>
    <t>244</t>
  </si>
  <si>
    <t>ГБОУ ДОД«Республиканская школа циркового искусства»</t>
  </si>
  <si>
    <t>ГБУ«Академический заслуженный ансамбль танца Дагестана «Лезгинка» - Школа-студия «Лезгинка»</t>
  </si>
  <si>
    <t>ГБОУ ДОД «Республиканская школа искусств им. Барият Мурадовой»</t>
  </si>
  <si>
    <t>ГБОУ ДОД«Республиканская школа искусств М. Кажлаева для особо одаренных детей»</t>
  </si>
  <si>
    <t>ГБОУ СПО «Дагестанский  колледж культуры и искусств им. Б. Мурадовой»</t>
  </si>
  <si>
    <t>ГБОУ СПО «Дагестанское художественное училище им. М.А. Джемала»</t>
  </si>
  <si>
    <t>ГБОУ СПО «Махачкалинское музыкальное училище им. Г.А. Гасанова»</t>
  </si>
  <si>
    <t>ГБОУ СПО «Дербентское музыкальное училище»</t>
  </si>
  <si>
    <t>251</t>
  </si>
  <si>
    <t>3315903</t>
  </si>
  <si>
    <t>3315950</t>
  </si>
  <si>
    <t>100</t>
  </si>
  <si>
    <t>200</t>
  </si>
  <si>
    <t>800</t>
  </si>
  <si>
    <t>121</t>
  </si>
  <si>
    <t>122</t>
  </si>
  <si>
    <t>530</t>
  </si>
  <si>
    <t xml:space="preserve">Учреждения культуры и мероприятия в сфере
культуры и кинематографии
</t>
  </si>
  <si>
    <t>ГБУ«Дагестанский государственный объединенный исторический и архитектурный музей им. А. Тахо-Годи»</t>
  </si>
  <si>
    <t>ГБУ«Дагестанский музей изобразительных искусств им. П.С. Гамзатовой»</t>
  </si>
  <si>
    <t>ГБУ«Дербентский государственный историко-архитектурный и художественный музей-заповедник»</t>
  </si>
  <si>
    <t>ГБУ«Музей-заповедник – этнографический комплекс «Дагестанский аул»</t>
  </si>
  <si>
    <t>ГБУ«Музей мировых религий»</t>
  </si>
  <si>
    <t>ГБУ«Национальная библиотека Республики Дагестан им. Р. Гамзатова»</t>
  </si>
  <si>
    <t>хаджи</t>
  </si>
  <si>
    <t>ГБУ«Республиканская юношеская библиотека им. А.С. Пушкина»</t>
  </si>
  <si>
    <t>ГБУ«Республиканская детская библиотека им. Н. Юсупова»</t>
  </si>
  <si>
    <t>ГБУ«Республиканская специальная библиотека для слепых»</t>
  </si>
  <si>
    <t>ГБУ«Государственный республиканский русский драматический театр 
им. М. Горького»</t>
  </si>
  <si>
    <t>ГБУ«Аварский музыкально-драматический театр им. Г. Цадасы»</t>
  </si>
  <si>
    <t>ГБУ«Дагестанский государственный кумыкский музыкально-драматический театр им. А.-П. Салаватова»</t>
  </si>
  <si>
    <t>ГБУ«Даргинский государственный музыкально-драматический театр 
им. О. Батырая»</t>
  </si>
  <si>
    <t>ГБУ«Государственный лезгинский музыкально-драматический театр им. С. Стальского»</t>
  </si>
  <si>
    <t>ГБУ«Лакский государственный музыкально-драматический театр им. Э. Капиева»</t>
  </si>
  <si>
    <t>1125151</t>
  </si>
  <si>
    <t>ГБУ«Дагестанский государственный театр кукол»</t>
  </si>
  <si>
    <t>ГБУ«Дагестанский государственный театр оперы и балета»</t>
  </si>
  <si>
    <t>ГБУ«Азербайджанский государственный драматический театр»</t>
  </si>
  <si>
    <t>ГБУ«Государственный ногайский драматический театр»</t>
  </si>
  <si>
    <t>ГБУ«Государственный табасаранский драматический театр»</t>
  </si>
  <si>
    <t>ГБУ  РД «Театр поэзии»</t>
  </si>
  <si>
    <t>ГБУ«Дагестанская государственная филармония им. Т. Мурадова»</t>
  </si>
  <si>
    <t xml:space="preserve">ГБУ«Государственный театр песни» </t>
  </si>
  <si>
    <t>ГБУ«Государственный вокально-хореографический ансамбль «Дагестан»</t>
  </si>
  <si>
    <t>ГБУ«Государственный ансамбль танца народов Кавказа «Молодость Дагестана»</t>
  </si>
  <si>
    <t>ГБУ«Ногайский государственный оркестр народных инструментов»</t>
  </si>
  <si>
    <t>ГБУ«Государственный кизлярский терский ансамбль казачьей песни»</t>
  </si>
  <si>
    <t>ГБУ«Государственный оркестр народных инструментов Республики Дагестан»</t>
  </si>
  <si>
    <t>ГБУ«Государственный симфонический оркестр Республики Дагестан»</t>
  </si>
  <si>
    <t xml:space="preserve">ГБУ«Государственный хор Республики Дагестан» </t>
  </si>
  <si>
    <t>ГБУ«Государственный ногайский фольклорно-этнографический ансамбль «Айланай»</t>
  </si>
  <si>
    <t>ГБУ«Дагестан-концерт»</t>
  </si>
  <si>
    <t xml:space="preserve">ГБУ«Академический заслуженный ансамбль танца Дагестана «Лезгинка» </t>
  </si>
  <si>
    <t>ГБУРеспублики Дагестан «Государственный ансамбль танца Дагестана «Каспий»</t>
  </si>
  <si>
    <t>5241100</t>
  </si>
  <si>
    <t>Пособия по социальной помощи населению</t>
  </si>
  <si>
    <t>851</t>
  </si>
  <si>
    <t>852</t>
  </si>
  <si>
    <t>5200000</t>
  </si>
  <si>
    <t>5205500</t>
  </si>
  <si>
    <t>5205501</t>
  </si>
  <si>
    <t>313</t>
  </si>
  <si>
    <t>5240500</t>
  </si>
  <si>
    <t>5240600</t>
  </si>
  <si>
    <t>1125147</t>
  </si>
  <si>
    <t>540(091)</t>
  </si>
  <si>
    <t>1125148</t>
  </si>
  <si>
    <t>540(092)</t>
  </si>
  <si>
    <t>ГОСУДАРСТВЕННАЯ ПРОГРАММА РЕСПУБЛИКИ ДАГЕСТАН "ДОСТУПНАЯ СРЕДА" НА 2013-2015 ГОДЫ"</t>
  </si>
  <si>
    <t xml:space="preserve">522 12 00 </t>
  </si>
  <si>
    <t>0415027</t>
  </si>
  <si>
    <t>612(443)</t>
  </si>
  <si>
    <t>федер</t>
  </si>
  <si>
    <r>
      <rPr>
        <b/>
        <sz val="9"/>
        <rFont val="Times New Roman"/>
        <family val="1"/>
        <charset val="204"/>
      </rPr>
      <t>Государственная программа РД</t>
    </r>
    <r>
      <rPr>
        <sz val="9"/>
        <rFont val="Times New Roman"/>
        <family val="1"/>
        <charset val="204"/>
      </rPr>
      <t xml:space="preserve"> "О реализации Комплексного плана противодействия идеологии терроризма в РФ на 2013-2018 годы в РД в сфере культуры в 2014-2016 годах"</t>
    </r>
  </si>
  <si>
    <t>5222400</t>
  </si>
  <si>
    <t>Иные межбюджетные трансферты на подключение общедоступных библиотек Российской Федерации к сети Интернет и развитие системы библиотечного дела с учетом задачи расширения информационных технологий и оцифровки подпрограммы "Наследие" государственной программы Российской Федерации "Развитие культуры и туризма" на 2013-2020 годы"</t>
  </si>
  <si>
    <t>1115146</t>
  </si>
  <si>
    <t>540(088)</t>
  </si>
  <si>
    <t>612(088)</t>
  </si>
  <si>
    <t>Иные межбюджетные трансферты на государственную поддержку (грант) больших, средних и малых городов - центров культуры  и туризма в рамках подпрограммы "Искусство" государственной программы Российской Федерации "Развитие культуры и туризма"</t>
  </si>
  <si>
    <t>1125191</t>
  </si>
  <si>
    <t>540(146)</t>
  </si>
  <si>
    <r>
      <t xml:space="preserve">Иные межбюджетные трансферты на государственную поддержку (грант) реализации лучших событийных региональных и межрегиональных проектов в рамках развития культурно-познавательного туризма в рамках подпрограммы "Туризм" государственной программы Российской Федерации "Развитие культуры и туризма" </t>
    </r>
    <r>
      <rPr>
        <sz val="11"/>
        <rFont val="Times New Roman"/>
        <family val="1"/>
        <charset val="204"/>
      </rPr>
      <t>Русск. театр Фестиваль рус. т-в</t>
    </r>
  </si>
  <si>
    <t>1135192</t>
  </si>
  <si>
    <t>612(139)</t>
  </si>
  <si>
    <t>Иные межбюджетные трансферты на государственную поддержку (грант) комплексного развития региональных и муниципальных учреждений культуры в рамках подпрограммы "Искусство" государственной программы Российской Федерации "Развитие культуры и туризма"</t>
  </si>
  <si>
    <t>1125190</t>
  </si>
  <si>
    <t>540(144)</t>
  </si>
  <si>
    <t>612(144)</t>
  </si>
  <si>
    <t>Иные межбюджетные трансферты на премии в области литературы и искусства, образования, печатных средств массовой информации, науки и техники и иные поощрения за особые заслуги перед государством в рамках подпрограммы "Искусство" государственной программы РФ "Развитие культуры и туризма"</t>
  </si>
  <si>
    <t>они у лакского театра</t>
  </si>
  <si>
    <t xml:space="preserve">Постановление Правительства РД от 21.11.2013 N 607 "Об утверждении государственной программы Республики Дагестан "Доступная среда" на 2013-2015 годы" </t>
  </si>
  <si>
    <t xml:space="preserve">Постановление Правительства РД от 13.12.2013 N 659 "Об утверждении государственной программы Республики Дагестан "Формирование и развитие гражданского общества в Республике Дагестан на 2014-2017 годы" </t>
  </si>
  <si>
    <t xml:space="preserve">Республиканского бюджета Республики Дагестан на 2015 год </t>
  </si>
  <si>
    <t>Подпрограмма "Образование в сфере культуры"</t>
  </si>
  <si>
    <t>Расходы на обеспечение деятельности (оказание услуг) государственных учреждений по развитию дополнительного образования детей в области культуры в рамках подпрограммы "Развитие образования в сфере культуры" государственной программы Республики Дагестан "Развитие культуры в Республике Дагестан на 2015-2020 годы"  (Предоставление субсидий бюджетным, автономным учреждениям и иным некоммерческим организациям)</t>
  </si>
  <si>
    <t>20 1 0659</t>
  </si>
  <si>
    <t>21 1 0659</t>
  </si>
  <si>
    <t>22 1 0659</t>
  </si>
  <si>
    <t>23 1 0659</t>
  </si>
  <si>
    <t>Расходы на обеспечение деятельности (оказание услуг) государственных учреждений по развитию среднего профессионального образования в области культуры в рамках подпрограммы "Развитие образования в сфере культуры" государственной программы Республики Дагестан "Развитие культуры в Республике Дагестан на 2015-2020 годы"  (Предоставление субсидий бюджетным, автономным учреждениям и иным некоммерческим организациям)</t>
  </si>
  <si>
    <t>20 1 0759</t>
  </si>
  <si>
    <t>290ст</t>
  </si>
  <si>
    <t>Расходы на обеспечение деятельности (оказание услуг) государственных учреждений по развитию дополнительного профессионального образования,  повышения квалификации и профессиональной переподготовке  работников культуры и искусства в рамках подпрограммы "Развитие образования в сфере культуры" государственной программы Республики Дагестан "Развитие культуры в Республике Дагестан на 2015-2020 годы"  (Предоставление субсидий бюджетным, автономным учреждениям и иным некоммерческим организациям)</t>
  </si>
  <si>
    <t>20 1 0859</t>
  </si>
  <si>
    <t>Подпрограмма "Культура и искусство"</t>
  </si>
  <si>
    <r>
      <t>Иные межбюджетные трансферты на</t>
    </r>
    <r>
      <rPr>
        <b/>
        <sz val="9"/>
        <color indexed="10"/>
        <rFont val="Times New Roman"/>
        <family val="1"/>
        <charset val="204"/>
      </rPr>
      <t xml:space="preserve"> комплектование книжных фондов библиотек </t>
    </r>
    <r>
      <rPr>
        <sz val="9"/>
        <rFont val="Times New Roman"/>
        <family val="1"/>
        <charset val="204"/>
      </rPr>
      <t>муниципальных образований в рамках подпрограммы "Наследие" государственной программы Российской Федерации "Развитие культуры и туризма" на 2013-2020 годы (Межбюджетные трансферты)</t>
    </r>
  </si>
  <si>
    <t xml:space="preserve">11 1 5144 </t>
  </si>
  <si>
    <t>Расходы на обеспечение деятельности (оказание услуг) государственных учреждений по развитию культурно досуговой деятельности в рамках подпрограммы "Культура и искусство" государственной программы Республики Дагестан "Развитие культуры в Республике Дагестан на 2015-2020 годы"  (Предоставление субсидий бюджетным, автономным учреждениям и иным некоммерческим организациям)</t>
  </si>
  <si>
    <t>Расходы на обеспечение деятельности (оказание услуг) государственных учреждений по организации государственных проектов в сфере традиционной народной культуры в рамках подпрограммы "Культура и искусство" государственной программы Республики Дагестан "Развитие культуры в Республике Дагестан на 2015-2020 годы"  (Предоставление субсидий бюджетным, автономным учреждениям и иным некоммерческим организациям)</t>
  </si>
  <si>
    <t>Расходы на обеспечение деятельности (оказание услуг) государственных учреждений по охране и сохранению обьектов культурного наследия в рамках подпрограммы "Культура и искусство" государственной программы Республики Дагестан "Развитие культуры в Республике Дагестан на 2015-2020 годы"  (Предоставление субсидий бюджетным, автономным учреждениям и иным некоммерческим организациям)</t>
  </si>
  <si>
    <r>
      <t xml:space="preserve">Расходы на обеспечение деятельности (оказание услуг) государственных учреждений по развитию </t>
    </r>
    <r>
      <rPr>
        <b/>
        <sz val="8"/>
        <color indexed="8"/>
        <rFont val="Times New Roman"/>
        <family val="1"/>
        <charset val="204"/>
      </rPr>
      <t xml:space="preserve">музейного дела </t>
    </r>
    <r>
      <rPr>
        <sz val="8"/>
        <color indexed="8"/>
        <rFont val="Times New Roman"/>
        <family val="1"/>
        <charset val="204"/>
      </rPr>
      <t>в рамках подпрограммы "Культура и искусство" государственной программы Республики Дагестан "Развитие культуры в Республике Дагестан на 2015-2020 годы"  (Предоставление субсидий бюджетным, автономным учреждениям и иным некоммерческим организациям)</t>
    </r>
  </si>
  <si>
    <r>
      <t xml:space="preserve">Расходы на обеспечение деятельности (оказание услуг) государственных учреждений по развитию </t>
    </r>
    <r>
      <rPr>
        <b/>
        <sz val="8"/>
        <rFont val="Times New Roman"/>
        <family val="1"/>
        <charset val="204"/>
      </rPr>
      <t xml:space="preserve">библиотечного дела </t>
    </r>
    <r>
      <rPr>
        <sz val="8"/>
        <rFont val="Times New Roman"/>
        <family val="1"/>
        <charset val="204"/>
      </rPr>
      <t>в рамках подпрограммы "Культура и искусство" государственной программы Республики Дагестан "Развитие культуры в Республике Дагестан на 2015-2020 годы"  (Предоставление субсидий бюджетным, автономным учреждениям и иным некоммерческим организациям)</t>
    </r>
  </si>
  <si>
    <r>
      <t xml:space="preserve">Расходы на обеспечение деятельности (оказание услуг) государственных учреждений по развитию </t>
    </r>
    <r>
      <rPr>
        <b/>
        <sz val="8"/>
        <rFont val="Times New Roman"/>
        <family val="1"/>
        <charset val="204"/>
      </rPr>
      <t xml:space="preserve">театрально-концертной деятельности </t>
    </r>
    <r>
      <rPr>
        <sz val="8"/>
        <rFont val="Times New Roman"/>
        <family val="1"/>
        <charset val="204"/>
      </rPr>
      <t>в рамках подпрограммы "Культура и искусство" государственной программы Республики Дагестан "Развитие культуры в Республике Дагестан на 2015-2020 годы"  (Предоставление субсидий бюджетным, автономным учреждениям и иным некоммерческим организациям)</t>
    </r>
  </si>
  <si>
    <t>Государственное бюджетное учреждение «Чародинский государственный народный мужской хор «Поющая Чарода»</t>
  </si>
  <si>
    <t>Субсидии творческим союзам в рамках подпрограммы "Культура и искусство" Государственной программы "Развитие культуры в РД на 2015-2020 годы"(Предоставление субсидий бюджетным, автономным учреждениям и иным некоммерческим организациям)</t>
  </si>
  <si>
    <r>
      <t xml:space="preserve">Мероприятия в сфере культуры и кинематографии в рамках подпрограммы </t>
    </r>
    <r>
      <rPr>
        <sz val="8"/>
        <rFont val="Times New Roman"/>
        <family val="1"/>
        <charset val="204"/>
      </rPr>
      <t>"Культура и искусство" Государственной программы "Развитие культуры в РД на 2015-2020 годы" (Закупка товаров, работ и услуг для государственных (муниципальных) нужд)</t>
    </r>
  </si>
  <si>
    <r>
      <t xml:space="preserve">Расходы на выплаты по оплате труда работников государственных органов </t>
    </r>
    <r>
      <rPr>
        <sz val="8"/>
        <rFont val="Times New Roman"/>
        <family val="1"/>
        <charset val="204"/>
      </rPr>
      <t>в рамках подпрограммы "Обеспечение реализации государственной программы" государственной программы Республики Дагестан "Развитие культуры в  Республике Дагестан на 2015-2020 годы"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  </r>
  </si>
  <si>
    <r>
      <t>Расходы на обеспечение функций государственных органов</t>
    </r>
    <r>
      <rPr>
        <sz val="8"/>
        <rFont val="Times New Roman"/>
        <family val="1"/>
        <charset val="204"/>
      </rPr>
      <t>, в том числе территориальных органов, в рамках подпрограммы "Обеспечение реализации государственной программы" государственной программы Республики Дагестан "Развитие культуры в Республике Дагестан на 2015-2020 годы" (Закупка товаров, работ и услуг для государственных (муниципальных) нужд)</t>
    </r>
  </si>
  <si>
    <r>
      <t>Расходы на обеспечение функций государственных органов</t>
    </r>
    <r>
      <rPr>
        <sz val="8"/>
        <rFont val="Times New Roman"/>
        <family val="1"/>
        <charset val="204"/>
      </rPr>
      <t>, в том числе территориальных органов, в рамках подпрограммы "Обеспечение реализации государственной программы" государственной программы Республики Дагестан "Развитие культуры в Республике Дагестан на 2015-2020 годы" (Иные бюджетные ассигнования)</t>
    </r>
  </si>
  <si>
    <t>20 3 0011</t>
  </si>
  <si>
    <r>
      <t xml:space="preserve">Осуществление переданных органам </t>
    </r>
    <r>
      <rPr>
        <sz val="8"/>
        <rFont val="Times New Roman"/>
        <family val="1"/>
        <charset val="204"/>
      </rPr>
      <t>государственной власти субъектов Российской Федерации в соответствии с пунктом 1 статьи 9.1 Федерального закона "Об объектах культурного наследия (памятниках истории и культуры) народов Российской Федерации" полномочий Российской Федерации в отношении объектов культурного наследия"(Расходы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  </r>
  </si>
  <si>
    <t>Осуществление переданных органам государственной власти субъектов Российской Федерации в соответствии с пунктом 1 статьи 9.1 Федерального закона "Об объектах культурного наследия (памятниках истории и культуры) народов Российской Федерации" полномочий Российской Федерации в отношении объектов культурного наследия"(Закупка товаров, работ и услуг для государственных (муниципальных) нужд)</t>
  </si>
  <si>
    <r>
      <t>Социальные выплаты</t>
    </r>
    <r>
      <rPr>
        <sz val="10"/>
        <color indexed="10"/>
        <rFont val="Times New Roman"/>
        <family val="1"/>
        <charset val="204"/>
      </rPr>
      <t xml:space="preserve"> г</t>
    </r>
    <r>
      <rPr>
        <sz val="10"/>
        <rFont val="Times New Roman"/>
        <family val="1"/>
        <charset val="204"/>
      </rPr>
      <t>осударственной программы Республики Дагестан "Социальная поддержка граждан на 2015-2020 годы"</t>
    </r>
  </si>
  <si>
    <t xml:space="preserve">
Закон Республики Дагестан от 30.12.2014 N 94 "О республиканском бюджете Республики Дагестан на 2015 год и на плановый период 2016 и 2017 годов" (принят Народным Собранием РД 25.12.2014) {КонсультантПлюс}
</t>
  </si>
  <si>
    <t>Реализация направления расходов в рамках подпрограммы Республики Дагестан "О реализации Комплексного плана противодействия идеологии терроризма в Российской Федерации на 2013-2018 годы в Республике Дагестан в сфере культуры в 2014-2016 годах" государственной программы Республики Дагестан "Обеспечение общественного порядка и противодействие преступности в Республике Дагестан на 2014-2020 годы" (Закупка товаров, работ и услуг для государственных (муниципальных) нужд)</t>
  </si>
  <si>
    <t>06 7 9999</t>
  </si>
  <si>
    <t>11 1 5144</t>
  </si>
  <si>
    <t>20 2 0159</t>
  </si>
  <si>
    <t>20 2 0259</t>
  </si>
  <si>
    <t>20 2 0359</t>
  </si>
  <si>
    <t>20 2 0459</t>
  </si>
  <si>
    <t>20 2 0559</t>
  </si>
  <si>
    <t>20 2 0659</t>
  </si>
  <si>
    <t>20 2 6233</t>
  </si>
  <si>
    <t>20 2 6486</t>
  </si>
  <si>
    <t>20 3 0019</t>
  </si>
  <si>
    <t>33 1 5950</t>
  </si>
  <si>
    <t>Социальное обеспечение детей-сирот и детей, оставшихся без попечения родителей, лиц из числа детей-сирот и детей, оставшихся без попечения родителей, обучающихся по имеющим государственную аккредитацию образовательным программам среднего профессионального образования или высшего образования по очной форме обучения, в рамках подпрограммы "Совершенствование социальной поддержки семьи и детей" государственной программы Республики Дагестан "Социальная поддержка граждан" на 2015-2020 годы (Социальное обеспечение и иные выплаты населению)</t>
  </si>
  <si>
    <t>22 3 7151</t>
  </si>
  <si>
    <t xml:space="preserve"> - Основы законодательства Российской Федерации о культуре" (утв. ВС РФ 09.10.1992 N 3612-1) (ред. от 21.07.2014, с изм. от 01.12.2014);</t>
  </si>
  <si>
    <t xml:space="preserve"> - Указ Главы РД от 03.12.2014 N 264 "О стипендиях Главы Республики Дагестан".</t>
  </si>
  <si>
    <t xml:space="preserve"> - Закон РФ от 06.10.1999 г., №184-фз "Об общих принципах организации законодательных (представительных) и исполнительных органов гос. власти субъектов РФ";</t>
  </si>
  <si>
    <t xml:space="preserve"> - Постановление Правительства РД от 30.12.2011 № 528 (ред. от 28.12.2012) "Об утверждении Комплексной программы противодействия экстремизму и терроризму в Республике Дагестан на 2012-2016 годы"
</t>
  </si>
  <si>
    <t>Наименование основного мероприятия</t>
  </si>
  <si>
    <t>Характеристика основного мероприятия</t>
  </si>
  <si>
    <t>Сроки реализации</t>
  </si>
  <si>
    <t>Источник финансирования</t>
  </si>
  <si>
    <t>Объем финансирования (млн. руб.)</t>
  </si>
  <si>
    <t>Ответственный исполнитель</t>
  </si>
  <si>
    <t>2019 год</t>
  </si>
  <si>
    <t>2020 год</t>
  </si>
  <si>
    <t>Подпрограмма 1 "Развитие образования в сфере культуры"</t>
  </si>
  <si>
    <t>финансовое обеспечение выполнения государственного задания государственными образовательными учреждениями дополнительного образования детей в области культуры</t>
  </si>
  <si>
    <t>2015-2020 гг.</t>
  </si>
  <si>
    <t>республиканский бюджет РД</t>
  </si>
  <si>
    <t>Министерство культуры Республики Дагестан, Министерство по национальной политике Республики Дагестан</t>
  </si>
  <si>
    <t>капитальный ремонт объектов, закрепленных на праве оперативного управления за государственными образовательными учреждениями дополнительного образования детей в области культуры, за счет субсидий</t>
  </si>
  <si>
    <t>приобретение основных средств для государственных образовательных учреждений дополнительного образования детей в области культуры за счет субсидий</t>
  </si>
  <si>
    <t>доукомплектование государственных образовательных учреждений дополнительного образования детей в области культуры музыкальными инструментами</t>
  </si>
  <si>
    <t>проведение творческих конкурсно-выставочных и фестивальных мероприятий</t>
  </si>
  <si>
    <t>участие одаренных учащихся государственных образовательных учреждений дополнительного образования детей в международных, всероссийских и зональных мероприятиях</t>
  </si>
  <si>
    <t>участие в конкурсе грантов Главы РД в области культуры и искусства</t>
  </si>
  <si>
    <t>финансовое обеспечение выполнения государственного задания государственными профессиональными образовательными учреждениями в области культуры</t>
  </si>
  <si>
    <t>капитальный ремонт объектов, закрепленных на праве оперативного управления за государственными профессиональными образовательными учреждениями в области культуры, за счет субсидий</t>
  </si>
  <si>
    <t>приобретение основных средств для государственных образовательных учреждений дополнительного образования в области культуры за счет субсидий</t>
  </si>
  <si>
    <t>доукомплектование государственных профессиональных образовательных учреждений в области культуры музыкальными инструментами</t>
  </si>
  <si>
    <t>участие одаренных учащихся государственных профессиональных образовательных учреждений в области культуры в международных, всероссийских и зональных мероприятиях</t>
  </si>
  <si>
    <t>присуждение стипендий Главы РД выдающимся деятелям культуры и искусства, талантливым молодым авторам литературных, музыкальных и художественных произведений, одаренным студентам творческих факультетов</t>
  </si>
  <si>
    <t>Развитие дополнительного профессионального образования, повышение квалификации и профессиональной переподготовки работников культуры и искусства</t>
  </si>
  <si>
    <t>финансовое обеспечение выполнения государственного задания государственным бюджетным учреждением дополнительного профессионального образования "Республиканский учебно-методический центр"</t>
  </si>
  <si>
    <t>приобретение основных средств для государственного бюджетного учреждения дополнительного профессионального образования "Республиканский учебно-методический центр" за счет субсидий</t>
  </si>
  <si>
    <t>организация участия одаренных учащихся государственных и муниципальных образовательных учреждений дополнительного образования детей в международных, всероссийских и зональных мероприятиях</t>
  </si>
  <si>
    <t>Подпрограмма 2 "Культура и искусство"</t>
  </si>
  <si>
    <t>финансовое обеспечение выполнения государственного задания государственным бюджетным учреждением Республики Дагестан "Дворец культуры"</t>
  </si>
  <si>
    <t>капитальный и текущий ремонт объектов, закрепленных на праве оперативного управления за государственным бюджетным учреждением культуры Республики Дагестан "Республиканский дом народного творчества", за счет субсидий</t>
  </si>
  <si>
    <t>Министерство культуры Республики Дагестан,</t>
  </si>
  <si>
    <t>Министерство по национальной политике Республики Дагестан,</t>
  </si>
  <si>
    <t>органы местного самоуправления (по согласованию)</t>
  </si>
  <si>
    <t>обеспечение деятельности государственного бюджетного учреждения Республики Дагестан "Дом дружбы"</t>
  </si>
  <si>
    <t>Организация государственных проектов в сфере традиционной народной культуры</t>
  </si>
  <si>
    <t>финансовое обеспечение выполнения государственного задания государственным бюджетным учреждением культуры Республики Дагестан "Республиканский дом народного творчества"</t>
  </si>
  <si>
    <t>приобретение основных средств для государственного бюджетного учреждения культуры Республики Дагестан "Республиканский дом народного творчества" за счет субсидий</t>
  </si>
  <si>
    <t>проведение республиканских, региональных, всероссийских, международных научно-практических конференций, круглых столов, семинаров по проблемам сохранения и развития нематериального культурного наследия народов Дагестана</t>
  </si>
  <si>
    <t>реализация мер по адаптации знаний и навыков специалистов по культурно-досуговой деятельности к изменяющимся условиям (стажировки, мастер-классы, творческие лаборатории, семинары и услуги)</t>
  </si>
  <si>
    <t>проведение и участие в региональных, всероссийских, международных праздниках дружбы, фестивалях традиционной культуры и народного творчества</t>
  </si>
  <si>
    <t>проведение Дней культуры Республики Дагестан в регионах РФ и за рубежом</t>
  </si>
  <si>
    <t>стимулирование народного творчества</t>
  </si>
  <si>
    <t>финансовое обеспечение выполнения государственного задания государственным бюджетным учреждением культуры Республики Дагестан "Республиканский центр охраны памятников истории, культуры и архитектуры"</t>
  </si>
  <si>
    <t>капитальный и текущий ремонт объектов, закрепленных на праве оперативного управления за государственным бюджетным учреждением культуры Республики Дагестан "Республиканский центр охраны памятников истории, культуры и архитектуры", за счет субсидий</t>
  </si>
  <si>
    <t>реставрация и консервация памятников культурного наследия и приспособление их под современное</t>
  </si>
  <si>
    <t>использование внедрение информационных продуктов и технологий в сфере охраны объектов культурного наследия</t>
  </si>
  <si>
    <t>выпуск полиграфической продукции, популяризирующей культурное наследие Республики Дагестан</t>
  </si>
  <si>
    <t>поддержка и стимулирование творческой и научно-исследовательской деятельности в сфере охраны объектов культурного наследия</t>
  </si>
  <si>
    <t>финансовое обеспечение выполнения государственного задания республиканскими музеями</t>
  </si>
  <si>
    <t>капитальный и текущий ремонт объектов, закрепленных на праве оперативного управления за республиканскими музеями, за счет субсидий</t>
  </si>
  <si>
    <t>материально-техническое оснащение государственных музеев Республики Дагестан</t>
  </si>
  <si>
    <t>пополнение и реставрация музейных фондов Республики Дагестан</t>
  </si>
  <si>
    <t>организация и проведение выставочных проектов</t>
  </si>
  <si>
    <t>популяризаторская работа государственных музеев</t>
  </si>
  <si>
    <t>финансовое обеспечение выполнения государственного задания республиканскими библиотеками</t>
  </si>
  <si>
    <t>капитальный и текущий ремонт объектов, закрепленных на праве оперативного управления за республиканскими библиотеками, за счет субсидий</t>
  </si>
  <si>
    <t>материально-техническое оснащение государственных библиотек Республики Дагестан</t>
  </si>
  <si>
    <t>организация и проведение международных, всероссийских, республиканских выставок и конкурсов</t>
  </si>
  <si>
    <t>Развитие театрально-концертной деятельности</t>
  </si>
  <si>
    <t>финансовое обеспечение выполнения государственного задания государственными театрально-концертными учреждениями</t>
  </si>
  <si>
    <t>капитальный и текущий ремонт объектов, закрепленных на праве оперативного управления за государственными театрально-концертными учреждениями, за счет субсидий</t>
  </si>
  <si>
    <t>материально-техническое оснащение государственных театрально-концертных организаций</t>
  </si>
  <si>
    <t>капитальный ремонт государственных театрально-концертных организаций</t>
  </si>
  <si>
    <t>проведение и участие театрально-концертных коллективов в международных, всероссийских, республиканских фестивалях, театрализованных представлениях, конкурсах, гастролях</t>
  </si>
  <si>
    <t>проведение Дней культуры Республики Дагестан в других регионах РФ и за рубежом</t>
  </si>
  <si>
    <t>стимулирование развития профессионального искусства</t>
  </si>
  <si>
    <t>Государственная поддержка творческих союзов</t>
  </si>
  <si>
    <t>обеспечение деятельности творческих союзов</t>
  </si>
  <si>
    <t>организация и проведение фестивалей, конкурсов, смотров и иных массовых зрелищных мероприятий</t>
  </si>
  <si>
    <t>Подпрограмма 3 "Обеспечение реализации государственной программы Республики Дагестан "Развитие культуры в Республике Дагестан на 2015-2020 годы"</t>
  </si>
  <si>
    <t>Обеспечение эффективной деятельности Министерства культуры Республики Дагестан, обеспечение выполнения всего комплекса мероприятий, достижение запланированных результатов, целевого и эффективного расходования финансовых ресурсов, выделяемых на реализацию государственной программы Республики Дагестан "Развитие культуры в Республике Дагестан на 2015-2020 годы"</t>
  </si>
  <si>
    <t>содержание аппарата Министерства культуры Республики Дагестан</t>
  </si>
  <si>
    <t>осуществление переданных органам государственной власти субъектов Российской Федерации в соответствии с пунктом 1 статьи 9.1 Федерального закона "Об объектах культурного наследия (памятниках истории и культуры) народов Российской Федерации" полномочий Российской Федерации в отношении объектов культурного наследия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</si>
  <si>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федеральный бюджет</t>
  </si>
  <si>
    <t>осуществление переданных органам государственной власти субъектов Российской Федерации в соответствии с пунктом 1 статьи 9.1 Федерального закона "Об объектах культурного наследия (памятниках истории и культуры) народов Российской Федерации" полномочий Российской Федерации в отношении объектов культурного наследия (закупка товаров, работ и услуг для государственных (муниципальных) нужд)</t>
  </si>
  <si>
    <t xml:space="preserve">в т.ч. на оказание государственным бюджетным учреждением культуры Республики Дагестан "Республиканский дом народного творчества" государственных услуг в рамках государственного задания </t>
  </si>
  <si>
    <r>
      <t xml:space="preserve">Основное мероприятие  государственной программы Республики Дагестан "Развитие культуры в Республике Дагестан на 2015-2020 годы" - </t>
    </r>
    <r>
      <rPr>
        <b/>
        <sz val="14"/>
        <rFont val="Arial"/>
        <family val="2"/>
      </rPr>
      <t>Развитие культурно-досуговой деятельности</t>
    </r>
  </si>
  <si>
    <r>
      <t xml:space="preserve">Основное мероприятие  государственной программы Республики Дагестан "Развитие культуры в Республике Дагестан на 2015-2020 годы" - </t>
    </r>
    <r>
      <rPr>
        <b/>
        <sz val="14"/>
        <rFont val="Arial"/>
        <family val="2"/>
      </rPr>
      <t>Организация государственных проектов в сфере традиционной народной культуры</t>
    </r>
  </si>
  <si>
    <t xml:space="preserve">в т.ч. на оказание государственным бюджетным учреждением Республики Дагестан "Дворец культуры" государственных услуг в рамках государственного задания </t>
  </si>
  <si>
    <t>в т.ч. на обеспечение деятельности государственного бюджетного учреждения Республики Дагестан "Дом дружбы"</t>
  </si>
  <si>
    <r>
      <t xml:space="preserve">Основное мероприятие  государственной программы Республики Дагестан "Развитие культуры в Республике Дагестан на 2015-2020 годы" - </t>
    </r>
    <r>
      <rPr>
        <b/>
        <sz val="14"/>
        <rFont val="Arial"/>
        <family val="2"/>
      </rPr>
      <t>Развитие театрально-концертной деятельности</t>
    </r>
  </si>
  <si>
    <r>
      <t xml:space="preserve">Основное мероприятие  государственной программы Республики Дагестан "Развитие культуры в Республике Дагестан на 2015-2020 годы" - </t>
    </r>
    <r>
      <rPr>
        <b/>
        <sz val="14"/>
        <rFont val="Arial"/>
        <family val="2"/>
      </rPr>
      <t>Развитие музейного дела</t>
    </r>
  </si>
  <si>
    <r>
      <t xml:space="preserve">Основное мероприятие  государственной программы Республики Дагестан "Развитие культуры в Республике Дагестан на 2015-2020 годы" - </t>
    </r>
    <r>
      <rPr>
        <b/>
        <sz val="14"/>
        <rFont val="Arial"/>
        <family val="2"/>
      </rPr>
      <t>Развитие библиотечного дела</t>
    </r>
  </si>
  <si>
    <t>в т.ч. на оказание подведомственными государственными музеями государственных услуг в рамках государственных заданий</t>
  </si>
  <si>
    <t>в т.ч. на оказание пподведомственными государственными библиотеками государственных услуг в рамках государственных заданий</t>
  </si>
  <si>
    <r>
      <t xml:space="preserve">Основное мероприятие  государственной программы Республики Дагестан "Развитие культуры в Республике Дагестан на 2015-2020 годы" - </t>
    </r>
    <r>
      <rPr>
        <b/>
        <sz val="14"/>
        <rFont val="Arial"/>
        <family val="2"/>
      </rPr>
      <t>Охрана и сохранение объектов культурного наследия</t>
    </r>
  </si>
  <si>
    <t>в т.ч. на оказание государственным бюджетным учреждением Республики Дагестан «Республиканский центр охраны памятников истории, культуры и архитектуры»</t>
  </si>
  <si>
    <r>
      <t xml:space="preserve">Основное мероприятие  государственной программы Республики Дагестан "Развитие культуры в Республике Дагестан на 2015-2020 годы" - </t>
    </r>
    <r>
      <rPr>
        <b/>
        <sz val="14"/>
        <rFont val="Arial"/>
        <family val="2"/>
      </rPr>
      <t>Развитие дополнительного образования детей в области культуры</t>
    </r>
  </si>
  <si>
    <t>в т.ч. на оказание пподведомственными учреждениями дополнительного образования государственных услуг в рамках государственных заданий</t>
  </si>
  <si>
    <r>
      <t xml:space="preserve">Основное мероприятие  государственной программы Республики Дагестан "Развитие культуры в Республике Дагестан на 2015-2020 годы" - </t>
    </r>
    <r>
      <rPr>
        <b/>
        <sz val="14"/>
        <rFont val="Arial"/>
        <family val="2"/>
      </rPr>
      <t>Развитие среднего профессионального образования в области культуры</t>
    </r>
  </si>
  <si>
    <t>в т.ч. на оказание пподведомственными учреждениями среднего профессионального образования государственных услуг в рамках государственных заданий</t>
  </si>
  <si>
    <r>
      <t xml:space="preserve">Основное мероприятие  государственной программы Республики Дагестан "Развитие культуры в Республике Дагестан на 2015-2020 годы" - </t>
    </r>
    <r>
      <rPr>
        <b/>
        <sz val="14"/>
        <rFont val="Arial"/>
        <family val="2"/>
      </rPr>
      <t>Развитие дополнительного профессионального образования, повышение квалификации и профессиональной переподготовки работников культуры и искусства</t>
    </r>
  </si>
  <si>
    <t>в т.ч. на оказание государственным бюджетным учреждением дополнительного профессионального образования «Республиканский учебно-методический центр» государственных услуг в рамках государственного задания</t>
  </si>
  <si>
    <r>
      <t xml:space="preserve">Основное мероприятие  государственной программы Республики Дагестан "Развитие культуры в Республике Дагестан на 2015-2020 годы" - </t>
    </r>
    <r>
      <rPr>
        <b/>
        <sz val="14"/>
        <rFont val="Arial"/>
        <family val="2"/>
      </rPr>
      <t>Мероприятия в сфере культуры и кинематографии</t>
    </r>
  </si>
  <si>
    <t xml:space="preserve">Школы </t>
  </si>
  <si>
    <t>Ссузы</t>
  </si>
  <si>
    <t>ДК, д дружбы</t>
  </si>
  <si>
    <t>Цопик</t>
  </si>
  <si>
    <t>аппарат</t>
  </si>
  <si>
    <t>поддержка молодежи</t>
  </si>
  <si>
    <t>союзы</t>
  </si>
  <si>
    <t>Выплаты семьям</t>
  </si>
  <si>
    <t>Методцентр</t>
  </si>
  <si>
    <t>Гос программа</t>
  </si>
  <si>
    <t>Федер охрана</t>
  </si>
  <si>
    <r>
      <t>Расходы на обеспечение деятельности (оказание услуг) государственных учреждений по развитию</t>
    </r>
    <r>
      <rPr>
        <b/>
        <sz val="12"/>
        <rFont val="Calibri"/>
        <family val="2"/>
        <charset val="204"/>
        <scheme val="minor"/>
      </rPr>
      <t xml:space="preserve"> дополнительного образования детей</t>
    </r>
    <r>
      <rPr>
        <sz val="11"/>
        <rFont val="Calibri"/>
        <family val="2"/>
        <charset val="204"/>
        <scheme val="minor"/>
      </rPr>
      <t xml:space="preserve"> в области культуры в рамках подпрограммы "Развитие образования в сфере культуры"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</si>
  <si>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t xml:space="preserve">Расходы на обеспечение деятельности (оказание услуг) государственных учреждений по развитию </t>
    </r>
    <r>
      <rPr>
        <b/>
        <sz val="12"/>
        <rFont val="Calibri"/>
        <family val="2"/>
        <charset val="204"/>
        <scheme val="minor"/>
      </rPr>
      <t>среднего профессионального образования в области культуры</t>
    </r>
    <r>
      <rPr>
        <sz val="11"/>
        <rFont val="Calibri"/>
        <family val="2"/>
        <charset val="204"/>
        <scheme val="minor"/>
      </rPr>
      <t xml:space="preserve"> в рамках подпрограммы "Развитие образования в сфере культуры"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</si>
  <si>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t xml:space="preserve">Расходы на обеспечение деятельности (оказание услуг) государственных учреждений по организации </t>
    </r>
    <r>
      <rPr>
        <b/>
        <sz val="12"/>
        <rFont val="Calibri"/>
        <family val="2"/>
        <charset val="204"/>
        <scheme val="minor"/>
      </rPr>
      <t>подготовки, переподготовки и повышения профессиональных знаний работников культуры</t>
    </r>
    <r>
      <rPr>
        <sz val="11"/>
        <rFont val="Calibri"/>
        <family val="2"/>
        <charset val="204"/>
        <scheme val="minor"/>
      </rPr>
      <t xml:space="preserve"> и искусства в рамках подпрограммы "Развитие образования в сфере культуры"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</si>
  <si>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t xml:space="preserve">Иные межбюджетные трансферты на комплектование книжных фондов библиотек муниципальных образований в рамках подпрограммы "Наследие" государственной программы Российской Федерации "Развитие культуры и туризма" на 2013-2020 годы </t>
    </r>
    <r>
      <rPr>
        <b/>
        <sz val="11"/>
        <rFont val="Arial Cyr"/>
        <charset val="204"/>
      </rPr>
      <t>(Межбюджетные трансферты)</t>
    </r>
  </si>
  <si>
    <r>
      <t xml:space="preserve">Расходы на обеспечение деятельности (оказание услуг) государственных учреждений по </t>
    </r>
    <r>
      <rPr>
        <b/>
        <sz val="12"/>
        <rFont val="Calibri"/>
        <family val="2"/>
        <charset val="204"/>
        <scheme val="minor"/>
      </rPr>
      <t>развитию культурно-досуговой деятельности</t>
    </r>
    <r>
      <rPr>
        <sz val="11"/>
        <rFont val="Calibri"/>
        <family val="2"/>
        <charset val="204"/>
        <scheme val="minor"/>
      </rPr>
      <t xml:space="preserve"> в рамках подпрограммы "Культура и искусство"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</si>
  <si>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t xml:space="preserve">Расходы на обеспечение деятельности (оказание услуг) государственных учреждений по </t>
    </r>
    <r>
      <rPr>
        <b/>
        <sz val="12"/>
        <rFont val="Calibri"/>
        <family val="2"/>
        <charset val="204"/>
        <scheme val="minor"/>
      </rPr>
      <t>организации государственных проектов в сфере традиционной народной культуры</t>
    </r>
    <r>
      <rPr>
        <sz val="11"/>
        <rFont val="Calibri"/>
        <family val="2"/>
        <charset val="204"/>
        <scheme val="minor"/>
      </rPr>
      <t xml:space="preserve"> в рамках подпрограммы "Культура и искусство"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</si>
  <si>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t xml:space="preserve">Расходы на обеспечение деятельности (оказание услуг) государственных учреждений по организации государственных проектов в сфере традиционной народной культуры в рамках подпрограммы "Культура и искусство"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
</t>
    </r>
    <r>
      <rPr>
        <b/>
        <sz val="16"/>
        <rFont val="Calibri"/>
        <family val="2"/>
        <charset val="204"/>
        <scheme val="minor"/>
      </rPr>
      <t>Цопик</t>
    </r>
  </si>
  <si>
    <r>
      <t xml:space="preserve">Расходы на обеспечение деятельности (оказание услуг) государственных учреждений по развитию </t>
    </r>
    <r>
      <rPr>
        <b/>
        <sz val="14"/>
        <rFont val="Calibri"/>
        <family val="2"/>
        <charset val="204"/>
        <scheme val="minor"/>
      </rPr>
      <t xml:space="preserve">библиотечного дела </t>
    </r>
    <r>
      <rPr>
        <sz val="11"/>
        <rFont val="Calibri"/>
        <family val="2"/>
        <charset val="204"/>
        <scheme val="minor"/>
      </rPr>
      <t>в рамках подпрограммы "Культура и искусство"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</si>
  <si>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t>Расходы на обеспечение деятельности (оказание услуг) государственных учреждений по развитию</t>
    </r>
    <r>
      <rPr>
        <b/>
        <sz val="12"/>
        <rFont val="Calibri"/>
        <family val="2"/>
        <charset val="204"/>
        <scheme val="minor"/>
      </rPr>
      <t xml:space="preserve"> </t>
    </r>
    <r>
      <rPr>
        <b/>
        <sz val="14"/>
        <rFont val="Calibri"/>
        <family val="2"/>
        <charset val="204"/>
        <scheme val="minor"/>
      </rPr>
      <t>музейного дела</t>
    </r>
    <r>
      <rPr>
        <sz val="11"/>
        <rFont val="Calibri"/>
        <family val="2"/>
        <charset val="204"/>
        <scheme val="minor"/>
      </rPr>
      <t xml:space="preserve"> в рамках подпрограммы "Культура и искусство"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</si>
  <si>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t xml:space="preserve">Расходы на обеспечение деятельности (оказание услуг) государственных учреждений по развитию </t>
    </r>
    <r>
      <rPr>
        <b/>
        <sz val="14"/>
        <rFont val="Calibri"/>
        <family val="2"/>
        <charset val="204"/>
        <scheme val="minor"/>
      </rPr>
      <t>театрально-концертной деятельности</t>
    </r>
    <r>
      <rPr>
        <sz val="11"/>
        <rFont val="Calibri"/>
        <family val="2"/>
        <charset val="204"/>
        <scheme val="minor"/>
      </rPr>
      <t xml:space="preserve"> в рамках подпрограммы "Культура и искусство"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</si>
  <si>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rPr>
        <b/>
        <sz val="14"/>
        <rFont val="Calibri"/>
        <family val="2"/>
        <charset val="204"/>
        <scheme val="minor"/>
      </rPr>
      <t>Субсидии творческим союзам</t>
    </r>
    <r>
      <rPr>
        <sz val="11"/>
        <rFont val="Calibri"/>
        <family val="2"/>
        <charset val="204"/>
        <scheme val="minor"/>
      </rPr>
      <t xml:space="preserve"> в рамках подпрограммы "Культура и искусство"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</si>
  <si>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rPr>
        <b/>
        <sz val="14"/>
        <rFont val="Calibri"/>
        <family val="2"/>
        <charset val="204"/>
        <scheme val="minor"/>
      </rPr>
      <t>Мероприятия в сфере культуры и кинематографии</t>
    </r>
    <r>
      <rPr>
        <sz val="11"/>
        <rFont val="Calibri"/>
        <family val="2"/>
        <charset val="204"/>
        <scheme val="minor"/>
      </rPr>
      <t xml:space="preserve"> в рамках подпрограммы "Культура и искусство" государственной программы "Развитие культуры в Республике Дагестан на 2015-2020 годы" (Закупка товаров, работ и услуг для государственных (муниципальных) нужд)</t>
    </r>
  </si>
  <si>
    <r>
      <t xml:space="preserve">Расходы на выплаты по оплате труда работников государственных органов в рамках подпрограммы "Обеспечение реализации государственной программы" государственной программы Республики Дагестан "Развитие культуры в Республике Дагестан на 2015-2020 годы"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 </t>
    </r>
    <r>
      <rPr>
        <b/>
        <sz val="14"/>
        <rFont val="Calibri"/>
        <family val="2"/>
        <charset val="204"/>
        <scheme val="minor"/>
      </rPr>
      <t>аппарат</t>
    </r>
  </si>
  <si>
    <r>
      <t>Расходы на обеспечение функций государственных органов, в том числе территориальных органов, в рамках подпрограммы "Обеспечение реализации государственной программы" государственной программы Республики Дагестан "Развитие культуры в Республике Дагестан на 2015-2020 годы" (Закупка товаров, работ и услуг для государственных (муниципальных) нужд)</t>
    </r>
    <r>
      <rPr>
        <b/>
        <sz val="14"/>
        <rFont val="Calibri"/>
        <family val="2"/>
        <charset val="204"/>
        <scheme val="minor"/>
      </rPr>
      <t>аппарат</t>
    </r>
  </si>
  <si>
    <r>
      <t>Расходы на обеспечение функций государственных органов, в том числе территориальных органов, в рамках подпрограммы "Обеспечение реализации государственной программы" государственной программы Республики Дагестан "Развитие культуры в Республике Дагестан на 2015-2020 годы" (Иные бюджетные ассигнования)</t>
    </r>
    <r>
      <rPr>
        <b/>
        <sz val="14"/>
        <rFont val="Calibri"/>
        <family val="2"/>
        <charset val="204"/>
        <scheme val="minor"/>
      </rPr>
      <t>аппарат</t>
    </r>
  </si>
  <si>
    <r>
      <t>Осуществление переданных органам государственной власти в соответствии с пунктом 1 статьи 9.1 Федерального закона от 25 июня 2002 года N 73-ФЗ "Об объектах культурного наследия (памятниках истории и культуры) народов Российской Федерации" полномочий Российской Федерации в отношении объектов культурного наследия" (Закупка товаров, работ и услуг для государственных (муниципальных) нужд)</t>
    </r>
    <r>
      <rPr>
        <b/>
        <sz val="12"/>
        <rFont val="Arial Cyr"/>
        <charset val="204"/>
      </rPr>
      <t>федер.охрана</t>
    </r>
  </si>
  <si>
    <r>
      <t xml:space="preserve">Осуществление переданных органам государственной власти субъектов Российской Федерации в соответствии с пунктом 1 статьи 9.1 Федерального закона "Об объектах культурного наследия (памятниках истории и культуры) народов Российской Федерации" полномочий Российской Федерации в отношении объектов культурного наследия"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 </t>
    </r>
    <r>
      <rPr>
        <b/>
        <sz val="12"/>
        <rFont val="Arial Cyr"/>
        <charset val="204"/>
      </rPr>
      <t>федер.охрана</t>
    </r>
  </si>
  <si>
    <t>Региональные целевые программы</t>
  </si>
  <si>
    <t>Республиканская целевая программа "Пожарная безопасность в Республике Дагестан на период до 2014 года"</t>
  </si>
  <si>
    <t>Выполнение функций государственными органами</t>
  </si>
  <si>
    <t>Субсидии бюджетным учреждениям на иные цели</t>
  </si>
  <si>
    <t>Национальная экономика</t>
  </si>
  <si>
    <t>Общеэкономические вопросы</t>
  </si>
  <si>
    <t>Реализация государственной политики занятости населения</t>
  </si>
  <si>
    <t>Реализация дополнительных мероприятий, направленных на снижение напряженности на рынке труда субъектов Российской Федерации</t>
  </si>
  <si>
    <t>Субсидии бюджетным учреждениям на финансовое обеспечение государственного задания на оказание государственных услуг (выполнение работ)</t>
  </si>
  <si>
    <t>Общее образование</t>
  </si>
  <si>
    <t>Среднее профессиональное образование</t>
  </si>
  <si>
    <t>Переподготовка и повышение квалификации</t>
  </si>
  <si>
    <t>Другие вопросы в области образования</t>
  </si>
  <si>
    <t>Мероприятия в области образования</t>
  </si>
  <si>
    <t>Стипендии</t>
  </si>
  <si>
    <t>Премии в области литературы и искусства, образования, печатных средств массовой информации, науки и техники и иные поощрения за особые заслуги перед государством</t>
  </si>
  <si>
    <t>Премии и гранты</t>
  </si>
  <si>
    <t>Учреждения культуры и мероприятия в сфере культуры и кинематографии</t>
  </si>
  <si>
    <t>Руководство и управление в сфере установленных функций органов государственной власти субъектов Российской Федерации и органов местного самоуправления</t>
  </si>
  <si>
    <t>Социальное обеспечение населения</t>
  </si>
  <si>
    <t>Оказание других видов социальной помощи</t>
  </si>
  <si>
    <t>Меры социальной поддержки населения по публичным нормативным обязательствам</t>
  </si>
  <si>
    <t>Государственная программа Российской Федерации "Развитие культуры и туризма" на 2013 - 2020 годы</t>
  </si>
  <si>
    <t>Общегосударственные вопросы</t>
  </si>
  <si>
    <t>Другие общегосударственные вопросы</t>
  </si>
  <si>
    <t>Государственная программа Республики Дагестан "Информационное противодействие идеологии экстремизма и терроризма в Республике Дагестан на 2014-2016 годы"</t>
  </si>
  <si>
    <t>Государственная программа Республики Дагестан "О реализации Комплексного плана противодействия идеологии терроризма в Российской Федерации на 2013-2018 годы в Республике Дагестан в сфере культуры в 2014-2016 годах"</t>
  </si>
  <si>
    <t>Подпрограмма "Комплексные меры по обеспечению пожарной безопасности в Республике Дагестан на 2014-2018 годы"</t>
  </si>
  <si>
    <t>Социальное обеспечение и иные выплаты населению</t>
  </si>
  <si>
    <t>Иные межбюджетные трансферты на подключение общедоступных библиотек Российской Федерации к сети "Интернет" и развитие системы библиотечного дела с учетом задачи расширения информационных технологий и оцифровки в рамках подпрограммы "Наследие" государственной программы Российской Федерации "Развитие культуры и туризма" на 2013-2020 годы</t>
  </si>
  <si>
    <t>Иные межбюджетные трансферты на государственную поддержку муниципальных учреждений культуры</t>
  </si>
  <si>
    <t>Иные межбюджетные трансферты на государственную поддержку лучших работников муниципальных учреждений культуры, находящихся на территории сельских поселений</t>
  </si>
  <si>
    <t>Иные межбюджетные трансферты на государственную поддержку (грант) комплексного развития региональных и муниципальных учреждений культуры в рамках подпрограммы "Искусство" государственной программы Российской Федерации "Развитие культуры и туризма" на 2013-2020 годы</t>
  </si>
  <si>
    <t>Иные межбюджетные трансферты на государственную поддержку (грант) больших, средних и малых городов - центров культуры и туризма в рамках подпрограммы "Искусство" государственной программы Российской Федерации "Развитие культуры и туризма" на 2013-2020 годы</t>
  </si>
  <si>
    <t>Иные межбюджетные трансферты на государственную поддержку (грант) реализации лучших событийных региональных и межрегиональных проектов в рамках развития культурно-познавательного туризма в рамках подпрограммы "Туризм" государственной программы Российской Федерации "Развитие культуры и туризма" на 2013-2020 годы</t>
  </si>
  <si>
    <t>Другие вопросы в области социальной политики</t>
  </si>
  <si>
    <r>
      <t xml:space="preserve">Субсидии на мероприятия государственной </t>
    </r>
    <r>
      <rPr>
        <sz val="11"/>
        <color rgb="FF0000FF"/>
        <rFont val="Calibri"/>
        <family val="2"/>
        <charset val="204"/>
      </rPr>
      <t>программы</t>
    </r>
    <r>
      <rPr>
        <sz val="11"/>
        <rFont val="Calibri"/>
        <family val="2"/>
        <charset val="204"/>
      </rPr>
      <t xml:space="preserve"> Российской Федерации "Доступная среда" на 2011-2015 годы в рамках </t>
    </r>
    <r>
      <rPr>
        <sz val="11"/>
        <color rgb="FF0000FF"/>
        <rFont val="Calibri"/>
        <family val="2"/>
        <charset val="204"/>
      </rPr>
      <t>подпрограммы</t>
    </r>
    <r>
      <rPr>
        <sz val="11"/>
        <rFont val="Calibri"/>
        <family val="2"/>
        <charset val="204"/>
      </rPr>
      <t xml:space="preserve"> "Обеспечение доступности приоритетных объектов и услуг в приоритетных сферах жизнедеятельности инвалидов и других маломобильных групп населения"</t>
    </r>
  </si>
  <si>
    <t>Государственная программа Республики Дагестан "Доступная среда" на 2013-2015 годы</t>
  </si>
  <si>
    <t>Музеи*0,7</t>
  </si>
  <si>
    <t>Библиотеки*0,7</t>
  </si>
  <si>
    <t>III. Целевые показатели (индикаторы) развития сферы культуры</t>
  </si>
  <si>
    <t>и меры, обеспечивающие их достижение</t>
  </si>
  <si>
    <t>1. С ростом эффективности и качества оказываемых услуг будут достигнуты следующие целевые показатели (индикаторы):</t>
  </si>
  <si>
    <t>1) количество посещений театрально-концертных мероприятий:</t>
  </si>
  <si>
    <t>(тыс. человек)</t>
  </si>
  <si>
    <t>(в ред. Распоряжения Правительства РД от 06.05.2014 N 126-р)</t>
  </si>
  <si>
    <t>2) количество библиографических записей в электронных базах данных:</t>
  </si>
  <si>
    <t>(тыс. единиц)</t>
  </si>
  <si>
    <t>3) количество объектов культурного наследия, расположенных в Республике Дагестан, информация о которых внесена в электронную базу данных единого государственного реестра объектов культурного наследия (памятников истории и культуры) народов Российской Федерации:</t>
  </si>
  <si>
    <t>4) увеличение доли представленных (во всех формах) зрителю музейных предметов в общем количестве музейных предметов основного фонда:</t>
  </si>
  <si>
    <t>(процентов)</t>
  </si>
  <si>
    <t>5) количество посещений государственных музеев:</t>
  </si>
  <si>
    <t>6) количество посетителей культурно-досуговых мероприятий:</t>
  </si>
  <si>
    <t>7) повышение уровня удовлетворенности граждан качеством предоставления в Республике Дагестан государственных и муниципальных услуг в сфере культуры:</t>
  </si>
  <si>
    <t>8) увеличение доли объектов культурного наследия, находящихся в удовлетворительном состоянии, в общем количестве объектов культурного наследия федерального, регионального и местного (муниципального) значения:</t>
  </si>
  <si>
    <t>9) увеличение доли общедоступных (публичных) библиотек, подключенных к сети "Интернет", в общем количестве библиотек Республики Дагестан:</t>
  </si>
  <si>
    <t>10) увеличение доли музеев, имеющих сайт в сети "Интернет", в общем количестве музеев Республики Дагестан:</t>
  </si>
  <si>
    <t>11) увеличение доли театров, имеющих сайт в сети "Интернет", в общем количестве театров Республики Дагестан:</t>
  </si>
  <si>
    <t>12) увеличение количества выставочных проектов, осуществляемых в субъектах Российской Федерации:</t>
  </si>
  <si>
    <t>(процентов по отношению к 2012 году)</t>
  </si>
  <si>
    <t>13) увеличение доли детей, привлекаемых к участию в творческих мероприятиях, в общей численности детей:</t>
  </si>
  <si>
    <t>14) увеличение посещаемости учреждений культуры:</t>
  </si>
  <si>
    <t>(п. 14 введен Распоряжением Правительства РД от 06.05.2014 N 126-р)</t>
  </si>
  <si>
    <t>15) увеличение количества предоставляемых дополнительных услуг учреждениями культуры:</t>
  </si>
  <si>
    <t>количество посетителей культурно-досуговых мероприятий</t>
  </si>
  <si>
    <t>тыс. человек</t>
  </si>
  <si>
    <t>N п/п</t>
  </si>
  <si>
    <t>Наименование показателя (индикатора)</t>
  </si>
  <si>
    <t>Единица измерения</t>
  </si>
  <si>
    <t>Значения показателей (по годам)</t>
  </si>
  <si>
    <t>Программа "Развитие культуры в Республике Дагестан на 2015-2020 годы"</t>
  </si>
  <si>
    <t>Доля объектов культурного наследия, находящихся в удовлетворительном состоянии, в общем количестве объектов культурного наследия федерального, регионального и местного (муниципального) значения</t>
  </si>
  <si>
    <t>процентов</t>
  </si>
  <si>
    <t>Количество экземпляров библиотечного фонда государственных библиотек на 1 пользователя</t>
  </si>
  <si>
    <t>Общее количество посещений республиканских театров, филармонии, музеев и библиотек на 1000 человек населения</t>
  </si>
  <si>
    <t>человек</t>
  </si>
  <si>
    <t>Динамика примерных (индикативных) значений соотношения средней заработной платы работников учреждений культуры и средней заработной платы в Республике Дагестан</t>
  </si>
  <si>
    <t>Подпрограмма 1 "Образование в сфере культуры"</t>
  </si>
  <si>
    <t>Число учащихся, получающих дополнительное образование в сфере культуры</t>
  </si>
  <si>
    <t>Количество выпускаемых профессиональными образовательными учреждениями, подведомственными Министерству культуры Республики Дагестан, специалистов со средним специальным образованием</t>
  </si>
  <si>
    <t>Количество обучающихся по программам переподготовки и повышения квалификации</t>
  </si>
  <si>
    <t>Количество изданий, методик, программ в рамках обеспечения образовательной деятельности</t>
  </si>
  <si>
    <t>Количество мероприятий в области народного творчества и традиционной культуры (организация и проведение фестивалей, выставок, смотров, конкурсов, конференций и иных программных мероприятий)</t>
  </si>
  <si>
    <t>Количество посетителей культурно-досуговых мероприятий</t>
  </si>
  <si>
    <t>Количество проведенных учебно-методических мероприятий (конференций, семинаров, круглых столов, мастер-классов)</t>
  </si>
  <si>
    <t>Количество подготовленных информационно-методических материалов для культурно-досуговых учреждений республики (изданий, методик, программ)</t>
  </si>
  <si>
    <t>Количество объектов культурного наследия, расположенных в Республике Дагестан, информация о которых внесена в электронную базу данных Единого государственного реестра объектов культурного наследия (памятников истории и культуры) народов Российской Федерации</t>
  </si>
  <si>
    <t>Количество посещений государственных музеев РД</t>
  </si>
  <si>
    <t>Количество выставок, созданных государственными музеями республики в отчетном году</t>
  </si>
  <si>
    <t>Доля музеев, имеющих сайт в сети "Интернет", в общем количестве государственных музеев РД</t>
  </si>
  <si>
    <t>Количество посещений библиотек</t>
  </si>
  <si>
    <t>Количество выданных из фондов республиканских библиотек документов</t>
  </si>
  <si>
    <t>тыс. экземпляров</t>
  </si>
  <si>
    <t>Количество библиографических записей в сводном электронном каталоге библиотек</t>
  </si>
  <si>
    <t>тыс. единиц</t>
  </si>
  <si>
    <t>Доля общедоступных (публичных) библиотек, подключенных к сети "Интернет", в общем количестве библиотек РД</t>
  </si>
  <si>
    <t>2.14.</t>
  </si>
  <si>
    <t>Доля мероприятий, проведенных государственными театрально-концертными учреждениями РД</t>
  </si>
  <si>
    <t>2.15.</t>
  </si>
  <si>
    <t>Количество посещений театрально-концертных мероприятий</t>
  </si>
  <si>
    <t>2.16.</t>
  </si>
  <si>
    <t>Количество новых и капитально возобновленных постановок государственных театров РД</t>
  </si>
  <si>
    <t>2.17.</t>
  </si>
  <si>
    <t>Доля театров, имеющих сайт в сети "Интернет", в общем количестве театров РД</t>
  </si>
  <si>
    <t>2.18.</t>
  </si>
  <si>
    <t>Присуждение премий Главы Республики Дагестан представителям творческой интеллигенции и стипендий Главы Республики Дагестан одаренным учащимся образовательных учреждений культуры и искусства</t>
  </si>
  <si>
    <t>Повышение уровня удовлетворенности граждан качеством предоставления в Республике Дагестан государственных и муниципальных услуг в сфере культуры</t>
  </si>
  <si>
    <t>увеличение доли музеев, имеющих сайт в сети "Интернет", в общем количестве музеев Республики Дагестан:</t>
  </si>
  <si>
    <t>увеличение доли общедоступных (публичных) библиотек, подключенных к сети "Интернет", в общем количестве библиотек Республики Дагестан:</t>
  </si>
  <si>
    <t>2017год</t>
  </si>
  <si>
    <t xml:space="preserve"> - Межбюджетные трансферты</t>
  </si>
  <si>
    <t xml:space="preserve"> - Гранты</t>
  </si>
  <si>
    <t xml:space="preserve"> - Реализация государственной политики занятости населения</t>
  </si>
  <si>
    <t>Краткая характеристика непрограммной деятельности Министерства культуры Республики Дагестан*</t>
  </si>
  <si>
    <t xml:space="preserve"> *</t>
  </si>
  <si>
    <t>Государственная программа Республики Дагестан "Развитие культуры в Республике Дагестан на 2015-2020 годы (Утверждена постановлениме Правительства РД от 22.12.2014 № 656).</t>
  </si>
  <si>
    <t>Закон Республики Дагестан от 30.12.2013 № 110 (ред. от 30.12.2014) "О республиканском бюджете Республики Дагестан на 2014 год и на плановый период 2015 и 2016 годов" (принят Народным Собранием РД 20.12.2013)</t>
  </si>
  <si>
    <t>Цели, задачи и программы*</t>
  </si>
  <si>
    <t>данными отчетов об исполнении государственных заданий подведомственных Министерству культуры РД учреждений.</t>
  </si>
  <si>
    <t>сведениями о показателях (индикаторах) государственной программы Республики Дагестан "Развитие культуры в Республике Дагестан на 2015-2020 годы"</t>
  </si>
  <si>
    <t>Количество выставок созданных государственными мзеями республики в отчетном году</t>
  </si>
  <si>
    <t xml:space="preserve">1.20 </t>
  </si>
  <si>
    <t xml:space="preserve">1.21 </t>
  </si>
  <si>
    <t>Показатели качества и объема приведены в соответсвии:</t>
  </si>
  <si>
    <t xml:space="preserve">к Докладу о результатах и основных направлениях деятельности </t>
  </si>
  <si>
    <t>Постановление Правительства РД от 02.12.2011 N 464 "Об утверждении республиканской целевой программы "Государственная поддержка казачьих обществ в Республике Дагестан на 2012-2014 годы"</t>
  </si>
  <si>
    <t xml:space="preserve">Федеральный закон от 25.06.2002 № 73-ФЗ "Об объектах культурного наследия (памятниках истории и культуры) народов Российской Федерации" </t>
  </si>
  <si>
    <t xml:space="preserve">Федеральный закон от 02.12.2013 N 349-ФЗ "О федеральном бюджете на 2014 год и на плановый период 2015 и 2016 годов";
Постановление Правительства РФ от 15.04.2014 N 317 "Об утверждении государственной программы Российской Федерации "Развитие культуры и туризма" на 2013 - 2020 годы" </t>
  </si>
  <si>
    <t xml:space="preserve"> - Федеральный закон от 21.12.1996 N 159-ФЗ  "О дополнительных гарантиях по социальной поддержке детей-сирот и детей, оставшихся без попечения родителей"; </t>
  </si>
  <si>
    <t xml:space="preserve"> - Указ Главы РД от 14.07.2015 N 151 "О грантах Главы Республики Дагестан";</t>
  </si>
  <si>
    <t xml:space="preserve"> - Постановление Правительства РФ от 25.03.1999 N 329 "О государственной поддержке театрального искусства в Российской Федерации" (вместе с "Положением о театре в Российской Федерации", "Положением о принципах финансирования государственных и муниципальных театров в Российской Федерации");</t>
  </si>
  <si>
    <t xml:space="preserve"> - Закон Республики Дагестан от 03.02.2006 N 10 "О Музейном фонде Республики Дагестан и музеях Республики Дагестан" (принят Народным Собранием РД 26.01.2006);</t>
  </si>
  <si>
    <t xml:space="preserve"> - Федеральный закон от 26.05.1996 N 54-ФЗ  "О Музейном фонде Российской Федерации и музеях в Российской Федерации";</t>
  </si>
  <si>
    <t xml:space="preserve">  - Закон Республики Дагестан от 13.03.2000 N 10 "О культуре" (принят Народным Собранием РД 24.02.2000)
</t>
  </si>
  <si>
    <t xml:space="preserve"> - Закон Республики Дагестан от 29.12.2005 N 75  "О библиотечном обслуживании населения в Республике Дагестан" (принят Народным Собранием РД 27.12.2005)</t>
  </si>
  <si>
    <t xml:space="preserve"> - Приказ Минобрнауки России от 01.07.2013 N 499  "Об утверждении Порядка организации и осуществления образовательной деятельности по дополнительным профессиональным программам" </t>
  </si>
  <si>
    <t xml:space="preserve"> - Приказ Минобрнауки России от 14.06.2013 N 464  "Об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образования".</t>
  </si>
  <si>
    <t xml:space="preserve"> - Федеральный закон от 29.12.2012 N 273-ФЗ  "Об образовании в Российской Федерации";</t>
  </si>
  <si>
    <t xml:space="preserve"> - Федеральный закон от 29.12.2012 N 273-ФЗ "Об образовании в Российской Федерации";</t>
  </si>
  <si>
    <t xml:space="preserve"> - Федеральный закон от 29.12.2012 N 273-ФЗ  "Об образовании в Российской Федерации"; </t>
  </si>
  <si>
    <r>
      <t xml:space="preserve">Субсидии на мероприятия государственной </t>
    </r>
    <r>
      <rPr>
        <sz val="12"/>
        <color rgb="FF0000FF"/>
        <rFont val="Times New Roman"/>
        <family val="1"/>
        <charset val="204"/>
      </rPr>
      <t>программы</t>
    </r>
    <r>
      <rPr>
        <sz val="12"/>
        <rFont val="Times New Roman"/>
        <family val="1"/>
        <charset val="204"/>
      </rPr>
      <t xml:space="preserve"> Российской Федерации "Доступная среда" на 2011-2015 годы в рамках </t>
    </r>
    <r>
      <rPr>
        <sz val="12"/>
        <color rgb="FF0000FF"/>
        <rFont val="Times New Roman"/>
        <family val="1"/>
        <charset val="204"/>
      </rPr>
      <t>подпрограммы</t>
    </r>
    <r>
      <rPr>
        <sz val="12"/>
        <rFont val="Times New Roman"/>
        <family val="1"/>
        <charset val="204"/>
      </rPr>
      <t xml:space="preserve"> "Обеспечение доступности приоритетных объектов и услуг в приоритетных сферах жизнедеятельности инвалидов и других маломобильных групп населения"</t>
    </r>
  </si>
  <si>
    <t>05 3 5236</t>
  </si>
  <si>
    <t>05 3 9999</t>
  </si>
  <si>
    <t>05 5 5236</t>
  </si>
  <si>
    <t>05 5 9999</t>
  </si>
  <si>
    <t>05 6 5236</t>
  </si>
  <si>
    <t>06 5 9999</t>
  </si>
  <si>
    <t>07 3 9999</t>
  </si>
  <si>
    <t>Расходы на выплату премий Главы Республики Дагестан для государственной поддержки талантливой молодежи по иным непрограммным мероприятиям в рамках непрограммного направления деятельности (Социальное обеспечение и иные выплаты населению)</t>
  </si>
  <si>
    <t>99 9 3038</t>
  </si>
  <si>
    <t>Расходы на выплату премий Главы Республики Дагестан в области литературы и искусства, образования, печатных средств массовой информации, науки и техники и иные поощрения за особые заслуги перед государством по иным непрограммным мероприятиям в рамках непрограммного направления деятельности (Социальное обеспечение и иные выплаты населению)</t>
  </si>
  <si>
    <t>99 9 6162</t>
  </si>
  <si>
    <t>Иные межбюджетные трансферты на комплектование книжных фондов библиотек муниципальных образований в рамках подпрограммы "Наследие" государственной программы Российской Федерации "Развитие культуры и туризма" на 2013-2020 годы (Межбюджетные трансферты)</t>
  </si>
  <si>
    <t>Иные межбюджетные трансферты на подключение общедоступных библиотек Российской Федерации к информационно-коммуникационной сети "Интернет" и развитие системы библиотечного дела с учетом задачи расширения информационных технологий и оцифровки в рамках подпрограммы "Наследие" государственной программы Российской Федерации "Развитие культуры и туризма" на 2013-2020 годы (Межбюджетные трансферты)</t>
  </si>
  <si>
    <t>11 1 5146</t>
  </si>
  <si>
    <t>Иные межбюджетные трансферты на государственную поддержку муниципальных учреждений культуры в рамках подпрограммы "Искусство" государственной программы Российской Федерации "Развитие культуры и туризма" на 2013-2020 годы (Межбюджетные трансферты)</t>
  </si>
  <si>
    <t>11 2 5147</t>
  </si>
  <si>
    <t>Иные межбюджетные трансферты на государственную поддержку лучших работников муниципальных учреждений культуры, находящихся на территориях сельских поселений, в рамках подпрограммы "Искусство" государственной программы Российской Федерации "Развитие культуры и туризма" на 2013-2020 годы (Межбюджетные трансферты)</t>
  </si>
  <si>
    <t>11 2 5148</t>
  </si>
  <si>
    <t>20 3 5950</t>
  </si>
  <si>
    <t>Создание объектов социального и производственного комплексов, в том числе объектов общегражданского назначения, жилья, инфраструктуры, по иным непрограммным мероприятиям в рамках непрограммного направления деятельности "Реализация функций иных органов государственной власти Республики Дагестан" (Капитальные вложения в объекты государственной (муниципальной) собственности)</t>
  </si>
  <si>
    <t>99 9 4009</t>
  </si>
  <si>
    <t>04 1 5027</t>
  </si>
  <si>
    <t>27 0 8027</t>
  </si>
  <si>
    <t>Государственная программа Республики Дагестан "Развитие культуры в Республике Дагестан на 2015-2020 годы"</t>
  </si>
  <si>
    <t>Подпрограмма "Развитие образования в сфере культуры"</t>
  </si>
  <si>
    <t>20 1</t>
  </si>
  <si>
    <t>Основное мероприятие "Развитие дополнительного образования детей в области культуры"</t>
  </si>
  <si>
    <t>20 1 01</t>
  </si>
  <si>
    <t>Финансовое обеспечение деятельности (оказание услуг) государственных учреждений</t>
  </si>
  <si>
    <t>20 1 01 06590</t>
  </si>
  <si>
    <t>Основное мероприятие "Развитие среднего профессионального образования в области культуры"</t>
  </si>
  <si>
    <t>20 1 02</t>
  </si>
  <si>
    <t>20 1 02 07590</t>
  </si>
  <si>
    <t>Основное мероприятие "Развитие дополнительного профессионального образования, повышение квалификации и профессиональная переподготовка работников культуры и искусства"</t>
  </si>
  <si>
    <t>20 1 03</t>
  </si>
  <si>
    <t>20 1 03 08590</t>
  </si>
  <si>
    <t>Культура, кинематография</t>
  </si>
  <si>
    <t>20 2</t>
  </si>
  <si>
    <t>Основное мероприятие "Организация государственных проектов в сфере традиционной народной культуры"</t>
  </si>
  <si>
    <t>20 2 02</t>
  </si>
  <si>
    <t>Расходы на обеспечение деятельности (оказание услуг) государственных учреждений</t>
  </si>
  <si>
    <t>20 2 02 00590</t>
  </si>
  <si>
    <t>Основное мероприятие "Охрана и сохранение объектов культурного наследия"</t>
  </si>
  <si>
    <t>20 2 03</t>
  </si>
  <si>
    <t>20 2 03 00590</t>
  </si>
  <si>
    <t>Основное мероприятие "Развитие музейного дела"</t>
  </si>
  <si>
    <t>20 2 04</t>
  </si>
  <si>
    <t>20 2 04 00590</t>
  </si>
  <si>
    <t>Основное мероприятие "Развитие библиотечного дела"</t>
  </si>
  <si>
    <t>20 2 05</t>
  </si>
  <si>
    <t>20 2 05 00590</t>
  </si>
  <si>
    <t>Комплектование книжных фондов библиотек муниципальных образований и государственных библиотек городов федерального значения Москвы и Санкт-Петербурга на 2016 год</t>
  </si>
  <si>
    <t>20 2 05 51440</t>
  </si>
  <si>
    <t>Подключение общедоступных библиотек Российской Федерации к иформационно-телекоммуникационной сети "Интернет" и развитие системы библиотечного дела с учетом задачи расширения информационных технологий и оцифровки на 2016 год</t>
  </si>
  <si>
    <t>20 2 05 51460</t>
  </si>
  <si>
    <t>Основное мероприятие "Развитие театрально-концертной деятельности"</t>
  </si>
  <si>
    <t>20 2 06</t>
  </si>
  <si>
    <t>20 2 06 00590</t>
  </si>
  <si>
    <t>Основное мероприятие "Государственная поддержка творческих союзов"</t>
  </si>
  <si>
    <t>20 2 07</t>
  </si>
  <si>
    <t>20 2 07 62330</t>
  </si>
  <si>
    <t>Основное мероприятие "Мероприятия в сфере культуры и кинематографии"</t>
  </si>
  <si>
    <t>20 2 08</t>
  </si>
  <si>
    <t>20 2 08 64860</t>
  </si>
  <si>
    <t>Закупка товаров, работ и услуг для обеспечения государственных (муниципальных) нужд</t>
  </si>
  <si>
    <t>Подпрограмма "Обеспечение реализации государственной программы"</t>
  </si>
  <si>
    <t>20 3</t>
  </si>
  <si>
    <t>Основное мероприятие "Обеспечение эффективной деятельности Министерства культуры Республики Дагестан"</t>
  </si>
  <si>
    <t>20 3 01</t>
  </si>
  <si>
    <t>Финансовое обеспечение выполнения функций государственных органов</t>
  </si>
  <si>
    <t>20 3 01 20000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</si>
  <si>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</si>
  <si>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Основное мероприятие "Осуществление переданных полномочий Российской Федерации в отношении объектов культурного наследия"</t>
  </si>
  <si>
    <t>20 3 02</t>
  </si>
  <si>
    <t>Осуществление переданных органам государственной власти субъектов Российской Федерации в соответствии с пунктом 1 статьи 9.1 Федерального закона от 25 июня 2002 года N 73-ФЗ "Об объектах культурного наследия (памятниках истории и культуры) народов Российской Федерации" полномочий Российской Федерации в отношении объектов культурного наследия</t>
  </si>
  <si>
    <t>20 3 02 59500</t>
  </si>
  <si>
    <t>Подпрограмма "Совершенствование социальной поддержки семьи и детей"</t>
  </si>
  <si>
    <t>22 3</t>
  </si>
  <si>
    <t>Основное мероприятие "Оказание мер социальной поддержки детям-сиротам, детям, оставшимся без попечения родителей, лицам из числа указанной категории детей, а также гражданам, желающим взять детей на воспитание в семью"</t>
  </si>
  <si>
    <t>22 3 07</t>
  </si>
  <si>
    <t>Выплата ежемесячного пособия детям-сиротам и детям, оставшимся без попечения родителей, лицам из числа детей-сирот и детей, оставшихся без попечения родителей, обучающимся по имеющим государственную аккредитацию образовательным программам среднего профессионального образования или высшего образования по очной форме обучения</t>
  </si>
  <si>
    <t>22 3 07 71510</t>
  </si>
  <si>
    <t>Выплата единовременного денежного пособия детям-сиротам и детям, оставшимся без попечения родителей, лицам из числа детей-сирот и детей, оставшихся без попечения родителей, обучающимся по имеющим государственную аккредитацию образовательным программам среднего профессионального образования или высшего образования по очной форме обучения, на приобретение учебной литературы и письменных принадлежностей, а также единовременного денежного пособия выпускникам государственных профессиональных образовательных организаций - детям-сиротам и детям, оставшимся без попечения родителей, лицам из числа детей-сирот и детей, оставшихся без попечения родителей, обучавшимся по имеющим государственную аккредитацию образовательным программам среднего профессионального образования или высшего образования по очной форме обучения</t>
  </si>
  <si>
    <t>22 3 07 71520</t>
  </si>
  <si>
    <t>Осуществление переданных органам государственной власти субъектов Российской Федерации в соответствии с пунктом 1 статьи 9.1 Федерального закона "Об объектах культурного наследия (памятниках истории и культуры) народов Российской Федерации" полномочий Российской Федерации в отношении объектов культурного наследия в рамках подпрограммы "Обеспечение реализации государственной программы" государственной программы Республики Дагестан "Развитие культуры в Республике Дагестан на 2015-2020 годы"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</si>
  <si>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Осуществление переданных органам государственной власти субъектов Российской Федерации в соответствии с пунктом 1 статьи 9.1 Федерального закона "Об объектах культурного наследия (памятниках истории и культуры) народов Российской Федерации" полномочий Российской Федерации в отношении объектов культурного наследия в рамках подпрограммы "Обеспечение реализации государственной программы" государственной программы Республики Дагестан "Развитие культуры в Республике Дагестан на 2015-2020 годы" (Закупка товаров, работ и услуг для государственных (муниципальных) нужд)</t>
  </si>
  <si>
    <r>
      <t>Расходы на обеспечение деятельности (оказание услуг) государственных учреждений по развитию</t>
    </r>
    <r>
      <rPr>
        <b/>
        <sz val="12"/>
        <color rgb="FFFF0000"/>
        <rFont val="Times New Roman"/>
        <family val="1"/>
        <charset val="204"/>
      </rPr>
      <t xml:space="preserve"> дополнительного образования детей</t>
    </r>
    <r>
      <rPr>
        <sz val="11"/>
        <rFont val="Times New Roman"/>
        <family val="1"/>
        <charset val="204"/>
      </rPr>
      <t xml:space="preserve"> в области культуры в рамках подпрограммы "Развитие образования в сфере культуры"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</si>
  <si>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t>Расходы на обеспечение деятельности (оказание услуг) государственных учреждений по развитию</t>
    </r>
    <r>
      <rPr>
        <b/>
        <sz val="12"/>
        <color rgb="FFFF0000"/>
        <rFont val="Times New Roman"/>
        <family val="1"/>
        <charset val="204"/>
      </rPr>
      <t xml:space="preserve"> среднего профессионального образования</t>
    </r>
    <r>
      <rPr>
        <sz val="11"/>
        <rFont val="Times New Roman"/>
        <family val="1"/>
        <charset val="204"/>
      </rPr>
      <t xml:space="preserve"> в области культуры в рамках подпрограммы "Развитие образования в сфере культуры"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</si>
  <si>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t xml:space="preserve">Расходы на обеспечение деятельности (оказание услуг) государственных учреждений по развитию дополнительного профессионального образования, </t>
    </r>
    <r>
      <rPr>
        <b/>
        <sz val="12"/>
        <color rgb="FFFF0000"/>
        <rFont val="Times New Roman"/>
        <family val="1"/>
        <charset val="204"/>
      </rPr>
      <t>повышению квалификации и профессиональной переподготовке</t>
    </r>
    <r>
      <rPr>
        <sz val="11"/>
        <rFont val="Times New Roman"/>
        <family val="1"/>
        <charset val="204"/>
      </rPr>
      <t xml:space="preserve"> работников культуры и искусства в рамках подпрограммы "Развитие образования в сфере культуры"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</si>
  <si>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t xml:space="preserve">Расходы на обеспечение деятельности (оказание услуг) государственных учреждений по </t>
    </r>
    <r>
      <rPr>
        <b/>
        <sz val="12"/>
        <color rgb="FFFF0000"/>
        <rFont val="Times New Roman"/>
        <family val="1"/>
        <charset val="204"/>
      </rPr>
      <t>развитию культурно-досуговой деятельности</t>
    </r>
    <r>
      <rPr>
        <sz val="11"/>
        <rFont val="Times New Roman"/>
        <family val="1"/>
        <charset val="204"/>
      </rPr>
      <t xml:space="preserve"> в рамках подпрограммы "Культура и искусство"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</si>
  <si>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t xml:space="preserve">Расходы на обеспечение деятельности (оказание услуг) государственных учреждений </t>
    </r>
    <r>
      <rPr>
        <b/>
        <sz val="12"/>
        <color rgb="FFFF0000"/>
        <rFont val="Times New Roman"/>
        <family val="1"/>
        <charset val="204"/>
      </rPr>
      <t>по организации государственных проектов в сфере традиционной народной культуры</t>
    </r>
    <r>
      <rPr>
        <sz val="11"/>
        <rFont val="Times New Roman"/>
        <family val="1"/>
        <charset val="204"/>
      </rPr>
      <t xml:space="preserve"> в рамках подпрограммы "Культура и искусство"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</si>
  <si>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t>Расходы на обеспечение деятельности (оказание услуг) государственных учреждений</t>
    </r>
    <r>
      <rPr>
        <b/>
        <sz val="12"/>
        <color rgb="FFFF0000"/>
        <rFont val="Times New Roman"/>
        <family val="1"/>
        <charset val="204"/>
      </rPr>
      <t xml:space="preserve"> по охране и сохранению объектов культурного наследия </t>
    </r>
    <r>
      <rPr>
        <sz val="11"/>
        <rFont val="Times New Roman"/>
        <family val="1"/>
        <charset val="204"/>
      </rPr>
      <t>в рамках подпрограммы "Культура и искусство"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</si>
  <si>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t>Расходы на обеспечение деятельности (оказание услуг) государственных учреждений по развитию</t>
    </r>
    <r>
      <rPr>
        <b/>
        <sz val="12"/>
        <color rgb="FFFF0000"/>
        <rFont val="Times New Roman"/>
        <family val="1"/>
        <charset val="204"/>
      </rPr>
      <t xml:space="preserve"> музейного дела</t>
    </r>
    <r>
      <rPr>
        <sz val="11"/>
        <rFont val="Times New Roman"/>
        <family val="1"/>
        <charset val="204"/>
      </rPr>
      <t xml:space="preserve"> в рамках подпрограммы "Культура и искусство"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</si>
  <si>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t xml:space="preserve">Расходы на обеспечение деятельности (оказание услуг) государственных учреждений по развитию </t>
    </r>
    <r>
      <rPr>
        <b/>
        <sz val="12"/>
        <color rgb="FFFF0000"/>
        <rFont val="Times New Roman"/>
        <family val="1"/>
        <charset val="204"/>
      </rPr>
      <t>библиотечного дела</t>
    </r>
    <r>
      <rPr>
        <sz val="11"/>
        <rFont val="Times New Roman"/>
        <family val="1"/>
        <charset val="204"/>
      </rPr>
      <t xml:space="preserve"> в рамках подпрограммы "Культура и искусство"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</si>
  <si>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t>Расходы на обеспечение деятельности (оказание услуг) государственных учреждений по развитию</t>
    </r>
    <r>
      <rPr>
        <b/>
        <sz val="12"/>
        <color rgb="FFFF0000"/>
        <rFont val="Times New Roman"/>
        <family val="1"/>
        <charset val="204"/>
      </rPr>
      <t xml:space="preserve"> театрально-концертной деятельности </t>
    </r>
    <r>
      <rPr>
        <sz val="11"/>
        <rFont val="Times New Roman"/>
        <family val="1"/>
        <charset val="204"/>
      </rPr>
      <t>в рамках подпрограммы "Культура и искусство"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</si>
  <si>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rPr>
        <b/>
        <sz val="12"/>
        <color rgb="FFFF0000"/>
        <rFont val="Times New Roman"/>
        <family val="1"/>
        <charset val="204"/>
      </rPr>
      <t>Субсидии творческим союзам</t>
    </r>
    <r>
      <rPr>
        <sz val="11"/>
        <rFont val="Times New Roman"/>
        <family val="1"/>
        <charset val="204"/>
      </rPr>
      <t xml:space="preserve"> в рамках подпрограммы "Культура и искусство"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</si>
  <si>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rPr>
        <b/>
        <sz val="12"/>
        <color rgb="FFFF0000"/>
        <rFont val="Times New Roman"/>
        <family val="1"/>
        <charset val="204"/>
      </rPr>
      <t xml:space="preserve">Мероприятия в сфере культуры и кинематографии </t>
    </r>
    <r>
      <rPr>
        <sz val="11"/>
        <rFont val="Times New Roman"/>
        <family val="1"/>
        <charset val="204"/>
      </rPr>
      <t>в рамках подпрограммы "Культура и искусство" государственной программы Республики Дагестан "Развитие культуры в Республике Дагестан на 2015-2020 годы" (Закупка товаров, работ и услуг для государственных (муниципальных) нужд)</t>
    </r>
  </si>
  <si>
    <r>
      <t xml:space="preserve">Расходы на обеспечение функций государственных органов Республики Дагестан, в том числе территориальных органов, в рамках подпрограммы "Обеспечение реализации государственной программы" государственной программы Республики Дагестан "Развитие культуры в Республике Дагестан на 2015-2020 годы" (Иные бюджетные ассигнования) </t>
    </r>
    <r>
      <rPr>
        <b/>
        <sz val="12"/>
        <color rgb="FFFF0000"/>
        <rFont val="Times New Roman"/>
        <family val="1"/>
        <charset val="204"/>
      </rPr>
      <t>(аппарат)</t>
    </r>
  </si>
  <si>
    <r>
      <t xml:space="preserve">Расходы на обеспечение функций государственных органов Республики Дагестан, в том числе территориальных органов, в рамках подпрограммы "Обеспечение реализации государственной программы" государственной программы Республики Дагестан "Развитие культуры в Республике Дагестан на 2015-2020 годы" (Закупка товаров, работ и услуг для государственных (муниципальных) нужд) </t>
    </r>
    <r>
      <rPr>
        <b/>
        <sz val="12"/>
        <color rgb="FFFF0000"/>
        <rFont val="Times New Roman"/>
        <family val="1"/>
        <charset val="204"/>
      </rPr>
      <t>(аппарат)</t>
    </r>
  </si>
  <si>
    <r>
      <t>Расходы на обеспечение функций государственных органов Республики Дагестан, в том числе территориальных органов, в рамках подпрограммы "Обеспечение реализации государственной программы" государственной программы Республики Дагестан "Развитие культуры в Республике Дагестан на 2015-2020 годы"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  </r>
    <r>
      <rPr>
        <b/>
        <sz val="12"/>
        <color rgb="FFFF0000"/>
        <rFont val="Times New Roman"/>
        <family val="1"/>
        <charset val="204"/>
      </rPr>
      <t xml:space="preserve"> (аппарат)</t>
    </r>
  </si>
  <si>
    <r>
      <t xml:space="preserve">Расходы на выплаты по оплате труда работников государственных органов Республики Дагестан в рамках подпрограммы "Обеспечение реализации государственной программы" государственной программы Республики Дагестан "Развитие культуры в Республике Дагестан на 2015-2020 годы"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 </t>
    </r>
    <r>
      <rPr>
        <b/>
        <sz val="12"/>
        <color rgb="FFFF0000"/>
        <rFont val="Times New Roman"/>
        <family val="1"/>
        <charset val="204"/>
      </rPr>
      <t>(аппарат)</t>
    </r>
  </si>
  <si>
    <r>
      <t xml:space="preserve">Социальное обеспечение детей-сирот и детей, оставшихся без попечения родителей, лиц из числа детей-сирот и детей, оставшихся без попечения родителей, обучающихся по имеющим государственную аккредитацию образовательным программам среднего профессионального образования или высшего образования по очной форме обучения, в рамках подпрограммы "Совершенствование социальной поддержки семьи и детей" </t>
    </r>
    <r>
      <rPr>
        <b/>
        <sz val="12"/>
        <color rgb="FFFF0000"/>
        <rFont val="Times New Roman"/>
        <family val="1"/>
        <charset val="204"/>
      </rPr>
      <t>государственной программы Республики Дагестан "Социальная поддержка граждан"</t>
    </r>
    <r>
      <rPr>
        <sz val="11"/>
        <rFont val="Times New Roman"/>
        <family val="1"/>
        <charset val="204"/>
      </rPr>
      <t xml:space="preserve"> на 2015-2020 годы (Социальное обеспечение и иные выплаты населению)</t>
    </r>
  </si>
  <si>
    <r>
      <t>Реализация мероприятий государственной программы Российской Федерации "Доступная среда" на 2011-2015 годы в рамках подпрограммы "Обеспечение доступности приоритетных объектов и услуг в приоритетных сферах жизнедеятельности инвалидов и других маломобильных групп населения"</t>
    </r>
    <r>
      <rPr>
        <b/>
        <sz val="12"/>
        <color rgb="FFFF0000"/>
        <rFont val="Times New Roman"/>
        <family val="1"/>
        <charset val="204"/>
      </rPr>
      <t xml:space="preserve"> государственной программы Российской Федерации "Доступная среда" </t>
    </r>
    <r>
      <rPr>
        <sz val="11"/>
        <rFont val="Times New Roman"/>
        <family val="1"/>
        <charset val="204"/>
      </rPr>
      <t>на 2011-2015 годы (Предоставление субсидий бюджетным, автономным учреждениям и иным некоммерческим организациям)</t>
    </r>
  </si>
  <si>
    <r>
      <t>Обеспечение доступности приоритетных объектов и услуг в приоритетных сферах жизнедеятельности инвалидов и других маломобильных групп населения в рамках</t>
    </r>
    <r>
      <rPr>
        <b/>
        <sz val="12"/>
        <color rgb="FFFF0000"/>
        <rFont val="Times New Roman"/>
        <family val="1"/>
        <charset val="204"/>
      </rPr>
      <t xml:space="preserve"> государственной программы Республики Дагестан "Доступная среда"</t>
    </r>
    <r>
      <rPr>
        <sz val="11"/>
        <rFont val="Times New Roman"/>
        <family val="1"/>
        <charset val="204"/>
      </rPr>
      <t xml:space="preserve"> на 2013-2015 годы (Предоставление субсидий бюджетным, автономным учреждениям и иным некоммерческим организациям)</t>
    </r>
  </si>
  <si>
    <r>
      <t>Реализация направления расходов в рамках подпрограммы "Комплексные меры по обеспечению пожарной безопасности в Республике Дагестан на 2014-2018 годы"</t>
    </r>
    <r>
      <rPr>
        <b/>
        <sz val="12"/>
        <color rgb="FFFF0000"/>
        <rFont val="Times New Roman"/>
        <family val="1"/>
        <charset val="204"/>
      </rPr>
      <t xml:space="preserve"> государственной программы Республики Дагестан "Защита населения и территорий от чрезвычайных ситуаций, обеспечение пожарной безопасности и безопасности людей на водных объектах в Республике Дагестан на 2014-2018 годы"</t>
    </r>
    <r>
      <rPr>
        <sz val="11"/>
        <rFont val="Times New Roman"/>
        <family val="1"/>
        <charset val="204"/>
      </rPr>
      <t xml:space="preserve"> (Предоставление субсидий бюджетным, автономным учреждениям и иным некоммерческим организациям)</t>
    </r>
  </si>
  <si>
    <r>
      <t xml:space="preserve">Реализация направления расходов в рамках подпрограммы </t>
    </r>
    <r>
      <rPr>
        <b/>
        <sz val="12"/>
        <color rgb="FFFF0000"/>
        <rFont val="Times New Roman"/>
        <family val="1"/>
        <charset val="204"/>
      </rPr>
      <t xml:space="preserve">"Повышение правовой культуры населения Республики Дагестан </t>
    </r>
    <r>
      <rPr>
        <sz val="11"/>
        <rFont val="Times New Roman"/>
        <family val="1"/>
        <charset val="204"/>
      </rPr>
      <t>(2015-2016 годы)" государственной программы Республики Дагестан "Обеспечение общественного порядка и противодействие преступности в Республике Дагестан на 2015-2020 годы" (Предоставление субсидий бюджетным, автономным учреждениям и иным некоммерческим организациям)</t>
    </r>
  </si>
  <si>
    <r>
      <t xml:space="preserve">Реализация направления расходов в рамках подпрограммы </t>
    </r>
    <r>
      <rPr>
        <b/>
        <sz val="12"/>
        <color rgb="FFFF0000"/>
        <rFont val="Times New Roman"/>
        <family val="1"/>
        <charset val="204"/>
      </rPr>
      <t xml:space="preserve">"Государственная поддержка казачьих обществ в Республике Дагестан на 2015-2016 годы" </t>
    </r>
    <r>
      <rPr>
        <sz val="11"/>
        <rFont val="Times New Roman"/>
        <family val="1"/>
        <charset val="204"/>
      </rPr>
      <t>государственной программы Республики Дагестан "Реализация Стратегии государственной национальной политики Российской Федерации на период до 2025 года в Республике Дагестан на 2015-2017 годы" (Предоставление субсидий бюджетным, автономным учреждениям и иным некоммерческим организациям)</t>
    </r>
  </si>
  <si>
    <t xml:space="preserve">государственная программа Республики Дагестан "Реализация Стратегии государственной национальной политики Российской Федерации на период до 2025 года в Республике Дагестан на 2015-2017 годы" подпрограмма "Государственная поддержка казачьих обществ в Республике Дагестан на 2015-2016 годы" </t>
  </si>
  <si>
    <r>
      <t>Субсидии бюджетам субъектов Российской Федерации и муниципальных образований на реализацию мероприятий федеральной целевой программы "Укрепление единства российской нации и этнокультурное развитие народов России (2014-2020 годы)" подпрограммы</t>
    </r>
    <r>
      <rPr>
        <b/>
        <sz val="12"/>
        <color rgb="FFFF0000"/>
        <rFont val="Times New Roman"/>
        <family val="1"/>
        <charset val="204"/>
      </rPr>
      <t xml:space="preserve"> "Государственная поддержка казачьих обществ в Республике Дагестан на 2015-2016 годы"</t>
    </r>
    <r>
      <rPr>
        <sz val="11"/>
        <rFont val="Times New Roman"/>
        <family val="1"/>
        <charset val="204"/>
      </rPr>
      <t xml:space="preserve"> государственной программы Республики Дагестан "Реализация Стратегии государственной национальной политики Российской Федерации на период до 2025 года в Республике Дагестан на 2015-2017 годы"</t>
    </r>
  </si>
  <si>
    <t xml:space="preserve">Государственная программа Республики Дагестан "Реализация Стратегии государственной национальной политики Российской Федерации на период до 2025 года на 2015-2017 годы" </t>
  </si>
  <si>
    <r>
      <t xml:space="preserve">Субсидии бюджетам субъектов Российской Федерации и муниципальных образований на реализацию мероприятий федеральной целевой программы "Укрепление единства российской нации и этнокультурное развитие народов России (2014-2020 годы)" подпрограммы "Реализация Стратегии государственной национальной политики Российской Федерации на период до 2025 года" на 2015 год </t>
    </r>
    <r>
      <rPr>
        <b/>
        <sz val="12"/>
        <color rgb="FFFF0000"/>
        <rFont val="Times New Roman"/>
        <family val="1"/>
        <charset val="204"/>
      </rPr>
      <t>государственной программы Республики Дагестан "Реализация Стратегии государственной национальной политики Российской Федерации на период до 2025 года на 2015-2017 годы"</t>
    </r>
    <r>
      <rPr>
        <sz val="11"/>
        <rFont val="Times New Roman"/>
        <family val="1"/>
        <charset val="204"/>
      </rPr>
      <t xml:space="preserve"> (Предоставление субсидий бюджетным, автономным учреждениям и иным некоммерческим организациям)</t>
    </r>
  </si>
  <si>
    <r>
      <t>Реализация направления расходов в рамках подпрограммы "Реализация Стратегии государственной национальной политики Российской Федерации на период до 2025 года" на 2015 год Г</t>
    </r>
    <r>
      <rPr>
        <b/>
        <sz val="12"/>
        <color rgb="FFFF0000"/>
        <rFont val="Times New Roman"/>
        <family val="1"/>
        <charset val="204"/>
      </rPr>
      <t xml:space="preserve">осударственная программа Республики Дагестан "Реализация Стратегии государственной национальной политики Российской Федерации на период до 2025 года на 2015-2017 годы" </t>
    </r>
    <r>
      <rPr>
        <sz val="11"/>
        <rFont val="Times New Roman"/>
        <family val="1"/>
        <charset val="204"/>
      </rPr>
      <t>(Предоставление субсидий бюджетным, автономным учреждениям и иным некоммерческим организациям)</t>
    </r>
  </si>
  <si>
    <r>
      <t xml:space="preserve">Субсидии бюджетам субъектов Российской Федерации и муниципальных образований на реализацию мероприятий федеральной целевой программы "Укрепление единства российской нации и этнокультурное развитие народов России (2014-2020 годы)" </t>
    </r>
    <r>
      <rPr>
        <b/>
        <sz val="12"/>
        <color rgb="FFFF0000"/>
        <rFont val="Times New Roman"/>
        <family val="1"/>
        <charset val="204"/>
      </rPr>
      <t>подпрограммы "Формирование и развитие гражданского общества в Республике Дагестан на 2015-2017 годы" государственной программы Республики Дагестан "Реализация Стратегии государственной национальной политики Российской Федерации на период до 2025 года на 2015-2017 годы"</t>
    </r>
    <r>
      <rPr>
        <sz val="11"/>
        <rFont val="Times New Roman"/>
        <family val="1"/>
        <charset val="204"/>
      </rPr>
      <t xml:space="preserve"> (Предоставление субсидий бюджетным, автономным учреждениям и иным некоммерческим организациям)</t>
    </r>
  </si>
  <si>
    <t xml:space="preserve">Государственная программа Республики Дагестан "Реализация Стратегии государственной национальной политики Российской Федерации на период до 2025 года на 2015-2017 годы" подпрограмма "Формирование и развитие гражданского общества в Республике Дагестан на 2015-2017 годы" </t>
  </si>
  <si>
    <t xml:space="preserve"> 
Постановление Правительства РФ от 01.12.2015 N 1297 "Об утверждении государственной программы Российской Федерации "Доступная среда" на 2011 - 2020 годы" </t>
  </si>
  <si>
    <t xml:space="preserve">Закон Республики Дагестан от 30.12.2014 N 94 (ред. от 24.12.2015) "О республиканском бюджете Республики Дагестан на 2015 год и на плановый период 2016 и 2017 годов" (принят Народным Собранием РД 25.12.2014) </t>
  </si>
  <si>
    <t>формирование и развитие гражданского общества в Республике Дагестан</t>
  </si>
  <si>
    <t>межбюджетные трансферты</t>
  </si>
  <si>
    <t>реализация государственной политики занятости населения</t>
  </si>
  <si>
    <t>осуществление полномочий Российской Федерации по государственной охране объектов культурного наследия федерального значения</t>
  </si>
  <si>
    <t>Сведения об объемах запланированных и поступивших средств от приносящей доход деятельности 
государственных бюджетных учреждений.</t>
  </si>
  <si>
    <t>Наименование подведомственных учреждений</t>
  </si>
  <si>
    <t>доходы от платных услуг</t>
  </si>
  <si>
    <t>запланировано</t>
  </si>
  <si>
    <t>исполнено</t>
  </si>
  <si>
    <t>запланировано на год</t>
  </si>
  <si>
    <t>исполнено на 1.04.2016г.</t>
  </si>
  <si>
    <t>ГБУ ДО РД «Республиканская школа искусств М. Кажлаева для особо одаренных детей»</t>
  </si>
  <si>
    <t>ГБПОУ РД «Дагестанское художественное училище им. М.А. Джемала»</t>
  </si>
  <si>
    <t>ГБУ «Дагестанский государственный объединенный исторический и архитектурный музей им. А. Тахо-Годи»</t>
  </si>
  <si>
    <t>ГБУ «Дагестанский музей изобразительных искусств им. П.С. Гамзатовой»</t>
  </si>
  <si>
    <t>ГБУ «Дербентский государственный историко-архитектурный и художественный музей-заповедник»</t>
  </si>
  <si>
    <t>ГБУ «Музей-заповедник – этнографический комплекс «Дагестанский аул»</t>
  </si>
  <si>
    <t>ГБУ РД «Музей истории мировых культур и религий»</t>
  </si>
  <si>
    <t>Итого иузеи</t>
  </si>
  <si>
    <t>ГБУ РД «Национальная библиотека Республики Дагестан им. Р. Гамзатова»</t>
  </si>
  <si>
    <t>ГБУ Государственное бюджетное учреждение «Республиканская детская библиотека им. Н. Юсупова»</t>
  </si>
  <si>
    <t>ГБУ «Республиканская специальная библиотека для слепых»</t>
  </si>
  <si>
    <t>Итого библиотеки</t>
  </si>
  <si>
    <t>ГБУ «Государственный республиканский русский драматический театр им. М. Горького»</t>
  </si>
  <si>
    <t>ГБУ «Аварский музыкально-драматический театр им. Г. Цадасы»</t>
  </si>
  <si>
    <t>ГБУ «Дагестанский государственный кумыкский музыкально-драматический театр им. А.-П. Салаватова»</t>
  </si>
  <si>
    <t>ГБУ «Даргинский государственный музыкально-драматический театр им. О. Батырая»</t>
  </si>
  <si>
    <t>ГБУ «Государственный лезгинский музыкально-драматический театр им. С. Стальского»</t>
  </si>
  <si>
    <t>ГБУ «Лакский государственный музыкально-драматический театр им. Э. Капиева»</t>
  </si>
  <si>
    <t>ГБУ «Дагестанский государственный театр кукол»</t>
  </si>
  <si>
    <t>ГБУ «Дагестанский государственный театр оперы и балета»</t>
  </si>
  <si>
    <t>ГБУ «Азербайджанский государственный драматический театр»</t>
  </si>
  <si>
    <t>ГБУ «Государственный ногайский драматический театр»</t>
  </si>
  <si>
    <t>ГБУ «Государственный табасаранский драматический театр»</t>
  </si>
  <si>
    <t>ГБУРД  «Театр поэзии»</t>
  </si>
  <si>
    <t>ГБУ РД  «Дагестанская государственная филармония им. Т. Мурадова»</t>
  </si>
  <si>
    <t>ГБУ РД «Государственный ансамбль песни и танца «Дагестан»</t>
  </si>
  <si>
    <t>ГБУ «Государственный ансамбль танца народов Кавказа «Молодость Дагестана»</t>
  </si>
  <si>
    <t>ГБУ «Ногайский государственный оркестр народных инструментов»</t>
  </si>
  <si>
    <t>ГБУ «Государственный кизлярский терский ансамбль казачьей песни»</t>
  </si>
  <si>
    <t>ГБУ «Государственный оркестр народных инструментов Республики Дагестан»</t>
  </si>
  <si>
    <t>ГБУ «Государственный симфонический оркестр Республики Дагестан»</t>
  </si>
  <si>
    <t xml:space="preserve">ГБУ «Государственный хор Республики Дагестан» </t>
  </si>
  <si>
    <t>ГБУ «Государственный ногайский фольклорно-этнографический ансамбль «Айланай»</t>
  </si>
  <si>
    <t>ГБУ «Дагестан-концерт»</t>
  </si>
  <si>
    <t xml:space="preserve">ГБУ «Академический заслуженный ансамбль танца Дагестана «Лезгинка» </t>
  </si>
  <si>
    <t>ГБУ РД «Государственный ансамбль танца Дагестана «Каспий»</t>
  </si>
  <si>
    <t>ГБУ РД «Чародинский государственный народный мужской хор «Поющая Чарода»</t>
  </si>
  <si>
    <t>Реализация мероприятий государственной программы Российской Федерации "Доступная среда" на 2011-2015 годы</t>
  </si>
  <si>
    <t>Министерства культуры РД на очередной финансовый год и плановый период до 2019</t>
  </si>
  <si>
    <t>к Докладу о результатах и основных направлениях деятельности Министерства культуры РД на очередной финансовый год и плановый период до 2019 года.</t>
  </si>
  <si>
    <t>Министерства культуры РД на очередной финансовый год и плановый период до 2019 года.</t>
  </si>
  <si>
    <t>к Докладу о результатах и основных направлениях деятельностиМинистерства культуры Республики Дагестан 
на очередной финансовый год и плановый период до 2019 года.</t>
  </si>
  <si>
    <t>к Докладу о результатах и основных направлениях деятельности Министерства культуры Республики Дагестан на очередной финансовый год и плановый период до 2019 года.</t>
  </si>
  <si>
    <t>Поступления из федерального бюджета (Межбюджетные трансферты)</t>
  </si>
  <si>
    <t>В соответсвии с Бюджетным кодексом Российской Федерации ( статьи 170.1, 172, 179 и 184.1), а также Постановлением Правительства РД от 19.12.2014 № 642 "Об утверждении Перечня государственных программ Республики Дагестан", бюджет Министерства культуры РД в полном объеме сформирован в рамках государственной программы Республики Дагестан "Развитие культуры в Республике Дагестан на 2015-2020 годы", иных государственных программ Республики Дагестан.
В этой связи расходы на непрограммную деятельность с 2015 по 2019 годы не предусмотрены.</t>
  </si>
  <si>
    <t>План на 2015 год</t>
  </si>
  <si>
    <t>Расходы на выплату премий Главы Республики Дагестан в области литературы и искусства</t>
  </si>
  <si>
    <t>Стипендии Главы РД</t>
  </si>
  <si>
    <t>Премии Правительства РД "Душа Дагестана"</t>
  </si>
  <si>
    <r>
      <t>Иные межбюджетные трансферты на</t>
    </r>
    <r>
      <rPr>
        <b/>
        <sz val="9"/>
        <color rgb="FFFF0000"/>
        <rFont val="Times New Roman"/>
        <family val="1"/>
        <charset val="204"/>
      </rPr>
      <t xml:space="preserve"> комплектование книжных фондов библиотек </t>
    </r>
    <r>
      <rPr>
        <sz val="9"/>
        <rFont val="Times New Roman"/>
        <family val="1"/>
        <charset val="204"/>
      </rPr>
      <t>муниципальных образований в рамках подпрограммы "Наследие" государственной программы Российской Федерации "Развитие культуры и туризма" на 2013-2020 годы (Межбюджетные трансферты)</t>
    </r>
  </si>
  <si>
    <r>
      <t xml:space="preserve">Расходы на обеспечение деятельности (оказание услуг) государственных учреждений по развитию </t>
    </r>
    <r>
      <rPr>
        <b/>
        <sz val="8"/>
        <color rgb="FF000000"/>
        <rFont val="Times New Roman"/>
        <family val="1"/>
        <charset val="204"/>
      </rPr>
      <t xml:space="preserve">музейного дела </t>
    </r>
    <r>
      <rPr>
        <sz val="8"/>
        <color rgb="FF000000"/>
        <rFont val="Times New Roman"/>
        <family val="1"/>
        <charset val="204"/>
      </rPr>
      <t>в рамках подпрограммы "Культура и искусство" государственной программы Республики Дагестан "Развитие культуры в Республике Дагестан на 2015-2020 годы"  (Предоставление субсидий бюджетным, автономным учреждениям и иным некоммерческим организациям)</t>
    </r>
  </si>
  <si>
    <t>Подпрограмма 3</t>
  </si>
  <si>
    <t xml:space="preserve">"Обеспечение реализации государственной программы Республики Дагестан "Развитие культуры в Республике Дагестан на 2015-2020 годы" </t>
  </si>
  <si>
    <t>Выходное пособие в связи с увольнением госслужащих</t>
  </si>
  <si>
    <t>Осуществление переданных органам государственной власти субъектов Российской Федерации  в отношении объектов культурного наследия"</t>
  </si>
  <si>
    <t xml:space="preserve">Осуществление переданных органам государственной власти субъектов Российской Федерации  в отношении объектов культурного наследия"(Расходы на выплаты персоналу в целях обеспечения выполнения функций </t>
  </si>
  <si>
    <t>Осуществление переданных органам государственной власти субъектов Российской Федерации полномочий Российской Федерации в отношении объектов культурного наследия"(Закупка товаров, работ и услуг для государственных  нужд)</t>
  </si>
  <si>
    <r>
      <t xml:space="preserve">Социальное обеспечение детей сирот и детей оставщихся без попечения родителей обучающихся по имеющим государственную аккредитацию образовательным программам среднего профессионального образования или высшего образования по очной форме обучения в рамках подпрограммы "Совершенствования социальной поддержки семьи и детей" </t>
    </r>
    <r>
      <rPr>
        <sz val="10"/>
        <color rgb="FFFF0000"/>
        <rFont val="Times New Roman"/>
        <family val="1"/>
        <charset val="204"/>
      </rPr>
      <t>г</t>
    </r>
    <r>
      <rPr>
        <sz val="10"/>
        <rFont val="Times New Roman"/>
        <family val="1"/>
        <charset val="204"/>
      </rPr>
      <t>осударственной программы Республики Дагестан "Социальная поддержка граждан на 2014-2020 годы"</t>
    </r>
  </si>
  <si>
    <t>подпрограмма Государственная поддержка казачих обществ в РД на 2015-2016 гг и Реализация стратегии государственной нац. политики РФ на период до 2025г.</t>
  </si>
  <si>
    <t>Реализация направления расходов в рамках подпрограммы "Развитие национальных отношений в Республике Дагестан на 2014-2015 годы" государственной программы Республики Дагестан "Реализация Стратегии государственной национальной политики Российской Федерации</t>
  </si>
  <si>
    <t>Реализация направления расходов в рамках подпрограммы "Повышение правовой культуры населения Республики Дагестан (2014-2016 годы)" государственной программы Республики Дагестан "Обеспечение общественного порядка и противодействие преступности в Республике Дагестан (ДРБ)</t>
  </si>
  <si>
    <t>Иные межбюджетные трансферты на подключение общедоступных библиотек Российской Федерации к сети "Интернет" и развитие системы библиотечного дела с учетом задачи расширения информационных технологий и оцифровки</t>
  </si>
  <si>
    <t>Иные межбюджетные трансферты на государственную поддержку муниципальных учреждений культуры в рамках подпрограммы "Искусство" государственной программы Российской Федерации "Развитие культуры и туризма"</t>
  </si>
  <si>
    <t>Иные межбюджетные трансферты на государственную поддержку лучших работников муниципальных учреждений культуры, находящихся на территориях сельских поселений в рамках подпрограммы "Искусство" государственной программы Российской Федерации "Развитие культуры и туризма"</t>
  </si>
  <si>
    <t>Создание объектов социального и производственного комплексов, в том числе объектов общегражданского назначения, жилья, инфраструктуры, по иным непрограммным мероприятиям в рамках непрограммного направления деятельности "Реализация функций иных органов го</t>
  </si>
  <si>
    <t>Реконструкция здания ГБУ РД «Дагестанская государственная филармония им. Т. Мурадова», разработка ПСД. По РАИП</t>
  </si>
  <si>
    <t>Реализация направления расходов в рамках подпрограммы "Комплексные меры по обеспечению пожарной безопасности в Республике Дагестан на 2014-2018 годы" государственной программы Республики Дагестан "Защита населения и территорий от чрезвычайных ситуаций, обеспечение пожарной безопасности и безопасности людей на водных объектах в Республике Дагестан на 2014-2018 годы"</t>
  </si>
  <si>
    <t>Обеспечение доступности приоритетных объектов и услуг в приоритетных сферах жизнедеятельности инвалидов и других маломобильных групп населения в рамках государственной программы Республики Дагестан "Доступная среда" на 2013-2015 годы</t>
  </si>
  <si>
    <t>государственная программа Российской Федерации "Доступная среда" на 2011-2015 годы подпрограммы Обеспечение доступности приоритетных объектов и услуг в приоритетных сферах жизнедеятельности инвалидов и других маломобильных групп н</t>
  </si>
  <si>
    <t>241 (443)федер</t>
  </si>
  <si>
    <t>Субсидии бюджетам субъектов РФ и муниципальных образований на реализацию мероприятий ФЦП "Укрепление единства российской нации и этнокультурное развитие народов России (2014-2020 годы)" в рамках государственной программы РФ "Развитие культуры и туризма"</t>
  </si>
  <si>
    <t>241/</t>
  </si>
  <si>
    <t>Роспись</t>
  </si>
  <si>
    <t>Закон о бюджете</t>
  </si>
  <si>
    <t>Разница</t>
  </si>
  <si>
    <t>Расходы на обеспечение деятельности (оказание услуг) государственных учреждений по развитию музейного дела в рамках подпрограммы "Культура и искусство" государственной программы Республики Дагестан "Развитие культуры в Республике Дагестан на 2015-2020 годы" (Предоставление субсидий бюджетным, автономным учреждениям и иным некоммерческим организациям)</t>
  </si>
  <si>
    <t>Расходы на обеспечение деятельности (оказание услуг) государственных учреждений по развитию театрально-концертной деятельности в рамках подпрограммы "Культура и искусство" государственной программы Республики Дагестан "Развитие культуры в Республике Дагестан на 2015-2020 годы"  (Предоставление субсидий бюджетным, автономным учреждениям и иным некоммерческим организациям)</t>
  </si>
  <si>
    <r>
      <t xml:space="preserve">Расходы на обеспечение деятельности (оказание услуг) государственных учреждений по развитию </t>
    </r>
    <r>
      <rPr>
        <b/>
        <sz val="10"/>
        <color rgb="FFFF0000"/>
        <rFont val="Times New Roman"/>
        <family val="1"/>
        <charset val="204"/>
      </rPr>
      <t>дополнительного образования детей в</t>
    </r>
    <r>
      <rPr>
        <sz val="8"/>
        <rFont val="Times New Roman"/>
        <family val="1"/>
        <charset val="204"/>
      </rPr>
      <t xml:space="preserve"> области культуры в рамках подпрограммы "Развитие образования в сфере культуры" государственной программы Республики Дагестан "Развитие культуры в Республике Дагестан на 2015-2020 годы"  (Предоставление субсидий бюджетным, автономным учреждениям и иным некоммерческим организациям)</t>
    </r>
  </si>
  <si>
    <r>
      <t>Расходы на обеспечение деятельности (оказание услуг) государственных учреждений по развитию</t>
    </r>
    <r>
      <rPr>
        <b/>
        <sz val="11"/>
        <color rgb="FFFF0000"/>
        <rFont val="Times New Roman"/>
        <family val="1"/>
        <charset val="204"/>
      </rPr>
      <t xml:space="preserve"> среднего профессионального образования</t>
    </r>
    <r>
      <rPr>
        <sz val="8"/>
        <rFont val="Times New Roman"/>
        <family val="1"/>
        <charset val="204"/>
      </rPr>
      <t xml:space="preserve"> в области культуры в рамках подпрограммы "Развитие образования в сфере культуры" государственной программы Республики Дагестан "Развитие культуры в Республике Дагестан на 2015-2020 годы"  (Предоставление субсидий бюджетным, автономным учреждениям и иным некоммерческим организациям)</t>
    </r>
  </si>
  <si>
    <t xml:space="preserve">
Постановление Правительства РД от 16.04.2015 N 113 (ред. от 31.12.2015) "О Республиканской инвестиционной программе на 2015 год и государственной поддержке дорожного хозяйства Республики Дагестан в 2015 году"</t>
  </si>
  <si>
    <t>Создание объектов социального и производственного комплексов, в том числе объектов общегражданского назначения, жилья, инфраструктуры, по иным непрограммным мероприятиям</t>
  </si>
  <si>
    <t>РАИП</t>
  </si>
  <si>
    <t xml:space="preserve"> -  </t>
  </si>
  <si>
    <t>Не наши госпрограммы</t>
  </si>
  <si>
    <t>Иные расходы в рамках государственной программы Республики Дагестан "Развитие культуры в Республике Дагестан на 2015-2020 годы"</t>
  </si>
  <si>
    <t>В 2014 годах основные мероприятия деятельности Министерства культуры РД осуществлялись в рамках соответсвующих ведомственных целевых программ.</t>
  </si>
  <si>
    <t>ГП</t>
  </si>
  <si>
    <t xml:space="preserve">1.19 </t>
  </si>
  <si>
    <t>Подключение общедоступных библиотек Российской Федерации к информационно-телекоммуникационной сети "Интернет" и развитие системы библиотечного дела с учетом задачи расширения информационных технологий и оцифровки на 2016 год</t>
  </si>
  <si>
    <t>Закон Республики Дагестан от 28.12.2015 N 121 (ред. от 06.05.2016) "О республиканском бюджете Республики Дагестан на 2016 год" (принят Народным Собранием РД 22.12.2015)</t>
  </si>
  <si>
    <t>распоряжением Правительства РД от 27.02.2013 № 37-р  О плане мероприятий ("дорожной карте") "Изменения в отраслях социальной сферы, направленные на повышение эффективности сферы культуры в Республике Дагестан"</t>
  </si>
  <si>
    <t>Доля индивидуальных посещений государственных музеев республики</t>
  </si>
  <si>
    <t>количество библиографических записей в сводном электронном каталоге библиотек</t>
  </si>
  <si>
    <t>ПРИЛОЖЕНИЕ</t>
  </si>
  <si>
    <t>2014 г.</t>
  </si>
  <si>
    <t>2015 г.</t>
  </si>
  <si>
    <t>2016 г.</t>
  </si>
  <si>
    <t>2017 г.</t>
  </si>
  <si>
    <t>2018 г.</t>
  </si>
  <si>
    <t>2019 г.</t>
  </si>
  <si>
    <t>Предоставление театрально-концертного обслуживания населению, повышение его доступности и разнообразия</t>
  </si>
  <si>
    <t>Увеличение доли государственных театров, имеющих сайт в сети «Интернет», в общем количестве государственных театров Республики Дагестан</t>
  </si>
  <si>
    <r>
      <t>Число посетителей</t>
    </r>
    <r>
      <rPr>
        <b/>
        <sz val="12"/>
        <color rgb="FF000000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мероприятий в области</t>
    </r>
    <r>
      <rPr>
        <b/>
        <sz val="12"/>
        <color rgb="FF000000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традиционной народной культуры, любительского искусства социальной деятельности и патриотического воспитания.</t>
    </r>
  </si>
  <si>
    <t>Число посещений государственных музеев республики Дагестан</t>
  </si>
  <si>
    <t>Увеличение доли музеев, имеющих сайт в сети «Интернет», в общем количестве государственных музеев Республики Дагестан</t>
  </si>
  <si>
    <t>тыс.чел.</t>
  </si>
  <si>
    <t>Количество объектов культурного наследия, прошедших инвентаризацию и мониторинг</t>
  </si>
  <si>
    <t>Показатель результата 2.2.3</t>
  </si>
  <si>
    <t>Доля общедоступных (публичных) библиотек, подключенных к сети «Интернет», в общем количестве библиотек Республики Дагестан</t>
  </si>
  <si>
    <t>Приложение № 5</t>
  </si>
  <si>
    <t>распоряжением Правительства РД от 27.02.2013 № 37-р О плане мероприятий ("дорожной карте") "Изменения в отраслях социальной сферы, направленные на повышение эффективности сферы культуры в Республике Дагестан"</t>
  </si>
  <si>
    <t xml:space="preserve"> - Постановление Правительства РД от 28.11.2013 № 619 "Об утверждении государственной программы Республики Дагестан "Социальная поддержка граждан"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</si>
</sst>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0.0"/>
    <numFmt numFmtId="165" formatCode="#,##0.0"/>
    <numFmt numFmtId="166" formatCode="0.000"/>
    <numFmt numFmtId="167" formatCode="0_ ;[Red]\-0\ "/>
    <numFmt numFmtId="168" formatCode="#,##0.000"/>
    <numFmt numFmtId="169" formatCode="#,##0.00_р_."/>
    <numFmt numFmtId="170" formatCode="#,##0.00000"/>
    <numFmt numFmtId="171" formatCode="0.0000000"/>
    <numFmt numFmtId="172" formatCode="#,##0.00000000"/>
    <numFmt numFmtId="173" formatCode="0.00000000%"/>
    <numFmt numFmtId="174" formatCode="#,##0.0000000"/>
  </numFmts>
  <fonts count="245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8"/>
      <color indexed="8"/>
      <name val="Arial"/>
      <family val="2"/>
      <charset val="204"/>
    </font>
    <font>
      <sz val="7"/>
      <color indexed="8"/>
      <name val="Times New Roman"/>
      <family val="1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0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name val="Times New Roman"/>
      <family val="1"/>
      <charset val="204"/>
    </font>
    <font>
      <sz val="12"/>
      <name val="Arial Cyr"/>
      <charset val="204"/>
    </font>
    <font>
      <sz val="12"/>
      <name val="Arial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sz val="8"/>
      <name val="Arial Cyr"/>
      <charset val="204"/>
    </font>
    <font>
      <sz val="12"/>
      <name val="Times New Roman"/>
      <family val="1"/>
      <charset val="204"/>
    </font>
    <font>
      <b/>
      <i/>
      <sz val="10"/>
      <name val="Arial Cyr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b/>
      <sz val="10"/>
      <name val="Arial Cyr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name val="Arial Cyr"/>
    </font>
    <font>
      <b/>
      <sz val="10"/>
      <name val="Arial Cyr"/>
    </font>
    <font>
      <sz val="11"/>
      <name val="Times New Roman"/>
      <family val="1"/>
      <charset val="204"/>
    </font>
    <font>
      <i/>
      <sz val="11"/>
      <name val="Arial Cyr"/>
      <charset val="204"/>
    </font>
    <font>
      <b/>
      <i/>
      <sz val="11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b/>
      <i/>
      <sz val="10"/>
      <color indexed="8"/>
      <name val="Arial"/>
      <family val="2"/>
      <charset val="204"/>
    </font>
    <font>
      <b/>
      <sz val="22"/>
      <color indexed="8"/>
      <name val="Times New Roman"/>
      <family val="1"/>
      <charset val="204"/>
    </font>
    <font>
      <sz val="22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color indexed="8"/>
      <name val="Arial"/>
      <family val="2"/>
      <charset val="204"/>
    </font>
    <font>
      <sz val="18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i/>
      <sz val="12"/>
      <color indexed="8"/>
      <name val="Arial"/>
      <family val="2"/>
      <charset val="204"/>
    </font>
    <font>
      <b/>
      <sz val="20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9"/>
      <name val="Arial"/>
      <family val="2"/>
    </font>
    <font>
      <b/>
      <sz val="17"/>
      <color indexed="8"/>
      <name val="Arial"/>
      <family val="2"/>
      <charset val="204"/>
    </font>
    <font>
      <sz val="17"/>
      <color indexed="8"/>
      <name val="Arial"/>
      <family val="2"/>
      <charset val="204"/>
    </font>
    <font>
      <sz val="17"/>
      <name val="Arial"/>
      <family val="2"/>
      <charset val="204"/>
    </font>
    <font>
      <b/>
      <i/>
      <sz val="17"/>
      <color indexed="8"/>
      <name val="Arial"/>
      <family val="2"/>
      <charset val="204"/>
    </font>
    <font>
      <b/>
      <sz val="17"/>
      <name val="Arial"/>
      <family val="2"/>
      <charset val="204"/>
    </font>
    <font>
      <sz val="14"/>
      <name val="Arial Cyr"/>
      <charset val="204"/>
    </font>
    <font>
      <sz val="14"/>
      <name val="Arial"/>
      <family val="2"/>
      <charset val="204"/>
    </font>
    <font>
      <b/>
      <sz val="14"/>
      <name val="Times New Roman"/>
      <family val="1"/>
      <charset val="204"/>
    </font>
    <font>
      <sz val="14"/>
      <name val="Arial"/>
      <family val="2"/>
    </font>
    <font>
      <b/>
      <i/>
      <sz val="14"/>
      <name val="Arial"/>
      <family val="2"/>
      <charset val="204"/>
    </font>
    <font>
      <b/>
      <sz val="14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i/>
      <sz val="14"/>
      <name val="Arial"/>
      <family val="2"/>
      <charset val="204"/>
    </font>
    <font>
      <b/>
      <sz val="14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i/>
      <sz val="11"/>
      <name val="Arial"/>
      <family val="2"/>
      <charset val="204"/>
    </font>
    <font>
      <b/>
      <sz val="30"/>
      <color indexed="8"/>
      <name val="Times New Roman"/>
      <family val="1"/>
      <charset val="204"/>
    </font>
    <font>
      <sz val="30"/>
      <color indexed="8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Times New Roman"/>
      <family val="1"/>
      <charset val="204"/>
    </font>
    <font>
      <sz val="24"/>
      <color indexed="8"/>
      <name val="Times New Roman"/>
      <family val="1"/>
      <charset val="204"/>
    </font>
    <font>
      <sz val="24"/>
      <name val="Arial Cyr"/>
      <charset val="204"/>
    </font>
    <font>
      <u/>
      <sz val="16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sz val="15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name val="Arial Cyr"/>
      <charset val="204"/>
    </font>
    <font>
      <b/>
      <sz val="18"/>
      <name val="Times New Roman"/>
      <family val="1"/>
      <charset val="204"/>
    </font>
    <font>
      <b/>
      <sz val="18"/>
      <name val="Arial Cyr"/>
      <charset val="204"/>
    </font>
    <font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0"/>
      <name val="Arial Cyr"/>
      <charset val="204"/>
    </font>
    <font>
      <b/>
      <sz val="20"/>
      <name val="Arial Cyr"/>
      <charset val="204"/>
    </font>
    <font>
      <sz val="26"/>
      <name val="Times New Roman"/>
      <family val="1"/>
      <charset val="204"/>
    </font>
    <font>
      <sz val="28"/>
      <color indexed="8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28"/>
      <name val="Times New Roman"/>
      <family val="1"/>
      <charset val="204"/>
    </font>
    <font>
      <sz val="11"/>
      <name val="Calibri"/>
      <family val="2"/>
      <charset val="204"/>
    </font>
    <font>
      <b/>
      <sz val="16"/>
      <name val="Calibri"/>
      <family val="2"/>
      <charset val="204"/>
    </font>
    <font>
      <b/>
      <sz val="2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name val="Calibri"/>
      <family val="2"/>
      <charset val="204"/>
    </font>
    <font>
      <sz val="22"/>
      <name val="Times New Roman"/>
      <family val="1"/>
      <charset val="204"/>
    </font>
    <font>
      <sz val="10"/>
      <name val="Courier New"/>
      <family val="3"/>
      <charset val="204"/>
    </font>
    <font>
      <sz val="10"/>
      <color indexed="10"/>
      <name val="Times New Roman"/>
      <family val="1"/>
      <charset val="204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sz val="32"/>
      <name val="Times New Roman"/>
      <family val="1"/>
      <charset val="204"/>
    </font>
    <font>
      <b/>
      <sz val="26"/>
      <name val="Times New Roman"/>
      <family val="1"/>
      <charset val="204"/>
    </font>
    <font>
      <sz val="26"/>
      <name val="Arial Cyr"/>
      <charset val="204"/>
    </font>
    <font>
      <b/>
      <sz val="32"/>
      <name val="Times New Roman"/>
      <family val="1"/>
      <charset val="204"/>
    </font>
    <font>
      <sz val="32"/>
      <name val="Arial Cyr"/>
      <charset val="204"/>
    </font>
    <font>
      <b/>
      <sz val="30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sz val="11"/>
      <color indexed="30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i/>
      <sz val="11"/>
      <name val="Arial Cyr"/>
      <family val="2"/>
      <charset val="204"/>
    </font>
    <font>
      <sz val="11"/>
      <name val="Arial Cyr"/>
      <family val="2"/>
      <charset val="204"/>
    </font>
    <font>
      <sz val="11"/>
      <name val="Arial CYR"/>
    </font>
    <font>
      <b/>
      <sz val="11"/>
      <name val="Arial CYR"/>
    </font>
    <font>
      <b/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color indexed="56"/>
      <name val="Times New Roman"/>
      <family val="1"/>
      <charset val="204"/>
    </font>
    <font>
      <sz val="11"/>
      <color indexed="62"/>
      <name val="Times New Roman"/>
      <family val="1"/>
      <charset val="204"/>
    </font>
    <font>
      <b/>
      <sz val="11"/>
      <color indexed="62"/>
      <name val="Times New Roman"/>
      <family val="1"/>
      <charset val="204"/>
    </font>
    <font>
      <sz val="28"/>
      <name val="Times New Roman"/>
      <family val="1"/>
      <charset val="204"/>
    </font>
    <font>
      <sz val="24"/>
      <name val="Arial"/>
      <family val="2"/>
      <charset val="204"/>
    </font>
    <font>
      <b/>
      <i/>
      <sz val="13"/>
      <name val="Times New Roman"/>
      <family val="1"/>
      <charset val="204"/>
    </font>
    <font>
      <u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0"/>
      <color indexed="30"/>
      <name val="Times New Roman"/>
      <family val="1"/>
      <charset val="204"/>
    </font>
    <font>
      <b/>
      <sz val="10"/>
      <color indexed="30"/>
      <name val="Times New Roman"/>
      <family val="1"/>
      <charset val="204"/>
    </font>
    <font>
      <sz val="10"/>
      <color indexed="56"/>
      <name val="Times New Roman"/>
      <family val="1"/>
      <charset val="204"/>
    </font>
    <font>
      <b/>
      <sz val="9"/>
      <color indexed="30"/>
      <name val="Times New Roman"/>
      <family val="1"/>
      <charset val="204"/>
    </font>
    <font>
      <sz val="10"/>
      <color indexed="30"/>
      <name val="Arial Cyr"/>
      <charset val="204"/>
    </font>
    <font>
      <b/>
      <sz val="10"/>
      <color indexed="30"/>
      <name val="Arial Cyr"/>
      <charset val="204"/>
    </font>
    <font>
      <b/>
      <sz val="9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sz val="6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u/>
      <sz val="3"/>
      <color theme="10"/>
      <name val="Arial Cyr"/>
      <charset val="204"/>
    </font>
    <font>
      <sz val="11"/>
      <color theme="1"/>
      <name val="Calibri"/>
      <family val="2"/>
      <charset val="204"/>
      <scheme val="minor"/>
    </font>
    <font>
      <sz val="22"/>
      <color theme="1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30"/>
      <color theme="1"/>
      <name val="Times New Roman"/>
      <family val="1"/>
      <charset val="204"/>
    </font>
    <font>
      <b/>
      <sz val="30"/>
      <color theme="1"/>
      <name val="Times New Roman"/>
      <family val="1"/>
      <charset val="204"/>
    </font>
    <font>
      <sz val="30"/>
      <color rgb="FF00000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5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8"/>
      <color rgb="FF000000"/>
      <name val="Calibri"/>
      <family val="2"/>
      <charset val="204"/>
    </font>
    <font>
      <b/>
      <sz val="16"/>
      <color rgb="FF000000"/>
      <name val="Times New Roman"/>
      <family val="1"/>
      <charset val="204"/>
    </font>
    <font>
      <b/>
      <sz val="18"/>
      <color rgb="FF000000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b/>
      <sz val="16"/>
      <color rgb="FF00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20"/>
      <color rgb="FF000000"/>
      <name val="Calibri"/>
      <family val="2"/>
      <charset val="204"/>
    </font>
    <font>
      <sz val="20"/>
      <color rgb="FF000000"/>
      <name val="Calibri"/>
      <family val="2"/>
      <charset val="204"/>
    </font>
    <font>
      <b/>
      <u/>
      <sz val="22"/>
      <color rgb="FF000000"/>
      <name val="Calibri"/>
      <family val="2"/>
      <charset val="204"/>
    </font>
    <font>
      <b/>
      <sz val="20"/>
      <color rgb="FF000000"/>
      <name val="Times New Roman"/>
      <family val="1"/>
      <charset val="204"/>
    </font>
    <font>
      <b/>
      <sz val="26"/>
      <color rgb="FF00000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6"/>
      <color rgb="FF000000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0066CC"/>
      <name val="Times New Roman"/>
      <family val="1"/>
      <charset val="204"/>
    </font>
    <font>
      <b/>
      <sz val="10"/>
      <color rgb="FF0066CC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003366"/>
      <name val="Times New Roman"/>
      <family val="1"/>
      <charset val="204"/>
    </font>
    <font>
      <b/>
      <sz val="9"/>
      <color rgb="FF0066CC"/>
      <name val="Times New Roman"/>
      <family val="1"/>
      <charset val="204"/>
    </font>
    <font>
      <sz val="11"/>
      <color rgb="FF0066CC"/>
      <name val="Times New Roman"/>
      <family val="1"/>
      <charset val="204"/>
    </font>
    <font>
      <b/>
      <sz val="11"/>
      <color rgb="FF0066CC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FF0000"/>
      <name val="Arial Cyr"/>
      <charset val="204"/>
    </font>
    <font>
      <b/>
      <sz val="10"/>
      <color rgb="FF0070C0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28"/>
      <color theme="1"/>
      <name val="Times New Roman"/>
      <family val="1"/>
      <charset val="204"/>
    </font>
    <font>
      <sz val="14"/>
      <color rgb="FFFF0000"/>
      <name val="Arial Cyr"/>
      <charset val="204"/>
    </font>
    <font>
      <sz val="14"/>
      <color rgb="FF0070C0"/>
      <name val="Arial Cyr"/>
      <charset val="204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rgb="FF0000FF"/>
      <name val="Calibri"/>
      <family val="2"/>
      <charset val="204"/>
    </font>
    <font>
      <b/>
      <sz val="11"/>
      <name val="Calibri"/>
      <family val="2"/>
      <charset val="204"/>
    </font>
    <font>
      <b/>
      <i/>
      <sz val="18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sz val="36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2"/>
      <color rgb="FF0000FF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rgb="FF00359E"/>
      <name val="Times New Roman"/>
      <family val="1"/>
      <charset val="204"/>
    </font>
    <font>
      <sz val="12"/>
      <color rgb="FF00359E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2"/>
      <color rgb="FF000000"/>
      <name val="Arial Narrow"/>
      <family val="2"/>
      <charset val="204"/>
    </font>
  </fonts>
  <fills count="7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31849B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538ED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46D0A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2DDDC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rgb="FF75923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BE5F1"/>
        <bgColor indexed="64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ck">
        <color rgb="FF000080"/>
      </left>
      <right/>
      <top style="thick">
        <color rgb="FF000080"/>
      </top>
      <bottom style="medium">
        <color rgb="FF000080"/>
      </bottom>
      <diagonal/>
    </border>
    <border>
      <left/>
      <right/>
      <top style="thick">
        <color rgb="FF000080"/>
      </top>
      <bottom style="medium">
        <color rgb="FF000080"/>
      </bottom>
      <diagonal/>
    </border>
    <border>
      <left/>
      <right style="thick">
        <color rgb="FF000080"/>
      </right>
      <top style="thick">
        <color rgb="FF000080"/>
      </top>
      <bottom style="medium">
        <color rgb="FF000080"/>
      </bottom>
      <diagonal/>
    </border>
    <border>
      <left style="thick">
        <color rgb="FF000080"/>
      </left>
      <right/>
      <top/>
      <bottom style="thick">
        <color rgb="FF000080"/>
      </bottom>
      <diagonal/>
    </border>
    <border>
      <left/>
      <right/>
      <top/>
      <bottom style="thick">
        <color rgb="FF000080"/>
      </bottom>
      <diagonal/>
    </border>
    <border>
      <left/>
      <right style="thick">
        <color rgb="FF000080"/>
      </right>
      <top/>
      <bottom style="thick">
        <color rgb="FF000080"/>
      </bottom>
      <diagonal/>
    </border>
    <border>
      <left style="medium">
        <color auto="1"/>
      </left>
      <right style="medium">
        <color auto="1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rgb="FF000000"/>
      </top>
      <bottom/>
      <diagonal/>
    </border>
    <border>
      <left/>
      <right style="medium">
        <color auto="1"/>
      </right>
      <top style="medium">
        <color rgb="FF000000"/>
      </top>
      <bottom/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rgb="FF000000"/>
      </left>
      <right/>
      <top style="medium">
        <color auto="1"/>
      </top>
      <bottom style="medium">
        <color auto="1"/>
      </bottom>
      <diagonal/>
    </border>
  </borders>
  <cellStyleXfs count="95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2" fillId="0" borderId="0"/>
    <xf numFmtId="0" fontId="3" fillId="0" borderId="0">
      <alignment horizontal="left" vertical="top"/>
    </xf>
    <xf numFmtId="0" fontId="4" fillId="0" borderId="0">
      <alignment horizontal="center" vertical="top"/>
    </xf>
    <xf numFmtId="0" fontId="5" fillId="0" borderId="0">
      <alignment horizontal="left" vertical="top"/>
    </xf>
    <xf numFmtId="0" fontId="6" fillId="0" borderId="0">
      <alignment horizontal="left" vertical="center"/>
    </xf>
    <xf numFmtId="0" fontId="6" fillId="0" borderId="0">
      <alignment horizontal="left" vertical="center"/>
    </xf>
    <xf numFmtId="0" fontId="6" fillId="0" borderId="0">
      <alignment horizontal="left" vertical="top"/>
    </xf>
    <xf numFmtId="0" fontId="6" fillId="0" borderId="0">
      <alignment horizontal="left" vertical="center"/>
    </xf>
    <xf numFmtId="0" fontId="7" fillId="0" borderId="0">
      <alignment horizontal="right" vertical="top"/>
    </xf>
    <xf numFmtId="0" fontId="7" fillId="0" borderId="0">
      <alignment horizontal="left" vertical="top"/>
    </xf>
    <xf numFmtId="0" fontId="7" fillId="0" borderId="0">
      <alignment horizontal="center" vertical="top"/>
    </xf>
    <xf numFmtId="0" fontId="7" fillId="0" borderId="0">
      <alignment horizontal="left" vertical="top"/>
    </xf>
    <xf numFmtId="0" fontId="7" fillId="0" borderId="0">
      <alignment horizontal="center" vertical="top"/>
    </xf>
    <xf numFmtId="0" fontId="6" fillId="0" borderId="0">
      <alignment horizontal="left" vertical="top"/>
    </xf>
    <xf numFmtId="0" fontId="8" fillId="0" borderId="0">
      <alignment horizontal="left" vertical="top"/>
    </xf>
    <xf numFmtId="0" fontId="8" fillId="0" borderId="0">
      <alignment horizontal="left" vertical="top"/>
    </xf>
    <xf numFmtId="0" fontId="8" fillId="0" borderId="0">
      <alignment horizontal="left" vertical="top"/>
    </xf>
    <xf numFmtId="0" fontId="6" fillId="0" borderId="0">
      <alignment horizontal="left" vertical="center"/>
    </xf>
    <xf numFmtId="0" fontId="6" fillId="0" borderId="0">
      <alignment horizontal="right" vertical="center"/>
    </xf>
    <xf numFmtId="0" fontId="8" fillId="0" borderId="0">
      <alignment horizontal="left" vertical="top"/>
    </xf>
    <xf numFmtId="0" fontId="8" fillId="0" borderId="0">
      <alignment horizontal="left" vertical="top"/>
    </xf>
    <xf numFmtId="0" fontId="8" fillId="0" borderId="0">
      <alignment horizontal="left" vertical="top"/>
    </xf>
    <xf numFmtId="0" fontId="6" fillId="0" borderId="0">
      <alignment horizontal="left" vertical="center"/>
    </xf>
    <xf numFmtId="0" fontId="6" fillId="0" borderId="0">
      <alignment horizontal="left" vertical="center"/>
    </xf>
    <xf numFmtId="0" fontId="6" fillId="0" borderId="0">
      <alignment horizontal="center" vertical="center"/>
    </xf>
    <xf numFmtId="0" fontId="6" fillId="0" borderId="0">
      <alignment horizontal="left" vertical="top"/>
    </xf>
    <xf numFmtId="0" fontId="6" fillId="0" borderId="0">
      <alignment horizontal="left" vertical="center"/>
    </xf>
    <xf numFmtId="0" fontId="6" fillId="0" borderId="0">
      <alignment horizontal="left" vertical="center"/>
    </xf>
    <xf numFmtId="0" fontId="6" fillId="0" borderId="0">
      <alignment horizontal="left" vertical="top"/>
    </xf>
    <xf numFmtId="0" fontId="8" fillId="0" borderId="0">
      <alignment horizontal="left" vertical="top"/>
    </xf>
    <xf numFmtId="0" fontId="8" fillId="0" borderId="0">
      <alignment horizontal="left" vertical="top"/>
    </xf>
    <xf numFmtId="0" fontId="5" fillId="0" borderId="0">
      <alignment horizontal="left" vertical="top"/>
    </xf>
    <xf numFmtId="0" fontId="8" fillId="0" borderId="0">
      <alignment horizontal="left" vertical="top"/>
    </xf>
    <xf numFmtId="0" fontId="6" fillId="0" borderId="0">
      <alignment horizontal="left" vertical="center"/>
    </xf>
    <xf numFmtId="0" fontId="6" fillId="0" borderId="0">
      <alignment horizontal="right" vertical="center"/>
    </xf>
    <xf numFmtId="0" fontId="6" fillId="0" borderId="0">
      <alignment horizontal="left" vertical="center"/>
    </xf>
    <xf numFmtId="0" fontId="8" fillId="0" borderId="0">
      <alignment horizontal="left" vertical="top"/>
    </xf>
    <xf numFmtId="0" fontId="8" fillId="0" borderId="0">
      <alignment horizontal="left" vertical="top"/>
    </xf>
    <xf numFmtId="0" fontId="8" fillId="0" borderId="0">
      <alignment horizontal="left" vertical="top"/>
    </xf>
    <xf numFmtId="0" fontId="6" fillId="0" borderId="0">
      <alignment horizontal="right" vertical="center"/>
    </xf>
    <xf numFmtId="0" fontId="5" fillId="0" borderId="0">
      <alignment horizontal="left" vertical="top"/>
    </xf>
    <xf numFmtId="0" fontId="6" fillId="0" borderId="0">
      <alignment horizontal="right" vertical="center"/>
    </xf>
    <xf numFmtId="0" fontId="6" fillId="0" borderId="0">
      <alignment horizontal="left" vertical="center"/>
    </xf>
    <xf numFmtId="0" fontId="8" fillId="0" borderId="0">
      <alignment horizontal="left" vertical="top"/>
    </xf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9" fillId="7" borderId="1" applyNumberFormat="0" applyAlignment="0" applyProtection="0"/>
    <xf numFmtId="0" fontId="10" fillId="20" borderId="2" applyNumberFormat="0" applyAlignment="0" applyProtection="0"/>
    <xf numFmtId="0" fontId="11" fillId="20" borderId="1" applyNumberFormat="0" applyAlignment="0" applyProtection="0"/>
    <xf numFmtId="0" fontId="162" fillId="0" borderId="0" applyNumberFormat="0" applyFill="0" applyBorder="0" applyAlignment="0" applyProtection="0">
      <alignment vertical="top"/>
      <protection locked="0"/>
    </xf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21" borderId="7" applyNumberFormat="0" applyAlignment="0" applyProtection="0"/>
    <xf numFmtId="0" fontId="18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163" fillId="0" borderId="0"/>
    <xf numFmtId="0" fontId="163" fillId="0" borderId="0"/>
    <xf numFmtId="0" fontId="163" fillId="0" borderId="0"/>
    <xf numFmtId="0" fontId="163" fillId="0" borderId="0"/>
    <xf numFmtId="0" fontId="38" fillId="0" borderId="0"/>
    <xf numFmtId="0" fontId="12" fillId="0" borderId="0"/>
    <xf numFmtId="0" fontId="12" fillId="0" borderId="0"/>
    <xf numFmtId="0" fontId="12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23" borderId="8" applyNumberFormat="0" applyFont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5" fillId="4" borderId="0" applyNumberFormat="0" applyBorder="0" applyAlignment="0" applyProtection="0"/>
  </cellStyleXfs>
  <cellXfs count="3313">
    <xf numFmtId="0" fontId="0" fillId="0" borderId="0" xfId="0"/>
    <xf numFmtId="0" fontId="29" fillId="0" borderId="10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left" vertical="center" wrapText="1"/>
    </xf>
    <xf numFmtId="0" fontId="32" fillId="0" borderId="0" xfId="0" applyFont="1"/>
    <xf numFmtId="2" fontId="35" fillId="24" borderId="0" xfId="0" applyNumberFormat="1" applyFont="1" applyFill="1" applyAlignment="1">
      <alignment horizontal="center"/>
    </xf>
    <xf numFmtId="49" fontId="36" fillId="24" borderId="10" xfId="0" applyNumberFormat="1" applyFont="1" applyFill="1" applyBorder="1" applyAlignment="1">
      <alignment horizontal="center"/>
    </xf>
    <xf numFmtId="49" fontId="36" fillId="24" borderId="11" xfId="0" applyNumberFormat="1" applyFont="1" applyFill="1" applyBorder="1" applyAlignment="1">
      <alignment horizontal="center"/>
    </xf>
    <xf numFmtId="49" fontId="36" fillId="0" borderId="11" xfId="0" applyNumberFormat="1" applyFont="1" applyFill="1" applyBorder="1" applyAlignment="1">
      <alignment horizontal="center"/>
    </xf>
    <xf numFmtId="0" fontId="37" fillId="0" borderId="10" xfId="0" applyFont="1" applyBorder="1"/>
    <xf numFmtId="49" fontId="37" fillId="0" borderId="10" xfId="0" applyNumberFormat="1" applyFont="1" applyBorder="1" applyAlignment="1">
      <alignment horizontal="center"/>
    </xf>
    <xf numFmtId="49" fontId="38" fillId="0" borderId="10" xfId="0" applyNumberFormat="1" applyFont="1" applyBorder="1" applyAlignment="1">
      <alignment horizontal="center"/>
    </xf>
    <xf numFmtId="0" fontId="39" fillId="0" borderId="10" xfId="0" applyFont="1" applyFill="1" applyBorder="1"/>
    <xf numFmtId="49" fontId="40" fillId="0" borderId="11" xfId="0" applyNumberFormat="1" applyFont="1" applyBorder="1" applyAlignment="1">
      <alignment horizontal="center"/>
    </xf>
    <xf numFmtId="2" fontId="38" fillId="0" borderId="0" xfId="0" applyNumberFormat="1" applyFont="1" applyAlignment="1">
      <alignment horizontal="center"/>
    </xf>
    <xf numFmtId="2" fontId="38" fillId="0" borderId="0" xfId="0" applyNumberFormat="1" applyFont="1" applyFill="1" applyAlignment="1">
      <alignment horizontal="center"/>
    </xf>
    <xf numFmtId="0" fontId="38" fillId="0" borderId="10" xfId="0" applyFont="1" applyFill="1" applyBorder="1"/>
    <xf numFmtId="49" fontId="38" fillId="0" borderId="10" xfId="0" applyNumberFormat="1" applyFont="1" applyFill="1" applyBorder="1" applyAlignment="1">
      <alignment horizontal="center"/>
    </xf>
    <xf numFmtId="49" fontId="34" fillId="0" borderId="11" xfId="0" applyNumberFormat="1" applyFont="1" applyFill="1" applyBorder="1" applyAlignment="1">
      <alignment horizontal="center"/>
    </xf>
    <xf numFmtId="0" fontId="37" fillId="0" borderId="10" xfId="0" applyFont="1" applyFill="1" applyBorder="1"/>
    <xf numFmtId="49" fontId="37" fillId="0" borderId="10" xfId="0" applyNumberFormat="1" applyFont="1" applyFill="1" applyBorder="1" applyAlignment="1">
      <alignment horizontal="center"/>
    </xf>
    <xf numFmtId="49" fontId="36" fillId="0" borderId="10" xfId="0" applyNumberFormat="1" applyFont="1" applyFill="1" applyBorder="1" applyAlignment="1">
      <alignment horizontal="center"/>
    </xf>
    <xf numFmtId="49" fontId="40" fillId="0" borderId="11" xfId="0" applyNumberFormat="1" applyFont="1" applyFill="1" applyBorder="1" applyAlignment="1">
      <alignment horizontal="center"/>
    </xf>
    <xf numFmtId="2" fontId="0" fillId="0" borderId="0" xfId="0" applyNumberFormat="1"/>
    <xf numFmtId="0" fontId="0" fillId="0" borderId="0" xfId="0" applyFill="1"/>
    <xf numFmtId="0" fontId="37" fillId="24" borderId="10" xfId="0" applyFont="1" applyFill="1" applyBorder="1"/>
    <xf numFmtId="49" fontId="38" fillId="24" borderId="10" xfId="0" applyNumberFormat="1" applyFont="1" applyFill="1" applyBorder="1" applyAlignment="1">
      <alignment horizontal="center"/>
    </xf>
    <xf numFmtId="49" fontId="37" fillId="24" borderId="10" xfId="0" applyNumberFormat="1" applyFont="1" applyFill="1" applyBorder="1" applyAlignment="1">
      <alignment horizontal="center"/>
    </xf>
    <xf numFmtId="49" fontId="40" fillId="24" borderId="11" xfId="0" applyNumberFormat="1" applyFont="1" applyFill="1" applyBorder="1" applyAlignment="1">
      <alignment horizontal="center"/>
    </xf>
    <xf numFmtId="166" fontId="0" fillId="0" borderId="0" xfId="0" applyNumberFormat="1"/>
    <xf numFmtId="0" fontId="37" fillId="25" borderId="10" xfId="0" applyFont="1" applyFill="1" applyBorder="1"/>
    <xf numFmtId="49" fontId="37" fillId="25" borderId="10" xfId="0" applyNumberFormat="1" applyFont="1" applyFill="1" applyBorder="1" applyAlignment="1">
      <alignment horizontal="center"/>
    </xf>
    <xf numFmtId="49" fontId="40" fillId="25" borderId="11" xfId="0" applyNumberFormat="1" applyFont="1" applyFill="1" applyBorder="1" applyAlignment="1">
      <alignment horizontal="center"/>
    </xf>
    <xf numFmtId="166" fontId="40" fillId="0" borderId="10" xfId="0" applyNumberFormat="1" applyFont="1" applyFill="1" applyBorder="1" applyAlignment="1">
      <alignment horizontal="center"/>
    </xf>
    <xf numFmtId="0" fontId="38" fillId="0" borderId="0" xfId="0" applyFont="1" applyFill="1"/>
    <xf numFmtId="49" fontId="38" fillId="0" borderId="0" xfId="0" applyNumberFormat="1" applyFont="1" applyFill="1" applyAlignment="1">
      <alignment horizontal="center"/>
    </xf>
    <xf numFmtId="2" fontId="34" fillId="0" borderId="0" xfId="0" applyNumberFormat="1" applyFont="1" applyFill="1" applyAlignment="1">
      <alignment horizontal="center"/>
    </xf>
    <xf numFmtId="2" fontId="35" fillId="0" borderId="0" xfId="0" applyNumberFormat="1" applyFont="1" applyFill="1" applyAlignment="1">
      <alignment horizontal="center"/>
    </xf>
    <xf numFmtId="0" fontId="36" fillId="0" borderId="0" xfId="0" applyFont="1" applyFill="1" applyAlignment="1">
      <alignment horizontal="center"/>
    </xf>
    <xf numFmtId="2" fontId="27" fillId="0" borderId="0" xfId="0" applyNumberFormat="1" applyFont="1" applyFill="1" applyAlignment="1">
      <alignment horizontal="center"/>
    </xf>
    <xf numFmtId="2" fontId="34" fillId="24" borderId="0" xfId="0" applyNumberFormat="1" applyFont="1" applyFill="1" applyAlignment="1">
      <alignment horizontal="center"/>
    </xf>
    <xf numFmtId="0" fontId="36" fillId="0" borderId="0" xfId="0" applyFont="1" applyAlignment="1">
      <alignment horizontal="center"/>
    </xf>
    <xf numFmtId="0" fontId="38" fillId="0" borderId="0" xfId="0" applyFont="1"/>
    <xf numFmtId="2" fontId="38" fillId="26" borderId="0" xfId="0" applyNumberFormat="1" applyFont="1" applyFill="1" applyAlignment="1">
      <alignment horizontal="center"/>
    </xf>
    <xf numFmtId="2" fontId="34" fillId="26" borderId="0" xfId="0" applyNumberFormat="1" applyFont="1" applyFill="1" applyAlignment="1">
      <alignment horizontal="center"/>
    </xf>
    <xf numFmtId="2" fontId="35" fillId="26" borderId="0" xfId="0" applyNumberFormat="1" applyFont="1" applyFill="1" applyAlignment="1">
      <alignment horizontal="center"/>
    </xf>
    <xf numFmtId="0" fontId="36" fillId="26" borderId="0" xfId="0" applyFont="1" applyFill="1" applyAlignment="1">
      <alignment horizontal="center"/>
    </xf>
    <xf numFmtId="0" fontId="0" fillId="26" borderId="0" xfId="0" applyFill="1"/>
    <xf numFmtId="49" fontId="38" fillId="0" borderId="0" xfId="0" applyNumberFormat="1" applyFont="1" applyAlignment="1">
      <alignment horizontal="center"/>
    </xf>
    <xf numFmtId="0" fontId="36" fillId="0" borderId="10" xfId="0" applyFont="1" applyFill="1" applyBorder="1"/>
    <xf numFmtId="166" fontId="34" fillId="0" borderId="10" xfId="0" applyNumberFormat="1" applyFont="1" applyFill="1" applyBorder="1" applyAlignment="1">
      <alignment horizontal="center"/>
    </xf>
    <xf numFmtId="166" fontId="35" fillId="0" borderId="10" xfId="0" applyNumberFormat="1" applyFont="1" applyFill="1" applyBorder="1" applyAlignment="1">
      <alignment horizontal="center"/>
    </xf>
    <xf numFmtId="0" fontId="37" fillId="27" borderId="10" xfId="0" applyFont="1" applyFill="1" applyBorder="1"/>
    <xf numFmtId="166" fontId="34" fillId="27" borderId="10" xfId="0" applyNumberFormat="1" applyFont="1" applyFill="1" applyBorder="1" applyAlignment="1">
      <alignment horizontal="center"/>
    </xf>
    <xf numFmtId="0" fontId="38" fillId="27" borderId="10" xfId="0" applyFont="1" applyFill="1" applyBorder="1"/>
    <xf numFmtId="49" fontId="38" fillId="27" borderId="10" xfId="0" applyNumberFormat="1" applyFont="1" applyFill="1" applyBorder="1" applyAlignment="1">
      <alignment horizontal="center"/>
    </xf>
    <xf numFmtId="0" fontId="36" fillId="27" borderId="10" xfId="0" applyFont="1" applyFill="1" applyBorder="1"/>
    <xf numFmtId="166" fontId="35" fillId="27" borderId="10" xfId="0" applyNumberFormat="1" applyFont="1" applyFill="1" applyBorder="1" applyAlignment="1">
      <alignment horizontal="center"/>
    </xf>
    <xf numFmtId="166" fontId="40" fillId="27" borderId="10" xfId="0" applyNumberFormat="1" applyFont="1" applyFill="1" applyBorder="1" applyAlignment="1">
      <alignment horizontal="center"/>
    </xf>
    <xf numFmtId="0" fontId="38" fillId="25" borderId="10" xfId="0" applyFont="1" applyFill="1" applyBorder="1"/>
    <xf numFmtId="49" fontId="38" fillId="25" borderId="10" xfId="0" applyNumberFormat="1" applyFont="1" applyFill="1" applyBorder="1" applyAlignment="1">
      <alignment horizontal="center"/>
    </xf>
    <xf numFmtId="166" fontId="40" fillId="25" borderId="10" xfId="0" applyNumberFormat="1" applyFont="1" applyFill="1" applyBorder="1" applyAlignment="1">
      <alignment horizontal="center"/>
    </xf>
    <xf numFmtId="166" fontId="34" fillId="25" borderId="10" xfId="0" applyNumberFormat="1" applyFont="1" applyFill="1" applyBorder="1" applyAlignment="1">
      <alignment horizontal="center"/>
    </xf>
    <xf numFmtId="49" fontId="37" fillId="27" borderId="10" xfId="0" applyNumberFormat="1" applyFont="1" applyFill="1" applyBorder="1" applyAlignment="1">
      <alignment horizontal="center"/>
    </xf>
    <xf numFmtId="49" fontId="37" fillId="27" borderId="11" xfId="0" applyNumberFormat="1" applyFont="1" applyFill="1" applyBorder="1" applyAlignment="1">
      <alignment horizontal="center"/>
    </xf>
    <xf numFmtId="49" fontId="34" fillId="27" borderId="11" xfId="0" applyNumberFormat="1" applyFont="1" applyFill="1" applyBorder="1" applyAlignment="1">
      <alignment horizontal="center"/>
    </xf>
    <xf numFmtId="49" fontId="36" fillId="27" borderId="10" xfId="0" applyNumberFormat="1" applyFont="1" applyFill="1" applyBorder="1" applyAlignment="1">
      <alignment horizontal="center"/>
    </xf>
    <xf numFmtId="49" fontId="40" fillId="27" borderId="11" xfId="0" applyNumberFormat="1" applyFont="1" applyFill="1" applyBorder="1" applyAlignment="1">
      <alignment horizontal="center"/>
    </xf>
    <xf numFmtId="49" fontId="35" fillId="0" borderId="11" xfId="0" applyNumberFormat="1" applyFont="1" applyFill="1" applyBorder="1" applyAlignment="1">
      <alignment horizontal="center"/>
    </xf>
    <xf numFmtId="0" fontId="39" fillId="27" borderId="10" xfId="0" applyFont="1" applyFill="1" applyBorder="1"/>
    <xf numFmtId="49" fontId="35" fillId="27" borderId="11" xfId="0" applyNumberFormat="1" applyFont="1" applyFill="1" applyBorder="1" applyAlignment="1">
      <alignment horizontal="center"/>
    </xf>
    <xf numFmtId="0" fontId="36" fillId="24" borderId="10" xfId="0" applyFont="1" applyFill="1" applyBorder="1"/>
    <xf numFmtId="49" fontId="34" fillId="25" borderId="11" xfId="0" applyNumberFormat="1" applyFont="1" applyFill="1" applyBorder="1" applyAlignment="1">
      <alignment horizontal="center"/>
    </xf>
    <xf numFmtId="0" fontId="39" fillId="25" borderId="10" xfId="0" applyFont="1" applyFill="1" applyBorder="1"/>
    <xf numFmtId="0" fontId="43" fillId="0" borderId="10" xfId="0" applyFont="1" applyFill="1" applyBorder="1" applyAlignment="1">
      <alignment horizontal="center"/>
    </xf>
    <xf numFmtId="49" fontId="38" fillId="0" borderId="12" xfId="0" applyNumberFormat="1" applyFont="1" applyFill="1" applyBorder="1" applyAlignment="1">
      <alignment horizontal="center"/>
    </xf>
    <xf numFmtId="0" fontId="44" fillId="0" borderId="10" xfId="0" applyFont="1" applyFill="1" applyBorder="1" applyAlignment="1">
      <alignment horizontal="center"/>
    </xf>
    <xf numFmtId="49" fontId="36" fillId="0" borderId="12" xfId="0" applyNumberFormat="1" applyFont="1" applyFill="1" applyBorder="1" applyAlignment="1">
      <alignment horizontal="center"/>
    </xf>
    <xf numFmtId="49" fontId="36" fillId="27" borderId="13" xfId="0" applyNumberFormat="1" applyFont="1" applyFill="1" applyBorder="1" applyAlignment="1">
      <alignment horizontal="center"/>
    </xf>
    <xf numFmtId="0" fontId="37" fillId="0" borderId="10" xfId="0" applyFont="1" applyFill="1" applyBorder="1" applyAlignment="1">
      <alignment vertical="center" wrapText="1"/>
    </xf>
    <xf numFmtId="49" fontId="37" fillId="0" borderId="10" xfId="0" applyNumberFormat="1" applyFont="1" applyFill="1" applyBorder="1" applyAlignment="1">
      <alignment horizontal="center" vertical="center"/>
    </xf>
    <xf numFmtId="49" fontId="40" fillId="0" borderId="11" xfId="0" applyNumberFormat="1" applyFont="1" applyFill="1" applyBorder="1" applyAlignment="1">
      <alignment horizontal="center" vertical="center"/>
    </xf>
    <xf numFmtId="49" fontId="38" fillId="0" borderId="10" xfId="0" applyNumberFormat="1" applyFont="1" applyFill="1" applyBorder="1" applyAlignment="1">
      <alignment horizontal="center" vertical="center" wrapText="1"/>
    </xf>
    <xf numFmtId="0" fontId="33" fillId="27" borderId="10" xfId="0" applyFont="1" applyFill="1" applyBorder="1"/>
    <xf numFmtId="2" fontId="37" fillId="0" borderId="10" xfId="0" applyNumberFormat="1" applyFont="1" applyFill="1" applyBorder="1"/>
    <xf numFmtId="166" fontId="37" fillId="27" borderId="10" xfId="0" applyNumberFormat="1" applyFont="1" applyFill="1" applyBorder="1" applyAlignment="1">
      <alignment horizontal="center"/>
    </xf>
    <xf numFmtId="166" fontId="41" fillId="0" borderId="10" xfId="0" applyNumberFormat="1" applyFont="1" applyFill="1" applyBorder="1" applyAlignment="1">
      <alignment horizontal="center"/>
    </xf>
    <xf numFmtId="166" fontId="42" fillId="0" borderId="10" xfId="0" applyNumberFormat="1" applyFont="1" applyFill="1" applyBorder="1" applyAlignment="1">
      <alignment horizontal="center"/>
    </xf>
    <xf numFmtId="166" fontId="41" fillId="27" borderId="11" xfId="0" applyNumberFormat="1" applyFont="1" applyFill="1" applyBorder="1" applyAlignment="1">
      <alignment horizontal="center"/>
    </xf>
    <xf numFmtId="166" fontId="35" fillId="27" borderId="11" xfId="0" applyNumberFormat="1" applyFont="1" applyFill="1" applyBorder="1" applyAlignment="1">
      <alignment horizontal="center"/>
    </xf>
    <xf numFmtId="166" fontId="41" fillId="0" borderId="11" xfId="0" applyNumberFormat="1" applyFont="1" applyFill="1" applyBorder="1" applyAlignment="1">
      <alignment horizontal="center"/>
    </xf>
    <xf numFmtId="166" fontId="41" fillId="27" borderId="10" xfId="0" applyNumberFormat="1" applyFont="1" applyFill="1" applyBorder="1" applyAlignment="1">
      <alignment horizontal="center"/>
    </xf>
    <xf numFmtId="49" fontId="39" fillId="0" borderId="10" xfId="0" applyNumberFormat="1" applyFont="1" applyFill="1" applyBorder="1" applyAlignment="1">
      <alignment horizontal="center"/>
    </xf>
    <xf numFmtId="166" fontId="40" fillId="28" borderId="10" xfId="0" applyNumberFormat="1" applyFont="1" applyFill="1" applyBorder="1" applyAlignment="1">
      <alignment horizontal="center"/>
    </xf>
    <xf numFmtId="166" fontId="46" fillId="0" borderId="10" xfId="0" applyNumberFormat="1" applyFont="1" applyFill="1" applyBorder="1" applyAlignment="1">
      <alignment horizontal="center"/>
    </xf>
    <xf numFmtId="166" fontId="47" fillId="27" borderId="10" xfId="0" applyNumberFormat="1" applyFont="1" applyFill="1" applyBorder="1" applyAlignment="1">
      <alignment horizontal="center"/>
    </xf>
    <xf numFmtId="166" fontId="46" fillId="27" borderId="10" xfId="0" applyNumberFormat="1" applyFont="1" applyFill="1" applyBorder="1" applyAlignment="1">
      <alignment horizontal="center"/>
    </xf>
    <xf numFmtId="166" fontId="47" fillId="24" borderId="10" xfId="0" applyNumberFormat="1" applyFont="1" applyFill="1" applyBorder="1" applyAlignment="1">
      <alignment horizontal="center"/>
    </xf>
    <xf numFmtId="49" fontId="37" fillId="27" borderId="10" xfId="0" applyNumberFormat="1" applyFont="1" applyFill="1" applyBorder="1" applyAlignment="1">
      <alignment wrapText="1"/>
    </xf>
    <xf numFmtId="166" fontId="38" fillId="0" borderId="0" xfId="0" applyNumberFormat="1" applyFont="1" applyFill="1" applyAlignment="1">
      <alignment horizontal="center"/>
    </xf>
    <xf numFmtId="166" fontId="0" fillId="0" borderId="0" xfId="0" applyNumberFormat="1" applyFill="1" applyAlignment="1">
      <alignment horizontal="center"/>
    </xf>
    <xf numFmtId="166" fontId="27" fillId="0" borderId="0" xfId="0" applyNumberFormat="1" applyFont="1" applyFill="1" applyAlignment="1">
      <alignment horizontal="center"/>
    </xf>
    <xf numFmtId="166" fontId="38" fillId="24" borderId="0" xfId="0" applyNumberFormat="1" applyFont="1" applyFill="1" applyAlignment="1">
      <alignment horizontal="center"/>
    </xf>
    <xf numFmtId="0" fontId="164" fillId="0" borderId="10" xfId="0" applyFont="1" applyBorder="1" applyAlignment="1">
      <alignment wrapText="1"/>
    </xf>
    <xf numFmtId="0" fontId="12" fillId="0" borderId="0" xfId="0" applyFont="1" applyFill="1" applyAlignment="1">
      <alignment wrapText="1"/>
    </xf>
    <xf numFmtId="0" fontId="26" fillId="0" borderId="0" xfId="0" applyFont="1" applyAlignment="1">
      <alignment horizontal="right"/>
    </xf>
    <xf numFmtId="0" fontId="12" fillId="0" borderId="0" xfId="0" applyFont="1" applyFill="1"/>
    <xf numFmtId="0" fontId="28" fillId="0" borderId="0" xfId="0" applyFont="1" applyFill="1" applyAlignment="1">
      <alignment wrapText="1"/>
    </xf>
    <xf numFmtId="0" fontId="51" fillId="37" borderId="10" xfId="0" applyNumberFormat="1" applyFont="1" applyFill="1" applyBorder="1" applyAlignment="1">
      <alignment horizontal="center" vertical="center" wrapText="1"/>
    </xf>
    <xf numFmtId="0" fontId="51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50" fillId="0" borderId="0" xfId="0" applyFont="1" applyFill="1" applyAlignment="1">
      <alignment horizontal="center" vertical="center" wrapText="1"/>
    </xf>
    <xf numFmtId="165" fontId="28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12" fillId="24" borderId="0" xfId="0" applyFont="1" applyFill="1" applyAlignment="1">
      <alignment horizontal="center" vertical="center" wrapText="1"/>
    </xf>
    <xf numFmtId="0" fontId="56" fillId="0" borderId="10" xfId="0" applyNumberFormat="1" applyFont="1" applyFill="1" applyBorder="1" applyAlignment="1">
      <alignment horizontal="left" vertical="center" wrapText="1"/>
    </xf>
    <xf numFmtId="0" fontId="65" fillId="0" borderId="0" xfId="0" applyFont="1" applyFill="1"/>
    <xf numFmtId="0" fontId="65" fillId="0" borderId="10" xfId="0" applyFont="1" applyFill="1" applyBorder="1" applyAlignment="1">
      <alignment horizontal="left" vertical="center" wrapText="1"/>
    </xf>
    <xf numFmtId="165" fontId="64" fillId="0" borderId="10" xfId="0" applyNumberFormat="1" applyFont="1" applyFill="1" applyBorder="1" applyAlignment="1">
      <alignment horizontal="center" vertical="center" wrapText="1"/>
    </xf>
    <xf numFmtId="4" fontId="63" fillId="0" borderId="10" xfId="0" applyNumberFormat="1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right"/>
    </xf>
    <xf numFmtId="0" fontId="51" fillId="0" borderId="0" xfId="0" applyNumberFormat="1" applyFont="1" applyFill="1" applyBorder="1" applyAlignment="1">
      <alignment horizontal="center" vertical="center" wrapText="1"/>
    </xf>
    <xf numFmtId="165" fontId="28" fillId="38" borderId="0" xfId="0" applyNumberFormat="1" applyFont="1" applyFill="1" applyBorder="1" applyAlignment="1">
      <alignment horizontal="center" vertical="center" wrapText="1"/>
    </xf>
    <xf numFmtId="0" fontId="12" fillId="24" borderId="0" xfId="0" applyFont="1" applyFill="1" applyBorder="1" applyAlignment="1">
      <alignment horizontal="center" vertical="center" wrapText="1"/>
    </xf>
    <xf numFmtId="0" fontId="68" fillId="0" borderId="0" xfId="0" applyFont="1" applyFill="1"/>
    <xf numFmtId="0" fontId="69" fillId="0" borderId="0" xfId="87" applyFont="1" applyFill="1" applyAlignment="1">
      <alignment horizontal="left" wrapText="1"/>
    </xf>
    <xf numFmtId="0" fontId="69" fillId="0" borderId="0" xfId="87" applyFont="1" applyFill="1" applyAlignment="1">
      <alignment wrapText="1"/>
    </xf>
    <xf numFmtId="0" fontId="69" fillId="0" borderId="0" xfId="87" applyFont="1" applyFill="1" applyAlignment="1">
      <alignment horizontal="left"/>
    </xf>
    <xf numFmtId="0" fontId="69" fillId="0" borderId="0" xfId="87" applyFont="1" applyFill="1"/>
    <xf numFmtId="0" fontId="68" fillId="39" borderId="0" xfId="0" applyFont="1" applyFill="1"/>
    <xf numFmtId="0" fontId="73" fillId="0" borderId="0" xfId="0" applyFont="1" applyFill="1" applyAlignment="1">
      <alignment horizontal="center" vertical="center" wrapText="1"/>
    </xf>
    <xf numFmtId="0" fontId="73" fillId="30" borderId="0" xfId="0" applyFont="1" applyFill="1" applyAlignment="1">
      <alignment horizontal="center" vertical="center" wrapText="1"/>
    </xf>
    <xf numFmtId="0" fontId="74" fillId="0" borderId="0" xfId="0" applyFont="1" applyFill="1" applyAlignment="1">
      <alignment horizontal="center" vertical="center" wrapText="1"/>
    </xf>
    <xf numFmtId="0" fontId="74" fillId="40" borderId="0" xfId="0" applyFont="1" applyFill="1" applyAlignment="1">
      <alignment horizontal="center" vertical="center" wrapText="1"/>
    </xf>
    <xf numFmtId="0" fontId="75" fillId="0" borderId="10" xfId="0" applyFont="1" applyFill="1" applyBorder="1" applyAlignment="1">
      <alignment horizontal="center" vertical="center" wrapText="1"/>
    </xf>
    <xf numFmtId="0" fontId="72" fillId="0" borderId="10" xfId="0" applyFont="1" applyFill="1" applyBorder="1" applyAlignment="1">
      <alignment horizontal="left" vertical="center" wrapText="1"/>
    </xf>
    <xf numFmtId="0" fontId="75" fillId="0" borderId="0" xfId="0" applyFont="1" applyFill="1" applyAlignment="1">
      <alignment horizontal="center" vertical="center" wrapText="1"/>
    </xf>
    <xf numFmtId="0" fontId="71" fillId="0" borderId="10" xfId="0" applyFont="1" applyFill="1" applyBorder="1" applyAlignment="1">
      <alignment horizontal="center" vertical="center" wrapText="1"/>
    </xf>
    <xf numFmtId="0" fontId="71" fillId="0" borderId="10" xfId="88" applyFont="1" applyFill="1" applyBorder="1" applyAlignment="1">
      <alignment horizontal="left" vertical="top" wrapText="1"/>
    </xf>
    <xf numFmtId="0" fontId="71" fillId="0" borderId="0" xfId="0" applyFont="1" applyFill="1" applyAlignment="1">
      <alignment horizontal="center" vertical="center" wrapText="1"/>
    </xf>
    <xf numFmtId="0" fontId="76" fillId="0" borderId="10" xfId="88" applyFont="1" applyFill="1" applyBorder="1" applyAlignment="1">
      <alignment horizontal="left" vertical="top" wrapText="1"/>
    </xf>
    <xf numFmtId="0" fontId="77" fillId="0" borderId="10" xfId="88" applyFont="1" applyFill="1" applyBorder="1" applyAlignment="1">
      <alignment horizontal="left" vertical="top" wrapText="1"/>
    </xf>
    <xf numFmtId="0" fontId="69" fillId="0" borderId="10" xfId="0" applyFont="1" applyFill="1" applyBorder="1" applyAlignment="1">
      <alignment horizontal="left" vertical="center" wrapText="1"/>
    </xf>
    <xf numFmtId="0" fontId="71" fillId="0" borderId="10" xfId="0" applyFont="1" applyFill="1" applyBorder="1" applyAlignment="1">
      <alignment horizontal="left" vertical="center" wrapText="1"/>
    </xf>
    <xf numFmtId="0" fontId="75" fillId="0" borderId="10" xfId="88" applyFont="1" applyFill="1" applyBorder="1" applyAlignment="1">
      <alignment horizontal="left" vertical="top" wrapText="1" indent="2"/>
    </xf>
    <xf numFmtId="0" fontId="76" fillId="0" borderId="10" xfId="0" applyFont="1" applyFill="1" applyBorder="1" applyAlignment="1">
      <alignment horizontal="center" vertical="center" wrapText="1"/>
    </xf>
    <xf numFmtId="0" fontId="76" fillId="0" borderId="10" xfId="88" applyFont="1" applyFill="1" applyBorder="1" applyAlignment="1">
      <alignment horizontal="left" vertical="top" wrapText="1" indent="2"/>
    </xf>
    <xf numFmtId="0" fontId="76" fillId="0" borderId="0" xfId="0" applyFont="1" applyFill="1" applyAlignment="1">
      <alignment horizontal="center" vertical="center" wrapText="1"/>
    </xf>
    <xf numFmtId="16" fontId="72" fillId="0" borderId="10" xfId="0" applyNumberFormat="1" applyFont="1" applyFill="1" applyBorder="1" applyAlignment="1">
      <alignment horizontal="center" vertical="center" wrapText="1"/>
    </xf>
    <xf numFmtId="0" fontId="77" fillId="0" borderId="10" xfId="88" applyFont="1" applyFill="1" applyBorder="1" applyAlignment="1">
      <alignment horizontal="left" vertical="top" wrapText="1" indent="2"/>
    </xf>
    <xf numFmtId="0" fontId="77" fillId="0" borderId="0" xfId="0" applyFont="1" applyFill="1" applyAlignment="1">
      <alignment horizontal="center" vertical="center" wrapText="1"/>
    </xf>
    <xf numFmtId="0" fontId="77" fillId="32" borderId="0" xfId="0" applyFont="1" applyFill="1" applyAlignment="1">
      <alignment horizontal="center" vertical="center" wrapText="1"/>
    </xf>
    <xf numFmtId="0" fontId="68" fillId="0" borderId="0" xfId="0" applyFont="1" applyFill="1" applyAlignment="1">
      <alignment horizontal="left"/>
    </xf>
    <xf numFmtId="0" fontId="68" fillId="0" borderId="0" xfId="0" applyFont="1" applyFill="1" applyAlignment="1">
      <alignment horizontal="center" vertical="center" wrapText="1"/>
    </xf>
    <xf numFmtId="0" fontId="166" fillId="0" borderId="0" xfId="0" applyFont="1"/>
    <xf numFmtId="0" fontId="166" fillId="0" borderId="0" xfId="0" applyFont="1" applyAlignment="1">
      <alignment horizontal="center" vertical="center"/>
    </xf>
    <xf numFmtId="2" fontId="166" fillId="0" borderId="0" xfId="0" applyNumberFormat="1" applyFont="1"/>
    <xf numFmtId="0" fontId="166" fillId="0" borderId="10" xfId="0" applyFont="1" applyBorder="1" applyAlignment="1">
      <alignment horizontal="left" vertical="center" wrapText="1"/>
    </xf>
    <xf numFmtId="0" fontId="166" fillId="0" borderId="10" xfId="0" applyFont="1" applyBorder="1" applyAlignment="1">
      <alignment horizontal="center" vertical="center" wrapText="1"/>
    </xf>
    <xf numFmtId="0" fontId="166" fillId="0" borderId="10" xfId="0" applyFont="1" applyBorder="1" applyAlignment="1">
      <alignment wrapText="1"/>
    </xf>
    <xf numFmtId="0" fontId="166" fillId="0" borderId="10" xfId="0" applyFont="1" applyBorder="1" applyAlignment="1">
      <alignment vertical="top" wrapText="1"/>
    </xf>
    <xf numFmtId="0" fontId="167" fillId="0" borderId="0" xfId="0" applyFont="1"/>
    <xf numFmtId="0" fontId="166" fillId="0" borderId="10" xfId="0" applyFont="1" applyFill="1" applyBorder="1" applyAlignment="1">
      <alignment horizontal="center" vertical="center" wrapText="1"/>
    </xf>
    <xf numFmtId="0" fontId="166" fillId="0" borderId="10" xfId="0" applyFont="1" applyBorder="1"/>
    <xf numFmtId="0" fontId="168" fillId="0" borderId="16" xfId="0" applyFont="1" applyBorder="1" applyAlignment="1">
      <alignment horizontal="center"/>
    </xf>
    <xf numFmtId="0" fontId="167" fillId="0" borderId="15" xfId="0" applyFont="1" applyFill="1" applyBorder="1" applyAlignment="1">
      <alignment vertical="top" wrapText="1"/>
    </xf>
    <xf numFmtId="0" fontId="167" fillId="0" borderId="12" xfId="0" applyFont="1" applyFill="1" applyBorder="1" applyAlignment="1">
      <alignment vertical="top" wrapText="1"/>
    </xf>
    <xf numFmtId="0" fontId="166" fillId="0" borderId="10" xfId="0" applyFont="1" applyFill="1" applyBorder="1" applyAlignment="1">
      <alignment vertical="top" wrapText="1"/>
    </xf>
    <xf numFmtId="0" fontId="166" fillId="0" borderId="10" xfId="0" applyFont="1" applyFill="1" applyBorder="1" applyAlignment="1">
      <alignment wrapText="1"/>
    </xf>
    <xf numFmtId="0" fontId="83" fillId="0" borderId="0" xfId="0" applyNumberFormat="1" applyFont="1" applyFill="1" applyBorder="1" applyAlignment="1" applyProtection="1">
      <alignment horizontal="center" vertical="top" wrapText="1"/>
    </xf>
    <xf numFmtId="0" fontId="84" fillId="0" borderId="0" xfId="0" applyNumberFormat="1" applyFont="1" applyFill="1" applyBorder="1" applyAlignment="1" applyProtection="1">
      <alignment horizontal="left" vertical="top" wrapText="1"/>
    </xf>
    <xf numFmtId="0" fontId="83" fillId="0" borderId="0" xfId="0" applyNumberFormat="1" applyFont="1" applyFill="1" applyBorder="1" applyAlignment="1" applyProtection="1">
      <alignment vertical="center" wrapText="1"/>
    </xf>
    <xf numFmtId="0" fontId="84" fillId="0" borderId="0" xfId="0" applyNumberFormat="1" applyFont="1" applyFill="1" applyBorder="1" applyAlignment="1" applyProtection="1">
      <alignment horizontal="right" vertical="top" wrapText="1"/>
    </xf>
    <xf numFmtId="0" fontId="83" fillId="0" borderId="0" xfId="0" applyFont="1" applyFill="1" applyAlignment="1">
      <alignment horizontal="right"/>
    </xf>
    <xf numFmtId="0" fontId="84" fillId="0" borderId="0" xfId="0" applyFont="1" applyFill="1"/>
    <xf numFmtId="0" fontId="83" fillId="0" borderId="0" xfId="0" applyNumberFormat="1" applyFont="1" applyFill="1" applyBorder="1" applyAlignment="1" applyProtection="1">
      <alignment vertical="top"/>
    </xf>
    <xf numFmtId="0" fontId="84" fillId="0" borderId="0" xfId="0" applyNumberFormat="1" applyFont="1" applyFill="1" applyBorder="1" applyAlignment="1" applyProtection="1">
      <alignment horizontal="left" vertical="top"/>
    </xf>
    <xf numFmtId="0" fontId="84" fillId="0" borderId="0" xfId="0" applyNumberFormat="1" applyFont="1" applyFill="1" applyBorder="1" applyAlignment="1" applyProtection="1">
      <alignment vertical="top" wrapText="1"/>
    </xf>
    <xf numFmtId="0" fontId="83" fillId="0" borderId="0" xfId="0" applyNumberFormat="1" applyFont="1" applyFill="1" applyBorder="1" applyAlignment="1" applyProtection="1">
      <alignment vertical="top" wrapText="1"/>
    </xf>
    <xf numFmtId="0" fontId="83" fillId="0" borderId="0" xfId="0" applyNumberFormat="1" applyFont="1" applyFill="1" applyBorder="1" applyAlignment="1" applyProtection="1">
      <alignment horizontal="right" vertical="top" wrapText="1"/>
    </xf>
    <xf numFmtId="0" fontId="83" fillId="0" borderId="10" xfId="0" applyNumberFormat="1" applyFont="1" applyFill="1" applyBorder="1" applyAlignment="1" applyProtection="1">
      <alignment horizontal="center" vertical="center" wrapText="1"/>
    </xf>
    <xf numFmtId="0" fontId="83" fillId="0" borderId="17" xfId="0" applyNumberFormat="1" applyFont="1" applyFill="1" applyBorder="1" applyAlignment="1" applyProtection="1">
      <alignment horizontal="center" vertical="center" wrapText="1"/>
    </xf>
    <xf numFmtId="4" fontId="84" fillId="0" borderId="0" xfId="0" applyNumberFormat="1" applyFont="1" applyFill="1"/>
    <xf numFmtId="0" fontId="84" fillId="0" borderId="10" xfId="0" applyNumberFormat="1" applyFont="1" applyFill="1" applyBorder="1" applyAlignment="1" applyProtection="1">
      <alignment horizontal="left" vertical="center" wrapText="1"/>
    </xf>
    <xf numFmtId="0" fontId="84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4" fontId="84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2" fontId="84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0" fontId="84" fillId="37" borderId="0" xfId="86" applyFont="1" applyFill="1"/>
    <xf numFmtId="0" fontId="84" fillId="0" borderId="18" xfId="0" applyNumberFormat="1" applyFont="1" applyFill="1" applyBorder="1" applyAlignment="1" applyProtection="1">
      <alignment horizontal="left" vertical="center" wrapText="1" shrinkToFit="1"/>
      <protection locked="0"/>
    </xf>
    <xf numFmtId="0" fontId="84" fillId="0" borderId="18" xfId="0" applyNumberFormat="1" applyFont="1" applyFill="1" applyBorder="1" applyAlignment="1" applyProtection="1">
      <alignment vertical="center" wrapText="1" shrinkToFit="1"/>
      <protection locked="0"/>
    </xf>
    <xf numFmtId="0" fontId="84" fillId="0" borderId="18" xfId="0" applyNumberFormat="1" applyFont="1" applyFill="1" applyBorder="1" applyAlignment="1" applyProtection="1">
      <alignment horizontal="center" vertical="center" wrapText="1" shrinkToFit="1"/>
      <protection locked="0"/>
    </xf>
    <xf numFmtId="0" fontId="84" fillId="37" borderId="0" xfId="19" applyFont="1" applyFill="1"/>
    <xf numFmtId="0" fontId="84" fillId="0" borderId="19" xfId="0" applyNumberFormat="1" applyFont="1" applyFill="1" applyBorder="1" applyAlignment="1" applyProtection="1">
      <alignment horizontal="left" vertical="center" wrapText="1" shrinkToFit="1"/>
      <protection locked="0"/>
    </xf>
    <xf numFmtId="0" fontId="84" fillId="0" borderId="19" xfId="0" applyNumberFormat="1" applyFont="1" applyFill="1" applyBorder="1" applyAlignment="1" applyProtection="1">
      <alignment vertical="center" wrapText="1" shrinkToFit="1"/>
      <protection locked="0"/>
    </xf>
    <xf numFmtId="0" fontId="84" fillId="0" borderId="19" xfId="0" applyNumberFormat="1" applyFont="1" applyFill="1" applyBorder="1" applyAlignment="1" applyProtection="1">
      <alignment horizontal="center" vertical="center" wrapText="1" shrinkToFit="1"/>
      <protection locked="0"/>
    </xf>
    <xf numFmtId="0" fontId="84" fillId="0" borderId="20" xfId="0" applyNumberFormat="1" applyFont="1" applyFill="1" applyBorder="1" applyAlignment="1" applyProtection="1">
      <alignment horizontal="left" vertical="center" wrapText="1" shrinkToFit="1"/>
      <protection locked="0"/>
    </xf>
    <xf numFmtId="0" fontId="84" fillId="0" borderId="14" xfId="0" applyNumberFormat="1" applyFont="1" applyFill="1" applyBorder="1" applyAlignment="1" applyProtection="1">
      <alignment horizontal="left" vertical="center" wrapText="1" shrinkToFit="1"/>
      <protection locked="0"/>
    </xf>
    <xf numFmtId="0" fontId="84" fillId="0" borderId="18" xfId="0" applyFont="1" applyFill="1" applyBorder="1" applyAlignment="1">
      <alignment horizontal="left" vertical="center" wrapText="1"/>
    </xf>
    <xf numFmtId="0" fontId="84" fillId="37" borderId="0" xfId="0" applyFont="1" applyFill="1"/>
    <xf numFmtId="0" fontId="84" fillId="0" borderId="19" xfId="0" applyFont="1" applyFill="1" applyBorder="1" applyAlignment="1">
      <alignment horizontal="left" vertical="center" wrapText="1"/>
    </xf>
    <xf numFmtId="0" fontId="84" fillId="0" borderId="13" xfId="0" applyNumberFormat="1" applyFont="1" applyFill="1" applyBorder="1" applyAlignment="1" applyProtection="1">
      <alignment horizontal="left" vertical="center" wrapText="1" shrinkToFit="1"/>
      <protection locked="0"/>
    </xf>
    <xf numFmtId="0" fontId="84" fillId="0" borderId="10" xfId="0" applyFont="1" applyFill="1" applyBorder="1" applyAlignment="1">
      <alignment horizontal="center" vertical="center"/>
    </xf>
    <xf numFmtId="0" fontId="84" fillId="0" borderId="13" xfId="0" applyFont="1" applyFill="1" applyBorder="1" applyAlignment="1">
      <alignment horizontal="left" vertical="center" wrapText="1"/>
    </xf>
    <xf numFmtId="167" fontId="83" fillId="0" borderId="10" xfId="0" applyNumberFormat="1" applyFont="1" applyFill="1" applyBorder="1" applyAlignment="1" applyProtection="1">
      <alignment horizontal="center" vertical="center" wrapText="1"/>
    </xf>
    <xf numFmtId="49" fontId="83" fillId="0" borderId="10" xfId="0" applyNumberFormat="1" applyFont="1" applyFill="1" applyBorder="1" applyAlignment="1" applyProtection="1">
      <alignment horizontal="center" vertical="center" wrapText="1"/>
    </xf>
    <xf numFmtId="4" fontId="84" fillId="0" borderId="18" xfId="0" applyNumberFormat="1" applyFont="1" applyFill="1" applyBorder="1" applyAlignment="1" applyProtection="1">
      <alignment vertical="center" wrapText="1" shrinkToFit="1"/>
      <protection locked="0"/>
    </xf>
    <xf numFmtId="2" fontId="85" fillId="0" borderId="10" xfId="0" applyNumberFormat="1" applyFont="1" applyFill="1" applyBorder="1" applyAlignment="1">
      <alignment horizontal="center" vertical="center" wrapText="1"/>
    </xf>
    <xf numFmtId="4" fontId="84" fillId="0" borderId="10" xfId="0" applyNumberFormat="1" applyFont="1" applyFill="1" applyBorder="1" applyAlignment="1" applyProtection="1">
      <alignment horizontal="right" vertical="center" wrapText="1" shrinkToFit="1"/>
      <protection locked="0"/>
    </xf>
    <xf numFmtId="0" fontId="84" fillId="0" borderId="0" xfId="19" applyFont="1" applyFill="1"/>
    <xf numFmtId="2" fontId="83" fillId="0" borderId="10" xfId="0" applyNumberFormat="1" applyFont="1" applyFill="1" applyBorder="1"/>
    <xf numFmtId="0" fontId="84" fillId="0" borderId="10" xfId="0" applyFont="1" applyFill="1" applyBorder="1" applyAlignment="1">
      <alignment horizontal="left" wrapText="1"/>
    </xf>
    <xf numFmtId="0" fontId="84" fillId="0" borderId="10" xfId="0" applyFont="1" applyFill="1" applyBorder="1" applyAlignment="1"/>
    <xf numFmtId="2" fontId="83" fillId="0" borderId="0" xfId="0" applyNumberFormat="1" applyFont="1" applyFill="1" applyBorder="1"/>
    <xf numFmtId="0" fontId="84" fillId="0" borderId="0" xfId="0" applyFont="1" applyFill="1" applyBorder="1" applyAlignment="1">
      <alignment horizontal="left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Fill="1" applyBorder="1" applyAlignment="1"/>
    <xf numFmtId="4" fontId="84" fillId="0" borderId="0" xfId="0" applyNumberFormat="1" applyFont="1" applyFill="1" applyBorder="1" applyAlignment="1">
      <alignment horizontal="right"/>
    </xf>
    <xf numFmtId="0" fontId="84" fillId="0" borderId="0" xfId="0" applyNumberFormat="1" applyFont="1" applyFill="1" applyBorder="1" applyAlignment="1" applyProtection="1">
      <alignment horizontal="center" vertical="center" wrapText="1" shrinkToFit="1"/>
      <protection locked="0"/>
    </xf>
    <xf numFmtId="0" fontId="83" fillId="0" borderId="0" xfId="0" applyFont="1" applyFill="1"/>
    <xf numFmtId="0" fontId="84" fillId="0" borderId="0" xfId="0" applyFont="1" applyFill="1" applyAlignment="1">
      <alignment horizontal="left"/>
    </xf>
    <xf numFmtId="0" fontId="84" fillId="0" borderId="0" xfId="0" applyFont="1" applyFill="1" applyAlignment="1"/>
    <xf numFmtId="0" fontId="84" fillId="0" borderId="0" xfId="0" applyFont="1" applyFill="1" applyAlignment="1">
      <alignment horizontal="right"/>
    </xf>
    <xf numFmtId="0" fontId="86" fillId="0" borderId="0" xfId="0" applyFont="1" applyFill="1"/>
    <xf numFmtId="165" fontId="83" fillId="0" borderId="10" xfId="0" applyNumberFormat="1" applyFont="1" applyFill="1" applyBorder="1" applyAlignment="1">
      <alignment horizontal="center" vertical="center"/>
    </xf>
    <xf numFmtId="0" fontId="84" fillId="0" borderId="13" xfId="0" applyNumberFormat="1" applyFont="1" applyFill="1" applyBorder="1" applyAlignment="1" applyProtection="1">
      <alignment vertical="center" wrapText="1" shrinkToFit="1"/>
      <protection locked="0"/>
    </xf>
    <xf numFmtId="0" fontId="84" fillId="0" borderId="10" xfId="0" applyNumberFormat="1" applyFont="1" applyFill="1" applyBorder="1" applyAlignment="1" applyProtection="1">
      <alignment vertical="center" wrapText="1" shrinkToFit="1"/>
      <protection locked="0"/>
    </xf>
    <xf numFmtId="0" fontId="84" fillId="0" borderId="10" xfId="0" applyNumberFormat="1" applyFont="1" applyFill="1" applyBorder="1" applyAlignment="1" applyProtection="1">
      <alignment horizontal="left" vertical="center" wrapText="1" shrinkToFit="1"/>
      <protection locked="0"/>
    </xf>
    <xf numFmtId="0" fontId="84" fillId="0" borderId="10" xfId="0" applyFont="1" applyFill="1" applyBorder="1" applyAlignment="1">
      <alignment horizontal="left" vertical="center" wrapText="1"/>
    </xf>
    <xf numFmtId="0" fontId="84" fillId="0" borderId="0" xfId="0" applyFont="1" applyFill="1" applyAlignment="1">
      <alignment horizontal="left" vertical="center"/>
    </xf>
    <xf numFmtId="0" fontId="84" fillId="0" borderId="0" xfId="0" applyFont="1" applyFill="1" applyAlignment="1">
      <alignment vertical="center"/>
    </xf>
    <xf numFmtId="0" fontId="84" fillId="0" borderId="0" xfId="0" applyFont="1" applyFill="1" applyAlignment="1">
      <alignment horizontal="right" vertical="center"/>
    </xf>
    <xf numFmtId="4" fontId="84" fillId="0" borderId="0" xfId="0" applyNumberFormat="1" applyFont="1" applyFill="1" applyAlignment="1">
      <alignment horizontal="right" vertical="center"/>
    </xf>
    <xf numFmtId="0" fontId="54" fillId="0" borderId="0" xfId="87" applyFont="1" applyFill="1" applyAlignment="1">
      <alignment horizontal="right" vertical="center"/>
    </xf>
    <xf numFmtId="0" fontId="55" fillId="0" borderId="0" xfId="0" applyFont="1" applyAlignment="1">
      <alignment horizontal="center" vertical="center" wrapText="1"/>
    </xf>
    <xf numFmtId="0" fontId="55" fillId="0" borderId="0" xfId="0" applyFont="1" applyAlignment="1">
      <alignment wrapText="1"/>
    </xf>
    <xf numFmtId="0" fontId="55" fillId="0" borderId="0" xfId="0" applyFont="1" applyBorder="1" applyAlignment="1">
      <alignment wrapText="1"/>
    </xf>
    <xf numFmtId="0" fontId="55" fillId="0" borderId="0" xfId="0" applyFont="1" applyFill="1" applyAlignment="1">
      <alignment horizontal="center" vertical="center" wrapText="1"/>
    </xf>
    <xf numFmtId="0" fontId="169" fillId="0" borderId="10" xfId="0" applyFont="1" applyBorder="1" applyAlignment="1">
      <alignment wrapText="1"/>
    </xf>
    <xf numFmtId="0" fontId="169" fillId="0" borderId="10" xfId="0" applyFont="1" applyBorder="1"/>
    <xf numFmtId="0" fontId="169" fillId="0" borderId="10" xfId="0" applyFont="1" applyBorder="1" applyAlignment="1">
      <alignment horizontal="center" vertical="center" wrapText="1"/>
    </xf>
    <xf numFmtId="1" fontId="164" fillId="0" borderId="10" xfId="0" applyNumberFormat="1" applyFont="1" applyBorder="1" applyAlignment="1">
      <alignment horizontal="center" vertical="center" wrapText="1"/>
    </xf>
    <xf numFmtId="1" fontId="164" fillId="0" borderId="10" xfId="0" applyNumberFormat="1" applyFont="1" applyBorder="1" applyAlignment="1">
      <alignment wrapText="1"/>
    </xf>
    <xf numFmtId="1" fontId="164" fillId="0" borderId="10" xfId="0" applyNumberFormat="1" applyFont="1" applyBorder="1" applyAlignment="1">
      <alignment horizontal="center" vertical="center"/>
    </xf>
    <xf numFmtId="2" fontId="164" fillId="0" borderId="10" xfId="0" applyNumberFormat="1" applyFont="1" applyBorder="1" applyAlignment="1">
      <alignment horizontal="center"/>
    </xf>
    <xf numFmtId="2" fontId="164" fillId="0" borderId="10" xfId="0" applyNumberFormat="1" applyFont="1" applyBorder="1" applyAlignment="1">
      <alignment horizontal="center" vertical="center"/>
    </xf>
    <xf numFmtId="0" fontId="55" fillId="0" borderId="0" xfId="0" applyFont="1" applyAlignment="1">
      <alignment vertical="center" wrapText="1"/>
    </xf>
    <xf numFmtId="0" fontId="55" fillId="0" borderId="10" xfId="0" applyFont="1" applyFill="1" applyBorder="1" applyAlignment="1">
      <alignment vertical="center" wrapText="1"/>
    </xf>
    <xf numFmtId="0" fontId="61" fillId="0" borderId="10" xfId="0" applyFont="1" applyFill="1" applyBorder="1" applyAlignment="1">
      <alignment vertical="center" wrapText="1"/>
    </xf>
    <xf numFmtId="0" fontId="89" fillId="0" borderId="10" xfId="0" applyFont="1" applyFill="1" applyBorder="1" applyAlignment="1">
      <alignment vertical="center" wrapText="1"/>
    </xf>
    <xf numFmtId="0" fontId="88" fillId="0" borderId="10" xfId="0" applyFont="1" applyFill="1" applyBorder="1" applyAlignment="1">
      <alignment vertical="center" wrapText="1"/>
    </xf>
    <xf numFmtId="0" fontId="88" fillId="0" borderId="10" xfId="0" applyFont="1" applyFill="1" applyBorder="1" applyAlignment="1">
      <alignment horizontal="center" vertical="center" wrapText="1"/>
    </xf>
    <xf numFmtId="49" fontId="61" fillId="0" borderId="10" xfId="0" applyNumberFormat="1" applyFont="1" applyFill="1" applyBorder="1" applyAlignment="1">
      <alignment horizontal="left" vertical="center" wrapText="1"/>
    </xf>
    <xf numFmtId="0" fontId="61" fillId="0" borderId="10" xfId="0" applyFont="1" applyFill="1" applyBorder="1" applyAlignment="1">
      <alignment horizontal="left" vertical="center" wrapText="1"/>
    </xf>
    <xf numFmtId="164" fontId="166" fillId="40" borderId="10" xfId="0" applyNumberFormat="1" applyFont="1" applyFill="1" applyBorder="1" applyAlignment="1">
      <alignment horizontal="center" vertical="center" wrapText="1"/>
    </xf>
    <xf numFmtId="164" fontId="167" fillId="40" borderId="10" xfId="0" applyNumberFormat="1" applyFont="1" applyFill="1" applyBorder="1" applyAlignment="1">
      <alignment horizontal="center" vertical="center" wrapText="1"/>
    </xf>
    <xf numFmtId="164" fontId="166" fillId="40" borderId="0" xfId="0" applyNumberFormat="1" applyFont="1" applyFill="1"/>
    <xf numFmtId="0" fontId="166" fillId="0" borderId="0" xfId="0" applyFont="1" applyFill="1"/>
    <xf numFmtId="0" fontId="166" fillId="0" borderId="0" xfId="0" applyFont="1" applyFill="1" applyAlignment="1">
      <alignment horizontal="center" vertical="center"/>
    </xf>
    <xf numFmtId="164" fontId="166" fillId="0" borderId="0" xfId="0" applyNumberFormat="1" applyFont="1" applyFill="1"/>
    <xf numFmtId="164" fontId="167" fillId="40" borderId="18" xfId="0" applyNumberFormat="1" applyFont="1" applyFill="1" applyBorder="1" applyAlignment="1">
      <alignment vertical="center" wrapText="1"/>
    </xf>
    <xf numFmtId="164" fontId="166" fillId="0" borderId="0" xfId="0" applyNumberFormat="1" applyFont="1" applyFill="1" applyAlignment="1">
      <alignment wrapText="1"/>
    </xf>
    <xf numFmtId="2" fontId="164" fillId="0" borderId="10" xfId="0" applyNumberFormat="1" applyFont="1" applyFill="1" applyBorder="1" applyAlignment="1">
      <alignment horizontal="center" vertical="center" wrapText="1"/>
    </xf>
    <xf numFmtId="0" fontId="164" fillId="0" borderId="10" xfId="0" applyFont="1" applyFill="1" applyBorder="1" applyAlignment="1">
      <alignment wrapText="1"/>
    </xf>
    <xf numFmtId="166" fontId="34" fillId="0" borderId="11" xfId="0" applyNumberFormat="1" applyFont="1" applyFill="1" applyBorder="1" applyAlignment="1">
      <alignment horizontal="center"/>
    </xf>
    <xf numFmtId="2" fontId="55" fillId="0" borderId="0" xfId="0" applyNumberFormat="1" applyFont="1" applyAlignment="1">
      <alignment wrapText="1"/>
    </xf>
    <xf numFmtId="0" fontId="72" fillId="0" borderId="10" xfId="88" applyFont="1" applyFill="1" applyBorder="1" applyAlignment="1">
      <alignment horizontal="left" vertical="top" wrapText="1"/>
    </xf>
    <xf numFmtId="2" fontId="68" fillId="0" borderId="0" xfId="0" applyNumberFormat="1" applyFont="1" applyFill="1"/>
    <xf numFmtId="1" fontId="164" fillId="0" borderId="10" xfId="0" applyNumberFormat="1" applyFont="1" applyFill="1" applyBorder="1" applyAlignment="1">
      <alignment horizontal="center" vertical="center" wrapText="1"/>
    </xf>
    <xf numFmtId="0" fontId="169" fillId="0" borderId="10" xfId="0" applyFont="1" applyFill="1" applyBorder="1" applyAlignment="1">
      <alignment wrapText="1"/>
    </xf>
    <xf numFmtId="1" fontId="164" fillId="0" borderId="10" xfId="0" applyNumberFormat="1" applyFont="1" applyFill="1" applyBorder="1" applyAlignment="1">
      <alignment wrapText="1"/>
    </xf>
    <xf numFmtId="164" fontId="90" fillId="0" borderId="10" xfId="0" applyNumberFormat="1" applyFont="1" applyFill="1" applyBorder="1" applyAlignment="1">
      <alignment wrapText="1"/>
    </xf>
    <xf numFmtId="164" fontId="171" fillId="0" borderId="10" xfId="0" applyNumberFormat="1" applyFont="1" applyFill="1" applyBorder="1" applyAlignment="1">
      <alignment wrapText="1"/>
    </xf>
    <xf numFmtId="0" fontId="84" fillId="0" borderId="0" xfId="86" applyFont="1" applyFill="1"/>
    <xf numFmtId="0" fontId="84" fillId="0" borderId="10" xfId="0" applyFont="1" applyFill="1" applyBorder="1"/>
    <xf numFmtId="2" fontId="84" fillId="0" borderId="0" xfId="19" applyNumberFormat="1" applyFont="1" applyFill="1"/>
    <xf numFmtId="2" fontId="84" fillId="0" borderId="0" xfId="0" applyNumberFormat="1" applyFont="1" applyFill="1"/>
    <xf numFmtId="2" fontId="84" fillId="0" borderId="0" xfId="86" applyNumberFormat="1" applyFont="1" applyFill="1"/>
    <xf numFmtId="2" fontId="84" fillId="37" borderId="14" xfId="19" applyNumberFormat="1" applyFont="1" applyFill="1" applyBorder="1" applyAlignment="1"/>
    <xf numFmtId="2" fontId="84" fillId="0" borderId="14" xfId="19" applyNumberFormat="1" applyFont="1" applyFill="1" applyBorder="1" applyAlignment="1"/>
    <xf numFmtId="2" fontId="84" fillId="0" borderId="14" xfId="0" applyNumberFormat="1" applyFont="1" applyFill="1" applyBorder="1" applyAlignment="1"/>
    <xf numFmtId="2" fontId="84" fillId="41" borderId="0" xfId="0" applyNumberFormat="1" applyFont="1" applyFill="1"/>
    <xf numFmtId="2" fontId="84" fillId="41" borderId="0" xfId="19" applyNumberFormat="1" applyFont="1" applyFill="1"/>
    <xf numFmtId="2" fontId="84" fillId="41" borderId="14" xfId="19" applyNumberFormat="1" applyFont="1" applyFill="1" applyBorder="1" applyAlignment="1"/>
    <xf numFmtId="2" fontId="84" fillId="41" borderId="14" xfId="0" applyNumberFormat="1" applyFont="1" applyFill="1" applyBorder="1" applyAlignment="1"/>
    <xf numFmtId="165" fontId="86" fillId="0" borderId="0" xfId="0" applyNumberFormat="1" applyFont="1" applyFill="1"/>
    <xf numFmtId="2" fontId="68" fillId="0" borderId="0" xfId="0" applyNumberFormat="1" applyFont="1" applyFill="1" applyAlignment="1">
      <alignment horizontal="center" vertical="center" wrapText="1"/>
    </xf>
    <xf numFmtId="0" fontId="172" fillId="42" borderId="1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93" fillId="42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36" fillId="0" borderId="0" xfId="0" applyFont="1" applyAlignment="1">
      <alignment wrapText="1"/>
    </xf>
    <xf numFmtId="0" fontId="36" fillId="0" borderId="10" xfId="0" applyFont="1" applyBorder="1" applyAlignment="1">
      <alignment wrapText="1"/>
    </xf>
    <xf numFmtId="0" fontId="96" fillId="42" borderId="10" xfId="0" applyFont="1" applyFill="1" applyBorder="1" applyAlignment="1">
      <alignment horizontal="center" vertical="center" wrapText="1"/>
    </xf>
    <xf numFmtId="0" fontId="97" fillId="0" borderId="0" xfId="0" applyFont="1" applyAlignment="1">
      <alignment wrapText="1"/>
    </xf>
    <xf numFmtId="0" fontId="97" fillId="0" borderId="10" xfId="0" applyFont="1" applyBorder="1" applyAlignment="1">
      <alignment wrapText="1"/>
    </xf>
    <xf numFmtId="0" fontId="173" fillId="42" borderId="10" xfId="0" applyFont="1" applyFill="1" applyBorder="1" applyAlignment="1">
      <alignment horizontal="center" vertical="center" wrapText="1"/>
    </xf>
    <xf numFmtId="0" fontId="60" fillId="42" borderId="10" xfId="0" applyFont="1" applyFill="1" applyBorder="1" applyAlignment="1">
      <alignment horizontal="center" vertical="center" wrapText="1"/>
    </xf>
    <xf numFmtId="0" fontId="99" fillId="42" borderId="10" xfId="0" applyFont="1" applyFill="1" applyBorder="1" applyAlignment="1">
      <alignment horizontal="center" vertical="center" wrapText="1"/>
    </xf>
    <xf numFmtId="0" fontId="100" fillId="0" borderId="10" xfId="0" applyFont="1" applyBorder="1" applyAlignment="1">
      <alignment wrapText="1"/>
    </xf>
    <xf numFmtId="0" fontId="101" fillId="0" borderId="10" xfId="0" applyFont="1" applyBorder="1" applyAlignment="1">
      <alignment wrapText="1"/>
    </xf>
    <xf numFmtId="0" fontId="172" fillId="42" borderId="0" xfId="0" applyFont="1" applyFill="1" applyBorder="1" applyAlignment="1">
      <alignment horizontal="center" vertical="center" wrapText="1"/>
    </xf>
    <xf numFmtId="0" fontId="96" fillId="42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97" fillId="0" borderId="0" xfId="0" applyFont="1" applyBorder="1" applyAlignment="1">
      <alignment wrapText="1"/>
    </xf>
    <xf numFmtId="0" fontId="164" fillId="0" borderId="0" xfId="0" applyFont="1" applyFill="1" applyAlignment="1">
      <alignment wrapText="1"/>
    </xf>
    <xf numFmtId="0" fontId="164" fillId="0" borderId="0" xfId="0" applyFont="1" applyFill="1" applyAlignment="1">
      <alignment horizontal="center" vertical="center" wrapText="1"/>
    </xf>
    <xf numFmtId="0" fontId="174" fillId="0" borderId="0" xfId="0" applyFont="1" applyFill="1" applyAlignment="1">
      <alignment wrapText="1"/>
    </xf>
    <xf numFmtId="2" fontId="164" fillId="0" borderId="10" xfId="0" applyNumberFormat="1" applyFont="1" applyFill="1" applyBorder="1" applyAlignment="1">
      <alignment horizontal="center" wrapText="1"/>
    </xf>
    <xf numFmtId="0" fontId="164" fillId="0" borderId="0" xfId="0" applyFont="1" applyFill="1" applyBorder="1" applyAlignment="1">
      <alignment wrapText="1"/>
    </xf>
    <xf numFmtId="2" fontId="164" fillId="0" borderId="10" xfId="0" applyNumberFormat="1" applyFont="1" applyFill="1" applyBorder="1" applyAlignment="1">
      <alignment wrapText="1"/>
    </xf>
    <xf numFmtId="1" fontId="169" fillId="0" borderId="10" xfId="0" applyNumberFormat="1" applyFont="1" applyFill="1" applyBorder="1" applyAlignment="1">
      <alignment wrapText="1"/>
    </xf>
    <xf numFmtId="0" fontId="105" fillId="0" borderId="10" xfId="0" applyFont="1" applyBorder="1" applyAlignment="1">
      <alignment horizontal="right" vertical="center"/>
    </xf>
    <xf numFmtId="2" fontId="169" fillId="0" borderId="10" xfId="0" applyNumberFormat="1" applyFont="1" applyFill="1" applyBorder="1" applyAlignment="1">
      <alignment wrapText="1"/>
    </xf>
    <xf numFmtId="164" fontId="164" fillId="43" borderId="10" xfId="0" applyNumberFormat="1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wrapText="1"/>
    </xf>
    <xf numFmtId="0" fontId="91" fillId="0" borderId="10" xfId="0" applyFont="1" applyBorder="1" applyAlignment="1">
      <alignment horizontal="center" vertical="center" wrapText="1"/>
    </xf>
    <xf numFmtId="0" fontId="173" fillId="0" borderId="10" xfId="0" applyFont="1" applyFill="1" applyBorder="1" applyAlignment="1">
      <alignment horizontal="right" vertical="center" wrapText="1"/>
    </xf>
    <xf numFmtId="1" fontId="164" fillId="43" borderId="10" xfId="0" applyNumberFormat="1" applyFont="1" applyFill="1" applyBorder="1" applyAlignment="1">
      <alignment horizontal="center" vertical="center" wrapText="1"/>
    </xf>
    <xf numFmtId="0" fontId="175" fillId="0" borderId="16" xfId="0" applyFont="1" applyBorder="1" applyAlignment="1">
      <alignment horizontal="center" vertical="center" wrapText="1"/>
    </xf>
    <xf numFmtId="0" fontId="176" fillId="0" borderId="16" xfId="0" applyFont="1" applyBorder="1" applyAlignment="1">
      <alignment horizontal="center" vertical="center" wrapText="1"/>
    </xf>
    <xf numFmtId="0" fontId="0" fillId="0" borderId="19" xfId="0" applyFill="1" applyBorder="1" applyAlignment="1">
      <alignment wrapText="1"/>
    </xf>
    <xf numFmtId="0" fontId="175" fillId="0" borderId="0" xfId="0" applyFont="1" applyAlignment="1">
      <alignment wrapText="1"/>
    </xf>
    <xf numFmtId="0" fontId="32" fillId="0" borderId="16" xfId="0" applyFont="1" applyBorder="1" applyAlignment="1">
      <alignment horizontal="center" vertical="center" wrapText="1"/>
    </xf>
    <xf numFmtId="2" fontId="0" fillId="0" borderId="0" xfId="0" applyNumberFormat="1" applyAlignment="1">
      <alignment wrapText="1"/>
    </xf>
    <xf numFmtId="0" fontId="108" fillId="42" borderId="10" xfId="0" applyFont="1" applyFill="1" applyBorder="1" applyAlignment="1">
      <alignment horizontal="center" vertical="center" wrapText="1"/>
    </xf>
    <xf numFmtId="0" fontId="96" fillId="0" borderId="24" xfId="0" applyFont="1" applyBorder="1" applyAlignment="1">
      <alignment horizontal="center" vertical="center" wrapText="1"/>
    </xf>
    <xf numFmtId="0" fontId="106" fillId="0" borderId="0" xfId="0" applyFont="1" applyAlignment="1">
      <alignment vertical="center" wrapText="1"/>
    </xf>
    <xf numFmtId="0" fontId="96" fillId="44" borderId="24" xfId="0" applyFont="1" applyFill="1" applyBorder="1" applyAlignment="1">
      <alignment horizontal="center" vertical="center" wrapText="1"/>
    </xf>
    <xf numFmtId="0" fontId="177" fillId="0" borderId="24" xfId="0" applyFont="1" applyBorder="1" applyAlignment="1">
      <alignment horizontal="center" vertical="center" wrapText="1"/>
    </xf>
    <xf numFmtId="3" fontId="165" fillId="0" borderId="16" xfId="0" applyNumberFormat="1" applyFont="1" applyBorder="1" applyAlignment="1">
      <alignment horizontal="right" vertical="center" wrapText="1"/>
    </xf>
    <xf numFmtId="0" fontId="165" fillId="44" borderId="16" xfId="0" applyFont="1" applyFill="1" applyBorder="1" applyAlignment="1">
      <alignment vertical="center" wrapText="1"/>
    </xf>
    <xf numFmtId="0" fontId="178" fillId="0" borderId="25" xfId="0" applyFont="1" applyBorder="1" applyAlignment="1">
      <alignment horizontal="right" vertical="center" wrapText="1"/>
    </xf>
    <xf numFmtId="0" fontId="178" fillId="0" borderId="16" xfId="0" applyFont="1" applyBorder="1" applyAlignment="1">
      <alignment horizontal="right" vertical="center" wrapText="1"/>
    </xf>
    <xf numFmtId="0" fontId="178" fillId="44" borderId="16" xfId="0" applyFont="1" applyFill="1" applyBorder="1" applyAlignment="1">
      <alignment horizontal="right" vertical="center" wrapText="1"/>
    </xf>
    <xf numFmtId="3" fontId="165" fillId="37" borderId="16" xfId="0" applyNumberFormat="1" applyFont="1" applyFill="1" applyBorder="1" applyAlignment="1">
      <alignment horizontal="right" vertical="center" wrapText="1"/>
    </xf>
    <xf numFmtId="0" fontId="165" fillId="37" borderId="0" xfId="0" applyFont="1" applyFill="1" applyAlignment="1">
      <alignment vertical="center" wrapText="1"/>
    </xf>
    <xf numFmtId="0" fontId="178" fillId="0" borderId="25" xfId="0" applyFont="1" applyBorder="1" applyAlignment="1">
      <alignment vertical="center" wrapText="1"/>
    </xf>
    <xf numFmtId="0" fontId="165" fillId="0" borderId="16" xfId="0" applyFont="1" applyBorder="1" applyAlignment="1">
      <alignment horizontal="right" vertical="center" wrapText="1"/>
    </xf>
    <xf numFmtId="3" fontId="179" fillId="0" borderId="16" xfId="0" applyNumberFormat="1" applyFont="1" applyBorder="1" applyAlignment="1">
      <alignment horizontal="right" vertical="center" wrapText="1"/>
    </xf>
    <xf numFmtId="0" fontId="179" fillId="44" borderId="16" xfId="0" applyFont="1" applyFill="1" applyBorder="1" applyAlignment="1">
      <alignment vertical="center" wrapText="1"/>
    </xf>
    <xf numFmtId="3" fontId="179" fillId="44" borderId="16" xfId="0" applyNumberFormat="1" applyFont="1" applyFill="1" applyBorder="1" applyAlignment="1">
      <alignment horizontal="right" vertical="center" wrapText="1"/>
    </xf>
    <xf numFmtId="0" fontId="179" fillId="0" borderId="25" xfId="0" applyFont="1" applyBorder="1" applyAlignment="1">
      <alignment horizontal="right" vertical="center" wrapText="1"/>
    </xf>
    <xf numFmtId="0" fontId="179" fillId="0" borderId="16" xfId="0" applyFont="1" applyBorder="1" applyAlignment="1">
      <alignment horizontal="right" vertical="center" wrapText="1"/>
    </xf>
    <xf numFmtId="0" fontId="179" fillId="44" borderId="16" xfId="0" applyFont="1" applyFill="1" applyBorder="1" applyAlignment="1">
      <alignment horizontal="right" vertical="center" wrapText="1"/>
    </xf>
    <xf numFmtId="0" fontId="180" fillId="0" borderId="25" xfId="0" applyFont="1" applyBorder="1" applyAlignment="1">
      <alignment vertical="center" wrapText="1"/>
    </xf>
    <xf numFmtId="3" fontId="165" fillId="0" borderId="26" xfId="0" applyNumberFormat="1" applyFont="1" applyBorder="1" applyAlignment="1">
      <alignment horizontal="right" vertical="center" wrapText="1"/>
    </xf>
    <xf numFmtId="0" fontId="165" fillId="44" borderId="26" xfId="0" applyFont="1" applyFill="1" applyBorder="1" applyAlignment="1">
      <alignment vertical="center" wrapText="1"/>
    </xf>
    <xf numFmtId="0" fontId="98" fillId="0" borderId="10" xfId="0" applyFont="1" applyBorder="1" applyAlignment="1">
      <alignment horizontal="center" vertical="center" wrapText="1"/>
    </xf>
    <xf numFmtId="0" fontId="98" fillId="37" borderId="10" xfId="0" applyFont="1" applyFill="1" applyBorder="1" applyAlignment="1">
      <alignment horizontal="center" vertical="center" wrapText="1"/>
    </xf>
    <xf numFmtId="1" fontId="98" fillId="0" borderId="10" xfId="0" applyNumberFormat="1" applyFont="1" applyBorder="1" applyAlignment="1">
      <alignment horizontal="center" vertical="center" wrapText="1"/>
    </xf>
    <xf numFmtId="1" fontId="98" fillId="37" borderId="10" xfId="0" applyNumberFormat="1" applyFont="1" applyFill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6" fillId="0" borderId="42" xfId="0" applyFont="1" applyBorder="1" applyAlignment="1">
      <alignment horizontal="center" vertical="center" wrapText="1"/>
    </xf>
    <xf numFmtId="0" fontId="26" fillId="0" borderId="43" xfId="0" applyFont="1" applyBorder="1" applyAlignment="1">
      <alignment horizontal="center" vertical="center" wrapText="1"/>
    </xf>
    <xf numFmtId="0" fontId="175" fillId="0" borderId="44" xfId="0" applyFont="1" applyBorder="1" applyAlignment="1">
      <alignment horizontal="center" vertical="center" wrapText="1"/>
    </xf>
    <xf numFmtId="0" fontId="175" fillId="0" borderId="45" xfId="0" applyFont="1" applyBorder="1" applyAlignment="1">
      <alignment horizontal="center" vertical="center" wrapText="1"/>
    </xf>
    <xf numFmtId="0" fontId="175" fillId="0" borderId="46" xfId="0" applyFont="1" applyBorder="1" applyAlignment="1">
      <alignment horizontal="center" vertical="center" wrapText="1"/>
    </xf>
    <xf numFmtId="0" fontId="164" fillId="0" borderId="11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109" fillId="0" borderId="10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2" fillId="0" borderId="26" xfId="0" applyFont="1" applyBorder="1" applyAlignment="1">
      <alignment vertical="center" wrapText="1"/>
    </xf>
    <xf numFmtId="0" fontId="32" fillId="0" borderId="27" xfId="0" applyFont="1" applyBorder="1" applyAlignment="1">
      <alignment vertical="center" wrapText="1"/>
    </xf>
    <xf numFmtId="0" fontId="32" fillId="0" borderId="24" xfId="0" applyFont="1" applyBorder="1" applyAlignment="1">
      <alignment horizontal="right" vertical="center" wrapText="1"/>
    </xf>
    <xf numFmtId="0" fontId="174" fillId="0" borderId="10" xfId="0" applyFont="1" applyFill="1" applyBorder="1" applyAlignment="1">
      <alignment wrapText="1"/>
    </xf>
    <xf numFmtId="0" fontId="181" fillId="0" borderId="10" xfId="0" applyFont="1" applyFill="1" applyBorder="1" applyAlignment="1">
      <alignment horizontal="center" vertical="center" wrapText="1"/>
    </xf>
    <xf numFmtId="0" fontId="181" fillId="0" borderId="10" xfId="0" applyFont="1" applyFill="1" applyBorder="1" applyAlignment="1">
      <alignment wrapText="1"/>
    </xf>
    <xf numFmtId="0" fontId="181" fillId="0" borderId="13" xfId="0" applyFont="1" applyFill="1" applyBorder="1" applyAlignment="1">
      <alignment horizontal="center" vertical="center" wrapText="1"/>
    </xf>
    <xf numFmtId="1" fontId="174" fillId="0" borderId="10" xfId="0" applyNumberFormat="1" applyFont="1" applyFill="1" applyBorder="1" applyAlignment="1">
      <alignment horizontal="center" vertical="center" wrapText="1"/>
    </xf>
    <xf numFmtId="1" fontId="174" fillId="0" borderId="10" xfId="0" applyNumberFormat="1" applyFont="1" applyFill="1" applyBorder="1" applyAlignment="1">
      <alignment wrapText="1"/>
    </xf>
    <xf numFmtId="2" fontId="174" fillId="0" borderId="10" xfId="0" applyNumberFormat="1" applyFont="1" applyFill="1" applyBorder="1" applyAlignment="1">
      <alignment horizontal="center" wrapText="1"/>
    </xf>
    <xf numFmtId="2" fontId="174" fillId="43" borderId="10" xfId="0" applyNumberFormat="1" applyFont="1" applyFill="1" applyBorder="1" applyAlignment="1">
      <alignment horizontal="center" wrapText="1"/>
    </xf>
    <xf numFmtId="0" fontId="174" fillId="0" borderId="11" xfId="0" applyFont="1" applyFill="1" applyBorder="1" applyAlignment="1">
      <alignment wrapText="1"/>
    </xf>
    <xf numFmtId="0" fontId="54" fillId="0" borderId="28" xfId="0" applyFont="1" applyBorder="1" applyAlignment="1">
      <alignment horizontal="center" vertical="center" wrapText="1"/>
    </xf>
    <xf numFmtId="0" fontId="54" fillId="0" borderId="24" xfId="0" applyFont="1" applyBorder="1" applyAlignment="1">
      <alignment horizontal="center" vertical="center" wrapText="1"/>
    </xf>
    <xf numFmtId="0" fontId="182" fillId="0" borderId="25" xfId="0" applyFont="1" applyBorder="1" applyAlignment="1">
      <alignment horizontal="center" vertical="center" wrapText="1"/>
    </xf>
    <xf numFmtId="0" fontId="182" fillId="0" borderId="16" xfId="0" applyFont="1" applyBorder="1" applyAlignment="1">
      <alignment horizontal="center" vertical="center" wrapText="1"/>
    </xf>
    <xf numFmtId="0" fontId="107" fillId="0" borderId="25" xfId="0" applyFont="1" applyBorder="1" applyAlignment="1">
      <alignment horizontal="center" vertical="center" wrapText="1"/>
    </xf>
    <xf numFmtId="0" fontId="107" fillId="0" borderId="16" xfId="0" applyFont="1" applyBorder="1" applyAlignment="1">
      <alignment horizontal="center" vertical="center" wrapText="1"/>
    </xf>
    <xf numFmtId="0" fontId="183" fillId="0" borderId="25" xfId="0" applyFont="1" applyBorder="1" applyAlignment="1">
      <alignment horizontal="center" vertical="center" wrapText="1"/>
    </xf>
    <xf numFmtId="0" fontId="183" fillId="0" borderId="16" xfId="0" applyFont="1" applyBorder="1" applyAlignment="1">
      <alignment horizontal="center" vertical="center" wrapText="1"/>
    </xf>
    <xf numFmtId="0" fontId="184" fillId="0" borderId="25" xfId="0" applyFont="1" applyBorder="1" applyAlignment="1">
      <alignment horizontal="center" vertical="center" wrapText="1"/>
    </xf>
    <xf numFmtId="0" fontId="184" fillId="0" borderId="16" xfId="0" applyFont="1" applyBorder="1" applyAlignment="1">
      <alignment horizontal="center" vertical="center" wrapText="1"/>
    </xf>
    <xf numFmtId="0" fontId="106" fillId="0" borderId="0" xfId="0" applyFont="1" applyAlignment="1">
      <alignment wrapText="1"/>
    </xf>
    <xf numFmtId="0" fontId="177" fillId="0" borderId="28" xfId="0" applyFont="1" applyBorder="1" applyAlignment="1">
      <alignment horizontal="center" vertical="center" wrapText="1"/>
    </xf>
    <xf numFmtId="0" fontId="185" fillId="0" borderId="28" xfId="0" applyFont="1" applyBorder="1" applyAlignment="1">
      <alignment vertical="center" wrapText="1"/>
    </xf>
    <xf numFmtId="0" fontId="185" fillId="0" borderId="16" xfId="0" applyFont="1" applyBorder="1" applyAlignment="1">
      <alignment vertical="center" wrapText="1"/>
    </xf>
    <xf numFmtId="3" fontId="184" fillId="0" borderId="0" xfId="0" applyNumberFormat="1" applyFont="1" applyAlignment="1">
      <alignment horizontal="right" vertical="center" wrapText="1"/>
    </xf>
    <xf numFmtId="0" fontId="185" fillId="0" borderId="25" xfId="0" applyFont="1" applyBorder="1" applyAlignment="1">
      <alignment vertical="center" wrapText="1"/>
    </xf>
    <xf numFmtId="0" fontId="177" fillId="0" borderId="25" xfId="0" applyFont="1" applyBorder="1" applyAlignment="1">
      <alignment vertical="center" wrapText="1"/>
    </xf>
    <xf numFmtId="0" fontId="177" fillId="0" borderId="16" xfId="0" applyFont="1" applyBorder="1" applyAlignment="1">
      <alignment vertical="center" wrapText="1"/>
    </xf>
    <xf numFmtId="0" fontId="185" fillId="0" borderId="26" xfId="0" applyFont="1" applyBorder="1" applyAlignment="1">
      <alignment vertical="center" wrapText="1"/>
    </xf>
    <xf numFmtId="3" fontId="186" fillId="0" borderId="24" xfId="0" applyNumberFormat="1" applyFont="1" applyBorder="1" applyAlignment="1">
      <alignment horizontal="right" vertical="center" wrapText="1"/>
    </xf>
    <xf numFmtId="0" fontId="186" fillId="44" borderId="24" xfId="0" applyFont="1" applyFill="1" applyBorder="1" applyAlignment="1">
      <alignment vertical="center" wrapText="1"/>
    </xf>
    <xf numFmtId="3" fontId="186" fillId="44" borderId="24" xfId="0" applyNumberFormat="1" applyFont="1" applyFill="1" applyBorder="1" applyAlignment="1">
      <alignment horizontal="right" vertical="center" wrapText="1"/>
    </xf>
    <xf numFmtId="0" fontId="186" fillId="0" borderId="25" xfId="0" applyFont="1" applyBorder="1" applyAlignment="1">
      <alignment horizontal="right" vertical="center" wrapText="1"/>
    </xf>
    <xf numFmtId="3" fontId="186" fillId="0" borderId="16" xfId="0" applyNumberFormat="1" applyFont="1" applyBorder="1" applyAlignment="1">
      <alignment horizontal="right" vertical="center" wrapText="1"/>
    </xf>
    <xf numFmtId="3" fontId="186" fillId="44" borderId="16" xfId="0" applyNumberFormat="1" applyFont="1" applyFill="1" applyBorder="1" applyAlignment="1">
      <alignment horizontal="right" vertical="center" wrapText="1"/>
    </xf>
    <xf numFmtId="3" fontId="187" fillId="0" borderId="16" xfId="0" applyNumberFormat="1" applyFont="1" applyBorder="1" applyAlignment="1">
      <alignment horizontal="right" vertical="center" wrapText="1"/>
    </xf>
    <xf numFmtId="0" fontId="187" fillId="44" borderId="16" xfId="0" applyFont="1" applyFill="1" applyBorder="1" applyAlignment="1">
      <alignment vertical="center" wrapText="1"/>
    </xf>
    <xf numFmtId="3" fontId="187" fillId="44" borderId="16" xfId="0" applyNumberFormat="1" applyFont="1" applyFill="1" applyBorder="1" applyAlignment="1">
      <alignment horizontal="right" vertical="center" wrapText="1"/>
    </xf>
    <xf numFmtId="0" fontId="188" fillId="0" borderId="25" xfId="0" applyFont="1" applyBorder="1" applyAlignment="1">
      <alignment horizontal="right" vertical="center" wrapText="1"/>
    </xf>
    <xf numFmtId="3" fontId="188" fillId="0" borderId="16" xfId="0" applyNumberFormat="1" applyFont="1" applyBorder="1" applyAlignment="1">
      <alignment horizontal="right" vertical="center" wrapText="1"/>
    </xf>
    <xf numFmtId="3" fontId="188" fillId="44" borderId="16" xfId="0" applyNumberFormat="1" applyFont="1" applyFill="1" applyBorder="1" applyAlignment="1">
      <alignment horizontal="right" vertical="center" wrapText="1"/>
    </xf>
    <xf numFmtId="0" fontId="110" fillId="0" borderId="0" xfId="0" applyFont="1" applyAlignment="1">
      <alignment wrapText="1"/>
    </xf>
    <xf numFmtId="0" fontId="60" fillId="42" borderId="0" xfId="0" applyFont="1" applyFill="1" applyBorder="1" applyAlignment="1">
      <alignment horizontal="center" vertical="center" wrapText="1"/>
    </xf>
    <xf numFmtId="0" fontId="189" fillId="42" borderId="0" xfId="0" applyFont="1" applyFill="1" applyBorder="1" applyAlignment="1">
      <alignment horizontal="center" vertical="center" wrapText="1"/>
    </xf>
    <xf numFmtId="0" fontId="190" fillId="42" borderId="0" xfId="0" applyFont="1" applyFill="1" applyBorder="1" applyAlignment="1">
      <alignment horizontal="center" vertical="center" wrapText="1"/>
    </xf>
    <xf numFmtId="0" fontId="164" fillId="0" borderId="0" xfId="0" applyFont="1" applyFill="1" applyAlignment="1">
      <alignment horizontal="left" vertical="center" wrapText="1"/>
    </xf>
    <xf numFmtId="0" fontId="164" fillId="0" borderId="0" xfId="0" applyFont="1" applyFill="1" applyBorder="1" applyAlignment="1">
      <alignment horizontal="left" vertical="center" wrapText="1"/>
    </xf>
    <xf numFmtId="0" fontId="164" fillId="0" borderId="10" xfId="81" applyFont="1" applyFill="1" applyBorder="1" applyAlignment="1">
      <alignment horizontal="left" vertical="center" wrapText="1"/>
    </xf>
    <xf numFmtId="0" fontId="164" fillId="0" borderId="10" xfId="85" applyFont="1" applyFill="1" applyBorder="1" applyAlignment="1">
      <alignment horizontal="left" vertical="center" wrapText="1"/>
    </xf>
    <xf numFmtId="0" fontId="191" fillId="0" borderId="0" xfId="0" applyFont="1" applyFill="1" applyBorder="1" applyAlignment="1">
      <alignment horizontal="center" vertical="center" wrapText="1"/>
    </xf>
    <xf numFmtId="0" fontId="164" fillId="0" borderId="0" xfId="0" applyFont="1" applyFill="1" applyBorder="1" applyAlignment="1">
      <alignment horizontal="center" vertical="center" wrapText="1"/>
    </xf>
    <xf numFmtId="164" fontId="171" fillId="0" borderId="10" xfId="0" applyNumberFormat="1" applyFont="1" applyFill="1" applyBorder="1" applyAlignment="1">
      <alignment horizontal="center" vertical="center" wrapText="1"/>
    </xf>
    <xf numFmtId="164" fontId="90" fillId="0" borderId="10" xfId="0" applyNumberFormat="1" applyFont="1" applyFill="1" applyBorder="1" applyAlignment="1">
      <alignment horizontal="center" vertical="center" wrapText="1"/>
    </xf>
    <xf numFmtId="164" fontId="164" fillId="0" borderId="10" xfId="0" applyNumberFormat="1" applyFont="1" applyFill="1" applyBorder="1" applyAlignment="1">
      <alignment horizontal="center" vertical="center" wrapText="1"/>
    </xf>
    <xf numFmtId="0" fontId="167" fillId="0" borderId="10" xfId="0" applyFont="1" applyFill="1" applyBorder="1" applyAlignment="1">
      <alignment horizontal="center" vertical="center" wrapText="1"/>
    </xf>
    <xf numFmtId="0" fontId="172" fillId="0" borderId="0" xfId="0" applyFont="1" applyBorder="1" applyAlignment="1">
      <alignment horizontal="center" vertical="center" wrapText="1"/>
    </xf>
    <xf numFmtId="0" fontId="192" fillId="0" borderId="10" xfId="0" applyFont="1" applyBorder="1" applyAlignment="1">
      <alignment horizontal="center" vertical="center" wrapText="1"/>
    </xf>
    <xf numFmtId="0" fontId="164" fillId="0" borderId="10" xfId="0" applyFont="1" applyFill="1" applyBorder="1" applyAlignment="1">
      <alignment horizontal="center" wrapText="1"/>
    </xf>
    <xf numFmtId="0" fontId="164" fillId="0" borderId="10" xfId="0" applyFont="1" applyFill="1" applyBorder="1" applyAlignment="1">
      <alignment horizontal="center" vertical="center" wrapText="1"/>
    </xf>
    <xf numFmtId="0" fontId="164" fillId="0" borderId="10" xfId="0" applyFont="1" applyFill="1" applyBorder="1" applyAlignment="1">
      <alignment horizontal="left" vertical="center" wrapText="1"/>
    </xf>
    <xf numFmtId="0" fontId="193" fillId="0" borderId="0" xfId="0" applyFont="1" applyFill="1" applyBorder="1" applyAlignment="1">
      <alignment horizontal="center" vertical="center" wrapText="1"/>
    </xf>
    <xf numFmtId="0" fontId="169" fillId="0" borderId="21" xfId="0" applyFont="1" applyFill="1" applyBorder="1" applyAlignment="1">
      <alignment horizontal="left" vertical="center" wrapText="1"/>
    </xf>
    <xf numFmtId="0" fontId="169" fillId="0" borderId="18" xfId="0" applyFont="1" applyFill="1" applyBorder="1" applyAlignment="1">
      <alignment horizontal="center" vertical="center" wrapText="1"/>
    </xf>
    <xf numFmtId="0" fontId="169" fillId="0" borderId="13" xfId="0" applyFont="1" applyFill="1" applyBorder="1" applyAlignment="1">
      <alignment horizontal="center" vertical="center" wrapText="1"/>
    </xf>
    <xf numFmtId="0" fontId="169" fillId="0" borderId="11" xfId="0" applyFont="1" applyFill="1" applyBorder="1" applyAlignment="1">
      <alignment horizontal="center" vertical="center" wrapText="1"/>
    </xf>
    <xf numFmtId="0" fontId="169" fillId="0" borderId="10" xfId="0" applyFont="1" applyFill="1" applyBorder="1" applyAlignment="1">
      <alignment horizontal="center" vertical="center" wrapText="1"/>
    </xf>
    <xf numFmtId="0" fontId="169" fillId="0" borderId="10" xfId="0" applyFont="1" applyFill="1" applyBorder="1" applyAlignment="1">
      <alignment horizontal="left" vertical="center" wrapText="1"/>
    </xf>
    <xf numFmtId="0" fontId="60" fillId="0" borderId="0" xfId="0" applyFont="1" applyFill="1" applyAlignment="1">
      <alignment horizontal="center" vertical="center" wrapText="1"/>
    </xf>
    <xf numFmtId="0" fontId="184" fillId="43" borderId="0" xfId="0" applyFont="1" applyFill="1" applyBorder="1" applyAlignment="1">
      <alignment horizontal="center" vertical="center" wrapText="1"/>
    </xf>
    <xf numFmtId="0" fontId="183" fillId="43" borderId="25" xfId="0" applyFont="1" applyFill="1" applyBorder="1" applyAlignment="1">
      <alignment horizontal="center" vertical="center" wrapText="1"/>
    </xf>
    <xf numFmtId="0" fontId="0" fillId="43" borderId="0" xfId="0" applyFill="1" applyAlignment="1">
      <alignment wrapText="1"/>
    </xf>
    <xf numFmtId="0" fontId="55" fillId="0" borderId="10" xfId="0" applyFont="1" applyBorder="1" applyAlignment="1">
      <alignment vertical="center" wrapText="1"/>
    </xf>
    <xf numFmtId="4" fontId="63" fillId="0" borderId="10" xfId="0" applyNumberFormat="1" applyFont="1" applyFill="1" applyBorder="1" applyAlignment="1">
      <alignment horizontal="right" vertical="center" wrapText="1"/>
    </xf>
    <xf numFmtId="166" fontId="35" fillId="24" borderId="10" xfId="0" applyNumberFormat="1" applyFont="1" applyFill="1" applyBorder="1" applyAlignment="1">
      <alignment horizontal="center"/>
    </xf>
    <xf numFmtId="166" fontId="41" fillId="34" borderId="11" xfId="0" applyNumberFormat="1" applyFont="1" applyFill="1" applyBorder="1" applyAlignment="1">
      <alignment horizontal="center"/>
    </xf>
    <xf numFmtId="166" fontId="41" fillId="24" borderId="11" xfId="0" applyNumberFormat="1" applyFont="1" applyFill="1" applyBorder="1" applyAlignment="1">
      <alignment horizontal="center"/>
    </xf>
    <xf numFmtId="166" fontId="41" fillId="33" borderId="11" xfId="0" applyNumberFormat="1" applyFont="1" applyFill="1" applyBorder="1" applyAlignment="1">
      <alignment horizontal="center"/>
    </xf>
    <xf numFmtId="166" fontId="34" fillId="24" borderId="10" xfId="0" applyNumberFormat="1" applyFont="1" applyFill="1" applyBorder="1" applyAlignment="1">
      <alignment horizontal="center"/>
    </xf>
    <xf numFmtId="166" fontId="40" fillId="24" borderId="10" xfId="0" applyNumberFormat="1" applyFont="1" applyFill="1" applyBorder="1" applyAlignment="1">
      <alignment horizontal="center"/>
    </xf>
    <xf numFmtId="166" fontId="0" fillId="24" borderId="0" xfId="0" applyNumberFormat="1" applyFill="1" applyAlignment="1">
      <alignment horizontal="center"/>
    </xf>
    <xf numFmtId="49" fontId="37" fillId="0" borderId="11" xfId="0" applyNumberFormat="1" applyFont="1" applyFill="1" applyBorder="1" applyAlignment="1">
      <alignment horizontal="center"/>
    </xf>
    <xf numFmtId="166" fontId="37" fillId="0" borderId="10" xfId="0" applyNumberFormat="1" applyFont="1" applyFill="1" applyBorder="1" applyAlignment="1">
      <alignment horizontal="center"/>
    </xf>
    <xf numFmtId="166" fontId="43" fillId="0" borderId="10" xfId="0" applyNumberFormat="1" applyFont="1" applyFill="1" applyBorder="1" applyAlignment="1">
      <alignment horizontal="center"/>
    </xf>
    <xf numFmtId="49" fontId="36" fillId="0" borderId="13" xfId="0" applyNumberFormat="1" applyFont="1" applyFill="1" applyBorder="1" applyAlignment="1">
      <alignment horizontal="center"/>
    </xf>
    <xf numFmtId="4" fontId="34" fillId="0" borderId="10" xfId="0" applyNumberFormat="1" applyFont="1" applyFill="1" applyBorder="1" applyAlignment="1">
      <alignment horizontal="center"/>
    </xf>
    <xf numFmtId="0" fontId="0" fillId="0" borderId="10" xfId="0" applyFont="1" applyFill="1" applyBorder="1"/>
    <xf numFmtId="168" fontId="34" fillId="0" borderId="10" xfId="0" applyNumberFormat="1" applyFont="1" applyFill="1" applyBorder="1" applyAlignment="1">
      <alignment horizontal="center"/>
    </xf>
    <xf numFmtId="0" fontId="37" fillId="0" borderId="18" xfId="0" applyFont="1" applyFill="1" applyBorder="1" applyAlignment="1">
      <alignment vertical="center" wrapText="1"/>
    </xf>
    <xf numFmtId="0" fontId="33" fillId="0" borderId="10" xfId="0" applyFont="1" applyFill="1" applyBorder="1"/>
    <xf numFmtId="166" fontId="47" fillId="0" borderId="10" xfId="0" applyNumberFormat="1" applyFont="1" applyFill="1" applyBorder="1" applyAlignment="1">
      <alignment horizontal="center"/>
    </xf>
    <xf numFmtId="4" fontId="47" fillId="0" borderId="10" xfId="0" applyNumberFormat="1" applyFont="1" applyFill="1" applyBorder="1" applyAlignment="1">
      <alignment horizontal="center"/>
    </xf>
    <xf numFmtId="0" fontId="38" fillId="0" borderId="13" xfId="0" applyFont="1" applyFill="1" applyBorder="1" applyAlignment="1">
      <alignment vertical="center" wrapText="1"/>
    </xf>
    <xf numFmtId="0" fontId="32" fillId="0" borderId="10" xfId="0" applyFont="1" applyFill="1" applyBorder="1" applyAlignment="1">
      <alignment horizontal="center" vertical="center"/>
    </xf>
    <xf numFmtId="49" fontId="32" fillId="0" borderId="10" xfId="0" applyNumberFormat="1" applyFont="1" applyFill="1" applyBorder="1" applyAlignment="1" applyProtection="1">
      <alignment horizontal="center" vertical="center" wrapText="1"/>
    </xf>
    <xf numFmtId="166" fontId="32" fillId="0" borderId="11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>
      <alignment horizontal="left" vertical="center"/>
    </xf>
    <xf numFmtId="168" fontId="48" fillId="0" borderId="0" xfId="0" applyNumberFormat="1" applyFont="1" applyFill="1" applyAlignment="1">
      <alignment horizontal="right" vertical="center"/>
    </xf>
    <xf numFmtId="0" fontId="48" fillId="0" borderId="10" xfId="0" applyFont="1" applyFill="1" applyBorder="1" applyAlignment="1">
      <alignment horizontal="left" vertical="center"/>
    </xf>
    <xf numFmtId="0" fontId="48" fillId="0" borderId="10" xfId="0" applyFont="1" applyFill="1" applyBorder="1" applyAlignment="1">
      <alignment horizontal="left" vertical="center" wrapText="1"/>
    </xf>
    <xf numFmtId="49" fontId="48" fillId="0" borderId="10" xfId="0" applyNumberFormat="1" applyFont="1" applyFill="1" applyBorder="1" applyAlignment="1">
      <alignment horizontal="center" vertical="center" wrapText="1"/>
    </xf>
    <xf numFmtId="49" fontId="48" fillId="0" borderId="11" xfId="0" applyNumberFormat="1" applyFont="1" applyFill="1" applyBorder="1" applyAlignment="1">
      <alignment horizontal="center" vertical="center" wrapText="1"/>
    </xf>
    <xf numFmtId="168" fontId="48" fillId="0" borderId="10" xfId="0" applyNumberFormat="1" applyFont="1" applyFill="1" applyBorder="1" applyAlignment="1">
      <alignment horizontal="right" vertical="center" wrapText="1"/>
    </xf>
    <xf numFmtId="0" fontId="48" fillId="0" borderId="18" xfId="0" applyFont="1" applyFill="1" applyBorder="1" applyAlignment="1">
      <alignment horizontal="left" vertical="center" wrapText="1"/>
    </xf>
    <xf numFmtId="168" fontId="113" fillId="0" borderId="10" xfId="0" applyNumberFormat="1" applyFont="1" applyFill="1" applyBorder="1" applyAlignment="1">
      <alignment horizontal="right" vertical="center" wrapText="1"/>
    </xf>
    <xf numFmtId="49" fontId="48" fillId="0" borderId="0" xfId="0" applyNumberFormat="1" applyFont="1" applyFill="1" applyAlignment="1">
      <alignment horizontal="center" vertical="center"/>
    </xf>
    <xf numFmtId="0" fontId="166" fillId="0" borderId="10" xfId="0" applyFont="1" applyBorder="1" applyAlignment="1">
      <alignment vertical="center" wrapText="1"/>
    </xf>
    <xf numFmtId="0" fontId="166" fillId="0" borderId="10" xfId="0" applyFont="1" applyBorder="1" applyAlignment="1">
      <alignment horizontal="right" vertical="center"/>
    </xf>
    <xf numFmtId="0" fontId="166" fillId="0" borderId="0" xfId="0" applyFont="1" applyAlignment="1">
      <alignment horizontal="right" vertical="center"/>
    </xf>
    <xf numFmtId="0" fontId="167" fillId="0" borderId="10" xfId="0" applyFont="1" applyBorder="1" applyAlignment="1">
      <alignment horizontal="right" vertical="center"/>
    </xf>
    <xf numFmtId="4" fontId="167" fillId="40" borderId="10" xfId="0" applyNumberFormat="1" applyFont="1" applyFill="1" applyBorder="1" applyAlignment="1">
      <alignment horizontal="center" vertical="center"/>
    </xf>
    <xf numFmtId="4" fontId="167" fillId="40" borderId="10" xfId="0" applyNumberFormat="1" applyFont="1" applyFill="1" applyBorder="1" applyAlignment="1">
      <alignment horizontal="center" vertical="center" wrapText="1"/>
    </xf>
    <xf numFmtId="165" fontId="166" fillId="0" borderId="10" xfId="0" applyNumberFormat="1" applyFont="1" applyFill="1" applyBorder="1" applyAlignment="1">
      <alignment horizontal="center" vertical="center" wrapText="1"/>
    </xf>
    <xf numFmtId="3" fontId="166" fillId="0" borderId="10" xfId="0" applyNumberFormat="1" applyFont="1" applyFill="1" applyBorder="1" applyAlignment="1">
      <alignment horizontal="center" vertical="center" wrapText="1"/>
    </xf>
    <xf numFmtId="4" fontId="166" fillId="0" borderId="10" xfId="0" applyNumberFormat="1" applyFont="1" applyFill="1" applyBorder="1" applyAlignment="1">
      <alignment horizontal="center" vertical="center" wrapText="1"/>
    </xf>
    <xf numFmtId="164" fontId="194" fillId="0" borderId="10" xfId="0" applyNumberFormat="1" applyFont="1" applyFill="1" applyBorder="1" applyAlignment="1">
      <alignment horizontal="center" vertical="center"/>
    </xf>
    <xf numFmtId="0" fontId="167" fillId="0" borderId="20" xfId="0" applyFont="1" applyFill="1" applyBorder="1" applyAlignment="1">
      <alignment vertical="center"/>
    </xf>
    <xf numFmtId="0" fontId="167" fillId="0" borderId="22" xfId="0" applyFont="1" applyFill="1" applyBorder="1" applyAlignment="1">
      <alignment vertical="center"/>
    </xf>
    <xf numFmtId="164" fontId="167" fillId="0" borderId="14" xfId="0" applyNumberFormat="1" applyFont="1" applyFill="1" applyBorder="1" applyAlignment="1">
      <alignment vertical="center"/>
    </xf>
    <xf numFmtId="0" fontId="167" fillId="0" borderId="23" xfId="0" applyFont="1" applyFill="1" applyBorder="1" applyAlignment="1">
      <alignment vertical="center"/>
    </xf>
    <xf numFmtId="0" fontId="167" fillId="0" borderId="21" xfId="0" applyFont="1" applyFill="1" applyBorder="1" applyAlignment="1">
      <alignment vertical="center"/>
    </xf>
    <xf numFmtId="0" fontId="167" fillId="0" borderId="29" xfId="0" applyFont="1" applyFill="1" applyBorder="1" applyAlignment="1">
      <alignment vertical="center"/>
    </xf>
    <xf numFmtId="0" fontId="166" fillId="0" borderId="0" xfId="0" applyFont="1" applyFill="1" applyAlignment="1">
      <alignment wrapText="1"/>
    </xf>
    <xf numFmtId="165" fontId="164" fillId="0" borderId="10" xfId="0" applyNumberFormat="1" applyFont="1" applyFill="1" applyBorder="1" applyAlignment="1">
      <alignment horizontal="center" vertical="center" wrapText="1"/>
    </xf>
    <xf numFmtId="164" fontId="166" fillId="0" borderId="10" xfId="0" applyNumberFormat="1" applyFont="1" applyFill="1" applyBorder="1" applyAlignment="1">
      <alignment horizontal="center" vertical="center" wrapText="1"/>
    </xf>
    <xf numFmtId="0" fontId="77" fillId="0" borderId="10" xfId="0" applyFont="1" applyFill="1" applyBorder="1" applyAlignment="1">
      <alignment horizontal="left" vertical="center" wrapText="1"/>
    </xf>
    <xf numFmtId="168" fontId="0" fillId="0" borderId="0" xfId="0" applyNumberFormat="1"/>
    <xf numFmtId="0" fontId="93" fillId="0" borderId="10" xfId="0" applyFont="1" applyBorder="1" applyAlignment="1">
      <alignment horizontal="center" vertical="center" wrapText="1"/>
    </xf>
    <xf numFmtId="0" fontId="112" fillId="0" borderId="28" xfId="0" applyFont="1" applyBorder="1" applyAlignment="1">
      <alignment vertical="center" wrapText="1"/>
    </xf>
    <xf numFmtId="0" fontId="112" fillId="0" borderId="24" xfId="0" applyFont="1" applyBorder="1" applyAlignment="1">
      <alignment vertical="center" wrapText="1"/>
    </xf>
    <xf numFmtId="0" fontId="112" fillId="0" borderId="25" xfId="0" applyFont="1" applyBorder="1" applyAlignment="1">
      <alignment vertical="center" wrapText="1"/>
    </xf>
    <xf numFmtId="0" fontId="112" fillId="0" borderId="16" xfId="0" applyFont="1" applyBorder="1" applyAlignment="1">
      <alignment vertical="center" wrapText="1"/>
    </xf>
    <xf numFmtId="0" fontId="115" fillId="0" borderId="0" xfId="0" applyFont="1" applyAlignment="1">
      <alignment horizontal="justify" vertical="center" wrapText="1"/>
    </xf>
    <xf numFmtId="1" fontId="55" fillId="0" borderId="0" xfId="0" applyNumberFormat="1" applyFont="1" applyBorder="1" applyAlignment="1">
      <alignment wrapText="1"/>
    </xf>
    <xf numFmtId="0" fontId="116" fillId="0" borderId="0" xfId="0" applyNumberFormat="1" applyFont="1" applyFill="1" applyBorder="1" applyAlignment="1" applyProtection="1">
      <alignment horizontal="left" vertical="top" wrapText="1"/>
    </xf>
    <xf numFmtId="0" fontId="116" fillId="0" borderId="0" xfId="0" applyNumberFormat="1" applyFont="1" applyFill="1" applyBorder="1" applyAlignment="1" applyProtection="1">
      <alignment horizontal="left" vertical="top"/>
    </xf>
    <xf numFmtId="0" fontId="116" fillId="0" borderId="10" xfId="0" applyFont="1" applyFill="1" applyBorder="1" applyAlignment="1">
      <alignment horizontal="left" vertical="center" wrapText="1"/>
    </xf>
    <xf numFmtId="0" fontId="116" fillId="0" borderId="0" xfId="0" applyFont="1" applyFill="1" applyBorder="1" applyAlignment="1">
      <alignment horizontal="left" wrapText="1"/>
    </xf>
    <xf numFmtId="0" fontId="116" fillId="0" borderId="0" xfId="0" applyFont="1" applyFill="1" applyAlignment="1">
      <alignment horizontal="left"/>
    </xf>
    <xf numFmtId="0" fontId="117" fillId="0" borderId="0" xfId="0" applyNumberFormat="1" applyFont="1" applyFill="1" applyBorder="1" applyAlignment="1" applyProtection="1">
      <alignment horizontal="center" vertical="top" wrapText="1"/>
    </xf>
    <xf numFmtId="0" fontId="117" fillId="0" borderId="0" xfId="0" applyNumberFormat="1" applyFont="1" applyFill="1" applyBorder="1" applyAlignment="1" applyProtection="1">
      <alignment vertical="top"/>
    </xf>
    <xf numFmtId="0" fontId="117" fillId="0" borderId="0" xfId="0" applyNumberFormat="1" applyFont="1" applyFill="1" applyBorder="1" applyAlignment="1" applyProtection="1">
      <alignment vertical="top" wrapText="1"/>
    </xf>
    <xf numFmtId="167" fontId="117" fillId="0" borderId="10" xfId="0" applyNumberFormat="1" applyFont="1" applyFill="1" applyBorder="1" applyAlignment="1" applyProtection="1">
      <alignment horizontal="center" vertical="center" wrapText="1"/>
    </xf>
    <xf numFmtId="2" fontId="117" fillId="0" borderId="0" xfId="0" applyNumberFormat="1" applyFont="1" applyFill="1" applyBorder="1"/>
    <xf numFmtId="0" fontId="117" fillId="0" borderId="0" xfId="0" applyFont="1" applyFill="1"/>
    <xf numFmtId="0" fontId="118" fillId="0" borderId="0" xfId="0" applyFont="1" applyFill="1"/>
    <xf numFmtId="0" fontId="119" fillId="0" borderId="0" xfId="0" applyNumberFormat="1" applyFont="1" applyFill="1" applyBorder="1" applyAlignment="1" applyProtection="1">
      <alignment vertical="center" wrapText="1"/>
    </xf>
    <xf numFmtId="0" fontId="116" fillId="0" borderId="0" xfId="0" applyNumberFormat="1" applyFont="1" applyFill="1" applyBorder="1" applyAlignment="1" applyProtection="1">
      <alignment horizontal="right" vertical="top" wrapText="1"/>
    </xf>
    <xf numFmtId="0" fontId="119" fillId="0" borderId="0" xfId="0" applyFont="1" applyFill="1" applyAlignment="1">
      <alignment horizontal="right"/>
    </xf>
    <xf numFmtId="0" fontId="116" fillId="0" borderId="0" xfId="0" applyFont="1" applyFill="1"/>
    <xf numFmtId="0" fontId="116" fillId="0" borderId="0" xfId="0" applyNumberFormat="1" applyFont="1" applyFill="1" applyBorder="1" applyAlignment="1" applyProtection="1">
      <alignment vertical="top" wrapText="1"/>
    </xf>
    <xf numFmtId="0" fontId="119" fillId="0" borderId="0" xfId="0" applyNumberFormat="1" applyFont="1" applyFill="1" applyBorder="1" applyAlignment="1" applyProtection="1">
      <alignment vertical="top" wrapText="1"/>
    </xf>
    <xf numFmtId="0" fontId="119" fillId="0" borderId="0" xfId="0" applyNumberFormat="1" applyFont="1" applyFill="1" applyBorder="1" applyAlignment="1" applyProtection="1">
      <alignment horizontal="right" vertical="top" wrapText="1"/>
    </xf>
    <xf numFmtId="4" fontId="116" fillId="0" borderId="0" xfId="0" applyNumberFormat="1" applyFont="1" applyFill="1"/>
    <xf numFmtId="0" fontId="116" fillId="0" borderId="0" xfId="19" applyFont="1" applyFill="1"/>
    <xf numFmtId="0" fontId="116" fillId="0" borderId="10" xfId="0" applyFont="1" applyFill="1" applyBorder="1"/>
    <xf numFmtId="2" fontId="116" fillId="0" borderId="0" xfId="19" applyNumberFormat="1" applyFont="1" applyFill="1"/>
    <xf numFmtId="4" fontId="116" fillId="0" borderId="10" xfId="0" applyNumberFormat="1" applyFont="1" applyFill="1" applyBorder="1" applyAlignment="1">
      <alignment horizontal="center" vertical="center"/>
    </xf>
    <xf numFmtId="0" fontId="116" fillId="0" borderId="0" xfId="0" applyFont="1" applyFill="1" applyBorder="1" applyAlignment="1">
      <alignment horizontal="center" vertical="center" wrapText="1"/>
    </xf>
    <xf numFmtId="0" fontId="116" fillId="0" borderId="0" xfId="0" applyFont="1" applyFill="1" applyBorder="1" applyAlignment="1"/>
    <xf numFmtId="4" fontId="116" fillId="0" borderId="0" xfId="0" applyNumberFormat="1" applyFont="1" applyFill="1" applyBorder="1" applyAlignment="1">
      <alignment horizontal="right"/>
    </xf>
    <xf numFmtId="2" fontId="116" fillId="0" borderId="0" xfId="0" applyNumberFormat="1" applyFont="1" applyFill="1"/>
    <xf numFmtId="0" fontId="116" fillId="0" borderId="0" xfId="0" applyFont="1" applyFill="1" applyAlignment="1">
      <alignment vertical="center"/>
    </xf>
    <xf numFmtId="0" fontId="116" fillId="0" borderId="0" xfId="0" applyFont="1" applyFill="1" applyAlignment="1">
      <alignment horizontal="right" vertical="center"/>
    </xf>
    <xf numFmtId="4" fontId="116" fillId="0" borderId="0" xfId="0" applyNumberFormat="1" applyFont="1" applyFill="1" applyAlignment="1">
      <alignment horizontal="right" vertical="center"/>
    </xf>
    <xf numFmtId="0" fontId="116" fillId="0" borderId="0" xfId="0" applyFont="1" applyFill="1" applyAlignment="1">
      <alignment horizontal="right"/>
    </xf>
    <xf numFmtId="0" fontId="120" fillId="0" borderId="0" xfId="0" applyFont="1" applyFill="1"/>
    <xf numFmtId="165" fontId="120" fillId="0" borderId="0" xfId="0" applyNumberFormat="1" applyFont="1" applyFill="1"/>
    <xf numFmtId="0" fontId="116" fillId="0" borderId="0" xfId="0" applyFont="1" applyFill="1" applyAlignment="1"/>
    <xf numFmtId="0" fontId="116" fillId="0" borderId="10" xfId="0" applyFont="1" applyFill="1" applyBorder="1" applyAlignment="1">
      <alignment horizontal="right"/>
    </xf>
    <xf numFmtId="2" fontId="116" fillId="0" borderId="0" xfId="0" applyNumberFormat="1" applyFont="1" applyFill="1" applyAlignment="1">
      <alignment horizontal="left" wrapText="1"/>
    </xf>
    <xf numFmtId="2" fontId="116" fillId="0" borderId="0" xfId="0" applyNumberFormat="1" applyFont="1" applyFill="1" applyAlignment="1">
      <alignment wrapText="1"/>
    </xf>
    <xf numFmtId="2" fontId="116" fillId="0" borderId="10" xfId="0" applyNumberFormat="1" applyFont="1" applyFill="1" applyBorder="1" applyAlignment="1">
      <alignment horizontal="right" wrapText="1"/>
    </xf>
    <xf numFmtId="2" fontId="120" fillId="0" borderId="10" xfId="0" applyNumberFormat="1" applyFont="1" applyFill="1" applyBorder="1" applyAlignment="1">
      <alignment horizontal="right" wrapText="1"/>
    </xf>
    <xf numFmtId="0" fontId="116" fillId="0" borderId="0" xfId="0" applyFont="1" applyFill="1" applyAlignment="1">
      <alignment wrapText="1"/>
    </xf>
    <xf numFmtId="0" fontId="116" fillId="0" borderId="0" xfId="0" applyFont="1" applyFill="1" applyAlignment="1">
      <alignment horizontal="right" wrapText="1"/>
    </xf>
    <xf numFmtId="0" fontId="116" fillId="0" borderId="10" xfId="0" applyFont="1" applyFill="1" applyBorder="1" applyAlignment="1">
      <alignment horizontal="right" wrapText="1"/>
    </xf>
    <xf numFmtId="0" fontId="116" fillId="0" borderId="10" xfId="0" applyFont="1" applyFill="1" applyBorder="1" applyAlignment="1">
      <alignment vertical="center"/>
    </xf>
    <xf numFmtId="4" fontId="78" fillId="0" borderId="10" xfId="0" applyNumberFormat="1" applyFont="1" applyFill="1" applyBorder="1" applyAlignment="1">
      <alignment horizontal="right" vertical="center" wrapText="1"/>
    </xf>
    <xf numFmtId="0" fontId="66" fillId="46" borderId="10" xfId="0" applyNumberFormat="1" applyFont="1" applyFill="1" applyBorder="1" applyAlignment="1">
      <alignment horizontal="center" vertical="center" wrapText="1"/>
    </xf>
    <xf numFmtId="0" fontId="74" fillId="47" borderId="10" xfId="0" applyFont="1" applyFill="1" applyBorder="1" applyAlignment="1">
      <alignment horizontal="center" vertical="center" wrapText="1"/>
    </xf>
    <xf numFmtId="16" fontId="72" fillId="47" borderId="10" xfId="0" applyNumberFormat="1" applyFont="1" applyFill="1" applyBorder="1" applyAlignment="1">
      <alignment horizontal="center" vertical="center" wrapText="1"/>
    </xf>
    <xf numFmtId="0" fontId="72" fillId="47" borderId="10" xfId="88" applyFont="1" applyFill="1" applyBorder="1" applyAlignment="1">
      <alignment horizontal="left" vertical="top" wrapText="1"/>
    </xf>
    <xf numFmtId="0" fontId="55" fillId="0" borderId="0" xfId="0" applyFont="1" applyAlignment="1">
      <alignment horizontal="center" wrapText="1"/>
    </xf>
    <xf numFmtId="0" fontId="169" fillId="0" borderId="30" xfId="0" applyFont="1" applyFill="1" applyBorder="1" applyAlignment="1">
      <alignment horizontal="center" vertical="center" wrapText="1"/>
    </xf>
    <xf numFmtId="0" fontId="169" fillId="0" borderId="0" xfId="0" applyFont="1" applyFill="1" applyBorder="1" applyAlignment="1">
      <alignment horizontal="center" vertical="center" wrapText="1"/>
    </xf>
    <xf numFmtId="1" fontId="164" fillId="0" borderId="0" xfId="0" applyNumberFormat="1" applyFont="1" applyFill="1" applyBorder="1" applyAlignment="1">
      <alignment horizontal="center" vertical="center" wrapText="1"/>
    </xf>
    <xf numFmtId="164" fontId="164" fillId="0" borderId="0" xfId="0" applyNumberFormat="1" applyFont="1" applyFill="1" applyBorder="1" applyAlignment="1">
      <alignment horizontal="center" vertical="center" wrapText="1"/>
    </xf>
    <xf numFmtId="1" fontId="195" fillId="0" borderId="0" xfId="0" applyNumberFormat="1" applyFont="1" applyFill="1" applyBorder="1" applyAlignment="1">
      <alignment horizontal="center" vertical="center" wrapText="1"/>
    </xf>
    <xf numFmtId="169" fontId="164" fillId="0" borderId="0" xfId="0" applyNumberFormat="1" applyFont="1" applyFill="1" applyBorder="1" applyAlignment="1">
      <alignment horizontal="center" vertical="center" wrapText="1"/>
    </xf>
    <xf numFmtId="165" fontId="164" fillId="0" borderId="0" xfId="0" applyNumberFormat="1" applyFont="1" applyFill="1" applyBorder="1" applyAlignment="1">
      <alignment horizontal="center" vertical="center" wrapText="1"/>
    </xf>
    <xf numFmtId="2" fontId="164" fillId="0" borderId="0" xfId="0" applyNumberFormat="1" applyFont="1" applyFill="1" applyBorder="1" applyAlignment="1">
      <alignment horizontal="center" vertical="center" wrapText="1"/>
    </xf>
    <xf numFmtId="0" fontId="169" fillId="0" borderId="0" xfId="0" applyFont="1" applyFill="1" applyBorder="1" applyAlignment="1">
      <alignment horizontal="center" wrapText="1"/>
    </xf>
    <xf numFmtId="0" fontId="169" fillId="0" borderId="0" xfId="0" applyFont="1" applyFill="1" applyAlignment="1">
      <alignment wrapText="1"/>
    </xf>
    <xf numFmtId="4" fontId="164" fillId="0" borderId="0" xfId="0" applyNumberFormat="1" applyFont="1" applyFill="1" applyAlignment="1">
      <alignment vertical="center" wrapText="1"/>
    </xf>
    <xf numFmtId="4" fontId="164" fillId="0" borderId="0" xfId="0" applyNumberFormat="1" applyFont="1" applyFill="1" applyAlignment="1">
      <alignment horizontal="center" vertical="center" wrapText="1"/>
    </xf>
    <xf numFmtId="4" fontId="169" fillId="0" borderId="13" xfId="0" applyNumberFormat="1" applyFont="1" applyFill="1" applyBorder="1" applyAlignment="1">
      <alignment horizontal="center" vertical="center" wrapText="1"/>
    </xf>
    <xf numFmtId="4" fontId="169" fillId="48" borderId="10" xfId="0" applyNumberFormat="1" applyFont="1" applyFill="1" applyBorder="1" applyAlignment="1">
      <alignment horizontal="center" vertical="center" wrapText="1"/>
    </xf>
    <xf numFmtId="4" fontId="164" fillId="0" borderId="10" xfId="0" applyNumberFormat="1" applyFont="1" applyFill="1" applyBorder="1" applyAlignment="1">
      <alignment horizontal="center" vertical="center" wrapText="1"/>
    </xf>
    <xf numFmtId="4" fontId="169" fillId="40" borderId="10" xfId="0" applyNumberFormat="1" applyFont="1" applyFill="1" applyBorder="1" applyAlignment="1">
      <alignment horizontal="center" vertical="center" wrapText="1"/>
    </xf>
    <xf numFmtId="2" fontId="164" fillId="0" borderId="0" xfId="0" applyNumberFormat="1" applyFont="1" applyFill="1" applyAlignment="1">
      <alignment horizontal="center" vertical="center" wrapText="1"/>
    </xf>
    <xf numFmtId="2" fontId="169" fillId="0" borderId="13" xfId="0" applyNumberFormat="1" applyFont="1" applyFill="1" applyBorder="1" applyAlignment="1">
      <alignment horizontal="center" vertical="center" wrapText="1"/>
    </xf>
    <xf numFmtId="2" fontId="169" fillId="48" borderId="10" xfId="0" applyNumberFormat="1" applyFont="1" applyFill="1" applyBorder="1" applyAlignment="1">
      <alignment horizontal="center" vertical="center" wrapText="1"/>
    </xf>
    <xf numFmtId="2" fontId="169" fillId="40" borderId="10" xfId="0" applyNumberFormat="1" applyFont="1" applyFill="1" applyBorder="1" applyAlignment="1">
      <alignment horizontal="center" vertical="center" wrapText="1"/>
    </xf>
    <xf numFmtId="1" fontId="169" fillId="0" borderId="10" xfId="0" applyNumberFormat="1" applyFont="1" applyFill="1" applyBorder="1" applyAlignment="1">
      <alignment horizontal="center" vertical="center" wrapText="1"/>
    </xf>
    <xf numFmtId="0" fontId="169" fillId="0" borderId="10" xfId="0" applyFont="1" applyFill="1" applyBorder="1" applyAlignment="1">
      <alignment horizontal="right" vertical="center" wrapText="1"/>
    </xf>
    <xf numFmtId="0" fontId="169" fillId="0" borderId="0" xfId="0" applyFont="1" applyFill="1" applyAlignment="1">
      <alignment horizontal="right" wrapText="1"/>
    </xf>
    <xf numFmtId="0" fontId="169" fillId="0" borderId="10" xfId="0" applyFont="1" applyFill="1" applyBorder="1" applyAlignment="1">
      <alignment horizontal="right" wrapText="1"/>
    </xf>
    <xf numFmtId="0" fontId="55" fillId="0" borderId="10" xfId="0" applyFont="1" applyFill="1" applyBorder="1" applyAlignment="1">
      <alignment horizontal="right" vertical="center" wrapText="1"/>
    </xf>
    <xf numFmtId="0" fontId="72" fillId="47" borderId="10" xfId="0" applyFont="1" applyFill="1" applyBorder="1" applyAlignment="1">
      <alignment horizontal="left" vertical="center" wrapText="1"/>
    </xf>
    <xf numFmtId="4" fontId="55" fillId="0" borderId="10" xfId="0" applyNumberFormat="1" applyFont="1" applyFill="1" applyBorder="1" applyAlignment="1">
      <alignment horizontal="right" vertical="center" wrapText="1"/>
    </xf>
    <xf numFmtId="4" fontId="170" fillId="0" borderId="10" xfId="82" applyNumberFormat="1" applyFont="1" applyFill="1" applyBorder="1" applyAlignment="1">
      <alignment horizontal="right" vertical="center" wrapText="1"/>
    </xf>
    <xf numFmtId="4" fontId="170" fillId="0" borderId="10" xfId="83" applyNumberFormat="1" applyFont="1" applyFill="1" applyBorder="1" applyAlignment="1">
      <alignment horizontal="right" vertical="center" wrapText="1"/>
    </xf>
    <xf numFmtId="4" fontId="54" fillId="0" borderId="10" xfId="0" applyNumberFormat="1" applyFont="1" applyFill="1" applyBorder="1" applyAlignment="1">
      <alignment horizontal="right" vertical="center" wrapText="1"/>
    </xf>
    <xf numFmtId="4" fontId="55" fillId="0" borderId="0" xfId="0" applyNumberFormat="1" applyFont="1" applyFill="1" applyAlignment="1">
      <alignment horizontal="right" vertical="center" wrapText="1"/>
    </xf>
    <xf numFmtId="0" fontId="54" fillId="0" borderId="0" xfId="0" applyFont="1" applyBorder="1" applyAlignment="1">
      <alignment horizontal="right" vertical="center" wrapText="1"/>
    </xf>
    <xf numFmtId="0" fontId="88" fillId="0" borderId="10" xfId="0" applyFont="1" applyFill="1" applyBorder="1" applyAlignment="1">
      <alignment horizontal="right" vertical="center" wrapText="1"/>
    </xf>
    <xf numFmtId="0" fontId="54" fillId="0" borderId="10" xfId="0" applyFont="1" applyFill="1" applyBorder="1" applyAlignment="1">
      <alignment horizontal="right" vertical="center" wrapText="1"/>
    </xf>
    <xf numFmtId="0" fontId="55" fillId="0" borderId="0" xfId="0" applyFont="1" applyFill="1" applyAlignment="1">
      <alignment horizontal="right" vertical="center" wrapText="1"/>
    </xf>
    <xf numFmtId="0" fontId="55" fillId="0" borderId="0" xfId="0" applyFont="1" applyAlignment="1">
      <alignment horizontal="right" wrapText="1"/>
    </xf>
    <xf numFmtId="2" fontId="55" fillId="0" borderId="0" xfId="0" applyNumberFormat="1" applyFont="1" applyAlignment="1">
      <alignment horizontal="right" wrapText="1"/>
    </xf>
    <xf numFmtId="2" fontId="55" fillId="0" borderId="0" xfId="0" applyNumberFormat="1" applyFont="1" applyBorder="1" applyAlignment="1">
      <alignment horizontal="right" wrapText="1"/>
    </xf>
    <xf numFmtId="164" fontId="55" fillId="0" borderId="0" xfId="0" applyNumberFormat="1" applyFont="1" applyFill="1" applyBorder="1" applyAlignment="1">
      <alignment horizontal="right" vertical="center" wrapText="1"/>
    </xf>
    <xf numFmtId="0" fontId="55" fillId="0" borderId="0" xfId="0" applyFont="1" applyFill="1" applyBorder="1" applyAlignment="1">
      <alignment horizontal="right" vertical="center" wrapText="1"/>
    </xf>
    <xf numFmtId="0" fontId="55" fillId="0" borderId="0" xfId="0" applyFont="1" applyBorder="1" applyAlignment="1">
      <alignment horizontal="right" wrapText="1"/>
    </xf>
    <xf numFmtId="0" fontId="55" fillId="0" borderId="13" xfId="0" applyFont="1" applyBorder="1" applyAlignment="1">
      <alignment horizontal="right" wrapText="1"/>
    </xf>
    <xf numFmtId="0" fontId="55" fillId="0" borderId="10" xfId="0" applyFont="1" applyBorder="1" applyAlignment="1">
      <alignment horizontal="right" wrapText="1"/>
    </xf>
    <xf numFmtId="0" fontId="54" fillId="0" borderId="0" xfId="0" applyFont="1" applyBorder="1" applyAlignment="1">
      <alignment horizontal="center" wrapText="1"/>
    </xf>
    <xf numFmtId="165" fontId="164" fillId="0" borderId="0" xfId="0" applyNumberFormat="1" applyFont="1" applyFill="1" applyAlignment="1">
      <alignment horizontal="center" vertical="center" wrapText="1"/>
    </xf>
    <xf numFmtId="165" fontId="169" fillId="0" borderId="18" xfId="0" applyNumberFormat="1" applyFont="1" applyFill="1" applyBorder="1" applyAlignment="1">
      <alignment horizontal="center" vertical="center" wrapText="1"/>
    </xf>
    <xf numFmtId="165" fontId="169" fillId="0" borderId="10" xfId="0" applyNumberFormat="1" applyFont="1" applyFill="1" applyBorder="1" applyAlignment="1">
      <alignment horizontal="center" vertical="center" wrapText="1"/>
    </xf>
    <xf numFmtId="165" fontId="169" fillId="0" borderId="30" xfId="0" applyNumberFormat="1" applyFont="1" applyFill="1" applyBorder="1" applyAlignment="1">
      <alignment horizontal="center" vertical="center" wrapText="1"/>
    </xf>
    <xf numFmtId="165" fontId="164" fillId="49" borderId="10" xfId="0" applyNumberFormat="1" applyFont="1" applyFill="1" applyBorder="1" applyAlignment="1">
      <alignment horizontal="center" vertical="center" wrapText="1"/>
    </xf>
    <xf numFmtId="165" fontId="169" fillId="0" borderId="15" xfId="0" applyNumberFormat="1" applyFont="1" applyFill="1" applyBorder="1" applyAlignment="1">
      <alignment horizontal="center" vertical="center" wrapText="1"/>
    </xf>
    <xf numFmtId="165" fontId="171" fillId="0" borderId="10" xfId="0" applyNumberFormat="1" applyFont="1" applyFill="1" applyBorder="1" applyAlignment="1">
      <alignment horizontal="center" vertical="center" wrapText="1"/>
    </xf>
    <xf numFmtId="165" fontId="90" fillId="0" borderId="10" xfId="0" applyNumberFormat="1" applyFont="1" applyFill="1" applyBorder="1" applyAlignment="1">
      <alignment horizontal="center" vertical="center" wrapText="1"/>
    </xf>
    <xf numFmtId="165" fontId="169" fillId="48" borderId="15" xfId="0" applyNumberFormat="1" applyFont="1" applyFill="1" applyBorder="1" applyAlignment="1">
      <alignment horizontal="center" vertical="center" wrapText="1"/>
    </xf>
    <xf numFmtId="165" fontId="169" fillId="40" borderId="10" xfId="0" applyNumberFormat="1" applyFont="1" applyFill="1" applyBorder="1" applyAlignment="1">
      <alignment horizontal="center" vertical="center" wrapText="1"/>
    </xf>
    <xf numFmtId="165" fontId="169" fillId="40" borderId="15" xfId="0" applyNumberFormat="1" applyFont="1" applyFill="1" applyBorder="1" applyAlignment="1">
      <alignment horizontal="center" vertical="center" wrapText="1"/>
    </xf>
    <xf numFmtId="165" fontId="169" fillId="40" borderId="10" xfId="0" applyNumberFormat="1" applyFont="1" applyFill="1" applyBorder="1" applyAlignment="1">
      <alignment horizontal="center" wrapText="1"/>
    </xf>
    <xf numFmtId="165" fontId="169" fillId="48" borderId="31" xfId="0" applyNumberFormat="1" applyFont="1" applyFill="1" applyBorder="1" applyAlignment="1">
      <alignment horizontal="center" vertical="center" wrapText="1"/>
    </xf>
    <xf numFmtId="165" fontId="169" fillId="40" borderId="13" xfId="0" applyNumberFormat="1" applyFont="1" applyFill="1" applyBorder="1" applyAlignment="1">
      <alignment horizontal="center" wrapText="1"/>
    </xf>
    <xf numFmtId="165" fontId="164" fillId="0" borderId="0" xfId="0" applyNumberFormat="1" applyFont="1" applyFill="1" applyBorder="1" applyAlignment="1">
      <alignment horizontal="left" vertical="center" wrapText="1"/>
    </xf>
    <xf numFmtId="165" fontId="169" fillId="0" borderId="0" xfId="0" applyNumberFormat="1" applyFont="1" applyFill="1" applyBorder="1" applyAlignment="1">
      <alignment horizontal="center" vertical="center" wrapText="1"/>
    </xf>
    <xf numFmtId="165" fontId="171" fillId="0" borderId="0" xfId="0" applyNumberFormat="1" applyFont="1" applyFill="1" applyBorder="1" applyAlignment="1">
      <alignment horizontal="center" vertical="center" wrapText="1"/>
    </xf>
    <xf numFmtId="3" fontId="169" fillId="0" borderId="10" xfId="0" applyNumberFormat="1" applyFont="1" applyFill="1" applyBorder="1" applyAlignment="1">
      <alignment horizontal="center" vertical="center" wrapText="1"/>
    </xf>
    <xf numFmtId="0" fontId="196" fillId="0" borderId="10" xfId="0" applyFont="1" applyFill="1" applyBorder="1" applyAlignment="1">
      <alignment horizontal="center" vertical="center" wrapText="1"/>
    </xf>
    <xf numFmtId="0" fontId="32" fillId="0" borderId="0" xfId="0" applyFont="1" applyAlignment="1">
      <alignment wrapText="1"/>
    </xf>
    <xf numFmtId="0" fontId="26" fillId="0" borderId="0" xfId="0" applyFont="1" applyAlignment="1">
      <alignment vertical="center" wrapText="1"/>
    </xf>
    <xf numFmtId="0" fontId="26" fillId="0" borderId="0" xfId="0" applyFont="1" applyAlignment="1">
      <alignment wrapText="1"/>
    </xf>
    <xf numFmtId="0" fontId="26" fillId="0" borderId="30" xfId="0" applyFont="1" applyBorder="1" applyAlignment="1">
      <alignment wrapText="1"/>
    </xf>
    <xf numFmtId="0" fontId="197" fillId="0" borderId="10" xfId="0" applyFont="1" applyFill="1" applyBorder="1" applyAlignment="1">
      <alignment horizontal="center" vertical="center" wrapText="1"/>
    </xf>
    <xf numFmtId="0" fontId="197" fillId="0" borderId="13" xfId="0" applyFont="1" applyFill="1" applyBorder="1" applyAlignment="1">
      <alignment horizontal="center" vertical="center" wrapText="1"/>
    </xf>
    <xf numFmtId="0" fontId="198" fillId="0" borderId="13" xfId="0" applyFont="1" applyFill="1" applyBorder="1" applyAlignment="1">
      <alignment horizontal="left" vertical="center" wrapText="1"/>
    </xf>
    <xf numFmtId="0" fontId="122" fillId="0" borderId="10" xfId="0" applyFont="1" applyBorder="1" applyAlignment="1">
      <alignment horizontal="center" vertical="center" wrapText="1"/>
    </xf>
    <xf numFmtId="165" fontId="123" fillId="0" borderId="10" xfId="0" applyNumberFormat="1" applyFont="1" applyBorder="1" applyAlignment="1">
      <alignment horizontal="center" vertical="center" wrapText="1"/>
    </xf>
    <xf numFmtId="3" fontId="123" fillId="0" borderId="10" xfId="0" applyNumberFormat="1" applyFont="1" applyBorder="1" applyAlignment="1">
      <alignment horizontal="center" vertical="center" wrapText="1"/>
    </xf>
    <xf numFmtId="0" fontId="123" fillId="0" borderId="10" xfId="0" applyFont="1" applyBorder="1" applyAlignment="1">
      <alignment horizontal="left" vertical="center" wrapText="1"/>
    </xf>
    <xf numFmtId="0" fontId="123" fillId="0" borderId="10" xfId="0" applyFont="1" applyBorder="1" applyAlignment="1">
      <alignment horizontal="center" vertical="center" wrapText="1"/>
    </xf>
    <xf numFmtId="3" fontId="198" fillId="0" borderId="1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123" fillId="0" borderId="10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70" fillId="0" borderId="10" xfId="0" applyFont="1" applyBorder="1" applyAlignment="1">
      <alignment horizontal="center" vertical="center" wrapText="1"/>
    </xf>
    <xf numFmtId="0" fontId="93" fillId="0" borderId="10" xfId="0" applyFont="1" applyBorder="1" applyAlignment="1">
      <alignment horizontal="left" vertical="center" wrapText="1"/>
    </xf>
    <xf numFmtId="0" fontId="70" fillId="0" borderId="0" xfId="0" applyFont="1" applyAlignment="1">
      <alignment vertical="center" wrapText="1"/>
    </xf>
    <xf numFmtId="0" fontId="70" fillId="0" borderId="30" xfId="0" applyFont="1" applyBorder="1" applyAlignment="1">
      <alignment vertical="center" wrapText="1"/>
    </xf>
    <xf numFmtId="0" fontId="70" fillId="0" borderId="30" xfId="0" applyFont="1" applyBorder="1" applyAlignment="1">
      <alignment wrapText="1"/>
    </xf>
    <xf numFmtId="3" fontId="93" fillId="0" borderId="10" xfId="0" applyNumberFormat="1" applyFont="1" applyBorder="1" applyAlignment="1">
      <alignment horizontal="right" vertical="center" wrapText="1"/>
    </xf>
    <xf numFmtId="0" fontId="37" fillId="0" borderId="13" xfId="0" applyFont="1" applyFill="1" applyBorder="1" applyAlignment="1">
      <alignment vertical="center" wrapText="1"/>
    </xf>
    <xf numFmtId="0" fontId="37" fillId="0" borderId="19" xfId="0" applyFont="1" applyFill="1" applyBorder="1" applyAlignment="1">
      <alignment vertical="center" wrapText="1"/>
    </xf>
    <xf numFmtId="0" fontId="0" fillId="0" borderId="0" xfId="0" applyBorder="1"/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NumberFormat="1" applyFont="1" applyFill="1" applyBorder="1" applyAlignment="1">
      <alignment horizontal="center" vertical="center" wrapText="1"/>
    </xf>
    <xf numFmtId="166" fontId="33" fillId="0" borderId="0" xfId="0" applyNumberFormat="1" applyFont="1" applyFill="1" applyBorder="1" applyAlignment="1">
      <alignment horizontal="center" vertical="center" wrapText="1"/>
    </xf>
    <xf numFmtId="166" fontId="128" fillId="0" borderId="0" xfId="0" applyNumberFormat="1" applyFont="1" applyFill="1" applyBorder="1" applyAlignment="1">
      <alignment horizontal="center" vertical="center" wrapText="1"/>
    </xf>
    <xf numFmtId="49" fontId="37" fillId="0" borderId="10" xfId="0" applyNumberFormat="1" applyFont="1" applyFill="1" applyBorder="1" applyAlignment="1">
      <alignment vertical="center" wrapText="1"/>
    </xf>
    <xf numFmtId="0" fontId="37" fillId="0" borderId="10" xfId="0" applyNumberFormat="1" applyFont="1" applyFill="1" applyBorder="1" applyAlignment="1">
      <alignment horizontal="center" vertical="center" wrapText="1"/>
    </xf>
    <xf numFmtId="166" fontId="37" fillId="0" borderId="10" xfId="0" applyNumberFormat="1" applyFont="1" applyFill="1" applyBorder="1" applyAlignment="1">
      <alignment horizontal="center" vertical="center" wrapText="1"/>
    </xf>
    <xf numFmtId="166" fontId="40" fillId="0" borderId="10" xfId="0" applyNumberFormat="1" applyFont="1" applyFill="1" applyBorder="1" applyAlignment="1">
      <alignment horizontal="center" vertical="center" wrapText="1"/>
    </xf>
    <xf numFmtId="49" fontId="37" fillId="0" borderId="0" xfId="0" applyNumberFormat="1" applyFont="1" applyBorder="1" applyAlignment="1">
      <alignment wrapText="1"/>
    </xf>
    <xf numFmtId="49" fontId="37" fillId="0" borderId="10" xfId="0" applyNumberFormat="1" applyFont="1" applyFill="1" applyBorder="1" applyAlignment="1">
      <alignment horizontal="center" vertical="center" wrapText="1"/>
    </xf>
    <xf numFmtId="0" fontId="37" fillId="0" borderId="0" xfId="0" applyFont="1" applyBorder="1"/>
    <xf numFmtId="0" fontId="38" fillId="0" borderId="10" xfId="0" applyFont="1" applyFill="1" applyBorder="1" applyAlignment="1">
      <alignment vertical="center" wrapText="1"/>
    </xf>
    <xf numFmtId="166" fontId="129" fillId="0" borderId="10" xfId="0" applyNumberFormat="1" applyFont="1" applyFill="1" applyBorder="1" applyAlignment="1">
      <alignment horizontal="center" vertical="center" wrapText="1"/>
    </xf>
    <xf numFmtId="0" fontId="40" fillId="0" borderId="10" xfId="0" applyNumberFormat="1" applyFont="1" applyFill="1" applyBorder="1" applyAlignment="1">
      <alignment horizontal="center" vertical="center" wrapText="1"/>
    </xf>
    <xf numFmtId="166" fontId="40" fillId="50" borderId="10" xfId="0" applyNumberFormat="1" applyFont="1" applyFill="1" applyBorder="1" applyAlignment="1">
      <alignment horizontal="center" vertical="center" wrapText="1"/>
    </xf>
    <xf numFmtId="166" fontId="40" fillId="37" borderId="10" xfId="0" applyNumberFormat="1" applyFont="1" applyFill="1" applyBorder="1" applyAlignment="1">
      <alignment horizontal="center" vertical="center" wrapText="1"/>
    </xf>
    <xf numFmtId="166" fontId="37" fillId="0" borderId="0" xfId="0" applyNumberFormat="1" applyFont="1" applyBorder="1"/>
    <xf numFmtId="0" fontId="36" fillId="32" borderId="10" xfId="0" applyFont="1" applyFill="1" applyBorder="1" applyAlignment="1">
      <alignment vertical="center" wrapText="1"/>
    </xf>
    <xf numFmtId="49" fontId="38" fillId="32" borderId="10" xfId="0" applyNumberFormat="1" applyFont="1" applyFill="1" applyBorder="1" applyAlignment="1">
      <alignment horizontal="center" vertical="center" wrapText="1"/>
    </xf>
    <xf numFmtId="166" fontId="130" fillId="32" borderId="10" xfId="0" applyNumberFormat="1" applyFont="1" applyFill="1" applyBorder="1" applyAlignment="1">
      <alignment horizontal="center" vertical="center" wrapText="1"/>
    </xf>
    <xf numFmtId="166" fontId="129" fillId="32" borderId="10" xfId="0" applyNumberFormat="1" applyFont="1" applyFill="1" applyBorder="1" applyAlignment="1">
      <alignment horizontal="center" vertical="center" wrapText="1"/>
    </xf>
    <xf numFmtId="0" fontId="38" fillId="32" borderId="10" xfId="0" applyFont="1" applyFill="1" applyBorder="1" applyAlignment="1">
      <alignment vertical="center" wrapText="1"/>
    </xf>
    <xf numFmtId="166" fontId="0" fillId="0" borderId="0" xfId="0" applyNumberFormat="1" applyBorder="1"/>
    <xf numFmtId="0" fontId="0" fillId="0" borderId="0" xfId="0" applyFill="1" applyBorder="1"/>
    <xf numFmtId="0" fontId="37" fillId="32" borderId="10" xfId="0" applyFont="1" applyFill="1" applyBorder="1" applyAlignment="1">
      <alignment vertical="center" wrapText="1"/>
    </xf>
    <xf numFmtId="0" fontId="37" fillId="32" borderId="10" xfId="0" applyNumberFormat="1" applyFont="1" applyFill="1" applyBorder="1" applyAlignment="1">
      <alignment horizontal="center" vertical="center" wrapText="1"/>
    </xf>
    <xf numFmtId="0" fontId="36" fillId="32" borderId="10" xfId="0" applyNumberFormat="1" applyFont="1" applyFill="1" applyBorder="1" applyAlignment="1">
      <alignment horizontal="center" vertical="center" wrapText="1"/>
    </xf>
    <xf numFmtId="0" fontId="40" fillId="32" borderId="10" xfId="0" applyNumberFormat="1" applyFont="1" applyFill="1" applyBorder="1" applyAlignment="1">
      <alignment horizontal="center" vertical="center" wrapText="1"/>
    </xf>
    <xf numFmtId="166" fontId="35" fillId="32" borderId="10" xfId="0" applyNumberFormat="1" applyFont="1" applyFill="1" applyBorder="1" applyAlignment="1">
      <alignment horizontal="center" vertical="center" wrapText="1"/>
    </xf>
    <xf numFmtId="166" fontId="40" fillId="32" borderId="10" xfId="0" applyNumberFormat="1" applyFont="1" applyFill="1" applyBorder="1" applyAlignment="1">
      <alignment horizontal="center" vertical="center" wrapText="1"/>
    </xf>
    <xf numFmtId="0" fontId="36" fillId="0" borderId="10" xfId="0" applyNumberFormat="1" applyFont="1" applyFill="1" applyBorder="1" applyAlignment="1">
      <alignment horizontal="center" vertical="center" wrapText="1"/>
    </xf>
    <xf numFmtId="49" fontId="36" fillId="0" borderId="10" xfId="0" applyNumberFormat="1" applyFont="1" applyFill="1" applyBorder="1" applyAlignment="1">
      <alignment horizontal="center" vertical="center" wrapText="1"/>
    </xf>
    <xf numFmtId="0" fontId="38" fillId="32" borderId="10" xfId="0" applyNumberFormat="1" applyFont="1" applyFill="1" applyBorder="1" applyAlignment="1">
      <alignment horizontal="center" vertical="center" wrapText="1"/>
    </xf>
    <xf numFmtId="49" fontId="37" fillId="32" borderId="10" xfId="0" applyNumberFormat="1" applyFont="1" applyFill="1" applyBorder="1" applyAlignment="1">
      <alignment vertical="center" wrapText="1"/>
    </xf>
    <xf numFmtId="49" fontId="36" fillId="32" borderId="10" xfId="0" applyNumberFormat="1" applyFont="1" applyFill="1" applyBorder="1" applyAlignment="1">
      <alignment horizontal="center" vertical="center" wrapText="1"/>
    </xf>
    <xf numFmtId="0" fontId="37" fillId="0" borderId="0" xfId="0" applyFont="1" applyFill="1" applyBorder="1"/>
    <xf numFmtId="0" fontId="38" fillId="0" borderId="10" xfId="0" applyNumberFormat="1" applyFont="1" applyFill="1" applyBorder="1" applyAlignment="1">
      <alignment horizontal="center" vertical="center" wrapText="1"/>
    </xf>
    <xf numFmtId="166" fontId="34" fillId="0" borderId="10" xfId="0" applyNumberFormat="1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vertical="center" wrapText="1"/>
    </xf>
    <xf numFmtId="0" fontId="35" fillId="0" borderId="10" xfId="0" applyNumberFormat="1" applyFont="1" applyFill="1" applyBorder="1" applyAlignment="1">
      <alignment horizontal="center" vertical="center" wrapText="1"/>
    </xf>
    <xf numFmtId="166" fontId="35" fillId="37" borderId="10" xfId="0" applyNumberFormat="1" applyFont="1" applyFill="1" applyBorder="1" applyAlignment="1">
      <alignment horizontal="center" vertical="center" wrapText="1"/>
    </xf>
    <xf numFmtId="166" fontId="36" fillId="0" borderId="0" xfId="0" applyNumberFormat="1" applyFont="1" applyBorder="1"/>
    <xf numFmtId="0" fontId="36" fillId="0" borderId="0" xfId="0" applyFont="1" applyBorder="1"/>
    <xf numFmtId="0" fontId="45" fillId="0" borderId="28" xfId="0" applyFont="1" applyBorder="1" applyAlignment="1">
      <alignment horizontal="center"/>
    </xf>
    <xf numFmtId="0" fontId="45" fillId="0" borderId="25" xfId="0" applyFont="1" applyBorder="1" applyAlignment="1">
      <alignment horizontal="center"/>
    </xf>
    <xf numFmtId="166" fontId="35" fillId="0" borderId="10" xfId="0" applyNumberFormat="1" applyFont="1" applyFill="1" applyBorder="1" applyAlignment="1">
      <alignment horizontal="center" vertical="center" wrapText="1"/>
    </xf>
    <xf numFmtId="0" fontId="37" fillId="24" borderId="10" xfId="0" applyFont="1" applyFill="1" applyBorder="1" applyAlignment="1">
      <alignment vertical="center" wrapText="1"/>
    </xf>
    <xf numFmtId="0" fontId="38" fillId="24" borderId="10" xfId="0" applyNumberFormat="1" applyFont="1" applyFill="1" applyBorder="1" applyAlignment="1">
      <alignment horizontal="center" vertical="center" wrapText="1"/>
    </xf>
    <xf numFmtId="0" fontId="40" fillId="24" borderId="10" xfId="0" applyNumberFormat="1" applyFont="1" applyFill="1" applyBorder="1" applyAlignment="1">
      <alignment horizontal="center" vertical="center" wrapText="1"/>
    </xf>
    <xf numFmtId="166" fontId="129" fillId="24" borderId="10" xfId="0" applyNumberFormat="1" applyFont="1" applyFill="1" applyBorder="1" applyAlignment="1">
      <alignment horizontal="center" vertical="center" wrapText="1"/>
    </xf>
    <xf numFmtId="0" fontId="38" fillId="24" borderId="10" xfId="0" applyFont="1" applyFill="1" applyBorder="1" applyAlignment="1">
      <alignment vertical="center" wrapText="1"/>
    </xf>
    <xf numFmtId="49" fontId="38" fillId="24" borderId="10" xfId="0" applyNumberFormat="1" applyFont="1" applyFill="1" applyBorder="1" applyAlignment="1">
      <alignment horizontal="center" vertical="center" wrapText="1"/>
    </xf>
    <xf numFmtId="0" fontId="37" fillId="24" borderId="10" xfId="0" applyNumberFormat="1" applyFont="1" applyFill="1" applyBorder="1" applyAlignment="1">
      <alignment horizontal="center" vertical="center" wrapText="1"/>
    </xf>
    <xf numFmtId="0" fontId="36" fillId="24" borderId="10" xfId="0" applyNumberFormat="1" applyFont="1" applyFill="1" applyBorder="1" applyAlignment="1">
      <alignment horizontal="center" vertical="center" wrapText="1"/>
    </xf>
    <xf numFmtId="0" fontId="0" fillId="33" borderId="0" xfId="0" applyFill="1" applyBorder="1"/>
    <xf numFmtId="0" fontId="35" fillId="32" borderId="10" xfId="0" applyNumberFormat="1" applyFont="1" applyFill="1" applyBorder="1" applyAlignment="1">
      <alignment horizontal="center" vertical="center" wrapText="1"/>
    </xf>
    <xf numFmtId="49" fontId="36" fillId="0" borderId="10" xfId="0" applyNumberFormat="1" applyFont="1" applyFill="1" applyBorder="1" applyAlignment="1">
      <alignment vertical="center" wrapText="1"/>
    </xf>
    <xf numFmtId="166" fontId="130" fillId="0" borderId="10" xfId="0" applyNumberFormat="1" applyFont="1" applyFill="1" applyBorder="1" applyAlignment="1">
      <alignment horizontal="center" vertical="center" wrapText="1"/>
    </xf>
    <xf numFmtId="0" fontId="130" fillId="0" borderId="28" xfId="0" applyFont="1" applyBorder="1" applyAlignment="1">
      <alignment horizontal="center" wrapText="1"/>
    </xf>
    <xf numFmtId="0" fontId="130" fillId="0" borderId="24" xfId="0" applyFont="1" applyBorder="1" applyAlignment="1">
      <alignment horizontal="center" wrapText="1"/>
    </xf>
    <xf numFmtId="0" fontId="130" fillId="0" borderId="25" xfId="0" applyFont="1" applyBorder="1" applyAlignment="1">
      <alignment horizontal="center" wrapText="1"/>
    </xf>
    <xf numFmtId="0" fontId="130" fillId="0" borderId="16" xfId="0" applyFont="1" applyBorder="1" applyAlignment="1">
      <alignment horizontal="center" wrapText="1"/>
    </xf>
    <xf numFmtId="0" fontId="131" fillId="0" borderId="25" xfId="0" applyFont="1" applyBorder="1" applyAlignment="1">
      <alignment horizontal="center" wrapText="1"/>
    </xf>
    <xf numFmtId="0" fontId="131" fillId="0" borderId="16" xfId="0" applyFont="1" applyBorder="1" applyAlignment="1">
      <alignment horizontal="center" wrapText="1"/>
    </xf>
    <xf numFmtId="0" fontId="39" fillId="0" borderId="10" xfId="0" applyNumberFormat="1" applyFont="1" applyFill="1" applyBorder="1" applyAlignment="1">
      <alignment horizontal="center" vertical="center" wrapText="1"/>
    </xf>
    <xf numFmtId="0" fontId="34" fillId="0" borderId="10" xfId="0" applyNumberFormat="1" applyFont="1" applyFill="1" applyBorder="1" applyAlignment="1">
      <alignment horizontal="center" vertical="center" wrapText="1"/>
    </xf>
    <xf numFmtId="166" fontId="129" fillId="37" borderId="10" xfId="0" applyNumberFormat="1" applyFont="1" applyFill="1" applyBorder="1" applyAlignment="1">
      <alignment horizontal="center" vertical="center" wrapText="1"/>
    </xf>
    <xf numFmtId="166" fontId="129" fillId="50" borderId="10" xfId="0" applyNumberFormat="1" applyFont="1" applyFill="1" applyBorder="1" applyAlignment="1">
      <alignment horizontal="center" vertical="center" wrapText="1"/>
    </xf>
    <xf numFmtId="0" fontId="36" fillId="24" borderId="10" xfId="0" applyFont="1" applyFill="1" applyBorder="1" applyAlignment="1">
      <alignment vertical="center" wrapText="1"/>
    </xf>
    <xf numFmtId="0" fontId="35" fillId="24" borderId="10" xfId="0" applyNumberFormat="1" applyFont="1" applyFill="1" applyBorder="1" applyAlignment="1">
      <alignment horizontal="center" vertical="center" wrapText="1"/>
    </xf>
    <xf numFmtId="0" fontId="36" fillId="36" borderId="0" xfId="0" applyFont="1" applyFill="1" applyBorder="1"/>
    <xf numFmtId="0" fontId="38" fillId="36" borderId="0" xfId="0" applyFont="1" applyFill="1" applyBorder="1"/>
    <xf numFmtId="166" fontId="34" fillId="37" borderId="10" xfId="0" applyNumberFormat="1" applyFont="1" applyFill="1" applyBorder="1" applyAlignment="1">
      <alignment horizontal="center" vertical="center" wrapText="1"/>
    </xf>
    <xf numFmtId="166" fontId="38" fillId="36" borderId="0" xfId="0" applyNumberFormat="1" applyFont="1" applyFill="1" applyBorder="1"/>
    <xf numFmtId="0" fontId="37" fillId="0" borderId="10" xfId="0" applyNumberFormat="1" applyFont="1" applyFill="1" applyBorder="1" applyAlignment="1">
      <alignment horizontal="right" vertical="center" wrapText="1"/>
    </xf>
    <xf numFmtId="0" fontId="129" fillId="0" borderId="10" xfId="0" applyNumberFormat="1" applyFont="1" applyFill="1" applyBorder="1" applyAlignment="1">
      <alignment horizontal="center" vertical="center" wrapText="1"/>
    </xf>
    <xf numFmtId="0" fontId="36" fillId="0" borderId="0" xfId="0" applyNumberFormat="1" applyFont="1" applyBorder="1"/>
    <xf numFmtId="0" fontId="45" fillId="24" borderId="28" xfId="0" applyFont="1" applyFill="1" applyBorder="1" applyAlignment="1">
      <alignment horizontal="center"/>
    </xf>
    <xf numFmtId="0" fontId="48" fillId="24" borderId="24" xfId="0" applyFont="1" applyFill="1" applyBorder="1" applyAlignment="1">
      <alignment horizontal="right"/>
    </xf>
    <xf numFmtId="0" fontId="45" fillId="24" borderId="25" xfId="0" applyFont="1" applyFill="1" applyBorder="1" applyAlignment="1">
      <alignment horizontal="center"/>
    </xf>
    <xf numFmtId="0" fontId="48" fillId="24" borderId="16" xfId="0" applyFont="1" applyFill="1" applyBorder="1" applyAlignment="1">
      <alignment horizontal="right"/>
    </xf>
    <xf numFmtId="4" fontId="48" fillId="24" borderId="16" xfId="0" applyNumberFormat="1" applyFont="1" applyFill="1" applyBorder="1" applyAlignment="1">
      <alignment horizontal="right"/>
    </xf>
    <xf numFmtId="4" fontId="0" fillId="0" borderId="0" xfId="0" applyNumberFormat="1" applyBorder="1"/>
    <xf numFmtId="0" fontId="40" fillId="24" borderId="11" xfId="0" applyNumberFormat="1" applyFont="1" applyFill="1" applyBorder="1" applyAlignment="1">
      <alignment horizontal="center" vertical="center" wrapText="1"/>
    </xf>
    <xf numFmtId="0" fontId="48" fillId="0" borderId="24" xfId="0" applyFont="1" applyBorder="1" applyAlignment="1">
      <alignment horizontal="right"/>
    </xf>
    <xf numFmtId="0" fontId="34" fillId="24" borderId="11" xfId="0" applyNumberFormat="1" applyFont="1" applyFill="1" applyBorder="1" applyAlignment="1">
      <alignment horizontal="center" vertical="center" wrapText="1"/>
    </xf>
    <xf numFmtId="2" fontId="35" fillId="0" borderId="10" xfId="0" applyNumberFormat="1" applyFont="1" applyBorder="1" applyAlignment="1">
      <alignment horizontal="center"/>
    </xf>
    <xf numFmtId="166" fontId="37" fillId="50" borderId="0" xfId="0" applyNumberFormat="1" applyFont="1" applyFill="1" applyBorder="1"/>
    <xf numFmtId="49" fontId="37" fillId="0" borderId="11" xfId="0" applyNumberFormat="1" applyFont="1" applyFill="1" applyBorder="1" applyAlignment="1">
      <alignment vertical="center" wrapText="1"/>
    </xf>
    <xf numFmtId="49" fontId="37" fillId="0" borderId="11" xfId="0" applyNumberFormat="1" applyFont="1" applyFill="1" applyBorder="1" applyAlignment="1">
      <alignment horizontal="center" vertical="center" wrapText="1"/>
    </xf>
    <xf numFmtId="0" fontId="45" fillId="0" borderId="32" xfId="0" applyFont="1" applyBorder="1" applyAlignment="1">
      <alignment horizontal="center"/>
    </xf>
    <xf numFmtId="0" fontId="45" fillId="0" borderId="33" xfId="0" applyFont="1" applyBorder="1" applyAlignment="1">
      <alignment horizontal="center"/>
    </xf>
    <xf numFmtId="49" fontId="36" fillId="0" borderId="10" xfId="0" applyNumberFormat="1" applyFont="1" applyFill="1" applyBorder="1" applyAlignment="1">
      <alignment horizontal="left" vertical="center" wrapText="1"/>
    </xf>
    <xf numFmtId="0" fontId="48" fillId="0" borderId="16" xfId="0" applyFont="1" applyBorder="1" applyAlignment="1">
      <alignment horizontal="right"/>
    </xf>
    <xf numFmtId="49" fontId="36" fillId="24" borderId="10" xfId="0" applyNumberFormat="1" applyFont="1" applyFill="1" applyBorder="1" applyAlignment="1">
      <alignment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4" fontId="48" fillId="0" borderId="16" xfId="0" applyNumberFormat="1" applyFont="1" applyBorder="1" applyAlignment="1">
      <alignment horizontal="right"/>
    </xf>
    <xf numFmtId="0" fontId="40" fillId="0" borderId="11" xfId="0" applyNumberFormat="1" applyFont="1" applyFill="1" applyBorder="1" applyAlignment="1">
      <alignment horizontal="center" vertical="center" wrapText="1"/>
    </xf>
    <xf numFmtId="166" fontId="37" fillId="0" borderId="0" xfId="0" applyNumberFormat="1" applyFont="1" applyFill="1" applyBorder="1"/>
    <xf numFmtId="0" fontId="37" fillId="24" borderId="0" xfId="0" applyFont="1" applyFill="1" applyBorder="1"/>
    <xf numFmtId="49" fontId="37" fillId="0" borderId="18" xfId="0" applyNumberFormat="1" applyFont="1" applyFill="1" applyBorder="1" applyAlignment="1">
      <alignment vertical="center" wrapText="1"/>
    </xf>
    <xf numFmtId="49" fontId="37" fillId="0" borderId="18" xfId="0" applyNumberFormat="1" applyFont="1" applyFill="1" applyBorder="1" applyAlignment="1">
      <alignment horizontal="center" vertical="center" wrapText="1"/>
    </xf>
    <xf numFmtId="2" fontId="37" fillId="0" borderId="18" xfId="0" applyNumberFormat="1" applyFont="1" applyFill="1" applyBorder="1" applyAlignment="1">
      <alignment horizontal="center" vertical="center" wrapText="1"/>
    </xf>
    <xf numFmtId="2" fontId="37" fillId="0" borderId="18" xfId="0" applyNumberFormat="1" applyFont="1" applyFill="1" applyBorder="1" applyAlignment="1">
      <alignment vertical="center" wrapText="1"/>
    </xf>
    <xf numFmtId="166" fontId="39" fillId="0" borderId="10" xfId="0" applyNumberFormat="1" applyFont="1" applyFill="1" applyBorder="1" applyAlignment="1">
      <alignment horizontal="center" vertical="center" wrapText="1"/>
    </xf>
    <xf numFmtId="166" fontId="38" fillId="0" borderId="10" xfId="0" applyNumberFormat="1" applyFont="1" applyFill="1" applyBorder="1" applyAlignment="1">
      <alignment horizontal="center" vertical="center" wrapText="1"/>
    </xf>
    <xf numFmtId="0" fontId="37" fillId="30" borderId="0" xfId="0" applyFont="1" applyFill="1" applyBorder="1"/>
    <xf numFmtId="166" fontId="37" fillId="30" borderId="0" xfId="0" applyNumberFormat="1" applyFont="1" applyFill="1" applyBorder="1"/>
    <xf numFmtId="0" fontId="37" fillId="0" borderId="19" xfId="0" applyFont="1" applyFill="1" applyBorder="1" applyAlignment="1">
      <alignment horizontal="center" vertical="center" wrapText="1"/>
    </xf>
    <xf numFmtId="166" fontId="37" fillId="50" borderId="19" xfId="0" applyNumberFormat="1" applyFont="1" applyFill="1" applyBorder="1" applyAlignment="1">
      <alignment horizontal="center" vertical="center" wrapText="1"/>
    </xf>
    <xf numFmtId="166" fontId="37" fillId="37" borderId="19" xfId="0" applyNumberFormat="1" applyFont="1" applyFill="1" applyBorder="1" applyAlignment="1">
      <alignment horizontal="center" vertical="center" wrapText="1"/>
    </xf>
    <xf numFmtId="0" fontId="37" fillId="25" borderId="0" xfId="0" applyFont="1" applyFill="1" applyBorder="1"/>
    <xf numFmtId="0" fontId="37" fillId="0" borderId="13" xfId="0" applyFont="1" applyFill="1" applyBorder="1" applyAlignment="1">
      <alignment horizontal="center" vertical="center" wrapText="1"/>
    </xf>
    <xf numFmtId="166" fontId="37" fillId="50" borderId="13" xfId="0" applyNumberFormat="1" applyFont="1" applyFill="1" applyBorder="1" applyAlignment="1">
      <alignment horizontal="center" vertical="center" wrapText="1"/>
    </xf>
    <xf numFmtId="166" fontId="37" fillId="37" borderId="13" xfId="0" applyNumberFormat="1" applyFont="1" applyFill="1" applyBorder="1" applyAlignment="1">
      <alignment horizontal="center" vertical="center" wrapText="1"/>
    </xf>
    <xf numFmtId="0" fontId="37" fillId="27" borderId="0" xfId="0" applyFont="1" applyFill="1" applyBorder="1"/>
    <xf numFmtId="0" fontId="37" fillId="0" borderId="18" xfId="0" applyFont="1" applyFill="1" applyBorder="1" applyAlignment="1">
      <alignment horizontal="center" vertical="center" wrapText="1"/>
    </xf>
    <xf numFmtId="166" fontId="37" fillId="0" borderId="18" xfId="0" applyNumberFormat="1" applyFont="1" applyFill="1" applyBorder="1" applyAlignment="1">
      <alignment horizontal="center" vertical="center" wrapText="1"/>
    </xf>
    <xf numFmtId="166" fontId="37" fillId="37" borderId="18" xfId="0" applyNumberFormat="1" applyFont="1" applyFill="1" applyBorder="1" applyAlignment="1">
      <alignment horizontal="center" vertical="center" wrapText="1"/>
    </xf>
    <xf numFmtId="0" fontId="37" fillId="31" borderId="0" xfId="0" applyFont="1" applyFill="1" applyBorder="1"/>
    <xf numFmtId="166" fontId="39" fillId="50" borderId="10" xfId="0" applyNumberFormat="1" applyFont="1" applyFill="1" applyBorder="1" applyAlignment="1">
      <alignment horizontal="center" vertical="center" wrapText="1"/>
    </xf>
    <xf numFmtId="0" fontId="37" fillId="35" borderId="0" xfId="0" applyFont="1" applyFill="1" applyBorder="1"/>
    <xf numFmtId="0" fontId="37" fillId="0" borderId="10" xfId="0" applyFont="1" applyFill="1" applyBorder="1" applyAlignment="1">
      <alignment horizontal="center" vertical="center" wrapText="1"/>
    </xf>
    <xf numFmtId="0" fontId="36" fillId="24" borderId="0" xfId="0" applyFont="1" applyFill="1" applyBorder="1"/>
    <xf numFmtId="0" fontId="33" fillId="0" borderId="0" xfId="0" applyFont="1" applyBorder="1"/>
    <xf numFmtId="0" fontId="33" fillId="34" borderId="0" xfId="0" applyFont="1" applyFill="1" applyBorder="1"/>
    <xf numFmtId="0" fontId="36" fillId="0" borderId="13" xfId="0" applyFont="1" applyFill="1" applyBorder="1" applyAlignment="1">
      <alignment vertical="center" wrapText="1"/>
    </xf>
    <xf numFmtId="0" fontId="37" fillId="50" borderId="13" xfId="0" applyFont="1" applyFill="1" applyBorder="1" applyAlignment="1">
      <alignment horizontal="center" vertical="center" wrapText="1"/>
    </xf>
    <xf numFmtId="0" fontId="132" fillId="0" borderId="0" xfId="0" applyFont="1" applyFill="1" applyBorder="1"/>
    <xf numFmtId="0" fontId="33" fillId="24" borderId="0" xfId="0" applyFont="1" applyFill="1" applyBorder="1"/>
    <xf numFmtId="0" fontId="39" fillId="50" borderId="13" xfId="0" applyFont="1" applyFill="1" applyBorder="1" applyAlignment="1">
      <alignment horizontal="center" vertical="center" wrapText="1"/>
    </xf>
    <xf numFmtId="0" fontId="39" fillId="0" borderId="13" xfId="0" applyFont="1" applyFill="1" applyBorder="1" applyAlignment="1">
      <alignment vertical="center" wrapText="1"/>
    </xf>
    <xf numFmtId="166" fontId="33" fillId="24" borderId="0" xfId="0" applyNumberFormat="1" applyFont="1" applyFill="1" applyBorder="1"/>
    <xf numFmtId="0" fontId="0" fillId="0" borderId="0" xfId="0" applyFill="1" applyBorder="1" applyAlignment="1">
      <alignment vertical="center" wrapText="1"/>
    </xf>
    <xf numFmtId="0" fontId="40" fillId="0" borderId="28" xfId="0" applyFont="1" applyFill="1" applyBorder="1" applyAlignment="1">
      <alignment horizontal="center" wrapText="1"/>
    </xf>
    <xf numFmtId="0" fontId="131" fillId="0" borderId="24" xfId="0" applyFont="1" applyBorder="1" applyAlignment="1">
      <alignment horizontal="center" wrapText="1"/>
    </xf>
    <xf numFmtId="0" fontId="37" fillId="0" borderId="0" xfId="0" applyFont="1" applyFill="1" applyBorder="1" applyAlignment="1">
      <alignment vertical="center" wrapText="1"/>
    </xf>
    <xf numFmtId="166" fontId="37" fillId="0" borderId="0" xfId="0" applyNumberFormat="1" applyFont="1" applyFill="1" applyBorder="1" applyAlignment="1">
      <alignment horizontal="center" vertical="center" wrapText="1"/>
    </xf>
    <xf numFmtId="166" fontId="37" fillId="0" borderId="0" xfId="0" applyNumberFormat="1" applyFont="1" applyFill="1" applyBorder="1" applyAlignment="1">
      <alignment vertical="center" wrapText="1"/>
    </xf>
    <xf numFmtId="166" fontId="39" fillId="0" borderId="0" xfId="0" applyNumberFormat="1" applyFont="1" applyFill="1" applyBorder="1" applyAlignment="1">
      <alignment horizontal="center" vertical="center" wrapText="1"/>
    </xf>
    <xf numFmtId="166" fontId="0" fillId="0" borderId="0" xfId="0" applyNumberFormat="1" applyFill="1" applyBorder="1" applyAlignment="1">
      <alignment vertical="center" wrapText="1"/>
    </xf>
    <xf numFmtId="0" fontId="0" fillId="0" borderId="10" xfId="0" applyFill="1" applyBorder="1" applyAlignment="1">
      <alignment vertical="center" wrapText="1"/>
    </xf>
    <xf numFmtId="166" fontId="0" fillId="0" borderId="10" xfId="0" applyNumberFormat="1" applyFill="1" applyBorder="1" applyAlignment="1">
      <alignment vertical="center" wrapText="1"/>
    </xf>
    <xf numFmtId="164" fontId="0" fillId="0" borderId="10" xfId="0" applyNumberFormat="1" applyFill="1" applyBorder="1" applyAlignment="1">
      <alignment vertical="center" wrapText="1"/>
    </xf>
    <xf numFmtId="164" fontId="37" fillId="0" borderId="10" xfId="0" applyNumberFormat="1" applyFont="1" applyFill="1" applyBorder="1" applyAlignment="1">
      <alignment horizontal="center" vertical="center" wrapText="1"/>
    </xf>
    <xf numFmtId="166" fontId="45" fillId="0" borderId="10" xfId="0" applyNumberFormat="1" applyFont="1" applyFill="1" applyBorder="1" applyAlignment="1">
      <alignment horizontal="center" vertical="center" wrapText="1"/>
    </xf>
    <xf numFmtId="166" fontId="45" fillId="0" borderId="0" xfId="0" applyNumberFormat="1" applyFont="1" applyFill="1" applyBorder="1" applyAlignment="1">
      <alignment horizontal="center" vertical="center" wrapText="1"/>
    </xf>
    <xf numFmtId="166" fontId="93" fillId="0" borderId="0" xfId="0" applyNumberFormat="1" applyFont="1" applyFill="1" applyBorder="1" applyAlignment="1">
      <alignment horizontal="center" vertical="center" wrapText="1"/>
    </xf>
    <xf numFmtId="164" fontId="36" fillId="0" borderId="10" xfId="0" applyNumberFormat="1" applyFont="1" applyFill="1" applyBorder="1" applyAlignment="1">
      <alignment vertical="center" wrapText="1"/>
    </xf>
    <xf numFmtId="164" fontId="37" fillId="0" borderId="10" xfId="0" applyNumberFormat="1" applyFont="1" applyFill="1" applyBorder="1" applyAlignment="1">
      <alignment vertical="center" wrapText="1"/>
    </xf>
    <xf numFmtId="164" fontId="45" fillId="0" borderId="10" xfId="0" applyNumberFormat="1" applyFont="1" applyFill="1" applyBorder="1" applyAlignment="1">
      <alignment horizontal="center" vertical="center" wrapText="1"/>
    </xf>
    <xf numFmtId="164" fontId="133" fillId="0" borderId="10" xfId="0" applyNumberFormat="1" applyFont="1" applyFill="1" applyBorder="1" applyAlignment="1">
      <alignment horizontal="center" vertical="center" wrapText="1"/>
    </xf>
    <xf numFmtId="2" fontId="0" fillId="0" borderId="10" xfId="0" applyNumberFormat="1" applyFill="1" applyBorder="1" applyAlignment="1">
      <alignment vertical="center" wrapText="1"/>
    </xf>
    <xf numFmtId="164" fontId="0" fillId="0" borderId="10" xfId="0" applyNumberFormat="1" applyFill="1" applyBorder="1" applyAlignment="1">
      <alignment horizontal="right" vertical="center" wrapText="1"/>
    </xf>
    <xf numFmtId="164" fontId="45" fillId="0" borderId="10" xfId="0" applyNumberFormat="1" applyFont="1" applyFill="1" applyBorder="1" applyAlignment="1">
      <alignment horizontal="right" vertical="center" wrapText="1"/>
    </xf>
    <xf numFmtId="166" fontId="36" fillId="0" borderId="10" xfId="0" applyNumberFormat="1" applyFont="1" applyFill="1" applyBorder="1" applyAlignment="1">
      <alignment vertical="center" wrapText="1"/>
    </xf>
    <xf numFmtId="166" fontId="37" fillId="0" borderId="10" xfId="0" applyNumberFormat="1" applyFont="1" applyFill="1" applyBorder="1" applyAlignment="1">
      <alignment vertical="center" wrapText="1"/>
    </xf>
    <xf numFmtId="0" fontId="38" fillId="0" borderId="0" xfId="0" applyFont="1" applyFill="1" applyAlignment="1">
      <alignment vertical="center" wrapText="1"/>
    </xf>
    <xf numFmtId="0" fontId="38" fillId="0" borderId="0" xfId="0" applyNumberFormat="1" applyFont="1" applyFill="1" applyAlignment="1">
      <alignment horizontal="center" vertical="center" wrapText="1"/>
    </xf>
    <xf numFmtId="166" fontId="39" fillId="0" borderId="0" xfId="0" applyNumberFormat="1" applyFont="1" applyFill="1" applyAlignment="1">
      <alignment horizontal="center" vertical="center" wrapText="1"/>
    </xf>
    <xf numFmtId="166" fontId="38" fillId="0" borderId="0" xfId="0" applyNumberFormat="1" applyFont="1" applyFill="1" applyAlignment="1">
      <alignment horizontal="center" vertical="center" wrapText="1"/>
    </xf>
    <xf numFmtId="166" fontId="129" fillId="0" borderId="0" xfId="0" applyNumberFormat="1" applyFont="1" applyFill="1" applyAlignment="1">
      <alignment horizontal="center" vertical="center" wrapText="1"/>
    </xf>
    <xf numFmtId="166" fontId="35" fillId="50" borderId="10" xfId="0" applyNumberFormat="1" applyFont="1" applyFill="1" applyBorder="1" applyAlignment="1">
      <alignment horizontal="center"/>
    </xf>
    <xf numFmtId="49" fontId="0" fillId="0" borderId="10" xfId="0" applyNumberFormat="1" applyFont="1" applyFill="1" applyBorder="1" applyAlignment="1">
      <alignment horizontal="center"/>
    </xf>
    <xf numFmtId="49" fontId="0" fillId="0" borderId="12" xfId="0" applyNumberFormat="1" applyFont="1" applyFill="1" applyBorder="1" applyAlignment="1">
      <alignment horizontal="center"/>
    </xf>
    <xf numFmtId="49" fontId="0" fillId="0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 applyAlignment="1">
      <alignment horizontal="center" vertical="center" wrapText="1"/>
    </xf>
    <xf numFmtId="49" fontId="0" fillId="0" borderId="11" xfId="0" applyNumberFormat="1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0" xfId="0" applyFont="1" applyFill="1"/>
    <xf numFmtId="49" fontId="0" fillId="0" borderId="0" xfId="0" applyNumberFormat="1" applyFont="1" applyFill="1" applyAlignment="1">
      <alignment horizontal="center"/>
    </xf>
    <xf numFmtId="166" fontId="0" fillId="0" borderId="0" xfId="0" applyNumberFormat="1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166" fontId="0" fillId="0" borderId="0" xfId="0" applyNumberFormat="1" applyFont="1" applyFill="1"/>
    <xf numFmtId="4" fontId="0" fillId="0" borderId="0" xfId="0" applyNumberFormat="1" applyFont="1" applyFill="1"/>
    <xf numFmtId="168" fontId="0" fillId="0" borderId="0" xfId="0" applyNumberFormat="1" applyFont="1" applyFill="1"/>
    <xf numFmtId="166" fontId="40" fillId="50" borderId="10" xfId="0" applyNumberFormat="1" applyFont="1" applyFill="1" applyBorder="1" applyAlignment="1">
      <alignment horizontal="center"/>
    </xf>
    <xf numFmtId="166" fontId="40" fillId="50" borderId="18" xfId="0" applyNumberFormat="1" applyFont="1" applyFill="1" applyBorder="1" applyAlignment="1">
      <alignment horizontal="center" vertical="center"/>
    </xf>
    <xf numFmtId="166" fontId="40" fillId="50" borderId="18" xfId="0" applyNumberFormat="1" applyFont="1" applyFill="1" applyBorder="1" applyAlignment="1">
      <alignment horizontal="center"/>
    </xf>
    <xf numFmtId="166" fontId="40" fillId="50" borderId="13" xfId="0" applyNumberFormat="1" applyFont="1" applyFill="1" applyBorder="1" applyAlignment="1">
      <alignment horizontal="center"/>
    </xf>
    <xf numFmtId="166" fontId="46" fillId="50" borderId="10" xfId="0" applyNumberFormat="1" applyFont="1" applyFill="1" applyBorder="1" applyAlignment="1">
      <alignment horizontal="center"/>
    </xf>
    <xf numFmtId="49" fontId="49" fillId="34" borderId="10" xfId="0" applyNumberFormat="1" applyFont="1" applyFill="1" applyBorder="1" applyAlignment="1">
      <alignment horizontal="center" vertical="center" wrapText="1"/>
    </xf>
    <xf numFmtId="0" fontId="49" fillId="34" borderId="10" xfId="0" applyFont="1" applyFill="1" applyBorder="1" applyAlignment="1">
      <alignment horizontal="left" vertical="center" wrapText="1"/>
    </xf>
    <xf numFmtId="168" fontId="49" fillId="34" borderId="10" xfId="0" applyNumberFormat="1" applyFont="1" applyFill="1" applyBorder="1" applyAlignment="1">
      <alignment horizontal="right" vertical="center" wrapText="1"/>
    </xf>
    <xf numFmtId="0" fontId="45" fillId="0" borderId="0" xfId="0" applyFont="1" applyFill="1" applyAlignment="1">
      <alignment horizontal="left" vertical="center"/>
    </xf>
    <xf numFmtId="0" fontId="45" fillId="0" borderId="0" xfId="0" applyFont="1" applyFill="1" applyAlignment="1">
      <alignment vertical="center"/>
    </xf>
    <xf numFmtId="168" fontId="45" fillId="0" borderId="0" xfId="0" applyNumberFormat="1" applyFont="1" applyFill="1" applyAlignment="1">
      <alignment horizontal="right" vertical="center"/>
    </xf>
    <xf numFmtId="49" fontId="127" fillId="0" borderId="10" xfId="0" applyNumberFormat="1" applyFont="1" applyFill="1" applyBorder="1" applyAlignment="1">
      <alignment horizontal="left" vertical="center"/>
    </xf>
    <xf numFmtId="49" fontId="127" fillId="0" borderId="10" xfId="0" applyNumberFormat="1" applyFont="1" applyFill="1" applyBorder="1" applyAlignment="1">
      <alignment horizontal="center" vertical="center"/>
    </xf>
    <xf numFmtId="49" fontId="127" fillId="0" borderId="11" xfId="0" applyNumberFormat="1" applyFont="1" applyFill="1" applyBorder="1" applyAlignment="1">
      <alignment horizontal="center" vertical="center"/>
    </xf>
    <xf numFmtId="168" fontId="127" fillId="0" borderId="10" xfId="0" applyNumberFormat="1" applyFont="1" applyFill="1" applyBorder="1" applyAlignment="1">
      <alignment horizontal="center" vertical="center"/>
    </xf>
    <xf numFmtId="49" fontId="133" fillId="0" borderId="10" xfId="0" applyNumberFormat="1" applyFont="1" applyFill="1" applyBorder="1" applyAlignment="1">
      <alignment horizontal="left" vertical="top" wrapText="1"/>
    </xf>
    <xf numFmtId="49" fontId="133" fillId="0" borderId="10" xfId="0" applyNumberFormat="1" applyFont="1" applyFill="1" applyBorder="1" applyAlignment="1">
      <alignment horizontal="center" vertical="center"/>
    </xf>
    <xf numFmtId="49" fontId="133" fillId="0" borderId="11" xfId="0" applyNumberFormat="1" applyFont="1" applyFill="1" applyBorder="1" applyAlignment="1">
      <alignment horizontal="center" vertical="center"/>
    </xf>
    <xf numFmtId="168" fontId="133" fillId="0" borderId="10" xfId="0" applyNumberFormat="1" applyFont="1" applyFill="1" applyBorder="1" applyAlignment="1">
      <alignment horizontal="right" vertical="center"/>
    </xf>
    <xf numFmtId="0" fontId="133" fillId="29" borderId="10" xfId="0" applyFont="1" applyFill="1" applyBorder="1" applyAlignment="1">
      <alignment horizontal="justify" vertical="center" wrapText="1"/>
    </xf>
    <xf numFmtId="49" fontId="133" fillId="29" borderId="10" xfId="0" applyNumberFormat="1" applyFont="1" applyFill="1" applyBorder="1" applyAlignment="1">
      <alignment horizontal="center" vertical="center" wrapText="1"/>
    </xf>
    <xf numFmtId="49" fontId="133" fillId="29" borderId="10" xfId="0" applyNumberFormat="1" applyFont="1" applyFill="1" applyBorder="1" applyAlignment="1">
      <alignment horizontal="center" vertical="center"/>
    </xf>
    <xf numFmtId="168" fontId="133" fillId="29" borderId="10" xfId="0" applyNumberFormat="1" applyFont="1" applyFill="1" applyBorder="1" applyAlignment="1">
      <alignment horizontal="right" vertical="center"/>
    </xf>
    <xf numFmtId="0" fontId="126" fillId="29" borderId="10" xfId="81" applyFont="1" applyFill="1" applyBorder="1" applyAlignment="1">
      <alignment vertical="center" wrapText="1"/>
    </xf>
    <xf numFmtId="49" fontId="126" fillId="29" borderId="10" xfId="81" applyNumberFormat="1" applyFont="1" applyFill="1" applyBorder="1" applyAlignment="1">
      <alignment horizontal="center" vertical="center" wrapText="1"/>
    </xf>
    <xf numFmtId="49" fontId="126" fillId="29" borderId="10" xfId="0" applyNumberFormat="1" applyFont="1" applyFill="1" applyBorder="1" applyAlignment="1">
      <alignment horizontal="center" vertical="center"/>
    </xf>
    <xf numFmtId="168" fontId="126" fillId="29" borderId="10" xfId="0" applyNumberFormat="1" applyFont="1" applyFill="1" applyBorder="1" applyAlignment="1">
      <alignment horizontal="right" vertical="center"/>
    </xf>
    <xf numFmtId="49" fontId="125" fillId="29" borderId="10" xfId="0" applyNumberFormat="1" applyFont="1" applyFill="1" applyBorder="1" applyAlignment="1">
      <alignment horizontal="left" vertical="center" wrapText="1"/>
    </xf>
    <xf numFmtId="49" fontId="125" fillId="29" borderId="10" xfId="0" applyNumberFormat="1" applyFont="1" applyFill="1" applyBorder="1" applyAlignment="1">
      <alignment horizontal="center" vertical="center" wrapText="1"/>
    </xf>
    <xf numFmtId="49" fontId="125" fillId="29" borderId="10" xfId="0" applyNumberFormat="1" applyFont="1" applyFill="1" applyBorder="1" applyAlignment="1">
      <alignment horizontal="center" vertical="center"/>
    </xf>
    <xf numFmtId="168" fontId="125" fillId="29" borderId="10" xfId="0" applyNumberFormat="1" applyFont="1" applyFill="1" applyBorder="1" applyAlignment="1">
      <alignment horizontal="right" vertical="center"/>
    </xf>
    <xf numFmtId="0" fontId="45" fillId="29" borderId="10" xfId="0" applyFont="1" applyFill="1" applyBorder="1" applyAlignment="1">
      <alignment horizontal="left" vertical="center"/>
    </xf>
    <xf numFmtId="49" fontId="45" fillId="29" borderId="10" xfId="0" applyNumberFormat="1" applyFont="1" applyFill="1" applyBorder="1" applyAlignment="1">
      <alignment horizontal="center" vertical="center"/>
    </xf>
    <xf numFmtId="168" fontId="45" fillId="29" borderId="10" xfId="0" applyNumberFormat="1" applyFont="1" applyFill="1" applyBorder="1" applyAlignment="1">
      <alignment horizontal="right" vertical="center"/>
    </xf>
    <xf numFmtId="49" fontId="125" fillId="29" borderId="12" xfId="0" applyNumberFormat="1" applyFont="1" applyFill="1" applyBorder="1" applyAlignment="1">
      <alignment horizontal="center" vertical="center"/>
    </xf>
    <xf numFmtId="0" fontId="133" fillId="34" borderId="10" xfId="0" applyFont="1" applyFill="1" applyBorder="1" applyAlignment="1">
      <alignment horizontal="justify" vertical="center" wrapText="1"/>
    </xf>
    <xf numFmtId="49" fontId="133" fillId="34" borderId="10" xfId="0" applyNumberFormat="1" applyFont="1" applyFill="1" applyBorder="1" applyAlignment="1">
      <alignment horizontal="center" vertical="center" wrapText="1"/>
    </xf>
    <xf numFmtId="0" fontId="133" fillId="34" borderId="10" xfId="0" applyFont="1" applyFill="1" applyBorder="1" applyAlignment="1">
      <alignment horizontal="center" vertical="center" wrapText="1"/>
    </xf>
    <xf numFmtId="168" fontId="133" fillId="34" borderId="13" xfId="0" applyNumberFormat="1" applyFont="1" applyFill="1" applyBorder="1" applyAlignment="1">
      <alignment horizontal="right" vertical="center" wrapText="1"/>
    </xf>
    <xf numFmtId="0" fontId="45" fillId="34" borderId="10" xfId="0" applyFont="1" applyFill="1" applyBorder="1" applyAlignment="1">
      <alignment vertical="center" wrapText="1"/>
    </xf>
    <xf numFmtId="49" fontId="45" fillId="34" borderId="10" xfId="0" applyNumberFormat="1" applyFont="1" applyFill="1" applyBorder="1" applyAlignment="1">
      <alignment horizontal="center" vertical="center" wrapText="1"/>
    </xf>
    <xf numFmtId="0" fontId="45" fillId="34" borderId="10" xfId="0" applyFont="1" applyFill="1" applyBorder="1" applyAlignment="1">
      <alignment horizontal="center" vertical="center" wrapText="1"/>
    </xf>
    <xf numFmtId="0" fontId="126" fillId="0" borderId="10" xfId="0" applyFont="1" applyBorder="1" applyAlignment="1">
      <alignment vertical="center" wrapText="1"/>
    </xf>
    <xf numFmtId="49" fontId="126" fillId="0" borderId="10" xfId="0" applyNumberFormat="1" applyFont="1" applyBorder="1" applyAlignment="1">
      <alignment horizontal="center" vertical="center" wrapText="1"/>
    </xf>
    <xf numFmtId="0" fontId="126" fillId="0" borderId="10" xfId="0" applyFont="1" applyBorder="1" applyAlignment="1">
      <alignment horizontal="center" vertical="center" wrapText="1"/>
    </xf>
    <xf numFmtId="49" fontId="127" fillId="0" borderId="10" xfId="0" applyNumberFormat="1" applyFont="1" applyFill="1" applyBorder="1" applyAlignment="1">
      <alignment horizontal="center" vertical="center" wrapText="1"/>
    </xf>
    <xf numFmtId="168" fontId="126" fillId="0" borderId="10" xfId="0" applyNumberFormat="1" applyFont="1" applyFill="1" applyBorder="1" applyAlignment="1">
      <alignment horizontal="right" vertical="center"/>
    </xf>
    <xf numFmtId="49" fontId="125" fillId="0" borderId="10" xfId="0" applyNumberFormat="1" applyFont="1" applyFill="1" applyBorder="1" applyAlignment="1">
      <alignment horizontal="left" vertical="center" wrapText="1"/>
    </xf>
    <xf numFmtId="49" fontId="125" fillId="0" borderId="10" xfId="0" applyNumberFormat="1" applyFont="1" applyBorder="1" applyAlignment="1">
      <alignment horizontal="center" vertical="center" wrapText="1"/>
    </xf>
    <xf numFmtId="0" fontId="125" fillId="0" borderId="10" xfId="0" applyFont="1" applyBorder="1" applyAlignment="1">
      <alignment horizontal="center" vertical="center" wrapText="1"/>
    </xf>
    <xf numFmtId="49" fontId="125" fillId="0" borderId="10" xfId="0" applyNumberFormat="1" applyFont="1" applyFill="1" applyBorder="1" applyAlignment="1">
      <alignment horizontal="center" vertical="center" wrapText="1"/>
    </xf>
    <xf numFmtId="168" fontId="125" fillId="0" borderId="10" xfId="0" applyNumberFormat="1" applyFont="1" applyFill="1" applyBorder="1" applyAlignment="1">
      <alignment horizontal="right" vertical="center"/>
    </xf>
    <xf numFmtId="0" fontId="45" fillId="0" borderId="10" xfId="0" applyFont="1" applyFill="1" applyBorder="1" applyAlignment="1">
      <alignment horizontal="left" vertical="center"/>
    </xf>
    <xf numFmtId="49" fontId="45" fillId="0" borderId="10" xfId="0" applyNumberFormat="1" applyFont="1" applyFill="1" applyBorder="1" applyAlignment="1">
      <alignment horizontal="center" vertical="center"/>
    </xf>
    <xf numFmtId="168" fontId="45" fillId="0" borderId="10" xfId="0" applyNumberFormat="1" applyFont="1" applyFill="1" applyBorder="1" applyAlignment="1">
      <alignment horizontal="right" vertical="center"/>
    </xf>
    <xf numFmtId="49" fontId="125" fillId="0" borderId="10" xfId="0" applyNumberFormat="1" applyFont="1" applyFill="1" applyBorder="1" applyAlignment="1">
      <alignment horizontal="center" vertical="center"/>
    </xf>
    <xf numFmtId="49" fontId="125" fillId="0" borderId="11" xfId="0" applyNumberFormat="1" applyFont="1" applyFill="1" applyBorder="1" applyAlignment="1">
      <alignment horizontal="center" vertical="center"/>
    </xf>
    <xf numFmtId="0" fontId="133" fillId="34" borderId="10" xfId="0" applyFont="1" applyFill="1" applyBorder="1" applyAlignment="1">
      <alignment horizontal="left" vertical="center" wrapText="1"/>
    </xf>
    <xf numFmtId="49" fontId="133" fillId="34" borderId="11" xfId="0" applyNumberFormat="1" applyFont="1" applyFill="1" applyBorder="1" applyAlignment="1">
      <alignment horizontal="center" vertical="center" wrapText="1"/>
    </xf>
    <xf numFmtId="168" fontId="133" fillId="34" borderId="10" xfId="0" applyNumberFormat="1" applyFont="1" applyFill="1" applyBorder="1" applyAlignment="1">
      <alignment horizontal="right" vertical="center" wrapText="1"/>
    </xf>
    <xf numFmtId="49" fontId="127" fillId="0" borderId="11" xfId="0" applyNumberFormat="1" applyFont="1" applyFill="1" applyBorder="1" applyAlignment="1">
      <alignment horizontal="center" vertical="center" wrapText="1"/>
    </xf>
    <xf numFmtId="49" fontId="125" fillId="0" borderId="11" xfId="0" applyNumberFormat="1" applyFont="1" applyFill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left" vertical="center" wrapText="1"/>
    </xf>
    <xf numFmtId="49" fontId="135" fillId="0" borderId="10" xfId="0" applyNumberFormat="1" applyFont="1" applyBorder="1" applyAlignment="1">
      <alignment horizontal="center" vertical="center" wrapText="1"/>
    </xf>
    <xf numFmtId="0" fontId="135" fillId="0" borderId="10" xfId="0" applyFont="1" applyBorder="1" applyAlignment="1">
      <alignment horizontal="center" vertical="center" wrapText="1"/>
    </xf>
    <xf numFmtId="49" fontId="45" fillId="0" borderId="11" xfId="0" applyNumberFormat="1" applyFont="1" applyFill="1" applyBorder="1" applyAlignment="1">
      <alignment horizontal="center" vertical="center"/>
    </xf>
    <xf numFmtId="49" fontId="133" fillId="34" borderId="10" xfId="0" applyNumberFormat="1" applyFont="1" applyFill="1" applyBorder="1" applyAlignment="1">
      <alignment horizontal="left" vertical="center" wrapText="1"/>
    </xf>
    <xf numFmtId="0" fontId="133" fillId="34" borderId="10" xfId="0" applyFont="1" applyFill="1" applyBorder="1" applyAlignment="1">
      <alignment vertical="center" wrapText="1"/>
    </xf>
    <xf numFmtId="168" fontId="45" fillId="34" borderId="18" xfId="0" applyNumberFormat="1" applyFont="1" applyFill="1" applyBorder="1" applyAlignment="1">
      <alignment horizontal="right" vertical="center"/>
    </xf>
    <xf numFmtId="0" fontId="136" fillId="0" borderId="10" xfId="0" applyFont="1" applyBorder="1" applyAlignment="1">
      <alignment vertical="center" wrapText="1"/>
    </xf>
    <xf numFmtId="49" fontId="136" fillId="0" borderId="10" xfId="0" applyNumberFormat="1" applyFont="1" applyBorder="1" applyAlignment="1">
      <alignment horizontal="center" vertical="center" wrapText="1"/>
    </xf>
    <xf numFmtId="0" fontId="136" fillId="0" borderId="10" xfId="0" applyFont="1" applyBorder="1" applyAlignment="1">
      <alignment horizontal="center" vertical="center" wrapText="1"/>
    </xf>
    <xf numFmtId="0" fontId="137" fillId="0" borderId="10" xfId="0" applyFont="1" applyFill="1" applyBorder="1" applyAlignment="1">
      <alignment vertical="center" wrapText="1"/>
    </xf>
    <xf numFmtId="0" fontId="125" fillId="0" borderId="10" xfId="81" applyFont="1" applyBorder="1" applyAlignment="1">
      <alignment vertical="center" wrapText="1"/>
    </xf>
    <xf numFmtId="49" fontId="125" fillId="0" borderId="10" xfId="81" applyNumberFormat="1" applyFont="1" applyBorder="1" applyAlignment="1">
      <alignment horizontal="center" vertical="center" wrapText="1"/>
    </xf>
    <xf numFmtId="0" fontId="125" fillId="0" borderId="10" xfId="0" applyFont="1" applyFill="1" applyBorder="1" applyAlignment="1">
      <alignment horizontal="left" vertical="center" wrapText="1"/>
    </xf>
    <xf numFmtId="0" fontId="45" fillId="0" borderId="13" xfId="0" applyFont="1" applyFill="1" applyBorder="1" applyAlignment="1">
      <alignment horizontal="left" vertical="center"/>
    </xf>
    <xf numFmtId="49" fontId="45" fillId="0" borderId="13" xfId="0" applyNumberFormat="1" applyFont="1" applyFill="1" applyBorder="1" applyAlignment="1">
      <alignment horizontal="center" vertical="center"/>
    </xf>
    <xf numFmtId="168" fontId="45" fillId="0" borderId="10" xfId="0" applyNumberFormat="1" applyFont="1" applyFill="1" applyBorder="1" applyAlignment="1">
      <alignment horizontal="right"/>
    </xf>
    <xf numFmtId="168" fontId="125" fillId="0" borderId="10" xfId="0" applyNumberFormat="1" applyFont="1" applyFill="1" applyBorder="1" applyAlignment="1">
      <alignment horizontal="right"/>
    </xf>
    <xf numFmtId="0" fontId="133" fillId="0" borderId="10" xfId="81" applyFont="1" applyBorder="1" applyAlignment="1">
      <alignment vertical="center" wrapText="1"/>
    </xf>
    <xf numFmtId="49" fontId="93" fillId="0" borderId="10" xfId="81" applyNumberFormat="1" applyFont="1" applyBorder="1" applyAlignment="1">
      <alignment horizontal="center" vertical="center" wrapText="1"/>
    </xf>
    <xf numFmtId="49" fontId="93" fillId="0" borderId="10" xfId="81" applyNumberFormat="1" applyFont="1" applyFill="1" applyBorder="1" applyAlignment="1">
      <alignment horizontal="center" vertical="center" wrapText="1"/>
    </xf>
    <xf numFmtId="49" fontId="125" fillId="29" borderId="10" xfId="81" applyNumberFormat="1" applyFont="1" applyFill="1" applyBorder="1" applyAlignment="1">
      <alignment horizontal="center" vertical="center" wrapText="1"/>
    </xf>
    <xf numFmtId="0" fontId="133" fillId="34" borderId="10" xfId="81" applyFont="1" applyFill="1" applyBorder="1" applyAlignment="1">
      <alignment vertical="center" wrapText="1"/>
    </xf>
    <xf numFmtId="49" fontId="133" fillId="34" borderId="10" xfId="81" applyNumberFormat="1" applyFont="1" applyFill="1" applyBorder="1" applyAlignment="1">
      <alignment horizontal="center" vertical="center" wrapText="1"/>
    </xf>
    <xf numFmtId="49" fontId="133" fillId="34" borderId="10" xfId="0" applyNumberFormat="1" applyFont="1" applyFill="1" applyBorder="1" applyAlignment="1">
      <alignment horizontal="center" vertical="center"/>
    </xf>
    <xf numFmtId="168" fontId="133" fillId="34" borderId="18" xfId="0" applyNumberFormat="1" applyFont="1" applyFill="1" applyBorder="1" applyAlignment="1">
      <alignment horizontal="right" vertical="center"/>
    </xf>
    <xf numFmtId="0" fontId="126" fillId="0" borderId="10" xfId="81" applyFont="1" applyBorder="1" applyAlignment="1">
      <alignment vertical="center" wrapText="1"/>
    </xf>
    <xf numFmtId="49" fontId="126" fillId="0" borderId="10" xfId="81" applyNumberFormat="1" applyFont="1" applyBorder="1" applyAlignment="1">
      <alignment horizontal="center" vertical="center" wrapText="1"/>
    </xf>
    <xf numFmtId="168" fontId="127" fillId="0" borderId="18" xfId="0" applyNumberFormat="1" applyFont="1" applyFill="1" applyBorder="1" applyAlignment="1">
      <alignment horizontal="right" vertical="center"/>
    </xf>
    <xf numFmtId="0" fontId="45" fillId="0" borderId="10" xfId="81" applyFont="1" applyBorder="1" applyAlignment="1">
      <alignment vertical="center" wrapText="1"/>
    </xf>
    <xf numFmtId="49" fontId="45" fillId="0" borderId="10" xfId="81" applyNumberFormat="1" applyFont="1" applyBorder="1" applyAlignment="1">
      <alignment horizontal="center" vertical="center" wrapText="1"/>
    </xf>
    <xf numFmtId="168" fontId="133" fillId="0" borderId="18" xfId="0" applyNumberFormat="1" applyFont="1" applyFill="1" applyBorder="1" applyAlignment="1">
      <alignment horizontal="right" vertical="center"/>
    </xf>
    <xf numFmtId="49" fontId="45" fillId="34" borderId="10" xfId="0" applyNumberFormat="1" applyFont="1" applyFill="1" applyBorder="1" applyAlignment="1">
      <alignment horizontal="center" vertical="center"/>
    </xf>
    <xf numFmtId="168" fontId="45" fillId="34" borderId="10" xfId="0" applyNumberFormat="1" applyFont="1" applyFill="1" applyBorder="1" applyAlignment="1">
      <alignment horizontal="right" vertical="center"/>
    </xf>
    <xf numFmtId="49" fontId="126" fillId="0" borderId="10" xfId="0" applyNumberFormat="1" applyFont="1" applyFill="1" applyBorder="1" applyAlignment="1">
      <alignment horizontal="center" vertical="center"/>
    </xf>
    <xf numFmtId="168" fontId="124" fillId="0" borderId="10" xfId="0" applyNumberFormat="1" applyFont="1" applyFill="1" applyBorder="1" applyAlignment="1">
      <alignment horizontal="right" vertical="center"/>
    </xf>
    <xf numFmtId="0" fontId="125" fillId="0" borderId="10" xfId="0" applyFont="1" applyFill="1" applyBorder="1" applyAlignment="1">
      <alignment horizontal="center" vertical="center"/>
    </xf>
    <xf numFmtId="49" fontId="45" fillId="34" borderId="10" xfId="81" applyNumberFormat="1" applyFont="1" applyFill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/>
    </xf>
    <xf numFmtId="49" fontId="45" fillId="34" borderId="0" xfId="0" applyNumberFormat="1" applyFont="1" applyFill="1" applyAlignment="1">
      <alignment horizontal="center" vertical="center"/>
    </xf>
    <xf numFmtId="168" fontId="45" fillId="34" borderId="13" xfId="0" applyNumberFormat="1" applyFont="1" applyFill="1" applyBorder="1" applyAlignment="1">
      <alignment horizontal="right"/>
    </xf>
    <xf numFmtId="49" fontId="126" fillId="0" borderId="11" xfId="0" applyNumberFormat="1" applyFont="1" applyFill="1" applyBorder="1" applyAlignment="1">
      <alignment horizontal="center" vertical="center"/>
    </xf>
    <xf numFmtId="0" fontId="133" fillId="34" borderId="10" xfId="0" applyFont="1" applyFill="1" applyBorder="1" applyAlignment="1">
      <alignment horizontal="left" vertical="center"/>
    </xf>
    <xf numFmtId="168" fontId="45" fillId="34" borderId="10" xfId="0" applyNumberFormat="1" applyFont="1" applyFill="1" applyBorder="1" applyAlignment="1">
      <alignment horizontal="right"/>
    </xf>
    <xf numFmtId="49" fontId="45" fillId="34" borderId="11" xfId="0" applyNumberFormat="1" applyFont="1" applyFill="1" applyBorder="1" applyAlignment="1">
      <alignment horizontal="center" vertical="center"/>
    </xf>
    <xf numFmtId="0" fontId="124" fillId="34" borderId="10" xfId="81" applyFont="1" applyFill="1" applyBorder="1" applyAlignment="1">
      <alignment vertical="center" wrapText="1"/>
    </xf>
    <xf numFmtId="49" fontId="124" fillId="34" borderId="10" xfId="81" applyNumberFormat="1" applyFont="1" applyFill="1" applyBorder="1" applyAlignment="1">
      <alignment horizontal="center" vertical="center" wrapText="1"/>
    </xf>
    <xf numFmtId="49" fontId="124" fillId="34" borderId="11" xfId="0" applyNumberFormat="1" applyFont="1" applyFill="1" applyBorder="1" applyAlignment="1">
      <alignment horizontal="center" vertical="center"/>
    </xf>
    <xf numFmtId="168" fontId="124" fillId="34" borderId="10" xfId="0" applyNumberFormat="1" applyFont="1" applyFill="1" applyBorder="1" applyAlignment="1">
      <alignment horizontal="right"/>
    </xf>
    <xf numFmtId="49" fontId="126" fillId="0" borderId="10" xfId="81" applyNumberFormat="1" applyFont="1" applyFill="1" applyBorder="1" applyAlignment="1">
      <alignment horizontal="center" vertical="center" wrapText="1"/>
    </xf>
    <xf numFmtId="49" fontId="133" fillId="34" borderId="11" xfId="0" applyNumberFormat="1" applyFont="1" applyFill="1" applyBorder="1" applyAlignment="1">
      <alignment horizontal="center" vertical="center"/>
    </xf>
    <xf numFmtId="168" fontId="133" fillId="34" borderId="10" xfId="0" applyNumberFormat="1" applyFont="1" applyFill="1" applyBorder="1" applyAlignment="1">
      <alignment horizontal="right" vertical="center"/>
    </xf>
    <xf numFmtId="0" fontId="45" fillId="34" borderId="10" xfId="81" applyFont="1" applyFill="1" applyBorder="1" applyAlignment="1">
      <alignment vertical="center" wrapText="1"/>
    </xf>
    <xf numFmtId="0" fontId="135" fillId="0" borderId="10" xfId="0" applyFont="1" applyFill="1" applyBorder="1" applyAlignment="1">
      <alignment horizontal="left" vertical="center" wrapText="1"/>
    </xf>
    <xf numFmtId="49" fontId="135" fillId="0" borderId="10" xfId="0" applyNumberFormat="1" applyFont="1" applyFill="1" applyBorder="1" applyAlignment="1">
      <alignment horizontal="center" vertical="center" wrapText="1"/>
    </xf>
    <xf numFmtId="49" fontId="135" fillId="0" borderId="11" xfId="0" applyNumberFormat="1" applyFont="1" applyFill="1" applyBorder="1" applyAlignment="1">
      <alignment horizontal="center" vertical="center" wrapText="1"/>
    </xf>
    <xf numFmtId="168" fontId="135" fillId="0" borderId="10" xfId="0" applyNumberFormat="1" applyFont="1" applyFill="1" applyBorder="1" applyAlignment="1">
      <alignment horizontal="right" vertical="center" wrapText="1"/>
    </xf>
    <xf numFmtId="0" fontId="133" fillId="34" borderId="18" xfId="0" applyFont="1" applyFill="1" applyBorder="1" applyAlignment="1">
      <alignment horizontal="left" vertical="center" wrapText="1"/>
    </xf>
    <xf numFmtId="49" fontId="45" fillId="0" borderId="10" xfId="0" applyNumberFormat="1" applyFont="1" applyFill="1" applyBorder="1" applyAlignment="1">
      <alignment horizontal="center" vertical="center" wrapText="1"/>
    </xf>
    <xf numFmtId="49" fontId="45" fillId="0" borderId="11" xfId="0" applyNumberFormat="1" applyFont="1" applyFill="1" applyBorder="1" applyAlignment="1">
      <alignment horizontal="center" vertical="center" wrapText="1"/>
    </xf>
    <xf numFmtId="168" fontId="45" fillId="0" borderId="10" xfId="0" applyNumberFormat="1" applyFont="1" applyFill="1" applyBorder="1" applyAlignment="1">
      <alignment horizontal="right" vertical="center" wrapText="1"/>
    </xf>
    <xf numFmtId="0" fontId="45" fillId="25" borderId="10" xfId="0" applyFont="1" applyFill="1" applyBorder="1" applyAlignment="1">
      <alignment horizontal="left" vertical="center" wrapText="1"/>
    </xf>
    <xf numFmtId="49" fontId="45" fillId="25" borderId="10" xfId="0" applyNumberFormat="1" applyFont="1" applyFill="1" applyBorder="1" applyAlignment="1">
      <alignment horizontal="center" vertical="center" wrapText="1"/>
    </xf>
    <xf numFmtId="3" fontId="45" fillId="25" borderId="10" xfId="0" applyNumberFormat="1" applyFont="1" applyFill="1" applyBorder="1" applyAlignment="1">
      <alignment horizontal="center" vertical="center"/>
    </xf>
    <xf numFmtId="168" fontId="45" fillId="25" borderId="10" xfId="0" applyNumberFormat="1" applyFont="1" applyFill="1" applyBorder="1" applyAlignment="1">
      <alignment horizontal="right" vertical="center"/>
    </xf>
    <xf numFmtId="0" fontId="133" fillId="25" borderId="10" xfId="0" applyFont="1" applyFill="1" applyBorder="1" applyAlignment="1">
      <alignment horizontal="left" vertical="center" wrapText="1"/>
    </xf>
    <xf numFmtId="49" fontId="133" fillId="25" borderId="10" xfId="0" applyNumberFormat="1" applyFont="1" applyFill="1" applyBorder="1" applyAlignment="1">
      <alignment horizontal="center" vertical="center" wrapText="1"/>
    </xf>
    <xf numFmtId="3" fontId="45" fillId="25" borderId="10" xfId="0" applyNumberFormat="1" applyFont="1" applyFill="1" applyBorder="1" applyAlignment="1">
      <alignment vertical="center"/>
    </xf>
    <xf numFmtId="168" fontId="133" fillId="25" borderId="10" xfId="0" applyNumberFormat="1" applyFont="1" applyFill="1" applyBorder="1" applyAlignment="1">
      <alignment horizontal="right" vertical="center"/>
    </xf>
    <xf numFmtId="0" fontId="133" fillId="34" borderId="10" xfId="0" applyFont="1" applyFill="1" applyBorder="1" applyAlignment="1">
      <alignment horizontal="left" wrapText="1"/>
    </xf>
    <xf numFmtId="0" fontId="45" fillId="25" borderId="10" xfId="0" applyFont="1" applyFill="1" applyBorder="1" applyAlignment="1">
      <alignment horizontal="left" vertical="center"/>
    </xf>
    <xf numFmtId="49" fontId="45" fillId="25" borderId="10" xfId="0" applyNumberFormat="1" applyFont="1" applyFill="1" applyBorder="1" applyAlignment="1">
      <alignment horizontal="center" vertical="center"/>
    </xf>
    <xf numFmtId="0" fontId="133" fillId="25" borderId="10" xfId="0" applyFont="1" applyFill="1" applyBorder="1" applyAlignment="1">
      <alignment horizontal="left" vertical="center"/>
    </xf>
    <xf numFmtId="49" fontId="133" fillId="25" borderId="10" xfId="0" applyNumberFormat="1" applyFont="1" applyFill="1" applyBorder="1" applyAlignment="1">
      <alignment horizontal="center" vertical="center"/>
    </xf>
    <xf numFmtId="49" fontId="45" fillId="0" borderId="0" xfId="0" applyNumberFormat="1" applyFont="1" applyFill="1" applyAlignment="1">
      <alignment horizontal="center" vertical="center"/>
    </xf>
    <xf numFmtId="2" fontId="133" fillId="0" borderId="0" xfId="0" applyNumberFormat="1" applyFont="1" applyFill="1" applyAlignment="1">
      <alignment horizontal="center" vertical="center"/>
    </xf>
    <xf numFmtId="2" fontId="45" fillId="0" borderId="0" xfId="0" applyNumberFormat="1" applyFont="1" applyFill="1" applyAlignment="1">
      <alignment horizontal="left" vertical="center"/>
    </xf>
    <xf numFmtId="2" fontId="45" fillId="0" borderId="0" xfId="0" applyNumberFormat="1" applyFont="1" applyFill="1" applyAlignment="1">
      <alignment horizontal="center" vertical="center"/>
    </xf>
    <xf numFmtId="0" fontId="133" fillId="0" borderId="0" xfId="0" applyFont="1" applyFill="1" applyAlignment="1">
      <alignment horizontal="center" vertical="center"/>
    </xf>
    <xf numFmtId="0" fontId="164" fillId="0" borderId="10" xfId="0" applyFont="1" applyFill="1" applyBorder="1" applyAlignment="1">
      <alignment horizontal="center" vertical="center" wrapText="1"/>
    </xf>
    <xf numFmtId="4" fontId="65" fillId="0" borderId="10" xfId="0" applyNumberFormat="1" applyFont="1" applyFill="1" applyBorder="1" applyAlignment="1">
      <alignment horizontal="center" vertical="center" wrapText="1"/>
    </xf>
    <xf numFmtId="3" fontId="164" fillId="0" borderId="10" xfId="0" applyNumberFormat="1" applyFont="1" applyFill="1" applyBorder="1" applyAlignment="1">
      <alignment horizontal="center" vertical="center" wrapText="1"/>
    </xf>
    <xf numFmtId="165" fontId="195" fillId="0" borderId="10" xfId="0" applyNumberFormat="1" applyFont="1" applyFill="1" applyBorder="1" applyAlignment="1">
      <alignment horizontal="center" vertical="center" wrapText="1"/>
    </xf>
    <xf numFmtId="165" fontId="111" fillId="0" borderId="10" xfId="0" applyNumberFormat="1" applyFont="1" applyFill="1" applyBorder="1" applyAlignment="1">
      <alignment horizontal="center" vertical="center" wrapText="1"/>
    </xf>
    <xf numFmtId="0" fontId="169" fillId="48" borderId="10" xfId="0" applyFont="1" applyFill="1" applyBorder="1" applyAlignment="1">
      <alignment horizontal="right" wrapText="1"/>
    </xf>
    <xf numFmtId="0" fontId="169" fillId="40" borderId="10" xfId="0" applyFont="1" applyFill="1" applyBorder="1" applyAlignment="1">
      <alignment horizontal="right" wrapText="1"/>
    </xf>
    <xf numFmtId="16" fontId="169" fillId="40" borderId="10" xfId="0" applyNumberFormat="1" applyFont="1" applyFill="1" applyBorder="1" applyAlignment="1">
      <alignment horizontal="right" wrapText="1"/>
    </xf>
    <xf numFmtId="4" fontId="68" fillId="0" borderId="0" xfId="0" applyNumberFormat="1" applyFont="1" applyFill="1"/>
    <xf numFmtId="0" fontId="68" fillId="0" borderId="10" xfId="0" applyFont="1" applyFill="1" applyBorder="1" applyAlignment="1">
      <alignment horizontal="left"/>
    </xf>
    <xf numFmtId="0" fontId="59" fillId="46" borderId="10" xfId="0" applyNumberFormat="1" applyFont="1" applyFill="1" applyBorder="1" applyAlignment="1">
      <alignment horizontal="center" vertical="center" wrapText="1"/>
    </xf>
    <xf numFmtId="0" fontId="51" fillId="0" borderId="10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horizontal="right" wrapText="1"/>
    </xf>
    <xf numFmtId="0" fontId="12" fillId="0" borderId="10" xfId="0" applyFont="1" applyFill="1" applyBorder="1" applyAlignment="1">
      <alignment wrapText="1"/>
    </xf>
    <xf numFmtId="0" fontId="12" fillId="0" borderId="0" xfId="0" applyFont="1" applyFill="1" applyAlignment="1">
      <alignment horizontal="left" wrapText="1"/>
    </xf>
    <xf numFmtId="0" fontId="50" fillId="0" borderId="10" xfId="0" applyFont="1" applyFill="1" applyBorder="1" applyAlignment="1">
      <alignment wrapText="1"/>
    </xf>
    <xf numFmtId="0" fontId="50" fillId="37" borderId="10" xfId="0" applyFont="1" applyFill="1" applyBorder="1" applyAlignment="1">
      <alignment wrapText="1"/>
    </xf>
    <xf numFmtId="4" fontId="12" fillId="0" borderId="13" xfId="0" applyNumberFormat="1" applyFont="1" applyFill="1" applyBorder="1" applyAlignment="1">
      <alignment wrapText="1"/>
    </xf>
    <xf numFmtId="4" fontId="12" fillId="0" borderId="10" xfId="0" applyNumberFormat="1" applyFont="1" applyFill="1" applyBorder="1" applyAlignment="1">
      <alignment wrapText="1"/>
    </xf>
    <xf numFmtId="4" fontId="12" fillId="43" borderId="10" xfId="0" applyNumberFormat="1" applyFont="1" applyFill="1" applyBorder="1" applyAlignment="1">
      <alignment wrapText="1"/>
    </xf>
    <xf numFmtId="2" fontId="12" fillId="0" borderId="10" xfId="0" applyNumberFormat="1" applyFont="1" applyFill="1" applyBorder="1" applyAlignment="1">
      <alignment wrapText="1"/>
    </xf>
    <xf numFmtId="2" fontId="12" fillId="38" borderId="10" xfId="0" applyNumberFormat="1" applyFont="1" applyFill="1" applyBorder="1" applyAlignment="1">
      <alignment wrapText="1"/>
    </xf>
    <xf numFmtId="0" fontId="12" fillId="37" borderId="0" xfId="0" applyFont="1" applyFill="1" applyAlignment="1">
      <alignment wrapText="1"/>
    </xf>
    <xf numFmtId="4" fontId="50" fillId="0" borderId="10" xfId="0" applyNumberFormat="1" applyFont="1" applyFill="1" applyBorder="1" applyAlignment="1">
      <alignment wrapText="1"/>
    </xf>
    <xf numFmtId="2" fontId="12" fillId="38" borderId="0" xfId="0" applyNumberFormat="1" applyFont="1" applyFill="1" applyBorder="1" applyAlignment="1">
      <alignment wrapText="1"/>
    </xf>
    <xf numFmtId="4" fontId="12" fillId="51" borderId="10" xfId="0" applyNumberFormat="1" applyFont="1" applyFill="1" applyBorder="1" applyAlignment="1">
      <alignment wrapText="1"/>
    </xf>
    <xf numFmtId="2" fontId="12" fillId="0" borderId="0" xfId="0" applyNumberFormat="1" applyFont="1" applyFill="1" applyAlignment="1">
      <alignment wrapText="1"/>
    </xf>
    <xf numFmtId="0" fontId="12" fillId="0" borderId="13" xfId="0" applyFont="1" applyFill="1" applyBorder="1" applyAlignment="1">
      <alignment wrapText="1"/>
    </xf>
    <xf numFmtId="0" fontId="12" fillId="37" borderId="10" xfId="0" applyFont="1" applyFill="1" applyBorder="1" applyAlignment="1">
      <alignment wrapText="1"/>
    </xf>
    <xf numFmtId="0" fontId="12" fillId="0" borderId="18" xfId="0" applyFont="1" applyFill="1" applyBorder="1" applyAlignment="1">
      <alignment wrapText="1"/>
    </xf>
    <xf numFmtId="0" fontId="12" fillId="0" borderId="12" xfId="0" applyFont="1" applyFill="1" applyBorder="1" applyAlignment="1">
      <alignment wrapText="1"/>
    </xf>
    <xf numFmtId="2" fontId="12" fillId="0" borderId="13" xfId="0" applyNumberFormat="1" applyFont="1" applyFill="1" applyBorder="1" applyAlignment="1">
      <alignment wrapText="1"/>
    </xf>
    <xf numFmtId="2" fontId="12" fillId="43" borderId="10" xfId="0" applyNumberFormat="1" applyFont="1" applyFill="1" applyBorder="1" applyAlignment="1">
      <alignment wrapText="1"/>
    </xf>
    <xf numFmtId="0" fontId="50" fillId="37" borderId="18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right" wrapText="1"/>
    </xf>
    <xf numFmtId="0" fontId="12" fillId="0" borderId="10" xfId="0" applyFont="1" applyFill="1" applyBorder="1" applyAlignment="1">
      <alignment horizontal="center" vertical="center" wrapText="1"/>
    </xf>
    <xf numFmtId="0" fontId="50" fillId="0" borderId="10" xfId="0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0" fontId="78" fillId="0" borderId="10" xfId="0" applyNumberFormat="1" applyFont="1" applyFill="1" applyBorder="1" applyAlignment="1">
      <alignment horizontal="center" vertical="center" wrapText="1"/>
    </xf>
    <xf numFmtId="0" fontId="79" fillId="0" borderId="10" xfId="0" applyNumberFormat="1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16" fontId="41" fillId="0" borderId="10" xfId="0" applyNumberFormat="1" applyFont="1" applyFill="1" applyBorder="1" applyAlignment="1">
      <alignment horizontal="center" vertical="center" wrapText="1"/>
    </xf>
    <xf numFmtId="0" fontId="59" fillId="0" borderId="10" xfId="0" applyNumberFormat="1" applyFont="1" applyFill="1" applyBorder="1" applyAlignment="1">
      <alignment horizontal="center" vertical="center" wrapText="1"/>
    </xf>
    <xf numFmtId="4" fontId="55" fillId="0" borderId="0" xfId="0" applyNumberFormat="1" applyFont="1" applyAlignment="1">
      <alignment wrapText="1"/>
    </xf>
    <xf numFmtId="49" fontId="127" fillId="0" borderId="14" xfId="0" applyNumberFormat="1" applyFont="1" applyFill="1" applyBorder="1" applyAlignment="1">
      <alignment horizontal="center" vertical="center"/>
    </xf>
    <xf numFmtId="4" fontId="0" fillId="0" borderId="0" xfId="0" applyNumberFormat="1"/>
    <xf numFmtId="168" fontId="0" fillId="0" borderId="0" xfId="0" applyNumberFormat="1" applyBorder="1"/>
    <xf numFmtId="4" fontId="55" fillId="0" borderId="0" xfId="0" applyNumberFormat="1" applyFont="1" applyFill="1" applyBorder="1" applyAlignment="1">
      <alignment horizontal="right" vertical="center" wrapText="1"/>
    </xf>
    <xf numFmtId="0" fontId="54" fillId="48" borderId="0" xfId="0" applyFont="1" applyFill="1" applyBorder="1" applyAlignment="1">
      <alignment horizontal="center" vertical="center" wrapText="1"/>
    </xf>
    <xf numFmtId="0" fontId="88" fillId="40" borderId="0" xfId="0" applyFont="1" applyFill="1" applyBorder="1" applyAlignment="1">
      <alignment horizontal="center" vertical="center" wrapText="1"/>
    </xf>
    <xf numFmtId="1" fontId="55" fillId="0" borderId="0" xfId="0" applyNumberFormat="1" applyFont="1" applyFill="1" applyBorder="1" applyAlignment="1">
      <alignment horizontal="right" vertical="center" wrapText="1"/>
    </xf>
    <xf numFmtId="0" fontId="88" fillId="0" borderId="0" xfId="0" applyFont="1" applyFill="1" applyBorder="1" applyAlignment="1">
      <alignment horizontal="right" vertical="center" wrapText="1"/>
    </xf>
    <xf numFmtId="4" fontId="88" fillId="0" borderId="0" xfId="0" applyNumberFormat="1" applyFont="1" applyFill="1" applyBorder="1" applyAlignment="1">
      <alignment horizontal="right" vertical="center" wrapText="1"/>
    </xf>
    <xf numFmtId="4" fontId="170" fillId="0" borderId="0" xfId="83" applyNumberFormat="1" applyFont="1" applyFill="1" applyBorder="1" applyAlignment="1">
      <alignment horizontal="right" vertical="center" wrapText="1"/>
    </xf>
    <xf numFmtId="0" fontId="61" fillId="0" borderId="0" xfId="0" applyFont="1" applyFill="1" applyBorder="1" applyAlignment="1">
      <alignment horizontal="right" vertical="center" wrapText="1"/>
    </xf>
    <xf numFmtId="0" fontId="54" fillId="48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right" vertical="center" wrapText="1"/>
    </xf>
    <xf numFmtId="4" fontId="54" fillId="0" borderId="0" xfId="0" applyNumberFormat="1" applyFont="1" applyFill="1" applyBorder="1" applyAlignment="1">
      <alignment horizontal="right" vertical="center" wrapText="1"/>
    </xf>
    <xf numFmtId="4" fontId="54" fillId="0" borderId="0" xfId="0" applyNumberFormat="1" applyFont="1" applyBorder="1" applyAlignment="1">
      <alignment horizontal="right" vertical="center" wrapText="1"/>
    </xf>
    <xf numFmtId="4" fontId="45" fillId="0" borderId="16" xfId="0" applyNumberFormat="1" applyFont="1" applyBorder="1" applyAlignment="1">
      <alignment horizontal="center" wrapText="1"/>
    </xf>
    <xf numFmtId="0" fontId="45" fillId="0" borderId="16" xfId="0" applyFont="1" applyBorder="1" applyAlignment="1">
      <alignment horizontal="center" wrapText="1"/>
    </xf>
    <xf numFmtId="0" fontId="176" fillId="0" borderId="16" xfId="0" applyFont="1" applyBorder="1" applyAlignment="1">
      <alignment horizontal="center" wrapText="1"/>
    </xf>
    <xf numFmtId="0" fontId="176" fillId="0" borderId="26" xfId="0" applyFont="1" applyBorder="1" applyAlignment="1">
      <alignment horizontal="right" wrapText="1"/>
    </xf>
    <xf numFmtId="0" fontId="176" fillId="0" borderId="16" xfId="0" applyFont="1" applyBorder="1" applyAlignment="1">
      <alignment wrapText="1"/>
    </xf>
    <xf numFmtId="0" fontId="176" fillId="0" borderId="25" xfId="0" applyFont="1" applyBorder="1" applyAlignment="1">
      <alignment horizontal="center" wrapText="1"/>
    </xf>
    <xf numFmtId="4" fontId="176" fillId="0" borderId="16" xfId="0" applyNumberFormat="1" applyFont="1" applyBorder="1" applyAlignment="1">
      <alignment horizontal="center" wrapText="1"/>
    </xf>
    <xf numFmtId="4" fontId="176" fillId="0" borderId="25" xfId="0" applyNumberFormat="1" applyFont="1" applyBorder="1" applyAlignment="1">
      <alignment horizontal="center" wrapText="1"/>
    </xf>
    <xf numFmtId="0" fontId="28" fillId="0" borderId="11" xfId="0" applyFont="1" applyFill="1" applyBorder="1" applyAlignment="1">
      <alignment horizontal="left" vertical="center" wrapText="1"/>
    </xf>
    <xf numFmtId="0" fontId="106" fillId="0" borderId="0" xfId="0" applyFont="1"/>
    <xf numFmtId="0" fontId="175" fillId="0" borderId="16" xfId="0" applyFont="1" applyBorder="1" applyAlignment="1">
      <alignment horizontal="center" wrapText="1"/>
    </xf>
    <xf numFmtId="0" fontId="32" fillId="0" borderId="16" xfId="0" applyFont="1" applyBorder="1" applyAlignment="1">
      <alignment horizontal="center" wrapText="1"/>
    </xf>
    <xf numFmtId="3" fontId="0" fillId="0" borderId="0" xfId="0" applyNumberFormat="1"/>
    <xf numFmtId="0" fontId="32" fillId="0" borderId="11" xfId="0" applyFont="1" applyBorder="1" applyAlignment="1">
      <alignment vertical="top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vertical="top" wrapText="1"/>
    </xf>
    <xf numFmtId="0" fontId="91" fillId="0" borderId="10" xfId="0" applyFont="1" applyBorder="1" applyAlignment="1">
      <alignment horizontal="center" vertical="center"/>
    </xf>
    <xf numFmtId="0" fontId="36" fillId="0" borderId="0" xfId="0" applyFont="1"/>
    <xf numFmtId="0" fontId="32" fillId="0" borderId="26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32" fillId="0" borderId="26" xfId="0" applyFont="1" applyBorder="1" applyAlignment="1"/>
    <xf numFmtId="0" fontId="32" fillId="0" borderId="27" xfId="0" applyFont="1" applyBorder="1" applyAlignment="1"/>
    <xf numFmtId="0" fontId="199" fillId="0" borderId="16" xfId="0" applyFont="1" applyBorder="1" applyAlignment="1">
      <alignment horizontal="center"/>
    </xf>
    <xf numFmtId="0" fontId="48" fillId="0" borderId="34" xfId="0" applyFont="1" applyBorder="1" applyAlignment="1"/>
    <xf numFmtId="0" fontId="48" fillId="0" borderId="35" xfId="0" applyFont="1" applyBorder="1" applyAlignment="1"/>
    <xf numFmtId="0" fontId="45" fillId="0" borderId="16" xfId="0" applyFont="1" applyBorder="1" applyAlignment="1">
      <alignment horizontal="center"/>
    </xf>
    <xf numFmtId="4" fontId="68" fillId="24" borderId="0" xfId="0" applyNumberFormat="1" applyFont="1" applyFill="1"/>
    <xf numFmtId="4" fontId="69" fillId="0" borderId="0" xfId="87" applyNumberFormat="1" applyFont="1" applyFill="1" applyAlignment="1">
      <alignment wrapText="1"/>
    </xf>
    <xf numFmtId="4" fontId="69" fillId="0" borderId="0" xfId="87" applyNumberFormat="1" applyFont="1" applyFill="1"/>
    <xf numFmtId="4" fontId="77" fillId="47" borderId="10" xfId="0" applyNumberFormat="1" applyFont="1" applyFill="1" applyBorder="1" applyAlignment="1">
      <alignment horizontal="center" vertical="center" wrapText="1"/>
    </xf>
    <xf numFmtId="4" fontId="69" fillId="0" borderId="10" xfId="0" applyNumberFormat="1" applyFont="1" applyFill="1" applyBorder="1" applyAlignment="1">
      <alignment horizontal="center" vertical="center" wrapText="1"/>
    </xf>
    <xf numFmtId="4" fontId="68" fillId="0" borderId="0" xfId="0" applyNumberFormat="1" applyFont="1" applyFill="1" applyAlignment="1">
      <alignment horizontal="center" vertical="center" wrapText="1"/>
    </xf>
    <xf numFmtId="4" fontId="70" fillId="0" borderId="0" xfId="87" applyNumberFormat="1" applyFont="1" applyFill="1" applyAlignment="1">
      <alignment horizontal="right" vertical="center"/>
    </xf>
    <xf numFmtId="4" fontId="71" fillId="0" borderId="0" xfId="87" applyNumberFormat="1" applyFont="1" applyFill="1" applyAlignment="1">
      <alignment horizontal="right"/>
    </xf>
    <xf numFmtId="0" fontId="68" fillId="52" borderId="0" xfId="0" applyFont="1" applyFill="1"/>
    <xf numFmtId="0" fontId="71" fillId="40" borderId="0" xfId="0" applyFont="1" applyFill="1" applyAlignment="1">
      <alignment horizontal="center" vertical="center" wrapText="1"/>
    </xf>
    <xf numFmtId="0" fontId="122" fillId="0" borderId="0" xfId="0" applyFont="1" applyAlignment="1">
      <alignment horizontal="center" wrapText="1"/>
    </xf>
    <xf numFmtId="0" fontId="122" fillId="0" borderId="34" xfId="0" applyFont="1" applyBorder="1" applyAlignment="1">
      <alignment horizontal="center" wrapText="1"/>
    </xf>
    <xf numFmtId="0" fontId="122" fillId="0" borderId="16" xfId="0" applyFont="1" applyBorder="1" applyAlignment="1">
      <alignment horizontal="center" wrapText="1"/>
    </xf>
    <xf numFmtId="0" fontId="122" fillId="0" borderId="25" xfId="0" applyFont="1" applyBorder="1" applyAlignment="1">
      <alignment horizontal="right" wrapText="1"/>
    </xf>
    <xf numFmtId="0" fontId="123" fillId="0" borderId="16" xfId="0" applyFont="1" applyBorder="1" applyAlignment="1">
      <alignment vertical="top" wrapText="1"/>
    </xf>
    <xf numFmtId="3" fontId="123" fillId="0" borderId="16" xfId="0" applyNumberFormat="1" applyFont="1" applyBorder="1" applyAlignment="1">
      <alignment horizontal="right" wrapText="1"/>
    </xf>
    <xf numFmtId="0" fontId="123" fillId="0" borderId="16" xfId="0" applyFont="1" applyBorder="1" applyAlignment="1">
      <alignment horizontal="right" wrapText="1"/>
    </xf>
    <xf numFmtId="0" fontId="122" fillId="0" borderId="25" xfId="0" applyFont="1" applyBorder="1" applyAlignment="1">
      <alignment horizontal="center" wrapText="1"/>
    </xf>
    <xf numFmtId="0" fontId="123" fillId="0" borderId="16" xfId="0" applyFont="1" applyBorder="1" applyAlignment="1">
      <alignment horizontal="center" vertical="top" wrapText="1"/>
    </xf>
    <xf numFmtId="0" fontId="123" fillId="0" borderId="25" xfId="0" applyFont="1" applyBorder="1" applyAlignment="1">
      <alignment horizontal="right" vertical="top" wrapText="1"/>
    </xf>
    <xf numFmtId="0" fontId="123" fillId="0" borderId="16" xfId="0" applyFont="1" applyBorder="1" applyAlignment="1">
      <alignment horizontal="center" wrapText="1"/>
    </xf>
    <xf numFmtId="0" fontId="122" fillId="53" borderId="28" xfId="0" applyFont="1" applyFill="1" applyBorder="1" applyAlignment="1">
      <alignment horizontal="center" vertical="top" wrapText="1"/>
    </xf>
    <xf numFmtId="0" fontId="122" fillId="53" borderId="24" xfId="0" applyFont="1" applyFill="1" applyBorder="1" applyAlignment="1">
      <alignment vertical="top" wrapText="1"/>
    </xf>
    <xf numFmtId="0" fontId="122" fillId="53" borderId="24" xfId="0" applyFont="1" applyFill="1" applyBorder="1" applyAlignment="1">
      <alignment horizontal="center" wrapText="1"/>
    </xf>
    <xf numFmtId="0" fontId="123" fillId="0" borderId="25" xfId="0" applyFont="1" applyBorder="1" applyAlignment="1">
      <alignment horizontal="center" wrapText="1"/>
    </xf>
    <xf numFmtId="0" fontId="123" fillId="0" borderId="16" xfId="0" applyFont="1" applyBorder="1" applyAlignment="1">
      <alignment wrapText="1"/>
    </xf>
    <xf numFmtId="0" fontId="122" fillId="53" borderId="28" xfId="0" applyFont="1" applyFill="1" applyBorder="1" applyAlignment="1">
      <alignment vertical="top" wrapText="1"/>
    </xf>
    <xf numFmtId="0" fontId="0" fillId="0" borderId="25" xfId="0" applyBorder="1" applyAlignment="1">
      <alignment wrapText="1"/>
    </xf>
    <xf numFmtId="0" fontId="123" fillId="0" borderId="25" xfId="0" applyFont="1" applyBorder="1" applyAlignment="1">
      <alignment wrapText="1"/>
    </xf>
    <xf numFmtId="4" fontId="123" fillId="0" borderId="16" xfId="0" applyNumberFormat="1" applyFont="1" applyBorder="1" applyAlignment="1">
      <alignment horizontal="center" wrapText="1"/>
    </xf>
    <xf numFmtId="0" fontId="115" fillId="0" borderId="0" xfId="0" applyFont="1" applyAlignment="1">
      <alignment wrapText="1"/>
    </xf>
    <xf numFmtId="0" fontId="122" fillId="0" borderId="28" xfId="0" applyFont="1" applyBorder="1" applyAlignment="1">
      <alignment vertical="top" wrapText="1"/>
    </xf>
    <xf numFmtId="0" fontId="123" fillId="0" borderId="0" xfId="0" applyFont="1" applyAlignment="1">
      <alignment wrapText="1"/>
    </xf>
    <xf numFmtId="0" fontId="122" fillId="0" borderId="24" xfId="0" applyFont="1" applyBorder="1" applyAlignment="1">
      <alignment vertical="top" wrapText="1"/>
    </xf>
    <xf numFmtId="0" fontId="122" fillId="0" borderId="24" xfId="0" applyFont="1" applyBorder="1" applyAlignment="1">
      <alignment horizontal="center" vertical="top" wrapText="1"/>
    </xf>
    <xf numFmtId="0" fontId="123" fillId="0" borderId="25" xfId="0" applyFont="1" applyBorder="1" applyAlignment="1">
      <alignment vertical="top" wrapText="1"/>
    </xf>
    <xf numFmtId="0" fontId="122" fillId="0" borderId="28" xfId="0" applyFont="1" applyBorder="1" applyAlignment="1">
      <alignment horizontal="center" vertical="top" wrapText="1"/>
    </xf>
    <xf numFmtId="0" fontId="123" fillId="0" borderId="16" xfId="0" applyFont="1" applyBorder="1" applyAlignment="1">
      <alignment horizontal="justify" vertical="top" wrapText="1"/>
    </xf>
    <xf numFmtId="0" fontId="123" fillId="0" borderId="26" xfId="0" applyFont="1" applyBorder="1" applyAlignment="1">
      <alignment vertical="top" wrapText="1"/>
    </xf>
    <xf numFmtId="0" fontId="122" fillId="0" borderId="0" xfId="0" applyFont="1" applyAlignment="1">
      <alignment horizontal="justify" wrapText="1"/>
    </xf>
    <xf numFmtId="0" fontId="122" fillId="0" borderId="28" xfId="0" applyFont="1" applyBorder="1" applyAlignment="1">
      <alignment horizontal="center" wrapText="1"/>
    </xf>
    <xf numFmtId="0" fontId="122" fillId="0" borderId="24" xfId="0" applyFont="1" applyBorder="1" applyAlignment="1">
      <alignment wrapText="1"/>
    </xf>
    <xf numFmtId="0" fontId="122" fillId="0" borderId="24" xfId="0" applyFont="1" applyBorder="1" applyAlignment="1">
      <alignment horizontal="center" wrapText="1"/>
    </xf>
    <xf numFmtId="16" fontId="123" fillId="0" borderId="25" xfId="0" applyNumberFormat="1" applyFont="1" applyBorder="1" applyAlignment="1">
      <alignment horizontal="center" wrapText="1"/>
    </xf>
    <xf numFmtId="0" fontId="122" fillId="0" borderId="0" xfId="0" applyFont="1" applyAlignment="1">
      <alignment wrapText="1"/>
    </xf>
    <xf numFmtId="0" fontId="123" fillId="53" borderId="28" xfId="0" applyFont="1" applyFill="1" applyBorder="1" applyAlignment="1">
      <alignment vertical="top" wrapText="1"/>
    </xf>
    <xf numFmtId="0" fontId="123" fillId="53" borderId="24" xfId="0" applyFont="1" applyFill="1" applyBorder="1" applyAlignment="1">
      <alignment horizontal="justify" vertical="top" wrapText="1"/>
    </xf>
    <xf numFmtId="0" fontId="123" fillId="0" borderId="25" xfId="0" applyFont="1" applyBorder="1" applyAlignment="1">
      <alignment horizontal="center" vertical="top" wrapText="1"/>
    </xf>
    <xf numFmtId="0" fontId="122" fillId="53" borderId="34" xfId="0" applyFont="1" applyFill="1" applyBorder="1" applyAlignment="1">
      <alignment horizontal="center" wrapText="1"/>
    </xf>
    <xf numFmtId="0" fontId="122" fillId="53" borderId="16" xfId="0" applyFont="1" applyFill="1" applyBorder="1" applyAlignment="1">
      <alignment horizontal="center" wrapText="1"/>
    </xf>
    <xf numFmtId="0" fontId="0" fillId="0" borderId="27" xfId="0" applyBorder="1" applyAlignment="1">
      <alignment wrapText="1"/>
    </xf>
    <xf numFmtId="16" fontId="123" fillId="0" borderId="25" xfId="0" applyNumberFormat="1" applyFont="1" applyBorder="1" applyAlignment="1">
      <alignment horizontal="center" vertical="top" wrapText="1"/>
    </xf>
    <xf numFmtId="0" fontId="122" fillId="53" borderId="28" xfId="0" applyFont="1" applyFill="1" applyBorder="1" applyAlignment="1">
      <alignment horizontal="justify" vertical="top" wrapText="1"/>
    </xf>
    <xf numFmtId="0" fontId="122" fillId="53" borderId="24" xfId="0" applyFont="1" applyFill="1" applyBorder="1" applyAlignment="1">
      <alignment horizontal="justify" vertical="top" wrapText="1"/>
    </xf>
    <xf numFmtId="10" fontId="123" fillId="0" borderId="16" xfId="0" applyNumberFormat="1" applyFont="1" applyBorder="1" applyAlignment="1">
      <alignment horizontal="center" wrapText="1"/>
    </xf>
    <xf numFmtId="0" fontId="123" fillId="0" borderId="0" xfId="0" applyFont="1" applyAlignment="1">
      <alignment horizontal="center" wrapText="1"/>
    </xf>
    <xf numFmtId="0" fontId="123" fillId="0" borderId="0" xfId="0" applyFont="1" applyAlignment="1">
      <alignment horizontal="justify" wrapText="1"/>
    </xf>
    <xf numFmtId="0" fontId="140" fillId="0" borderId="0" xfId="0" applyFont="1" applyAlignment="1">
      <alignment wrapText="1"/>
    </xf>
    <xf numFmtId="0" fontId="122" fillId="0" borderId="36" xfId="0" applyFont="1" applyBorder="1" applyAlignment="1">
      <alignment horizontal="center" wrapText="1"/>
    </xf>
    <xf numFmtId="0" fontId="123" fillId="0" borderId="37" xfId="0" applyFont="1" applyBorder="1" applyAlignment="1">
      <alignment horizontal="center" wrapText="1"/>
    </xf>
    <xf numFmtId="1" fontId="0" fillId="0" borderId="0" xfId="0" applyNumberFormat="1" applyAlignment="1">
      <alignment wrapText="1"/>
    </xf>
    <xf numFmtId="3" fontId="55" fillId="0" borderId="10" xfId="0" applyNumberFormat="1" applyFont="1" applyFill="1" applyBorder="1" applyAlignment="1">
      <alignment horizontal="right" vertical="center" wrapText="1"/>
    </xf>
    <xf numFmtId="0" fontId="55" fillId="0" borderId="0" xfId="0" applyFont="1" applyFill="1" applyBorder="1" applyAlignment="1">
      <alignment wrapText="1"/>
    </xf>
    <xf numFmtId="0" fontId="32" fillId="0" borderId="35" xfId="0" applyFont="1" applyBorder="1" applyAlignment="1">
      <alignment horizontal="center" wrapText="1"/>
    </xf>
    <xf numFmtId="0" fontId="26" fillId="0" borderId="34" xfId="0" applyFont="1" applyBorder="1" applyAlignment="1">
      <alignment horizontal="center" wrapText="1"/>
    </xf>
    <xf numFmtId="0" fontId="26" fillId="0" borderId="16" xfId="0" applyFont="1" applyBorder="1" applyAlignment="1">
      <alignment horizontal="center" wrapText="1"/>
    </xf>
    <xf numFmtId="0" fontId="26" fillId="0" borderId="37" xfId="0" applyFont="1" applyBorder="1" applyAlignment="1">
      <alignment horizontal="center" wrapText="1"/>
    </xf>
    <xf numFmtId="0" fontId="26" fillId="0" borderId="33" xfId="0" applyFont="1" applyBorder="1" applyAlignment="1">
      <alignment horizontal="center" wrapText="1"/>
    </xf>
    <xf numFmtId="0" fontId="26" fillId="0" borderId="25" xfId="0" applyFont="1" applyBorder="1" applyAlignment="1">
      <alignment horizontal="center" wrapText="1"/>
    </xf>
    <xf numFmtId="0" fontId="32" fillId="0" borderId="27" xfId="0" applyFont="1" applyBorder="1" applyAlignment="1">
      <alignment horizontal="center" wrapText="1"/>
    </xf>
    <xf numFmtId="0" fontId="175" fillId="0" borderId="16" xfId="0" applyFont="1" applyBorder="1" applyAlignment="1">
      <alignment wrapText="1"/>
    </xf>
    <xf numFmtId="0" fontId="32" fillId="0" borderId="37" xfId="0" applyFont="1" applyBorder="1" applyAlignment="1">
      <alignment horizontal="center" wrapText="1"/>
    </xf>
    <xf numFmtId="0" fontId="32" fillId="0" borderId="25" xfId="0" applyFont="1" applyBorder="1" applyAlignment="1">
      <alignment horizontal="right" wrapText="1"/>
    </xf>
    <xf numFmtId="0" fontId="32" fillId="0" borderId="16" xfId="0" applyFont="1" applyBorder="1" applyAlignment="1">
      <alignment horizontal="right" wrapText="1"/>
    </xf>
    <xf numFmtId="0" fontId="175" fillId="0" borderId="26" xfId="0" applyFont="1" applyBorder="1" applyAlignment="1">
      <alignment wrapText="1"/>
    </xf>
    <xf numFmtId="0" fontId="32" fillId="0" borderId="33" xfId="0" applyFont="1" applyBorder="1" applyAlignment="1">
      <alignment horizontal="right" wrapText="1"/>
    </xf>
    <xf numFmtId="0" fontId="32" fillId="0" borderId="37" xfId="0" applyFont="1" applyBorder="1" applyAlignment="1">
      <alignment horizontal="right" wrapText="1"/>
    </xf>
    <xf numFmtId="0" fontId="175" fillId="0" borderId="24" xfId="0" applyFont="1" applyBorder="1" applyAlignment="1">
      <alignment wrapText="1"/>
    </xf>
    <xf numFmtId="0" fontId="32" fillId="0" borderId="27" xfId="0" applyFont="1" applyBorder="1" applyAlignment="1">
      <alignment horizontal="right" wrapText="1"/>
    </xf>
    <xf numFmtId="0" fontId="32" fillId="0" borderId="26" xfId="0" applyFont="1" applyBorder="1" applyAlignment="1">
      <alignment horizontal="right" wrapText="1"/>
    </xf>
    <xf numFmtId="0" fontId="32" fillId="0" borderId="28" xfId="0" applyFont="1" applyBorder="1" applyAlignment="1">
      <alignment horizontal="right" wrapText="1"/>
    </xf>
    <xf numFmtId="0" fontId="32" fillId="0" borderId="24" xfId="0" applyFont="1" applyBorder="1" applyAlignment="1">
      <alignment horizontal="right" wrapText="1"/>
    </xf>
    <xf numFmtId="0" fontId="32" fillId="0" borderId="38" xfId="0" applyFont="1" applyBorder="1" applyAlignment="1">
      <alignment horizontal="center" wrapText="1"/>
    </xf>
    <xf numFmtId="0" fontId="200" fillId="0" borderId="25" xfId="0" applyFont="1" applyBorder="1" applyAlignment="1">
      <alignment wrapText="1"/>
    </xf>
    <xf numFmtId="0" fontId="142" fillId="0" borderId="16" xfId="0" applyFont="1" applyBorder="1" applyAlignment="1">
      <alignment horizontal="center" wrapText="1"/>
    </xf>
    <xf numFmtId="0" fontId="142" fillId="0" borderId="16" xfId="0" applyFont="1" applyBorder="1" applyAlignment="1">
      <alignment horizontal="right" wrapText="1"/>
    </xf>
    <xf numFmtId="0" fontId="142" fillId="0" borderId="37" xfId="0" applyFont="1" applyBorder="1" applyAlignment="1">
      <alignment horizontal="right" wrapText="1"/>
    </xf>
    <xf numFmtId="0" fontId="142" fillId="0" borderId="33" xfId="0" applyFont="1" applyBorder="1" applyAlignment="1">
      <alignment horizontal="right" wrapText="1"/>
    </xf>
    <xf numFmtId="0" fontId="142" fillId="0" borderId="25" xfId="0" applyFont="1" applyBorder="1" applyAlignment="1">
      <alignment horizontal="right" wrapText="1"/>
    </xf>
    <xf numFmtId="0" fontId="142" fillId="0" borderId="25" xfId="0" applyFont="1" applyBorder="1" applyAlignment="1">
      <alignment wrapText="1"/>
    </xf>
    <xf numFmtId="4" fontId="142" fillId="0" borderId="16" xfId="0" applyNumberFormat="1" applyFont="1" applyBorder="1" applyAlignment="1">
      <alignment horizontal="right" wrapText="1"/>
    </xf>
    <xf numFmtId="4" fontId="142" fillId="0" borderId="37" xfId="0" applyNumberFormat="1" applyFont="1" applyBorder="1" applyAlignment="1">
      <alignment horizontal="right" wrapText="1"/>
    </xf>
    <xf numFmtId="4" fontId="142" fillId="0" borderId="33" xfId="0" applyNumberFormat="1" applyFont="1" applyBorder="1" applyAlignment="1">
      <alignment horizontal="right" wrapText="1"/>
    </xf>
    <xf numFmtId="4" fontId="142" fillId="0" borderId="25" xfId="0" applyNumberFormat="1" applyFont="1" applyBorder="1" applyAlignment="1">
      <alignment horizontal="right" wrapText="1"/>
    </xf>
    <xf numFmtId="0" fontId="32" fillId="0" borderId="33" xfId="0" applyFont="1" applyBorder="1" applyAlignment="1">
      <alignment horizontal="center" wrapText="1"/>
    </xf>
    <xf numFmtId="0" fontId="32" fillId="0" borderId="16" xfId="0" applyFont="1" applyBorder="1" applyAlignment="1">
      <alignment wrapText="1"/>
    </xf>
    <xf numFmtId="0" fontId="175" fillId="0" borderId="25" xfId="0" applyFont="1" applyBorder="1" applyAlignment="1">
      <alignment horizontal="right" wrapText="1"/>
    </xf>
    <xf numFmtId="0" fontId="175" fillId="0" borderId="16" xfId="0" applyFont="1" applyBorder="1" applyAlignment="1">
      <alignment horizontal="right" wrapText="1"/>
    </xf>
    <xf numFmtId="0" fontId="32" fillId="0" borderId="25" xfId="0" applyFont="1" applyBorder="1" applyAlignment="1">
      <alignment horizontal="center" wrapText="1"/>
    </xf>
    <xf numFmtId="0" fontId="200" fillId="0" borderId="24" xfId="0" applyFont="1" applyBorder="1" applyAlignment="1">
      <alignment wrapText="1"/>
    </xf>
    <xf numFmtId="0" fontId="142" fillId="0" borderId="16" xfId="0" applyFont="1" applyBorder="1" applyAlignment="1">
      <alignment wrapText="1"/>
    </xf>
    <xf numFmtId="0" fontId="200" fillId="0" borderId="16" xfId="0" applyFont="1" applyBorder="1" applyAlignment="1">
      <alignment wrapText="1"/>
    </xf>
    <xf numFmtId="0" fontId="26" fillId="0" borderId="16" xfId="0" applyFont="1" applyBorder="1" applyAlignment="1">
      <alignment horizontal="right" wrapText="1"/>
    </xf>
    <xf numFmtId="0" fontId="26" fillId="0" borderId="37" xfId="0" applyFont="1" applyBorder="1" applyAlignment="1">
      <alignment horizontal="right" wrapText="1"/>
    </xf>
    <xf numFmtId="0" fontId="26" fillId="0" borderId="25" xfId="0" applyFont="1" applyBorder="1" applyAlignment="1">
      <alignment horizontal="right" wrapText="1"/>
    </xf>
    <xf numFmtId="4" fontId="32" fillId="0" borderId="25" xfId="0" applyNumberFormat="1" applyFont="1" applyBorder="1" applyAlignment="1">
      <alignment horizontal="right" wrapText="1"/>
    </xf>
    <xf numFmtId="4" fontId="32" fillId="0" borderId="16" xfId="0" applyNumberFormat="1" applyFont="1" applyBorder="1" applyAlignment="1">
      <alignment horizontal="right" wrapText="1"/>
    </xf>
    <xf numFmtId="0" fontId="32" fillId="0" borderId="0" xfId="0" applyFont="1" applyAlignment="1">
      <alignment horizontal="right" wrapText="1"/>
    </xf>
    <xf numFmtId="0" fontId="32" fillId="0" borderId="35" xfId="0" applyFont="1" applyBorder="1" applyAlignment="1">
      <alignment horizontal="right" wrapText="1"/>
    </xf>
    <xf numFmtId="0" fontId="32" fillId="0" borderId="34" xfId="0" applyFont="1" applyBorder="1" applyAlignment="1">
      <alignment horizontal="right" wrapText="1"/>
    </xf>
    <xf numFmtId="0" fontId="142" fillId="0" borderId="26" xfId="0" applyFont="1" applyBorder="1" applyAlignment="1">
      <alignment wrapText="1"/>
    </xf>
    <xf numFmtId="3" fontId="175" fillId="0" borderId="16" xfId="0" applyNumberFormat="1" applyFont="1" applyBorder="1" applyAlignment="1">
      <alignment horizontal="right" wrapText="1"/>
    </xf>
    <xf numFmtId="0" fontId="26" fillId="0" borderId="24" xfId="0" applyFont="1" applyBorder="1" applyAlignment="1">
      <alignment horizontal="center" wrapText="1"/>
    </xf>
    <xf numFmtId="4" fontId="26" fillId="0" borderId="24" xfId="0" applyNumberFormat="1" applyFont="1" applyBorder="1" applyAlignment="1">
      <alignment horizontal="right" wrapText="1"/>
    </xf>
    <xf numFmtId="4" fontId="26" fillId="0" borderId="16" xfId="0" applyNumberFormat="1" applyFont="1" applyBorder="1" applyAlignment="1">
      <alignment horizontal="right" wrapText="1"/>
    </xf>
    <xf numFmtId="0" fontId="26" fillId="0" borderId="26" xfId="0" applyFont="1" applyBorder="1" applyAlignment="1">
      <alignment horizontal="center" wrapText="1"/>
    </xf>
    <xf numFmtId="0" fontId="12" fillId="0" borderId="27" xfId="0" applyFont="1" applyBorder="1" applyAlignment="1">
      <alignment wrapText="1"/>
    </xf>
    <xf numFmtId="0" fontId="12" fillId="0" borderId="25" xfId="0" applyFont="1" applyBorder="1" applyAlignment="1">
      <alignment wrapText="1"/>
    </xf>
    <xf numFmtId="0" fontId="32" fillId="0" borderId="18" xfId="0" applyFont="1" applyBorder="1" applyAlignment="1">
      <alignment horizontal="center" wrapText="1"/>
    </xf>
    <xf numFmtId="0" fontId="115" fillId="0" borderId="19" xfId="0" applyFont="1" applyBorder="1" applyAlignment="1">
      <alignment wrapText="1"/>
    </xf>
    <xf numFmtId="0" fontId="32" fillId="0" borderId="13" xfId="0" applyFont="1" applyBorder="1" applyAlignment="1">
      <alignment horizontal="center" wrapText="1"/>
    </xf>
    <xf numFmtId="0" fontId="116" fillId="0" borderId="0" xfId="0" applyFont="1" applyFill="1" applyBorder="1" applyAlignment="1">
      <alignment horizontal="right"/>
    </xf>
    <xf numFmtId="0" fontId="12" fillId="0" borderId="25" xfId="0" applyFont="1" applyFill="1" applyBorder="1" applyAlignment="1">
      <alignment horizontal="right" vertical="top" wrapText="1"/>
    </xf>
    <xf numFmtId="2" fontId="55" fillId="0" borderId="0" xfId="0" applyNumberFormat="1" applyFont="1" applyFill="1" applyBorder="1" applyAlignment="1">
      <alignment vertical="center" wrapText="1"/>
    </xf>
    <xf numFmtId="0" fontId="55" fillId="0" borderId="0" xfId="0" applyFont="1" applyFill="1" applyBorder="1" applyAlignment="1">
      <alignment vertical="center" wrapText="1"/>
    </xf>
    <xf numFmtId="0" fontId="175" fillId="0" borderId="0" xfId="0" applyFont="1" applyAlignment="1">
      <alignment horizontal="center" wrapText="1"/>
    </xf>
    <xf numFmtId="0" fontId="175" fillId="0" borderId="38" xfId="0" applyFont="1" applyBorder="1" applyAlignment="1">
      <alignment wrapText="1"/>
    </xf>
    <xf numFmtId="0" fontId="175" fillId="0" borderId="38" xfId="0" applyFont="1" applyBorder="1" applyAlignment="1">
      <alignment horizontal="center" wrapText="1"/>
    </xf>
    <xf numFmtId="0" fontId="175" fillId="0" borderId="38" xfId="0" applyFont="1" applyBorder="1" applyAlignment="1">
      <alignment horizontal="center" vertical="top" wrapText="1"/>
    </xf>
    <xf numFmtId="0" fontId="201" fillId="0" borderId="39" xfId="0" applyFont="1" applyBorder="1" applyAlignment="1">
      <alignment horizontal="center" wrapText="1"/>
    </xf>
    <xf numFmtId="0" fontId="201" fillId="0" borderId="33" xfId="0" applyFont="1" applyBorder="1" applyAlignment="1">
      <alignment horizontal="center" wrapText="1"/>
    </xf>
    <xf numFmtId="3" fontId="0" fillId="0" borderId="0" xfId="0" applyNumberFormat="1" applyAlignment="1">
      <alignment wrapText="1"/>
    </xf>
    <xf numFmtId="0" fontId="119" fillId="0" borderId="0" xfId="0" applyFont="1" applyFill="1" applyAlignment="1">
      <alignment horizontal="left" vertical="center"/>
    </xf>
    <xf numFmtId="0" fontId="119" fillId="0" borderId="0" xfId="0" applyFont="1" applyFill="1" applyAlignment="1">
      <alignment vertical="center"/>
    </xf>
    <xf numFmtId="4" fontId="121" fillId="0" borderId="10" xfId="0" applyNumberFormat="1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 vertical="top" wrapText="1"/>
    </xf>
    <xf numFmtId="2" fontId="26" fillId="0" borderId="10" xfId="0" applyNumberFormat="1" applyFont="1" applyBorder="1" applyAlignment="1">
      <alignment vertical="top" wrapText="1"/>
    </xf>
    <xf numFmtId="2" fontId="26" fillId="0" borderId="10" xfId="0" applyNumberFormat="1" applyFont="1" applyBorder="1" applyAlignment="1">
      <alignment horizontal="center" vertical="top" wrapText="1"/>
    </xf>
    <xf numFmtId="2" fontId="26" fillId="0" borderId="10" xfId="0" applyNumberFormat="1" applyFont="1" applyBorder="1" applyAlignment="1">
      <alignment horizontal="right" vertical="top" wrapText="1"/>
    </xf>
    <xf numFmtId="2" fontId="26" fillId="0" borderId="0" xfId="0" applyNumberFormat="1" applyFont="1" applyAlignment="1">
      <alignment wrapText="1"/>
    </xf>
    <xf numFmtId="2" fontId="32" fillId="0" borderId="10" xfId="0" applyNumberFormat="1" applyFont="1" applyBorder="1" applyAlignment="1">
      <alignment vertical="top" wrapText="1"/>
    </xf>
    <xf numFmtId="2" fontId="32" fillId="0" borderId="10" xfId="0" applyNumberFormat="1" applyFont="1" applyBorder="1" applyAlignment="1">
      <alignment horizontal="center" vertical="top" wrapText="1"/>
    </xf>
    <xf numFmtId="2" fontId="32" fillId="0" borderId="10" xfId="0" applyNumberFormat="1" applyFont="1" applyBorder="1" applyAlignment="1">
      <alignment horizontal="right" vertical="top" wrapText="1"/>
    </xf>
    <xf numFmtId="2" fontId="32" fillId="0" borderId="0" xfId="0" applyNumberFormat="1" applyFont="1" applyAlignment="1">
      <alignment wrapText="1"/>
    </xf>
    <xf numFmtId="2" fontId="32" fillId="0" borderId="10" xfId="0" applyNumberFormat="1" applyFont="1" applyBorder="1" applyAlignment="1">
      <alignment wrapText="1"/>
    </xf>
    <xf numFmtId="2" fontId="26" fillId="45" borderId="10" xfId="0" applyNumberFormat="1" applyFont="1" applyFill="1" applyBorder="1" applyAlignment="1">
      <alignment horizontal="right" vertical="top" wrapText="1"/>
    </xf>
    <xf numFmtId="2" fontId="32" fillId="45" borderId="10" xfId="0" applyNumberFormat="1" applyFont="1" applyFill="1" applyBorder="1" applyAlignment="1">
      <alignment horizontal="right" vertical="top" wrapText="1"/>
    </xf>
    <xf numFmtId="2" fontId="139" fillId="0" borderId="0" xfId="0" applyNumberFormat="1" applyFont="1" applyFill="1" applyBorder="1" applyAlignment="1">
      <alignment horizontal="right" vertical="top" wrapText="1"/>
    </xf>
    <xf numFmtId="4" fontId="48" fillId="0" borderId="0" xfId="0" applyNumberFormat="1" applyFont="1" applyAlignment="1">
      <alignment horizontal="right"/>
    </xf>
    <xf numFmtId="0" fontId="48" fillId="0" borderId="25" xfId="0" applyFont="1" applyBorder="1"/>
    <xf numFmtId="4" fontId="48" fillId="0" borderId="24" xfId="0" applyNumberFormat="1" applyFont="1" applyBorder="1" applyAlignment="1">
      <alignment horizontal="right"/>
    </xf>
    <xf numFmtId="0" fontId="49" fillId="0" borderId="0" xfId="0" applyFont="1" applyAlignment="1">
      <alignment horizontal="center"/>
    </xf>
    <xf numFmtId="0" fontId="48" fillId="0" borderId="28" xfId="0" applyFont="1" applyBorder="1" applyAlignment="1">
      <alignment horizontal="center"/>
    </xf>
    <xf numFmtId="0" fontId="48" fillId="0" borderId="25" xfId="0" applyFont="1" applyBorder="1" applyAlignment="1">
      <alignment horizontal="center"/>
    </xf>
    <xf numFmtId="4" fontId="49" fillId="0" borderId="16" xfId="0" applyNumberFormat="1" applyFont="1" applyBorder="1" applyAlignment="1">
      <alignment horizontal="right"/>
    </xf>
    <xf numFmtId="0" fontId="49" fillId="51" borderId="10" xfId="0" applyFont="1" applyFill="1" applyBorder="1" applyAlignment="1">
      <alignment vertical="top" wrapText="1"/>
    </xf>
    <xf numFmtId="0" fontId="49" fillId="51" borderId="10" xfId="0" applyFont="1" applyFill="1" applyBorder="1" applyAlignment="1">
      <alignment horizontal="center"/>
    </xf>
    <xf numFmtId="4" fontId="49" fillId="51" borderId="10" xfId="0" applyNumberFormat="1" applyFont="1" applyFill="1" applyBorder="1" applyAlignment="1">
      <alignment horizontal="right"/>
    </xf>
    <xf numFmtId="0" fontId="133" fillId="54" borderId="10" xfId="0" applyFont="1" applyFill="1" applyBorder="1" applyAlignment="1">
      <alignment vertical="top" wrapText="1"/>
    </xf>
    <xf numFmtId="0" fontId="133" fillId="54" borderId="10" xfId="0" applyFont="1" applyFill="1" applyBorder="1" applyAlignment="1">
      <alignment horizontal="center"/>
    </xf>
    <xf numFmtId="4" fontId="133" fillId="54" borderId="10" xfId="0" applyNumberFormat="1" applyFont="1" applyFill="1" applyBorder="1" applyAlignment="1">
      <alignment horizontal="right"/>
    </xf>
    <xf numFmtId="0" fontId="133" fillId="0" borderId="10" xfId="0" applyFont="1" applyBorder="1" applyAlignment="1">
      <alignment vertical="top" wrapText="1"/>
    </xf>
    <xf numFmtId="0" fontId="133" fillId="0" borderId="10" xfId="0" applyFont="1" applyBorder="1" applyAlignment="1">
      <alignment horizontal="center"/>
    </xf>
    <xf numFmtId="4" fontId="133" fillId="0" borderId="10" xfId="0" applyNumberFormat="1" applyFont="1" applyBorder="1" applyAlignment="1">
      <alignment horizontal="right"/>
    </xf>
    <xf numFmtId="0" fontId="49" fillId="54" borderId="10" xfId="0" applyFont="1" applyFill="1" applyBorder="1" applyAlignment="1">
      <alignment horizontal="justify" wrapText="1"/>
    </xf>
    <xf numFmtId="0" fontId="49" fillId="54" borderId="10" xfId="0" applyFont="1" applyFill="1" applyBorder="1" applyAlignment="1">
      <alignment horizontal="center" wrapText="1"/>
    </xf>
    <xf numFmtId="0" fontId="49" fillId="54" borderId="10" xfId="0" applyFont="1" applyFill="1" applyBorder="1" applyAlignment="1">
      <alignment horizontal="center"/>
    </xf>
    <xf numFmtId="4" fontId="49" fillId="54" borderId="10" xfId="0" applyNumberFormat="1" applyFont="1" applyFill="1" applyBorder="1" applyAlignment="1">
      <alignment horizontal="right"/>
    </xf>
    <xf numFmtId="0" fontId="48" fillId="54" borderId="10" xfId="0" applyFont="1" applyFill="1" applyBorder="1" applyAlignment="1">
      <alignment wrapText="1"/>
    </xf>
    <xf numFmtId="0" fontId="48" fillId="54" borderId="10" xfId="0" applyFont="1" applyFill="1" applyBorder="1" applyAlignment="1">
      <alignment horizontal="center" wrapText="1"/>
    </xf>
    <xf numFmtId="0" fontId="48" fillId="54" borderId="10" xfId="0" applyFont="1" applyFill="1" applyBorder="1" applyAlignment="1">
      <alignment horizontal="center"/>
    </xf>
    <xf numFmtId="4" fontId="48" fillId="54" borderId="10" xfId="0" applyNumberFormat="1" applyFont="1" applyFill="1" applyBorder="1" applyAlignment="1">
      <alignment horizontal="right"/>
    </xf>
    <xf numFmtId="0" fontId="203" fillId="54" borderId="10" xfId="0" applyFont="1" applyFill="1" applyBorder="1" applyAlignment="1">
      <alignment wrapText="1"/>
    </xf>
    <xf numFmtId="0" fontId="203" fillId="54" borderId="10" xfId="0" applyFont="1" applyFill="1" applyBorder="1" applyAlignment="1">
      <alignment horizontal="center" wrapText="1"/>
    </xf>
    <xf numFmtId="0" fontId="203" fillId="54" borderId="10" xfId="0" applyFont="1" applyFill="1" applyBorder="1" applyAlignment="1">
      <alignment horizontal="center"/>
    </xf>
    <xf numFmtId="4" fontId="203" fillId="54" borderId="10" xfId="0" applyNumberFormat="1" applyFont="1" applyFill="1" applyBorder="1" applyAlignment="1">
      <alignment horizontal="right"/>
    </xf>
    <xf numFmtId="0" fontId="48" fillId="54" borderId="10" xfId="0" applyFont="1" applyFill="1" applyBorder="1"/>
    <xf numFmtId="0" fontId="48" fillId="54" borderId="10" xfId="0" applyFont="1" applyFill="1" applyBorder="1" applyAlignment="1">
      <alignment horizontal="right"/>
    </xf>
    <xf numFmtId="0" fontId="45" fillId="37" borderId="10" xfId="0" applyFont="1" applyFill="1" applyBorder="1" applyAlignment="1">
      <alignment wrapText="1"/>
    </xf>
    <xf numFmtId="0" fontId="45" fillId="37" borderId="10" xfId="0" applyFont="1" applyFill="1" applyBorder="1" applyAlignment="1">
      <alignment horizontal="center" wrapText="1"/>
    </xf>
    <xf numFmtId="0" fontId="45" fillId="37" borderId="10" xfId="0" applyFont="1" applyFill="1" applyBorder="1" applyAlignment="1">
      <alignment horizontal="center"/>
    </xf>
    <xf numFmtId="4" fontId="45" fillId="37" borderId="10" xfId="0" applyNumberFormat="1" applyFont="1" applyFill="1" applyBorder="1" applyAlignment="1">
      <alignment horizontal="right"/>
    </xf>
    <xf numFmtId="0" fontId="49" fillId="37" borderId="10" xfId="0" applyFont="1" applyFill="1" applyBorder="1" applyAlignment="1">
      <alignment horizontal="justify" wrapText="1"/>
    </xf>
    <xf numFmtId="0" fontId="49" fillId="37" borderId="10" xfId="0" applyFont="1" applyFill="1" applyBorder="1" applyAlignment="1">
      <alignment horizontal="center" wrapText="1"/>
    </xf>
    <xf numFmtId="4" fontId="49" fillId="37" borderId="10" xfId="0" applyNumberFormat="1" applyFont="1" applyFill="1" applyBorder="1" applyAlignment="1">
      <alignment horizontal="right" wrapText="1"/>
    </xf>
    <xf numFmtId="0" fontId="48" fillId="37" borderId="10" xfId="0" applyFont="1" applyFill="1" applyBorder="1" applyAlignment="1">
      <alignment wrapText="1"/>
    </xf>
    <xf numFmtId="0" fontId="48" fillId="37" borderId="10" xfId="0" applyFont="1" applyFill="1" applyBorder="1" applyAlignment="1">
      <alignment horizontal="center" wrapText="1"/>
    </xf>
    <xf numFmtId="0" fontId="204" fillId="37" borderId="10" xfId="0" applyFont="1" applyFill="1" applyBorder="1" applyAlignment="1">
      <alignment wrapText="1"/>
    </xf>
    <xf numFmtId="0" fontId="204" fillId="37" borderId="10" xfId="0" applyFont="1" applyFill="1" applyBorder="1" applyAlignment="1">
      <alignment horizontal="center" wrapText="1"/>
    </xf>
    <xf numFmtId="0" fontId="205" fillId="37" borderId="10" xfId="0" applyFont="1" applyFill="1" applyBorder="1" applyAlignment="1">
      <alignment horizontal="center" wrapText="1"/>
    </xf>
    <xf numFmtId="4" fontId="204" fillId="37" borderId="10" xfId="0" applyNumberFormat="1" applyFont="1" applyFill="1" applyBorder="1" applyAlignment="1">
      <alignment horizontal="right"/>
    </xf>
    <xf numFmtId="0" fontId="203" fillId="37" borderId="10" xfId="0" applyFont="1" applyFill="1" applyBorder="1" applyAlignment="1">
      <alignment wrapText="1"/>
    </xf>
    <xf numFmtId="0" fontId="203" fillId="37" borderId="10" xfId="0" applyFont="1" applyFill="1" applyBorder="1" applyAlignment="1">
      <alignment horizontal="center" wrapText="1"/>
    </xf>
    <xf numFmtId="4" fontId="203" fillId="37" borderId="10" xfId="0" applyNumberFormat="1" applyFont="1" applyFill="1" applyBorder="1" applyAlignment="1">
      <alignment horizontal="right"/>
    </xf>
    <xf numFmtId="0" fontId="48" fillId="37" borderId="10" xfId="0" applyFont="1" applyFill="1" applyBorder="1"/>
    <xf numFmtId="0" fontId="48" fillId="37" borderId="10" xfId="0" applyFont="1" applyFill="1" applyBorder="1" applyAlignment="1">
      <alignment horizontal="center"/>
    </xf>
    <xf numFmtId="4" fontId="48" fillId="37" borderId="10" xfId="0" applyNumberFormat="1" applyFont="1" applyFill="1" applyBorder="1" applyAlignment="1">
      <alignment horizontal="right"/>
    </xf>
    <xf numFmtId="0" fontId="48" fillId="37" borderId="10" xfId="0" applyFont="1" applyFill="1" applyBorder="1" applyAlignment="1">
      <alignment horizontal="right"/>
    </xf>
    <xf numFmtId="0" fontId="203" fillId="37" borderId="10" xfId="0" applyFont="1" applyFill="1" applyBorder="1" applyAlignment="1">
      <alignment horizontal="center"/>
    </xf>
    <xf numFmtId="0" fontId="203" fillId="37" borderId="10" xfId="0" applyFont="1" applyFill="1" applyBorder="1" applyAlignment="1">
      <alignment horizontal="right"/>
    </xf>
    <xf numFmtId="0" fontId="205" fillId="0" borderId="10" xfId="0" applyFont="1" applyBorder="1" applyAlignment="1">
      <alignment wrapText="1"/>
    </xf>
    <xf numFmtId="0" fontId="205" fillId="0" borderId="10" xfId="0" applyFont="1" applyBorder="1" applyAlignment="1">
      <alignment horizontal="center"/>
    </xf>
    <xf numFmtId="0" fontId="205" fillId="0" borderId="10" xfId="0" applyFont="1" applyBorder="1" applyAlignment="1">
      <alignment horizontal="right" wrapText="1"/>
    </xf>
    <xf numFmtId="4" fontId="205" fillId="0" borderId="10" xfId="0" applyNumberFormat="1" applyFont="1" applyBorder="1" applyAlignment="1">
      <alignment horizontal="right" wrapText="1"/>
    </xf>
    <xf numFmtId="0" fontId="203" fillId="0" borderId="10" xfId="0" applyFont="1" applyBorder="1" applyAlignment="1">
      <alignment wrapText="1"/>
    </xf>
    <xf numFmtId="0" fontId="203" fillId="0" borderId="10" xfId="0" applyFont="1" applyBorder="1" applyAlignment="1">
      <alignment horizontal="center"/>
    </xf>
    <xf numFmtId="0" fontId="203" fillId="0" borderId="10" xfId="0" applyFont="1" applyBorder="1" applyAlignment="1">
      <alignment horizontal="center" wrapText="1"/>
    </xf>
    <xf numFmtId="4" fontId="203" fillId="0" borderId="10" xfId="0" applyNumberFormat="1" applyFont="1" applyBorder="1" applyAlignment="1">
      <alignment horizontal="right" wrapText="1"/>
    </xf>
    <xf numFmtId="0" fontId="48" fillId="0" borderId="10" xfId="0" applyFont="1" applyBorder="1"/>
    <xf numFmtId="0" fontId="48" fillId="0" borderId="10" xfId="0" applyFont="1" applyBorder="1" applyAlignment="1">
      <alignment horizontal="center"/>
    </xf>
    <xf numFmtId="4" fontId="48" fillId="0" borderId="10" xfId="0" applyNumberFormat="1" applyFont="1" applyBorder="1" applyAlignment="1">
      <alignment horizontal="right"/>
    </xf>
    <xf numFmtId="0" fontId="48" fillId="0" borderId="10" xfId="0" applyFont="1" applyBorder="1" applyAlignment="1">
      <alignment horizontal="right"/>
    </xf>
    <xf numFmtId="0" fontId="206" fillId="0" borderId="10" xfId="0" applyFont="1" applyBorder="1" applyAlignment="1">
      <alignment horizontal="right"/>
    </xf>
    <xf numFmtId="0" fontId="207" fillId="0" borderId="10" xfId="0" applyFont="1" applyBorder="1" applyAlignment="1">
      <alignment horizontal="right"/>
    </xf>
    <xf numFmtId="0" fontId="203" fillId="0" borderId="10" xfId="0" applyFont="1" applyBorder="1" applyAlignment="1">
      <alignment horizontal="right" wrapText="1"/>
    </xf>
    <xf numFmtId="4" fontId="45" fillId="0" borderId="10" xfId="0" applyNumberFormat="1" applyFont="1" applyBorder="1" applyAlignment="1">
      <alignment horizontal="right"/>
    </xf>
    <xf numFmtId="0" fontId="45" fillId="0" borderId="10" xfId="0" applyFont="1" applyBorder="1" applyAlignment="1">
      <alignment horizontal="right"/>
    </xf>
    <xf numFmtId="0" fontId="208" fillId="0" borderId="10" xfId="0" applyFont="1" applyBorder="1" applyAlignment="1">
      <alignment horizontal="right"/>
    </xf>
    <xf numFmtId="0" fontId="49" fillId="37" borderId="10" xfId="0" applyFont="1" applyFill="1" applyBorder="1" applyAlignment="1">
      <alignment wrapText="1"/>
    </xf>
    <xf numFmtId="0" fontId="133" fillId="37" borderId="10" xfId="0" applyFont="1" applyFill="1" applyBorder="1" applyAlignment="1">
      <alignment wrapText="1"/>
    </xf>
    <xf numFmtId="0" fontId="133" fillId="37" borderId="10" xfId="0" applyFont="1" applyFill="1" applyBorder="1" applyAlignment="1">
      <alignment horizontal="center" wrapText="1"/>
    </xf>
    <xf numFmtId="4" fontId="133" fillId="37" borderId="10" xfId="0" applyNumberFormat="1" applyFont="1" applyFill="1" applyBorder="1" applyAlignment="1">
      <alignment horizontal="right" wrapText="1"/>
    </xf>
    <xf numFmtId="0" fontId="209" fillId="37" borderId="10" xfId="0" applyFont="1" applyFill="1" applyBorder="1" applyAlignment="1">
      <alignment horizontal="center" wrapText="1"/>
    </xf>
    <xf numFmtId="0" fontId="210" fillId="0" borderId="10" xfId="0" applyFont="1" applyBorder="1" applyAlignment="1">
      <alignment wrapText="1"/>
    </xf>
    <xf numFmtId="0" fontId="205" fillId="0" borderId="10" xfId="0" applyFont="1" applyBorder="1" applyAlignment="1">
      <alignment horizontal="center" wrapText="1"/>
    </xf>
    <xf numFmtId="4" fontId="211" fillId="0" borderId="10" xfId="0" applyNumberFormat="1" applyFont="1" applyBorder="1" applyAlignment="1">
      <alignment horizontal="right"/>
    </xf>
    <xf numFmtId="4" fontId="203" fillId="0" borderId="10" xfId="0" applyNumberFormat="1" applyFont="1" applyBorder="1" applyAlignment="1">
      <alignment horizontal="right"/>
    </xf>
    <xf numFmtId="0" fontId="48" fillId="0" borderId="10" xfId="0" applyFont="1" applyBorder="1" applyAlignment="1">
      <alignment wrapText="1"/>
    </xf>
    <xf numFmtId="0" fontId="209" fillId="0" borderId="10" xfId="0" applyFont="1" applyBorder="1" applyAlignment="1">
      <alignment horizontal="center" wrapText="1"/>
    </xf>
    <xf numFmtId="4" fontId="204" fillId="0" borderId="10" xfId="0" applyNumberFormat="1" applyFont="1" applyBorder="1" applyAlignment="1">
      <alignment horizontal="right"/>
    </xf>
    <xf numFmtId="0" fontId="212" fillId="0" borderId="10" xfId="0" applyFont="1" applyBorder="1" applyAlignment="1">
      <alignment wrapText="1"/>
    </xf>
    <xf numFmtId="4" fontId="207" fillId="0" borderId="10" xfId="0" applyNumberFormat="1" applyFont="1" applyBorder="1" applyAlignment="1">
      <alignment horizontal="right"/>
    </xf>
    <xf numFmtId="0" fontId="205" fillId="37" borderId="10" xfId="0" applyFont="1" applyFill="1" applyBorder="1" applyAlignment="1">
      <alignment wrapText="1"/>
    </xf>
    <xf numFmtId="0" fontId="45" fillId="37" borderId="10" xfId="0" applyFont="1" applyFill="1" applyBorder="1" applyAlignment="1">
      <alignment horizontal="right"/>
    </xf>
    <xf numFmtId="0" fontId="208" fillId="37" borderId="10" xfId="0" applyFont="1" applyFill="1" applyBorder="1" applyAlignment="1">
      <alignment horizontal="right"/>
    </xf>
    <xf numFmtId="0" fontId="207" fillId="37" borderId="10" xfId="0" applyFont="1" applyFill="1" applyBorder="1" applyAlignment="1">
      <alignment horizontal="right"/>
    </xf>
    <xf numFmtId="0" fontId="203" fillId="55" borderId="10" xfId="0" applyFont="1" applyFill="1" applyBorder="1" applyAlignment="1">
      <alignment wrapText="1"/>
    </xf>
    <xf numFmtId="0" fontId="32" fillId="55" borderId="10" xfId="0" applyFont="1" applyFill="1" applyBorder="1" applyAlignment="1">
      <alignment horizontal="center"/>
    </xf>
    <xf numFmtId="0" fontId="32" fillId="55" borderId="10" xfId="0" applyFont="1" applyFill="1" applyBorder="1" applyAlignment="1">
      <alignment horizontal="right"/>
    </xf>
    <xf numFmtId="0" fontId="133" fillId="54" borderId="10" xfId="0" applyFont="1" applyFill="1" applyBorder="1" applyAlignment="1">
      <alignment wrapText="1"/>
    </xf>
    <xf numFmtId="0" fontId="93" fillId="54" borderId="10" xfId="0" applyFont="1" applyFill="1" applyBorder="1" applyAlignment="1">
      <alignment horizontal="center" wrapText="1"/>
    </xf>
    <xf numFmtId="0" fontId="204" fillId="54" borderId="10" xfId="0" applyFont="1" applyFill="1" applyBorder="1" applyAlignment="1">
      <alignment wrapText="1"/>
    </xf>
    <xf numFmtId="0" fontId="204" fillId="54" borderId="10" xfId="0" applyFont="1" applyFill="1" applyBorder="1" applyAlignment="1">
      <alignment horizontal="center" wrapText="1"/>
    </xf>
    <xf numFmtId="0" fontId="204" fillId="54" borderId="10" xfId="0" applyFont="1" applyFill="1" applyBorder="1" applyAlignment="1">
      <alignment horizontal="center"/>
    </xf>
    <xf numFmtId="4" fontId="204" fillId="54" borderId="10" xfId="0" applyNumberFormat="1" applyFont="1" applyFill="1" applyBorder="1" applyAlignment="1">
      <alignment horizontal="right"/>
    </xf>
    <xf numFmtId="0" fontId="45" fillId="0" borderId="10" xfId="0" applyFont="1" applyBorder="1" applyAlignment="1">
      <alignment wrapText="1"/>
    </xf>
    <xf numFmtId="0" fontId="93" fillId="0" borderId="10" xfId="0" applyFont="1" applyBorder="1" applyAlignment="1">
      <alignment horizontal="center" wrapText="1"/>
    </xf>
    <xf numFmtId="0" fontId="45" fillId="56" borderId="10" xfId="0" applyFont="1" applyFill="1" applyBorder="1" applyAlignment="1">
      <alignment wrapText="1"/>
    </xf>
    <xf numFmtId="0" fontId="32" fillId="0" borderId="10" xfId="0" applyFont="1" applyBorder="1" applyAlignment="1">
      <alignment horizontal="center"/>
    </xf>
    <xf numFmtId="0" fontId="48" fillId="0" borderId="10" xfId="0" applyFont="1" applyBorder="1" applyAlignment="1">
      <alignment horizontal="center" wrapText="1"/>
    </xf>
    <xf numFmtId="0" fontId="203" fillId="0" borderId="10" xfId="0" applyFont="1" applyBorder="1" applyAlignment="1">
      <alignment horizontal="right"/>
    </xf>
    <xf numFmtId="0" fontId="49" fillId="57" borderId="10" xfId="0" applyFont="1" applyFill="1" applyBorder="1" applyAlignment="1">
      <alignment wrapText="1"/>
    </xf>
    <xf numFmtId="0" fontId="49" fillId="57" borderId="10" xfId="0" applyFont="1" applyFill="1" applyBorder="1" applyAlignment="1">
      <alignment horizontal="center" wrapText="1"/>
    </xf>
    <xf numFmtId="0" fontId="49" fillId="57" borderId="10" xfId="0" applyFont="1" applyFill="1" applyBorder="1" applyAlignment="1">
      <alignment horizontal="center"/>
    </xf>
    <xf numFmtId="0" fontId="203" fillId="57" borderId="10" xfId="0" applyFont="1" applyFill="1" applyBorder="1" applyAlignment="1">
      <alignment horizontal="center"/>
    </xf>
    <xf numFmtId="4" fontId="203" fillId="57" borderId="10" xfId="0" applyNumberFormat="1" applyFont="1" applyFill="1" applyBorder="1" applyAlignment="1">
      <alignment horizontal="right"/>
    </xf>
    <xf numFmtId="0" fontId="48" fillId="57" borderId="10" xfId="0" applyFont="1" applyFill="1" applyBorder="1"/>
    <xf numFmtId="0" fontId="48" fillId="57" borderId="10" xfId="0" applyFont="1" applyFill="1" applyBorder="1" applyAlignment="1">
      <alignment horizontal="center" wrapText="1"/>
    </xf>
    <xf numFmtId="0" fontId="48" fillId="57" borderId="10" xfId="0" applyFont="1" applyFill="1" applyBorder="1" applyAlignment="1">
      <alignment horizontal="center"/>
    </xf>
    <xf numFmtId="4" fontId="45" fillId="57" borderId="10" xfId="0" applyNumberFormat="1" applyFont="1" applyFill="1" applyBorder="1" applyAlignment="1">
      <alignment horizontal="right"/>
    </xf>
    <xf numFmtId="0" fontId="45" fillId="57" borderId="10" xfId="0" applyFont="1" applyFill="1" applyBorder="1" applyAlignment="1">
      <alignment horizontal="right"/>
    </xf>
    <xf numFmtId="0" fontId="204" fillId="37" borderId="10" xfId="0" applyFont="1" applyFill="1" applyBorder="1" applyAlignment="1">
      <alignment horizontal="center"/>
    </xf>
    <xf numFmtId="4" fontId="199" fillId="37" borderId="10" xfId="0" applyNumberFormat="1" applyFont="1" applyFill="1" applyBorder="1" applyAlignment="1">
      <alignment horizontal="right"/>
    </xf>
    <xf numFmtId="0" fontId="199" fillId="37" borderId="10" xfId="0" applyFont="1" applyFill="1" applyBorder="1" applyAlignment="1">
      <alignment horizontal="right"/>
    </xf>
    <xf numFmtId="0" fontId="49" fillId="0" borderId="10" xfId="0" applyFont="1" applyBorder="1" applyAlignment="1">
      <alignment wrapText="1"/>
    </xf>
    <xf numFmtId="0" fontId="49" fillId="0" borderId="10" xfId="0" applyFont="1" applyBorder="1" applyAlignment="1">
      <alignment horizontal="center" wrapText="1"/>
    </xf>
    <xf numFmtId="0" fontId="49" fillId="0" borderId="10" xfId="0" applyFont="1" applyBorder="1" applyAlignment="1">
      <alignment horizontal="center"/>
    </xf>
    <xf numFmtId="4" fontId="49" fillId="0" borderId="10" xfId="0" applyNumberFormat="1" applyFont="1" applyBorder="1" applyAlignment="1">
      <alignment horizontal="right"/>
    </xf>
    <xf numFmtId="0" fontId="45" fillId="0" borderId="10" xfId="0" applyFont="1" applyBorder="1" applyAlignment="1">
      <alignment horizontal="center" wrapText="1"/>
    </xf>
    <xf numFmtId="4" fontId="205" fillId="0" borderId="10" xfId="0" applyNumberFormat="1" applyFont="1" applyBorder="1" applyAlignment="1">
      <alignment horizontal="right"/>
    </xf>
    <xf numFmtId="0" fontId="133" fillId="0" borderId="10" xfId="0" applyFont="1" applyBorder="1" applyAlignment="1">
      <alignment wrapText="1"/>
    </xf>
    <xf numFmtId="0" fontId="133" fillId="0" borderId="10" xfId="0" applyFont="1" applyBorder="1" applyAlignment="1">
      <alignment horizontal="center" wrapText="1"/>
    </xf>
    <xf numFmtId="0" fontId="204" fillId="0" borderId="10" xfId="0" applyFont="1" applyBorder="1" applyAlignment="1">
      <alignment wrapText="1"/>
    </xf>
    <xf numFmtId="0" fontId="204" fillId="0" borderId="10" xfId="0" applyFont="1" applyBorder="1" applyAlignment="1">
      <alignment horizontal="center" wrapText="1"/>
    </xf>
    <xf numFmtId="0" fontId="204" fillId="0" borderId="10" xfId="0" applyFont="1" applyBorder="1" applyAlignment="1">
      <alignment horizontal="center"/>
    </xf>
    <xf numFmtId="0" fontId="49" fillId="0" borderId="10" xfId="0" applyFont="1" applyBorder="1" applyAlignment="1">
      <alignment horizontal="right"/>
    </xf>
    <xf numFmtId="0" fontId="106" fillId="0" borderId="10" xfId="0" applyFont="1" applyBorder="1"/>
    <xf numFmtId="0" fontId="49" fillId="0" borderId="10" xfId="0" applyFont="1" applyBorder="1"/>
    <xf numFmtId="0" fontId="199" fillId="37" borderId="10" xfId="0" applyFont="1" applyFill="1" applyBorder="1" applyAlignment="1">
      <alignment wrapText="1"/>
    </xf>
    <xf numFmtId="0" fontId="199" fillId="37" borderId="10" xfId="0" applyFont="1" applyFill="1" applyBorder="1" applyAlignment="1">
      <alignment horizontal="center" wrapText="1"/>
    </xf>
    <xf numFmtId="0" fontId="199" fillId="37" borderId="10" xfId="0" applyFont="1" applyFill="1" applyBorder="1" applyAlignment="1">
      <alignment horizontal="center"/>
    </xf>
    <xf numFmtId="0" fontId="205" fillId="58" borderId="10" xfId="0" applyFont="1" applyFill="1" applyBorder="1" applyAlignment="1">
      <alignment wrapText="1"/>
    </xf>
    <xf numFmtId="0" fontId="204" fillId="58" borderId="10" xfId="0" applyFont="1" applyFill="1" applyBorder="1" applyAlignment="1">
      <alignment horizontal="center"/>
    </xf>
    <xf numFmtId="0" fontId="204" fillId="58" borderId="10" xfId="0" applyFont="1" applyFill="1" applyBorder="1" applyAlignment="1">
      <alignment horizontal="center" wrapText="1"/>
    </xf>
    <xf numFmtId="0" fontId="205" fillId="58" borderId="10" xfId="0" applyFont="1" applyFill="1" applyBorder="1" applyAlignment="1">
      <alignment horizontal="center"/>
    </xf>
    <xf numFmtId="4" fontId="205" fillId="58" borderId="10" xfId="0" applyNumberFormat="1" applyFont="1" applyFill="1" applyBorder="1" applyAlignment="1">
      <alignment horizontal="right"/>
    </xf>
    <xf numFmtId="0" fontId="203" fillId="58" borderId="10" xfId="0" applyFont="1" applyFill="1" applyBorder="1" applyAlignment="1">
      <alignment wrapText="1"/>
    </xf>
    <xf numFmtId="0" fontId="203" fillId="58" borderId="10" xfId="0" applyFont="1" applyFill="1" applyBorder="1" applyAlignment="1">
      <alignment horizontal="center" wrapText="1"/>
    </xf>
    <xf numFmtId="0" fontId="203" fillId="58" borderId="10" xfId="0" applyFont="1" applyFill="1" applyBorder="1" applyAlignment="1">
      <alignment horizontal="center"/>
    </xf>
    <xf numFmtId="4" fontId="203" fillId="58" borderId="10" xfId="0" applyNumberFormat="1" applyFont="1" applyFill="1" applyBorder="1" applyAlignment="1">
      <alignment horizontal="right"/>
    </xf>
    <xf numFmtId="0" fontId="48" fillId="58" borderId="10" xfId="0" applyFont="1" applyFill="1" applyBorder="1"/>
    <xf numFmtId="0" fontId="48" fillId="58" borderId="10" xfId="0" applyFont="1" applyFill="1" applyBorder="1" applyAlignment="1">
      <alignment horizontal="center"/>
    </xf>
    <xf numFmtId="4" fontId="45" fillId="58" borderId="10" xfId="0" applyNumberFormat="1" applyFont="1" applyFill="1" applyBorder="1" applyAlignment="1">
      <alignment horizontal="right"/>
    </xf>
    <xf numFmtId="0" fontId="45" fillId="58" borderId="10" xfId="0" applyFont="1" applyFill="1" applyBorder="1" applyAlignment="1">
      <alignment horizontal="right"/>
    </xf>
    <xf numFmtId="0" fontId="207" fillId="58" borderId="10" xfId="0" applyFont="1" applyFill="1" applyBorder="1" applyAlignment="1">
      <alignment horizontal="right"/>
    </xf>
    <xf numFmtId="4" fontId="208" fillId="58" borderId="10" xfId="0" applyNumberFormat="1" applyFont="1" applyFill="1" applyBorder="1" applyAlignment="1">
      <alignment horizontal="right"/>
    </xf>
    <xf numFmtId="0" fontId="49" fillId="37" borderId="10" xfId="0" applyFont="1" applyFill="1" applyBorder="1" applyAlignment="1">
      <alignment horizontal="center"/>
    </xf>
    <xf numFmtId="0" fontId="49" fillId="37" borderId="10" xfId="0" applyFont="1" applyFill="1" applyBorder="1" applyAlignment="1">
      <alignment horizontal="right"/>
    </xf>
    <xf numFmtId="4" fontId="207" fillId="37" borderId="10" xfId="0" applyNumberFormat="1" applyFont="1" applyFill="1" applyBorder="1" applyAlignment="1">
      <alignment horizontal="right"/>
    </xf>
    <xf numFmtId="0" fontId="48" fillId="38" borderId="10" xfId="0" applyFont="1" applyFill="1" applyBorder="1"/>
    <xf numFmtId="0" fontId="48" fillId="38" borderId="10" xfId="0" applyFont="1" applyFill="1" applyBorder="1" applyAlignment="1">
      <alignment horizontal="center"/>
    </xf>
    <xf numFmtId="4" fontId="45" fillId="38" borderId="10" xfId="0" applyNumberFormat="1" applyFont="1" applyFill="1" applyBorder="1" applyAlignment="1">
      <alignment horizontal="right"/>
    </xf>
    <xf numFmtId="0" fontId="144" fillId="37" borderId="10" xfId="0" applyFont="1" applyFill="1" applyBorder="1" applyAlignment="1">
      <alignment horizontal="center" wrapText="1"/>
    </xf>
    <xf numFmtId="4" fontId="133" fillId="0" borderId="10" xfId="0" applyNumberFormat="1" applyFont="1" applyBorder="1" applyAlignment="1">
      <alignment horizontal="right" wrapText="1"/>
    </xf>
    <xf numFmtId="4" fontId="45" fillId="0" borderId="10" xfId="0" applyNumberFormat="1" applyFont="1" applyBorder="1" applyAlignment="1">
      <alignment horizontal="right" wrapText="1"/>
    </xf>
    <xf numFmtId="0" fontId="176" fillId="0" borderId="10" xfId="0" applyFont="1" applyBorder="1" applyAlignment="1">
      <alignment wrapText="1"/>
    </xf>
    <xf numFmtId="0" fontId="45" fillId="0" borderId="10" xfId="0" applyFont="1" applyBorder="1" applyAlignment="1">
      <alignment horizontal="right" wrapText="1"/>
    </xf>
    <xf numFmtId="0" fontId="133" fillId="56" borderId="10" xfId="0" applyFont="1" applyFill="1" applyBorder="1" applyAlignment="1">
      <alignment wrapText="1"/>
    </xf>
    <xf numFmtId="0" fontId="133" fillId="56" borderId="10" xfId="0" applyFont="1" applyFill="1" applyBorder="1" applyAlignment="1">
      <alignment horizontal="center" wrapText="1"/>
    </xf>
    <xf numFmtId="0" fontId="133" fillId="56" borderId="10" xfId="0" applyFont="1" applyFill="1" applyBorder="1" applyAlignment="1">
      <alignment horizontal="center"/>
    </xf>
    <xf numFmtId="4" fontId="133" fillId="56" borderId="10" xfId="0" applyNumberFormat="1" applyFont="1" applyFill="1" applyBorder="1" applyAlignment="1">
      <alignment horizontal="right"/>
    </xf>
    <xf numFmtId="0" fontId="45" fillId="56" borderId="10" xfId="0" applyFont="1" applyFill="1" applyBorder="1" applyAlignment="1">
      <alignment horizontal="center"/>
    </xf>
    <xf numFmtId="4" fontId="45" fillId="56" borderId="10" xfId="0" applyNumberFormat="1" applyFont="1" applyFill="1" applyBorder="1" applyAlignment="1">
      <alignment horizontal="right"/>
    </xf>
    <xf numFmtId="0" fontId="45" fillId="56" borderId="10" xfId="0" applyFont="1" applyFill="1" applyBorder="1" applyAlignment="1">
      <alignment horizontal="right"/>
    </xf>
    <xf numFmtId="0" fontId="48" fillId="56" borderId="10" xfId="0" applyFont="1" applyFill="1" applyBorder="1" applyAlignment="1">
      <alignment wrapText="1"/>
    </xf>
    <xf numFmtId="0" fontId="48" fillId="56" borderId="10" xfId="0" applyFont="1" applyFill="1" applyBorder="1" applyAlignment="1">
      <alignment horizontal="center" wrapText="1"/>
    </xf>
    <xf numFmtId="0" fontId="48" fillId="56" borderId="10" xfId="0" applyFont="1" applyFill="1" applyBorder="1" applyAlignment="1">
      <alignment horizontal="center"/>
    </xf>
    <xf numFmtId="0" fontId="48" fillId="56" borderId="10" xfId="0" applyFont="1" applyFill="1" applyBorder="1" applyAlignment="1">
      <alignment horizontal="right"/>
    </xf>
    <xf numFmtId="0" fontId="45" fillId="54" borderId="10" xfId="0" applyFont="1" applyFill="1" applyBorder="1" applyAlignment="1">
      <alignment wrapText="1"/>
    </xf>
    <xf numFmtId="0" fontId="45" fillId="54" borderId="10" xfId="0" applyFont="1" applyFill="1" applyBorder="1" applyAlignment="1">
      <alignment horizontal="center"/>
    </xf>
    <xf numFmtId="0" fontId="45" fillId="54" borderId="10" xfId="0" applyFont="1" applyFill="1" applyBorder="1" applyAlignment="1">
      <alignment horizontal="right"/>
    </xf>
    <xf numFmtId="0" fontId="45" fillId="0" borderId="10" xfId="0" applyFont="1" applyBorder="1" applyAlignment="1">
      <alignment horizontal="center"/>
    </xf>
    <xf numFmtId="0" fontId="145" fillId="0" borderId="10" xfId="0" applyFont="1" applyBorder="1" applyAlignment="1">
      <alignment wrapText="1"/>
    </xf>
    <xf numFmtId="0" fontId="145" fillId="0" borderId="10" xfId="0" applyFont="1" applyBorder="1" applyAlignment="1">
      <alignment horizontal="center" wrapText="1"/>
    </xf>
    <xf numFmtId="0" fontId="32" fillId="0" borderId="10" xfId="0" applyFont="1" applyBorder="1" applyAlignment="1">
      <alignment horizontal="center" vertical="top"/>
    </xf>
    <xf numFmtId="4" fontId="106" fillId="0" borderId="0" xfId="0" applyNumberFormat="1" applyFont="1"/>
    <xf numFmtId="4" fontId="72" fillId="59" borderId="10" xfId="87" applyNumberFormat="1" applyFont="1" applyFill="1" applyBorder="1" applyAlignment="1">
      <alignment horizontal="center" vertical="center" wrapText="1"/>
    </xf>
    <xf numFmtId="0" fontId="0" fillId="37" borderId="0" xfId="0" applyFill="1" applyAlignment="1">
      <alignment wrapText="1"/>
    </xf>
    <xf numFmtId="0" fontId="32" fillId="37" borderId="16" xfId="0" applyFont="1" applyFill="1" applyBorder="1" applyAlignment="1">
      <alignment horizontal="center" vertical="center" wrapText="1"/>
    </xf>
    <xf numFmtId="0" fontId="175" fillId="37" borderId="16" xfId="0" applyFont="1" applyFill="1" applyBorder="1" applyAlignment="1">
      <alignment horizontal="center" vertical="center" wrapText="1"/>
    </xf>
    <xf numFmtId="0" fontId="36" fillId="37" borderId="0" xfId="0" applyFont="1" applyFill="1" applyAlignment="1">
      <alignment wrapText="1"/>
    </xf>
    <xf numFmtId="0" fontId="213" fillId="0" borderId="0" xfId="0" applyFont="1" applyFill="1" applyAlignment="1">
      <alignment horizontal="left" vertical="center" wrapText="1"/>
    </xf>
    <xf numFmtId="0" fontId="213" fillId="0" borderId="0" xfId="0" applyFont="1" applyFill="1" applyAlignment="1">
      <alignment horizontal="center" vertical="center" wrapText="1"/>
    </xf>
    <xf numFmtId="0" fontId="213" fillId="0" borderId="0" xfId="0" applyFont="1" applyFill="1" applyAlignment="1">
      <alignment wrapText="1"/>
    </xf>
    <xf numFmtId="0" fontId="214" fillId="0" borderId="30" xfId="0" applyFont="1" applyFill="1" applyBorder="1" applyAlignment="1">
      <alignment horizontal="center" vertical="center" wrapText="1"/>
    </xf>
    <xf numFmtId="0" fontId="214" fillId="0" borderId="10" xfId="0" applyFont="1" applyFill="1" applyBorder="1" applyAlignment="1">
      <alignment horizontal="center" vertical="center" wrapText="1"/>
    </xf>
    <xf numFmtId="0" fontId="213" fillId="0" borderId="10" xfId="0" applyFont="1" applyFill="1" applyBorder="1" applyAlignment="1">
      <alignment horizontal="left" vertical="center" wrapText="1"/>
    </xf>
    <xf numFmtId="0" fontId="213" fillId="0" borderId="10" xfId="0" applyFont="1" applyFill="1" applyBorder="1" applyAlignment="1">
      <alignment horizontal="center" vertical="center" wrapText="1"/>
    </xf>
    <xf numFmtId="0" fontId="176" fillId="42" borderId="10" xfId="0" applyFont="1" applyFill="1" applyBorder="1" applyAlignment="1">
      <alignment horizontal="center" vertical="center" wrapText="1"/>
    </xf>
    <xf numFmtId="0" fontId="213" fillId="0" borderId="10" xfId="0" applyFont="1" applyFill="1" applyBorder="1" applyAlignment="1">
      <alignment wrapText="1"/>
    </xf>
    <xf numFmtId="0" fontId="133" fillId="42" borderId="10" xfId="0" applyFont="1" applyFill="1" applyBorder="1" applyAlignment="1">
      <alignment horizontal="center" vertical="center" wrapText="1"/>
    </xf>
    <xf numFmtId="0" fontId="214" fillId="0" borderId="10" xfId="0" applyFont="1" applyFill="1" applyBorder="1" applyAlignment="1">
      <alignment wrapText="1"/>
    </xf>
    <xf numFmtId="1" fontId="214" fillId="0" borderId="10" xfId="0" applyNumberFormat="1" applyFont="1" applyFill="1" applyBorder="1" applyAlignment="1">
      <alignment wrapText="1"/>
    </xf>
    <xf numFmtId="0" fontId="176" fillId="0" borderId="10" xfId="0" applyFont="1" applyBorder="1" applyAlignment="1">
      <alignment horizontal="center" vertical="center" wrapText="1"/>
    </xf>
    <xf numFmtId="0" fontId="133" fillId="0" borderId="10" xfId="0" applyFont="1" applyBorder="1" applyAlignment="1">
      <alignment horizontal="right" vertical="center"/>
    </xf>
    <xf numFmtId="2" fontId="213" fillId="0" borderId="10" xfId="0" applyNumberFormat="1" applyFont="1" applyFill="1" applyBorder="1" applyAlignment="1">
      <alignment wrapText="1"/>
    </xf>
    <xf numFmtId="2" fontId="214" fillId="0" borderId="10" xfId="0" applyNumberFormat="1" applyFont="1" applyFill="1" applyBorder="1" applyAlignment="1">
      <alignment wrapText="1"/>
    </xf>
    <xf numFmtId="0" fontId="45" fillId="42" borderId="10" xfId="0" applyFont="1" applyFill="1" applyBorder="1" applyAlignment="1">
      <alignment horizontal="center" vertical="center" wrapText="1"/>
    </xf>
    <xf numFmtId="164" fontId="213" fillId="43" borderId="10" xfId="0" applyNumberFormat="1" applyFont="1" applyFill="1" applyBorder="1" applyAlignment="1">
      <alignment horizontal="center" vertical="center" wrapText="1"/>
    </xf>
    <xf numFmtId="1" fontId="213" fillId="43" borderId="10" xfId="0" applyNumberFormat="1" applyFont="1" applyFill="1" applyBorder="1" applyAlignment="1">
      <alignment horizontal="center" vertical="center" wrapText="1"/>
    </xf>
    <xf numFmtId="0" fontId="176" fillId="0" borderId="10" xfId="0" applyFont="1" applyFill="1" applyBorder="1" applyAlignment="1">
      <alignment horizontal="right" vertical="center" wrapText="1"/>
    </xf>
    <xf numFmtId="0" fontId="45" fillId="0" borderId="0" xfId="0" applyFont="1" applyBorder="1" applyAlignment="1">
      <alignment horizontal="center" vertical="center" wrapText="1"/>
    </xf>
    <xf numFmtId="0" fontId="176" fillId="42" borderId="0" xfId="0" applyFont="1" applyFill="1" applyBorder="1" applyAlignment="1">
      <alignment horizontal="center" vertical="center" wrapText="1"/>
    </xf>
    <xf numFmtId="0" fontId="215" fillId="42" borderId="0" xfId="0" applyFont="1" applyFill="1" applyBorder="1" applyAlignment="1">
      <alignment horizontal="center" vertical="center" wrapText="1"/>
    </xf>
    <xf numFmtId="0" fontId="133" fillId="42" borderId="0" xfId="0" applyFont="1" applyFill="1" applyBorder="1" applyAlignment="1">
      <alignment horizontal="center" vertical="center" wrapText="1"/>
    </xf>
    <xf numFmtId="0" fontId="45" fillId="0" borderId="0" xfId="0" applyFont="1" applyBorder="1" applyAlignment="1">
      <alignment wrapText="1"/>
    </xf>
    <xf numFmtId="0" fontId="133" fillId="0" borderId="0" xfId="0" applyFont="1" applyBorder="1" applyAlignment="1">
      <alignment wrapText="1"/>
    </xf>
    <xf numFmtId="0" fontId="214" fillId="0" borderId="13" xfId="0" applyFont="1" applyFill="1" applyBorder="1" applyAlignment="1">
      <alignment horizontal="center" vertical="center" wrapText="1"/>
    </xf>
    <xf numFmtId="1" fontId="213" fillId="0" borderId="10" xfId="0" applyNumberFormat="1" applyFont="1" applyFill="1" applyBorder="1" applyAlignment="1">
      <alignment horizontal="center" vertical="center" wrapText="1"/>
    </xf>
    <xf numFmtId="2" fontId="213" fillId="0" borderId="10" xfId="0" applyNumberFormat="1" applyFont="1" applyFill="1" applyBorder="1" applyAlignment="1">
      <alignment horizontal="center" vertical="center" wrapText="1"/>
    </xf>
    <xf numFmtId="2" fontId="213" fillId="0" borderId="10" xfId="0" applyNumberFormat="1" applyFont="1" applyFill="1" applyBorder="1" applyAlignment="1">
      <alignment horizontal="center" wrapText="1"/>
    </xf>
    <xf numFmtId="1" fontId="213" fillId="0" borderId="10" xfId="0" applyNumberFormat="1" applyFont="1" applyFill="1" applyBorder="1" applyAlignment="1">
      <alignment wrapText="1"/>
    </xf>
    <xf numFmtId="0" fontId="214" fillId="0" borderId="10" xfId="0" applyFont="1" applyFill="1" applyBorder="1" applyAlignment="1">
      <alignment horizontal="left" vertical="center" wrapText="1"/>
    </xf>
    <xf numFmtId="0" fontId="213" fillId="0" borderId="0" xfId="0" applyFont="1" applyFill="1" applyBorder="1" applyAlignment="1">
      <alignment horizontal="left" vertical="center" wrapText="1"/>
    </xf>
    <xf numFmtId="0" fontId="213" fillId="0" borderId="0" xfId="0" applyFont="1" applyFill="1" applyBorder="1" applyAlignment="1">
      <alignment horizontal="center" vertical="center" wrapText="1"/>
    </xf>
    <xf numFmtId="0" fontId="213" fillId="0" borderId="0" xfId="0" applyFont="1" applyFill="1" applyBorder="1" applyAlignment="1">
      <alignment wrapText="1"/>
    </xf>
    <xf numFmtId="0" fontId="213" fillId="0" borderId="10" xfId="81" applyFont="1" applyFill="1" applyBorder="1" applyAlignment="1">
      <alignment horizontal="left" vertical="center" wrapText="1"/>
    </xf>
    <xf numFmtId="164" fontId="213" fillId="0" borderId="10" xfId="0" applyNumberFormat="1" applyFont="1" applyFill="1" applyBorder="1" applyAlignment="1">
      <alignment horizontal="center" vertical="center" wrapText="1"/>
    </xf>
    <xf numFmtId="164" fontId="213" fillId="0" borderId="10" xfId="0" applyNumberFormat="1" applyFont="1" applyFill="1" applyBorder="1" applyAlignment="1">
      <alignment wrapText="1"/>
    </xf>
    <xf numFmtId="164" fontId="45" fillId="0" borderId="10" xfId="0" applyNumberFormat="1" applyFont="1" applyFill="1" applyBorder="1" applyAlignment="1">
      <alignment wrapText="1"/>
    </xf>
    <xf numFmtId="0" fontId="213" fillId="0" borderId="10" xfId="85" applyFont="1" applyFill="1" applyBorder="1" applyAlignment="1">
      <alignment horizontal="left" vertical="center" wrapText="1"/>
    </xf>
    <xf numFmtId="0" fontId="213" fillId="0" borderId="10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168" fontId="48" fillId="0" borderId="0" xfId="0" applyNumberFormat="1" applyFont="1" applyFill="1" applyAlignment="1">
      <alignment vertical="top"/>
    </xf>
    <xf numFmtId="168" fontId="48" fillId="60" borderId="0" xfId="0" applyNumberFormat="1" applyFont="1" applyFill="1" applyAlignment="1">
      <alignment vertical="top"/>
    </xf>
    <xf numFmtId="168" fontId="48" fillId="61" borderId="0" xfId="0" applyNumberFormat="1" applyFont="1" applyFill="1" applyAlignment="1">
      <alignment vertical="top"/>
    </xf>
    <xf numFmtId="168" fontId="48" fillId="62" borderId="0" xfId="0" applyNumberFormat="1" applyFont="1" applyFill="1" applyAlignment="1">
      <alignment vertical="top"/>
    </xf>
    <xf numFmtId="168" fontId="48" fillId="47" borderId="0" xfId="0" applyNumberFormat="1" applyFont="1" applyFill="1" applyAlignment="1">
      <alignment vertical="top"/>
    </xf>
    <xf numFmtId="168" fontId="48" fillId="43" borderId="0" xfId="0" applyNumberFormat="1" applyFont="1" applyFill="1" applyAlignment="1">
      <alignment vertical="top"/>
    </xf>
    <xf numFmtId="168" fontId="48" fillId="63" borderId="0" xfId="0" applyNumberFormat="1" applyFont="1" applyFill="1" applyAlignment="1">
      <alignment vertical="top"/>
    </xf>
    <xf numFmtId="0" fontId="48" fillId="63" borderId="0" xfId="0" applyFont="1" applyFill="1" applyAlignment="1">
      <alignment vertical="top"/>
    </xf>
    <xf numFmtId="0" fontId="48" fillId="64" borderId="0" xfId="0" applyFont="1" applyFill="1" applyAlignment="1">
      <alignment vertical="top"/>
    </xf>
    <xf numFmtId="168" fontId="48" fillId="64" borderId="0" xfId="0" applyNumberFormat="1" applyFont="1" applyFill="1" applyAlignment="1">
      <alignment vertical="top"/>
    </xf>
    <xf numFmtId="0" fontId="48" fillId="37" borderId="0" xfId="0" applyFont="1" applyFill="1" applyAlignment="1">
      <alignment vertical="top"/>
    </xf>
    <xf numFmtId="0" fontId="0" fillId="0" borderId="0" xfId="0" applyFill="1" applyAlignment="1">
      <alignment vertical="top"/>
    </xf>
    <xf numFmtId="168" fontId="0" fillId="43" borderId="0" xfId="0" applyNumberFormat="1" applyFill="1" applyAlignment="1">
      <alignment vertical="top"/>
    </xf>
    <xf numFmtId="168" fontId="0" fillId="0" borderId="0" xfId="0" applyNumberFormat="1" applyFill="1" applyAlignment="1">
      <alignment vertical="top"/>
    </xf>
    <xf numFmtId="168" fontId="0" fillId="37" borderId="0" xfId="0" applyNumberFormat="1" applyFill="1" applyAlignment="1">
      <alignment vertical="top"/>
    </xf>
    <xf numFmtId="168" fontId="0" fillId="37" borderId="0" xfId="0" applyNumberFormat="1" applyFont="1" applyFill="1" applyAlignment="1">
      <alignment vertical="top"/>
    </xf>
    <xf numFmtId="170" fontId="48" fillId="37" borderId="0" xfId="0" applyNumberFormat="1" applyFont="1" applyFill="1" applyAlignment="1">
      <alignment vertical="top"/>
    </xf>
    <xf numFmtId="171" fontId="0" fillId="0" borderId="0" xfId="0" applyNumberFormat="1" applyFill="1" applyAlignment="1">
      <alignment vertical="top"/>
    </xf>
    <xf numFmtId="168" fontId="48" fillId="37" borderId="0" xfId="0" applyNumberFormat="1" applyFont="1" applyFill="1" applyAlignment="1">
      <alignment vertical="top"/>
    </xf>
    <xf numFmtId="172" fontId="48" fillId="60" borderId="0" xfId="0" applyNumberFormat="1" applyFont="1" applyFill="1" applyAlignment="1">
      <alignment vertical="top"/>
    </xf>
    <xf numFmtId="172" fontId="48" fillId="61" borderId="0" xfId="0" applyNumberFormat="1" applyFont="1" applyFill="1" applyAlignment="1">
      <alignment vertical="top"/>
    </xf>
    <xf numFmtId="173" fontId="48" fillId="47" borderId="0" xfId="0" applyNumberFormat="1" applyFont="1" applyFill="1" applyAlignment="1">
      <alignment vertical="top"/>
    </xf>
    <xf numFmtId="173" fontId="48" fillId="43" borderId="0" xfId="0" applyNumberFormat="1" applyFont="1" applyFill="1" applyAlignment="1">
      <alignment vertical="top"/>
    </xf>
    <xf numFmtId="170" fontId="48" fillId="0" borderId="0" xfId="0" applyNumberFormat="1" applyFont="1" applyFill="1" applyAlignment="1">
      <alignment vertical="top"/>
    </xf>
    <xf numFmtId="0" fontId="48" fillId="0" borderId="0" xfId="0" applyFont="1" applyFill="1" applyAlignment="1">
      <alignment horizontal="left" vertical="top"/>
    </xf>
    <xf numFmtId="0" fontId="48" fillId="0" borderId="0" xfId="0" applyFont="1" applyFill="1" applyAlignment="1">
      <alignment vertical="top"/>
    </xf>
    <xf numFmtId="168" fontId="48" fillId="0" borderId="0" xfId="0" applyNumberFormat="1" applyFont="1" applyFill="1" applyAlignment="1">
      <alignment horizontal="right" vertical="top"/>
    </xf>
    <xf numFmtId="49" fontId="152" fillId="0" borderId="10" xfId="0" applyNumberFormat="1" applyFont="1" applyFill="1" applyBorder="1" applyAlignment="1">
      <alignment horizontal="center" vertical="top"/>
    </xf>
    <xf numFmtId="168" fontId="48" fillId="0" borderId="10" xfId="0" applyNumberFormat="1" applyFont="1" applyFill="1" applyBorder="1" applyAlignment="1">
      <alignment horizontal="center" vertical="top"/>
    </xf>
    <xf numFmtId="168" fontId="48" fillId="60" borderId="11" xfId="0" applyNumberFormat="1" applyFont="1" applyFill="1" applyBorder="1" applyAlignment="1">
      <alignment horizontal="center" vertical="top"/>
    </xf>
    <xf numFmtId="168" fontId="48" fillId="61" borderId="11" xfId="0" applyNumberFormat="1" applyFont="1" applyFill="1" applyBorder="1" applyAlignment="1">
      <alignment horizontal="center" vertical="top"/>
    </xf>
    <xf numFmtId="168" fontId="48" fillId="62" borderId="11" xfId="0" applyNumberFormat="1" applyFont="1" applyFill="1" applyBorder="1" applyAlignment="1">
      <alignment horizontal="center" vertical="top"/>
    </xf>
    <xf numFmtId="168" fontId="48" fillId="47" borderId="11" xfId="0" applyNumberFormat="1" applyFont="1" applyFill="1" applyBorder="1" applyAlignment="1">
      <alignment horizontal="center" vertical="top"/>
    </xf>
    <xf numFmtId="168" fontId="48" fillId="43" borderId="11" xfId="0" applyNumberFormat="1" applyFont="1" applyFill="1" applyBorder="1" applyAlignment="1">
      <alignment horizontal="center" vertical="top"/>
    </xf>
    <xf numFmtId="0" fontId="48" fillId="63" borderId="15" xfId="0" applyFont="1" applyFill="1" applyBorder="1" applyAlignment="1">
      <alignment horizontal="center" vertical="top"/>
    </xf>
    <xf numFmtId="0" fontId="48" fillId="37" borderId="15" xfId="0" applyFont="1" applyFill="1" applyBorder="1" applyAlignment="1">
      <alignment horizontal="center" vertical="top"/>
    </xf>
    <xf numFmtId="170" fontId="48" fillId="0" borderId="11" xfId="0" applyNumberFormat="1" applyFont="1" applyFill="1" applyBorder="1" applyAlignment="1">
      <alignment horizontal="center" vertical="top"/>
    </xf>
    <xf numFmtId="168" fontId="49" fillId="0" borderId="10" xfId="0" applyNumberFormat="1" applyFont="1" applyFill="1" applyBorder="1" applyAlignment="1">
      <alignment horizontal="center" vertical="top" wrapText="1"/>
    </xf>
    <xf numFmtId="168" fontId="49" fillId="60" borderId="11" xfId="0" applyNumberFormat="1" applyFont="1" applyFill="1" applyBorder="1" applyAlignment="1">
      <alignment horizontal="center" vertical="top" wrapText="1"/>
    </xf>
    <xf numFmtId="4" fontId="49" fillId="60" borderId="11" xfId="0" applyNumberFormat="1" applyFont="1" applyFill="1" applyBorder="1" applyAlignment="1">
      <alignment horizontal="center" vertical="top" wrapText="1"/>
    </xf>
    <xf numFmtId="4" fontId="49" fillId="61" borderId="11" xfId="0" applyNumberFormat="1" applyFont="1" applyFill="1" applyBorder="1" applyAlignment="1">
      <alignment horizontal="center" vertical="top" wrapText="1"/>
    </xf>
    <xf numFmtId="4" fontId="49" fillId="62" borderId="11" xfId="0" applyNumberFormat="1" applyFont="1" applyFill="1" applyBorder="1" applyAlignment="1">
      <alignment horizontal="center" vertical="top" wrapText="1"/>
    </xf>
    <xf numFmtId="4" fontId="49" fillId="47" borderId="11" xfId="0" applyNumberFormat="1" applyFont="1" applyFill="1" applyBorder="1" applyAlignment="1">
      <alignment horizontal="center" vertical="top" wrapText="1"/>
    </xf>
    <xf numFmtId="4" fontId="49" fillId="43" borderId="11" xfId="0" applyNumberFormat="1" applyFont="1" applyFill="1" applyBorder="1" applyAlignment="1">
      <alignment horizontal="center" vertical="top" wrapText="1"/>
    </xf>
    <xf numFmtId="168" fontId="49" fillId="63" borderId="11" xfId="0" applyNumberFormat="1" applyFont="1" applyFill="1" applyBorder="1" applyAlignment="1">
      <alignment horizontal="center" vertical="top" wrapText="1"/>
    </xf>
    <xf numFmtId="1" fontId="49" fillId="63" borderId="11" xfId="0" applyNumberFormat="1" applyFont="1" applyFill="1" applyBorder="1" applyAlignment="1">
      <alignment horizontal="center" vertical="top" wrapText="1"/>
    </xf>
    <xf numFmtId="4" fontId="49" fillId="63" borderId="10" xfId="0" applyNumberFormat="1" applyFont="1" applyFill="1" applyBorder="1" applyAlignment="1">
      <alignment horizontal="center" vertical="top" wrapText="1"/>
    </xf>
    <xf numFmtId="4" fontId="49" fillId="63" borderId="11" xfId="0" applyNumberFormat="1" applyFont="1" applyFill="1" applyBorder="1" applyAlignment="1">
      <alignment horizontal="center" vertical="top" wrapText="1"/>
    </xf>
    <xf numFmtId="1" fontId="49" fillId="64" borderId="11" xfId="0" applyNumberFormat="1" applyFont="1" applyFill="1" applyBorder="1" applyAlignment="1">
      <alignment horizontal="center" vertical="top" wrapText="1"/>
    </xf>
    <xf numFmtId="4" fontId="49" fillId="64" borderId="10" xfId="0" applyNumberFormat="1" applyFont="1" applyFill="1" applyBorder="1" applyAlignment="1">
      <alignment horizontal="center" vertical="top" wrapText="1"/>
    </xf>
    <xf numFmtId="4" fontId="49" fillId="37" borderId="11" xfId="0" applyNumberFormat="1" applyFont="1" applyFill="1" applyBorder="1" applyAlignment="1">
      <alignment horizontal="center" vertical="top" wrapText="1"/>
    </xf>
    <xf numFmtId="168" fontId="49" fillId="0" borderId="11" xfId="0" applyNumberFormat="1" applyFont="1" applyFill="1" applyBorder="1" applyAlignment="1">
      <alignment horizontal="center" vertical="top" wrapText="1"/>
    </xf>
    <xf numFmtId="4" fontId="49" fillId="0" borderId="10" xfId="0" applyNumberFormat="1" applyFont="1" applyFill="1" applyBorder="1" applyAlignment="1">
      <alignment horizontal="center" vertical="top" wrapText="1"/>
    </xf>
    <xf numFmtId="168" fontId="49" fillId="43" borderId="11" xfId="0" applyNumberFormat="1" applyFont="1" applyFill="1" applyBorder="1" applyAlignment="1">
      <alignment horizontal="center" vertical="top" wrapText="1"/>
    </xf>
    <xf numFmtId="168" fontId="49" fillId="37" borderId="11" xfId="0" applyNumberFormat="1" applyFont="1" applyFill="1" applyBorder="1" applyAlignment="1">
      <alignment horizontal="center" vertical="top" wrapText="1"/>
    </xf>
    <xf numFmtId="168" fontId="49" fillId="37" borderId="10" xfId="0" applyNumberFormat="1" applyFont="1" applyFill="1" applyBorder="1" applyAlignment="1">
      <alignment horizontal="center" vertical="top" wrapText="1"/>
    </xf>
    <xf numFmtId="170" fontId="49" fillId="0" borderId="11" xfId="0" applyNumberFormat="1" applyFont="1" applyFill="1" applyBorder="1" applyAlignment="1">
      <alignment horizontal="center" vertical="top" wrapText="1"/>
    </xf>
    <xf numFmtId="49" fontId="49" fillId="0" borderId="10" xfId="0" applyNumberFormat="1" applyFont="1" applyFill="1" applyBorder="1" applyAlignment="1">
      <alignment horizontal="left" vertical="top" wrapText="1"/>
    </xf>
    <xf numFmtId="49" fontId="49" fillId="0" borderId="10" xfId="0" applyNumberFormat="1" applyFont="1" applyFill="1" applyBorder="1" applyAlignment="1">
      <alignment horizontal="center" vertical="top"/>
    </xf>
    <xf numFmtId="168" fontId="49" fillId="0" borderId="10" xfId="0" applyNumberFormat="1" applyFont="1" applyFill="1" applyBorder="1" applyAlignment="1">
      <alignment horizontal="right" vertical="top"/>
    </xf>
    <xf numFmtId="168" fontId="49" fillId="60" borderId="10" xfId="0" applyNumberFormat="1" applyFont="1" applyFill="1" applyBorder="1" applyAlignment="1">
      <alignment horizontal="right" vertical="top"/>
    </xf>
    <xf numFmtId="168" fontId="49" fillId="61" borderId="10" xfId="0" applyNumberFormat="1" applyFont="1" applyFill="1" applyBorder="1" applyAlignment="1">
      <alignment horizontal="right" vertical="top"/>
    </xf>
    <xf numFmtId="168" fontId="49" fillId="62" borderId="10" xfId="0" applyNumberFormat="1" applyFont="1" applyFill="1" applyBorder="1" applyAlignment="1">
      <alignment horizontal="right" vertical="top"/>
    </xf>
    <xf numFmtId="168" fontId="49" fillId="51" borderId="10" xfId="0" applyNumberFormat="1" applyFont="1" applyFill="1" applyBorder="1" applyAlignment="1">
      <alignment horizontal="right" vertical="top"/>
    </xf>
    <xf numFmtId="168" fontId="49" fillId="43" borderId="10" xfId="0" applyNumberFormat="1" applyFont="1" applyFill="1" applyBorder="1" applyAlignment="1">
      <alignment horizontal="right" vertical="top"/>
    </xf>
    <xf numFmtId="168" fontId="49" fillId="37" borderId="10" xfId="0" applyNumberFormat="1" applyFont="1" applyFill="1" applyBorder="1" applyAlignment="1">
      <alignment horizontal="right" vertical="top"/>
    </xf>
    <xf numFmtId="170" fontId="49" fillId="51" borderId="10" xfId="0" applyNumberFormat="1" applyFont="1" applyFill="1" applyBorder="1" applyAlignment="1">
      <alignment horizontal="right" vertical="top"/>
    </xf>
    <xf numFmtId="168" fontId="49" fillId="51" borderId="0" xfId="0" applyNumberFormat="1" applyFont="1" applyFill="1" applyBorder="1" applyAlignment="1">
      <alignment horizontal="right" vertical="top"/>
    </xf>
    <xf numFmtId="0" fontId="0" fillId="51" borderId="0" xfId="0" applyFill="1"/>
    <xf numFmtId="168" fontId="0" fillId="51" borderId="0" xfId="0" applyNumberFormat="1" applyFill="1"/>
    <xf numFmtId="49" fontId="133" fillId="0" borderId="10" xfId="0" applyNumberFormat="1" applyFont="1" applyFill="1" applyBorder="1" applyAlignment="1">
      <alignment horizontal="center" vertical="top"/>
    </xf>
    <xf numFmtId="49" fontId="133" fillId="0" borderId="11" xfId="0" applyNumberFormat="1" applyFont="1" applyFill="1" applyBorder="1" applyAlignment="1">
      <alignment horizontal="center" vertical="top"/>
    </xf>
    <xf numFmtId="168" fontId="133" fillId="0" borderId="10" xfId="0" applyNumberFormat="1" applyFont="1" applyFill="1" applyBorder="1" applyAlignment="1">
      <alignment horizontal="right" vertical="top"/>
    </xf>
    <xf numFmtId="168" fontId="133" fillId="60" borderId="10" xfId="0" applyNumberFormat="1" applyFont="1" applyFill="1" applyBorder="1" applyAlignment="1">
      <alignment horizontal="right" vertical="top"/>
    </xf>
    <xf numFmtId="168" fontId="133" fillId="61" borderId="10" xfId="0" applyNumberFormat="1" applyFont="1" applyFill="1" applyBorder="1" applyAlignment="1">
      <alignment horizontal="right" vertical="top"/>
    </xf>
    <xf numFmtId="168" fontId="133" fillId="62" borderId="10" xfId="0" applyNumberFormat="1" applyFont="1" applyFill="1" applyBorder="1" applyAlignment="1">
      <alignment horizontal="right" vertical="top"/>
    </xf>
    <xf numFmtId="168" fontId="133" fillId="47" borderId="10" xfId="0" applyNumberFormat="1" applyFont="1" applyFill="1" applyBorder="1" applyAlignment="1">
      <alignment horizontal="right" vertical="top"/>
    </xf>
    <xf numFmtId="168" fontId="133" fillId="43" borderId="10" xfId="0" applyNumberFormat="1" applyFont="1" applyFill="1" applyBorder="1" applyAlignment="1">
      <alignment horizontal="right" vertical="top"/>
    </xf>
    <xf numFmtId="168" fontId="133" fillId="63" borderId="10" xfId="0" applyNumberFormat="1" applyFont="1" applyFill="1" applyBorder="1" applyAlignment="1">
      <alignment horizontal="right" vertical="top"/>
    </xf>
    <xf numFmtId="168" fontId="133" fillId="64" borderId="10" xfId="0" applyNumberFormat="1" applyFont="1" applyFill="1" applyBorder="1" applyAlignment="1">
      <alignment horizontal="right" vertical="top"/>
    </xf>
    <xf numFmtId="168" fontId="133" fillId="37" borderId="10" xfId="0" applyNumberFormat="1" applyFont="1" applyFill="1" applyBorder="1" applyAlignment="1">
      <alignment horizontal="right" vertical="top"/>
    </xf>
    <xf numFmtId="168" fontId="133" fillId="54" borderId="10" xfId="0" applyNumberFormat="1" applyFont="1" applyFill="1" applyBorder="1" applyAlignment="1">
      <alignment horizontal="right" vertical="top"/>
    </xf>
    <xf numFmtId="170" fontId="133" fillId="54" borderId="10" xfId="0" applyNumberFormat="1" applyFont="1" applyFill="1" applyBorder="1" applyAlignment="1">
      <alignment horizontal="right" vertical="top"/>
    </xf>
    <xf numFmtId="168" fontId="0" fillId="54" borderId="0" xfId="0" applyNumberFormat="1" applyFill="1"/>
    <xf numFmtId="0" fontId="0" fillId="54" borderId="0" xfId="0" applyFill="1"/>
    <xf numFmtId="170" fontId="133" fillId="0" borderId="10" xfId="0" applyNumberFormat="1" applyFont="1" applyFill="1" applyBorder="1" applyAlignment="1">
      <alignment horizontal="right" vertical="top"/>
    </xf>
    <xf numFmtId="49" fontId="45" fillId="0" borderId="10" xfId="0" applyNumberFormat="1" applyFont="1" applyFill="1" applyBorder="1" applyAlignment="1">
      <alignment horizontal="left" vertical="top" wrapText="1"/>
    </xf>
    <xf numFmtId="49" fontId="45" fillId="0" borderId="10" xfId="0" applyNumberFormat="1" applyFont="1" applyFill="1" applyBorder="1" applyAlignment="1">
      <alignment horizontal="center" vertical="top"/>
    </xf>
    <xf numFmtId="49" fontId="45" fillId="0" borderId="11" xfId="0" applyNumberFormat="1" applyFont="1" applyFill="1" applyBorder="1" applyAlignment="1">
      <alignment horizontal="center" vertical="top"/>
    </xf>
    <xf numFmtId="168" fontId="45" fillId="0" borderId="11" xfId="0" applyNumberFormat="1" applyFont="1" applyFill="1" applyBorder="1" applyAlignment="1">
      <alignment horizontal="right" vertical="top"/>
    </xf>
    <xf numFmtId="168" fontId="48" fillId="0" borderId="11" xfId="0" applyNumberFormat="1" applyFont="1" applyFill="1" applyBorder="1" applyAlignment="1">
      <alignment horizontal="right" vertical="top"/>
    </xf>
    <xf numFmtId="168" fontId="48" fillId="60" borderId="11" xfId="0" applyNumberFormat="1" applyFont="1" applyFill="1" applyBorder="1" applyAlignment="1">
      <alignment horizontal="right" vertical="top"/>
    </xf>
    <xf numFmtId="168" fontId="48" fillId="61" borderId="11" xfId="0" applyNumberFormat="1" applyFont="1" applyFill="1" applyBorder="1" applyAlignment="1">
      <alignment horizontal="right" vertical="top"/>
    </xf>
    <xf numFmtId="168" fontId="48" fillId="62" borderId="11" xfId="0" applyNumberFormat="1" applyFont="1" applyFill="1" applyBorder="1" applyAlignment="1">
      <alignment horizontal="right" vertical="top"/>
    </xf>
    <xf numFmtId="168" fontId="48" fillId="47" borderId="11" xfId="0" applyNumberFormat="1" applyFont="1" applyFill="1" applyBorder="1" applyAlignment="1">
      <alignment horizontal="right" vertical="top"/>
    </xf>
    <xf numFmtId="168" fontId="48" fillId="43" borderId="11" xfId="0" applyNumberFormat="1" applyFont="1" applyFill="1" applyBorder="1" applyAlignment="1">
      <alignment horizontal="right" vertical="top"/>
    </xf>
    <xf numFmtId="168" fontId="48" fillId="63" borderId="11" xfId="0" applyNumberFormat="1" applyFont="1" applyFill="1" applyBorder="1" applyAlignment="1">
      <alignment vertical="top"/>
    </xf>
    <xf numFmtId="0" fontId="48" fillId="63" borderId="11" xfId="0" applyFont="1" applyFill="1" applyBorder="1" applyAlignment="1">
      <alignment vertical="top"/>
    </xf>
    <xf numFmtId="168" fontId="48" fillId="64" borderId="11" xfId="0" applyNumberFormat="1" applyFont="1" applyFill="1" applyBorder="1" applyAlignment="1">
      <alignment horizontal="right" vertical="top"/>
    </xf>
    <xf numFmtId="168" fontId="48" fillId="37" borderId="11" xfId="0" applyNumberFormat="1" applyFont="1" applyFill="1" applyBorder="1" applyAlignment="1">
      <alignment horizontal="right" vertical="top"/>
    </xf>
    <xf numFmtId="170" fontId="48" fillId="0" borderId="11" xfId="0" applyNumberFormat="1" applyFont="1" applyFill="1" applyBorder="1" applyAlignment="1">
      <alignment horizontal="right" vertical="top"/>
    </xf>
    <xf numFmtId="168" fontId="0" fillId="0" borderId="0" xfId="0" applyNumberFormat="1" applyFont="1"/>
    <xf numFmtId="0" fontId="0" fillId="0" borderId="0" xfId="0" applyFont="1"/>
    <xf numFmtId="0" fontId="49" fillId="0" borderId="10" xfId="0" applyFont="1" applyFill="1" applyBorder="1" applyAlignment="1">
      <alignment horizontal="justify" vertical="top" wrapText="1"/>
    </xf>
    <xf numFmtId="49" fontId="49" fillId="0" borderId="10" xfId="0" applyNumberFormat="1" applyFont="1" applyFill="1" applyBorder="1" applyAlignment="1">
      <alignment horizontal="center" vertical="top" wrapText="1"/>
    </xf>
    <xf numFmtId="168" fontId="49" fillId="0" borderId="11" xfId="0" applyNumberFormat="1" applyFont="1" applyFill="1" applyBorder="1" applyAlignment="1">
      <alignment horizontal="right" vertical="top"/>
    </xf>
    <xf numFmtId="168" fontId="49" fillId="60" borderId="11" xfId="0" applyNumberFormat="1" applyFont="1" applyFill="1" applyBorder="1" applyAlignment="1">
      <alignment horizontal="right" vertical="top"/>
    </xf>
    <xf numFmtId="168" fontId="49" fillId="54" borderId="11" xfId="0" applyNumberFormat="1" applyFont="1" applyFill="1" applyBorder="1" applyAlignment="1">
      <alignment horizontal="right" vertical="center"/>
    </xf>
    <xf numFmtId="168" fontId="49" fillId="54" borderId="0" xfId="0" applyNumberFormat="1" applyFont="1" applyFill="1" applyBorder="1" applyAlignment="1">
      <alignment horizontal="right" vertical="center"/>
    </xf>
    <xf numFmtId="0" fontId="48" fillId="0" borderId="10" xfId="81" applyFont="1" applyFill="1" applyBorder="1" applyAlignment="1">
      <alignment vertical="top" wrapText="1"/>
    </xf>
    <xf numFmtId="49" fontId="48" fillId="0" borderId="10" xfId="81" applyNumberFormat="1" applyFont="1" applyFill="1" applyBorder="1" applyAlignment="1">
      <alignment horizontal="center" vertical="top" wrapText="1"/>
    </xf>
    <xf numFmtId="49" fontId="48" fillId="0" borderId="10" xfId="0" applyNumberFormat="1" applyFont="1" applyFill="1" applyBorder="1" applyAlignment="1">
      <alignment horizontal="center" vertical="top"/>
    </xf>
    <xf numFmtId="168" fontId="48" fillId="54" borderId="11" xfId="0" applyNumberFormat="1" applyFont="1" applyFill="1" applyBorder="1" applyAlignment="1">
      <alignment horizontal="right" vertical="top"/>
    </xf>
    <xf numFmtId="170" fontId="48" fillId="54" borderId="11" xfId="0" applyNumberFormat="1" applyFont="1" applyFill="1" applyBorder="1" applyAlignment="1">
      <alignment horizontal="right" vertical="top"/>
    </xf>
    <xf numFmtId="168" fontId="38" fillId="54" borderId="0" xfId="0" applyNumberFormat="1" applyFont="1" applyFill="1"/>
    <xf numFmtId="0" fontId="38" fillId="54" borderId="0" xfId="0" applyFont="1" applyFill="1"/>
    <xf numFmtId="49" fontId="150" fillId="0" borderId="10" xfId="0" applyNumberFormat="1" applyFont="1" applyFill="1" applyBorder="1" applyAlignment="1">
      <alignment horizontal="left" vertical="top" wrapText="1"/>
    </xf>
    <xf numFmtId="49" fontId="150" fillId="0" borderId="10" xfId="0" applyNumberFormat="1" applyFont="1" applyFill="1" applyBorder="1" applyAlignment="1">
      <alignment horizontal="center" vertical="top" wrapText="1"/>
    </xf>
    <xf numFmtId="49" fontId="150" fillId="0" borderId="10" xfId="0" applyNumberFormat="1" applyFont="1" applyFill="1" applyBorder="1" applyAlignment="1">
      <alignment horizontal="center" vertical="top"/>
    </xf>
    <xf numFmtId="168" fontId="150" fillId="0" borderId="11" xfId="0" applyNumberFormat="1" applyFont="1" applyFill="1" applyBorder="1" applyAlignment="1">
      <alignment horizontal="right" vertical="top"/>
    </xf>
    <xf numFmtId="168" fontId="49" fillId="54" borderId="11" xfId="0" applyNumberFormat="1" applyFont="1" applyFill="1" applyBorder="1" applyAlignment="1">
      <alignment horizontal="right" vertical="top"/>
    </xf>
    <xf numFmtId="168" fontId="150" fillId="62" borderId="11" xfId="0" applyNumberFormat="1" applyFont="1" applyFill="1" applyBorder="1" applyAlignment="1">
      <alignment horizontal="right" vertical="top"/>
    </xf>
    <xf numFmtId="168" fontId="150" fillId="47" borderId="11" xfId="0" applyNumberFormat="1" applyFont="1" applyFill="1" applyBorder="1" applyAlignment="1">
      <alignment horizontal="right" vertical="top"/>
    </xf>
    <xf numFmtId="168" fontId="150" fillId="43" borderId="11" xfId="0" applyNumberFormat="1" applyFont="1" applyFill="1" applyBorder="1" applyAlignment="1">
      <alignment horizontal="right" vertical="top"/>
    </xf>
    <xf numFmtId="168" fontId="150" fillId="54" borderId="11" xfId="0" applyNumberFormat="1" applyFont="1" applyFill="1" applyBorder="1" applyAlignment="1">
      <alignment horizontal="right" vertical="top"/>
    </xf>
    <xf numFmtId="168" fontId="150" fillId="64" borderId="11" xfId="0" applyNumberFormat="1" applyFont="1" applyFill="1" applyBorder="1" applyAlignment="1">
      <alignment horizontal="right" vertical="top"/>
    </xf>
    <xf numFmtId="168" fontId="150" fillId="37" borderId="11" xfId="0" applyNumberFormat="1" applyFont="1" applyFill="1" applyBorder="1" applyAlignment="1">
      <alignment horizontal="right" vertical="top"/>
    </xf>
    <xf numFmtId="168" fontId="49" fillId="37" borderId="11" xfId="0" applyNumberFormat="1" applyFont="1" applyFill="1" applyBorder="1" applyAlignment="1">
      <alignment horizontal="right" vertical="top"/>
    </xf>
    <xf numFmtId="170" fontId="150" fillId="54" borderId="11" xfId="0" applyNumberFormat="1" applyFont="1" applyFill="1" applyBorder="1" applyAlignment="1">
      <alignment horizontal="right" vertical="top"/>
    </xf>
    <xf numFmtId="0" fontId="48" fillId="0" borderId="10" xfId="0" applyFont="1" applyFill="1" applyBorder="1" applyAlignment="1">
      <alignment horizontal="left" vertical="top"/>
    </xf>
    <xf numFmtId="49" fontId="150" fillId="0" borderId="12" xfId="0" applyNumberFormat="1" applyFont="1" applyFill="1" applyBorder="1" applyAlignment="1">
      <alignment horizontal="center" vertical="top"/>
    </xf>
    <xf numFmtId="168" fontId="203" fillId="0" borderId="11" xfId="0" applyNumberFormat="1" applyFont="1" applyFill="1" applyBorder="1" applyAlignment="1">
      <alignment horizontal="right" vertical="top"/>
    </xf>
    <xf numFmtId="168" fontId="203" fillId="54" borderId="11" xfId="0" applyNumberFormat="1" applyFont="1" applyFill="1" applyBorder="1" applyAlignment="1">
      <alignment horizontal="right" vertical="top"/>
    </xf>
    <xf numFmtId="168" fontId="48" fillId="63" borderId="11" xfId="0" applyNumberFormat="1" applyFont="1" applyFill="1" applyBorder="1" applyAlignment="1">
      <alignment horizontal="right" vertical="top"/>
    </xf>
    <xf numFmtId="0" fontId="45" fillId="0" borderId="10" xfId="81" applyFont="1" applyFill="1" applyBorder="1" applyAlignment="1">
      <alignment vertical="top" wrapText="1"/>
    </xf>
    <xf numFmtId="49" fontId="45" fillId="0" borderId="10" xfId="81" applyNumberFormat="1" applyFont="1" applyFill="1" applyBorder="1" applyAlignment="1">
      <alignment horizontal="center" vertical="top" wrapText="1"/>
    </xf>
    <xf numFmtId="168" fontId="45" fillId="0" borderId="10" xfId="0" applyNumberFormat="1" applyFont="1" applyFill="1" applyBorder="1" applyAlignment="1">
      <alignment horizontal="right" vertical="top"/>
    </xf>
    <xf numFmtId="168" fontId="45" fillId="60" borderId="10" xfId="0" applyNumberFormat="1" applyFont="1" applyFill="1" applyBorder="1" applyAlignment="1">
      <alignment horizontal="right" vertical="top"/>
    </xf>
    <xf numFmtId="168" fontId="45" fillId="61" borderId="10" xfId="0" applyNumberFormat="1" applyFont="1" applyFill="1" applyBorder="1" applyAlignment="1">
      <alignment horizontal="right" vertical="top"/>
    </xf>
    <xf numFmtId="168" fontId="45" fillId="62" borderId="10" xfId="0" applyNumberFormat="1" applyFont="1" applyFill="1" applyBorder="1" applyAlignment="1">
      <alignment horizontal="right" vertical="top"/>
    </xf>
    <xf numFmtId="168" fontId="45" fillId="47" borderId="10" xfId="0" applyNumberFormat="1" applyFont="1" applyFill="1" applyBorder="1" applyAlignment="1">
      <alignment horizontal="right" vertical="top"/>
    </xf>
    <xf numFmtId="168" fontId="45" fillId="43" borderId="10" xfId="0" applyNumberFormat="1" applyFont="1" applyFill="1" applyBorder="1" applyAlignment="1">
      <alignment horizontal="right" vertical="top"/>
    </xf>
    <xf numFmtId="168" fontId="45" fillId="63" borderId="10" xfId="0" applyNumberFormat="1" applyFont="1" applyFill="1" applyBorder="1" applyAlignment="1">
      <alignment horizontal="right" vertical="top"/>
    </xf>
    <xf numFmtId="168" fontId="45" fillId="64" borderId="10" xfId="0" applyNumberFormat="1" applyFont="1" applyFill="1" applyBorder="1" applyAlignment="1">
      <alignment horizontal="right" vertical="top"/>
    </xf>
    <xf numFmtId="168" fontId="45" fillId="37" borderId="10" xfId="0" applyNumberFormat="1" applyFont="1" applyFill="1" applyBorder="1" applyAlignment="1">
      <alignment horizontal="right" vertical="top"/>
    </xf>
    <xf numFmtId="170" fontId="45" fillId="37" borderId="10" xfId="0" applyNumberFormat="1" applyFont="1" applyFill="1" applyBorder="1" applyAlignment="1">
      <alignment horizontal="right" vertical="top"/>
    </xf>
    <xf numFmtId="168" fontId="0" fillId="37" borderId="0" xfId="0" applyNumberFormat="1" applyFill="1"/>
    <xf numFmtId="0" fontId="0" fillId="37" borderId="0" xfId="0" applyFill="1"/>
    <xf numFmtId="0" fontId="49" fillId="0" borderId="10" xfId="0" applyFont="1" applyFill="1" applyBorder="1" applyAlignment="1">
      <alignment horizontal="center" vertical="top" wrapText="1"/>
    </xf>
    <xf numFmtId="168" fontId="49" fillId="0" borderId="21" xfId="0" applyNumberFormat="1" applyFont="1" applyFill="1" applyBorder="1" applyAlignment="1">
      <alignment horizontal="right" vertical="top" wrapText="1"/>
    </xf>
    <xf numFmtId="168" fontId="49" fillId="60" borderId="21" xfId="0" applyNumberFormat="1" applyFont="1" applyFill="1" applyBorder="1" applyAlignment="1">
      <alignment horizontal="right" vertical="top" wrapText="1"/>
    </xf>
    <xf numFmtId="168" fontId="49" fillId="61" borderId="21" xfId="0" applyNumberFormat="1" applyFont="1" applyFill="1" applyBorder="1" applyAlignment="1">
      <alignment horizontal="right" vertical="top" wrapText="1"/>
    </xf>
    <xf numFmtId="168" fontId="49" fillId="62" borderId="21" xfId="0" applyNumberFormat="1" applyFont="1" applyFill="1" applyBorder="1" applyAlignment="1">
      <alignment horizontal="right" vertical="top" wrapText="1"/>
    </xf>
    <xf numFmtId="168" fontId="49" fillId="47" borderId="21" xfId="0" applyNumberFormat="1" applyFont="1" applyFill="1" applyBorder="1" applyAlignment="1">
      <alignment horizontal="right" vertical="top" wrapText="1"/>
    </xf>
    <xf numFmtId="168" fontId="49" fillId="43" borderId="21" xfId="0" applyNumberFormat="1" applyFont="1" applyFill="1" applyBorder="1" applyAlignment="1">
      <alignment horizontal="right" vertical="top" wrapText="1"/>
    </xf>
    <xf numFmtId="168" fontId="49" fillId="63" borderId="21" xfId="0" applyNumberFormat="1" applyFont="1" applyFill="1" applyBorder="1" applyAlignment="1">
      <alignment horizontal="right" vertical="top" wrapText="1"/>
    </xf>
    <xf numFmtId="168" fontId="49" fillId="64" borderId="21" xfId="0" applyNumberFormat="1" applyFont="1" applyFill="1" applyBorder="1" applyAlignment="1">
      <alignment horizontal="right" vertical="top" wrapText="1"/>
    </xf>
    <xf numFmtId="168" fontId="49" fillId="37" borderId="21" xfId="0" applyNumberFormat="1" applyFont="1" applyFill="1" applyBorder="1" applyAlignment="1">
      <alignment horizontal="right" vertical="top" wrapText="1"/>
    </xf>
    <xf numFmtId="170" fontId="49" fillId="37" borderId="21" xfId="0" applyNumberFormat="1" applyFont="1" applyFill="1" applyBorder="1" applyAlignment="1">
      <alignment horizontal="right" vertical="top" wrapText="1"/>
    </xf>
    <xf numFmtId="0" fontId="48" fillId="0" borderId="10" xfId="0" applyFont="1" applyFill="1" applyBorder="1" applyAlignment="1">
      <alignment vertical="top" wrapText="1"/>
    </xf>
    <xf numFmtId="49" fontId="48" fillId="0" borderId="10" xfId="0" applyNumberFormat="1" applyFont="1" applyFill="1" applyBorder="1" applyAlignment="1">
      <alignment horizontal="center" vertical="top" wrapText="1"/>
    </xf>
    <xf numFmtId="0" fontId="48" fillId="0" borderId="10" xfId="0" applyFont="1" applyFill="1" applyBorder="1" applyAlignment="1">
      <alignment horizontal="center" vertical="top" wrapText="1"/>
    </xf>
    <xf numFmtId="0" fontId="151" fillId="0" borderId="10" xfId="0" applyFont="1" applyFill="1" applyBorder="1" applyAlignment="1">
      <alignment vertical="top" wrapText="1"/>
    </xf>
    <xf numFmtId="49" fontId="151" fillId="0" borderId="10" xfId="0" applyNumberFormat="1" applyFont="1" applyFill="1" applyBorder="1" applyAlignment="1">
      <alignment horizontal="center" vertical="top" wrapText="1"/>
    </xf>
    <xf numFmtId="0" fontId="151" fillId="0" borderId="10" xfId="0" applyFont="1" applyFill="1" applyBorder="1" applyAlignment="1">
      <alignment horizontal="center" vertical="top" wrapText="1"/>
    </xf>
    <xf numFmtId="49" fontId="152" fillId="0" borderId="10" xfId="0" applyNumberFormat="1" applyFont="1" applyFill="1" applyBorder="1" applyAlignment="1">
      <alignment horizontal="center" vertical="top" wrapText="1"/>
    </xf>
    <xf numFmtId="168" fontId="151" fillId="0" borderId="11" xfId="0" applyNumberFormat="1" applyFont="1" applyFill="1" applyBorder="1" applyAlignment="1">
      <alignment horizontal="right" vertical="top"/>
    </xf>
    <xf numFmtId="168" fontId="151" fillId="60" borderId="11" xfId="0" applyNumberFormat="1" applyFont="1" applyFill="1" applyBorder="1" applyAlignment="1">
      <alignment horizontal="right" vertical="top"/>
    </xf>
    <xf numFmtId="168" fontId="151" fillId="61" borderId="11" xfId="0" applyNumberFormat="1" applyFont="1" applyFill="1" applyBorder="1" applyAlignment="1">
      <alignment horizontal="right" vertical="top"/>
    </xf>
    <xf numFmtId="168" fontId="151" fillId="62" borderId="11" xfId="0" applyNumberFormat="1" applyFont="1" applyFill="1" applyBorder="1" applyAlignment="1">
      <alignment horizontal="right" vertical="top"/>
    </xf>
    <xf numFmtId="168" fontId="151" fillId="47" borderId="11" xfId="0" applyNumberFormat="1" applyFont="1" applyFill="1" applyBorder="1" applyAlignment="1">
      <alignment horizontal="right" vertical="top"/>
    </xf>
    <xf numFmtId="168" fontId="151" fillId="43" borderId="11" xfId="0" applyNumberFormat="1" applyFont="1" applyFill="1" applyBorder="1" applyAlignment="1">
      <alignment horizontal="right" vertical="top"/>
    </xf>
    <xf numFmtId="168" fontId="151" fillId="63" borderId="11" xfId="0" applyNumberFormat="1" applyFont="1" applyFill="1" applyBorder="1" applyAlignment="1">
      <alignment horizontal="right" vertical="top"/>
    </xf>
    <xf numFmtId="168" fontId="151" fillId="64" borderId="11" xfId="0" applyNumberFormat="1" applyFont="1" applyFill="1" applyBorder="1" applyAlignment="1">
      <alignment horizontal="right" vertical="top"/>
    </xf>
    <xf numFmtId="168" fontId="151" fillId="37" borderId="11" xfId="0" applyNumberFormat="1" applyFont="1" applyFill="1" applyBorder="1" applyAlignment="1">
      <alignment horizontal="right" vertical="top"/>
    </xf>
    <xf numFmtId="170" fontId="151" fillId="37" borderId="11" xfId="0" applyNumberFormat="1" applyFont="1" applyFill="1" applyBorder="1" applyAlignment="1">
      <alignment horizontal="right" vertical="top"/>
    </xf>
    <xf numFmtId="168" fontId="49" fillId="62" borderId="11" xfId="0" applyNumberFormat="1" applyFont="1" applyFill="1" applyBorder="1" applyAlignment="1">
      <alignment horizontal="right" vertical="top"/>
    </xf>
    <xf numFmtId="168" fontId="49" fillId="47" borderId="11" xfId="0" applyNumberFormat="1" applyFont="1" applyFill="1" applyBorder="1" applyAlignment="1">
      <alignment horizontal="right" vertical="top"/>
    </xf>
    <xf numFmtId="168" fontId="49" fillId="43" borderId="11" xfId="0" applyNumberFormat="1" applyFont="1" applyFill="1" applyBorder="1" applyAlignment="1">
      <alignment horizontal="right" vertical="top"/>
    </xf>
    <xf numFmtId="168" fontId="49" fillId="63" borderId="11" xfId="0" applyNumberFormat="1" applyFont="1" applyFill="1" applyBorder="1" applyAlignment="1">
      <alignment horizontal="right" vertical="top"/>
    </xf>
    <xf numFmtId="168" fontId="49" fillId="64" borderId="11" xfId="0" applyNumberFormat="1" applyFont="1" applyFill="1" applyBorder="1" applyAlignment="1">
      <alignment horizontal="right" vertical="top"/>
    </xf>
    <xf numFmtId="170" fontId="49" fillId="37" borderId="11" xfId="0" applyNumberFormat="1" applyFont="1" applyFill="1" applyBorder="1" applyAlignment="1">
      <alignment horizontal="right" vertical="top"/>
    </xf>
    <xf numFmtId="168" fontId="0" fillId="37" borderId="0" xfId="0" applyNumberFormat="1" applyFont="1" applyFill="1"/>
    <xf numFmtId="0" fontId="0" fillId="37" borderId="0" xfId="0" applyFont="1" applyFill="1"/>
    <xf numFmtId="170" fontId="48" fillId="37" borderId="11" xfId="0" applyNumberFormat="1" applyFont="1" applyFill="1" applyBorder="1" applyAlignment="1">
      <alignment horizontal="right" vertical="top"/>
    </xf>
    <xf numFmtId="168" fontId="48" fillId="37" borderId="0" xfId="0" applyNumberFormat="1" applyFont="1" applyFill="1" applyBorder="1" applyAlignment="1">
      <alignment horizontal="right" vertical="top"/>
    </xf>
    <xf numFmtId="168" fontId="48" fillId="37" borderId="14" xfId="0" applyNumberFormat="1" applyFont="1" applyFill="1" applyBorder="1" applyAlignment="1">
      <alignment horizontal="right" vertical="center"/>
    </xf>
    <xf numFmtId="174" fontId="0" fillId="37" borderId="0" xfId="0" applyNumberFormat="1" applyFill="1"/>
    <xf numFmtId="49" fontId="150" fillId="0" borderId="11" xfId="0" applyNumberFormat="1" applyFont="1" applyFill="1" applyBorder="1" applyAlignment="1">
      <alignment horizontal="center" vertical="top"/>
    </xf>
    <xf numFmtId="168" fontId="150" fillId="60" borderId="11" xfId="0" applyNumberFormat="1" applyFont="1" applyFill="1" applyBorder="1" applyAlignment="1">
      <alignment horizontal="right" vertical="top"/>
    </xf>
    <xf numFmtId="168" fontId="150" fillId="61" borderId="11" xfId="0" applyNumberFormat="1" applyFont="1" applyFill="1" applyBorder="1" applyAlignment="1">
      <alignment horizontal="right" vertical="top"/>
    </xf>
    <xf numFmtId="168" fontId="150" fillId="63" borderId="11" xfId="0" applyNumberFormat="1" applyFont="1" applyFill="1" applyBorder="1" applyAlignment="1">
      <alignment horizontal="right" vertical="top"/>
    </xf>
    <xf numFmtId="170" fontId="150" fillId="37" borderId="11" xfId="0" applyNumberFormat="1" applyFont="1" applyFill="1" applyBorder="1" applyAlignment="1">
      <alignment horizontal="right" vertical="top"/>
    </xf>
    <xf numFmtId="0" fontId="152" fillId="0" borderId="10" xfId="0" applyFont="1" applyFill="1" applyBorder="1" applyAlignment="1">
      <alignment vertical="top" wrapText="1"/>
    </xf>
    <xf numFmtId="168" fontId="152" fillId="0" borderId="11" xfId="0" applyNumberFormat="1" applyFont="1" applyFill="1" applyBorder="1" applyAlignment="1">
      <alignment horizontal="right" vertical="top" wrapText="1"/>
    </xf>
    <xf numFmtId="168" fontId="152" fillId="60" borderId="11" xfId="0" applyNumberFormat="1" applyFont="1" applyFill="1" applyBorder="1" applyAlignment="1">
      <alignment horizontal="right" vertical="top" wrapText="1"/>
    </xf>
    <xf numFmtId="168" fontId="152" fillId="61" borderId="11" xfId="0" applyNumberFormat="1" applyFont="1" applyFill="1" applyBorder="1" applyAlignment="1">
      <alignment horizontal="right" vertical="top" wrapText="1"/>
    </xf>
    <xf numFmtId="168" fontId="152" fillId="62" borderId="11" xfId="0" applyNumberFormat="1" applyFont="1" applyFill="1" applyBorder="1" applyAlignment="1">
      <alignment horizontal="right" vertical="top" wrapText="1"/>
    </xf>
    <xf numFmtId="168" fontId="152" fillId="47" borderId="11" xfId="0" applyNumberFormat="1" applyFont="1" applyFill="1" applyBorder="1" applyAlignment="1">
      <alignment horizontal="right" vertical="top" wrapText="1"/>
    </xf>
    <xf numFmtId="168" fontId="152" fillId="43" borderId="11" xfId="0" applyNumberFormat="1" applyFont="1" applyFill="1" applyBorder="1" applyAlignment="1">
      <alignment horizontal="right" vertical="top" wrapText="1"/>
    </xf>
    <xf numFmtId="168" fontId="152" fillId="63" borderId="11" xfId="0" applyNumberFormat="1" applyFont="1" applyFill="1" applyBorder="1" applyAlignment="1">
      <alignment horizontal="right" vertical="top" wrapText="1"/>
    </xf>
    <xf numFmtId="168" fontId="152" fillId="64" borderId="11" xfId="0" applyNumberFormat="1" applyFont="1" applyFill="1" applyBorder="1" applyAlignment="1">
      <alignment horizontal="right" vertical="top" wrapText="1"/>
    </xf>
    <xf numFmtId="168" fontId="152" fillId="37" borderId="11" xfId="0" applyNumberFormat="1" applyFont="1" applyFill="1" applyBorder="1" applyAlignment="1">
      <alignment horizontal="right" vertical="top" wrapText="1"/>
    </xf>
    <xf numFmtId="168" fontId="49" fillId="37" borderId="11" xfId="0" applyNumberFormat="1" applyFont="1" applyFill="1" applyBorder="1" applyAlignment="1">
      <alignment horizontal="right" vertical="top" wrapText="1"/>
    </xf>
    <xf numFmtId="170" fontId="152" fillId="0" borderId="11" xfId="0" applyNumberFormat="1" applyFont="1" applyFill="1" applyBorder="1" applyAlignment="1">
      <alignment horizontal="right" vertical="top" wrapText="1"/>
    </xf>
    <xf numFmtId="168" fontId="152" fillId="37" borderId="20" xfId="0" applyNumberFormat="1" applyFont="1" applyFill="1" applyBorder="1" applyAlignment="1">
      <alignment horizontal="right" vertical="top" wrapText="1"/>
    </xf>
    <xf numFmtId="168" fontId="152" fillId="0" borderId="20" xfId="0" applyNumberFormat="1" applyFont="1" applyFill="1" applyBorder="1" applyAlignment="1">
      <alignment horizontal="right" vertical="top" wrapText="1"/>
    </xf>
    <xf numFmtId="0" fontId="49" fillId="0" borderId="11" xfId="0" applyFont="1" applyFill="1" applyBorder="1" applyAlignment="1">
      <alignment horizontal="center" vertical="top" wrapText="1"/>
    </xf>
    <xf numFmtId="168" fontId="49" fillId="0" borderId="11" xfId="0" applyNumberFormat="1" applyFont="1" applyFill="1" applyBorder="1" applyAlignment="1">
      <alignment horizontal="right" vertical="top" wrapText="1"/>
    </xf>
    <xf numFmtId="168" fontId="49" fillId="60" borderId="11" xfId="0" applyNumberFormat="1" applyFont="1" applyFill="1" applyBorder="1" applyAlignment="1">
      <alignment horizontal="right" vertical="top" wrapText="1"/>
    </xf>
    <xf numFmtId="168" fontId="49" fillId="61" borderId="11" xfId="0" applyNumberFormat="1" applyFont="1" applyFill="1" applyBorder="1" applyAlignment="1">
      <alignment horizontal="right" vertical="top" wrapText="1"/>
    </xf>
    <xf numFmtId="168" fontId="49" fillId="62" borderId="11" xfId="0" applyNumberFormat="1" applyFont="1" applyFill="1" applyBorder="1" applyAlignment="1">
      <alignment horizontal="right" vertical="top" wrapText="1"/>
    </xf>
    <xf numFmtId="168" fontId="49" fillId="47" borderId="11" xfId="0" applyNumberFormat="1" applyFont="1" applyFill="1" applyBorder="1" applyAlignment="1">
      <alignment horizontal="right" vertical="top" wrapText="1"/>
    </xf>
    <xf numFmtId="168" fontId="49" fillId="43" borderId="11" xfId="0" applyNumberFormat="1" applyFont="1" applyFill="1" applyBorder="1" applyAlignment="1">
      <alignment horizontal="right" vertical="top" wrapText="1"/>
    </xf>
    <xf numFmtId="168" fontId="49" fillId="63" borderId="11" xfId="0" applyNumberFormat="1" applyFont="1" applyFill="1" applyBorder="1" applyAlignment="1">
      <alignment horizontal="right" vertical="top" wrapText="1"/>
    </xf>
    <xf numFmtId="168" fontId="49" fillId="64" borderId="11" xfId="0" applyNumberFormat="1" applyFont="1" applyFill="1" applyBorder="1" applyAlignment="1">
      <alignment horizontal="right" vertical="top" wrapText="1"/>
    </xf>
    <xf numFmtId="170" fontId="49" fillId="0" borderId="11" xfId="0" applyNumberFormat="1" applyFont="1" applyFill="1" applyBorder="1" applyAlignment="1">
      <alignment horizontal="right" vertical="top" wrapText="1"/>
    </xf>
    <xf numFmtId="0" fontId="49" fillId="0" borderId="10" xfId="0" applyFont="1" applyFill="1" applyBorder="1" applyAlignment="1">
      <alignment horizontal="right" vertical="top" wrapText="1"/>
    </xf>
    <xf numFmtId="168" fontId="48" fillId="0" borderId="11" xfId="0" applyNumberFormat="1" applyFont="1" applyFill="1" applyBorder="1" applyAlignment="1">
      <alignment vertical="top"/>
    </xf>
    <xf numFmtId="168" fontId="48" fillId="60" borderId="11" xfId="0" applyNumberFormat="1" applyFont="1" applyFill="1" applyBorder="1" applyAlignment="1">
      <alignment vertical="top"/>
    </xf>
    <xf numFmtId="168" fontId="48" fillId="61" borderId="11" xfId="0" applyNumberFormat="1" applyFont="1" applyFill="1" applyBorder="1" applyAlignment="1">
      <alignment vertical="top"/>
    </xf>
    <xf numFmtId="168" fontId="48" fillId="62" borderId="11" xfId="0" applyNumberFormat="1" applyFont="1" applyFill="1" applyBorder="1" applyAlignment="1">
      <alignment vertical="top"/>
    </xf>
    <xf numFmtId="168" fontId="48" fillId="47" borderId="11" xfId="0" applyNumberFormat="1" applyFont="1" applyFill="1" applyBorder="1" applyAlignment="1">
      <alignment vertical="top"/>
    </xf>
    <xf numFmtId="168" fontId="48" fillId="43" borderId="11" xfId="0" applyNumberFormat="1" applyFont="1" applyFill="1" applyBorder="1" applyAlignment="1">
      <alignment vertical="top"/>
    </xf>
    <xf numFmtId="168" fontId="48" fillId="64" borderId="11" xfId="0" applyNumberFormat="1" applyFont="1" applyFill="1" applyBorder="1" applyAlignment="1">
      <alignment vertical="top"/>
    </xf>
    <xf numFmtId="168" fontId="48" fillId="37" borderId="11" xfId="0" applyNumberFormat="1" applyFont="1" applyFill="1" applyBorder="1" applyAlignment="1">
      <alignment vertical="top"/>
    </xf>
    <xf numFmtId="0" fontId="0" fillId="0" borderId="10" xfId="0" applyFill="1" applyBorder="1" applyAlignment="1">
      <alignment vertical="top"/>
    </xf>
    <xf numFmtId="168" fontId="0" fillId="43" borderId="10" xfId="0" applyNumberFormat="1" applyFill="1" applyBorder="1" applyAlignment="1">
      <alignment vertical="top"/>
    </xf>
    <xf numFmtId="168" fontId="0" fillId="0" borderId="10" xfId="0" applyNumberFormat="1" applyFill="1" applyBorder="1" applyAlignment="1">
      <alignment vertical="top"/>
    </xf>
    <xf numFmtId="168" fontId="0" fillId="37" borderId="10" xfId="0" applyNumberFormat="1" applyFill="1" applyBorder="1" applyAlignment="1">
      <alignment vertical="top"/>
    </xf>
    <xf numFmtId="170" fontId="48" fillId="0" borderId="11" xfId="0" applyNumberFormat="1" applyFont="1" applyFill="1" applyBorder="1" applyAlignment="1">
      <alignment vertical="top"/>
    </xf>
    <xf numFmtId="0" fontId="48" fillId="0" borderId="10" xfId="0" applyFont="1" applyFill="1" applyBorder="1" applyAlignment="1">
      <alignment horizontal="right" vertical="top"/>
    </xf>
    <xf numFmtId="168" fontId="0" fillId="37" borderId="10" xfId="0" applyNumberFormat="1" applyFont="1" applyFill="1" applyBorder="1" applyAlignment="1">
      <alignment vertical="top"/>
    </xf>
    <xf numFmtId="168" fontId="48" fillId="0" borderId="10" xfId="0" applyNumberFormat="1" applyFont="1" applyFill="1" applyBorder="1" applyAlignment="1">
      <alignment vertical="top"/>
    </xf>
    <xf numFmtId="168" fontId="206" fillId="0" borderId="11" xfId="0" applyNumberFormat="1" applyFont="1" applyFill="1" applyBorder="1" applyAlignment="1">
      <alignment horizontal="right" vertical="top"/>
    </xf>
    <xf numFmtId="168" fontId="125" fillId="0" borderId="11" xfId="0" applyNumberFormat="1" applyFont="1" applyFill="1" applyBorder="1" applyAlignment="1">
      <alignment horizontal="right" vertical="top"/>
    </xf>
    <xf numFmtId="0" fontId="48" fillId="0" borderId="10" xfId="0" applyFont="1" applyFill="1" applyBorder="1" applyAlignment="1">
      <alignment vertical="top"/>
    </xf>
    <xf numFmtId="0" fontId="205" fillId="0" borderId="10" xfId="0" applyFont="1" applyFill="1" applyBorder="1" applyAlignment="1">
      <alignment horizontal="right" vertical="top" wrapText="1"/>
    </xf>
    <xf numFmtId="0" fontId="49" fillId="0" borderId="10" xfId="0" applyFont="1" applyFill="1" applyBorder="1" applyAlignment="1">
      <alignment vertical="top" wrapText="1"/>
    </xf>
    <xf numFmtId="0" fontId="49" fillId="0" borderId="11" xfId="0" applyFont="1" applyFill="1" applyBorder="1" applyAlignment="1">
      <alignment vertical="top" wrapText="1"/>
    </xf>
    <xf numFmtId="168" fontId="208" fillId="0" borderId="11" xfId="0" applyNumberFormat="1" applyFont="1" applyFill="1" applyBorder="1" applyAlignment="1">
      <alignment horizontal="right" vertical="top"/>
    </xf>
    <xf numFmtId="0" fontId="152" fillId="0" borderId="11" xfId="0" applyFont="1" applyFill="1" applyBorder="1" applyAlignment="1">
      <alignment vertical="top" wrapText="1"/>
    </xf>
    <xf numFmtId="168" fontId="150" fillId="37" borderId="11" xfId="0" applyNumberFormat="1" applyFont="1" applyFill="1" applyBorder="1" applyAlignment="1">
      <alignment horizontal="right" vertical="top" wrapText="1"/>
    </xf>
    <xf numFmtId="4" fontId="205" fillId="0" borderId="10" xfId="0" applyNumberFormat="1" applyFont="1" applyFill="1" applyBorder="1" applyAlignment="1">
      <alignment horizontal="right" vertical="top" wrapText="1"/>
    </xf>
    <xf numFmtId="0" fontId="150" fillId="0" borderId="10" xfId="0" applyFont="1" applyFill="1" applyBorder="1" applyAlignment="1">
      <alignment horizontal="center" vertical="top" wrapText="1"/>
    </xf>
    <xf numFmtId="0" fontId="150" fillId="0" borderId="11" xfId="0" applyFont="1" applyFill="1" applyBorder="1" applyAlignment="1">
      <alignment horizontal="center" vertical="top" wrapText="1"/>
    </xf>
    <xf numFmtId="168" fontId="150" fillId="0" borderId="11" xfId="0" applyNumberFormat="1" applyFont="1" applyFill="1" applyBorder="1" applyAlignment="1">
      <alignment horizontal="right" vertical="top" wrapText="1"/>
    </xf>
    <xf numFmtId="168" fontId="150" fillId="60" borderId="11" xfId="0" applyNumberFormat="1" applyFont="1" applyFill="1" applyBorder="1" applyAlignment="1">
      <alignment horizontal="right" vertical="top" wrapText="1"/>
    </xf>
    <xf numFmtId="168" fontId="150" fillId="61" borderId="11" xfId="0" applyNumberFormat="1" applyFont="1" applyFill="1" applyBorder="1" applyAlignment="1">
      <alignment horizontal="right" vertical="top" wrapText="1"/>
    </xf>
    <xf numFmtId="168" fontId="150" fillId="62" borderId="11" xfId="0" applyNumberFormat="1" applyFont="1" applyFill="1" applyBorder="1" applyAlignment="1">
      <alignment horizontal="right" vertical="top" wrapText="1"/>
    </xf>
    <xf numFmtId="168" fontId="150" fillId="47" borderId="11" xfId="0" applyNumberFormat="1" applyFont="1" applyFill="1" applyBorder="1" applyAlignment="1">
      <alignment horizontal="right" vertical="top" wrapText="1"/>
    </xf>
    <xf numFmtId="168" fontId="150" fillId="43" borderId="11" xfId="0" applyNumberFormat="1" applyFont="1" applyFill="1" applyBorder="1" applyAlignment="1">
      <alignment horizontal="right" vertical="top" wrapText="1"/>
    </xf>
    <xf numFmtId="170" fontId="150" fillId="0" borderId="11" xfId="0" applyNumberFormat="1" applyFont="1" applyFill="1" applyBorder="1" applyAlignment="1">
      <alignment horizontal="right" vertical="top" wrapText="1"/>
    </xf>
    <xf numFmtId="4" fontId="203" fillId="0" borderId="10" xfId="0" applyNumberFormat="1" applyFont="1" applyFill="1" applyBorder="1" applyAlignment="1">
      <alignment horizontal="right" vertical="top" wrapText="1"/>
    </xf>
    <xf numFmtId="0" fontId="203" fillId="0" borderId="10" xfId="0" applyFont="1" applyFill="1" applyBorder="1" applyAlignment="1">
      <alignment horizontal="right" vertical="top" wrapText="1"/>
    </xf>
    <xf numFmtId="49" fontId="48" fillId="0" borderId="11" xfId="0" applyNumberFormat="1" applyFont="1" applyFill="1" applyBorder="1" applyAlignment="1">
      <alignment horizontal="center" vertical="top"/>
    </xf>
    <xf numFmtId="168" fontId="0" fillId="37" borderId="13" xfId="0" applyNumberFormat="1" applyFill="1" applyBorder="1" applyAlignment="1">
      <alignment vertical="top"/>
    </xf>
    <xf numFmtId="168" fontId="0" fillId="0" borderId="13" xfId="0" applyNumberFormat="1" applyFill="1" applyBorder="1" applyAlignment="1">
      <alignment vertical="top"/>
    </xf>
    <xf numFmtId="0" fontId="49" fillId="0" borderId="10" xfId="0" applyFont="1" applyFill="1" applyBorder="1" applyAlignment="1">
      <alignment horizontal="left" vertical="top" wrapText="1"/>
    </xf>
    <xf numFmtId="49" fontId="49" fillId="0" borderId="11" xfId="0" applyNumberFormat="1" applyFont="1" applyFill="1" applyBorder="1" applyAlignment="1">
      <alignment horizontal="center" vertical="top" wrapText="1"/>
    </xf>
    <xf numFmtId="170" fontId="49" fillId="37" borderId="11" xfId="0" applyNumberFormat="1" applyFont="1" applyFill="1" applyBorder="1" applyAlignment="1">
      <alignment horizontal="right" vertical="top" wrapText="1"/>
    </xf>
    <xf numFmtId="0" fontId="133" fillId="0" borderId="10" xfId="0" applyFont="1" applyFill="1" applyBorder="1" applyAlignment="1">
      <alignment horizontal="left" vertical="top" wrapText="1"/>
    </xf>
    <xf numFmtId="49" fontId="133" fillId="0" borderId="10" xfId="0" applyNumberFormat="1" applyFont="1" applyFill="1" applyBorder="1" applyAlignment="1">
      <alignment horizontal="center" vertical="top" wrapText="1"/>
    </xf>
    <xf numFmtId="49" fontId="45" fillId="0" borderId="10" xfId="0" applyNumberFormat="1" applyFont="1" applyFill="1" applyBorder="1" applyAlignment="1">
      <alignment horizontal="center" vertical="top" wrapText="1"/>
    </xf>
    <xf numFmtId="49" fontId="133" fillId="0" borderId="11" xfId="0" applyNumberFormat="1" applyFont="1" applyFill="1" applyBorder="1" applyAlignment="1">
      <alignment horizontal="center" vertical="top" wrapText="1"/>
    </xf>
    <xf numFmtId="168" fontId="133" fillId="0" borderId="10" xfId="0" applyNumberFormat="1" applyFont="1" applyFill="1" applyBorder="1" applyAlignment="1">
      <alignment horizontal="right" vertical="top" wrapText="1"/>
    </xf>
    <xf numFmtId="168" fontId="133" fillId="60" borderId="10" xfId="0" applyNumberFormat="1" applyFont="1" applyFill="1" applyBorder="1" applyAlignment="1">
      <alignment horizontal="right" vertical="top" wrapText="1"/>
    </xf>
    <xf numFmtId="168" fontId="133" fillId="61" borderId="10" xfId="0" applyNumberFormat="1" applyFont="1" applyFill="1" applyBorder="1" applyAlignment="1">
      <alignment horizontal="right" vertical="top" wrapText="1"/>
    </xf>
    <xf numFmtId="168" fontId="133" fillId="62" borderId="10" xfId="0" applyNumberFormat="1" applyFont="1" applyFill="1" applyBorder="1" applyAlignment="1">
      <alignment horizontal="right" vertical="top" wrapText="1"/>
    </xf>
    <xf numFmtId="168" fontId="133" fillId="37" borderId="10" xfId="0" applyNumberFormat="1" applyFont="1" applyFill="1" applyBorder="1" applyAlignment="1">
      <alignment horizontal="right" vertical="top" wrapText="1"/>
    </xf>
    <xf numFmtId="168" fontId="133" fillId="43" borderId="10" xfId="0" applyNumberFormat="1" applyFont="1" applyFill="1" applyBorder="1" applyAlignment="1">
      <alignment horizontal="right" vertical="top" wrapText="1"/>
    </xf>
    <xf numFmtId="168" fontId="133" fillId="63" borderId="10" xfId="0" applyNumberFormat="1" applyFont="1" applyFill="1" applyBorder="1" applyAlignment="1">
      <alignment horizontal="right" vertical="top" wrapText="1"/>
    </xf>
    <xf numFmtId="168" fontId="133" fillId="64" borderId="10" xfId="0" applyNumberFormat="1" applyFont="1" applyFill="1" applyBorder="1" applyAlignment="1">
      <alignment horizontal="right" vertical="top" wrapText="1"/>
    </xf>
    <xf numFmtId="170" fontId="133" fillId="37" borderId="10" xfId="0" applyNumberFormat="1" applyFont="1" applyFill="1" applyBorder="1" applyAlignment="1">
      <alignment horizontal="right" vertical="top" wrapText="1"/>
    </xf>
    <xf numFmtId="49" fontId="152" fillId="0" borderId="11" xfId="0" applyNumberFormat="1" applyFont="1" applyFill="1" applyBorder="1" applyAlignment="1">
      <alignment horizontal="center" vertical="top" wrapText="1"/>
    </xf>
    <xf numFmtId="49" fontId="150" fillId="0" borderId="11" xfId="0" applyNumberFormat="1" applyFont="1" applyFill="1" applyBorder="1" applyAlignment="1">
      <alignment horizontal="center" vertical="top" wrapText="1"/>
    </xf>
    <xf numFmtId="0" fontId="48" fillId="0" borderId="10" xfId="0" applyFont="1" applyFill="1" applyBorder="1" applyAlignment="1">
      <alignment horizontal="left" vertical="top" wrapText="1"/>
    </xf>
    <xf numFmtId="49" fontId="153" fillId="0" borderId="10" xfId="0" applyNumberFormat="1" applyFont="1" applyFill="1" applyBorder="1" applyAlignment="1">
      <alignment horizontal="center" vertical="top" wrapText="1"/>
    </xf>
    <xf numFmtId="0" fontId="153" fillId="0" borderId="10" xfId="0" applyFont="1" applyFill="1" applyBorder="1" applyAlignment="1">
      <alignment horizontal="center" vertical="top" wrapText="1"/>
    </xf>
    <xf numFmtId="170" fontId="48" fillId="37" borderId="11" xfId="0" applyNumberFormat="1" applyFont="1" applyFill="1" applyBorder="1" applyAlignment="1">
      <alignment vertical="top"/>
    </xf>
    <xf numFmtId="0" fontId="154" fillId="0" borderId="10" xfId="0" applyFont="1" applyFill="1" applyBorder="1" applyAlignment="1">
      <alignment vertical="top" wrapText="1"/>
    </xf>
    <xf numFmtId="0" fontId="152" fillId="0" borderId="10" xfId="0" applyFont="1" applyFill="1" applyBorder="1" applyAlignment="1">
      <alignment horizontal="center" vertical="top" wrapText="1"/>
    </xf>
    <xf numFmtId="168" fontId="126" fillId="0" borderId="11" xfId="0" applyNumberFormat="1" applyFont="1" applyFill="1" applyBorder="1" applyAlignment="1">
      <alignment horizontal="right" vertical="top"/>
    </xf>
    <xf numFmtId="168" fontId="126" fillId="60" borderId="11" xfId="0" applyNumberFormat="1" applyFont="1" applyFill="1" applyBorder="1" applyAlignment="1">
      <alignment horizontal="right" vertical="top"/>
    </xf>
    <xf numFmtId="168" fontId="126" fillId="61" borderId="11" xfId="0" applyNumberFormat="1" applyFont="1" applyFill="1" applyBorder="1" applyAlignment="1">
      <alignment horizontal="right" vertical="top"/>
    </xf>
    <xf numFmtId="168" fontId="126" fillId="62" borderId="11" xfId="0" applyNumberFormat="1" applyFont="1" applyFill="1" applyBorder="1" applyAlignment="1">
      <alignment horizontal="right" vertical="top"/>
    </xf>
    <xf numFmtId="168" fontId="126" fillId="47" borderId="11" xfId="0" applyNumberFormat="1" applyFont="1" applyFill="1" applyBorder="1" applyAlignment="1">
      <alignment horizontal="right" vertical="top"/>
    </xf>
    <xf numFmtId="168" fontId="126" fillId="43" borderId="11" xfId="0" applyNumberFormat="1" applyFont="1" applyFill="1" applyBorder="1" applyAlignment="1">
      <alignment horizontal="right" vertical="top"/>
    </xf>
    <xf numFmtId="168" fontId="126" fillId="63" borderId="11" xfId="0" applyNumberFormat="1" applyFont="1" applyFill="1" applyBorder="1" applyAlignment="1">
      <alignment horizontal="right" vertical="top"/>
    </xf>
    <xf numFmtId="168" fontId="126" fillId="64" borderId="11" xfId="0" applyNumberFormat="1" applyFont="1" applyFill="1" applyBorder="1" applyAlignment="1">
      <alignment horizontal="right" vertical="top"/>
    </xf>
    <xf numFmtId="168" fontId="126" fillId="37" borderId="11" xfId="0" applyNumberFormat="1" applyFont="1" applyFill="1" applyBorder="1" applyAlignment="1">
      <alignment horizontal="right" vertical="top"/>
    </xf>
    <xf numFmtId="168" fontId="45" fillId="37" borderId="11" xfId="0" applyNumberFormat="1" applyFont="1" applyFill="1" applyBorder="1" applyAlignment="1">
      <alignment horizontal="right" vertical="top"/>
    </xf>
    <xf numFmtId="170" fontId="126" fillId="0" borderId="11" xfId="0" applyNumberFormat="1" applyFont="1" applyFill="1" applyBorder="1" applyAlignment="1">
      <alignment horizontal="right" vertical="top"/>
    </xf>
    <xf numFmtId="170" fontId="150" fillId="0" borderId="11" xfId="0" applyNumberFormat="1" applyFont="1" applyFill="1" applyBorder="1" applyAlignment="1">
      <alignment horizontal="right" vertical="top"/>
    </xf>
    <xf numFmtId="168" fontId="150" fillId="37" borderId="20" xfId="0" applyNumberFormat="1" applyFont="1" applyFill="1" applyBorder="1" applyAlignment="1">
      <alignment horizontal="right" vertical="top"/>
    </xf>
    <xf numFmtId="168" fontId="150" fillId="0" borderId="20" xfId="0" applyNumberFormat="1" applyFont="1" applyFill="1" applyBorder="1" applyAlignment="1">
      <alignment horizontal="right" vertical="top"/>
    </xf>
    <xf numFmtId="168" fontId="48" fillId="0" borderId="10" xfId="0" applyNumberFormat="1" applyFont="1" applyBorder="1" applyAlignment="1">
      <alignment horizontal="right" vertical="top"/>
    </xf>
    <xf numFmtId="4" fontId="48" fillId="0" borderId="10" xfId="0" applyNumberFormat="1" applyFont="1" applyFill="1" applyBorder="1" applyAlignment="1">
      <alignment horizontal="right" vertical="top"/>
    </xf>
    <xf numFmtId="168" fontId="48" fillId="0" borderId="10" xfId="0" applyNumberFormat="1" applyFont="1" applyBorder="1" applyAlignment="1">
      <alignment vertical="top"/>
    </xf>
    <xf numFmtId="168" fontId="49" fillId="62" borderId="11" xfId="0" applyNumberFormat="1" applyFont="1" applyFill="1" applyBorder="1" applyAlignment="1">
      <alignment vertical="top"/>
    </xf>
    <xf numFmtId="168" fontId="48" fillId="37" borderId="21" xfId="0" applyNumberFormat="1" applyFont="1" applyFill="1" applyBorder="1" applyAlignment="1">
      <alignment vertical="top"/>
    </xf>
    <xf numFmtId="168" fontId="48" fillId="0" borderId="21" xfId="0" applyNumberFormat="1" applyFont="1" applyFill="1" applyBorder="1" applyAlignment="1">
      <alignment vertical="top"/>
    </xf>
    <xf numFmtId="170" fontId="151" fillId="0" borderId="11" xfId="0" applyNumberFormat="1" applyFont="1" applyFill="1" applyBorder="1" applyAlignment="1">
      <alignment horizontal="right" vertical="top"/>
    </xf>
    <xf numFmtId="4" fontId="204" fillId="0" borderId="10" xfId="0" applyNumberFormat="1" applyFont="1" applyFill="1" applyBorder="1" applyAlignment="1">
      <alignment horizontal="right" vertical="top"/>
    </xf>
    <xf numFmtId="0" fontId="204" fillId="0" borderId="10" xfId="0" applyFont="1" applyFill="1" applyBorder="1" applyAlignment="1">
      <alignment horizontal="right" vertical="top"/>
    </xf>
    <xf numFmtId="168" fontId="49" fillId="37" borderId="20" xfId="0" applyNumberFormat="1" applyFont="1" applyFill="1" applyBorder="1" applyAlignment="1">
      <alignment horizontal="right" vertical="top"/>
    </xf>
    <xf numFmtId="168" fontId="49" fillId="0" borderId="20" xfId="0" applyNumberFormat="1" applyFont="1" applyFill="1" applyBorder="1" applyAlignment="1">
      <alignment horizontal="right" vertical="top"/>
    </xf>
    <xf numFmtId="170" fontId="49" fillId="0" borderId="11" xfId="0" applyNumberFormat="1" applyFont="1" applyFill="1" applyBorder="1" applyAlignment="1">
      <alignment horizontal="right" vertical="top"/>
    </xf>
    <xf numFmtId="4" fontId="49" fillId="0" borderId="10" xfId="0" applyNumberFormat="1" applyFont="1" applyFill="1" applyBorder="1" applyAlignment="1">
      <alignment horizontal="right" vertical="top"/>
    </xf>
    <xf numFmtId="0" fontId="49" fillId="0" borderId="10" xfId="0" applyFont="1" applyFill="1" applyBorder="1" applyAlignment="1">
      <alignment horizontal="right" vertical="top"/>
    </xf>
    <xf numFmtId="168" fontId="115" fillId="0" borderId="10" xfId="0" applyNumberFormat="1" applyFont="1" applyBorder="1" applyAlignment="1">
      <alignment horizontal="right" vertical="top"/>
    </xf>
    <xf numFmtId="168" fontId="115" fillId="0" borderId="10" xfId="0" applyNumberFormat="1" applyFont="1" applyBorder="1" applyAlignment="1">
      <alignment vertical="top"/>
    </xf>
    <xf numFmtId="0" fontId="127" fillId="0" borderId="10" xfId="0" applyFont="1" applyFill="1" applyBorder="1" applyAlignment="1">
      <alignment vertical="top" wrapText="1"/>
    </xf>
    <xf numFmtId="4" fontId="211" fillId="0" borderId="10" xfId="0" applyNumberFormat="1" applyFont="1" applyFill="1" applyBorder="1" applyAlignment="1">
      <alignment horizontal="right" vertical="top"/>
    </xf>
    <xf numFmtId="0" fontId="211" fillId="0" borderId="10" xfId="0" applyFont="1" applyFill="1" applyBorder="1" applyAlignment="1">
      <alignment horizontal="right" vertical="top"/>
    </xf>
    <xf numFmtId="0" fontId="203" fillId="0" borderId="10" xfId="0" applyFont="1" applyFill="1" applyBorder="1" applyAlignment="1">
      <alignment horizontal="right" vertical="top"/>
    </xf>
    <xf numFmtId="168" fontId="49" fillId="0" borderId="20" xfId="0" applyNumberFormat="1" applyFont="1" applyFill="1" applyBorder="1" applyAlignment="1">
      <alignment horizontal="right" vertical="top" wrapText="1"/>
    </xf>
    <xf numFmtId="168" fontId="49" fillId="60" borderId="20" xfId="0" applyNumberFormat="1" applyFont="1" applyFill="1" applyBorder="1" applyAlignment="1">
      <alignment horizontal="right" vertical="top" wrapText="1"/>
    </xf>
    <xf numFmtId="168" fontId="49" fillId="61" borderId="20" xfId="0" applyNumberFormat="1" applyFont="1" applyFill="1" applyBorder="1" applyAlignment="1">
      <alignment horizontal="right" vertical="top" wrapText="1"/>
    </xf>
    <xf numFmtId="168" fontId="49" fillId="62" borderId="20" xfId="0" applyNumberFormat="1" applyFont="1" applyFill="1" applyBorder="1" applyAlignment="1">
      <alignment horizontal="right" vertical="top" wrapText="1"/>
    </xf>
    <xf numFmtId="168" fontId="49" fillId="47" borderId="20" xfId="0" applyNumberFormat="1" applyFont="1" applyFill="1" applyBorder="1" applyAlignment="1">
      <alignment horizontal="right" vertical="top" wrapText="1"/>
    </xf>
    <xf numFmtId="168" fontId="49" fillId="43" borderId="20" xfId="0" applyNumberFormat="1" applyFont="1" applyFill="1" applyBorder="1" applyAlignment="1">
      <alignment horizontal="right" vertical="top" wrapText="1"/>
    </xf>
    <xf numFmtId="168" fontId="49" fillId="63" borderId="20" xfId="0" applyNumberFormat="1" applyFont="1" applyFill="1" applyBorder="1" applyAlignment="1">
      <alignment horizontal="right" vertical="top" wrapText="1"/>
    </xf>
    <xf numFmtId="168" fontId="49" fillId="64" borderId="20" xfId="0" applyNumberFormat="1" applyFont="1" applyFill="1" applyBorder="1" applyAlignment="1">
      <alignment horizontal="right" vertical="top" wrapText="1"/>
    </xf>
    <xf numFmtId="168" fontId="49" fillId="37" borderId="20" xfId="0" applyNumberFormat="1" applyFont="1" applyFill="1" applyBorder="1" applyAlignment="1">
      <alignment horizontal="right" vertical="top" wrapText="1"/>
    </xf>
    <xf numFmtId="170" fontId="49" fillId="37" borderId="20" xfId="0" applyNumberFormat="1" applyFont="1" applyFill="1" applyBorder="1" applyAlignment="1">
      <alignment horizontal="right" vertical="top" wrapText="1"/>
    </xf>
    <xf numFmtId="168" fontId="48" fillId="0" borderId="20" xfId="0" applyNumberFormat="1" applyFont="1" applyFill="1" applyBorder="1" applyAlignment="1">
      <alignment horizontal="right" vertical="top"/>
    </xf>
    <xf numFmtId="168" fontId="48" fillId="60" borderId="20" xfId="0" applyNumberFormat="1" applyFont="1" applyFill="1" applyBorder="1" applyAlignment="1">
      <alignment horizontal="right" vertical="top"/>
    </xf>
    <xf numFmtId="168" fontId="48" fillId="61" borderId="20" xfId="0" applyNumberFormat="1" applyFont="1" applyFill="1" applyBorder="1" applyAlignment="1">
      <alignment horizontal="right" vertical="top"/>
    </xf>
    <xf numFmtId="168" fontId="48" fillId="62" borderId="20" xfId="0" applyNumberFormat="1" applyFont="1" applyFill="1" applyBorder="1" applyAlignment="1">
      <alignment horizontal="right" vertical="top"/>
    </xf>
    <xf numFmtId="168" fontId="48" fillId="47" borderId="20" xfId="0" applyNumberFormat="1" applyFont="1" applyFill="1" applyBorder="1" applyAlignment="1">
      <alignment horizontal="right" vertical="top"/>
    </xf>
    <xf numFmtId="168" fontId="48" fillId="43" borderId="20" xfId="0" applyNumberFormat="1" applyFont="1" applyFill="1" applyBorder="1" applyAlignment="1">
      <alignment horizontal="right" vertical="top"/>
    </xf>
    <xf numFmtId="168" fontId="48" fillId="63" borderId="20" xfId="0" applyNumberFormat="1" applyFont="1" applyFill="1" applyBorder="1" applyAlignment="1">
      <alignment horizontal="right" vertical="top"/>
    </xf>
    <xf numFmtId="168" fontId="48" fillId="64" borderId="20" xfId="0" applyNumberFormat="1" applyFont="1" applyFill="1" applyBorder="1" applyAlignment="1">
      <alignment horizontal="right" vertical="top"/>
    </xf>
    <xf numFmtId="168" fontId="48" fillId="37" borderId="20" xfId="0" applyNumberFormat="1" applyFont="1" applyFill="1" applyBorder="1" applyAlignment="1">
      <alignment horizontal="right" vertical="top"/>
    </xf>
    <xf numFmtId="170" fontId="48" fillId="37" borderId="20" xfId="0" applyNumberFormat="1" applyFont="1" applyFill="1" applyBorder="1" applyAlignment="1">
      <alignment horizontal="right" vertical="top"/>
    </xf>
    <xf numFmtId="0" fontId="150" fillId="0" borderId="10" xfId="81" applyFont="1" applyFill="1" applyBorder="1" applyAlignment="1">
      <alignment vertical="top" wrapText="1"/>
    </xf>
    <xf numFmtId="49" fontId="150" fillId="0" borderId="10" xfId="81" applyNumberFormat="1" applyFont="1" applyFill="1" applyBorder="1" applyAlignment="1">
      <alignment horizontal="center" vertical="top" wrapText="1"/>
    </xf>
    <xf numFmtId="0" fontId="150" fillId="0" borderId="10" xfId="0" applyFont="1" applyFill="1" applyBorder="1" applyAlignment="1">
      <alignment horizontal="left" vertical="top" wrapText="1"/>
    </xf>
    <xf numFmtId="0" fontId="48" fillId="0" borderId="13" xfId="0" applyFont="1" applyFill="1" applyBorder="1" applyAlignment="1">
      <alignment horizontal="left" vertical="top"/>
    </xf>
    <xf numFmtId="49" fontId="48" fillId="0" borderId="13" xfId="0" applyNumberFormat="1" applyFont="1" applyFill="1" applyBorder="1" applyAlignment="1">
      <alignment horizontal="center" vertical="top"/>
    </xf>
    <xf numFmtId="0" fontId="0" fillId="37" borderId="10" xfId="0" applyFill="1" applyBorder="1" applyAlignment="1">
      <alignment vertical="top"/>
    </xf>
    <xf numFmtId="49" fontId="32" fillId="0" borderId="10" xfId="0" applyNumberFormat="1" applyFont="1" applyFill="1" applyBorder="1" applyAlignment="1">
      <alignment horizontal="center" vertical="top"/>
    </xf>
    <xf numFmtId="168" fontId="32" fillId="0" borderId="11" xfId="0" applyNumberFormat="1" applyFont="1" applyFill="1" applyBorder="1" applyAlignment="1">
      <alignment horizontal="right" vertical="top"/>
    </xf>
    <xf numFmtId="0" fontId="48" fillId="65" borderId="11" xfId="0" applyFont="1" applyFill="1" applyBorder="1" applyAlignment="1">
      <alignment vertical="top"/>
    </xf>
    <xf numFmtId="168" fontId="48" fillId="65" borderId="11" xfId="0" applyNumberFormat="1" applyFont="1" applyFill="1" applyBorder="1" applyAlignment="1">
      <alignment vertical="top"/>
    </xf>
    <xf numFmtId="168" fontId="48" fillId="65" borderId="21" xfId="0" applyNumberFormat="1" applyFont="1" applyFill="1" applyBorder="1" applyAlignment="1">
      <alignment vertical="top"/>
    </xf>
    <xf numFmtId="0" fontId="0" fillId="65" borderId="11" xfId="0" applyFill="1" applyBorder="1" applyAlignment="1">
      <alignment vertical="top"/>
    </xf>
    <xf numFmtId="168" fontId="0" fillId="43" borderId="11" xfId="0" applyNumberFormat="1" applyFill="1" applyBorder="1" applyAlignment="1">
      <alignment vertical="top"/>
    </xf>
    <xf numFmtId="168" fontId="0" fillId="65" borderId="11" xfId="0" applyNumberFormat="1" applyFill="1" applyBorder="1" applyAlignment="1">
      <alignment vertical="top"/>
    </xf>
    <xf numFmtId="168" fontId="0" fillId="37" borderId="11" xfId="0" applyNumberFormat="1" applyFill="1" applyBorder="1" applyAlignment="1">
      <alignment vertical="top"/>
    </xf>
    <xf numFmtId="168" fontId="0" fillId="37" borderId="11" xfId="0" applyNumberFormat="1" applyFont="1" applyFill="1" applyBorder="1" applyAlignment="1">
      <alignment vertical="top"/>
    </xf>
    <xf numFmtId="170" fontId="48" fillId="65" borderId="11" xfId="0" applyNumberFormat="1" applyFont="1" applyFill="1" applyBorder="1" applyAlignment="1">
      <alignment vertical="top"/>
    </xf>
    <xf numFmtId="168" fontId="0" fillId="37" borderId="21" xfId="0" applyNumberFormat="1" applyFill="1" applyBorder="1" applyAlignment="1">
      <alignment vertical="top"/>
    </xf>
    <xf numFmtId="168" fontId="0" fillId="65" borderId="0" xfId="0" applyNumberFormat="1" applyFill="1"/>
    <xf numFmtId="0" fontId="0" fillId="65" borderId="0" xfId="0" applyFill="1"/>
    <xf numFmtId="49" fontId="150" fillId="37" borderId="10" xfId="0" applyNumberFormat="1" applyFont="1" applyFill="1" applyBorder="1" applyAlignment="1">
      <alignment horizontal="left" vertical="top" wrapText="1"/>
    </xf>
    <xf numFmtId="49" fontId="32" fillId="37" borderId="10" xfId="0" applyNumberFormat="1" applyFont="1" applyFill="1" applyBorder="1" applyAlignment="1">
      <alignment horizontal="center" vertical="top"/>
    </xf>
    <xf numFmtId="168" fontId="32" fillId="37" borderId="11" xfId="0" applyNumberFormat="1" applyFont="1" applyFill="1" applyBorder="1" applyAlignment="1">
      <alignment horizontal="right" vertical="top"/>
    </xf>
    <xf numFmtId="0" fontId="48" fillId="37" borderId="11" xfId="0" applyFont="1" applyFill="1" applyBorder="1" applyAlignment="1">
      <alignment vertical="top"/>
    </xf>
    <xf numFmtId="168" fontId="133" fillId="37" borderId="11" xfId="0" applyNumberFormat="1" applyFont="1" applyFill="1" applyBorder="1" applyAlignment="1">
      <alignment horizontal="right" vertical="top"/>
    </xf>
    <xf numFmtId="0" fontId="0" fillId="37" borderId="11" xfId="0" applyFill="1" applyBorder="1" applyAlignment="1">
      <alignment vertical="top"/>
    </xf>
    <xf numFmtId="0" fontId="133" fillId="0" borderId="10" xfId="81" applyFont="1" applyFill="1" applyBorder="1" applyAlignment="1">
      <alignment vertical="top" wrapText="1"/>
    </xf>
    <xf numFmtId="49" fontId="93" fillId="0" borderId="10" xfId="81" applyNumberFormat="1" applyFont="1" applyFill="1" applyBorder="1" applyAlignment="1">
      <alignment horizontal="center" vertical="top" wrapText="1"/>
    </xf>
    <xf numFmtId="168" fontId="49" fillId="61" borderId="11" xfId="0" applyNumberFormat="1" applyFont="1" applyFill="1" applyBorder="1" applyAlignment="1">
      <alignment horizontal="right" vertical="top"/>
    </xf>
    <xf numFmtId="170" fontId="49" fillId="54" borderId="11" xfId="0" applyNumberFormat="1" applyFont="1" applyFill="1" applyBorder="1" applyAlignment="1">
      <alignment horizontal="right" vertical="top"/>
    </xf>
    <xf numFmtId="168" fontId="49" fillId="54" borderId="0" xfId="0" applyNumberFormat="1" applyFont="1" applyFill="1" applyBorder="1" applyAlignment="1">
      <alignment horizontal="right" vertical="top"/>
    </xf>
    <xf numFmtId="0" fontId="151" fillId="0" borderId="10" xfId="81" applyFont="1" applyFill="1" applyBorder="1" applyAlignment="1">
      <alignment vertical="top" wrapText="1"/>
    </xf>
    <xf numFmtId="49" fontId="151" fillId="0" borderId="10" xfId="81" applyNumberFormat="1" applyFont="1" applyFill="1" applyBorder="1" applyAlignment="1">
      <alignment horizontal="center" vertical="top" wrapText="1"/>
    </xf>
    <xf numFmtId="49" fontId="151" fillId="0" borderId="10" xfId="0" applyNumberFormat="1" applyFont="1" applyFill="1" applyBorder="1" applyAlignment="1">
      <alignment horizontal="center" vertical="top"/>
    </xf>
    <xf numFmtId="168" fontId="48" fillId="54" borderId="11" xfId="0" applyNumberFormat="1" applyFont="1" applyFill="1" applyBorder="1" applyAlignment="1">
      <alignment horizontal="right" vertical="center"/>
    </xf>
    <xf numFmtId="168" fontId="48" fillId="54" borderId="0" xfId="0" applyNumberFormat="1" applyFont="1" applyFill="1" applyBorder="1" applyAlignment="1">
      <alignment horizontal="right" vertical="center"/>
    </xf>
    <xf numFmtId="4" fontId="48" fillId="0" borderId="10" xfId="0" applyNumberFormat="1" applyFont="1" applyFill="1" applyBorder="1" applyAlignment="1">
      <alignment horizontal="center" vertical="top"/>
    </xf>
    <xf numFmtId="2" fontId="150" fillId="0" borderId="10" xfId="0" applyNumberFormat="1" applyFont="1" applyFill="1" applyBorder="1" applyAlignment="1">
      <alignment horizontal="center" vertical="top"/>
    </xf>
    <xf numFmtId="168" fontId="150" fillId="60" borderId="20" xfId="0" applyNumberFormat="1" applyFont="1" applyFill="1" applyBorder="1" applyAlignment="1">
      <alignment horizontal="right" vertical="top"/>
    </xf>
    <xf numFmtId="168" fontId="150" fillId="61" borderId="20" xfId="0" applyNumberFormat="1" applyFont="1" applyFill="1" applyBorder="1" applyAlignment="1">
      <alignment horizontal="right" vertical="top"/>
    </xf>
    <xf numFmtId="168" fontId="150" fillId="62" borderId="20" xfId="0" applyNumberFormat="1" applyFont="1" applyFill="1" applyBorder="1" applyAlignment="1">
      <alignment horizontal="right" vertical="top"/>
    </xf>
    <xf numFmtId="168" fontId="150" fillId="47" borderId="20" xfId="0" applyNumberFormat="1" applyFont="1" applyFill="1" applyBorder="1" applyAlignment="1">
      <alignment horizontal="right" vertical="top"/>
    </xf>
    <xf numFmtId="168" fontId="150" fillId="43" borderId="20" xfId="0" applyNumberFormat="1" applyFont="1" applyFill="1" applyBorder="1" applyAlignment="1">
      <alignment horizontal="right" vertical="top"/>
    </xf>
    <xf numFmtId="170" fontId="150" fillId="0" borderId="20" xfId="0" applyNumberFormat="1" applyFont="1" applyFill="1" applyBorder="1" applyAlignment="1">
      <alignment horizontal="right" vertical="top"/>
    </xf>
    <xf numFmtId="168" fontId="0" fillId="29" borderId="0" xfId="0" applyNumberFormat="1" applyFill="1"/>
    <xf numFmtId="0" fontId="0" fillId="29" borderId="0" xfId="0" applyFill="1"/>
    <xf numFmtId="0" fontId="45" fillId="0" borderId="10" xfId="0" applyFont="1" applyFill="1" applyBorder="1" applyAlignment="1">
      <alignment horizontal="left" vertical="top" wrapText="1"/>
    </xf>
    <xf numFmtId="49" fontId="32" fillId="0" borderId="10" xfId="81" applyNumberFormat="1" applyFont="1" applyFill="1" applyBorder="1" applyAlignment="1">
      <alignment horizontal="center" vertical="top" wrapText="1"/>
    </xf>
    <xf numFmtId="168" fontId="150" fillId="0" borderId="20" xfId="0" applyNumberFormat="1" applyFont="1" applyFill="1" applyBorder="1" applyAlignment="1">
      <alignment horizontal="right" vertical="center"/>
    </xf>
    <xf numFmtId="168" fontId="150" fillId="0" borderId="0" xfId="0" applyNumberFormat="1" applyFont="1" applyFill="1" applyBorder="1" applyAlignment="1">
      <alignment horizontal="right" vertical="center"/>
    </xf>
    <xf numFmtId="168" fontId="48" fillId="66" borderId="11" xfId="0" applyNumberFormat="1" applyFont="1" applyFill="1" applyBorder="1" applyAlignment="1">
      <alignment vertical="top"/>
    </xf>
    <xf numFmtId="0" fontId="48" fillId="66" borderId="11" xfId="0" applyFont="1" applyFill="1" applyBorder="1" applyAlignment="1">
      <alignment vertical="top"/>
    </xf>
    <xf numFmtId="168" fontId="150" fillId="64" borderId="20" xfId="0" applyNumberFormat="1" applyFont="1" applyFill="1" applyBorder="1" applyAlignment="1">
      <alignment horizontal="right" vertical="top"/>
    </xf>
    <xf numFmtId="0" fontId="48" fillId="37" borderId="10" xfId="0" applyFont="1" applyFill="1" applyBorder="1" applyAlignment="1">
      <alignment horizontal="right" vertical="top"/>
    </xf>
    <xf numFmtId="0" fontId="49" fillId="0" borderId="10" xfId="81" applyFont="1" applyFill="1" applyBorder="1" applyAlignment="1">
      <alignment vertical="top" wrapText="1"/>
    </xf>
    <xf numFmtId="49" fontId="49" fillId="0" borderId="10" xfId="81" applyNumberFormat="1" applyFont="1" applyFill="1" applyBorder="1" applyAlignment="1">
      <alignment horizontal="center" vertical="top" wrapText="1"/>
    </xf>
    <xf numFmtId="168" fontId="150" fillId="66" borderId="20" xfId="0" applyNumberFormat="1" applyFont="1" applyFill="1" applyBorder="1" applyAlignment="1">
      <alignment horizontal="right" vertical="top"/>
    </xf>
    <xf numFmtId="168" fontId="150" fillId="37" borderId="14" xfId="0" applyNumberFormat="1" applyFont="1" applyFill="1" applyBorder="1" applyAlignment="1">
      <alignment horizontal="right" vertical="top"/>
    </xf>
    <xf numFmtId="170" fontId="150" fillId="66" borderId="20" xfId="0" applyNumberFormat="1" applyFont="1" applyFill="1" applyBorder="1" applyAlignment="1">
      <alignment horizontal="right" vertical="top"/>
    </xf>
    <xf numFmtId="168" fontId="36" fillId="66" borderId="0" xfId="0" applyNumberFormat="1" applyFont="1" applyFill="1"/>
    <xf numFmtId="0" fontId="36" fillId="66" borderId="0" xfId="0" applyFont="1" applyFill="1"/>
    <xf numFmtId="168" fontId="113" fillId="0" borderId="20" xfId="0" applyNumberFormat="1" applyFont="1" applyFill="1" applyBorder="1" applyAlignment="1">
      <alignment horizontal="right" vertical="top"/>
    </xf>
    <xf numFmtId="168" fontId="113" fillId="60" borderId="20" xfId="0" applyNumberFormat="1" applyFont="1" applyFill="1" applyBorder="1" applyAlignment="1">
      <alignment horizontal="right" vertical="top"/>
    </xf>
    <xf numFmtId="168" fontId="113" fillId="61" borderId="20" xfId="0" applyNumberFormat="1" applyFont="1" applyFill="1" applyBorder="1" applyAlignment="1">
      <alignment horizontal="right" vertical="top"/>
    </xf>
    <xf numFmtId="168" fontId="113" fillId="62" borderId="20" xfId="0" applyNumberFormat="1" applyFont="1" applyFill="1" applyBorder="1" applyAlignment="1">
      <alignment horizontal="right" vertical="top"/>
    </xf>
    <xf numFmtId="168" fontId="113" fillId="47" borderId="20" xfId="0" applyNumberFormat="1" applyFont="1" applyFill="1" applyBorder="1" applyAlignment="1">
      <alignment horizontal="right" vertical="top"/>
    </xf>
    <xf numFmtId="168" fontId="113" fillId="43" borderId="20" xfId="0" applyNumberFormat="1" applyFont="1" applyFill="1" applyBorder="1" applyAlignment="1">
      <alignment horizontal="right" vertical="top"/>
    </xf>
    <xf numFmtId="168" fontId="48" fillId="37" borderId="20" xfId="0" applyNumberFormat="1" applyFont="1" applyFill="1" applyBorder="1" applyAlignment="1">
      <alignment vertical="top"/>
    </xf>
    <xf numFmtId="168" fontId="113" fillId="66" borderId="20" xfId="0" applyNumberFormat="1" applyFont="1" applyFill="1" applyBorder="1" applyAlignment="1">
      <alignment horizontal="right" vertical="top"/>
    </xf>
    <xf numFmtId="168" fontId="113" fillId="37" borderId="20" xfId="0" applyNumberFormat="1" applyFont="1" applyFill="1" applyBorder="1" applyAlignment="1">
      <alignment horizontal="right" vertical="top"/>
    </xf>
    <xf numFmtId="170" fontId="113" fillId="66" borderId="20" xfId="0" applyNumberFormat="1" applyFont="1" applyFill="1" applyBorder="1" applyAlignment="1">
      <alignment horizontal="right" vertical="top"/>
    </xf>
    <xf numFmtId="168" fontId="0" fillId="66" borderId="0" xfId="0" applyNumberFormat="1" applyFont="1" applyFill="1"/>
    <xf numFmtId="0" fontId="0" fillId="66" borderId="0" xfId="0" applyFont="1" applyFill="1"/>
    <xf numFmtId="170" fontId="150" fillId="37" borderId="20" xfId="0" applyNumberFormat="1" applyFont="1" applyFill="1" applyBorder="1" applyAlignment="1">
      <alignment horizontal="right" vertical="top"/>
    </xf>
    <xf numFmtId="168" fontId="149" fillId="0" borderId="11" xfId="0" applyNumberFormat="1" applyFont="1" applyFill="1" applyBorder="1" applyAlignment="1">
      <alignment horizontal="right" vertical="top"/>
    </xf>
    <xf numFmtId="168" fontId="149" fillId="60" borderId="11" xfId="0" applyNumberFormat="1" applyFont="1" applyFill="1" applyBorder="1" applyAlignment="1">
      <alignment horizontal="right" vertical="top"/>
    </xf>
    <xf numFmtId="168" fontId="149" fillId="61" borderId="11" xfId="0" applyNumberFormat="1" applyFont="1" applyFill="1" applyBorder="1" applyAlignment="1">
      <alignment horizontal="right" vertical="top"/>
    </xf>
    <xf numFmtId="168" fontId="149" fillId="62" borderId="11" xfId="0" applyNumberFormat="1" applyFont="1" applyFill="1" applyBorder="1" applyAlignment="1">
      <alignment horizontal="right" vertical="top"/>
    </xf>
    <xf numFmtId="168" fontId="149" fillId="47" borderId="11" xfId="0" applyNumberFormat="1" applyFont="1" applyFill="1" applyBorder="1" applyAlignment="1">
      <alignment horizontal="right" vertical="top"/>
    </xf>
    <xf numFmtId="168" fontId="149" fillId="43" borderId="11" xfId="0" applyNumberFormat="1" applyFont="1" applyFill="1" applyBorder="1" applyAlignment="1">
      <alignment horizontal="right" vertical="top"/>
    </xf>
    <xf numFmtId="168" fontId="149" fillId="63" borderId="11" xfId="0" applyNumberFormat="1" applyFont="1" applyFill="1" applyBorder="1" applyAlignment="1">
      <alignment horizontal="right" vertical="top"/>
    </xf>
    <xf numFmtId="168" fontId="149" fillId="64" borderId="11" xfId="0" applyNumberFormat="1" applyFont="1" applyFill="1" applyBorder="1" applyAlignment="1">
      <alignment horizontal="right" vertical="top"/>
    </xf>
    <xf numFmtId="168" fontId="149" fillId="37" borderId="11" xfId="0" applyNumberFormat="1" applyFont="1" applyFill="1" applyBorder="1" applyAlignment="1">
      <alignment horizontal="right" vertical="top"/>
    </xf>
    <xf numFmtId="170" fontId="149" fillId="37" borderId="11" xfId="0" applyNumberFormat="1" applyFont="1" applyFill="1" applyBorder="1" applyAlignment="1">
      <alignment horizontal="right" vertical="top"/>
    </xf>
    <xf numFmtId="0" fontId="150" fillId="0" borderId="10" xfId="0" applyFont="1" applyFill="1" applyBorder="1" applyAlignment="1">
      <alignment horizontal="center" vertical="top"/>
    </xf>
    <xf numFmtId="168" fontId="49" fillId="60" borderId="20" xfId="0" applyNumberFormat="1" applyFont="1" applyFill="1" applyBorder="1" applyAlignment="1">
      <alignment horizontal="right" vertical="top"/>
    </xf>
    <xf numFmtId="168" fontId="49" fillId="61" borderId="20" xfId="0" applyNumberFormat="1" applyFont="1" applyFill="1" applyBorder="1" applyAlignment="1">
      <alignment horizontal="right" vertical="top"/>
    </xf>
    <xf numFmtId="168" fontId="49" fillId="62" borderId="20" xfId="0" applyNumberFormat="1" applyFont="1" applyFill="1" applyBorder="1" applyAlignment="1">
      <alignment horizontal="right" vertical="top"/>
    </xf>
    <xf numFmtId="168" fontId="49" fillId="47" borderId="20" xfId="0" applyNumberFormat="1" applyFont="1" applyFill="1" applyBorder="1" applyAlignment="1">
      <alignment horizontal="right" vertical="top"/>
    </xf>
    <xf numFmtId="168" fontId="49" fillId="43" borderId="20" xfId="0" applyNumberFormat="1" applyFont="1" applyFill="1" applyBorder="1" applyAlignment="1">
      <alignment horizontal="right" vertical="top"/>
    </xf>
    <xf numFmtId="168" fontId="49" fillId="63" borderId="20" xfId="0" applyNumberFormat="1" applyFont="1" applyFill="1" applyBorder="1" applyAlignment="1">
      <alignment horizontal="right" vertical="top"/>
    </xf>
    <xf numFmtId="168" fontId="49" fillId="64" borderId="20" xfId="0" applyNumberFormat="1" applyFont="1" applyFill="1" applyBorder="1" applyAlignment="1">
      <alignment horizontal="right" vertical="top"/>
    </xf>
    <xf numFmtId="170" fontId="49" fillId="0" borderId="20" xfId="0" applyNumberFormat="1" applyFont="1" applyFill="1" applyBorder="1" applyAlignment="1">
      <alignment horizontal="right" vertical="top"/>
    </xf>
    <xf numFmtId="168" fontId="0" fillId="34" borderId="0" xfId="0" applyNumberFormat="1" applyFill="1"/>
    <xf numFmtId="0" fontId="0" fillId="34" borderId="0" xfId="0" applyFill="1"/>
    <xf numFmtId="168" fontId="152" fillId="0" borderId="20" xfId="0" applyNumberFormat="1" applyFont="1" applyFill="1" applyBorder="1" applyAlignment="1">
      <alignment horizontal="right" vertical="top"/>
    </xf>
    <xf numFmtId="168" fontId="152" fillId="60" borderId="20" xfId="0" applyNumberFormat="1" applyFont="1" applyFill="1" applyBorder="1" applyAlignment="1">
      <alignment horizontal="right" vertical="top"/>
    </xf>
    <xf numFmtId="168" fontId="152" fillId="61" borderId="20" xfId="0" applyNumberFormat="1" applyFont="1" applyFill="1" applyBorder="1" applyAlignment="1">
      <alignment horizontal="right" vertical="top"/>
    </xf>
    <xf numFmtId="168" fontId="152" fillId="62" borderId="20" xfId="0" applyNumberFormat="1" applyFont="1" applyFill="1" applyBorder="1" applyAlignment="1">
      <alignment horizontal="right" vertical="top"/>
    </xf>
    <xf numFmtId="168" fontId="152" fillId="47" borderId="20" xfId="0" applyNumberFormat="1" applyFont="1" applyFill="1" applyBorder="1" applyAlignment="1">
      <alignment horizontal="right" vertical="top"/>
    </xf>
    <xf numFmtId="168" fontId="152" fillId="43" borderId="20" xfId="0" applyNumberFormat="1" applyFont="1" applyFill="1" applyBorder="1" applyAlignment="1">
      <alignment horizontal="right" vertical="top"/>
    </xf>
    <xf numFmtId="168" fontId="152" fillId="37" borderId="20" xfId="0" applyNumberFormat="1" applyFont="1" applyFill="1" applyBorder="1" applyAlignment="1">
      <alignment horizontal="right" vertical="top"/>
    </xf>
    <xf numFmtId="170" fontId="152" fillId="0" borderId="20" xfId="0" applyNumberFormat="1" applyFont="1" applyFill="1" applyBorder="1" applyAlignment="1">
      <alignment horizontal="right" vertical="top"/>
    </xf>
    <xf numFmtId="168" fontId="48" fillId="0" borderId="10" xfId="0" applyNumberFormat="1" applyFont="1" applyFill="1" applyBorder="1" applyAlignment="1">
      <alignment horizontal="right" vertical="top"/>
    </xf>
    <xf numFmtId="168" fontId="49" fillId="34" borderId="20" xfId="0" applyNumberFormat="1" applyFont="1" applyFill="1" applyBorder="1" applyAlignment="1">
      <alignment horizontal="right" vertical="center"/>
    </xf>
    <xf numFmtId="168" fontId="49" fillId="34" borderId="0" xfId="0" applyNumberFormat="1" applyFont="1" applyFill="1" applyBorder="1" applyAlignment="1">
      <alignment horizontal="right" vertical="center"/>
    </xf>
    <xf numFmtId="168" fontId="152" fillId="0" borderId="10" xfId="0" applyNumberFormat="1" applyFont="1" applyFill="1" applyBorder="1" applyAlignment="1">
      <alignment horizontal="right" vertical="top"/>
    </xf>
    <xf numFmtId="168" fontId="152" fillId="63" borderId="20" xfId="0" applyNumberFormat="1" applyFont="1" applyFill="1" applyBorder="1" applyAlignment="1">
      <alignment horizontal="right" vertical="top"/>
    </xf>
    <xf numFmtId="168" fontId="152" fillId="64" borderId="20" xfId="0" applyNumberFormat="1" applyFont="1" applyFill="1" applyBorder="1" applyAlignment="1">
      <alignment horizontal="right" vertical="top"/>
    </xf>
    <xf numFmtId="168" fontId="152" fillId="0" borderId="20" xfId="0" applyNumberFormat="1" applyFont="1" applyFill="1" applyBorder="1" applyAlignment="1">
      <alignment horizontal="right" vertical="center"/>
    </xf>
    <xf numFmtId="168" fontId="152" fillId="0" borderId="0" xfId="0" applyNumberFormat="1" applyFont="1" applyFill="1" applyBorder="1" applyAlignment="1">
      <alignment horizontal="right" vertical="center"/>
    </xf>
    <xf numFmtId="49" fontId="133" fillId="0" borderId="10" xfId="81" applyNumberFormat="1" applyFont="1" applyFill="1" applyBorder="1" applyAlignment="1">
      <alignment horizontal="center" vertical="top" wrapText="1"/>
    </xf>
    <xf numFmtId="170" fontId="48" fillId="0" borderId="20" xfId="0" applyNumberFormat="1" applyFont="1" applyFill="1" applyBorder="1" applyAlignment="1">
      <alignment horizontal="right" vertical="top"/>
    </xf>
    <xf numFmtId="0" fontId="48" fillId="0" borderId="10" xfId="0" applyFont="1" applyFill="1" applyBorder="1" applyAlignment="1">
      <alignment horizontal="center" vertical="top"/>
    </xf>
    <xf numFmtId="49" fontId="48" fillId="0" borderId="0" xfId="0" applyNumberFormat="1" applyFont="1" applyFill="1" applyAlignment="1">
      <alignment horizontal="center" vertical="top"/>
    </xf>
    <xf numFmtId="168" fontId="48" fillId="0" borderId="21" xfId="0" applyNumberFormat="1" applyFont="1" applyFill="1" applyBorder="1" applyAlignment="1">
      <alignment horizontal="right" vertical="top"/>
    </xf>
    <xf numFmtId="49" fontId="151" fillId="0" borderId="11" xfId="0" applyNumberFormat="1" applyFont="1" applyFill="1" applyBorder="1" applyAlignment="1">
      <alignment horizontal="center" vertical="top"/>
    </xf>
    <xf numFmtId="0" fontId="49" fillId="0" borderId="10" xfId="0" applyFont="1" applyFill="1" applyBorder="1" applyAlignment="1">
      <alignment horizontal="left" vertical="top"/>
    </xf>
    <xf numFmtId="49" fontId="49" fillId="0" borderId="11" xfId="0" applyNumberFormat="1" applyFont="1" applyFill="1" applyBorder="1" applyAlignment="1">
      <alignment horizontal="center" vertical="top"/>
    </xf>
    <xf numFmtId="168" fontId="38" fillId="0" borderId="0" xfId="0" applyNumberFormat="1" applyFont="1"/>
    <xf numFmtId="0" fontId="149" fillId="0" borderId="10" xfId="81" applyFont="1" applyFill="1" applyBorder="1" applyAlignment="1">
      <alignment vertical="top" wrapText="1"/>
    </xf>
    <xf numFmtId="49" fontId="149" fillId="0" borderId="10" xfId="81" applyNumberFormat="1" applyFont="1" applyFill="1" applyBorder="1" applyAlignment="1">
      <alignment horizontal="center" vertical="top" wrapText="1"/>
    </xf>
    <xf numFmtId="49" fontId="149" fillId="0" borderId="11" xfId="0" applyNumberFormat="1" applyFont="1" applyFill="1" applyBorder="1" applyAlignment="1">
      <alignment horizontal="center" vertical="top"/>
    </xf>
    <xf numFmtId="168" fontId="38" fillId="37" borderId="0" xfId="0" applyNumberFormat="1" applyFont="1" applyFill="1"/>
    <xf numFmtId="0" fontId="38" fillId="37" borderId="0" xfId="0" applyFont="1" applyFill="1"/>
    <xf numFmtId="49" fontId="152" fillId="0" borderId="10" xfId="0" applyNumberFormat="1" applyFont="1" applyFill="1" applyBorder="1" applyAlignment="1">
      <alignment horizontal="left" vertical="top" wrapText="1"/>
    </xf>
    <xf numFmtId="49" fontId="152" fillId="0" borderId="11" xfId="0" applyNumberFormat="1" applyFont="1" applyFill="1" applyBorder="1" applyAlignment="1">
      <alignment horizontal="center" vertical="top"/>
    </xf>
    <xf numFmtId="168" fontId="152" fillId="0" borderId="11" xfId="0" applyNumberFormat="1" applyFont="1" applyFill="1" applyBorder="1" applyAlignment="1">
      <alignment horizontal="right" vertical="top"/>
    </xf>
    <xf numFmtId="168" fontId="152" fillId="60" borderId="11" xfId="0" applyNumberFormat="1" applyFont="1" applyFill="1" applyBorder="1" applyAlignment="1">
      <alignment horizontal="right" vertical="top"/>
    </xf>
    <xf numFmtId="168" fontId="152" fillId="61" borderId="11" xfId="0" applyNumberFormat="1" applyFont="1" applyFill="1" applyBorder="1" applyAlignment="1">
      <alignment horizontal="right" vertical="top"/>
    </xf>
    <xf numFmtId="168" fontId="152" fillId="62" borderId="11" xfId="0" applyNumberFormat="1" applyFont="1" applyFill="1" applyBorder="1" applyAlignment="1">
      <alignment horizontal="right" vertical="top"/>
    </xf>
    <xf numFmtId="168" fontId="152" fillId="47" borderId="11" xfId="0" applyNumberFormat="1" applyFont="1" applyFill="1" applyBorder="1" applyAlignment="1">
      <alignment horizontal="right" vertical="top"/>
    </xf>
    <xf numFmtId="168" fontId="152" fillId="43" borderId="11" xfId="0" applyNumberFormat="1" applyFont="1" applyFill="1" applyBorder="1" applyAlignment="1">
      <alignment horizontal="right" vertical="top"/>
    </xf>
    <xf numFmtId="168" fontId="152" fillId="63" borderId="11" xfId="0" applyNumberFormat="1" applyFont="1" applyFill="1" applyBorder="1" applyAlignment="1">
      <alignment horizontal="right" vertical="top"/>
    </xf>
    <xf numFmtId="168" fontId="152" fillId="64" borderId="11" xfId="0" applyNumberFormat="1" applyFont="1" applyFill="1" applyBorder="1" applyAlignment="1">
      <alignment horizontal="right" vertical="top"/>
    </xf>
    <xf numFmtId="168" fontId="152" fillId="37" borderId="11" xfId="0" applyNumberFormat="1" applyFont="1" applyFill="1" applyBorder="1" applyAlignment="1">
      <alignment horizontal="right" vertical="top"/>
    </xf>
    <xf numFmtId="170" fontId="152" fillId="0" borderId="11" xfId="0" applyNumberFormat="1" applyFont="1" applyFill="1" applyBorder="1" applyAlignment="1">
      <alignment horizontal="right" vertical="top"/>
    </xf>
    <xf numFmtId="168" fontId="155" fillId="0" borderId="0" xfId="0" applyNumberFormat="1" applyFont="1"/>
    <xf numFmtId="0" fontId="155" fillId="0" borderId="0" xfId="0" applyFont="1"/>
    <xf numFmtId="4" fontId="48" fillId="67" borderId="32" xfId="0" applyNumberFormat="1" applyFont="1" applyFill="1" applyBorder="1" applyAlignment="1">
      <alignment horizontal="right" vertical="top"/>
    </xf>
    <xf numFmtId="0" fontId="48" fillId="67" borderId="32" xfId="0" applyFont="1" applyFill="1" applyBorder="1" applyAlignment="1">
      <alignment horizontal="right" vertical="top"/>
    </xf>
    <xf numFmtId="0" fontId="48" fillId="67" borderId="33" xfId="0" applyFont="1" applyFill="1" applyBorder="1" applyAlignment="1">
      <alignment horizontal="right" vertical="top"/>
    </xf>
    <xf numFmtId="4" fontId="48" fillId="67" borderId="33" xfId="0" applyNumberFormat="1" applyFont="1" applyFill="1" applyBorder="1" applyAlignment="1">
      <alignment horizontal="right" vertical="top"/>
    </xf>
    <xf numFmtId="168" fontId="48" fillId="51" borderId="11" xfId="0" applyNumberFormat="1" applyFont="1" applyFill="1" applyBorder="1" applyAlignment="1">
      <alignment vertical="top"/>
    </xf>
    <xf numFmtId="0" fontId="48" fillId="51" borderId="11" xfId="0" applyFont="1" applyFill="1" applyBorder="1" applyAlignment="1">
      <alignment vertical="top"/>
    </xf>
    <xf numFmtId="168" fontId="115" fillId="51" borderId="10" xfId="0" applyNumberFormat="1" applyFont="1" applyFill="1" applyBorder="1" applyAlignment="1">
      <alignment horizontal="right" vertical="top"/>
    </xf>
    <xf numFmtId="0" fontId="0" fillId="51" borderId="10" xfId="0" applyFill="1" applyBorder="1" applyAlignment="1">
      <alignment vertical="top"/>
    </xf>
    <xf numFmtId="168" fontId="0" fillId="51" borderId="10" xfId="0" applyNumberFormat="1" applyFill="1" applyBorder="1" applyAlignment="1">
      <alignment vertical="top"/>
    </xf>
    <xf numFmtId="170" fontId="48" fillId="51" borderId="11" xfId="0" applyNumberFormat="1" applyFont="1" applyFill="1" applyBorder="1" applyAlignment="1">
      <alignment vertical="top"/>
    </xf>
    <xf numFmtId="0" fontId="48" fillId="51" borderId="33" xfId="0" applyFont="1" applyFill="1" applyBorder="1" applyAlignment="1">
      <alignment horizontal="right" vertical="top"/>
    </xf>
    <xf numFmtId="0" fontId="48" fillId="67" borderId="33" xfId="0" applyFont="1" applyFill="1" applyBorder="1" applyAlignment="1">
      <alignment vertical="top"/>
    </xf>
    <xf numFmtId="4" fontId="205" fillId="67" borderId="33" xfId="0" applyNumberFormat="1" applyFont="1" applyFill="1" applyBorder="1" applyAlignment="1">
      <alignment horizontal="right" vertical="top"/>
    </xf>
    <xf numFmtId="0" fontId="205" fillId="67" borderId="33" xfId="0" applyFont="1" applyFill="1" applyBorder="1" applyAlignment="1">
      <alignment horizontal="right" vertical="top"/>
    </xf>
    <xf numFmtId="4" fontId="49" fillId="67" borderId="33" xfId="0" applyNumberFormat="1" applyFont="1" applyFill="1" applyBorder="1" applyAlignment="1">
      <alignment horizontal="right" vertical="top"/>
    </xf>
    <xf numFmtId="0" fontId="49" fillId="67" borderId="33" xfId="0" applyFont="1" applyFill="1" applyBorder="1" applyAlignment="1">
      <alignment horizontal="right" vertical="top"/>
    </xf>
    <xf numFmtId="168" fontId="0" fillId="37" borderId="18" xfId="0" applyNumberFormat="1" applyFill="1" applyBorder="1" applyAlignment="1">
      <alignment vertical="top"/>
    </xf>
    <xf numFmtId="168" fontId="0" fillId="0" borderId="11" xfId="0" applyNumberFormat="1" applyFill="1" applyBorder="1" applyAlignment="1">
      <alignment vertical="top"/>
    </xf>
    <xf numFmtId="168" fontId="216" fillId="37" borderId="10" xfId="0" applyNumberFormat="1" applyFont="1" applyFill="1" applyBorder="1" applyAlignment="1">
      <alignment vertical="top"/>
    </xf>
    <xf numFmtId="168" fontId="152" fillId="58" borderId="11" xfId="0" applyNumberFormat="1" applyFont="1" applyFill="1" applyBorder="1" applyAlignment="1">
      <alignment horizontal="right" vertical="top"/>
    </xf>
    <xf numFmtId="170" fontId="152" fillId="58" borderId="11" xfId="0" applyNumberFormat="1" applyFont="1" applyFill="1" applyBorder="1" applyAlignment="1">
      <alignment horizontal="right" vertical="top"/>
    </xf>
    <xf numFmtId="4" fontId="205" fillId="58" borderId="33" xfId="0" applyNumberFormat="1" applyFont="1" applyFill="1" applyBorder="1" applyAlignment="1">
      <alignment horizontal="right" vertical="top"/>
    </xf>
    <xf numFmtId="0" fontId="205" fillId="58" borderId="33" xfId="0" applyFont="1" applyFill="1" applyBorder="1" applyAlignment="1">
      <alignment horizontal="right" vertical="top"/>
    </xf>
    <xf numFmtId="168" fontId="155" fillId="58" borderId="0" xfId="0" applyNumberFormat="1" applyFont="1" applyFill="1"/>
    <xf numFmtId="0" fontId="155" fillId="58" borderId="0" xfId="0" applyFont="1" applyFill="1"/>
    <xf numFmtId="168" fontId="150" fillId="58" borderId="11" xfId="0" applyNumberFormat="1" applyFont="1" applyFill="1" applyBorder="1" applyAlignment="1">
      <alignment horizontal="right" vertical="top"/>
    </xf>
    <xf numFmtId="168" fontId="49" fillId="58" borderId="11" xfId="0" applyNumberFormat="1" applyFont="1" applyFill="1" applyBorder="1" applyAlignment="1">
      <alignment horizontal="right" vertical="top"/>
    </xf>
    <xf numFmtId="168" fontId="150" fillId="58" borderId="20" xfId="0" applyNumberFormat="1" applyFont="1" applyFill="1" applyBorder="1" applyAlignment="1">
      <alignment horizontal="right" vertical="top"/>
    </xf>
    <xf numFmtId="170" fontId="150" fillId="58" borderId="11" xfId="0" applyNumberFormat="1" applyFont="1" applyFill="1" applyBorder="1" applyAlignment="1">
      <alignment horizontal="right" vertical="top"/>
    </xf>
    <xf numFmtId="4" fontId="49" fillId="58" borderId="33" xfId="0" applyNumberFormat="1" applyFont="1" applyFill="1" applyBorder="1" applyAlignment="1">
      <alignment horizontal="right" vertical="top"/>
    </xf>
    <xf numFmtId="0" fontId="49" fillId="58" borderId="33" xfId="0" applyFont="1" applyFill="1" applyBorder="1" applyAlignment="1">
      <alignment horizontal="right" vertical="top"/>
    </xf>
    <xf numFmtId="168" fontId="0" fillId="58" borderId="0" xfId="0" applyNumberFormat="1" applyFill="1"/>
    <xf numFmtId="0" fontId="0" fillId="58" borderId="0" xfId="0" applyFill="1"/>
    <xf numFmtId="168" fontId="48" fillId="58" borderId="11" xfId="0" applyNumberFormat="1" applyFont="1" applyFill="1" applyBorder="1" applyAlignment="1">
      <alignment vertical="top"/>
    </xf>
    <xf numFmtId="0" fontId="48" fillId="58" borderId="11" xfId="0" applyFont="1" applyFill="1" applyBorder="1" applyAlignment="1">
      <alignment vertical="top"/>
    </xf>
    <xf numFmtId="168" fontId="115" fillId="58" borderId="10" xfId="0" applyNumberFormat="1" applyFont="1" applyFill="1" applyBorder="1" applyAlignment="1">
      <alignment horizontal="right" vertical="top"/>
    </xf>
    <xf numFmtId="0" fontId="0" fillId="58" borderId="10" xfId="0" applyFill="1" applyBorder="1" applyAlignment="1">
      <alignment vertical="top"/>
    </xf>
    <xf numFmtId="168" fontId="0" fillId="58" borderId="10" xfId="0" applyNumberFormat="1" applyFill="1" applyBorder="1" applyAlignment="1">
      <alignment vertical="top"/>
    </xf>
    <xf numFmtId="170" fontId="48" fillId="58" borderId="11" xfId="0" applyNumberFormat="1" applyFont="1" applyFill="1" applyBorder="1" applyAlignment="1">
      <alignment vertical="top"/>
    </xf>
    <xf numFmtId="0" fontId="48" fillId="58" borderId="33" xfId="0" applyFont="1" applyFill="1" applyBorder="1" applyAlignment="1">
      <alignment horizontal="right" vertical="top"/>
    </xf>
    <xf numFmtId="168" fontId="48" fillId="58" borderId="10" xfId="0" applyNumberFormat="1" applyFont="1" applyFill="1" applyBorder="1" applyAlignment="1">
      <alignment vertical="top"/>
    </xf>
    <xf numFmtId="168" fontId="115" fillId="58" borderId="10" xfId="0" applyNumberFormat="1" applyFont="1" applyFill="1" applyBorder="1" applyAlignment="1">
      <alignment vertical="top"/>
    </xf>
    <xf numFmtId="168" fontId="48" fillId="58" borderId="21" xfId="0" applyNumberFormat="1" applyFont="1" applyFill="1" applyBorder="1" applyAlignment="1">
      <alignment vertical="top"/>
    </xf>
    <xf numFmtId="0" fontId="48" fillId="58" borderId="33" xfId="0" applyFont="1" applyFill="1" applyBorder="1" applyAlignment="1">
      <alignment vertical="top"/>
    </xf>
    <xf numFmtId="168" fontId="48" fillId="58" borderId="11" xfId="0" applyNumberFormat="1" applyFont="1" applyFill="1" applyBorder="1" applyAlignment="1">
      <alignment horizontal="right" vertical="top"/>
    </xf>
    <xf numFmtId="0" fontId="203" fillId="58" borderId="33" xfId="0" applyFont="1" applyFill="1" applyBorder="1" applyAlignment="1">
      <alignment horizontal="right" vertical="top"/>
    </xf>
    <xf numFmtId="168" fontId="48" fillId="60" borderId="10" xfId="0" applyNumberFormat="1" applyFont="1" applyFill="1" applyBorder="1" applyAlignment="1">
      <alignment horizontal="right" vertical="top"/>
    </xf>
    <xf numFmtId="168" fontId="48" fillId="37" borderId="10" xfId="0" applyNumberFormat="1" applyFont="1" applyFill="1" applyBorder="1" applyAlignment="1">
      <alignment horizontal="right" vertical="top"/>
    </xf>
    <xf numFmtId="168" fontId="48" fillId="62" borderId="10" xfId="0" applyNumberFormat="1" applyFont="1" applyFill="1" applyBorder="1" applyAlignment="1">
      <alignment horizontal="right" vertical="top"/>
    </xf>
    <xf numFmtId="168" fontId="48" fillId="43" borderId="10" xfId="0" applyNumberFormat="1" applyFont="1" applyFill="1" applyBorder="1" applyAlignment="1">
      <alignment horizontal="right" vertical="top"/>
    </xf>
    <xf numFmtId="170" fontId="48" fillId="37" borderId="10" xfId="0" applyNumberFormat="1" applyFont="1" applyFill="1" applyBorder="1" applyAlignment="1">
      <alignment horizontal="right" vertical="top"/>
    </xf>
    <xf numFmtId="4" fontId="49" fillId="37" borderId="32" xfId="0" applyNumberFormat="1" applyFont="1" applyFill="1" applyBorder="1" applyAlignment="1">
      <alignment horizontal="right" vertical="top"/>
    </xf>
    <xf numFmtId="4" fontId="49" fillId="37" borderId="0" xfId="0" applyNumberFormat="1" applyFont="1" applyFill="1" applyBorder="1" applyAlignment="1">
      <alignment horizontal="right" vertical="top"/>
    </xf>
    <xf numFmtId="4" fontId="49" fillId="43" borderId="0" xfId="0" applyNumberFormat="1" applyFont="1" applyFill="1" applyBorder="1" applyAlignment="1">
      <alignment horizontal="right" vertical="top"/>
    </xf>
    <xf numFmtId="49" fontId="152" fillId="0" borderId="10" xfId="81" applyNumberFormat="1" applyFont="1" applyFill="1" applyBorder="1" applyAlignment="1">
      <alignment horizontal="center" vertical="top" wrapText="1"/>
    </xf>
    <xf numFmtId="4" fontId="205" fillId="67" borderId="33" xfId="0" applyNumberFormat="1" applyFont="1" applyFill="1" applyBorder="1" applyAlignment="1">
      <alignment horizontal="right" vertical="top" wrapText="1"/>
    </xf>
    <xf numFmtId="0" fontId="205" fillId="67" borderId="33" xfId="0" applyFont="1" applyFill="1" applyBorder="1" applyAlignment="1">
      <alignment horizontal="right" vertical="top" wrapText="1"/>
    </xf>
    <xf numFmtId="168" fontId="48" fillId="68" borderId="11" xfId="0" applyNumberFormat="1" applyFont="1" applyFill="1" applyBorder="1" applyAlignment="1">
      <alignment vertical="top"/>
    </xf>
    <xf numFmtId="0" fontId="48" fillId="68" borderId="11" xfId="0" applyFont="1" applyFill="1" applyBorder="1" applyAlignment="1">
      <alignment vertical="top"/>
    </xf>
    <xf numFmtId="168" fontId="115" fillId="68" borderId="10" xfId="0" applyNumberFormat="1" applyFont="1" applyFill="1" applyBorder="1" applyAlignment="1">
      <alignment horizontal="right" vertical="top"/>
    </xf>
    <xf numFmtId="0" fontId="0" fillId="68" borderId="10" xfId="0" applyFill="1" applyBorder="1" applyAlignment="1">
      <alignment vertical="top"/>
    </xf>
    <xf numFmtId="168" fontId="0" fillId="68" borderId="10" xfId="0" applyNumberFormat="1" applyFill="1" applyBorder="1" applyAlignment="1">
      <alignment vertical="top"/>
    </xf>
    <xf numFmtId="170" fontId="48" fillId="68" borderId="11" xfId="0" applyNumberFormat="1" applyFont="1" applyFill="1" applyBorder="1" applyAlignment="1">
      <alignment vertical="top"/>
    </xf>
    <xf numFmtId="0" fontId="48" fillId="69" borderId="33" xfId="0" applyFont="1" applyFill="1" applyBorder="1" applyAlignment="1">
      <alignment horizontal="right" vertical="top"/>
    </xf>
    <xf numFmtId="168" fontId="0" fillId="68" borderId="0" xfId="0" applyNumberFormat="1" applyFill="1"/>
    <xf numFmtId="0" fontId="0" fillId="68" borderId="0" xfId="0" applyFill="1"/>
    <xf numFmtId="168" fontId="48" fillId="51" borderId="10" xfId="0" applyNumberFormat="1" applyFont="1" applyFill="1" applyBorder="1" applyAlignment="1">
      <alignment horizontal="right" vertical="top"/>
    </xf>
    <xf numFmtId="168" fontId="48" fillId="38" borderId="11" xfId="0" applyNumberFormat="1" applyFont="1" applyFill="1" applyBorder="1" applyAlignment="1">
      <alignment vertical="top"/>
    </xf>
    <xf numFmtId="0" fontId="48" fillId="38" borderId="11" xfId="0" applyFont="1" applyFill="1" applyBorder="1" applyAlignment="1">
      <alignment vertical="top"/>
    </xf>
    <xf numFmtId="168" fontId="48" fillId="38" borderId="10" xfId="0" applyNumberFormat="1" applyFont="1" applyFill="1" applyBorder="1" applyAlignment="1">
      <alignment horizontal="right" vertical="top"/>
    </xf>
    <xf numFmtId="0" fontId="0" fillId="38" borderId="10" xfId="0" applyFill="1" applyBorder="1" applyAlignment="1">
      <alignment vertical="top"/>
    </xf>
    <xf numFmtId="168" fontId="0" fillId="38" borderId="10" xfId="0" applyNumberFormat="1" applyFill="1" applyBorder="1" applyAlignment="1">
      <alignment vertical="top"/>
    </xf>
    <xf numFmtId="170" fontId="48" fillId="38" borderId="11" xfId="0" applyNumberFormat="1" applyFont="1" applyFill="1" applyBorder="1" applyAlignment="1">
      <alignment vertical="top"/>
    </xf>
    <xf numFmtId="0" fontId="48" fillId="38" borderId="33" xfId="0" applyFont="1" applyFill="1" applyBorder="1" applyAlignment="1">
      <alignment horizontal="right" vertical="top"/>
    </xf>
    <xf numFmtId="168" fontId="0" fillId="38" borderId="0" xfId="0" applyNumberFormat="1" applyFill="1"/>
    <xf numFmtId="0" fontId="0" fillId="38" borderId="0" xfId="0" applyFill="1"/>
    <xf numFmtId="168" fontId="115" fillId="43" borderId="10" xfId="0" applyNumberFormat="1" applyFont="1" applyFill="1" applyBorder="1" applyAlignment="1">
      <alignment horizontal="right" vertical="top"/>
    </xf>
    <xf numFmtId="168" fontId="115" fillId="37" borderId="10" xfId="0" applyNumberFormat="1" applyFont="1" applyFill="1" applyBorder="1" applyAlignment="1">
      <alignment horizontal="right" vertical="top"/>
    </xf>
    <xf numFmtId="0" fontId="0" fillId="51" borderId="10" xfId="0" applyFont="1" applyFill="1" applyBorder="1" applyAlignment="1">
      <alignment vertical="top"/>
    </xf>
    <xf numFmtId="168" fontId="0" fillId="43" borderId="10" xfId="0" applyNumberFormat="1" applyFont="1" applyFill="1" applyBorder="1" applyAlignment="1">
      <alignment vertical="top"/>
    </xf>
    <xf numFmtId="168" fontId="0" fillId="51" borderId="10" xfId="0" applyNumberFormat="1" applyFont="1" applyFill="1" applyBorder="1" applyAlignment="1">
      <alignment vertical="top"/>
    </xf>
    <xf numFmtId="168" fontId="0" fillId="51" borderId="0" xfId="0" applyNumberFormat="1" applyFont="1" applyFill="1"/>
    <xf numFmtId="0" fontId="0" fillId="51" borderId="0" xfId="0" applyFont="1" applyFill="1"/>
    <xf numFmtId="0" fontId="48" fillId="37" borderId="10" xfId="0" applyFont="1" applyFill="1" applyBorder="1" applyAlignment="1">
      <alignment horizontal="left" vertical="top"/>
    </xf>
    <xf numFmtId="49" fontId="48" fillId="37" borderId="10" xfId="0" applyNumberFormat="1" applyFont="1" applyFill="1" applyBorder="1" applyAlignment="1">
      <alignment horizontal="center" vertical="top" wrapText="1"/>
    </xf>
    <xf numFmtId="0" fontId="144" fillId="37" borderId="10" xfId="0" applyFont="1" applyFill="1" applyBorder="1" applyAlignment="1">
      <alignment horizontal="center" vertical="top" wrapText="1"/>
    </xf>
    <xf numFmtId="49" fontId="48" fillId="37" borderId="11" xfId="0" applyNumberFormat="1" applyFont="1" applyFill="1" applyBorder="1" applyAlignment="1">
      <alignment horizontal="center" vertical="top"/>
    </xf>
    <xf numFmtId="168" fontId="115" fillId="37" borderId="10" xfId="0" applyNumberFormat="1" applyFont="1" applyFill="1" applyBorder="1" applyAlignment="1">
      <alignment vertical="top"/>
    </xf>
    <xf numFmtId="0" fontId="48" fillId="37" borderId="33" xfId="0" applyFont="1" applyFill="1" applyBorder="1" applyAlignment="1">
      <alignment vertical="top"/>
    </xf>
    <xf numFmtId="0" fontId="48" fillId="37" borderId="33" xfId="0" applyFont="1" applyFill="1" applyBorder="1" applyAlignment="1">
      <alignment horizontal="right" vertical="top"/>
    </xf>
    <xf numFmtId="49" fontId="217" fillId="0" borderId="10" xfId="0" applyNumberFormat="1" applyFont="1" applyFill="1" applyBorder="1" applyAlignment="1">
      <alignment horizontal="left" vertical="top" wrapText="1"/>
    </xf>
    <xf numFmtId="170" fontId="152" fillId="37" borderId="11" xfId="0" applyNumberFormat="1" applyFont="1" applyFill="1" applyBorder="1" applyAlignment="1">
      <alignment horizontal="right" vertical="top" wrapText="1"/>
    </xf>
    <xf numFmtId="0" fontId="205" fillId="37" borderId="33" xfId="0" applyFont="1" applyFill="1" applyBorder="1" applyAlignment="1">
      <alignment horizontal="right" vertical="top" wrapText="1"/>
    </xf>
    <xf numFmtId="4" fontId="205" fillId="37" borderId="33" xfId="0" applyNumberFormat="1" applyFont="1" applyFill="1" applyBorder="1" applyAlignment="1">
      <alignment horizontal="right" vertical="top" wrapText="1"/>
    </xf>
    <xf numFmtId="0" fontId="203" fillId="37" borderId="33" xfId="0" applyFont="1" applyFill="1" applyBorder="1" applyAlignment="1">
      <alignment horizontal="right" vertical="top"/>
    </xf>
    <xf numFmtId="4" fontId="203" fillId="37" borderId="33" xfId="0" applyNumberFormat="1" applyFont="1" applyFill="1" applyBorder="1" applyAlignment="1">
      <alignment horizontal="right" vertical="top"/>
    </xf>
    <xf numFmtId="170" fontId="150" fillId="63" borderId="11" xfId="0" applyNumberFormat="1" applyFont="1" applyFill="1" applyBorder="1" applyAlignment="1">
      <alignment horizontal="right" vertical="top"/>
    </xf>
    <xf numFmtId="168" fontId="45" fillId="60" borderId="11" xfId="0" applyNumberFormat="1" applyFont="1" applyFill="1" applyBorder="1" applyAlignment="1">
      <alignment horizontal="right" vertical="top"/>
    </xf>
    <xf numFmtId="168" fontId="45" fillId="61" borderId="11" xfId="0" applyNumberFormat="1" applyFont="1" applyFill="1" applyBorder="1" applyAlignment="1">
      <alignment horizontal="right" vertical="top"/>
    </xf>
    <xf numFmtId="168" fontId="45" fillId="62" borderId="11" xfId="0" applyNumberFormat="1" applyFont="1" applyFill="1" applyBorder="1" applyAlignment="1">
      <alignment horizontal="right" vertical="top"/>
    </xf>
    <xf numFmtId="170" fontId="45" fillId="0" borderId="11" xfId="0" applyNumberFormat="1" applyFont="1" applyFill="1" applyBorder="1" applyAlignment="1">
      <alignment horizontal="right" vertical="top"/>
    </xf>
    <xf numFmtId="168" fontId="45" fillId="47" borderId="11" xfId="0" applyNumberFormat="1" applyFont="1" applyFill="1" applyBorder="1" applyAlignment="1">
      <alignment horizontal="right" vertical="top"/>
    </xf>
    <xf numFmtId="168" fontId="45" fillId="43" borderId="11" xfId="0" applyNumberFormat="1" applyFont="1" applyFill="1" applyBorder="1" applyAlignment="1">
      <alignment horizontal="right" vertical="top"/>
    </xf>
    <xf numFmtId="0" fontId="48" fillId="0" borderId="11" xfId="0" applyFont="1" applyFill="1" applyBorder="1" applyAlignment="1">
      <alignment vertical="top"/>
    </xf>
    <xf numFmtId="168" fontId="115" fillId="0" borderId="10" xfId="0" applyNumberFormat="1" applyFont="1" applyFill="1" applyBorder="1" applyAlignment="1">
      <alignment vertical="top"/>
    </xf>
    <xf numFmtId="0" fontId="48" fillId="0" borderId="33" xfId="0" applyFont="1" applyBorder="1" applyAlignment="1">
      <alignment horizontal="right" vertical="top"/>
    </xf>
    <xf numFmtId="168" fontId="0" fillId="0" borderId="0" xfId="0" applyNumberFormat="1" applyFill="1"/>
    <xf numFmtId="168" fontId="115" fillId="0" borderId="10" xfId="0" applyNumberFormat="1" applyFont="1" applyFill="1" applyBorder="1" applyAlignment="1">
      <alignment horizontal="right" vertical="top"/>
    </xf>
    <xf numFmtId="0" fontId="203" fillId="67" borderId="33" xfId="0" applyFont="1" applyFill="1" applyBorder="1" applyAlignment="1">
      <alignment horizontal="right" vertical="top"/>
    </xf>
    <xf numFmtId="168" fontId="156" fillId="0" borderId="0" xfId="0" applyNumberFormat="1" applyFont="1"/>
    <xf numFmtId="0" fontId="156" fillId="0" borderId="0" xfId="0" applyFont="1"/>
    <xf numFmtId="168" fontId="49" fillId="0" borderId="21" xfId="0" applyNumberFormat="1" applyFont="1" applyFill="1" applyBorder="1" applyAlignment="1">
      <alignment horizontal="right" vertical="top"/>
    </xf>
    <xf numFmtId="0" fontId="133" fillId="0" borderId="10" xfId="0" applyFont="1" applyFill="1" applyBorder="1" applyAlignment="1">
      <alignment vertical="top" wrapText="1"/>
    </xf>
    <xf numFmtId="168" fontId="133" fillId="51" borderId="10" xfId="0" applyNumberFormat="1" applyFont="1" applyFill="1" applyBorder="1" applyAlignment="1">
      <alignment horizontal="right" vertical="top" wrapText="1"/>
    </xf>
    <xf numFmtId="170" fontId="133" fillId="51" borderId="10" xfId="0" applyNumberFormat="1" applyFont="1" applyFill="1" applyBorder="1" applyAlignment="1">
      <alignment horizontal="right" vertical="top" wrapText="1"/>
    </xf>
    <xf numFmtId="49" fontId="45" fillId="0" borderId="11" xfId="0" applyNumberFormat="1" applyFont="1" applyFill="1" applyBorder="1" applyAlignment="1">
      <alignment horizontal="center" vertical="top" wrapText="1"/>
    </xf>
    <xf numFmtId="168" fontId="45" fillId="0" borderId="10" xfId="0" applyNumberFormat="1" applyFont="1" applyFill="1" applyBorder="1" applyAlignment="1">
      <alignment horizontal="right" vertical="top" wrapText="1"/>
    </xf>
    <xf numFmtId="168" fontId="45" fillId="60" borderId="10" xfId="0" applyNumberFormat="1" applyFont="1" applyFill="1" applyBorder="1" applyAlignment="1">
      <alignment horizontal="right" vertical="top" wrapText="1"/>
    </xf>
    <xf numFmtId="168" fontId="45" fillId="61" borderId="10" xfId="0" applyNumberFormat="1" applyFont="1" applyFill="1" applyBorder="1" applyAlignment="1">
      <alignment horizontal="right" vertical="top" wrapText="1"/>
    </xf>
    <xf numFmtId="168" fontId="45" fillId="62" borderId="10" xfId="0" applyNumberFormat="1" applyFont="1" applyFill="1" applyBorder="1" applyAlignment="1">
      <alignment horizontal="right" vertical="top" wrapText="1"/>
    </xf>
    <xf numFmtId="168" fontId="45" fillId="51" borderId="10" xfId="0" applyNumberFormat="1" applyFont="1" applyFill="1" applyBorder="1" applyAlignment="1">
      <alignment horizontal="right" vertical="top" wrapText="1"/>
    </xf>
    <xf numFmtId="168" fontId="45" fillId="43" borderId="10" xfId="0" applyNumberFormat="1" applyFont="1" applyFill="1" applyBorder="1" applyAlignment="1">
      <alignment horizontal="right" vertical="top" wrapText="1"/>
    </xf>
    <xf numFmtId="168" fontId="45" fillId="37" borderId="10" xfId="0" applyNumberFormat="1" applyFont="1" applyFill="1" applyBorder="1" applyAlignment="1">
      <alignment horizontal="right" vertical="top" wrapText="1"/>
    </xf>
    <xf numFmtId="170" fontId="45" fillId="51" borderId="10" xfId="0" applyNumberFormat="1" applyFont="1" applyFill="1" applyBorder="1" applyAlignment="1">
      <alignment horizontal="right" vertical="top" wrapText="1"/>
    </xf>
    <xf numFmtId="0" fontId="45" fillId="0" borderId="18" xfId="0" applyFont="1" applyFill="1" applyBorder="1" applyAlignment="1">
      <alignment horizontal="left" vertical="top" wrapText="1"/>
    </xf>
    <xf numFmtId="168" fontId="45" fillId="51" borderId="18" xfId="0" applyNumberFormat="1" applyFont="1" applyFill="1" applyBorder="1" applyAlignment="1">
      <alignment horizontal="right" vertical="top" wrapText="1"/>
    </xf>
    <xf numFmtId="168" fontId="45" fillId="37" borderId="18" xfId="0" applyNumberFormat="1" applyFont="1" applyFill="1" applyBorder="1" applyAlignment="1">
      <alignment horizontal="right" vertical="top" wrapText="1"/>
    </xf>
    <xf numFmtId="0" fontId="176" fillId="0" borderId="10" xfId="0" applyFont="1" applyFill="1" applyBorder="1" applyAlignment="1">
      <alignment vertical="top" wrapText="1"/>
    </xf>
    <xf numFmtId="165" fontId="48" fillId="43" borderId="11" xfId="0" applyNumberFormat="1" applyFont="1" applyFill="1" applyBorder="1" applyAlignment="1">
      <alignment vertical="top"/>
    </xf>
    <xf numFmtId="165" fontId="115" fillId="51" borderId="10" xfId="0" applyNumberFormat="1" applyFont="1" applyFill="1" applyBorder="1" applyAlignment="1">
      <alignment horizontal="right" vertical="top"/>
    </xf>
    <xf numFmtId="168" fontId="12" fillId="51" borderId="10" xfId="0" applyNumberFormat="1" applyFont="1" applyFill="1" applyBorder="1" applyAlignment="1">
      <alignment horizontal="right" vertical="top"/>
    </xf>
    <xf numFmtId="168" fontId="12" fillId="37" borderId="10" xfId="0" applyNumberFormat="1" applyFont="1" applyFill="1" applyBorder="1" applyAlignment="1">
      <alignment horizontal="right" vertical="top"/>
    </xf>
    <xf numFmtId="168" fontId="0" fillId="51" borderId="11" xfId="0" applyNumberFormat="1" applyFill="1" applyBorder="1" applyAlignment="1">
      <alignment vertical="top"/>
    </xf>
    <xf numFmtId="0" fontId="115" fillId="51" borderId="10" xfId="0" applyFont="1" applyFill="1" applyBorder="1" applyAlignment="1">
      <alignment horizontal="right" vertical="top"/>
    </xf>
    <xf numFmtId="168" fontId="12" fillId="37" borderId="10" xfId="0" applyNumberFormat="1" applyFont="1" applyFill="1" applyBorder="1" applyAlignment="1">
      <alignment horizontal="right"/>
    </xf>
    <xf numFmtId="0" fontId="48" fillId="43" borderId="10" xfId="0" applyFont="1" applyFill="1" applyBorder="1" applyAlignment="1">
      <alignment horizontal="right" vertical="top"/>
    </xf>
    <xf numFmtId="4" fontId="12" fillId="37" borderId="10" xfId="0" applyNumberFormat="1" applyFont="1" applyFill="1" applyBorder="1" applyAlignment="1">
      <alignment horizontal="right"/>
    </xf>
    <xf numFmtId="168" fontId="12" fillId="0" borderId="10" xfId="0" applyNumberFormat="1" applyFont="1" applyFill="1" applyBorder="1" applyAlignment="1">
      <alignment horizontal="right" vertical="top"/>
    </xf>
    <xf numFmtId="0" fontId="115" fillId="0" borderId="10" xfId="0" applyFont="1" applyFill="1" applyBorder="1" applyAlignment="1">
      <alignment horizontal="right" vertical="top"/>
    </xf>
    <xf numFmtId="168" fontId="133" fillId="47" borderId="10" xfId="0" applyNumberFormat="1" applyFont="1" applyFill="1" applyBorder="1" applyAlignment="1">
      <alignment horizontal="right" vertical="top" wrapText="1"/>
    </xf>
    <xf numFmtId="168" fontId="133" fillId="0" borderId="13" xfId="0" applyNumberFormat="1" applyFont="1" applyFill="1" applyBorder="1" applyAlignment="1">
      <alignment horizontal="right" vertical="top" wrapText="1"/>
    </xf>
    <xf numFmtId="168" fontId="133" fillId="37" borderId="13" xfId="0" applyNumberFormat="1" applyFont="1" applyFill="1" applyBorder="1" applyAlignment="1">
      <alignment horizontal="right" vertical="top" wrapText="1"/>
    </xf>
    <xf numFmtId="170" fontId="133" fillId="0" borderId="10" xfId="0" applyNumberFormat="1" applyFont="1" applyFill="1" applyBorder="1" applyAlignment="1">
      <alignment horizontal="right" vertical="top" wrapText="1"/>
    </xf>
    <xf numFmtId="168" fontId="133" fillId="0" borderId="10" xfId="0" applyNumberFormat="1" applyFont="1" applyFill="1" applyBorder="1" applyAlignment="1">
      <alignment horizontal="right" vertical="center" wrapText="1"/>
    </xf>
    <xf numFmtId="168" fontId="133" fillId="0" borderId="0" xfId="0" applyNumberFormat="1" applyFont="1" applyFill="1" applyBorder="1" applyAlignment="1">
      <alignment horizontal="right" vertical="center" wrapText="1"/>
    </xf>
    <xf numFmtId="0" fontId="0" fillId="70" borderId="0" xfId="0" applyFill="1"/>
    <xf numFmtId="168" fontId="0" fillId="70" borderId="0" xfId="0" applyNumberFormat="1" applyFill="1"/>
    <xf numFmtId="0" fontId="45" fillId="37" borderId="10" xfId="81" applyFont="1" applyFill="1" applyBorder="1" applyAlignment="1">
      <alignment vertical="top" wrapText="1"/>
    </xf>
    <xf numFmtId="49" fontId="133" fillId="37" borderId="10" xfId="0" applyNumberFormat="1" applyFont="1" applyFill="1" applyBorder="1" applyAlignment="1">
      <alignment horizontal="center" vertical="top" wrapText="1"/>
    </xf>
    <xf numFmtId="49" fontId="45" fillId="37" borderId="10" xfId="0" applyNumberFormat="1" applyFont="1" applyFill="1" applyBorder="1" applyAlignment="1">
      <alignment horizontal="center" vertical="top" wrapText="1"/>
    </xf>
    <xf numFmtId="49" fontId="45" fillId="37" borderId="11" xfId="0" applyNumberFormat="1" applyFont="1" applyFill="1" applyBorder="1" applyAlignment="1">
      <alignment horizontal="center" vertical="top" wrapText="1"/>
    </xf>
    <xf numFmtId="168" fontId="36" fillId="37" borderId="10" xfId="0" applyNumberFormat="1" applyFont="1" applyFill="1" applyBorder="1" applyAlignment="1">
      <alignment vertical="top"/>
    </xf>
    <xf numFmtId="168" fontId="36" fillId="60" borderId="11" xfId="0" applyNumberFormat="1" applyFont="1" applyFill="1" applyBorder="1" applyAlignment="1">
      <alignment vertical="top"/>
    </xf>
    <xf numFmtId="168" fontId="36" fillId="37" borderId="11" xfId="0" applyNumberFormat="1" applyFont="1" applyFill="1" applyBorder="1" applyAlignment="1">
      <alignment vertical="top"/>
    </xf>
    <xf numFmtId="0" fontId="49" fillId="37" borderId="11" xfId="0" applyFont="1" applyFill="1" applyBorder="1" applyAlignment="1">
      <alignment vertical="top"/>
    </xf>
    <xf numFmtId="168" fontId="49" fillId="37" borderId="11" xfId="0" applyNumberFormat="1" applyFont="1" applyFill="1" applyBorder="1" applyAlignment="1">
      <alignment vertical="top"/>
    </xf>
    <xf numFmtId="168" fontId="48" fillId="37" borderId="0" xfId="0" applyNumberFormat="1" applyFont="1" applyFill="1" applyBorder="1" applyAlignment="1">
      <alignment vertical="top"/>
    </xf>
    <xf numFmtId="0" fontId="0" fillId="37" borderId="10" xfId="0" applyFont="1" applyFill="1" applyBorder="1" applyAlignment="1">
      <alignment vertical="top"/>
    </xf>
    <xf numFmtId="170" fontId="36" fillId="37" borderId="11" xfId="0" applyNumberFormat="1" applyFont="1" applyFill="1" applyBorder="1" applyAlignment="1">
      <alignment vertical="top"/>
    </xf>
    <xf numFmtId="0" fontId="0" fillId="37" borderId="0" xfId="0" applyFont="1" applyFill="1" applyAlignment="1">
      <alignment vertical="top"/>
    </xf>
    <xf numFmtId="168" fontId="133" fillId="71" borderId="10" xfId="0" applyNumberFormat="1" applyFont="1" applyFill="1" applyBorder="1" applyAlignment="1">
      <alignment horizontal="right" vertical="top"/>
    </xf>
    <xf numFmtId="170" fontId="133" fillId="71" borderId="10" xfId="0" applyNumberFormat="1" applyFont="1" applyFill="1" applyBorder="1" applyAlignment="1">
      <alignment horizontal="right" vertical="top"/>
    </xf>
    <xf numFmtId="168" fontId="0" fillId="71" borderId="0" xfId="0" applyNumberFormat="1" applyFont="1" applyFill="1"/>
    <xf numFmtId="0" fontId="0" fillId="71" borderId="0" xfId="0" applyFont="1" applyFill="1"/>
    <xf numFmtId="0" fontId="45" fillId="0" borderId="10" xfId="0" applyNumberFormat="1" applyFont="1" applyFill="1" applyBorder="1" applyAlignment="1">
      <alignment horizontal="center" vertical="top"/>
    </xf>
    <xf numFmtId="170" fontId="45" fillId="0" borderId="10" xfId="0" applyNumberFormat="1" applyFont="1" applyFill="1" applyBorder="1" applyAlignment="1">
      <alignment horizontal="right" vertical="top"/>
    </xf>
    <xf numFmtId="168" fontId="45" fillId="71" borderId="10" xfId="0" applyNumberFormat="1" applyFont="1" applyFill="1" applyBorder="1" applyAlignment="1">
      <alignment horizontal="right" vertical="top"/>
    </xf>
    <xf numFmtId="170" fontId="45" fillId="71" borderId="10" xfId="0" applyNumberFormat="1" applyFont="1" applyFill="1" applyBorder="1" applyAlignment="1">
      <alignment horizontal="right" vertical="top"/>
    </xf>
    <xf numFmtId="168" fontId="0" fillId="71" borderId="0" xfId="0" applyNumberFormat="1" applyFill="1"/>
    <xf numFmtId="0" fontId="0" fillId="71" borderId="0" xfId="0" applyFill="1"/>
    <xf numFmtId="3" fontId="48" fillId="0" borderId="10" xfId="0" applyNumberFormat="1" applyFont="1" applyFill="1" applyBorder="1" applyAlignment="1">
      <alignment horizontal="center" vertical="top"/>
    </xf>
    <xf numFmtId="168" fontId="48" fillId="71" borderId="11" xfId="0" applyNumberFormat="1" applyFont="1" applyFill="1" applyBorder="1" applyAlignment="1">
      <alignment vertical="top"/>
    </xf>
    <xf numFmtId="0" fontId="0" fillId="71" borderId="10" xfId="0" applyFill="1" applyBorder="1" applyAlignment="1">
      <alignment vertical="top"/>
    </xf>
    <xf numFmtId="168" fontId="0" fillId="71" borderId="10" xfId="0" applyNumberFormat="1" applyFill="1" applyBorder="1" applyAlignment="1">
      <alignment vertical="top"/>
    </xf>
    <xf numFmtId="170" fontId="48" fillId="71" borderId="11" xfId="0" applyNumberFormat="1" applyFont="1" applyFill="1" applyBorder="1" applyAlignment="1">
      <alignment vertical="top"/>
    </xf>
    <xf numFmtId="0" fontId="0" fillId="37" borderId="0" xfId="0" applyFill="1" applyAlignment="1">
      <alignment vertical="top"/>
    </xf>
    <xf numFmtId="168" fontId="45" fillId="58" borderId="10" xfId="0" applyNumberFormat="1" applyFont="1" applyFill="1" applyBorder="1" applyAlignment="1">
      <alignment horizontal="right" vertical="top"/>
    </xf>
    <xf numFmtId="170" fontId="45" fillId="58" borderId="10" xfId="0" applyNumberFormat="1" applyFont="1" applyFill="1" applyBorder="1" applyAlignment="1">
      <alignment horizontal="right" vertical="top"/>
    </xf>
    <xf numFmtId="0" fontId="145" fillId="61" borderId="10" xfId="0" applyFont="1" applyFill="1" applyBorder="1" applyAlignment="1">
      <alignment horizontal="left" vertical="top" wrapText="1"/>
    </xf>
    <xf numFmtId="49" fontId="45" fillId="61" borderId="10" xfId="0" applyNumberFormat="1" applyFont="1" applyFill="1" applyBorder="1" applyAlignment="1">
      <alignment horizontal="center" vertical="top"/>
    </xf>
    <xf numFmtId="0" fontId="48" fillId="61" borderId="11" xfId="0" applyFont="1" applyFill="1" applyBorder="1" applyAlignment="1">
      <alignment vertical="top"/>
    </xf>
    <xf numFmtId="170" fontId="49" fillId="61" borderId="11" xfId="0" applyNumberFormat="1" applyFont="1" applyFill="1" applyBorder="1" applyAlignment="1">
      <alignment horizontal="right" vertical="top"/>
    </xf>
    <xf numFmtId="168" fontId="0" fillId="61" borderId="0" xfId="0" applyNumberFormat="1" applyFill="1"/>
    <xf numFmtId="0" fontId="0" fillId="61" borderId="0" xfId="0" applyFill="1"/>
    <xf numFmtId="49" fontId="45" fillId="61" borderId="18" xfId="0" applyNumberFormat="1" applyFont="1" applyFill="1" applyBorder="1" applyAlignment="1">
      <alignment horizontal="center" vertical="top"/>
    </xf>
    <xf numFmtId="0" fontId="145" fillId="0" borderId="10" xfId="0" applyFont="1" applyFill="1" applyBorder="1" applyAlignment="1">
      <alignment horizontal="left" vertical="top" wrapText="1"/>
    </xf>
    <xf numFmtId="49" fontId="32" fillId="0" borderId="10" xfId="0" applyNumberFormat="1" applyFont="1" applyFill="1" applyBorder="1" applyAlignment="1">
      <alignment horizontal="center" vertical="top" wrapText="1"/>
    </xf>
    <xf numFmtId="49" fontId="145" fillId="0" borderId="10" xfId="0" applyNumberFormat="1" applyFont="1" applyFill="1" applyBorder="1" applyAlignment="1">
      <alignment horizontal="center" vertical="top" wrapText="1"/>
    </xf>
    <xf numFmtId="168" fontId="45" fillId="0" borderId="12" xfId="0" applyNumberFormat="1" applyFont="1" applyFill="1" applyBorder="1" applyAlignment="1">
      <alignment horizontal="right" vertical="top"/>
    </xf>
    <xf numFmtId="0" fontId="48" fillId="37" borderId="10" xfId="0" applyFont="1" applyFill="1" applyBorder="1" applyAlignment="1">
      <alignment vertical="top"/>
    </xf>
    <xf numFmtId="168" fontId="48" fillId="37" borderId="10" xfId="0" applyNumberFormat="1" applyFont="1" applyFill="1" applyBorder="1" applyAlignment="1">
      <alignment vertical="top"/>
    </xf>
    <xf numFmtId="168" fontId="45" fillId="37" borderId="12" xfId="0" applyNumberFormat="1" applyFont="1" applyFill="1" applyBorder="1" applyAlignment="1">
      <alignment horizontal="right" vertical="top"/>
    </xf>
    <xf numFmtId="168" fontId="45" fillId="0" borderId="22" xfId="0" applyNumberFormat="1" applyFont="1" applyFill="1" applyBorder="1" applyAlignment="1">
      <alignment horizontal="right" vertical="top"/>
    </xf>
    <xf numFmtId="168" fontId="49" fillId="0" borderId="18" xfId="0" applyNumberFormat="1" applyFont="1" applyFill="1" applyBorder="1" applyAlignment="1">
      <alignment horizontal="right" vertical="top"/>
    </xf>
    <xf numFmtId="0" fontId="48" fillId="37" borderId="18" xfId="0" applyFont="1" applyFill="1" applyBorder="1" applyAlignment="1">
      <alignment vertical="top"/>
    </xf>
    <xf numFmtId="168" fontId="48" fillId="37" borderId="18" xfId="0" applyNumberFormat="1" applyFont="1" applyFill="1" applyBorder="1" applyAlignment="1">
      <alignment vertical="top"/>
    </xf>
    <xf numFmtId="168" fontId="49" fillId="37" borderId="18" xfId="0" applyNumberFormat="1" applyFont="1" applyFill="1" applyBorder="1" applyAlignment="1">
      <alignment horizontal="right" vertical="top"/>
    </xf>
    <xf numFmtId="168" fontId="49" fillId="43" borderId="18" xfId="0" applyNumberFormat="1" applyFont="1" applyFill="1" applyBorder="1" applyAlignment="1">
      <alignment horizontal="right" vertical="top"/>
    </xf>
    <xf numFmtId="168" fontId="45" fillId="37" borderId="22" xfId="0" applyNumberFormat="1" applyFont="1" applyFill="1" applyBorder="1" applyAlignment="1">
      <alignment horizontal="right" vertical="top"/>
    </xf>
    <xf numFmtId="170" fontId="49" fillId="37" borderId="20" xfId="0" applyNumberFormat="1" applyFont="1" applyFill="1" applyBorder="1" applyAlignment="1">
      <alignment horizontal="right" vertical="top"/>
    </xf>
    <xf numFmtId="0" fontId="145" fillId="61" borderId="11" xfId="0" applyFont="1" applyFill="1" applyBorder="1" applyAlignment="1">
      <alignment horizontal="left" vertical="top" wrapText="1"/>
    </xf>
    <xf numFmtId="49" fontId="32" fillId="61" borderId="10" xfId="0" applyNumberFormat="1" applyFont="1" applyFill="1" applyBorder="1" applyAlignment="1">
      <alignment horizontal="center" vertical="top"/>
    </xf>
    <xf numFmtId="49" fontId="32" fillId="61" borderId="10" xfId="0" applyNumberFormat="1" applyFont="1" applyFill="1" applyBorder="1" applyAlignment="1">
      <alignment horizontal="center" vertical="top" wrapText="1"/>
    </xf>
    <xf numFmtId="168" fontId="45" fillId="61" borderId="12" xfId="0" applyNumberFormat="1" applyFont="1" applyFill="1" applyBorder="1" applyAlignment="1">
      <alignment horizontal="right" vertical="top"/>
    </xf>
    <xf numFmtId="168" fontId="48" fillId="61" borderId="20" xfId="0" applyNumberFormat="1" applyFont="1" applyFill="1" applyBorder="1" applyAlignment="1">
      <alignment vertical="top"/>
    </xf>
    <xf numFmtId="0" fontId="48" fillId="61" borderId="10" xfId="0" applyFont="1" applyFill="1" applyBorder="1" applyAlignment="1">
      <alignment vertical="top"/>
    </xf>
    <xf numFmtId="168" fontId="48" fillId="61" borderId="10" xfId="0" applyNumberFormat="1" applyFont="1" applyFill="1" applyBorder="1" applyAlignment="1">
      <alignment vertical="top"/>
    </xf>
    <xf numFmtId="168" fontId="48" fillId="61" borderId="10" xfId="0" applyNumberFormat="1" applyFont="1" applyFill="1" applyBorder="1" applyAlignment="1">
      <alignment horizontal="right" vertical="top"/>
    </xf>
    <xf numFmtId="170" fontId="49" fillId="61" borderId="20" xfId="0" applyNumberFormat="1" applyFont="1" applyFill="1" applyBorder="1" applyAlignment="1">
      <alignment horizontal="right" vertical="top"/>
    </xf>
    <xf numFmtId="49" fontId="32" fillId="61" borderId="19" xfId="0" applyNumberFormat="1" applyFont="1" applyFill="1" applyBorder="1" applyAlignment="1">
      <alignment horizontal="center" vertical="top"/>
    </xf>
    <xf numFmtId="49" fontId="32" fillId="61" borderId="19" xfId="0" applyNumberFormat="1" applyFont="1" applyFill="1" applyBorder="1" applyAlignment="1">
      <alignment horizontal="center" vertical="top" wrapText="1"/>
    </xf>
    <xf numFmtId="49" fontId="32" fillId="61" borderId="18" xfId="0" applyNumberFormat="1" applyFont="1" applyFill="1" applyBorder="1" applyAlignment="1">
      <alignment horizontal="center" vertical="top" wrapText="1"/>
    </xf>
    <xf numFmtId="49" fontId="144" fillId="61" borderId="10" xfId="0" applyNumberFormat="1" applyFont="1" applyFill="1" applyBorder="1" applyAlignment="1">
      <alignment horizontal="center" vertical="top" wrapText="1"/>
    </xf>
    <xf numFmtId="168" fontId="45" fillId="61" borderId="10" xfId="0" applyNumberFormat="1" applyFont="1" applyFill="1" applyBorder="1" applyAlignment="1">
      <alignment horizontal="center" vertical="center" wrapText="1"/>
    </xf>
    <xf numFmtId="49" fontId="106" fillId="61" borderId="10" xfId="0" applyNumberFormat="1" applyFont="1" applyFill="1" applyBorder="1" applyAlignment="1">
      <alignment horizontal="center" vertical="top" wrapText="1"/>
    </xf>
    <xf numFmtId="49" fontId="145" fillId="61" borderId="29" xfId="0" applyNumberFormat="1" applyFont="1" applyFill="1" applyBorder="1" applyAlignment="1">
      <alignment horizontal="center" vertical="top" wrapText="1"/>
    </xf>
    <xf numFmtId="49" fontId="32" fillId="61" borderId="13" xfId="0" applyNumberFormat="1" applyFont="1" applyFill="1" applyBorder="1" applyAlignment="1">
      <alignment horizontal="center" vertical="top" wrapText="1"/>
    </xf>
    <xf numFmtId="170" fontId="49" fillId="61" borderId="10" xfId="0" applyNumberFormat="1" applyFont="1" applyFill="1" applyBorder="1" applyAlignment="1">
      <alignment horizontal="right" vertical="top"/>
    </xf>
    <xf numFmtId="49" fontId="144" fillId="0" borderId="29" xfId="0" applyNumberFormat="1" applyFont="1" applyFill="1" applyBorder="1" applyAlignment="1">
      <alignment horizontal="center" vertical="top" wrapText="1"/>
    </xf>
    <xf numFmtId="49" fontId="32" fillId="0" borderId="10" xfId="0" applyNumberFormat="1" applyFont="1" applyFill="1" applyBorder="1" applyAlignment="1">
      <alignment horizontal="center" vertical="center" wrapText="1"/>
    </xf>
    <xf numFmtId="168" fontId="45" fillId="0" borderId="10" xfId="0" applyNumberFormat="1" applyFont="1" applyFill="1" applyBorder="1" applyAlignment="1">
      <alignment horizontal="center" vertical="center" wrapText="1"/>
    </xf>
    <xf numFmtId="168" fontId="49" fillId="47" borderId="10" xfId="0" applyNumberFormat="1" applyFont="1" applyFill="1" applyBorder="1" applyAlignment="1">
      <alignment horizontal="right" vertical="top"/>
    </xf>
    <xf numFmtId="168" fontId="48" fillId="63" borderId="10" xfId="0" applyNumberFormat="1" applyFont="1" applyFill="1" applyBorder="1" applyAlignment="1">
      <alignment vertical="top"/>
    </xf>
    <xf numFmtId="0" fontId="48" fillId="63" borderId="10" xfId="0" applyFont="1" applyFill="1" applyBorder="1" applyAlignment="1">
      <alignment vertical="top"/>
    </xf>
    <xf numFmtId="168" fontId="48" fillId="64" borderId="10" xfId="0" applyNumberFormat="1" applyFont="1" applyFill="1" applyBorder="1" applyAlignment="1">
      <alignment vertical="top"/>
    </xf>
    <xf numFmtId="170" fontId="49" fillId="0" borderId="10" xfId="0" applyNumberFormat="1" applyFont="1" applyFill="1" applyBorder="1" applyAlignment="1">
      <alignment horizontal="right" vertical="top"/>
    </xf>
    <xf numFmtId="49" fontId="144" fillId="37" borderId="29" xfId="0" applyNumberFormat="1" applyFont="1" applyFill="1" applyBorder="1" applyAlignment="1">
      <alignment horizontal="center" vertical="top" wrapText="1"/>
    </xf>
    <xf numFmtId="49" fontId="32" fillId="37" borderId="10" xfId="0" applyNumberFormat="1" applyFont="1" applyFill="1" applyBorder="1" applyAlignment="1">
      <alignment horizontal="center" vertical="center" wrapText="1"/>
    </xf>
    <xf numFmtId="168" fontId="45" fillId="37" borderId="10" xfId="0" applyNumberFormat="1" applyFont="1" applyFill="1" applyBorder="1" applyAlignment="1">
      <alignment horizontal="center" vertical="center" wrapText="1"/>
    </xf>
    <xf numFmtId="170" fontId="49" fillId="37" borderId="10" xfId="0" applyNumberFormat="1" applyFont="1" applyFill="1" applyBorder="1" applyAlignment="1">
      <alignment horizontal="right" vertical="top"/>
    </xf>
    <xf numFmtId="0" fontId="145" fillId="0" borderId="10" xfId="0" applyNumberFormat="1" applyFont="1" applyFill="1" applyBorder="1" applyAlignment="1" applyProtection="1">
      <alignment vertical="center" wrapText="1"/>
    </xf>
    <xf numFmtId="49" fontId="106" fillId="0" borderId="10" xfId="0" applyNumberFormat="1" applyFont="1" applyFill="1" applyBorder="1" applyAlignment="1">
      <alignment horizontal="center" vertical="top" wrapText="1"/>
    </xf>
    <xf numFmtId="0" fontId="145" fillId="37" borderId="10" xfId="0" applyNumberFormat="1" applyFont="1" applyFill="1" applyBorder="1" applyAlignment="1" applyProtection="1">
      <alignment vertical="center" wrapText="1"/>
    </xf>
    <xf numFmtId="49" fontId="106" fillId="37" borderId="10" xfId="0" applyNumberFormat="1" applyFont="1" applyFill="1" applyBorder="1" applyAlignment="1">
      <alignment horizontal="center" vertical="top" wrapText="1"/>
    </xf>
    <xf numFmtId="49" fontId="144" fillId="0" borderId="10" xfId="0" applyNumberFormat="1" applyFont="1" applyFill="1" applyBorder="1" applyAlignment="1">
      <alignment horizontal="center" vertical="top" wrapText="1"/>
    </xf>
    <xf numFmtId="168" fontId="48" fillId="51" borderId="10" xfId="0" applyNumberFormat="1" applyFont="1" applyFill="1" applyBorder="1" applyAlignment="1">
      <alignment vertical="top"/>
    </xf>
    <xf numFmtId="0" fontId="48" fillId="51" borderId="10" xfId="0" applyFont="1" applyFill="1" applyBorder="1" applyAlignment="1">
      <alignment vertical="top"/>
    </xf>
    <xf numFmtId="168" fontId="133" fillId="51" borderId="18" xfId="0" applyNumberFormat="1" applyFont="1" applyFill="1" applyBorder="1" applyAlignment="1">
      <alignment horizontal="right" vertical="top"/>
    </xf>
    <xf numFmtId="168" fontId="0" fillId="51" borderId="10" xfId="0" applyNumberFormat="1" applyFill="1" applyBorder="1"/>
    <xf numFmtId="0" fontId="145" fillId="0" borderId="0" xfId="0" applyFont="1" applyFill="1" applyBorder="1" applyAlignment="1">
      <alignment horizontal="left" vertical="top" wrapText="1"/>
    </xf>
    <xf numFmtId="49" fontId="106" fillId="0" borderId="0" xfId="0" applyNumberFormat="1" applyFont="1" applyFill="1" applyBorder="1" applyAlignment="1">
      <alignment horizontal="center" vertical="top" wrapText="1"/>
    </xf>
    <xf numFmtId="49" fontId="144" fillId="0" borderId="0" xfId="0" applyNumberFormat="1" applyFont="1" applyFill="1" applyBorder="1" applyAlignment="1">
      <alignment horizontal="center" vertical="top" wrapText="1"/>
    </xf>
    <xf numFmtId="49" fontId="32" fillId="0" borderId="0" xfId="0" applyNumberFormat="1" applyFont="1" applyFill="1" applyBorder="1" applyAlignment="1">
      <alignment horizontal="center" vertical="center" wrapText="1"/>
    </xf>
    <xf numFmtId="168" fontId="45" fillId="0" borderId="0" xfId="0" applyNumberFormat="1" applyFont="1" applyFill="1" applyBorder="1" applyAlignment="1">
      <alignment horizontal="center" vertical="center" wrapText="1"/>
    </xf>
    <xf numFmtId="168" fontId="49" fillId="0" borderId="0" xfId="0" applyNumberFormat="1" applyFont="1" applyFill="1" applyBorder="1" applyAlignment="1">
      <alignment horizontal="right" vertical="top"/>
    </xf>
    <xf numFmtId="168" fontId="49" fillId="60" borderId="0" xfId="0" applyNumberFormat="1" applyFont="1" applyFill="1" applyBorder="1" applyAlignment="1">
      <alignment horizontal="right" vertical="top"/>
    </xf>
    <xf numFmtId="168" fontId="49" fillId="61" borderId="0" xfId="0" applyNumberFormat="1" applyFont="1" applyFill="1" applyBorder="1" applyAlignment="1">
      <alignment horizontal="right" vertical="top"/>
    </xf>
    <xf numFmtId="168" fontId="49" fillId="62" borderId="0" xfId="0" applyNumberFormat="1" applyFont="1" applyFill="1" applyBorder="1" applyAlignment="1">
      <alignment horizontal="right" vertical="top"/>
    </xf>
    <xf numFmtId="168" fontId="49" fillId="47" borderId="0" xfId="0" applyNumberFormat="1" applyFont="1" applyFill="1" applyBorder="1" applyAlignment="1">
      <alignment horizontal="right" vertical="top"/>
    </xf>
    <xf numFmtId="168" fontId="49" fillId="43" borderId="0" xfId="0" applyNumberFormat="1" applyFont="1" applyFill="1" applyBorder="1" applyAlignment="1">
      <alignment horizontal="right" vertical="top"/>
    </xf>
    <xf numFmtId="168" fontId="48" fillId="63" borderId="0" xfId="0" applyNumberFormat="1" applyFont="1" applyFill="1" applyBorder="1" applyAlignment="1">
      <alignment vertical="top"/>
    </xf>
    <xf numFmtId="0" fontId="48" fillId="63" borderId="0" xfId="0" applyFont="1" applyFill="1" applyBorder="1" applyAlignment="1">
      <alignment vertical="top"/>
    </xf>
    <xf numFmtId="168" fontId="48" fillId="64" borderId="0" xfId="0" applyNumberFormat="1" applyFont="1" applyFill="1" applyBorder="1" applyAlignment="1">
      <alignment vertical="top"/>
    </xf>
    <xf numFmtId="168" fontId="49" fillId="37" borderId="0" xfId="0" applyNumberFormat="1" applyFont="1" applyFill="1" applyBorder="1" applyAlignment="1">
      <alignment horizontal="right" vertical="top"/>
    </xf>
    <xf numFmtId="170" fontId="49" fillId="0" borderId="0" xfId="0" applyNumberFormat="1" applyFont="1" applyFill="1" applyBorder="1" applyAlignment="1">
      <alignment horizontal="right" vertical="top"/>
    </xf>
    <xf numFmtId="49" fontId="145" fillId="0" borderId="0" xfId="0" applyNumberFormat="1" applyFont="1" applyFill="1" applyBorder="1" applyAlignment="1">
      <alignment horizontal="center" vertical="top" wrapText="1"/>
    </xf>
    <xf numFmtId="49" fontId="32" fillId="0" borderId="0" xfId="0" applyNumberFormat="1" applyFont="1" applyFill="1" applyBorder="1" applyAlignment="1">
      <alignment horizontal="center" vertical="top" wrapText="1"/>
    </xf>
    <xf numFmtId="168" fontId="45" fillId="0" borderId="0" xfId="0" applyNumberFormat="1" applyFont="1" applyFill="1" applyBorder="1" applyAlignment="1">
      <alignment horizontal="right" vertical="top"/>
    </xf>
    <xf numFmtId="0" fontId="49" fillId="0" borderId="0" xfId="0" applyFont="1" applyFill="1" applyBorder="1" applyAlignment="1">
      <alignment horizontal="left" vertical="top"/>
    </xf>
    <xf numFmtId="49" fontId="49" fillId="0" borderId="0" xfId="0" applyNumberFormat="1" applyFont="1" applyFill="1" applyBorder="1" applyAlignment="1">
      <alignment horizontal="center" vertical="top"/>
    </xf>
    <xf numFmtId="168" fontId="49" fillId="63" borderId="0" xfId="0" applyNumberFormat="1" applyFont="1" applyFill="1" applyBorder="1" applyAlignment="1">
      <alignment horizontal="right" vertical="top"/>
    </xf>
    <xf numFmtId="168" fontId="49" fillId="64" borderId="0" xfId="0" applyNumberFormat="1" applyFont="1" applyFill="1" applyBorder="1" applyAlignment="1">
      <alignment horizontal="right" vertical="top"/>
    </xf>
    <xf numFmtId="2" fontId="49" fillId="0" borderId="0" xfId="0" applyNumberFormat="1" applyFont="1" applyFill="1" applyAlignment="1">
      <alignment horizontal="center" vertical="top"/>
    </xf>
    <xf numFmtId="2" fontId="48" fillId="0" borderId="0" xfId="0" applyNumberFormat="1" applyFont="1" applyFill="1" applyAlignment="1">
      <alignment horizontal="left" vertical="top"/>
    </xf>
    <xf numFmtId="2" fontId="48" fillId="0" borderId="0" xfId="0" applyNumberFormat="1" applyFont="1" applyFill="1" applyAlignment="1">
      <alignment horizontal="center" vertical="top"/>
    </xf>
    <xf numFmtId="0" fontId="49" fillId="0" borderId="0" xfId="0" applyFont="1" applyFill="1" applyAlignment="1">
      <alignment horizontal="center" vertical="top"/>
    </xf>
    <xf numFmtId="168" fontId="48" fillId="60" borderId="20" xfId="0" applyNumberFormat="1" applyFont="1" applyFill="1" applyBorder="1" applyAlignment="1">
      <alignment horizontal="center" vertical="top"/>
    </xf>
    <xf numFmtId="49" fontId="48" fillId="60" borderId="20" xfId="0" applyNumberFormat="1" applyFont="1" applyFill="1" applyBorder="1" applyAlignment="1">
      <alignment horizontal="center" vertical="top"/>
    </xf>
    <xf numFmtId="49" fontId="48" fillId="61" borderId="20" xfId="0" applyNumberFormat="1" applyFont="1" applyFill="1" applyBorder="1" applyAlignment="1">
      <alignment horizontal="center" vertical="top"/>
    </xf>
    <xf numFmtId="49" fontId="48" fillId="62" borderId="20" xfId="0" applyNumberFormat="1" applyFont="1" applyFill="1" applyBorder="1" applyAlignment="1">
      <alignment horizontal="center" vertical="top"/>
    </xf>
    <xf numFmtId="49" fontId="48" fillId="47" borderId="20" xfId="0" applyNumberFormat="1" applyFont="1" applyFill="1" applyBorder="1" applyAlignment="1">
      <alignment horizontal="center" vertical="top"/>
    </xf>
    <xf numFmtId="49" fontId="48" fillId="43" borderId="20" xfId="0" applyNumberFormat="1" applyFont="1" applyFill="1" applyBorder="1" applyAlignment="1">
      <alignment horizontal="center" vertical="top"/>
    </xf>
    <xf numFmtId="170" fontId="48" fillId="0" borderId="20" xfId="0" applyNumberFormat="1" applyFont="1" applyFill="1" applyBorder="1" applyAlignment="1">
      <alignment horizontal="center" vertical="top"/>
    </xf>
    <xf numFmtId="168" fontId="49" fillId="0" borderId="0" xfId="0" applyNumberFormat="1" applyFont="1" applyFill="1" applyAlignment="1">
      <alignment horizontal="center" vertical="top"/>
    </xf>
    <xf numFmtId="168" fontId="49" fillId="0" borderId="0" xfId="0" applyNumberFormat="1" applyFont="1" applyFill="1" applyAlignment="1">
      <alignment horizontal="right" vertical="top"/>
    </xf>
    <xf numFmtId="0" fontId="205" fillId="0" borderId="10" xfId="0" applyFont="1" applyBorder="1" applyAlignment="1">
      <alignment horizontal="center"/>
    </xf>
    <xf numFmtId="0" fontId="205" fillId="0" borderId="10" xfId="0" applyFont="1" applyBorder="1" applyAlignment="1">
      <alignment horizontal="center" wrapText="1"/>
    </xf>
    <xf numFmtId="4" fontId="205" fillId="0" borderId="10" xfId="0" applyNumberFormat="1" applyFont="1" applyBorder="1" applyAlignment="1">
      <alignment horizontal="right" wrapText="1"/>
    </xf>
    <xf numFmtId="0" fontId="145" fillId="0" borderId="10" xfId="0" applyFont="1" applyFill="1" applyBorder="1" applyAlignment="1">
      <alignment horizontal="left" vertical="center" wrapText="1"/>
    </xf>
    <xf numFmtId="0" fontId="145" fillId="0" borderId="18" xfId="0" applyFont="1" applyFill="1" applyBorder="1" applyAlignment="1">
      <alignment horizontal="left" vertical="center" wrapText="1"/>
    </xf>
    <xf numFmtId="165" fontId="116" fillId="0" borderId="0" xfId="0" applyNumberFormat="1" applyFont="1" applyFill="1" applyBorder="1" applyAlignment="1" applyProtection="1">
      <alignment horizontal="right" vertical="center" wrapText="1"/>
    </xf>
    <xf numFmtId="165" fontId="119" fillId="0" borderId="0" xfId="0" applyNumberFormat="1" applyFont="1" applyFill="1" applyBorder="1" applyAlignment="1" applyProtection="1">
      <alignment horizontal="right" vertical="center" wrapText="1"/>
    </xf>
    <xf numFmtId="165" fontId="116" fillId="0" borderId="10" xfId="19" applyNumberFormat="1" applyFont="1" applyFill="1" applyBorder="1" applyAlignment="1">
      <alignment vertical="center"/>
    </xf>
    <xf numFmtId="165" fontId="116" fillId="0" borderId="0" xfId="0" applyNumberFormat="1" applyFont="1" applyFill="1" applyBorder="1" applyAlignment="1">
      <alignment horizontal="right" vertical="center"/>
    </xf>
    <xf numFmtId="165" fontId="116" fillId="0" borderId="0" xfId="0" applyNumberFormat="1" applyFont="1" applyFill="1" applyAlignment="1">
      <alignment horizontal="right" vertical="center"/>
    </xf>
    <xf numFmtId="165" fontId="116" fillId="0" borderId="0" xfId="0" applyNumberFormat="1" applyFont="1" applyFill="1" applyAlignment="1">
      <alignment horizontal="right" vertical="center" wrapText="1"/>
    </xf>
    <xf numFmtId="165" fontId="116" fillId="0" borderId="0" xfId="0" applyNumberFormat="1" applyFont="1" applyFill="1"/>
    <xf numFmtId="0" fontId="48" fillId="0" borderId="0" xfId="0" applyFont="1" applyAlignment="1">
      <alignment horizontal="right"/>
    </xf>
    <xf numFmtId="0" fontId="49" fillId="0" borderId="10" xfId="0" applyFont="1" applyBorder="1" applyAlignment="1">
      <alignment horizontal="center" vertical="top" wrapText="1"/>
    </xf>
    <xf numFmtId="0" fontId="49" fillId="0" borderId="10" xfId="0" applyFont="1" applyBorder="1" applyAlignment="1">
      <alignment vertical="top" wrapText="1"/>
    </xf>
    <xf numFmtId="0" fontId="49" fillId="0" borderId="10" xfId="0" applyFont="1" applyBorder="1" applyAlignment="1">
      <alignment horizontal="justify" wrapText="1"/>
    </xf>
    <xf numFmtId="0" fontId="204" fillId="0" borderId="10" xfId="0" applyFont="1" applyBorder="1" applyAlignment="1">
      <alignment horizontal="right"/>
    </xf>
    <xf numFmtId="0" fontId="133" fillId="0" borderId="10" xfId="0" applyFont="1" applyBorder="1" applyAlignment="1">
      <alignment horizontal="right"/>
    </xf>
    <xf numFmtId="0" fontId="144" fillId="0" borderId="10" xfId="0" applyFont="1" applyBorder="1" applyAlignment="1">
      <alignment wrapText="1"/>
    </xf>
    <xf numFmtId="4" fontId="49" fillId="0" borderId="10" xfId="0" applyNumberFormat="1" applyFont="1" applyBorder="1" applyAlignment="1">
      <alignment horizontal="right" wrapText="1"/>
    </xf>
    <xf numFmtId="0" fontId="49" fillId="0" borderId="10" xfId="0" applyFont="1" applyBorder="1" applyAlignment="1">
      <alignment horizontal="right" wrapText="1"/>
    </xf>
    <xf numFmtId="0" fontId="211" fillId="0" borderId="10" xfId="0" applyFont="1" applyBorder="1" applyAlignment="1">
      <alignment horizontal="right"/>
    </xf>
    <xf numFmtId="0" fontId="218" fillId="0" borderId="10" xfId="0" applyFont="1" applyBorder="1" applyAlignment="1">
      <alignment horizontal="right"/>
    </xf>
    <xf numFmtId="0" fontId="26" fillId="0" borderId="10" xfId="0" applyFont="1" applyBorder="1" applyAlignment="1">
      <alignment vertical="top" wrapText="1"/>
    </xf>
    <xf numFmtId="0" fontId="145" fillId="0" borderId="10" xfId="0" applyFont="1" applyBorder="1" applyAlignment="1">
      <alignment vertical="top" wrapText="1"/>
    </xf>
    <xf numFmtId="0" fontId="145" fillId="0" borderId="10" xfId="0" applyFont="1" applyBorder="1" applyAlignment="1">
      <alignment horizontal="center" vertical="top" wrapText="1"/>
    </xf>
    <xf numFmtId="0" fontId="159" fillId="0" borderId="10" xfId="0" applyFont="1" applyBorder="1" applyAlignment="1">
      <alignment horizontal="center" vertical="top" wrapText="1"/>
    </xf>
    <xf numFmtId="0" fontId="203" fillId="0" borderId="10" xfId="0" applyFont="1" applyBorder="1" applyAlignment="1">
      <alignment horizontal="center" vertical="top"/>
    </xf>
    <xf numFmtId="4" fontId="133" fillId="0" borderId="10" xfId="0" applyNumberFormat="1" applyFont="1" applyBorder="1" applyAlignment="1">
      <alignment horizontal="right" vertical="top" wrapText="1"/>
    </xf>
    <xf numFmtId="0" fontId="203" fillId="0" borderId="10" xfId="0" applyFont="1" applyBorder="1" applyAlignment="1">
      <alignment horizontal="right" vertical="top"/>
    </xf>
    <xf numFmtId="0" fontId="208" fillId="0" borderId="10" xfId="0" applyFont="1" applyBorder="1" applyAlignment="1">
      <alignment horizontal="center" wrapText="1"/>
    </xf>
    <xf numFmtId="0" fontId="206" fillId="0" borderId="10" xfId="0" applyFont="1" applyBorder="1" applyAlignment="1">
      <alignment horizontal="center" wrapText="1"/>
    </xf>
    <xf numFmtId="4" fontId="48" fillId="0" borderId="10" xfId="0" applyNumberFormat="1" applyFont="1" applyBorder="1" applyAlignment="1">
      <alignment horizontal="center"/>
    </xf>
    <xf numFmtId="0" fontId="219" fillId="0" borderId="10" xfId="0" applyFont="1" applyBorder="1" applyAlignment="1">
      <alignment wrapText="1"/>
    </xf>
    <xf numFmtId="0" fontId="199" fillId="0" borderId="10" xfId="0" applyFont="1" applyBorder="1" applyAlignment="1">
      <alignment horizontal="center" wrapText="1"/>
    </xf>
    <xf numFmtId="0" fontId="199" fillId="0" borderId="10" xfId="0" applyFont="1" applyBorder="1" applyAlignment="1">
      <alignment horizontal="center"/>
    </xf>
    <xf numFmtId="0" fontId="199" fillId="0" borderId="10" xfId="0" applyFont="1" applyBorder="1" applyAlignment="1">
      <alignment horizontal="right"/>
    </xf>
    <xf numFmtId="0" fontId="205" fillId="0" borderId="10" xfId="0" applyFont="1" applyBorder="1" applyAlignment="1">
      <alignment horizontal="right"/>
    </xf>
    <xf numFmtId="0" fontId="48" fillId="51" borderId="10" xfId="0" applyFont="1" applyFill="1" applyBorder="1"/>
    <xf numFmtId="0" fontId="48" fillId="51" borderId="10" xfId="0" applyFont="1" applyFill="1" applyBorder="1" applyAlignment="1">
      <alignment horizontal="center" wrapText="1"/>
    </xf>
    <xf numFmtId="0" fontId="45" fillId="51" borderId="10" xfId="0" applyFont="1" applyFill="1" applyBorder="1" applyAlignment="1">
      <alignment horizontal="center" wrapText="1"/>
    </xf>
    <xf numFmtId="0" fontId="48" fillId="51" borderId="10" xfId="0" applyFont="1" applyFill="1" applyBorder="1" applyAlignment="1">
      <alignment horizontal="center"/>
    </xf>
    <xf numFmtId="0" fontId="45" fillId="51" borderId="10" xfId="0" applyFont="1" applyFill="1" applyBorder="1" applyAlignment="1">
      <alignment horizontal="right"/>
    </xf>
    <xf numFmtId="0" fontId="217" fillId="0" borderId="10" xfId="0" applyFont="1" applyBorder="1" applyAlignment="1">
      <alignment vertical="top" wrapText="1"/>
    </xf>
    <xf numFmtId="0" fontId="203" fillId="0" borderId="10" xfId="0" applyFont="1" applyBorder="1" applyAlignment="1">
      <alignment horizontal="center" vertical="top" wrapText="1"/>
    </xf>
    <xf numFmtId="4" fontId="205" fillId="0" borderId="10" xfId="0" applyNumberFormat="1" applyFont="1" applyBorder="1" applyAlignment="1">
      <alignment horizontal="right" vertical="top" wrapText="1"/>
    </xf>
    <xf numFmtId="0" fontId="203" fillId="0" borderId="10" xfId="0" applyFont="1" applyBorder="1" applyAlignment="1">
      <alignment vertical="top" wrapText="1"/>
    </xf>
    <xf numFmtId="0" fontId="48" fillId="0" borderId="10" xfId="0" applyFont="1" applyBorder="1" applyAlignment="1">
      <alignment vertical="top"/>
    </xf>
    <xf numFmtId="4" fontId="45" fillId="0" borderId="10" xfId="0" applyNumberFormat="1" applyFont="1" applyBorder="1" applyAlignment="1">
      <alignment horizontal="right" vertical="top"/>
    </xf>
    <xf numFmtId="0" fontId="45" fillId="0" borderId="10" xfId="0" applyFont="1" applyBorder="1" applyAlignment="1">
      <alignment horizontal="right" vertical="top"/>
    </xf>
    <xf numFmtId="0" fontId="207" fillId="0" borderId="10" xfId="0" applyFont="1" applyBorder="1" applyAlignment="1">
      <alignment horizontal="right" vertical="top"/>
    </xf>
    <xf numFmtId="0" fontId="161" fillId="0" borderId="10" xfId="0" applyFont="1" applyBorder="1" applyAlignment="1">
      <alignment wrapText="1"/>
    </xf>
    <xf numFmtId="0" fontId="133" fillId="0" borderId="10" xfId="0" applyFont="1" applyBorder="1" applyAlignment="1">
      <alignment horizontal="right" wrapText="1"/>
    </xf>
    <xf numFmtId="0" fontId="176" fillId="0" borderId="10" xfId="0" applyFont="1" applyBorder="1" applyAlignment="1">
      <alignment vertical="top" wrapText="1"/>
    </xf>
    <xf numFmtId="0" fontId="220" fillId="0" borderId="10" xfId="0" applyFont="1" applyBorder="1" applyAlignment="1">
      <alignment vertical="top" wrapText="1"/>
    </xf>
    <xf numFmtId="0" fontId="144" fillId="0" borderId="10" xfId="0" applyFont="1" applyBorder="1" applyAlignment="1">
      <alignment vertical="top" wrapText="1"/>
    </xf>
    <xf numFmtId="0" fontId="48" fillId="0" borderId="10" xfId="0" applyFont="1" applyBorder="1" applyAlignment="1">
      <alignment horizontal="center" vertical="top"/>
    </xf>
    <xf numFmtId="0" fontId="48" fillId="0" borderId="10" xfId="0" applyFont="1" applyBorder="1" applyAlignment="1">
      <alignment vertical="top" wrapText="1"/>
    </xf>
    <xf numFmtId="0" fontId="48" fillId="0" borderId="10" xfId="0" applyFont="1" applyBorder="1" applyAlignment="1">
      <alignment horizontal="center" vertical="top" wrapText="1"/>
    </xf>
    <xf numFmtId="0" fontId="49" fillId="0" borderId="10" xfId="0" applyFont="1" applyBorder="1" applyAlignment="1">
      <alignment horizontal="center" vertical="top"/>
    </xf>
    <xf numFmtId="4" fontId="203" fillId="0" borderId="10" xfId="0" applyNumberFormat="1" applyFont="1" applyBorder="1" applyAlignment="1">
      <alignment horizontal="right" vertical="top"/>
    </xf>
    <xf numFmtId="4" fontId="48" fillId="0" borderId="10" xfId="0" applyNumberFormat="1" applyFont="1" applyBorder="1" applyAlignment="1">
      <alignment horizontal="right" vertical="top"/>
    </xf>
    <xf numFmtId="0" fontId="48" fillId="0" borderId="10" xfId="0" applyFont="1" applyBorder="1" applyAlignment="1">
      <alignment horizontal="right" vertical="top"/>
    </xf>
    <xf numFmtId="0" fontId="203" fillId="0" borderId="10" xfId="0" applyFont="1" applyBorder="1" applyAlignment="1">
      <alignment horizontal="justify" vertical="top" wrapText="1"/>
    </xf>
    <xf numFmtId="165" fontId="0" fillId="0" borderId="0" xfId="0" applyNumberFormat="1"/>
    <xf numFmtId="0" fontId="221" fillId="0" borderId="0" xfId="0" applyFont="1"/>
    <xf numFmtId="0" fontId="222" fillId="0" borderId="0" xfId="0" applyFont="1" applyBorder="1" applyAlignment="1">
      <alignment horizontal="center" wrapText="1"/>
    </xf>
    <xf numFmtId="0" fontId="223" fillId="0" borderId="10" xfId="0" applyFont="1" applyBorder="1" applyAlignment="1">
      <alignment vertical="top" wrapText="1"/>
    </xf>
    <xf numFmtId="0" fontId="223" fillId="0" borderId="10" xfId="0" applyFont="1" applyBorder="1" applyAlignment="1">
      <alignment horizontal="center" vertical="top" wrapText="1"/>
    </xf>
    <xf numFmtId="165" fontId="223" fillId="0" borderId="10" xfId="0" applyNumberFormat="1" applyFont="1" applyBorder="1" applyAlignment="1">
      <alignment horizontal="right" vertical="top" wrapText="1"/>
    </xf>
    <xf numFmtId="0" fontId="106" fillId="0" borderId="10" xfId="0" applyFont="1" applyBorder="1" applyAlignment="1">
      <alignment horizontal="center" vertical="top" wrapText="1"/>
    </xf>
    <xf numFmtId="0" fontId="106" fillId="0" borderId="10" xfId="0" applyFont="1" applyBorder="1" applyAlignment="1">
      <alignment vertical="top" wrapText="1"/>
    </xf>
    <xf numFmtId="165" fontId="106" fillId="0" borderId="10" xfId="0" applyNumberFormat="1" applyFont="1" applyBorder="1" applyAlignment="1">
      <alignment horizontal="center" vertical="top" wrapText="1"/>
    </xf>
    <xf numFmtId="0" fontId="76" fillId="0" borderId="10" xfId="0" applyFont="1" applyFill="1" applyBorder="1" applyAlignment="1">
      <alignment horizontal="left" vertical="center" wrapText="1" indent="2"/>
    </xf>
    <xf numFmtId="0" fontId="222" fillId="0" borderId="0" xfId="0" applyFont="1" applyBorder="1" applyAlignment="1">
      <alignment horizontal="center" wrapText="1"/>
    </xf>
    <xf numFmtId="0" fontId="68" fillId="0" borderId="10" xfId="0" applyFont="1" applyFill="1" applyBorder="1"/>
    <xf numFmtId="4" fontId="68" fillId="0" borderId="10" xfId="0" applyNumberFormat="1" applyFont="1" applyFill="1" applyBorder="1"/>
    <xf numFmtId="4" fontId="225" fillId="0" borderId="10" xfId="0" applyNumberFormat="1" applyFont="1" applyFill="1" applyBorder="1"/>
    <xf numFmtId="4" fontId="226" fillId="0" borderId="10" xfId="0" applyNumberFormat="1" applyFont="1" applyFill="1" applyBorder="1"/>
    <xf numFmtId="0" fontId="226" fillId="0" borderId="10" xfId="0" applyFont="1" applyFill="1" applyBorder="1"/>
    <xf numFmtId="0" fontId="222" fillId="0" borderId="10" xfId="0" applyFont="1" applyBorder="1" applyAlignment="1">
      <alignment vertical="top" wrapText="1"/>
    </xf>
    <xf numFmtId="0" fontId="222" fillId="0" borderId="10" xfId="0" applyFont="1" applyBorder="1" applyAlignment="1">
      <alignment horizontal="center" vertical="top" wrapText="1"/>
    </xf>
    <xf numFmtId="165" fontId="222" fillId="0" borderId="10" xfId="0" applyNumberFormat="1" applyFont="1" applyBorder="1" applyAlignment="1">
      <alignment horizontal="right" vertical="top" wrapText="1"/>
    </xf>
    <xf numFmtId="165" fontId="223" fillId="0" borderId="14" xfId="0" applyNumberFormat="1" applyFont="1" applyFill="1" applyBorder="1" applyAlignment="1">
      <alignment horizontal="right" vertical="top" wrapText="1"/>
    </xf>
    <xf numFmtId="165" fontId="36" fillId="0" borderId="0" xfId="0" applyNumberFormat="1" applyFont="1"/>
    <xf numFmtId="0" fontId="48" fillId="0" borderId="0" xfId="0" applyFont="1" applyAlignment="1"/>
    <xf numFmtId="4" fontId="48" fillId="0" borderId="0" xfId="0" applyNumberFormat="1" applyFont="1" applyAlignment="1"/>
    <xf numFmtId="0" fontId="133" fillId="0" borderId="10" xfId="0" applyFont="1" applyBorder="1" applyAlignment="1">
      <alignment horizontal="justify" vertical="top" wrapText="1"/>
    </xf>
    <xf numFmtId="0" fontId="49" fillId="0" borderId="0" xfId="0" applyFont="1" applyAlignment="1"/>
    <xf numFmtId="0" fontId="45" fillId="0" borderId="10" xfId="0" applyFont="1" applyBorder="1" applyAlignment="1">
      <alignment vertical="top" wrapText="1"/>
    </xf>
    <xf numFmtId="0" fontId="45" fillId="0" borderId="10" xfId="0" applyFont="1" applyBorder="1" applyAlignment="1">
      <alignment horizontal="justify" vertical="top" wrapText="1"/>
    </xf>
    <xf numFmtId="4" fontId="45" fillId="0" borderId="10" xfId="0" applyNumberFormat="1" applyFont="1" applyBorder="1" applyAlignment="1">
      <alignment horizontal="right" vertical="top" wrapText="1"/>
    </xf>
    <xf numFmtId="0" fontId="145" fillId="0" borderId="10" xfId="72" applyFont="1" applyBorder="1" applyAlignment="1" applyProtection="1">
      <alignment vertical="top" wrapText="1"/>
    </xf>
    <xf numFmtId="0" fontId="225" fillId="0" borderId="10" xfId="0" applyFont="1" applyFill="1" applyBorder="1"/>
    <xf numFmtId="4" fontId="68" fillId="52" borderId="0" xfId="0" applyNumberFormat="1" applyFont="1" applyFill="1"/>
    <xf numFmtId="0" fontId="68" fillId="0" borderId="0" xfId="0" applyFont="1" applyFill="1" applyBorder="1" applyAlignment="1">
      <alignment horizontal="left"/>
    </xf>
    <xf numFmtId="0" fontId="68" fillId="0" borderId="0" xfId="0" applyFont="1" applyFill="1" applyBorder="1"/>
    <xf numFmtId="0" fontId="226" fillId="0" borderId="0" xfId="0" applyFont="1" applyFill="1" applyBorder="1"/>
    <xf numFmtId="4" fontId="225" fillId="0" borderId="0" xfId="0" applyNumberFormat="1" applyFont="1" applyFill="1" applyBorder="1"/>
    <xf numFmtId="0" fontId="68" fillId="0" borderId="0" xfId="0" applyFont="1" applyFill="1" applyAlignment="1">
      <alignment wrapText="1"/>
    </xf>
    <xf numFmtId="0" fontId="69" fillId="0" borderId="10" xfId="88" applyFont="1" applyFill="1" applyBorder="1" applyAlignment="1">
      <alignment horizontal="left" vertical="top" wrapText="1"/>
    </xf>
    <xf numFmtId="0" fontId="55" fillId="0" borderId="0" xfId="0" applyFont="1" applyAlignment="1">
      <alignment horizontal="left" vertical="center" wrapText="1"/>
    </xf>
    <xf numFmtId="0" fontId="54" fillId="0" borderId="0" xfId="0" applyFont="1" applyBorder="1" applyAlignment="1">
      <alignment horizontal="center" vertical="center" wrapText="1"/>
    </xf>
    <xf numFmtId="0" fontId="54" fillId="0" borderId="10" xfId="0" applyFont="1" applyFill="1" applyBorder="1" applyAlignment="1">
      <alignment horizontal="center" vertical="center" wrapText="1"/>
    </xf>
    <xf numFmtId="0" fontId="66" fillId="46" borderId="10" xfId="0" applyNumberFormat="1" applyFont="1" applyFill="1" applyBorder="1" applyAlignment="1">
      <alignment horizontal="center" vertical="center" wrapText="1"/>
    </xf>
    <xf numFmtId="0" fontId="72" fillId="59" borderId="10" xfId="87" applyNumberFormat="1" applyFont="1" applyFill="1" applyBorder="1" applyAlignment="1">
      <alignment horizontal="center" vertical="center" wrapText="1"/>
    </xf>
    <xf numFmtId="0" fontId="54" fillId="0" borderId="0" xfId="0" applyFont="1" applyAlignment="1">
      <alignment horizontal="right" vertical="center" wrapText="1"/>
    </xf>
    <xf numFmtId="0" fontId="55" fillId="0" borderId="10" xfId="0" applyFont="1" applyBorder="1" applyAlignment="1">
      <alignment horizontal="center" vertical="center" wrapText="1"/>
    </xf>
    <xf numFmtId="0" fontId="54" fillId="0" borderId="0" xfId="87" applyFont="1" applyFill="1" applyAlignment="1">
      <alignment horizontal="right" vertical="center" wrapText="1"/>
    </xf>
    <xf numFmtId="0" fontId="12" fillId="0" borderId="0" xfId="0" applyFont="1" applyFill="1" applyBorder="1" applyAlignment="1">
      <alignment horizontal="right" vertical="top" wrapText="1"/>
    </xf>
    <xf numFmtId="0" fontId="106" fillId="0" borderId="24" xfId="0" applyFont="1" applyBorder="1" applyAlignment="1">
      <alignment horizontal="center" vertical="center" wrapText="1"/>
    </xf>
    <xf numFmtId="0" fontId="106" fillId="0" borderId="16" xfId="0" applyFont="1" applyBorder="1" applyAlignment="1">
      <alignment horizontal="center" vertical="center" wrapText="1"/>
    </xf>
    <xf numFmtId="0" fontId="106" fillId="0" borderId="16" xfId="0" applyFont="1" applyBorder="1" applyAlignment="1">
      <alignment vertical="center" wrapText="1"/>
    </xf>
    <xf numFmtId="0" fontId="106" fillId="0" borderId="10" xfId="0" applyFont="1" applyBorder="1" applyAlignment="1">
      <alignment vertical="center" wrapText="1"/>
    </xf>
    <xf numFmtId="0" fontId="106" fillId="0" borderId="10" xfId="0" applyFont="1" applyBorder="1" applyAlignment="1">
      <alignment horizontal="center" vertical="center" wrapText="1"/>
    </xf>
    <xf numFmtId="4" fontId="0" fillId="0" borderId="0" xfId="0" applyNumberFormat="1" applyAlignment="1">
      <alignment wrapText="1"/>
    </xf>
    <xf numFmtId="4" fontId="106" fillId="0" borderId="10" xfId="0" applyNumberFormat="1" applyFont="1" applyBorder="1" applyAlignment="1">
      <alignment horizontal="right" vertical="center" wrapText="1"/>
    </xf>
    <xf numFmtId="0" fontId="232" fillId="0" borderId="10" xfId="0" applyFont="1" applyBorder="1" applyAlignment="1">
      <alignment vertical="center" wrapText="1"/>
    </xf>
    <xf numFmtId="0" fontId="232" fillId="0" borderId="10" xfId="0" applyFont="1" applyBorder="1" applyAlignment="1">
      <alignment horizontal="center" vertical="center" wrapText="1"/>
    </xf>
    <xf numFmtId="4" fontId="232" fillId="0" borderId="10" xfId="0" applyNumberFormat="1" applyFont="1" applyBorder="1" applyAlignment="1">
      <alignment horizontal="right" vertical="center" wrapText="1"/>
    </xf>
    <xf numFmtId="4" fontId="106" fillId="43" borderId="10" xfId="0" applyNumberFormat="1" applyFont="1" applyFill="1" applyBorder="1" applyAlignment="1">
      <alignment horizontal="right" vertical="center" wrapText="1"/>
    </xf>
    <xf numFmtId="4" fontId="106" fillId="0" borderId="10" xfId="0" applyNumberFormat="1" applyFont="1" applyFill="1" applyBorder="1" applyAlignment="1">
      <alignment horizontal="right" vertical="center" wrapText="1"/>
    </xf>
    <xf numFmtId="4" fontId="106" fillId="58" borderId="10" xfId="0" applyNumberFormat="1" applyFont="1" applyFill="1" applyBorder="1" applyAlignment="1">
      <alignment horizontal="right" vertical="center" wrapText="1"/>
    </xf>
    <xf numFmtId="4" fontId="55" fillId="0" borderId="0" xfId="0" applyNumberFormat="1" applyFont="1" applyAlignment="1">
      <alignment horizontal="right" wrapText="1"/>
    </xf>
    <xf numFmtId="4" fontId="54" fillId="46" borderId="10" xfId="0" applyNumberFormat="1" applyFont="1" applyFill="1" applyBorder="1" applyAlignment="1">
      <alignment horizontal="right" vertical="center" wrapText="1"/>
    </xf>
    <xf numFmtId="4" fontId="88" fillId="46" borderId="0" xfId="0" applyNumberFormat="1" applyFont="1" applyFill="1" applyBorder="1" applyAlignment="1">
      <alignment horizontal="right" vertical="center" wrapText="1"/>
    </xf>
    <xf numFmtId="3" fontId="55" fillId="0" borderId="0" xfId="0" applyNumberFormat="1" applyFont="1" applyFill="1" applyBorder="1" applyAlignment="1">
      <alignment horizontal="right" vertical="center" wrapText="1"/>
    </xf>
    <xf numFmtId="3" fontId="61" fillId="0" borderId="0" xfId="0" applyNumberFormat="1" applyFont="1" applyFill="1" applyBorder="1" applyAlignment="1">
      <alignment horizontal="right" vertical="center" wrapText="1"/>
    </xf>
    <xf numFmtId="4" fontId="54" fillId="46" borderId="0" xfId="0" applyNumberFormat="1" applyFont="1" applyFill="1" applyBorder="1" applyAlignment="1">
      <alignment horizontal="right" vertical="center" wrapText="1"/>
    </xf>
    <xf numFmtId="0" fontId="106" fillId="0" borderId="0" xfId="0" applyFont="1" applyAlignment="1">
      <alignment horizontal="center" vertical="center"/>
    </xf>
    <xf numFmtId="0" fontId="106" fillId="0" borderId="0" xfId="0" applyFont="1" applyAlignment="1">
      <alignment horizontal="justify" vertical="center"/>
    </xf>
    <xf numFmtId="0" fontId="106" fillId="0" borderId="0" xfId="0" applyFont="1" applyAlignment="1">
      <alignment horizontal="right" vertical="center"/>
    </xf>
    <xf numFmtId="0" fontId="106" fillId="0" borderId="28" xfId="0" applyFont="1" applyBorder="1" applyAlignment="1">
      <alignment horizontal="center" vertical="center" wrapText="1"/>
    </xf>
    <xf numFmtId="0" fontId="106" fillId="0" borderId="25" xfId="0" applyFont="1" applyBorder="1" applyAlignment="1">
      <alignment horizontal="center" vertical="center" wrapText="1"/>
    </xf>
    <xf numFmtId="0" fontId="162" fillId="0" borderId="0" xfId="72" applyAlignment="1" applyProtection="1">
      <alignment horizontal="justify" vertical="center"/>
    </xf>
    <xf numFmtId="0" fontId="214" fillId="0" borderId="15" xfId="0" applyFont="1" applyFill="1" applyBorder="1" applyAlignment="1">
      <alignment horizontal="center" vertical="center" wrapText="1"/>
    </xf>
    <xf numFmtId="0" fontId="214" fillId="0" borderId="15" xfId="0" applyFont="1" applyFill="1" applyBorder="1" applyAlignment="1">
      <alignment horizontal="center" wrapText="1"/>
    </xf>
    <xf numFmtId="165" fontId="116" fillId="0" borderId="10" xfId="19" applyNumberFormat="1" applyFont="1" applyFill="1" applyBorder="1"/>
    <xf numFmtId="0" fontId="234" fillId="0" borderId="10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wrapText="1"/>
    </xf>
    <xf numFmtId="0" fontId="57" fillId="0" borderId="0" xfId="0" applyFont="1" applyFill="1" applyAlignment="1">
      <alignment horizontal="right" vertical="top"/>
    </xf>
    <xf numFmtId="0" fontId="65" fillId="0" borderId="0" xfId="0" applyFont="1" applyFill="1" applyBorder="1" applyAlignment="1">
      <alignment horizontal="left" vertical="center" wrapText="1" indent="1"/>
    </xf>
    <xf numFmtId="4" fontId="77" fillId="0" borderId="10" xfId="0" applyNumberFormat="1" applyFont="1" applyFill="1" applyBorder="1" applyAlignment="1">
      <alignment horizontal="center" vertical="center" wrapText="1"/>
    </xf>
    <xf numFmtId="0" fontId="55" fillId="0" borderId="0" xfId="0" applyFont="1" applyFill="1" applyAlignment="1">
      <alignment vertical="center"/>
    </xf>
    <xf numFmtId="0" fontId="55" fillId="0" borderId="0" xfId="87" applyFont="1" applyFill="1" applyAlignment="1">
      <alignment horizontal="left" vertical="center" wrapText="1"/>
    </xf>
    <xf numFmtId="0" fontId="55" fillId="0" borderId="0" xfId="0" applyFont="1" applyFill="1" applyAlignment="1">
      <alignment horizontal="center" vertical="center"/>
    </xf>
    <xf numFmtId="0" fontId="55" fillId="0" borderId="0" xfId="87" applyFont="1" applyFill="1" applyAlignment="1">
      <alignment wrapText="1"/>
    </xf>
    <xf numFmtId="0" fontId="55" fillId="0" borderId="0" xfId="0" applyFont="1" applyFill="1"/>
    <xf numFmtId="0" fontId="55" fillId="0" borderId="0" xfId="0" applyFont="1" applyFill="1" applyBorder="1"/>
    <xf numFmtId="0" fontId="55" fillId="0" borderId="28" xfId="0" applyFont="1" applyBorder="1" applyAlignment="1">
      <alignment horizontal="right" vertical="top" wrapText="1"/>
    </xf>
    <xf numFmtId="0" fontId="55" fillId="0" borderId="25" xfId="0" applyFont="1" applyBorder="1" applyAlignment="1">
      <alignment horizontal="right" vertical="top" wrapText="1"/>
    </xf>
    <xf numFmtId="0" fontId="32" fillId="0" borderId="0" xfId="0" applyFont="1" applyBorder="1" applyAlignment="1">
      <alignment vertical="center" wrapText="1"/>
    </xf>
    <xf numFmtId="2" fontId="117" fillId="0" borderId="10" xfId="0" applyNumberFormat="1" applyFont="1" applyFill="1" applyBorder="1" applyAlignment="1">
      <alignment horizontal="center" vertical="center"/>
    </xf>
    <xf numFmtId="0" fontId="214" fillId="0" borderId="13" xfId="0" applyFont="1" applyFill="1" applyBorder="1" applyAlignment="1">
      <alignment wrapText="1"/>
    </xf>
    <xf numFmtId="0" fontId="213" fillId="0" borderId="0" xfId="0" applyFont="1" applyFill="1" applyBorder="1" applyAlignment="1">
      <alignment horizontal="center" wrapText="1"/>
    </xf>
    <xf numFmtId="2" fontId="213" fillId="0" borderId="0" xfId="0" applyNumberFormat="1" applyFont="1" applyFill="1" applyBorder="1" applyAlignment="1">
      <alignment wrapText="1"/>
    </xf>
    <xf numFmtId="3" fontId="213" fillId="0" borderId="0" xfId="0" applyNumberFormat="1" applyFont="1" applyFill="1" applyAlignment="1">
      <alignment wrapText="1"/>
    </xf>
    <xf numFmtId="165" fontId="116" fillId="0" borderId="10" xfId="19" applyNumberFormat="1" applyFont="1" applyFill="1" applyBorder="1" applyAlignment="1">
      <alignment horizontal="center" vertical="center"/>
    </xf>
    <xf numFmtId="165" fontId="116" fillId="0" borderId="10" xfId="0" applyNumberFormat="1" applyFont="1" applyFill="1" applyBorder="1" applyAlignment="1">
      <alignment horizontal="center" vertical="center"/>
    </xf>
    <xf numFmtId="165" fontId="121" fillId="0" borderId="10" xfId="0" applyNumberFormat="1" applyFont="1" applyFill="1" applyBorder="1" applyAlignment="1">
      <alignment horizontal="center" vertical="center"/>
    </xf>
    <xf numFmtId="4" fontId="79" fillId="0" borderId="10" xfId="0" applyNumberFormat="1" applyFont="1" applyFill="1" applyBorder="1" applyAlignment="1">
      <alignment horizontal="right" vertical="center" wrapText="1"/>
    </xf>
    <xf numFmtId="0" fontId="55" fillId="0" borderId="0" xfId="0" applyFont="1" applyFill="1" applyAlignment="1">
      <alignment vertical="center" wrapText="1"/>
    </xf>
    <xf numFmtId="0" fontId="55" fillId="0" borderId="0" xfId="0" applyFont="1" applyFill="1" applyAlignment="1">
      <alignment wrapText="1"/>
    </xf>
    <xf numFmtId="0" fontId="170" fillId="0" borderId="10" xfId="0" applyFont="1" applyFill="1" applyBorder="1" applyAlignment="1">
      <alignment horizontal="left" vertical="center" wrapText="1"/>
    </xf>
    <xf numFmtId="0" fontId="170" fillId="0" borderId="10" xfId="0" applyFont="1" applyFill="1" applyBorder="1" applyAlignment="1">
      <alignment horizontal="center" vertical="center" wrapText="1"/>
    </xf>
    <xf numFmtId="0" fontId="55" fillId="0" borderId="10" xfId="0" applyFont="1" applyFill="1" applyBorder="1" applyAlignment="1">
      <alignment horizontal="right" wrapText="1"/>
    </xf>
    <xf numFmtId="0" fontId="55" fillId="0" borderId="0" xfId="0" applyFont="1" applyFill="1" applyBorder="1" applyAlignment="1">
      <alignment horizontal="right" wrapText="1"/>
    </xf>
    <xf numFmtId="4" fontId="88" fillId="0" borderId="10" xfId="0" applyNumberFormat="1" applyFont="1" applyFill="1" applyBorder="1" applyAlignment="1">
      <alignment horizontal="right" vertical="center" wrapText="1"/>
    </xf>
    <xf numFmtId="0" fontId="55" fillId="0" borderId="10" xfId="0" applyFont="1" applyFill="1" applyBorder="1" applyAlignment="1">
      <alignment horizontal="left" vertical="center" wrapText="1"/>
    </xf>
    <xf numFmtId="0" fontId="61" fillId="0" borderId="10" xfId="0" applyFont="1" applyFill="1" applyBorder="1" applyAlignment="1">
      <alignment horizontal="right" vertical="center" wrapText="1"/>
    </xf>
    <xf numFmtId="2" fontId="55" fillId="0" borderId="0" xfId="0" applyNumberFormat="1" applyFont="1" applyFill="1" applyAlignment="1">
      <alignment horizontal="right" wrapText="1"/>
    </xf>
    <xf numFmtId="2" fontId="55" fillId="0" borderId="0" xfId="0" applyNumberFormat="1" applyFont="1" applyFill="1" applyBorder="1" applyAlignment="1">
      <alignment horizontal="right" wrapText="1"/>
    </xf>
    <xf numFmtId="0" fontId="119" fillId="0" borderId="0" xfId="0" applyNumberFormat="1" applyFont="1" applyFill="1" applyBorder="1" applyAlignment="1" applyProtection="1">
      <alignment horizontal="center" vertical="center" wrapText="1"/>
    </xf>
    <xf numFmtId="0" fontId="119" fillId="0" borderId="0" xfId="0" applyNumberFormat="1" applyFont="1" applyFill="1" applyBorder="1" applyAlignment="1" applyProtection="1">
      <alignment horizontal="left" vertical="center" wrapText="1"/>
    </xf>
    <xf numFmtId="4" fontId="116" fillId="0" borderId="14" xfId="0" applyNumberFormat="1" applyFont="1" applyFill="1" applyBorder="1" applyAlignment="1" applyProtection="1">
      <alignment horizontal="center" vertical="center" wrapText="1" shrinkToFit="1"/>
      <protection locked="0"/>
    </xf>
    <xf numFmtId="0" fontId="116" fillId="0" borderId="14" xfId="0" applyFont="1" applyFill="1" applyBorder="1" applyAlignment="1">
      <alignment horizontal="center" vertical="center"/>
    </xf>
    <xf numFmtId="4" fontId="116" fillId="0" borderId="0" xfId="0" applyNumberFormat="1" applyFont="1" applyFill="1" applyBorder="1" applyAlignment="1" applyProtection="1">
      <alignment horizontal="center" vertical="center" wrapText="1" shrinkToFit="1"/>
      <protection locked="0"/>
    </xf>
    <xf numFmtId="0" fontId="119" fillId="0" borderId="0" xfId="0" applyFont="1" applyFill="1" applyBorder="1" applyAlignment="1">
      <alignment horizontal="left"/>
    </xf>
    <xf numFmtId="2" fontId="116" fillId="0" borderId="0" xfId="19" applyNumberFormat="1" applyFont="1" applyFill="1" applyBorder="1" applyAlignment="1"/>
    <xf numFmtId="2" fontId="116" fillId="0" borderId="0" xfId="0" applyNumberFormat="1" applyFont="1" applyFill="1" applyBorder="1" applyAlignment="1"/>
    <xf numFmtId="0" fontId="119" fillId="0" borderId="0" xfId="0" applyFont="1" applyFill="1" applyBorder="1" applyAlignment="1">
      <alignment horizontal="right"/>
    </xf>
    <xf numFmtId="0" fontId="116" fillId="0" borderId="0" xfId="0" applyFont="1" applyFill="1" applyBorder="1" applyAlignment="1">
      <alignment horizontal="center" vertical="center"/>
    </xf>
    <xf numFmtId="0" fontId="120" fillId="0" borderId="0" xfId="0" applyFont="1" applyFill="1" applyBorder="1"/>
    <xf numFmtId="0" fontId="116" fillId="0" borderId="0" xfId="0" applyFont="1" applyFill="1" applyBorder="1"/>
    <xf numFmtId="0" fontId="32" fillId="0" borderId="10" xfId="0" applyFont="1" applyBorder="1" applyAlignment="1">
      <alignment vertical="top" wrapText="1"/>
    </xf>
    <xf numFmtId="0" fontId="32" fillId="0" borderId="10" xfId="0" applyFont="1" applyBorder="1" applyAlignment="1">
      <alignment horizontal="right" vertical="top" wrapText="1"/>
    </xf>
    <xf numFmtId="0" fontId="32" fillId="0" borderId="10" xfId="0" applyFont="1" applyBorder="1" applyAlignment="1">
      <alignment wrapText="1"/>
    </xf>
    <xf numFmtId="0" fontId="236" fillId="0" borderId="10" xfId="72" applyFont="1" applyBorder="1" applyAlignment="1" applyProtection="1">
      <alignment vertical="top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66" fillId="46" borderId="10" xfId="0" applyNumberFormat="1" applyFont="1" applyFill="1" applyBorder="1" applyAlignment="1">
      <alignment horizontal="center" vertical="center" wrapText="1"/>
    </xf>
    <xf numFmtId="0" fontId="72" fillId="59" borderId="10" xfId="87" applyNumberFormat="1" applyFont="1" applyFill="1" applyBorder="1" applyAlignment="1">
      <alignment horizontal="center" vertical="center" wrapText="1"/>
    </xf>
    <xf numFmtId="0" fontId="0" fillId="0" borderId="0" xfId="0"/>
    <xf numFmtId="0" fontId="49" fillId="0" borderId="10" xfId="0" applyFont="1" applyBorder="1" applyAlignment="1">
      <alignment horizontal="right"/>
    </xf>
    <xf numFmtId="0" fontId="48" fillId="0" borderId="10" xfId="0" applyFont="1" applyBorder="1" applyAlignment="1">
      <alignment horizontal="center" wrapText="1"/>
    </xf>
    <xf numFmtId="0" fontId="48" fillId="0" borderId="10" xfId="0" applyFont="1" applyBorder="1" applyAlignment="1">
      <alignment horizontal="right"/>
    </xf>
    <xf numFmtId="0" fontId="106" fillId="0" borderId="0" xfId="0" applyFont="1" applyAlignment="1">
      <alignment wrapText="1"/>
    </xf>
    <xf numFmtId="0" fontId="32" fillId="0" borderId="11" xfId="0" applyFont="1" applyBorder="1" applyAlignment="1">
      <alignment horizontal="right" vertical="top" wrapText="1"/>
    </xf>
    <xf numFmtId="0" fontId="32" fillId="0" borderId="18" xfId="0" applyFont="1" applyBorder="1" applyAlignment="1">
      <alignment horizontal="right" vertical="top" wrapText="1"/>
    </xf>
    <xf numFmtId="0" fontId="32" fillId="0" borderId="13" xfId="0" applyFont="1" applyBorder="1" applyAlignment="1">
      <alignment horizontal="right" vertical="top" wrapText="1"/>
    </xf>
    <xf numFmtId="0" fontId="32" fillId="0" borderId="53" xfId="0" applyFont="1" applyBorder="1" applyAlignment="1">
      <alignment horizontal="right" vertical="top" wrapText="1"/>
    </xf>
    <xf numFmtId="0" fontId="32" fillId="0" borderId="54" xfId="0" applyFont="1" applyBorder="1" applyAlignment="1">
      <alignment horizontal="right" vertical="top" wrapText="1"/>
    </xf>
    <xf numFmtId="0" fontId="116" fillId="0" borderId="10" xfId="0" applyNumberFormat="1" applyFont="1" applyFill="1" applyBorder="1" applyAlignment="1" applyProtection="1">
      <alignment horizontal="left" vertical="center" wrapText="1" shrinkToFit="1"/>
      <protection locked="0"/>
    </xf>
    <xf numFmtId="4" fontId="116" fillId="0" borderId="0" xfId="0" applyNumberFormat="1" applyFont="1" applyFill="1" applyAlignment="1">
      <alignment horizontal="center" vertical="center"/>
    </xf>
    <xf numFmtId="0" fontId="116" fillId="0" borderId="0" xfId="0" applyNumberFormat="1" applyFont="1" applyFill="1" applyBorder="1" applyAlignment="1" applyProtection="1">
      <alignment horizontal="center" vertical="center" wrapText="1"/>
    </xf>
    <xf numFmtId="4" fontId="116" fillId="0" borderId="0" xfId="0" applyNumberFormat="1" applyFont="1" applyFill="1" applyBorder="1" applyAlignment="1">
      <alignment horizontal="center" vertical="center"/>
    </xf>
    <xf numFmtId="0" fontId="116" fillId="0" borderId="0" xfId="0" applyFont="1" applyFill="1" applyAlignment="1">
      <alignment horizontal="center" vertical="center"/>
    </xf>
    <xf numFmtId="0" fontId="116" fillId="0" borderId="0" xfId="0" applyFont="1" applyFill="1" applyAlignment="1">
      <alignment horizontal="center" vertical="center" wrapText="1"/>
    </xf>
    <xf numFmtId="0" fontId="196" fillId="0" borderId="0" xfId="0" applyFont="1"/>
    <xf numFmtId="0" fontId="174" fillId="0" borderId="0" xfId="0" applyFont="1"/>
    <xf numFmtId="0" fontId="174" fillId="0" borderId="0" xfId="0" applyFont="1" applyAlignment="1">
      <alignment horizontal="left" vertical="center"/>
    </xf>
    <xf numFmtId="0" fontId="174" fillId="0" borderId="0" xfId="0" applyFont="1" applyAlignment="1">
      <alignment horizontal="center" vertical="center"/>
    </xf>
    <xf numFmtId="0" fontId="175" fillId="42" borderId="18" xfId="0" applyFont="1" applyFill="1" applyBorder="1" applyAlignment="1">
      <alignment horizontal="center" vertical="center" wrapText="1"/>
    </xf>
    <xf numFmtId="0" fontId="175" fillId="42" borderId="10" xfId="0" applyFont="1" applyFill="1" applyBorder="1" applyAlignment="1">
      <alignment horizontal="center" vertical="center" wrapText="1"/>
    </xf>
    <xf numFmtId="0" fontId="181" fillId="0" borderId="10" xfId="0" applyFont="1" applyBorder="1" applyAlignment="1">
      <alignment vertical="center" wrapText="1"/>
    </xf>
    <xf numFmtId="165" fontId="26" fillId="42" borderId="18" xfId="0" applyNumberFormat="1" applyFont="1" applyFill="1" applyBorder="1" applyAlignment="1">
      <alignment horizontal="right" vertical="center" wrapText="1"/>
    </xf>
    <xf numFmtId="165" fontId="26" fillId="0" borderId="10" xfId="0" applyNumberFormat="1" applyFont="1" applyBorder="1" applyAlignment="1">
      <alignment horizontal="right" vertical="center" wrapText="1"/>
    </xf>
    <xf numFmtId="165" fontId="26" fillId="42" borderId="10" xfId="0" applyNumberFormat="1" applyFont="1" applyFill="1" applyBorder="1" applyAlignment="1">
      <alignment horizontal="right" vertical="center" wrapText="1"/>
    </xf>
    <xf numFmtId="0" fontId="174" fillId="0" borderId="10" xfId="0" applyFont="1" applyBorder="1" applyAlignment="1">
      <alignment vertical="center" wrapText="1"/>
    </xf>
    <xf numFmtId="165" fontId="32" fillId="42" borderId="18" xfId="0" applyNumberFormat="1" applyFont="1" applyFill="1" applyBorder="1" applyAlignment="1">
      <alignment horizontal="right" vertical="center" wrapText="1"/>
    </xf>
    <xf numFmtId="165" fontId="32" fillId="0" borderId="10" xfId="0" applyNumberFormat="1" applyFont="1" applyBorder="1" applyAlignment="1">
      <alignment horizontal="right" vertical="center" wrapText="1"/>
    </xf>
    <xf numFmtId="165" fontId="32" fillId="42" borderId="10" xfId="0" applyNumberFormat="1" applyFont="1" applyFill="1" applyBorder="1" applyAlignment="1">
      <alignment horizontal="right" vertical="center" wrapText="1"/>
    </xf>
    <xf numFmtId="0" fontId="181" fillId="0" borderId="0" xfId="0" applyFont="1"/>
    <xf numFmtId="0" fontId="181" fillId="0" borderId="10" xfId="0" applyFont="1" applyBorder="1" applyAlignment="1">
      <alignment horizontal="left" vertical="center"/>
    </xf>
    <xf numFmtId="165" fontId="26" fillId="0" borderId="10" xfId="0" applyNumberFormat="1" applyFont="1" applyBorder="1" applyAlignment="1">
      <alignment horizontal="right" vertical="center"/>
    </xf>
    <xf numFmtId="165" fontId="41" fillId="0" borderId="10" xfId="0" applyNumberFormat="1" applyFont="1" applyFill="1" applyBorder="1" applyAlignment="1">
      <alignment horizontal="center" vertical="center" wrapText="1"/>
    </xf>
    <xf numFmtId="165" fontId="78" fillId="0" borderId="10" xfId="0" applyNumberFormat="1" applyFont="1" applyFill="1" applyBorder="1" applyAlignment="1">
      <alignment horizontal="center" vertical="center" wrapText="1"/>
    </xf>
    <xf numFmtId="165" fontId="78" fillId="0" borderId="10" xfId="0" applyNumberFormat="1" applyFont="1" applyFill="1" applyBorder="1" applyAlignment="1">
      <alignment horizontal="right" vertical="center" wrapText="1"/>
    </xf>
    <xf numFmtId="165" fontId="42" fillId="0" borderId="10" xfId="0" applyNumberFormat="1" applyFont="1" applyFill="1" applyBorder="1" applyAlignment="1">
      <alignment horizontal="right" vertical="center" wrapText="1"/>
    </xf>
    <xf numFmtId="165" fontId="80" fillId="0" borderId="10" xfId="0" applyNumberFormat="1" applyFont="1" applyFill="1" applyBorder="1" applyAlignment="1">
      <alignment horizontal="right" vertical="center" wrapText="1"/>
    </xf>
    <xf numFmtId="165" fontId="3" fillId="0" borderId="10" xfId="0" applyNumberFormat="1" applyFont="1" applyFill="1" applyBorder="1" applyAlignment="1">
      <alignment horizontal="center" vertical="center" wrapText="1"/>
    </xf>
    <xf numFmtId="165" fontId="41" fillId="0" borderId="10" xfId="0" applyNumberFormat="1" applyFont="1" applyFill="1" applyBorder="1" applyAlignment="1">
      <alignment horizontal="right" vertical="center" wrapText="1"/>
    </xf>
    <xf numFmtId="0" fontId="45" fillId="0" borderId="0" xfId="0" applyFont="1" applyFill="1" applyAlignment="1">
      <alignment wrapText="1"/>
    </xf>
    <xf numFmtId="0" fontId="45" fillId="0" borderId="10" xfId="0" applyFont="1" applyFill="1" applyBorder="1" applyAlignment="1">
      <alignment vertical="top" wrapText="1"/>
    </xf>
    <xf numFmtId="0" fontId="45" fillId="0" borderId="10" xfId="0" applyFont="1" applyFill="1" applyBorder="1" applyAlignment="1">
      <alignment wrapText="1"/>
    </xf>
    <xf numFmtId="0" fontId="45" fillId="0" borderId="0" xfId="0" applyFont="1" applyFill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45" fillId="0" borderId="0" xfId="0" applyFont="1" applyFill="1" applyAlignment="1">
      <alignment horizontal="right" vertical="center" wrapText="1"/>
    </xf>
    <xf numFmtId="0" fontId="45" fillId="0" borderId="10" xfId="0" applyFont="1" applyFill="1" applyBorder="1" applyAlignment="1">
      <alignment horizontal="right" vertical="center" wrapText="1"/>
    </xf>
    <xf numFmtId="0" fontId="48" fillId="0" borderId="10" xfId="0" applyFont="1" applyBorder="1" applyAlignment="1">
      <alignment horizontal="right"/>
    </xf>
    <xf numFmtId="0" fontId="106" fillId="0" borderId="0" xfId="0" applyFont="1" applyAlignment="1">
      <alignment vertical="top" wrapText="1"/>
    </xf>
    <xf numFmtId="0" fontId="143" fillId="74" borderId="0" xfId="0" applyFont="1" applyFill="1" applyAlignment="1">
      <alignment vertical="top" wrapText="1"/>
    </xf>
    <xf numFmtId="4" fontId="143" fillId="74" borderId="0" xfId="0" applyNumberFormat="1" applyFont="1" applyFill="1" applyAlignment="1">
      <alignment horizontal="right" vertical="top" wrapText="1"/>
    </xf>
    <xf numFmtId="0" fontId="48" fillId="74" borderId="0" xfId="0" applyFont="1" applyFill="1" applyAlignment="1">
      <alignment horizontal="right" vertical="top" wrapText="1"/>
    </xf>
    <xf numFmtId="0" fontId="26" fillId="0" borderId="10" xfId="0" applyFont="1" applyBorder="1" applyAlignment="1">
      <alignment horizontal="center" vertical="top" wrapText="1"/>
    </xf>
    <xf numFmtId="4" fontId="26" fillId="74" borderId="10" xfId="0" applyNumberFormat="1" applyFont="1" applyFill="1" applyBorder="1" applyAlignment="1">
      <alignment horizontal="right" vertical="top" wrapText="1"/>
    </xf>
    <xf numFmtId="0" fontId="240" fillId="0" borderId="10" xfId="0" applyFont="1" applyBorder="1" applyAlignment="1">
      <alignment vertical="top" wrapText="1"/>
    </xf>
    <xf numFmtId="0" fontId="241" fillId="0" borderId="10" xfId="0" applyFont="1" applyBorder="1" applyAlignment="1">
      <alignment horizontal="center" vertical="top" wrapText="1"/>
    </xf>
    <xf numFmtId="4" fontId="240" fillId="74" borderId="10" xfId="0" applyNumberFormat="1" applyFont="1" applyFill="1" applyBorder="1" applyAlignment="1">
      <alignment horizontal="right" vertical="top" wrapText="1"/>
    </xf>
    <xf numFmtId="0" fontId="26" fillId="0" borderId="10" xfId="0" applyFont="1" applyBorder="1" applyAlignment="1">
      <alignment horizontal="justify" vertical="top" wrapText="1"/>
    </xf>
    <xf numFmtId="4" fontId="49" fillId="74" borderId="10" xfId="0" applyNumberFormat="1" applyFont="1" applyFill="1" applyBorder="1" applyAlignment="1">
      <alignment horizontal="right" vertical="top" wrapText="1"/>
    </xf>
    <xf numFmtId="4" fontId="203" fillId="74" borderId="10" xfId="0" applyNumberFormat="1" applyFont="1" applyFill="1" applyBorder="1" applyAlignment="1">
      <alignment horizontal="right" vertical="top" wrapText="1"/>
    </xf>
    <xf numFmtId="4" fontId="48" fillId="74" borderId="10" xfId="0" applyNumberFormat="1" applyFont="1" applyFill="1" applyBorder="1" applyAlignment="1">
      <alignment horizontal="right" vertical="top" wrapText="1"/>
    </xf>
    <xf numFmtId="0" fontId="48" fillId="74" borderId="10" xfId="0" applyFont="1" applyFill="1" applyBorder="1" applyAlignment="1">
      <alignment horizontal="right" vertical="top" wrapText="1"/>
    </xf>
    <xf numFmtId="0" fontId="203" fillId="74" borderId="10" xfId="0" applyFont="1" applyFill="1" applyBorder="1" applyAlignment="1">
      <alignment horizontal="right" vertical="top" wrapText="1"/>
    </xf>
    <xf numFmtId="0" fontId="45" fillId="0" borderId="10" xfId="0" applyFont="1" applyBorder="1" applyAlignment="1">
      <alignment horizontal="center" vertical="top" wrapText="1"/>
    </xf>
    <xf numFmtId="4" fontId="133" fillId="74" borderId="10" xfId="0" applyNumberFormat="1" applyFont="1" applyFill="1" applyBorder="1" applyAlignment="1">
      <alignment horizontal="right" vertical="top" wrapText="1"/>
    </xf>
    <xf numFmtId="0" fontId="204" fillId="0" borderId="10" xfId="0" applyFont="1" applyBorder="1" applyAlignment="1">
      <alignment vertical="top" wrapText="1"/>
    </xf>
    <xf numFmtId="0" fontId="204" fillId="0" borderId="10" xfId="0" applyFont="1" applyBorder="1" applyAlignment="1">
      <alignment horizontal="center" vertical="top" wrapText="1"/>
    </xf>
    <xf numFmtId="0" fontId="205" fillId="0" borderId="10" xfId="0" applyFont="1" applyBorder="1" applyAlignment="1">
      <alignment horizontal="center" vertical="top" wrapText="1"/>
    </xf>
    <xf numFmtId="4" fontId="204" fillId="74" borderId="10" xfId="0" applyNumberFormat="1" applyFont="1" applyFill="1" applyBorder="1" applyAlignment="1">
      <alignment horizontal="right" vertical="top" wrapText="1"/>
    </xf>
    <xf numFmtId="0" fontId="205" fillId="0" borderId="10" xfId="0" applyFont="1" applyBorder="1" applyAlignment="1">
      <alignment vertical="top" wrapText="1"/>
    </xf>
    <xf numFmtId="0" fontId="205" fillId="0" borderId="10" xfId="0" applyFont="1" applyBorder="1" applyAlignment="1">
      <alignment horizontal="right" vertical="top" wrapText="1"/>
    </xf>
    <xf numFmtId="4" fontId="205" fillId="74" borderId="10" xfId="0" applyNumberFormat="1" applyFont="1" applyFill="1" applyBorder="1" applyAlignment="1">
      <alignment horizontal="right" vertical="top" wrapText="1"/>
    </xf>
    <xf numFmtId="0" fontId="207" fillId="74" borderId="10" xfId="0" applyFont="1" applyFill="1" applyBorder="1" applyAlignment="1">
      <alignment horizontal="right" vertical="top" wrapText="1"/>
    </xf>
    <xf numFmtId="0" fontId="203" fillId="0" borderId="10" xfId="0" applyFont="1" applyBorder="1" applyAlignment="1">
      <alignment horizontal="right" vertical="top" wrapText="1"/>
    </xf>
    <xf numFmtId="4" fontId="45" fillId="74" borderId="10" xfId="0" applyNumberFormat="1" applyFont="1" applyFill="1" applyBorder="1" applyAlignment="1">
      <alignment horizontal="right" vertical="top" wrapText="1"/>
    </xf>
    <xf numFmtId="0" fontId="45" fillId="74" borderId="10" xfId="0" applyFont="1" applyFill="1" applyBorder="1" applyAlignment="1">
      <alignment horizontal="right" vertical="top" wrapText="1"/>
    </xf>
    <xf numFmtId="0" fontId="45" fillId="0" borderId="10" xfId="0" applyFont="1" applyBorder="1" applyAlignment="1">
      <alignment horizontal="right" vertical="top" wrapText="1"/>
    </xf>
    <xf numFmtId="0" fontId="208" fillId="0" borderId="10" xfId="0" applyFont="1" applyBorder="1" applyAlignment="1">
      <alignment horizontal="right" vertical="top" wrapText="1"/>
    </xf>
    <xf numFmtId="0" fontId="209" fillId="0" borderId="10" xfId="0" applyFont="1" applyBorder="1" applyAlignment="1">
      <alignment horizontal="center" vertical="top" wrapText="1"/>
    </xf>
    <xf numFmtId="0" fontId="210" fillId="0" borderId="10" xfId="0" applyFont="1" applyBorder="1" applyAlignment="1">
      <alignment vertical="top" wrapText="1"/>
    </xf>
    <xf numFmtId="4" fontId="211" fillId="74" borderId="10" xfId="0" applyNumberFormat="1" applyFont="1" applyFill="1" applyBorder="1" applyAlignment="1">
      <alignment horizontal="right" vertical="top" wrapText="1"/>
    </xf>
    <xf numFmtId="0" fontId="218" fillId="74" borderId="10" xfId="0" applyFont="1" applyFill="1" applyBorder="1" applyAlignment="1">
      <alignment horizontal="right" vertical="top" wrapText="1"/>
    </xf>
    <xf numFmtId="0" fontId="212" fillId="0" borderId="10" xfId="0" applyFont="1" applyBorder="1" applyAlignment="1">
      <alignment vertical="top" wrapText="1"/>
    </xf>
    <xf numFmtId="0" fontId="208" fillId="74" borderId="10" xfId="0" applyFont="1" applyFill="1" applyBorder="1" applyAlignment="1">
      <alignment horizontal="right" vertical="top" wrapText="1"/>
    </xf>
    <xf numFmtId="0" fontId="45" fillId="74" borderId="10" xfId="0" applyFont="1" applyFill="1" applyBorder="1" applyAlignment="1">
      <alignment horizontal="right" wrapText="1"/>
    </xf>
    <xf numFmtId="4" fontId="207" fillId="74" borderId="10" xfId="0" applyNumberFormat="1" applyFont="1" applyFill="1" applyBorder="1" applyAlignment="1">
      <alignment horizontal="right" vertical="top" wrapText="1"/>
    </xf>
    <xf numFmtId="0" fontId="133" fillId="0" borderId="10" xfId="0" applyFont="1" applyBorder="1" applyAlignment="1">
      <alignment horizontal="center" vertical="top" wrapText="1"/>
    </xf>
    <xf numFmtId="0" fontId="93" fillId="0" borderId="10" xfId="0" applyFont="1" applyBorder="1" applyAlignment="1">
      <alignment horizontal="center" vertical="top" wrapText="1"/>
    </xf>
    <xf numFmtId="0" fontId="240" fillId="0" borderId="10" xfId="0" applyFont="1" applyBorder="1" applyAlignment="1">
      <alignment horizontal="center" vertical="top" wrapText="1"/>
    </xf>
    <xf numFmtId="0" fontId="203" fillId="0" borderId="10" xfId="0" applyFont="1" applyBorder="1" applyAlignment="1">
      <alignment horizontal="center" vertical="top" wrapText="1"/>
    </xf>
    <xf numFmtId="0" fontId="45" fillId="0" borderId="10" xfId="0" applyFont="1" applyBorder="1" applyAlignment="1">
      <alignment horizontal="center" vertical="top" wrapText="1"/>
    </xf>
    <xf numFmtId="0" fontId="48" fillId="0" borderId="10" xfId="0" applyFont="1" applyBorder="1" applyAlignment="1">
      <alignment horizontal="center" vertical="top" wrapText="1"/>
    </xf>
    <xf numFmtId="0" fontId="48" fillId="74" borderId="10" xfId="0" applyFont="1" applyFill="1" applyBorder="1" applyAlignment="1">
      <alignment horizontal="right" vertical="top" wrapText="1"/>
    </xf>
    <xf numFmtId="0" fontId="45" fillId="51" borderId="10" xfId="0" applyFont="1" applyFill="1" applyBorder="1" applyAlignment="1">
      <alignment horizontal="center" vertical="top" wrapText="1"/>
    </xf>
    <xf numFmtId="4" fontId="49" fillId="51" borderId="10" xfId="0" applyNumberFormat="1" applyFont="1" applyFill="1" applyBorder="1" applyAlignment="1">
      <alignment horizontal="right" vertical="top" wrapText="1"/>
    </xf>
    <xf numFmtId="0" fontId="48" fillId="51" borderId="10" xfId="0" applyFont="1" applyFill="1" applyBorder="1" applyAlignment="1">
      <alignment vertical="top" wrapText="1"/>
    </xf>
    <xf numFmtId="0" fontId="48" fillId="51" borderId="10" xfId="0" applyFont="1" applyFill="1" applyBorder="1" applyAlignment="1">
      <alignment horizontal="center" vertical="top" wrapText="1"/>
    </xf>
    <xf numFmtId="0" fontId="203" fillId="51" borderId="10" xfId="0" applyFont="1" applyFill="1" applyBorder="1" applyAlignment="1">
      <alignment vertical="top" wrapText="1"/>
    </xf>
    <xf numFmtId="0" fontId="203" fillId="51" borderId="10" xfId="0" applyFont="1" applyFill="1" applyBorder="1" applyAlignment="1">
      <alignment horizontal="center" vertical="top" wrapText="1"/>
    </xf>
    <xf numFmtId="0" fontId="206" fillId="0" borderId="10" xfId="0" applyFont="1" applyBorder="1" applyAlignment="1">
      <alignment horizontal="center" vertical="top" wrapText="1"/>
    </xf>
    <xf numFmtId="0" fontId="219" fillId="0" borderId="10" xfId="0" applyFont="1" applyBorder="1" applyAlignment="1">
      <alignment vertical="top" wrapText="1"/>
    </xf>
    <xf numFmtId="0" fontId="199" fillId="0" borderId="10" xfId="0" applyFont="1" applyBorder="1" applyAlignment="1">
      <alignment horizontal="center" vertical="top" wrapText="1"/>
    </xf>
    <xf numFmtId="0" fontId="199" fillId="74" borderId="10" xfId="0" applyFont="1" applyFill="1" applyBorder="1" applyAlignment="1">
      <alignment horizontal="right" vertical="top" wrapText="1"/>
    </xf>
    <xf numFmtId="4" fontId="45" fillId="51" borderId="10" xfId="0" applyNumberFormat="1" applyFont="1" applyFill="1" applyBorder="1" applyAlignment="1">
      <alignment horizontal="right"/>
    </xf>
    <xf numFmtId="4" fontId="45" fillId="51" borderId="10" xfId="0" applyNumberFormat="1" applyFont="1" applyFill="1" applyBorder="1" applyAlignment="1">
      <alignment horizontal="right" vertical="top" wrapText="1"/>
    </xf>
    <xf numFmtId="0" fontId="205" fillId="51" borderId="10" xfId="0" applyFont="1" applyFill="1" applyBorder="1" applyAlignment="1">
      <alignment vertical="top" wrapText="1"/>
    </xf>
    <xf numFmtId="0" fontId="204" fillId="51" borderId="10" xfId="0" applyFont="1" applyFill="1" applyBorder="1" applyAlignment="1">
      <alignment horizontal="center" vertical="top" wrapText="1"/>
    </xf>
    <xf numFmtId="0" fontId="205" fillId="51" borderId="10" xfId="0" applyFont="1" applyFill="1" applyBorder="1" applyAlignment="1">
      <alignment horizontal="center" vertical="top" wrapText="1"/>
    </xf>
    <xf numFmtId="4" fontId="115" fillId="51" borderId="10" xfId="0" applyNumberFormat="1" applyFont="1" applyFill="1" applyBorder="1" applyAlignment="1">
      <alignment horizontal="right" vertical="top" wrapText="1"/>
    </xf>
    <xf numFmtId="0" fontId="115" fillId="51" borderId="10" xfId="0" applyFont="1" applyFill="1" applyBorder="1" applyAlignment="1">
      <alignment horizontal="right" vertical="top" wrapText="1"/>
    </xf>
    <xf numFmtId="0" fontId="133" fillId="51" borderId="10" xfId="0" applyFont="1" applyFill="1" applyBorder="1" applyAlignment="1">
      <alignment horizontal="right" vertical="top" wrapText="1"/>
    </xf>
    <xf numFmtId="4" fontId="206" fillId="74" borderId="10" xfId="0" applyNumberFormat="1" applyFont="1" applyFill="1" applyBorder="1" applyAlignment="1">
      <alignment horizontal="right" vertical="top" wrapText="1"/>
    </xf>
    <xf numFmtId="0" fontId="48" fillId="42" borderId="10" xfId="0" applyFont="1" applyFill="1" applyBorder="1" applyAlignment="1">
      <alignment vertical="top" wrapText="1"/>
    </xf>
    <xf numFmtId="0" fontId="48" fillId="42" borderId="10" xfId="0" applyFont="1" applyFill="1" applyBorder="1" applyAlignment="1">
      <alignment horizontal="center" vertical="top" wrapText="1"/>
    </xf>
    <xf numFmtId="0" fontId="45" fillId="42" borderId="10" xfId="0" applyFont="1" applyFill="1" applyBorder="1" applyAlignment="1">
      <alignment horizontal="center" vertical="top" wrapText="1"/>
    </xf>
    <xf numFmtId="0" fontId="45" fillId="42" borderId="10" xfId="0" applyFont="1" applyFill="1" applyBorder="1" applyAlignment="1">
      <alignment horizontal="right"/>
    </xf>
    <xf numFmtId="0" fontId="205" fillId="75" borderId="10" xfId="0" applyFont="1" applyFill="1" applyBorder="1" applyAlignment="1">
      <alignment vertical="top" wrapText="1"/>
    </xf>
    <xf numFmtId="0" fontId="48" fillId="75" borderId="10" xfId="0" applyFont="1" applyFill="1" applyBorder="1" applyAlignment="1">
      <alignment horizontal="center" vertical="top" wrapText="1"/>
    </xf>
    <xf numFmtId="0" fontId="45" fillId="75" borderId="10" xfId="0" applyFont="1" applyFill="1" applyBorder="1" applyAlignment="1">
      <alignment horizontal="center" vertical="top" wrapText="1"/>
    </xf>
    <xf numFmtId="0" fontId="205" fillId="75" borderId="10" xfId="0" applyFont="1" applyFill="1" applyBorder="1" applyAlignment="1">
      <alignment horizontal="center" vertical="top" wrapText="1"/>
    </xf>
    <xf numFmtId="4" fontId="205" fillId="75" borderId="10" xfId="0" applyNumberFormat="1" applyFont="1" applyFill="1" applyBorder="1" applyAlignment="1">
      <alignment horizontal="right" vertical="top" wrapText="1"/>
    </xf>
    <xf numFmtId="0" fontId="203" fillId="75" borderId="10" xfId="0" applyFont="1" applyFill="1" applyBorder="1" applyAlignment="1">
      <alignment vertical="top" wrapText="1"/>
    </xf>
    <xf numFmtId="0" fontId="203" fillId="75" borderId="10" xfId="0" applyFont="1" applyFill="1" applyBorder="1" applyAlignment="1">
      <alignment horizontal="center" vertical="top" wrapText="1"/>
    </xf>
    <xf numFmtId="4" fontId="203" fillId="75" borderId="10" xfId="0" applyNumberFormat="1" applyFont="1" applyFill="1" applyBorder="1" applyAlignment="1">
      <alignment horizontal="right" vertical="top" wrapText="1"/>
    </xf>
    <xf numFmtId="0" fontId="48" fillId="75" borderId="10" xfId="0" applyFont="1" applyFill="1" applyBorder="1" applyAlignment="1">
      <alignment vertical="top" wrapText="1"/>
    </xf>
    <xf numFmtId="0" fontId="45" fillId="75" borderId="10" xfId="0" applyFont="1" applyFill="1" applyBorder="1" applyAlignment="1">
      <alignment horizontal="right" vertical="top" wrapText="1"/>
    </xf>
    <xf numFmtId="4" fontId="45" fillId="75" borderId="10" xfId="0" applyNumberFormat="1" applyFont="1" applyFill="1" applyBorder="1" applyAlignment="1">
      <alignment horizontal="right" vertical="top" wrapText="1"/>
    </xf>
    <xf numFmtId="4" fontId="205" fillId="51" borderId="10" xfId="0" applyNumberFormat="1" applyFont="1" applyFill="1" applyBorder="1" applyAlignment="1">
      <alignment horizontal="right" vertical="top" wrapText="1"/>
    </xf>
    <xf numFmtId="4" fontId="203" fillId="51" borderId="10" xfId="0" applyNumberFormat="1" applyFont="1" applyFill="1" applyBorder="1" applyAlignment="1">
      <alignment horizontal="right" vertical="top" wrapText="1"/>
    </xf>
    <xf numFmtId="0" fontId="45" fillId="51" borderId="10" xfId="0" applyFont="1" applyFill="1" applyBorder="1" applyAlignment="1">
      <alignment horizontal="right" vertical="top" wrapText="1"/>
    </xf>
    <xf numFmtId="0" fontId="207" fillId="51" borderId="10" xfId="0" applyFont="1" applyFill="1" applyBorder="1" applyAlignment="1">
      <alignment horizontal="right" vertical="top" wrapText="1"/>
    </xf>
    <xf numFmtId="4" fontId="203" fillId="0" borderId="10" xfId="0" applyNumberFormat="1" applyFont="1" applyBorder="1" applyAlignment="1">
      <alignment horizontal="right" vertical="top" wrapText="1"/>
    </xf>
    <xf numFmtId="0" fontId="207" fillId="0" borderId="10" xfId="0" applyFont="1" applyBorder="1" applyAlignment="1">
      <alignment horizontal="right" vertical="top" wrapText="1"/>
    </xf>
    <xf numFmtId="0" fontId="48" fillId="74" borderId="10" xfId="0" applyFont="1" applyFill="1" applyBorder="1" applyAlignment="1">
      <alignment horizontal="right"/>
    </xf>
    <xf numFmtId="0" fontId="49" fillId="74" borderId="10" xfId="0" applyFont="1" applyFill="1" applyBorder="1" applyAlignment="1">
      <alignment horizontal="right" vertical="top" wrapText="1"/>
    </xf>
    <xf numFmtId="0" fontId="206" fillId="74" borderId="10" xfId="0" applyFont="1" applyFill="1" applyBorder="1" applyAlignment="1">
      <alignment horizontal="right" vertical="top" wrapText="1"/>
    </xf>
    <xf numFmtId="0" fontId="161" fillId="0" borderId="10" xfId="0" applyFont="1" applyBorder="1" applyAlignment="1">
      <alignment vertical="top" wrapText="1"/>
    </xf>
    <xf numFmtId="4" fontId="49" fillId="0" borderId="10" xfId="0" applyNumberFormat="1" applyFont="1" applyBorder="1" applyAlignment="1">
      <alignment horizontal="right" vertical="top" wrapText="1"/>
    </xf>
    <xf numFmtId="0" fontId="207" fillId="0" borderId="10" xfId="0" applyFont="1" applyBorder="1" applyAlignment="1">
      <alignment vertical="top" wrapText="1"/>
    </xf>
    <xf numFmtId="0" fontId="207" fillId="0" borderId="10" xfId="0" applyFont="1" applyBorder="1" applyAlignment="1">
      <alignment horizontal="center" vertical="top" wrapText="1"/>
    </xf>
    <xf numFmtId="4" fontId="244" fillId="0" borderId="10" xfId="0" applyNumberFormat="1" applyFont="1" applyBorder="1" applyAlignment="1">
      <alignment horizontal="right" wrapText="1"/>
    </xf>
    <xf numFmtId="4" fontId="244" fillId="0" borderId="10" xfId="0" applyNumberFormat="1" applyFont="1" applyBorder="1" applyAlignment="1">
      <alignment horizontal="right" vertical="top" wrapText="1"/>
    </xf>
    <xf numFmtId="0" fontId="244" fillId="0" borderId="10" xfId="0" applyFont="1" applyBorder="1" applyAlignment="1">
      <alignment horizontal="right" wrapText="1"/>
    </xf>
    <xf numFmtId="0" fontId="244" fillId="0" borderId="10" xfId="0" applyFont="1" applyBorder="1" applyAlignment="1">
      <alignment horizontal="right" vertical="top" wrapText="1"/>
    </xf>
    <xf numFmtId="0" fontId="206" fillId="0" borderId="10" xfId="0" applyFont="1" applyBorder="1" applyAlignment="1">
      <alignment vertical="top" wrapText="1"/>
    </xf>
    <xf numFmtId="0" fontId="48" fillId="0" borderId="10" xfId="0" applyFont="1" applyBorder="1" applyAlignment="1">
      <alignment horizontal="right" vertical="top" wrapText="1"/>
    </xf>
    <xf numFmtId="0" fontId="133" fillId="74" borderId="10" xfId="0" applyFont="1" applyFill="1" applyBorder="1" applyAlignment="1">
      <alignment horizontal="right" vertical="top" wrapText="1"/>
    </xf>
    <xf numFmtId="0" fontId="49" fillId="0" borderId="10" xfId="0" applyFont="1" applyBorder="1" applyAlignment="1">
      <alignment horizontal="justify" vertical="top" wrapText="1"/>
    </xf>
    <xf numFmtId="0" fontId="26" fillId="0" borderId="10" xfId="0" applyFont="1" applyBorder="1" applyAlignment="1">
      <alignment horizontal="right" vertical="top" wrapText="1"/>
    </xf>
    <xf numFmtId="0" fontId="26" fillId="74" borderId="10" xfId="0" applyFont="1" applyFill="1" applyBorder="1" applyAlignment="1">
      <alignment horizontal="right" vertical="top" wrapText="1"/>
    </xf>
    <xf numFmtId="0" fontId="144" fillId="42" borderId="10" xfId="0" applyFont="1" applyFill="1" applyBorder="1" applyAlignment="1">
      <alignment horizontal="center" vertical="top" wrapText="1"/>
    </xf>
    <xf numFmtId="0" fontId="145" fillId="42" borderId="10" xfId="0" applyFont="1" applyFill="1" applyBorder="1" applyAlignment="1">
      <alignment horizontal="center" vertical="top" wrapText="1"/>
    </xf>
    <xf numFmtId="0" fontId="49" fillId="0" borderId="10" xfId="0" applyFont="1" applyBorder="1" applyAlignment="1">
      <alignment horizontal="right" vertical="top" wrapText="1"/>
    </xf>
    <xf numFmtId="0" fontId="48" fillId="0" borderId="10" xfId="0" applyFont="1" applyBorder="1" applyAlignment="1">
      <alignment horizontal="justify" vertical="top" wrapText="1"/>
    </xf>
    <xf numFmtId="0" fontId="175" fillId="38" borderId="10" xfId="0" applyFont="1" applyFill="1" applyBorder="1" applyAlignment="1">
      <alignment horizontal="center" vertical="top" wrapText="1"/>
    </xf>
    <xf numFmtId="0" fontId="106" fillId="0" borderId="0" xfId="0" applyFont="1" applyAlignment="1">
      <alignment horizontal="center" vertical="center" wrapText="1"/>
    </xf>
    <xf numFmtId="0" fontId="45" fillId="0" borderId="0" xfId="0" applyFont="1" applyFill="1" applyBorder="1" applyAlignment="1">
      <alignment horizontal="right" vertical="center" wrapText="1"/>
    </xf>
    <xf numFmtId="4" fontId="45" fillId="0" borderId="0" xfId="0" applyNumberFormat="1" applyFont="1" applyFill="1" applyAlignment="1">
      <alignment wrapText="1"/>
    </xf>
    <xf numFmtId="4" fontId="106" fillId="0" borderId="0" xfId="0" applyNumberFormat="1" applyFont="1" applyAlignment="1">
      <alignment wrapText="1"/>
    </xf>
    <xf numFmtId="0" fontId="143" fillId="0" borderId="0" xfId="0" applyFont="1" applyFill="1" applyAlignment="1">
      <alignment vertical="top" wrapText="1"/>
    </xf>
    <xf numFmtId="0" fontId="106" fillId="0" borderId="0" xfId="0" applyFont="1" applyFill="1" applyAlignment="1">
      <alignment wrapText="1"/>
    </xf>
    <xf numFmtId="4" fontId="143" fillId="0" borderId="0" xfId="0" applyNumberFormat="1" applyFont="1" applyFill="1" applyAlignment="1">
      <alignment horizontal="right" vertical="top" wrapText="1"/>
    </xf>
    <xf numFmtId="0" fontId="48" fillId="0" borderId="0" xfId="0" applyFont="1" applyFill="1" applyAlignment="1">
      <alignment horizontal="right" vertical="top" wrapText="1"/>
    </xf>
    <xf numFmtId="0" fontId="106" fillId="0" borderId="0" xfId="0" applyFont="1" applyFill="1" applyAlignment="1">
      <alignment vertical="top" wrapText="1"/>
    </xf>
    <xf numFmtId="0" fontId="48" fillId="0" borderId="10" xfId="0" applyFont="1" applyFill="1" applyBorder="1" applyAlignment="1">
      <alignment wrapText="1"/>
    </xf>
    <xf numFmtId="165" fontId="49" fillId="0" borderId="10" xfId="0" applyNumberFormat="1" applyFont="1" applyFill="1" applyBorder="1" applyAlignment="1">
      <alignment horizontal="right" vertical="center" wrapText="1"/>
    </xf>
    <xf numFmtId="165" fontId="49" fillId="0" borderId="10" xfId="0" applyNumberFormat="1" applyFont="1" applyFill="1" applyBorder="1" applyAlignment="1">
      <alignment horizontal="right" vertical="center"/>
    </xf>
    <xf numFmtId="0" fontId="36" fillId="0" borderId="0" xfId="0" applyFont="1" applyFill="1"/>
    <xf numFmtId="165" fontId="48" fillId="0" borderId="10" xfId="0" applyNumberFormat="1" applyFont="1" applyFill="1" applyBorder="1" applyAlignment="1">
      <alignment horizontal="right" vertical="center" wrapText="1"/>
    </xf>
    <xf numFmtId="165" fontId="48" fillId="0" borderId="10" xfId="0" applyNumberFormat="1" applyFont="1" applyFill="1" applyBorder="1" applyAlignment="1">
      <alignment horizontal="right" vertical="center"/>
    </xf>
    <xf numFmtId="0" fontId="49" fillId="0" borderId="10" xfId="0" applyFont="1" applyFill="1" applyBorder="1" applyAlignment="1">
      <alignment wrapText="1"/>
    </xf>
    <xf numFmtId="0" fontId="48" fillId="0" borderId="10" xfId="0" applyFont="1" applyFill="1" applyBorder="1" applyAlignment="1">
      <alignment horizontal="center" vertical="center" wrapText="1"/>
    </xf>
    <xf numFmtId="0" fontId="49" fillId="0" borderId="10" xfId="0" applyFont="1" applyFill="1" applyBorder="1"/>
    <xf numFmtId="4" fontId="45" fillId="0" borderId="0" xfId="0" applyNumberFormat="1" applyFont="1" applyFill="1" applyAlignment="1">
      <alignment horizontal="right" vertical="center" wrapText="1"/>
    </xf>
    <xf numFmtId="0" fontId="45" fillId="0" borderId="18" xfId="0" applyFont="1" applyBorder="1" applyAlignment="1">
      <alignment vertical="top" wrapText="1"/>
    </xf>
    <xf numFmtId="0" fontId="45" fillId="0" borderId="18" xfId="0" applyFont="1" applyBorder="1" applyAlignment="1">
      <alignment horizontal="center" vertical="top" wrapText="1"/>
    </xf>
    <xf numFmtId="4" fontId="133" fillId="74" borderId="18" xfId="0" applyNumberFormat="1" applyFont="1" applyFill="1" applyBorder="1" applyAlignment="1">
      <alignment horizontal="right" vertical="top" wrapText="1"/>
    </xf>
    <xf numFmtId="0" fontId="205" fillId="0" borderId="13" xfId="0" applyFont="1" applyBorder="1" applyAlignment="1">
      <alignment vertical="top" wrapText="1"/>
    </xf>
    <xf numFmtId="0" fontId="205" fillId="0" borderId="13" xfId="0" applyFont="1" applyBorder="1" applyAlignment="1">
      <alignment horizontal="center" vertical="top" wrapText="1"/>
    </xf>
    <xf numFmtId="0" fontId="48" fillId="0" borderId="13" xfId="0" applyFont="1" applyBorder="1" applyAlignment="1">
      <alignment horizontal="center" vertical="top" wrapText="1"/>
    </xf>
    <xf numFmtId="0" fontId="205" fillId="0" borderId="13" xfId="0" applyFont="1" applyBorder="1" applyAlignment="1">
      <alignment horizontal="right" vertical="top" wrapText="1"/>
    </xf>
    <xf numFmtId="4" fontId="205" fillId="74" borderId="13" xfId="0" applyNumberFormat="1" applyFont="1" applyFill="1" applyBorder="1" applyAlignment="1">
      <alignment horizontal="right" vertical="top" wrapText="1"/>
    </xf>
    <xf numFmtId="0" fontId="144" fillId="0" borderId="55" xfId="0" applyFont="1" applyBorder="1" applyAlignment="1">
      <alignment vertical="top" wrapText="1"/>
    </xf>
    <xf numFmtId="0" fontId="48" fillId="0" borderId="56" xfId="0" applyFont="1" applyBorder="1" applyAlignment="1">
      <alignment horizontal="center" vertical="top" wrapText="1"/>
    </xf>
    <xf numFmtId="0" fontId="49" fillId="0" borderId="56" xfId="0" applyFont="1" applyBorder="1" applyAlignment="1">
      <alignment horizontal="center" vertical="top" wrapText="1"/>
    </xf>
    <xf numFmtId="4" fontId="49" fillId="74" borderId="56" xfId="0" applyNumberFormat="1" applyFont="1" applyFill="1" applyBorder="1" applyAlignment="1">
      <alignment horizontal="right" vertical="top" wrapText="1"/>
    </xf>
    <xf numFmtId="4" fontId="49" fillId="74" borderId="57" xfId="0" applyNumberFormat="1" applyFont="1" applyFill="1" applyBorder="1" applyAlignment="1">
      <alignment horizontal="right" vertical="top" wrapText="1"/>
    </xf>
    <xf numFmtId="0" fontId="204" fillId="0" borderId="58" xfId="0" applyFont="1" applyBorder="1" applyAlignment="1">
      <alignment vertical="top" wrapText="1"/>
    </xf>
    <xf numFmtId="4" fontId="204" fillId="74" borderId="59" xfId="0" applyNumberFormat="1" applyFont="1" applyFill="1" applyBorder="1" applyAlignment="1">
      <alignment horizontal="right" vertical="top" wrapText="1"/>
    </xf>
    <xf numFmtId="0" fontId="203" fillId="0" borderId="58" xfId="0" applyFont="1" applyBorder="1" applyAlignment="1">
      <alignment vertical="top" wrapText="1"/>
    </xf>
    <xf numFmtId="4" fontId="203" fillId="74" borderId="59" xfId="0" applyNumberFormat="1" applyFont="1" applyFill="1" applyBorder="1" applyAlignment="1">
      <alignment horizontal="right" vertical="top" wrapText="1"/>
    </xf>
    <xf numFmtId="0" fontId="48" fillId="0" borderId="58" xfId="0" applyFont="1" applyBorder="1" applyAlignment="1">
      <alignment vertical="top" wrapText="1"/>
    </xf>
    <xf numFmtId="4" fontId="48" fillId="74" borderId="59" xfId="0" applyNumberFormat="1" applyFont="1" applyFill="1" applyBorder="1" applyAlignment="1">
      <alignment horizontal="right" vertical="top" wrapText="1"/>
    </xf>
    <xf numFmtId="0" fontId="48" fillId="74" borderId="59" xfId="0" applyFont="1" applyFill="1" applyBorder="1" applyAlignment="1">
      <alignment horizontal="right" vertical="top" wrapText="1"/>
    </xf>
    <xf numFmtId="0" fontId="203" fillId="0" borderId="60" xfId="0" applyFont="1" applyBorder="1" applyAlignment="1">
      <alignment vertical="top" wrapText="1"/>
    </xf>
    <xf numFmtId="0" fontId="203" fillId="0" borderId="61" xfId="0" applyFont="1" applyBorder="1" applyAlignment="1">
      <alignment horizontal="center" vertical="top" wrapText="1"/>
    </xf>
    <xf numFmtId="0" fontId="48" fillId="0" borderId="61" xfId="0" applyFont="1" applyBorder="1" applyAlignment="1">
      <alignment horizontal="center" vertical="top" wrapText="1"/>
    </xf>
    <xf numFmtId="0" fontId="203" fillId="74" borderId="61" xfId="0" applyFont="1" applyFill="1" applyBorder="1" applyAlignment="1">
      <alignment horizontal="right" vertical="top" wrapText="1"/>
    </xf>
    <xf numFmtId="0" fontId="203" fillId="74" borderId="62" xfId="0" applyFont="1" applyFill="1" applyBorder="1" applyAlignment="1">
      <alignment horizontal="right" vertical="top" wrapText="1"/>
    </xf>
    <xf numFmtId="0" fontId="49" fillId="0" borderId="18" xfId="0" applyFont="1" applyBorder="1" applyAlignment="1">
      <alignment vertical="top" wrapText="1"/>
    </xf>
    <xf numFmtId="0" fontId="49" fillId="0" borderId="18" xfId="0" applyFont="1" applyBorder="1" applyAlignment="1">
      <alignment horizontal="center" vertical="top" wrapText="1"/>
    </xf>
    <xf numFmtId="0" fontId="48" fillId="0" borderId="18" xfId="0" applyFont="1" applyBorder="1" applyAlignment="1">
      <alignment horizontal="center" vertical="top" wrapText="1"/>
    </xf>
    <xf numFmtId="4" fontId="49" fillId="74" borderId="18" xfId="0" applyNumberFormat="1" applyFont="1" applyFill="1" applyBorder="1" applyAlignment="1">
      <alignment horizontal="right" vertical="top" wrapText="1"/>
    </xf>
    <xf numFmtId="0" fontId="210" fillId="0" borderId="13" xfId="0" applyFont="1" applyBorder="1" applyAlignment="1">
      <alignment vertical="top" wrapText="1"/>
    </xf>
    <xf numFmtId="4" fontId="211" fillId="74" borderId="13" xfId="0" applyNumberFormat="1" applyFont="1" applyFill="1" applyBorder="1" applyAlignment="1">
      <alignment horizontal="right" vertical="top" wrapText="1"/>
    </xf>
    <xf numFmtId="0" fontId="49" fillId="0" borderId="56" xfId="0" applyFont="1" applyBorder="1" applyAlignment="1">
      <alignment vertical="top" wrapText="1"/>
    </xf>
    <xf numFmtId="4" fontId="48" fillId="74" borderId="56" xfId="0" applyNumberFormat="1" applyFont="1" applyFill="1" applyBorder="1" applyAlignment="1">
      <alignment horizontal="right" vertical="top" wrapText="1"/>
    </xf>
    <xf numFmtId="4" fontId="48" fillId="74" borderId="57" xfId="0" applyNumberFormat="1" applyFont="1" applyFill="1" applyBorder="1" applyAlignment="1">
      <alignment horizontal="right" vertical="top" wrapText="1"/>
    </xf>
    <xf numFmtId="0" fontId="45" fillId="74" borderId="59" xfId="0" applyFont="1" applyFill="1" applyBorder="1" applyAlignment="1">
      <alignment horizontal="right" vertical="top" wrapText="1"/>
    </xf>
    <xf numFmtId="0" fontId="208" fillId="74" borderId="59" xfId="0" applyFont="1" applyFill="1" applyBorder="1" applyAlignment="1">
      <alignment horizontal="right" vertical="top" wrapText="1"/>
    </xf>
    <xf numFmtId="0" fontId="207" fillId="74" borderId="62" xfId="0" applyFont="1" applyFill="1" applyBorder="1" applyAlignment="1">
      <alignment horizontal="right" vertical="top" wrapText="1"/>
    </xf>
    <xf numFmtId="0" fontId="203" fillId="0" borderId="63" xfId="0" applyFont="1" applyBorder="1" applyAlignment="1">
      <alignment vertical="top" wrapText="1"/>
    </xf>
    <xf numFmtId="0" fontId="203" fillId="0" borderId="18" xfId="0" applyFont="1" applyBorder="1" applyAlignment="1">
      <alignment horizontal="center" vertical="top" wrapText="1"/>
    </xf>
    <xf numFmtId="0" fontId="207" fillId="0" borderId="18" xfId="0" applyFont="1" applyBorder="1" applyAlignment="1">
      <alignment horizontal="right"/>
    </xf>
    <xf numFmtId="0" fontId="207" fillId="74" borderId="64" xfId="0" applyFont="1" applyFill="1" applyBorder="1" applyAlignment="1">
      <alignment horizontal="right" vertical="top" wrapText="1"/>
    </xf>
    <xf numFmtId="0" fontId="203" fillId="0" borderId="18" xfId="0" applyFont="1" applyBorder="1" applyAlignment="1">
      <alignment vertical="top" wrapText="1"/>
    </xf>
    <xf numFmtId="0" fontId="133" fillId="0" borderId="13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26" fillId="0" borderId="13" xfId="0" applyFont="1" applyBorder="1" applyAlignment="1">
      <alignment vertical="top" wrapText="1"/>
    </xf>
    <xf numFmtId="0" fontId="93" fillId="0" borderId="13" xfId="0" applyFont="1" applyBorder="1" applyAlignment="1">
      <alignment horizontal="center" vertical="top" wrapText="1"/>
    </xf>
    <xf numFmtId="0" fontId="49" fillId="0" borderId="13" xfId="0" applyFont="1" applyBorder="1" applyAlignment="1">
      <alignment horizontal="center" vertical="top" wrapText="1"/>
    </xf>
    <xf numFmtId="4" fontId="49" fillId="74" borderId="13" xfId="0" applyNumberFormat="1" applyFont="1" applyFill="1" applyBorder="1" applyAlignment="1">
      <alignment horizontal="right" vertical="top" wrapText="1"/>
    </xf>
    <xf numFmtId="0" fontId="203" fillId="0" borderId="55" xfId="0" applyFont="1" applyBorder="1" applyAlignment="1">
      <alignment wrapText="1"/>
    </xf>
    <xf numFmtId="0" fontId="203" fillId="0" borderId="56" xfId="0" applyFont="1" applyBorder="1" applyAlignment="1">
      <alignment horizontal="center" wrapText="1"/>
    </xf>
    <xf numFmtId="0" fontId="48" fillId="0" borderId="56" xfId="0" applyFont="1" applyBorder="1" applyAlignment="1">
      <alignment horizontal="center" wrapText="1"/>
    </xf>
    <xf numFmtId="0" fontId="45" fillId="0" borderId="56" xfId="0" applyFont="1" applyBorder="1" applyAlignment="1">
      <alignment horizontal="right"/>
    </xf>
    <xf numFmtId="0" fontId="45" fillId="74" borderId="57" xfId="0" applyFont="1" applyFill="1" applyBorder="1" applyAlignment="1">
      <alignment horizontal="right" wrapText="1"/>
    </xf>
    <xf numFmtId="0" fontId="49" fillId="0" borderId="61" xfId="0" applyFont="1" applyBorder="1" applyAlignment="1">
      <alignment horizontal="right"/>
    </xf>
    <xf numFmtId="4" fontId="207" fillId="74" borderId="62" xfId="0" applyNumberFormat="1" applyFont="1" applyFill="1" applyBorder="1" applyAlignment="1">
      <alignment horizontal="right" vertical="top" wrapText="1"/>
    </xf>
    <xf numFmtId="0" fontId="203" fillId="0" borderId="65" xfId="0" applyFont="1" applyBorder="1" applyAlignment="1">
      <alignment vertical="top" wrapText="1"/>
    </xf>
    <xf numFmtId="0" fontId="203" fillId="0" borderId="66" xfId="0" applyFont="1" applyBorder="1" applyAlignment="1">
      <alignment horizontal="center" vertical="top" wrapText="1"/>
    </xf>
    <xf numFmtId="0" fontId="133" fillId="0" borderId="66" xfId="0" applyFont="1" applyBorder="1" applyAlignment="1">
      <alignment horizontal="center" vertical="top" wrapText="1"/>
    </xf>
    <xf numFmtId="0" fontId="45" fillId="0" borderId="66" xfId="0" applyFont="1" applyBorder="1" applyAlignment="1">
      <alignment horizontal="center" vertical="top" wrapText="1"/>
    </xf>
    <xf numFmtId="0" fontId="49" fillId="0" borderId="66" xfId="0" applyFont="1" applyBorder="1" applyAlignment="1">
      <alignment horizontal="right"/>
    </xf>
    <xf numFmtId="4" fontId="207" fillId="74" borderId="67" xfId="0" applyNumberFormat="1" applyFont="1" applyFill="1" applyBorder="1" applyAlignment="1">
      <alignment horizontal="right" vertical="top" wrapText="1"/>
    </xf>
    <xf numFmtId="0" fontId="49" fillId="0" borderId="55" xfId="0" applyFont="1" applyBorder="1" applyAlignment="1">
      <alignment vertical="top" wrapText="1"/>
    </xf>
    <xf numFmtId="0" fontId="144" fillId="0" borderId="58" xfId="0" applyFont="1" applyBorder="1" applyAlignment="1">
      <alignment vertical="top" wrapText="1"/>
    </xf>
    <xf numFmtId="0" fontId="206" fillId="0" borderId="61" xfId="0" applyFont="1" applyBorder="1" applyAlignment="1">
      <alignment horizontal="center" vertical="top" wrapText="1"/>
    </xf>
    <xf numFmtId="0" fontId="208" fillId="0" borderId="61" xfId="0" applyFont="1" applyBorder="1" applyAlignment="1">
      <alignment horizontal="center" vertical="top" wrapText="1"/>
    </xf>
    <xf numFmtId="4" fontId="207" fillId="0" borderId="61" xfId="0" applyNumberFormat="1" applyFont="1" applyBorder="1" applyAlignment="1">
      <alignment horizontal="right"/>
    </xf>
    <xf numFmtId="0" fontId="133" fillId="0" borderId="55" xfId="0" applyFont="1" applyBorder="1" applyAlignment="1">
      <alignment vertical="top" wrapText="1"/>
    </xf>
    <xf numFmtId="0" fontId="45" fillId="0" borderId="61" xfId="0" applyFont="1" applyBorder="1" applyAlignment="1">
      <alignment horizontal="center" vertical="top" wrapText="1"/>
    </xf>
    <xf numFmtId="0" fontId="45" fillId="0" borderId="13" xfId="0" applyFont="1" applyFill="1" applyBorder="1" applyAlignment="1">
      <alignment horizontal="center" vertical="top" wrapText="1"/>
    </xf>
    <xf numFmtId="0" fontId="49" fillId="0" borderId="13" xfId="0" applyFont="1" applyFill="1" applyBorder="1" applyAlignment="1">
      <alignment horizontal="center" vertical="top" wrapText="1"/>
    </xf>
    <xf numFmtId="4" fontId="49" fillId="0" borderId="13" xfId="0" applyNumberFormat="1" applyFont="1" applyFill="1" applyBorder="1" applyAlignment="1">
      <alignment horizontal="right" vertical="top" wrapText="1"/>
    </xf>
    <xf numFmtId="0" fontId="45" fillId="0" borderId="10" xfId="0" applyFont="1" applyFill="1" applyBorder="1" applyAlignment="1">
      <alignment horizontal="center" vertical="top" wrapText="1"/>
    </xf>
    <xf numFmtId="4" fontId="48" fillId="0" borderId="10" xfId="0" applyNumberFormat="1" applyFont="1" applyFill="1" applyBorder="1" applyAlignment="1">
      <alignment horizontal="right"/>
    </xf>
    <xf numFmtId="0" fontId="48" fillId="0" borderId="10" xfId="0" applyFont="1" applyFill="1" applyBorder="1" applyAlignment="1">
      <alignment horizontal="right"/>
    </xf>
    <xf numFmtId="0" fontId="49" fillId="0" borderId="10" xfId="0" applyFont="1" applyFill="1" applyBorder="1" applyAlignment="1">
      <alignment horizontal="right"/>
    </xf>
    <xf numFmtId="0" fontId="49" fillId="0" borderId="68" xfId="0" applyFont="1" applyBorder="1" applyAlignment="1">
      <alignment wrapText="1"/>
    </xf>
    <xf numFmtId="4" fontId="49" fillId="0" borderId="69" xfId="0" applyNumberFormat="1" applyFont="1" applyFill="1" applyBorder="1" applyAlignment="1">
      <alignment horizontal="right" vertical="top" wrapText="1"/>
    </xf>
    <xf numFmtId="0" fontId="48" fillId="51" borderId="58" xfId="0" applyFont="1" applyFill="1" applyBorder="1" applyAlignment="1">
      <alignment vertical="top" wrapText="1"/>
    </xf>
    <xf numFmtId="4" fontId="48" fillId="0" borderId="59" xfId="0" applyNumberFormat="1" applyFont="1" applyFill="1" applyBorder="1" applyAlignment="1">
      <alignment horizontal="right" vertical="top" wrapText="1"/>
    </xf>
    <xf numFmtId="0" fontId="48" fillId="0" borderId="59" xfId="0" applyFont="1" applyFill="1" applyBorder="1" applyAlignment="1">
      <alignment horizontal="right" vertical="top" wrapText="1"/>
    </xf>
    <xf numFmtId="0" fontId="49" fillId="0" borderId="59" xfId="0" applyFont="1" applyFill="1" applyBorder="1" applyAlignment="1">
      <alignment horizontal="right" vertical="top" wrapText="1"/>
    </xf>
    <xf numFmtId="0" fontId="203" fillId="0" borderId="60" xfId="0" applyFont="1" applyFill="1" applyBorder="1" applyAlignment="1">
      <alignment vertical="top" wrapText="1"/>
    </xf>
    <xf numFmtId="0" fontId="208" fillId="0" borderId="61" xfId="0" applyFont="1" applyFill="1" applyBorder="1" applyAlignment="1">
      <alignment horizontal="center" vertical="top" wrapText="1"/>
    </xf>
    <xf numFmtId="0" fontId="203" fillId="0" borderId="61" xfId="0" applyFont="1" applyFill="1" applyBorder="1" applyAlignment="1">
      <alignment horizontal="center" vertical="top" wrapText="1"/>
    </xf>
    <xf numFmtId="4" fontId="207" fillId="0" borderId="61" xfId="0" applyNumberFormat="1" applyFont="1" applyFill="1" applyBorder="1" applyAlignment="1">
      <alignment horizontal="right"/>
    </xf>
    <xf numFmtId="4" fontId="133" fillId="0" borderId="62" xfId="0" applyNumberFormat="1" applyFont="1" applyFill="1" applyBorder="1" applyAlignment="1">
      <alignment horizontal="right" vertical="top" wrapText="1"/>
    </xf>
    <xf numFmtId="0" fontId="204" fillId="0" borderId="13" xfId="0" applyFont="1" applyBorder="1" applyAlignment="1">
      <alignment horizontal="center" vertical="top" wrapText="1"/>
    </xf>
    <xf numFmtId="0" fontId="219" fillId="0" borderId="55" xfId="0" applyFont="1" applyBorder="1" applyAlignment="1">
      <alignment vertical="top" wrapText="1"/>
    </xf>
    <xf numFmtId="0" fontId="45" fillId="0" borderId="56" xfId="0" applyFont="1" applyBorder="1" applyAlignment="1">
      <alignment horizontal="center" vertical="top" wrapText="1"/>
    </xf>
    <xf numFmtId="0" fontId="199" fillId="0" borderId="56" xfId="0" applyFont="1" applyBorder="1" applyAlignment="1">
      <alignment horizontal="center" vertical="top" wrapText="1"/>
    </xf>
    <xf numFmtId="0" fontId="203" fillId="0" borderId="56" xfId="0" applyFont="1" applyBorder="1" applyAlignment="1">
      <alignment horizontal="right"/>
    </xf>
    <xf numFmtId="0" fontId="199" fillId="74" borderId="57" xfId="0" applyFont="1" applyFill="1" applyBorder="1" applyAlignment="1">
      <alignment horizontal="right" vertical="top" wrapText="1"/>
    </xf>
    <xf numFmtId="4" fontId="203" fillId="74" borderId="61" xfId="0" applyNumberFormat="1" applyFont="1" applyFill="1" applyBorder="1" applyAlignment="1">
      <alignment horizontal="right" vertical="top" wrapText="1"/>
    </xf>
    <xf numFmtId="4" fontId="203" fillId="74" borderId="62" xfId="0" applyNumberFormat="1" applyFont="1" applyFill="1" applyBorder="1" applyAlignment="1">
      <alignment horizontal="right" vertical="top" wrapText="1"/>
    </xf>
    <xf numFmtId="0" fontId="203" fillId="0" borderId="18" xfId="0" applyFont="1" applyBorder="1" applyAlignment="1">
      <alignment wrapText="1"/>
    </xf>
    <xf numFmtId="0" fontId="207" fillId="74" borderId="18" xfId="0" applyFont="1" applyFill="1" applyBorder="1" applyAlignment="1">
      <alignment horizontal="right" vertical="top" wrapText="1"/>
    </xf>
    <xf numFmtId="0" fontId="48" fillId="74" borderId="57" xfId="0" applyFont="1" applyFill="1" applyBorder="1" applyAlignment="1">
      <alignment horizontal="right" vertical="top" wrapText="1"/>
    </xf>
    <xf numFmtId="0" fontId="48" fillId="74" borderId="56" xfId="0" applyFont="1" applyFill="1" applyBorder="1" applyAlignment="1">
      <alignment horizontal="right" vertical="top" wrapText="1"/>
    </xf>
    <xf numFmtId="4" fontId="206" fillId="74" borderId="59" xfId="0" applyNumberFormat="1" applyFont="1" applyFill="1" applyBorder="1" applyAlignment="1">
      <alignment horizontal="right" vertical="top" wrapText="1"/>
    </xf>
    <xf numFmtId="4" fontId="26" fillId="74" borderId="18" xfId="0" applyNumberFormat="1" applyFont="1" applyFill="1" applyBorder="1" applyAlignment="1">
      <alignment vertical="top" wrapText="1"/>
    </xf>
    <xf numFmtId="4" fontId="26" fillId="74" borderId="13" xfId="0" applyNumberFormat="1" applyFont="1" applyFill="1" applyBorder="1" applyAlignment="1">
      <alignment vertical="top" wrapText="1"/>
    </xf>
    <xf numFmtId="0" fontId="45" fillId="49" borderId="10" xfId="0" applyFont="1" applyFill="1" applyBorder="1" applyAlignment="1">
      <alignment horizontal="right" vertical="center" wrapText="1"/>
    </xf>
    <xf numFmtId="0" fontId="45" fillId="39" borderId="10" xfId="0" applyFont="1" applyFill="1" applyBorder="1" applyAlignment="1">
      <alignment horizontal="right" vertical="center" wrapText="1"/>
    </xf>
    <xf numFmtId="0" fontId="45" fillId="39" borderId="0" xfId="0" applyFont="1" applyFill="1" applyAlignment="1">
      <alignment wrapText="1"/>
    </xf>
    <xf numFmtId="0" fontId="133" fillId="74" borderId="18" xfId="0" applyFont="1" applyFill="1" applyBorder="1" applyAlignment="1">
      <alignment vertical="top" wrapText="1"/>
    </xf>
    <xf numFmtId="0" fontId="133" fillId="74" borderId="70" xfId="0" applyFont="1" applyFill="1" applyBorder="1" applyAlignment="1">
      <alignment vertical="top" wrapText="1"/>
    </xf>
    <xf numFmtId="0" fontId="54" fillId="0" borderId="0" xfId="87" applyFont="1" applyFill="1" applyAlignment="1">
      <alignment horizontal="right" vertical="center" wrapText="1"/>
    </xf>
    <xf numFmtId="0" fontId="54" fillId="0" borderId="0" xfId="0" applyFont="1" applyAlignment="1">
      <alignment horizontal="right" vertical="center" wrapText="1"/>
    </xf>
    <xf numFmtId="0" fontId="87" fillId="0" borderId="0" xfId="0" applyFont="1" applyAlignment="1">
      <alignment horizontal="right" vertical="center" wrapText="1"/>
    </xf>
    <xf numFmtId="0" fontId="32" fillId="37" borderId="10" xfId="0" applyFont="1" applyFill="1" applyBorder="1" applyAlignment="1">
      <alignment vertical="top" wrapText="1"/>
    </xf>
    <xf numFmtId="0" fontId="236" fillId="39" borderId="10" xfId="72" applyFont="1" applyFill="1" applyBorder="1" applyAlignment="1" applyProtection="1">
      <alignment vertical="top" wrapText="1"/>
    </xf>
    <xf numFmtId="0" fontId="69" fillId="0" borderId="10" xfId="88" applyFont="1" applyFill="1" applyBorder="1" applyAlignment="1">
      <alignment horizontal="left" vertical="top" wrapText="1" indent="2"/>
    </xf>
    <xf numFmtId="0" fontId="54" fillId="0" borderId="0" xfId="87" applyFont="1" applyFill="1" applyAlignment="1">
      <alignment vertical="center" wrapText="1"/>
    </xf>
    <xf numFmtId="0" fontId="55" fillId="0" borderId="18" xfId="0" applyFont="1" applyFill="1" applyBorder="1" applyAlignment="1">
      <alignment vertical="center" wrapText="1"/>
    </xf>
    <xf numFmtId="0" fontId="55" fillId="0" borderId="19" xfId="0" applyFont="1" applyFill="1" applyBorder="1" applyAlignment="1">
      <alignment vertical="center" wrapText="1"/>
    </xf>
    <xf numFmtId="0" fontId="55" fillId="0" borderId="13" xfId="0" applyFont="1" applyFill="1" applyBorder="1" applyAlignment="1">
      <alignment vertical="center" wrapText="1"/>
    </xf>
    <xf numFmtId="0" fontId="87" fillId="0" borderId="0" xfId="0" applyFont="1" applyAlignment="1">
      <alignment vertical="center" wrapText="1"/>
    </xf>
    <xf numFmtId="0" fontId="87" fillId="0" borderId="30" xfId="0" applyFont="1" applyBorder="1" applyAlignment="1">
      <alignment horizontal="left" vertical="center" wrapText="1"/>
    </xf>
    <xf numFmtId="0" fontId="214" fillId="0" borderId="10" xfId="0" applyFont="1" applyFill="1" applyBorder="1" applyAlignment="1">
      <alignment horizontal="center" vertical="center" wrapText="1"/>
    </xf>
    <xf numFmtId="0" fontId="214" fillId="0" borderId="0" xfId="0" applyFont="1" applyFill="1" applyBorder="1" applyAlignment="1">
      <alignment horizontal="center" vertical="center" wrapText="1"/>
    </xf>
    <xf numFmtId="0" fontId="133" fillId="0" borderId="0" xfId="0" applyFont="1" applyFill="1" applyAlignment="1">
      <alignment horizontal="center" vertical="center" wrapText="1"/>
    </xf>
    <xf numFmtId="0" fontId="213" fillId="0" borderId="10" xfId="0" applyFont="1" applyFill="1" applyBorder="1" applyAlignment="1">
      <alignment horizontal="center" vertical="center" wrapText="1"/>
    </xf>
    <xf numFmtId="0" fontId="116" fillId="0" borderId="0" xfId="0" applyNumberFormat="1" applyFont="1" applyFill="1" applyBorder="1" applyAlignment="1" applyProtection="1">
      <alignment horizontal="center" vertical="center" wrapText="1" shrinkToFit="1"/>
      <protection locked="0"/>
    </xf>
    <xf numFmtId="0" fontId="119" fillId="0" borderId="0" xfId="0" applyNumberFormat="1" applyFont="1" applyFill="1" applyBorder="1" applyAlignment="1" applyProtection="1">
      <alignment horizontal="center" vertical="top"/>
    </xf>
    <xf numFmtId="0" fontId="116" fillId="0" borderId="14" xfId="0" applyNumberFormat="1" applyFont="1" applyFill="1" applyBorder="1" applyAlignment="1" applyProtection="1">
      <alignment horizontal="center" vertical="center" wrapText="1" shrinkToFit="1"/>
      <protection locked="0"/>
    </xf>
    <xf numFmtId="4" fontId="70" fillId="0" borderId="0" xfId="87" applyNumberFormat="1" applyFont="1" applyFill="1" applyAlignment="1">
      <alignment horizontal="right" vertical="center" wrapText="1"/>
    </xf>
    <xf numFmtId="0" fontId="54" fillId="45" borderId="10" xfId="0" applyFont="1" applyFill="1" applyBorder="1" applyAlignment="1">
      <alignment horizontal="center" vertical="center" wrapText="1"/>
    </xf>
    <xf numFmtId="0" fontId="54" fillId="0" borderId="0" xfId="87" applyFont="1" applyFill="1" applyAlignment="1">
      <alignment horizontal="center" vertical="center" wrapText="1"/>
    </xf>
    <xf numFmtId="0" fontId="55" fillId="0" borderId="10" xfId="0" applyFont="1" applyFill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0" fontId="73" fillId="76" borderId="10" xfId="0" applyFont="1" applyFill="1" applyBorder="1" applyAlignment="1">
      <alignment horizontal="center" vertical="center" wrapText="1"/>
    </xf>
    <xf numFmtId="0" fontId="77" fillId="76" borderId="10" xfId="0" applyFont="1" applyFill="1" applyBorder="1" applyAlignment="1">
      <alignment horizontal="left" vertical="center" wrapText="1"/>
    </xf>
    <xf numFmtId="4" fontId="77" fillId="76" borderId="10" xfId="0" applyNumberFormat="1" applyFont="1" applyFill="1" applyBorder="1" applyAlignment="1">
      <alignment horizontal="center" vertical="center" wrapText="1"/>
    </xf>
    <xf numFmtId="0" fontId="77" fillId="76" borderId="10" xfId="0" applyFont="1" applyFill="1" applyBorder="1" applyAlignment="1">
      <alignment horizontal="center" vertical="center" wrapText="1"/>
    </xf>
    <xf numFmtId="0" fontId="77" fillId="76" borderId="10" xfId="0" applyFont="1" applyFill="1" applyBorder="1" applyAlignment="1">
      <alignment horizontal="left" vertical="top" wrapText="1"/>
    </xf>
    <xf numFmtId="4" fontId="70" fillId="0" borderId="0" xfId="87" applyNumberFormat="1" applyFont="1" applyFill="1" applyAlignment="1">
      <alignment vertical="center" wrapText="1"/>
    </xf>
    <xf numFmtId="4" fontId="170" fillId="76" borderId="10" xfId="82" applyNumberFormat="1" applyFont="1" applyFill="1" applyBorder="1" applyAlignment="1">
      <alignment horizontal="right" vertical="center" wrapText="1"/>
    </xf>
    <xf numFmtId="4" fontId="170" fillId="76" borderId="10" xfId="83" applyNumberFormat="1" applyFont="1" applyFill="1" applyBorder="1" applyAlignment="1">
      <alignment horizontal="right" vertical="center" wrapText="1"/>
    </xf>
    <xf numFmtId="4" fontId="55" fillId="76" borderId="10" xfId="0" applyNumberFormat="1" applyFont="1" applyFill="1" applyBorder="1" applyAlignment="1">
      <alignment horizontal="right" vertical="center" wrapText="1"/>
    </xf>
    <xf numFmtId="3" fontId="55" fillId="43" borderId="10" xfId="0" applyNumberFormat="1" applyFont="1" applyFill="1" applyBorder="1" applyAlignment="1">
      <alignment horizontal="right" vertical="center" wrapText="1"/>
    </xf>
    <xf numFmtId="4" fontId="170" fillId="43" borderId="10" xfId="82" applyNumberFormat="1" applyFont="1" applyFill="1" applyBorder="1" applyAlignment="1">
      <alignment horizontal="right" vertical="center" wrapText="1"/>
    </xf>
    <xf numFmtId="4" fontId="55" fillId="43" borderId="10" xfId="0" applyNumberFormat="1" applyFont="1" applyFill="1" applyBorder="1" applyAlignment="1">
      <alignment horizontal="right" vertical="center" wrapText="1"/>
    </xf>
    <xf numFmtId="165" fontId="55" fillId="43" borderId="10" xfId="0" applyNumberFormat="1" applyFont="1" applyFill="1" applyBorder="1" applyAlignment="1">
      <alignment horizontal="right" vertical="center" wrapText="1"/>
    </xf>
    <xf numFmtId="0" fontId="55" fillId="43" borderId="10" xfId="0" applyFont="1" applyFill="1" applyBorder="1" applyAlignment="1">
      <alignment horizontal="right" vertical="center" wrapText="1"/>
    </xf>
    <xf numFmtId="0" fontId="61" fillId="43" borderId="10" xfId="0" applyFont="1" applyFill="1" applyBorder="1" applyAlignment="1">
      <alignment horizontal="right" vertical="center" wrapText="1"/>
    </xf>
    <xf numFmtId="0" fontId="214" fillId="41" borderId="0" xfId="0" applyFont="1" applyFill="1" applyBorder="1" applyAlignment="1">
      <alignment horizontal="center" vertical="center" wrapText="1"/>
    </xf>
    <xf numFmtId="0" fontId="214" fillId="48" borderId="0" xfId="0" applyFont="1" applyFill="1" applyBorder="1" applyAlignment="1">
      <alignment horizontal="center" vertical="center" wrapText="1"/>
    </xf>
    <xf numFmtId="4" fontId="213" fillId="0" borderId="0" xfId="0" applyNumberFormat="1" applyFont="1" applyFill="1" applyBorder="1" applyAlignment="1">
      <alignment horizontal="center" vertical="center" wrapText="1"/>
    </xf>
    <xf numFmtId="0" fontId="214" fillId="40" borderId="0" xfId="0" applyFont="1" applyFill="1" applyBorder="1" applyAlignment="1">
      <alignment horizontal="center" vertical="center" wrapText="1"/>
    </xf>
    <xf numFmtId="0" fontId="175" fillId="0" borderId="0" xfId="0" applyFont="1" applyBorder="1" applyAlignment="1">
      <alignment horizontal="center" wrapText="1"/>
    </xf>
    <xf numFmtId="3" fontId="175" fillId="0" borderId="0" xfId="0" applyNumberFormat="1" applyFont="1" applyBorder="1" applyAlignment="1">
      <alignment horizontal="center" wrapText="1"/>
    </xf>
    <xf numFmtId="0" fontId="214" fillId="40" borderId="0" xfId="0" applyFont="1" applyFill="1" applyBorder="1" applyAlignment="1">
      <alignment horizontal="center" wrapText="1"/>
    </xf>
    <xf numFmtId="3" fontId="32" fillId="0" borderId="0" xfId="0" applyNumberFormat="1" applyFont="1" applyBorder="1" applyAlignment="1">
      <alignment horizontal="center" wrapText="1"/>
    </xf>
    <xf numFmtId="3" fontId="213" fillId="0" borderId="0" xfId="0" applyNumberFormat="1" applyFont="1" applyFill="1" applyBorder="1" applyAlignment="1">
      <alignment horizontal="center" vertical="center" wrapText="1"/>
    </xf>
    <xf numFmtId="165" fontId="119" fillId="0" borderId="10" xfId="0" applyNumberFormat="1" applyFont="1" applyFill="1" applyBorder="1" applyAlignment="1">
      <alignment horizontal="center" vertical="center"/>
    </xf>
    <xf numFmtId="0" fontId="106" fillId="0" borderId="28" xfId="0" applyFont="1" applyBorder="1" applyAlignment="1">
      <alignment vertical="top" wrapText="1"/>
    </xf>
    <xf numFmtId="0" fontId="106" fillId="0" borderId="24" xfId="0" applyFont="1" applyBorder="1" applyAlignment="1">
      <alignment horizontal="center" vertical="top" wrapText="1"/>
    </xf>
    <xf numFmtId="0" fontId="106" fillId="0" borderId="24" xfId="0" applyFont="1" applyBorder="1" applyAlignment="1">
      <alignment vertical="top" wrapText="1"/>
    </xf>
    <xf numFmtId="0" fontId="106" fillId="0" borderId="25" xfId="0" applyFont="1" applyBorder="1" applyAlignment="1">
      <alignment vertical="top" wrapText="1"/>
    </xf>
    <xf numFmtId="0" fontId="106" fillId="0" borderId="16" xfId="0" applyFont="1" applyBorder="1" applyAlignment="1">
      <alignment horizontal="center" vertical="top" wrapText="1"/>
    </xf>
    <xf numFmtId="0" fontId="106" fillId="0" borderId="16" xfId="0" applyFont="1" applyBorder="1" applyAlignment="1">
      <alignment vertical="top" wrapText="1"/>
    </xf>
    <xf numFmtId="0" fontId="162" fillId="0" borderId="25" xfId="72" applyBorder="1" applyAlignment="1" applyProtection="1">
      <alignment vertical="top" wrapText="1"/>
    </xf>
    <xf numFmtId="165" fontId="55" fillId="0" borderId="10" xfId="0" applyNumberFormat="1" applyFont="1" applyFill="1" applyBorder="1" applyAlignment="1">
      <alignment horizontal="right" vertical="center" wrapText="1"/>
    </xf>
    <xf numFmtId="165" fontId="119" fillId="47" borderId="10" xfId="0" applyNumberFormat="1" applyFont="1" applyFill="1" applyBorder="1" applyAlignment="1" applyProtection="1">
      <alignment horizontal="center" vertical="center" wrapText="1"/>
    </xf>
    <xf numFmtId="3" fontId="72" fillId="59" borderId="10" xfId="87" applyNumberFormat="1" applyFont="1" applyFill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0" fontId="55" fillId="0" borderId="10" xfId="0" applyFont="1" applyFill="1" applyBorder="1" applyAlignment="1">
      <alignment horizontal="center" vertical="center" wrapText="1"/>
    </xf>
    <xf numFmtId="0" fontId="54" fillId="45" borderId="10" xfId="0" applyFont="1" applyFill="1" applyBorder="1" applyAlignment="1">
      <alignment horizontal="center" vertical="center" wrapText="1"/>
    </xf>
    <xf numFmtId="0" fontId="213" fillId="0" borderId="10" xfId="0" applyFont="1" applyFill="1" applyBorder="1" applyAlignment="1">
      <alignment horizontal="left" vertical="center" wrapText="1"/>
    </xf>
    <xf numFmtId="0" fontId="214" fillId="0" borderId="10" xfId="0" applyFont="1" applyFill="1" applyBorder="1" applyAlignment="1">
      <alignment horizontal="center" vertical="center" wrapText="1"/>
    </xf>
    <xf numFmtId="0" fontId="214" fillId="0" borderId="0" xfId="0" applyFont="1" applyFill="1" applyBorder="1" applyAlignment="1">
      <alignment horizontal="center" vertical="center" wrapText="1"/>
    </xf>
    <xf numFmtId="0" fontId="214" fillId="41" borderId="10" xfId="0" applyFont="1" applyFill="1" applyBorder="1" applyAlignment="1">
      <alignment horizontal="center" vertical="center" wrapText="1"/>
    </xf>
    <xf numFmtId="0" fontId="213" fillId="0" borderId="10" xfId="0" applyFont="1" applyFill="1" applyBorder="1" applyAlignment="1">
      <alignment horizontal="center" vertical="center" wrapText="1"/>
    </xf>
    <xf numFmtId="49" fontId="117" fillId="0" borderId="10" xfId="0" applyNumberFormat="1" applyFont="1" applyFill="1" applyBorder="1" applyAlignment="1" applyProtection="1">
      <alignment horizontal="center" vertical="center" wrapText="1"/>
    </xf>
    <xf numFmtId="0" fontId="117" fillId="0" borderId="10" xfId="0" applyNumberFormat="1" applyFont="1" applyFill="1" applyBorder="1" applyAlignment="1" applyProtection="1">
      <alignment horizontal="center" vertical="center" wrapText="1"/>
    </xf>
    <xf numFmtId="0" fontId="116" fillId="0" borderId="10" xfId="0" applyNumberFormat="1" applyFont="1" applyFill="1" applyBorder="1" applyAlignment="1" applyProtection="1">
      <alignment horizontal="left" vertical="center" wrapText="1"/>
    </xf>
    <xf numFmtId="4" fontId="138" fillId="0" borderId="10" xfId="0" applyNumberFormat="1" applyFont="1" applyFill="1" applyBorder="1" applyAlignment="1">
      <alignment horizontal="center" vertical="center" wrapText="1"/>
    </xf>
    <xf numFmtId="0" fontId="116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0" fontId="119" fillId="47" borderId="10" xfId="0" applyNumberFormat="1" applyFont="1" applyFill="1" applyBorder="1" applyAlignment="1" applyProtection="1">
      <alignment horizontal="center" vertical="center" wrapText="1"/>
    </xf>
    <xf numFmtId="4" fontId="116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0" fontId="106" fillId="0" borderId="0" xfId="0" applyFont="1" applyAlignment="1">
      <alignment wrapText="1"/>
    </xf>
    <xf numFmtId="0" fontId="0" fillId="0" borderId="0" xfId="0"/>
    <xf numFmtId="0" fontId="175" fillId="0" borderId="25" xfId="0" applyFont="1" applyBorder="1" applyAlignment="1">
      <alignment wrapText="1"/>
    </xf>
    <xf numFmtId="165" fontId="91" fillId="59" borderId="10" xfId="0" applyNumberFormat="1" applyFont="1" applyFill="1" applyBorder="1" applyAlignment="1">
      <alignment horizontal="right" vertical="center" wrapText="1"/>
    </xf>
    <xf numFmtId="165" fontId="32" fillId="59" borderId="10" xfId="0" applyNumberFormat="1" applyFont="1" applyFill="1" applyBorder="1" applyAlignment="1">
      <alignment horizontal="right" vertical="center" wrapText="1"/>
    </xf>
    <xf numFmtId="165" fontId="32" fillId="0" borderId="10" xfId="0" applyNumberFormat="1" applyFont="1" applyFill="1" applyBorder="1" applyAlignment="1">
      <alignment horizontal="right" vertical="center" wrapText="1"/>
    </xf>
    <xf numFmtId="0" fontId="32" fillId="0" borderId="0" xfId="0" applyFont="1" applyAlignment="1">
      <alignment vertical="center"/>
    </xf>
    <xf numFmtId="0" fontId="32" fillId="0" borderId="10" xfId="0" applyFont="1" applyBorder="1" applyAlignment="1">
      <alignment vertical="center"/>
    </xf>
    <xf numFmtId="0" fontId="26" fillId="0" borderId="10" xfId="0" applyFont="1" applyBorder="1" applyAlignment="1">
      <alignment vertical="center"/>
    </xf>
    <xf numFmtId="0" fontId="201" fillId="0" borderId="37" xfId="0" applyFont="1" applyBorder="1" applyAlignment="1">
      <alignment horizontal="center" wrapText="1"/>
    </xf>
    <xf numFmtId="0" fontId="201" fillId="77" borderId="16" xfId="0" applyFont="1" applyFill="1" applyBorder="1" applyAlignment="1">
      <alignment horizontal="center" wrapText="1"/>
    </xf>
    <xf numFmtId="3" fontId="175" fillId="0" borderId="16" xfId="0" applyNumberFormat="1" applyFont="1" applyBorder="1" applyAlignment="1">
      <alignment horizontal="center" wrapText="1"/>
    </xf>
    <xf numFmtId="3" fontId="32" fillId="0" borderId="16" xfId="0" applyNumberFormat="1" applyFont="1" applyBorder="1" applyAlignment="1">
      <alignment horizontal="center" wrapText="1"/>
    </xf>
    <xf numFmtId="0" fontId="175" fillId="0" borderId="10" xfId="0" applyFont="1" applyBorder="1" applyAlignment="1">
      <alignment horizontal="center" vertical="center" wrapText="1"/>
    </xf>
    <xf numFmtId="3" fontId="175" fillId="0" borderId="10" xfId="0" applyNumberFormat="1" applyFont="1" applyBorder="1" applyAlignment="1">
      <alignment horizontal="center" vertical="center" wrapText="1"/>
    </xf>
    <xf numFmtId="3" fontId="32" fillId="0" borderId="10" xfId="0" applyNumberFormat="1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55" fillId="0" borderId="0" xfId="0" applyFont="1" applyAlignment="1">
      <alignment horizontal="right" vertical="center" wrapText="1"/>
    </xf>
    <xf numFmtId="0" fontId="55" fillId="0" borderId="0" xfId="0" applyFont="1" applyBorder="1" applyAlignment="1">
      <alignment horizontal="right" vertical="center" wrapText="1"/>
    </xf>
    <xf numFmtId="0" fontId="170" fillId="0" borderId="10" xfId="0" applyFont="1" applyFill="1" applyBorder="1" applyAlignment="1">
      <alignment horizontal="right" vertical="center" wrapText="1"/>
    </xf>
    <xf numFmtId="2" fontId="55" fillId="0" borderId="0" xfId="0" applyNumberFormat="1" applyFont="1" applyFill="1" applyAlignment="1">
      <alignment horizontal="right" vertical="center" wrapText="1"/>
    </xf>
    <xf numFmtId="2" fontId="55" fillId="0" borderId="0" xfId="0" applyNumberFormat="1" applyFont="1" applyFill="1" applyBorder="1" applyAlignment="1">
      <alignment horizontal="right" vertical="center" wrapText="1"/>
    </xf>
    <xf numFmtId="4" fontId="55" fillId="0" borderId="0" xfId="0" applyNumberFormat="1" applyFont="1" applyAlignment="1">
      <alignment horizontal="right" vertical="center" wrapText="1"/>
    </xf>
    <xf numFmtId="2" fontId="55" fillId="0" borderId="0" xfId="0" applyNumberFormat="1" applyFont="1" applyAlignment="1">
      <alignment horizontal="right" vertical="center" wrapText="1"/>
    </xf>
    <xf numFmtId="2" fontId="55" fillId="0" borderId="0" xfId="0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right" vertical="center" wrapText="1"/>
    </xf>
    <xf numFmtId="0" fontId="55" fillId="0" borderId="13" xfId="0" applyFont="1" applyBorder="1" applyAlignment="1">
      <alignment horizontal="right" vertical="center" wrapText="1"/>
    </xf>
    <xf numFmtId="0" fontId="55" fillId="0" borderId="10" xfId="0" applyFont="1" applyBorder="1" applyAlignment="1">
      <alignment horizontal="right" vertical="center" wrapText="1"/>
    </xf>
    <xf numFmtId="4" fontId="54" fillId="46" borderId="12" xfId="0" applyNumberFormat="1" applyFont="1" applyFill="1" applyBorder="1" applyAlignment="1">
      <alignment horizontal="right" vertical="center" wrapText="1"/>
    </xf>
    <xf numFmtId="0" fontId="116" fillId="0" borderId="10" xfId="0" applyNumberFormat="1" applyFont="1" applyFill="1" applyBorder="1" applyAlignment="1" applyProtection="1">
      <alignment vertical="center" wrapText="1" shrinkToFit="1"/>
      <protection locked="0"/>
    </xf>
    <xf numFmtId="0" fontId="116" fillId="0" borderId="10" xfId="0" applyNumberFormat="1" applyFont="1" applyFill="1" applyBorder="1" applyAlignment="1">
      <alignment vertical="center" wrapText="1"/>
    </xf>
    <xf numFmtId="0" fontId="55" fillId="0" borderId="10" xfId="0" applyFont="1" applyBorder="1" applyAlignment="1">
      <alignment horizontal="center" vertical="center" wrapText="1"/>
    </xf>
    <xf numFmtId="0" fontId="88" fillId="0" borderId="10" xfId="0" applyFont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55" fillId="0" borderId="30" xfId="0" applyFont="1" applyBorder="1" applyAlignment="1">
      <alignment horizontal="left" vertical="center" wrapText="1"/>
    </xf>
    <xf numFmtId="0" fontId="55" fillId="0" borderId="30" xfId="0" applyFont="1" applyFill="1" applyBorder="1" applyAlignment="1">
      <alignment horizontal="left" vertical="center" wrapText="1"/>
    </xf>
    <xf numFmtId="2" fontId="55" fillId="0" borderId="30" xfId="0" applyNumberFormat="1" applyFont="1" applyFill="1" applyBorder="1" applyAlignment="1">
      <alignment horizontal="left" vertical="center" wrapText="1"/>
    </xf>
    <xf numFmtId="0" fontId="54" fillId="0" borderId="0" xfId="0" applyFont="1" applyAlignment="1">
      <alignment horizontal="left" wrapText="1"/>
    </xf>
    <xf numFmtId="0" fontId="55" fillId="0" borderId="10" xfId="0" applyFont="1" applyFill="1" applyBorder="1" applyAlignment="1">
      <alignment horizontal="center" vertical="center" wrapText="1"/>
    </xf>
    <xf numFmtId="0" fontId="88" fillId="40" borderId="11" xfId="0" applyFont="1" applyFill="1" applyBorder="1" applyAlignment="1">
      <alignment horizontal="center" vertical="center" wrapText="1"/>
    </xf>
    <xf numFmtId="0" fontId="88" fillId="40" borderId="15" xfId="0" applyFont="1" applyFill="1" applyBorder="1" applyAlignment="1">
      <alignment horizontal="center" vertical="center" wrapText="1"/>
    </xf>
    <xf numFmtId="0" fontId="54" fillId="0" borderId="10" xfId="0" applyFont="1" applyFill="1" applyBorder="1" applyAlignment="1">
      <alignment horizontal="left" vertical="center" wrapText="1"/>
    </xf>
    <xf numFmtId="0" fontId="88" fillId="0" borderId="10" xfId="0" applyFont="1" applyFill="1" applyBorder="1" applyAlignment="1">
      <alignment horizontal="left" vertical="center" wrapText="1"/>
    </xf>
    <xf numFmtId="0" fontId="55" fillId="0" borderId="10" xfId="0" applyFont="1" applyFill="1" applyBorder="1" applyAlignment="1">
      <alignment horizontal="center" vertical="top" wrapText="1"/>
    </xf>
    <xf numFmtId="0" fontId="54" fillId="48" borderId="20" xfId="0" applyFont="1" applyFill="1" applyBorder="1" applyAlignment="1">
      <alignment horizontal="center" vertical="center" wrapText="1"/>
    </xf>
    <xf numFmtId="0" fontId="54" fillId="48" borderId="31" xfId="0" applyFont="1" applyFill="1" applyBorder="1" applyAlignment="1">
      <alignment horizontal="center" vertical="center" wrapText="1"/>
    </xf>
    <xf numFmtId="0" fontId="88" fillId="40" borderId="21" xfId="0" applyFont="1" applyFill="1" applyBorder="1" applyAlignment="1">
      <alignment horizontal="center" vertical="center" wrapText="1"/>
    </xf>
    <xf numFmtId="0" fontId="88" fillId="40" borderId="30" xfId="0" applyFont="1" applyFill="1" applyBorder="1" applyAlignment="1">
      <alignment horizontal="center" vertical="center" wrapText="1"/>
    </xf>
    <xf numFmtId="0" fontId="54" fillId="48" borderId="11" xfId="0" applyFont="1" applyFill="1" applyBorder="1" applyAlignment="1">
      <alignment horizontal="center" vertical="center" wrapText="1"/>
    </xf>
    <xf numFmtId="0" fontId="54" fillId="48" borderId="15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4" fillId="0" borderId="0" xfId="87" applyFont="1" applyFill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54" fillId="45" borderId="10" xfId="0" applyFont="1" applyFill="1" applyBorder="1" applyAlignment="1">
      <alignment horizontal="center" vertical="center" wrapText="1"/>
    </xf>
    <xf numFmtId="0" fontId="88" fillId="40" borderId="10" xfId="0" applyFont="1" applyFill="1" applyBorder="1" applyAlignment="1">
      <alignment horizontal="center" vertical="center" wrapText="1"/>
    </xf>
    <xf numFmtId="0" fontId="201" fillId="73" borderId="32" xfId="0" applyFont="1" applyFill="1" applyBorder="1" applyAlignment="1">
      <alignment wrapText="1"/>
    </xf>
    <xf numFmtId="0" fontId="201" fillId="73" borderId="24" xfId="0" applyFont="1" applyFill="1" applyBorder="1" applyAlignment="1">
      <alignment wrapText="1"/>
    </xf>
    <xf numFmtId="0" fontId="201" fillId="73" borderId="32" xfId="0" applyFont="1" applyFill="1" applyBorder="1" applyAlignment="1">
      <alignment horizontal="center" wrapText="1"/>
    </xf>
    <xf numFmtId="0" fontId="201" fillId="73" borderId="36" xfId="0" applyFont="1" applyFill="1" applyBorder="1" applyAlignment="1">
      <alignment horizontal="center" wrapText="1"/>
    </xf>
    <xf numFmtId="0" fontId="201" fillId="73" borderId="24" xfId="0" applyFont="1" applyFill="1" applyBorder="1" applyAlignment="1">
      <alignment horizontal="center" wrapText="1"/>
    </xf>
    <xf numFmtId="0" fontId="175" fillId="0" borderId="32" xfId="0" applyFont="1" applyBorder="1" applyAlignment="1">
      <alignment wrapText="1"/>
    </xf>
    <xf numFmtId="0" fontId="175" fillId="0" borderId="24" xfId="0" applyFont="1" applyBorder="1" applyAlignment="1">
      <alignment wrapText="1"/>
    </xf>
    <xf numFmtId="0" fontId="201" fillId="72" borderId="32" xfId="0" applyFont="1" applyFill="1" applyBorder="1" applyAlignment="1">
      <alignment wrapText="1"/>
    </xf>
    <xf numFmtId="0" fontId="201" fillId="72" borderId="24" xfId="0" applyFont="1" applyFill="1" applyBorder="1" applyAlignment="1">
      <alignment wrapText="1"/>
    </xf>
    <xf numFmtId="0" fontId="201" fillId="72" borderId="32" xfId="0" applyFont="1" applyFill="1" applyBorder="1" applyAlignment="1">
      <alignment horizontal="center" wrapText="1"/>
    </xf>
    <xf numFmtId="0" fontId="201" fillId="72" borderId="36" xfId="0" applyFont="1" applyFill="1" applyBorder="1" applyAlignment="1">
      <alignment horizontal="center" wrapText="1"/>
    </xf>
    <xf numFmtId="0" fontId="201" fillId="72" borderId="24" xfId="0" applyFont="1" applyFill="1" applyBorder="1" applyAlignment="1">
      <alignment horizontal="center" wrapText="1"/>
    </xf>
    <xf numFmtId="0" fontId="201" fillId="0" borderId="32" xfId="0" applyFont="1" applyBorder="1" applyAlignment="1">
      <alignment wrapText="1"/>
    </xf>
    <xf numFmtId="0" fontId="201" fillId="0" borderId="24" xfId="0" applyFont="1" applyBorder="1" applyAlignment="1">
      <alignment wrapText="1"/>
    </xf>
    <xf numFmtId="0" fontId="201" fillId="73" borderId="48" xfId="0" applyFont="1" applyFill="1" applyBorder="1" applyAlignment="1">
      <alignment wrapText="1"/>
    </xf>
    <xf numFmtId="0" fontId="201" fillId="73" borderId="71" xfId="0" applyFont="1" applyFill="1" applyBorder="1" applyAlignment="1">
      <alignment horizontal="center" wrapText="1"/>
    </xf>
    <xf numFmtId="0" fontId="201" fillId="73" borderId="48" xfId="0" applyFont="1" applyFill="1" applyBorder="1" applyAlignment="1">
      <alignment horizontal="center" wrapText="1"/>
    </xf>
    <xf numFmtId="0" fontId="175" fillId="0" borderId="35" xfId="0" applyFont="1" applyBorder="1" applyAlignment="1">
      <alignment wrapText="1"/>
    </xf>
    <xf numFmtId="0" fontId="175" fillId="0" borderId="27" xfId="0" applyFont="1" applyBorder="1" applyAlignment="1">
      <alignment wrapText="1"/>
    </xf>
    <xf numFmtId="0" fontId="175" fillId="0" borderId="25" xfId="0" applyFont="1" applyBorder="1" applyAlignment="1">
      <alignment wrapText="1"/>
    </xf>
    <xf numFmtId="0" fontId="201" fillId="74" borderId="32" xfId="0" applyFont="1" applyFill="1" applyBorder="1" applyAlignment="1">
      <alignment wrapText="1"/>
    </xf>
    <xf numFmtId="0" fontId="201" fillId="74" borderId="24" xfId="0" applyFont="1" applyFill="1" applyBorder="1" applyAlignment="1">
      <alignment wrapText="1"/>
    </xf>
    <xf numFmtId="0" fontId="201" fillId="74" borderId="32" xfId="0" applyFont="1" applyFill="1" applyBorder="1" applyAlignment="1">
      <alignment horizontal="center" wrapText="1"/>
    </xf>
    <xf numFmtId="0" fontId="201" fillId="74" borderId="36" xfId="0" applyFont="1" applyFill="1" applyBorder="1" applyAlignment="1">
      <alignment horizontal="center" wrapText="1"/>
    </xf>
    <xf numFmtId="0" fontId="201" fillId="74" borderId="48" xfId="0" applyFont="1" applyFill="1" applyBorder="1" applyAlignment="1">
      <alignment horizontal="center" wrapText="1"/>
    </xf>
    <xf numFmtId="0" fontId="201" fillId="77" borderId="39" xfId="0" applyFont="1" applyFill="1" applyBorder="1" applyAlignment="1">
      <alignment horizontal="center" wrapText="1"/>
    </xf>
    <xf numFmtId="0" fontId="201" fillId="77" borderId="34" xfId="0" applyFont="1" applyFill="1" applyBorder="1" applyAlignment="1">
      <alignment horizontal="center" wrapText="1"/>
    </xf>
    <xf numFmtId="0" fontId="201" fillId="77" borderId="33" xfId="0" applyFont="1" applyFill="1" applyBorder="1" applyAlignment="1">
      <alignment horizontal="center" wrapText="1"/>
    </xf>
    <xf numFmtId="0" fontId="201" fillId="77" borderId="16" xfId="0" applyFont="1" applyFill="1" applyBorder="1" applyAlignment="1">
      <alignment horizontal="center" wrapText="1"/>
    </xf>
    <xf numFmtId="0" fontId="201" fillId="77" borderId="32" xfId="0" applyFont="1" applyFill="1" applyBorder="1" applyAlignment="1">
      <alignment horizontal="center" wrapText="1"/>
    </xf>
    <xf numFmtId="0" fontId="201" fillId="77" borderId="36" xfId="0" applyFont="1" applyFill="1" applyBorder="1" applyAlignment="1">
      <alignment horizontal="center" wrapText="1"/>
    </xf>
    <xf numFmtId="0" fontId="201" fillId="77" borderId="24" xfId="0" applyFont="1" applyFill="1" applyBorder="1" applyAlignment="1">
      <alignment horizontal="center" wrapText="1"/>
    </xf>
    <xf numFmtId="0" fontId="201" fillId="77" borderId="35" xfId="0" applyFont="1" applyFill="1" applyBorder="1" applyAlignment="1">
      <alignment horizontal="center" wrapText="1"/>
    </xf>
    <xf numFmtId="0" fontId="201" fillId="77" borderId="27" xfId="0" applyFont="1" applyFill="1" applyBorder="1" applyAlignment="1">
      <alignment horizontal="center" wrapText="1"/>
    </xf>
    <xf numFmtId="0" fontId="201" fillId="77" borderId="25" xfId="0" applyFont="1" applyFill="1" applyBorder="1" applyAlignment="1">
      <alignment horizontal="center" wrapText="1"/>
    </xf>
    <xf numFmtId="0" fontId="106" fillId="0" borderId="0" xfId="0" applyFont="1" applyAlignment="1">
      <alignment wrapText="1"/>
    </xf>
    <xf numFmtId="0" fontId="26" fillId="0" borderId="0" xfId="0" applyFont="1" applyAlignment="1">
      <alignment horizontal="center" wrapText="1"/>
    </xf>
    <xf numFmtId="0" fontId="201" fillId="77" borderId="39" xfId="0" applyFont="1" applyFill="1" applyBorder="1" applyAlignment="1">
      <alignment wrapText="1"/>
    </xf>
    <xf numFmtId="0" fontId="201" fillId="77" borderId="34" xfId="0" applyFont="1" applyFill="1" applyBorder="1" applyAlignment="1">
      <alignment wrapText="1"/>
    </xf>
    <xf numFmtId="0" fontId="201" fillId="77" borderId="38" xfId="0" applyFont="1" applyFill="1" applyBorder="1" applyAlignment="1">
      <alignment wrapText="1"/>
    </xf>
    <xf numFmtId="0" fontId="201" fillId="77" borderId="26" xfId="0" applyFont="1" applyFill="1" applyBorder="1" applyAlignment="1">
      <alignment wrapText="1"/>
    </xf>
    <xf numFmtId="0" fontId="201" fillId="77" borderId="33" xfId="0" applyFont="1" applyFill="1" applyBorder="1" applyAlignment="1">
      <alignment wrapText="1"/>
    </xf>
    <xf numFmtId="0" fontId="201" fillId="77" borderId="16" xfId="0" applyFont="1" applyFill="1" applyBorder="1" applyAlignment="1">
      <alignment wrapText="1"/>
    </xf>
    <xf numFmtId="0" fontId="213" fillId="0" borderId="10" xfId="0" applyFont="1" applyFill="1" applyBorder="1" applyAlignment="1">
      <alignment horizontal="left" vertical="center" wrapText="1"/>
    </xf>
    <xf numFmtId="0" fontId="214" fillId="48" borderId="10" xfId="0" applyFont="1" applyFill="1" applyBorder="1" applyAlignment="1">
      <alignment horizontal="left" vertical="center" wrapText="1"/>
    </xf>
    <xf numFmtId="0" fontId="214" fillId="48" borderId="10" xfId="0" applyFont="1" applyFill="1" applyBorder="1" applyAlignment="1">
      <alignment horizontal="center" vertical="center" wrapText="1"/>
    </xf>
    <xf numFmtId="0" fontId="214" fillId="0" borderId="10" xfId="0" applyFont="1" applyFill="1" applyBorder="1" applyAlignment="1">
      <alignment horizontal="left" vertical="center" wrapText="1"/>
    </xf>
    <xf numFmtId="0" fontId="214" fillId="40" borderId="10" xfId="0" applyFont="1" applyFill="1" applyBorder="1" applyAlignment="1">
      <alignment horizontal="left" vertical="center" wrapText="1"/>
    </xf>
    <xf numFmtId="0" fontId="214" fillId="40" borderId="10" xfId="0" applyFont="1" applyFill="1" applyBorder="1" applyAlignment="1">
      <alignment horizontal="center" vertical="center" wrapText="1"/>
    </xf>
    <xf numFmtId="0" fontId="214" fillId="0" borderId="10" xfId="0" applyFont="1" applyFill="1" applyBorder="1" applyAlignment="1">
      <alignment horizontal="center" wrapText="1"/>
    </xf>
    <xf numFmtId="0" fontId="214" fillId="0" borderId="10" xfId="0" applyFont="1" applyFill="1" applyBorder="1" applyAlignment="1">
      <alignment horizontal="center" vertical="center" wrapText="1"/>
    </xf>
    <xf numFmtId="0" fontId="214" fillId="0" borderId="11" xfId="0" applyFont="1" applyFill="1" applyBorder="1" applyAlignment="1">
      <alignment horizontal="center" vertical="center" wrapText="1"/>
    </xf>
    <xf numFmtId="0" fontId="214" fillId="0" borderId="15" xfId="0" applyFont="1" applyFill="1" applyBorder="1" applyAlignment="1">
      <alignment horizontal="center" vertical="center" wrapText="1"/>
    </xf>
    <xf numFmtId="0" fontId="214" fillId="0" borderId="12" xfId="0" applyFont="1" applyFill="1" applyBorder="1" applyAlignment="1">
      <alignment horizontal="center" vertical="center" wrapText="1"/>
    </xf>
    <xf numFmtId="0" fontId="214" fillId="0" borderId="11" xfId="0" applyFont="1" applyFill="1" applyBorder="1" applyAlignment="1">
      <alignment horizontal="center" wrapText="1"/>
    </xf>
    <xf numFmtId="0" fontId="214" fillId="0" borderId="15" xfId="0" applyFont="1" applyFill="1" applyBorder="1" applyAlignment="1">
      <alignment horizontal="center" wrapText="1"/>
    </xf>
    <xf numFmtId="0" fontId="214" fillId="0" borderId="12" xfId="0" applyFont="1" applyFill="1" applyBorder="1" applyAlignment="1">
      <alignment horizontal="center" wrapText="1"/>
    </xf>
    <xf numFmtId="0" fontId="214" fillId="40" borderId="10" xfId="0" applyFont="1" applyFill="1" applyBorder="1" applyAlignment="1">
      <alignment horizontal="center" wrapText="1"/>
    </xf>
    <xf numFmtId="0" fontId="214" fillId="0" borderId="0" xfId="0" applyFont="1" applyFill="1" applyBorder="1" applyAlignment="1">
      <alignment horizontal="center" vertical="center" wrapText="1"/>
    </xf>
    <xf numFmtId="0" fontId="214" fillId="41" borderId="10" xfId="0" applyFont="1" applyFill="1" applyBorder="1" applyAlignment="1">
      <alignment horizontal="left" vertical="center" wrapText="1"/>
    </xf>
    <xf numFmtId="0" fontId="214" fillId="41" borderId="10" xfId="0" applyFont="1" applyFill="1" applyBorder="1" applyAlignment="1">
      <alignment horizontal="center" vertical="center" wrapText="1"/>
    </xf>
    <xf numFmtId="0" fontId="133" fillId="0" borderId="0" xfId="0" applyFont="1" applyFill="1" applyAlignment="1">
      <alignment horizontal="center" vertical="center" wrapText="1"/>
    </xf>
    <xf numFmtId="0" fontId="176" fillId="0" borderId="11" xfId="0" applyFont="1" applyBorder="1" applyAlignment="1">
      <alignment horizontal="center" vertical="center" wrapText="1"/>
    </xf>
    <xf numFmtId="0" fontId="176" fillId="0" borderId="15" xfId="0" applyFont="1" applyBorder="1" applyAlignment="1">
      <alignment horizontal="center" vertical="center" wrapText="1"/>
    </xf>
    <xf numFmtId="0" fontId="176" fillId="0" borderId="12" xfId="0" applyFont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wrapText="1"/>
    </xf>
    <xf numFmtId="0" fontId="176" fillId="0" borderId="10" xfId="0" applyFont="1" applyBorder="1" applyAlignment="1">
      <alignment horizontal="center" vertical="center" wrapText="1"/>
    </xf>
    <xf numFmtId="0" fontId="133" fillId="0" borderId="11" xfId="0" applyFont="1" applyBorder="1" applyAlignment="1">
      <alignment horizontal="center" vertical="center" wrapText="1"/>
    </xf>
    <xf numFmtId="0" fontId="133" fillId="0" borderId="15" xfId="0" applyFont="1" applyBorder="1" applyAlignment="1">
      <alignment horizontal="center" vertical="center" wrapText="1"/>
    </xf>
    <xf numFmtId="0" fontId="133" fillId="0" borderId="12" xfId="0" applyFont="1" applyBorder="1" applyAlignment="1">
      <alignment horizontal="center" vertical="center" wrapText="1"/>
    </xf>
    <xf numFmtId="0" fontId="176" fillId="0" borderId="0" xfId="0" applyFont="1" applyBorder="1" applyAlignment="1">
      <alignment horizontal="center" vertical="center" wrapText="1"/>
    </xf>
    <xf numFmtId="0" fontId="213" fillId="0" borderId="10" xfId="0" applyFont="1" applyFill="1" applyBorder="1" applyAlignment="1">
      <alignment horizontal="center" wrapText="1"/>
    </xf>
    <xf numFmtId="0" fontId="213" fillId="0" borderId="10" xfId="0" applyFont="1" applyFill="1" applyBorder="1" applyAlignment="1">
      <alignment horizontal="center" vertical="center" wrapText="1"/>
    </xf>
    <xf numFmtId="0" fontId="213" fillId="0" borderId="0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left" vertical="center" wrapText="1"/>
    </xf>
    <xf numFmtId="0" fontId="214" fillId="0" borderId="0" xfId="0" applyFont="1" applyFill="1" applyAlignment="1">
      <alignment horizontal="left" vertical="center" wrapText="1"/>
    </xf>
    <xf numFmtId="0" fontId="32" fillId="0" borderId="30" xfId="0" applyFont="1" applyBorder="1" applyAlignment="1">
      <alignment horizontal="left" vertical="center" wrapText="1"/>
    </xf>
    <xf numFmtId="0" fontId="45" fillId="0" borderId="11" xfId="0" applyFont="1" applyBorder="1" applyAlignment="1">
      <alignment horizontal="center" vertical="center" wrapText="1"/>
    </xf>
    <xf numFmtId="0" fontId="45" fillId="0" borderId="15" xfId="0" applyFont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4" fontId="138" fillId="0" borderId="10" xfId="0" applyNumberFormat="1" applyFont="1" applyFill="1" applyBorder="1" applyAlignment="1">
      <alignment horizontal="center" vertical="center" wrapText="1"/>
    </xf>
    <xf numFmtId="165" fontId="116" fillId="0" borderId="10" xfId="19" applyNumberFormat="1" applyFont="1" applyFill="1" applyBorder="1" applyAlignment="1">
      <alignment horizontal="center" vertical="center"/>
    </xf>
    <xf numFmtId="0" fontId="116" fillId="0" borderId="10" xfId="0" applyNumberFormat="1" applyFont="1" applyFill="1" applyBorder="1" applyAlignment="1" applyProtection="1">
      <alignment horizontal="left" vertical="center" wrapText="1"/>
    </xf>
    <xf numFmtId="49" fontId="117" fillId="0" borderId="10" xfId="0" applyNumberFormat="1" applyFont="1" applyFill="1" applyBorder="1" applyAlignment="1" applyProtection="1">
      <alignment horizontal="center" vertical="center" wrapText="1"/>
    </xf>
    <xf numFmtId="0" fontId="116" fillId="0" borderId="10" xfId="19" applyFont="1" applyFill="1" applyBorder="1" applyAlignment="1">
      <alignment horizontal="center" vertical="center"/>
    </xf>
    <xf numFmtId="165" fontId="116" fillId="0" borderId="10" xfId="0" applyNumberFormat="1" applyFont="1" applyFill="1" applyBorder="1" applyAlignment="1">
      <alignment horizontal="center" vertical="center"/>
    </xf>
    <xf numFmtId="0" fontId="116" fillId="0" borderId="10" xfId="0" applyNumberFormat="1" applyFont="1" applyFill="1" applyBorder="1" applyAlignment="1" applyProtection="1">
      <alignment horizontal="center" vertical="center" wrapText="1"/>
    </xf>
    <xf numFmtId="0" fontId="116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0" fontId="117" fillId="0" borderId="10" xfId="0" applyNumberFormat="1" applyFont="1" applyFill="1" applyBorder="1" applyAlignment="1" applyProtection="1">
      <alignment horizontal="center" vertical="center" wrapText="1"/>
    </xf>
    <xf numFmtId="0" fontId="116" fillId="0" borderId="10" xfId="0" applyNumberFormat="1" applyFont="1" applyFill="1" applyBorder="1" applyAlignment="1">
      <alignment horizontal="center" vertical="center" wrapText="1"/>
    </xf>
    <xf numFmtId="2" fontId="235" fillId="0" borderId="30" xfId="0" applyNumberFormat="1" applyFont="1" applyFill="1" applyBorder="1" applyAlignment="1">
      <alignment horizontal="left" vertical="center" wrapText="1"/>
    </xf>
    <xf numFmtId="0" fontId="235" fillId="0" borderId="30" xfId="0" applyFont="1" applyFill="1" applyBorder="1" applyAlignment="1">
      <alignment horizontal="left" vertical="center" wrapText="1"/>
    </xf>
    <xf numFmtId="0" fontId="119" fillId="0" borderId="10" xfId="0" applyFont="1" applyFill="1" applyBorder="1" applyAlignment="1">
      <alignment horizontal="center" vertical="center" wrapText="1"/>
    </xf>
    <xf numFmtId="0" fontId="119" fillId="0" borderId="10" xfId="0" applyFont="1" applyFill="1" applyBorder="1" applyAlignment="1">
      <alignment horizontal="left"/>
    </xf>
    <xf numFmtId="0" fontId="119" fillId="0" borderId="0" xfId="0" applyNumberFormat="1" applyFont="1" applyFill="1" applyBorder="1" applyAlignment="1" applyProtection="1">
      <alignment horizontal="center" vertical="top"/>
    </xf>
    <xf numFmtId="0" fontId="119" fillId="47" borderId="10" xfId="0" applyNumberFormat="1" applyFont="1" applyFill="1" applyBorder="1" applyAlignment="1" applyProtection="1">
      <alignment horizontal="center" vertical="center" wrapText="1"/>
    </xf>
    <xf numFmtId="0" fontId="119" fillId="47" borderId="10" xfId="0" applyFont="1" applyFill="1" applyBorder="1" applyAlignment="1">
      <alignment horizontal="center"/>
    </xf>
    <xf numFmtId="0" fontId="119" fillId="0" borderId="10" xfId="0" applyNumberFormat="1" applyFont="1" applyFill="1" applyBorder="1" applyAlignment="1" applyProtection="1">
      <alignment horizontal="left" vertical="center" wrapText="1"/>
    </xf>
    <xf numFmtId="4" fontId="116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67" fontId="117" fillId="0" borderId="10" xfId="0" applyNumberFormat="1" applyFont="1" applyFill="1" applyBorder="1" applyAlignment="1" applyProtection="1">
      <alignment horizontal="center" vertical="center" wrapText="1"/>
    </xf>
    <xf numFmtId="2" fontId="120" fillId="0" borderId="31" xfId="0" applyNumberFormat="1" applyFont="1" applyFill="1" applyBorder="1" applyAlignment="1">
      <alignment horizontal="center" wrapText="1"/>
    </xf>
    <xf numFmtId="0" fontId="119" fillId="0" borderId="0" xfId="0" applyFont="1" applyFill="1" applyAlignment="1">
      <alignment horizontal="center" wrapText="1"/>
    </xf>
    <xf numFmtId="0" fontId="116" fillId="0" borderId="10" xfId="0" applyFont="1" applyFill="1" applyBorder="1" applyAlignment="1">
      <alignment horizontal="center"/>
    </xf>
    <xf numFmtId="0" fontId="119" fillId="0" borderId="10" xfId="0" applyFont="1" applyFill="1" applyBorder="1" applyAlignment="1">
      <alignment horizontal="center" wrapText="1"/>
    </xf>
    <xf numFmtId="0" fontId="116" fillId="0" borderId="10" xfId="0" applyFont="1" applyFill="1" applyBorder="1" applyAlignment="1">
      <alignment horizontal="center" wrapText="1"/>
    </xf>
    <xf numFmtId="2" fontId="116" fillId="0" borderId="10" xfId="0" applyNumberFormat="1" applyFont="1" applyFill="1" applyBorder="1" applyAlignment="1">
      <alignment horizontal="center" wrapText="1"/>
    </xf>
    <xf numFmtId="2" fontId="119" fillId="0" borderId="30" xfId="0" applyNumberFormat="1" applyFont="1" applyFill="1" applyBorder="1" applyAlignment="1">
      <alignment horizontal="center" wrapText="1"/>
    </xf>
    <xf numFmtId="0" fontId="116" fillId="0" borderId="10" xfId="0" applyNumberFormat="1" applyFont="1" applyFill="1" applyBorder="1" applyAlignment="1" applyProtection="1">
      <alignment vertical="center" wrapText="1"/>
    </xf>
    <xf numFmtId="0" fontId="116" fillId="0" borderId="10" xfId="0" applyFont="1" applyFill="1" applyBorder="1" applyAlignment="1">
      <alignment horizontal="center" vertical="center"/>
    </xf>
    <xf numFmtId="0" fontId="50" fillId="0" borderId="10" xfId="0" applyFont="1" applyFill="1" applyBorder="1" applyAlignment="1">
      <alignment horizontal="center" wrapText="1"/>
    </xf>
    <xf numFmtId="0" fontId="50" fillId="0" borderId="11" xfId="0" applyFont="1" applyFill="1" applyBorder="1" applyAlignment="1">
      <alignment horizontal="center" wrapText="1"/>
    </xf>
    <xf numFmtId="0" fontId="50" fillId="0" borderId="12" xfId="0" applyFont="1" applyFill="1" applyBorder="1" applyAlignment="1">
      <alignment horizontal="center" wrapText="1"/>
    </xf>
    <xf numFmtId="0" fontId="29" fillId="0" borderId="10" xfId="0" applyFont="1" applyFill="1" applyBorder="1" applyAlignment="1">
      <alignment horizontal="center" wrapText="1"/>
    </xf>
    <xf numFmtId="0" fontId="29" fillId="0" borderId="18" xfId="0" applyFont="1" applyFill="1" applyBorder="1" applyAlignment="1">
      <alignment horizontal="center" wrapText="1"/>
    </xf>
    <xf numFmtId="0" fontId="29" fillId="0" borderId="13" xfId="0" applyFont="1" applyFill="1" applyBorder="1" applyAlignment="1">
      <alignment horizontal="center" wrapText="1"/>
    </xf>
    <xf numFmtId="0" fontId="57" fillId="0" borderId="10" xfId="0" applyFont="1" applyFill="1" applyBorder="1" applyAlignment="1">
      <alignment horizontal="center" wrapText="1"/>
    </xf>
    <xf numFmtId="0" fontId="12" fillId="0" borderId="11" xfId="0" applyFont="1" applyFill="1" applyBorder="1" applyAlignment="1">
      <alignment horizontal="center" wrapText="1"/>
    </xf>
    <xf numFmtId="0" fontId="12" fillId="0" borderId="12" xfId="0" applyFont="1" applyFill="1" applyBorder="1" applyAlignment="1">
      <alignment horizontal="center" wrapText="1"/>
    </xf>
    <xf numFmtId="0" fontId="50" fillId="37" borderId="18" xfId="0" applyFont="1" applyFill="1" applyBorder="1" applyAlignment="1">
      <alignment horizontal="left" vertical="center" wrapText="1"/>
    </xf>
    <xf numFmtId="0" fontId="50" fillId="37" borderId="13" xfId="0" applyFont="1" applyFill="1" applyBorder="1" applyAlignment="1">
      <alignment horizontal="left" vertical="center" wrapText="1"/>
    </xf>
    <xf numFmtId="0" fontId="12" fillId="0" borderId="10" xfId="0" applyFont="1" applyFill="1" applyBorder="1" applyAlignment="1">
      <alignment horizontal="center" wrapText="1"/>
    </xf>
    <xf numFmtId="0" fontId="51" fillId="0" borderId="11" xfId="0" applyNumberFormat="1" applyFont="1" applyFill="1" applyBorder="1" applyAlignment="1">
      <alignment horizontal="center" vertical="center" wrapText="1"/>
    </xf>
    <xf numFmtId="0" fontId="51" fillId="0" borderId="15" xfId="0" applyNumberFormat="1" applyFont="1" applyFill="1" applyBorder="1" applyAlignment="1">
      <alignment horizontal="center" vertical="center" wrapText="1"/>
    </xf>
    <xf numFmtId="0" fontId="51" fillId="0" borderId="12" xfId="0" applyNumberFormat="1" applyFont="1" applyFill="1" applyBorder="1" applyAlignment="1">
      <alignment horizontal="center" vertical="center" wrapText="1"/>
    </xf>
    <xf numFmtId="0" fontId="58" fillId="0" borderId="0" xfId="0" applyNumberFormat="1" applyFont="1" applyFill="1" applyBorder="1" applyAlignment="1">
      <alignment horizontal="center" vertical="center" wrapText="1"/>
    </xf>
    <xf numFmtId="0" fontId="59" fillId="46" borderId="10" xfId="0" applyNumberFormat="1" applyFont="1" applyFill="1" applyBorder="1" applyAlignment="1">
      <alignment horizontal="center" vertical="center" wrapText="1"/>
    </xf>
    <xf numFmtId="0" fontId="59" fillId="46" borderId="11" xfId="0" applyNumberFormat="1" applyFont="1" applyFill="1" applyBorder="1" applyAlignment="1">
      <alignment horizontal="center" vertical="center" wrapText="1"/>
    </xf>
    <xf numFmtId="0" fontId="59" fillId="46" borderId="15" xfId="0" applyNumberFormat="1" applyFont="1" applyFill="1" applyBorder="1" applyAlignment="1">
      <alignment horizontal="center" vertical="center" wrapText="1"/>
    </xf>
    <xf numFmtId="0" fontId="59" fillId="46" borderId="12" xfId="0" applyNumberFormat="1" applyFont="1" applyFill="1" applyBorder="1" applyAlignment="1">
      <alignment horizontal="center" vertical="center" wrapText="1"/>
    </xf>
    <xf numFmtId="0" fontId="59" fillId="46" borderId="18" xfId="0" applyNumberFormat="1" applyFont="1" applyFill="1" applyBorder="1" applyAlignment="1">
      <alignment horizontal="center" vertical="center" wrapText="1"/>
    </xf>
    <xf numFmtId="0" fontId="59" fillId="46" borderId="13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49" fillId="0" borderId="0" xfId="0" applyFont="1" applyAlignment="1">
      <alignment horizontal="right" wrapText="1"/>
    </xf>
    <xf numFmtId="0" fontId="51" fillId="0" borderId="10" xfId="0" applyNumberFormat="1" applyFont="1" applyFill="1" applyBorder="1" applyAlignment="1">
      <alignment horizontal="center" vertical="center" wrapText="1"/>
    </xf>
    <xf numFmtId="0" fontId="59" fillId="46" borderId="19" xfId="0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center" wrapText="1" indent="1"/>
    </xf>
    <xf numFmtId="0" fontId="64" fillId="0" borderId="0" xfId="0" applyNumberFormat="1" applyFont="1" applyFill="1" applyBorder="1" applyAlignment="1">
      <alignment horizontal="left" vertical="center" wrapText="1"/>
    </xf>
    <xf numFmtId="0" fontId="63" fillId="0" borderId="0" xfId="0" applyNumberFormat="1" applyFont="1" applyFill="1" applyBorder="1" applyAlignment="1">
      <alignment horizontal="center" vertical="center" wrapText="1"/>
    </xf>
    <xf numFmtId="0" fontId="64" fillId="0" borderId="0" xfId="0" applyNumberFormat="1" applyFont="1" applyFill="1" applyBorder="1" applyAlignment="1">
      <alignment horizontal="justify" vertical="center" wrapText="1"/>
    </xf>
    <xf numFmtId="0" fontId="98" fillId="0" borderId="0" xfId="0" applyFont="1" applyFill="1" applyAlignment="1">
      <alignment horizontal="left" vertical="top" wrapText="1"/>
    </xf>
    <xf numFmtId="0" fontId="233" fillId="46" borderId="10" xfId="0" applyNumberFormat="1" applyFont="1" applyFill="1" applyBorder="1" applyAlignment="1">
      <alignment horizontal="center" vertical="center" wrapText="1"/>
    </xf>
    <xf numFmtId="0" fontId="67" fillId="0" borderId="11" xfId="0" applyFont="1" applyFill="1" applyBorder="1" applyAlignment="1">
      <alignment horizontal="left" vertical="center" wrapText="1"/>
    </xf>
    <xf numFmtId="0" fontId="67" fillId="0" borderId="12" xfId="0" applyFont="1" applyFill="1" applyBorder="1" applyAlignment="1">
      <alignment horizontal="left" vertical="center" wrapText="1"/>
    </xf>
    <xf numFmtId="0" fontId="66" fillId="46" borderId="10" xfId="0" applyNumberFormat="1" applyFont="1" applyFill="1" applyBorder="1" applyAlignment="1">
      <alignment horizontal="center" vertical="center" wrapText="1"/>
    </xf>
    <xf numFmtId="2" fontId="55" fillId="0" borderId="0" xfId="0" applyNumberFormat="1" applyFont="1" applyFill="1" applyBorder="1" applyAlignment="1">
      <alignment horizontal="left" vertical="center" wrapText="1"/>
    </xf>
    <xf numFmtId="0" fontId="55" fillId="0" borderId="0" xfId="0" applyFont="1" applyFill="1" applyBorder="1" applyAlignment="1">
      <alignment horizontal="left" vertical="center" wrapText="1"/>
    </xf>
    <xf numFmtId="4" fontId="70" fillId="0" borderId="0" xfId="87" applyNumberFormat="1" applyFont="1" applyFill="1" applyAlignment="1">
      <alignment horizontal="right" vertical="center" wrapText="1"/>
    </xf>
    <xf numFmtId="0" fontId="54" fillId="0" borderId="0" xfId="87" applyNumberFormat="1" applyFont="1" applyFill="1" applyBorder="1" applyAlignment="1">
      <alignment horizontal="center" vertical="center" wrapText="1"/>
    </xf>
    <xf numFmtId="0" fontId="72" fillId="59" borderId="10" xfId="87" applyNumberFormat="1" applyFont="1" applyFill="1" applyBorder="1" applyAlignment="1">
      <alignment horizontal="center" vertical="center" wrapText="1"/>
    </xf>
    <xf numFmtId="0" fontId="54" fillId="0" borderId="0" xfId="0" applyFont="1" applyAlignment="1">
      <alignment horizontal="right" vertical="center" wrapText="1"/>
    </xf>
    <xf numFmtId="0" fontId="54" fillId="48" borderId="10" xfId="0" applyFont="1" applyFill="1" applyBorder="1" applyAlignment="1">
      <alignment horizontal="center" vertical="center" wrapText="1"/>
    </xf>
    <xf numFmtId="0" fontId="54" fillId="0" borderId="0" xfId="87" applyFont="1" applyFill="1" applyAlignment="1">
      <alignment horizontal="right" vertical="center" wrapText="1"/>
    </xf>
    <xf numFmtId="0" fontId="45" fillId="0" borderId="0" xfId="0" applyFont="1" applyFill="1" applyAlignment="1">
      <alignment horizontal="left" vertical="center" wrapText="1"/>
    </xf>
    <xf numFmtId="0" fontId="143" fillId="0" borderId="0" xfId="0" applyFont="1" applyAlignment="1">
      <alignment horizontal="center" vertical="top" wrapText="1"/>
    </xf>
    <xf numFmtId="0" fontId="205" fillId="0" borderId="10" xfId="0" applyFont="1" applyBorder="1" applyAlignment="1">
      <alignment horizontal="center" vertical="top" wrapText="1"/>
    </xf>
    <xf numFmtId="0" fontId="205" fillId="0" borderId="10" xfId="0" applyFont="1" applyBorder="1" applyAlignment="1">
      <alignment horizontal="right" vertical="top" wrapText="1"/>
    </xf>
    <xf numFmtId="0" fontId="205" fillId="74" borderId="10" xfId="0" applyFont="1" applyFill="1" applyBorder="1" applyAlignment="1">
      <alignment horizontal="center" vertical="top" wrapText="1"/>
    </xf>
    <xf numFmtId="0" fontId="145" fillId="0" borderId="10" xfId="0" applyFont="1" applyBorder="1" applyAlignment="1">
      <alignment vertical="top" wrapText="1"/>
    </xf>
    <xf numFmtId="0" fontId="145" fillId="0" borderId="18" xfId="0" applyFont="1" applyBorder="1" applyAlignment="1">
      <alignment vertical="top" wrapText="1"/>
    </xf>
    <xf numFmtId="0" fontId="145" fillId="0" borderId="10" xfId="0" applyFont="1" applyBorder="1" applyAlignment="1">
      <alignment horizontal="center" vertical="top" wrapText="1"/>
    </xf>
    <xf numFmtId="0" fontId="145" fillId="0" borderId="18" xfId="0" applyFont="1" applyBorder="1" applyAlignment="1">
      <alignment horizontal="center" vertical="top" wrapText="1"/>
    </xf>
    <xf numFmtId="0" fontId="203" fillId="0" borderId="10" xfId="0" applyFont="1" applyBorder="1" applyAlignment="1">
      <alignment horizontal="center" vertical="top" wrapText="1"/>
    </xf>
    <xf numFmtId="0" fontId="203" fillId="0" borderId="18" xfId="0" applyFont="1" applyBorder="1" applyAlignment="1">
      <alignment horizontal="center" vertical="top" wrapText="1"/>
    </xf>
    <xf numFmtId="4" fontId="133" fillId="0" borderId="10" xfId="0" applyNumberFormat="1" applyFont="1" applyBorder="1" applyAlignment="1">
      <alignment horizontal="right" vertical="top" wrapText="1"/>
    </xf>
    <xf numFmtId="4" fontId="133" fillId="0" borderId="18" xfId="0" applyNumberFormat="1" applyFont="1" applyBorder="1" applyAlignment="1">
      <alignment horizontal="right" vertical="top" wrapText="1"/>
    </xf>
    <xf numFmtId="0" fontId="106" fillId="0" borderId="0" xfId="0" applyFont="1" applyBorder="1" applyAlignment="1">
      <alignment wrapText="1"/>
    </xf>
    <xf numFmtId="0" fontId="45" fillId="0" borderId="56" xfId="0" applyFont="1" applyBorder="1" applyAlignment="1">
      <alignment horizontal="center" vertical="top" wrapText="1"/>
    </xf>
    <xf numFmtId="0" fontId="45" fillId="0" borderId="10" xfId="0" applyFont="1" applyBorder="1" applyAlignment="1">
      <alignment horizontal="center" vertical="top" wrapText="1"/>
    </xf>
    <xf numFmtId="0" fontId="48" fillId="0" borderId="56" xfId="0" applyFont="1" applyBorder="1" applyAlignment="1">
      <alignment horizontal="center" vertical="top" wrapText="1"/>
    </xf>
    <xf numFmtId="0" fontId="48" fillId="0" borderId="10" xfId="0" applyFont="1" applyBorder="1" applyAlignment="1">
      <alignment horizontal="center" vertical="top" wrapText="1"/>
    </xf>
    <xf numFmtId="0" fontId="49" fillId="0" borderId="56" xfId="0" applyFont="1" applyBorder="1" applyAlignment="1">
      <alignment vertical="top" wrapText="1"/>
    </xf>
    <xf numFmtId="0" fontId="49" fillId="0" borderId="10" xfId="0" applyFont="1" applyBorder="1" applyAlignment="1">
      <alignment vertical="top" wrapText="1"/>
    </xf>
    <xf numFmtId="0" fontId="203" fillId="0" borderId="56" xfId="0" applyFont="1" applyBorder="1" applyAlignment="1">
      <alignment horizontal="right"/>
    </xf>
    <xf numFmtId="0" fontId="203" fillId="0" borderId="10" xfId="0" applyFont="1" applyBorder="1" applyAlignment="1">
      <alignment horizontal="right"/>
    </xf>
    <xf numFmtId="0" fontId="48" fillId="74" borderId="57" xfId="0" applyFont="1" applyFill="1" applyBorder="1" applyAlignment="1">
      <alignment horizontal="right" vertical="top" wrapText="1"/>
    </xf>
    <xf numFmtId="0" fontId="48" fillId="74" borderId="59" xfId="0" applyFont="1" applyFill="1" applyBorder="1" applyAlignment="1">
      <alignment horizontal="right" vertical="top" wrapText="1"/>
    </xf>
    <xf numFmtId="0" fontId="48" fillId="0" borderId="56" xfId="0" applyFont="1" applyBorder="1" applyAlignment="1">
      <alignment horizontal="right"/>
    </xf>
    <xf numFmtId="0" fontId="48" fillId="0" borderId="10" xfId="0" applyFont="1" applyBorder="1" applyAlignment="1">
      <alignment horizontal="right"/>
    </xf>
    <xf numFmtId="0" fontId="49" fillId="0" borderId="56" xfId="0" applyFont="1" applyBorder="1" applyAlignment="1">
      <alignment horizontal="center" vertical="top" wrapText="1"/>
    </xf>
    <xf numFmtId="0" fontId="49" fillId="0" borderId="10" xfId="0" applyFont="1" applyBorder="1" applyAlignment="1">
      <alignment horizontal="center" vertical="top" wrapText="1"/>
    </xf>
    <xf numFmtId="0" fontId="48" fillId="0" borderId="13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205" fillId="0" borderId="13" xfId="0" applyFont="1" applyBorder="1" applyAlignment="1">
      <alignment horizontal="center" vertical="top" wrapText="1"/>
    </xf>
    <xf numFmtId="4" fontId="205" fillId="74" borderId="13" xfId="0" applyNumberFormat="1" applyFont="1" applyFill="1" applyBorder="1" applyAlignment="1">
      <alignment horizontal="right" vertical="top" wrapText="1"/>
    </xf>
    <xf numFmtId="4" fontId="205" fillId="74" borderId="10" xfId="0" applyNumberFormat="1" applyFont="1" applyFill="1" applyBorder="1" applyAlignment="1">
      <alignment horizontal="right" vertical="top" wrapText="1"/>
    </xf>
    <xf numFmtId="4" fontId="240" fillId="74" borderId="10" xfId="0" applyNumberFormat="1" applyFont="1" applyFill="1" applyBorder="1" applyAlignment="1">
      <alignment horizontal="right" vertical="top" wrapText="1"/>
    </xf>
    <xf numFmtId="0" fontId="48" fillId="0" borderId="10" xfId="0" applyFont="1" applyBorder="1" applyAlignment="1">
      <alignment vertical="top" wrapText="1"/>
    </xf>
    <xf numFmtId="4" fontId="48" fillId="0" borderId="10" xfId="0" applyNumberFormat="1" applyFont="1" applyBorder="1" applyAlignment="1">
      <alignment horizontal="right" vertical="top"/>
    </xf>
    <xf numFmtId="0" fontId="240" fillId="0" borderId="10" xfId="0" applyFont="1" applyBorder="1" applyAlignment="1">
      <alignment horizontal="center" vertical="top" wrapText="1"/>
    </xf>
    <xf numFmtId="4" fontId="48" fillId="0" borderId="10" xfId="0" applyNumberFormat="1" applyFont="1" applyBorder="1" applyAlignment="1">
      <alignment horizontal="right" vertical="top" wrapText="1"/>
    </xf>
    <xf numFmtId="0" fontId="48" fillId="0" borderId="10" xfId="0" applyFont="1" applyBorder="1" applyAlignment="1">
      <alignment horizontal="justify" vertical="top" wrapText="1"/>
    </xf>
    <xf numFmtId="0" fontId="45" fillId="42" borderId="10" xfId="0" applyFont="1" applyFill="1" applyBorder="1" applyAlignment="1">
      <alignment horizontal="center" vertical="top"/>
    </xf>
    <xf numFmtId="0" fontId="32" fillId="42" borderId="10" xfId="0" applyFont="1" applyFill="1" applyBorder="1" applyAlignment="1">
      <alignment horizontal="center" vertical="top" wrapText="1"/>
    </xf>
    <xf numFmtId="0" fontId="45" fillId="0" borderId="10" xfId="0" applyFont="1" applyBorder="1" applyAlignment="1">
      <alignment horizontal="right" vertical="top" wrapText="1"/>
    </xf>
    <xf numFmtId="0" fontId="49" fillId="0" borderId="10" xfId="0" applyFont="1" applyBorder="1" applyAlignment="1">
      <alignment horizontal="justify" vertical="top" wrapText="1"/>
    </xf>
    <xf numFmtId="0" fontId="26" fillId="0" borderId="10" xfId="0" applyFont="1" applyBorder="1" applyAlignment="1">
      <alignment horizontal="right" vertical="top" wrapText="1"/>
    </xf>
    <xf numFmtId="0" fontId="26" fillId="0" borderId="10" xfId="0" applyFont="1" applyBorder="1" applyAlignment="1">
      <alignment horizontal="center" vertical="top" wrapText="1"/>
    </xf>
    <xf numFmtId="4" fontId="26" fillId="74" borderId="10" xfId="0" applyNumberFormat="1" applyFont="1" applyFill="1" applyBorder="1" applyAlignment="1">
      <alignment horizontal="right" vertical="top" wrapText="1"/>
    </xf>
    <xf numFmtId="0" fontId="49" fillId="38" borderId="10" xfId="0" applyFont="1" applyFill="1" applyBorder="1" applyAlignment="1">
      <alignment vertical="top" wrapText="1"/>
    </xf>
    <xf numFmtId="0" fontId="175" fillId="38" borderId="10" xfId="0" applyFont="1" applyFill="1" applyBorder="1" applyAlignment="1">
      <alignment horizontal="center" vertical="top"/>
    </xf>
    <xf numFmtId="0" fontId="32" fillId="38" borderId="10" xfId="0" applyFont="1" applyFill="1" applyBorder="1" applyAlignment="1">
      <alignment horizontal="center" vertical="top"/>
    </xf>
    <xf numFmtId="0" fontId="199" fillId="38" borderId="10" xfId="0" applyFont="1" applyFill="1" applyBorder="1" applyAlignment="1">
      <alignment horizontal="center" vertical="top" wrapText="1"/>
    </xf>
    <xf numFmtId="0" fontId="32" fillId="38" borderId="10" xfId="0" applyFont="1" applyFill="1" applyBorder="1" applyAlignment="1">
      <alignment horizontal="right" vertical="top"/>
    </xf>
    <xf numFmtId="0" fontId="48" fillId="38" borderId="10" xfId="0" applyFont="1" applyFill="1" applyBorder="1" applyAlignment="1">
      <alignment horizontal="right" vertical="top" wrapText="1"/>
    </xf>
    <xf numFmtId="0" fontId="239" fillId="0" borderId="0" xfId="0" applyFont="1" applyAlignment="1">
      <alignment horizontal="center" vertical="top" wrapText="1"/>
    </xf>
    <xf numFmtId="0" fontId="239" fillId="0" borderId="0" xfId="0" applyFont="1" applyAlignment="1">
      <alignment horizontal="center" vertical="center" wrapText="1"/>
    </xf>
    <xf numFmtId="0" fontId="175" fillId="42" borderId="10" xfId="0" applyFont="1" applyFill="1" applyBorder="1" applyAlignment="1">
      <alignment horizontal="center" vertical="center" wrapText="1"/>
    </xf>
    <xf numFmtId="0" fontId="175" fillId="42" borderId="15" xfId="0" applyFont="1" applyFill="1" applyBorder="1" applyAlignment="1">
      <alignment horizontal="center" vertical="center" wrapText="1"/>
    </xf>
    <xf numFmtId="0" fontId="133" fillId="74" borderId="10" xfId="0" applyFont="1" applyFill="1" applyBorder="1" applyAlignment="1">
      <alignment horizontal="right" vertical="top" wrapText="1"/>
    </xf>
    <xf numFmtId="0" fontId="48" fillId="74" borderId="10" xfId="0" applyFont="1" applyFill="1" applyBorder="1" applyAlignment="1">
      <alignment horizontal="right" vertical="top" wrapText="1"/>
    </xf>
    <xf numFmtId="0" fontId="49" fillId="0" borderId="10" xfId="0" applyFont="1" applyFill="1" applyBorder="1" applyAlignment="1">
      <alignment horizontal="center" vertical="top" wrapText="1"/>
    </xf>
    <xf numFmtId="0" fontId="143" fillId="0" borderId="0" xfId="0" applyFont="1" applyFill="1" applyAlignment="1">
      <alignment horizontal="center" vertical="top" wrapText="1"/>
    </xf>
    <xf numFmtId="0" fontId="106" fillId="0" borderId="10" xfId="0" applyFont="1" applyBorder="1" applyAlignment="1">
      <alignment horizontal="center" vertical="top" wrapText="1"/>
    </xf>
    <xf numFmtId="0" fontId="162" fillId="0" borderId="10" xfId="72" applyBorder="1" applyAlignment="1" applyProtection="1">
      <alignment horizontal="center" vertical="top" wrapText="1"/>
    </xf>
    <xf numFmtId="0" fontId="106" fillId="0" borderId="10" xfId="0" applyFont="1" applyBorder="1" applyAlignment="1">
      <alignment vertical="top" wrapText="1"/>
    </xf>
    <xf numFmtId="165" fontId="106" fillId="0" borderId="10" xfId="0" applyNumberFormat="1" applyFont="1" applyBorder="1" applyAlignment="1">
      <alignment horizontal="center" vertical="top" wrapText="1"/>
    </xf>
    <xf numFmtId="0" fontId="0" fillId="0" borderId="0" xfId="0"/>
    <xf numFmtId="0" fontId="106" fillId="0" borderId="35" xfId="0" applyFont="1" applyBorder="1" applyAlignment="1">
      <alignment horizontal="center" vertical="center" wrapText="1"/>
    </xf>
    <xf numFmtId="0" fontId="106" fillId="0" borderId="25" xfId="0" applyFont="1" applyBorder="1" applyAlignment="1">
      <alignment horizontal="center" vertical="center" wrapText="1"/>
    </xf>
    <xf numFmtId="0" fontId="106" fillId="0" borderId="32" xfId="0" applyFont="1" applyBorder="1" applyAlignment="1">
      <alignment horizontal="center" vertical="center" wrapText="1"/>
    </xf>
    <xf numFmtId="0" fontId="106" fillId="0" borderId="36" xfId="0" applyFont="1" applyBorder="1" applyAlignment="1">
      <alignment horizontal="center" vertical="center" wrapText="1"/>
    </xf>
    <xf numFmtId="0" fontId="106" fillId="0" borderId="24" xfId="0" applyFont="1" applyBorder="1" applyAlignment="1">
      <alignment horizontal="center" vertical="center" wrapText="1"/>
    </xf>
    <xf numFmtId="49" fontId="106" fillId="0" borderId="18" xfId="0" applyNumberFormat="1" applyFont="1" applyFill="1" applyBorder="1" applyAlignment="1">
      <alignment horizontal="center" vertical="top" wrapText="1"/>
    </xf>
    <xf numFmtId="49" fontId="106" fillId="0" borderId="13" xfId="0" applyNumberFormat="1" applyFont="1" applyFill="1" applyBorder="1" applyAlignment="1">
      <alignment horizontal="center" vertical="top" wrapText="1"/>
    </xf>
    <xf numFmtId="2" fontId="49" fillId="0" borderId="0" xfId="0" applyNumberFormat="1" applyFont="1" applyFill="1" applyAlignment="1">
      <alignment horizontal="center" vertical="top"/>
    </xf>
    <xf numFmtId="0" fontId="145" fillId="0" borderId="18" xfId="0" applyNumberFormat="1" applyFont="1" applyFill="1" applyBorder="1" applyAlignment="1" applyProtection="1">
      <alignment horizontal="left" vertical="center" wrapText="1"/>
    </xf>
    <xf numFmtId="0" fontId="145" fillId="0" borderId="13" xfId="0" applyNumberFormat="1" applyFont="1" applyFill="1" applyBorder="1" applyAlignment="1" applyProtection="1">
      <alignment horizontal="left" vertical="center" wrapText="1"/>
    </xf>
    <xf numFmtId="168" fontId="48" fillId="0" borderId="11" xfId="0" applyNumberFormat="1" applyFont="1" applyFill="1" applyBorder="1" applyAlignment="1">
      <alignment horizontal="center" vertical="top"/>
    </xf>
    <xf numFmtId="168" fontId="48" fillId="0" borderId="15" xfId="0" applyNumberFormat="1" applyFont="1" applyFill="1" applyBorder="1" applyAlignment="1">
      <alignment horizontal="center" vertical="top"/>
    </xf>
    <xf numFmtId="168" fontId="48" fillId="0" borderId="12" xfId="0" applyNumberFormat="1" applyFont="1" applyFill="1" applyBorder="1" applyAlignment="1">
      <alignment horizontal="center" vertical="top"/>
    </xf>
    <xf numFmtId="0" fontId="145" fillId="61" borderId="18" xfId="0" applyFont="1" applyFill="1" applyBorder="1" applyAlignment="1">
      <alignment horizontal="center" vertical="top" wrapText="1"/>
    </xf>
    <xf numFmtId="0" fontId="145" fillId="61" borderId="13" xfId="0" applyFont="1" applyFill="1" applyBorder="1" applyAlignment="1">
      <alignment horizontal="center" vertical="top" wrapText="1"/>
    </xf>
    <xf numFmtId="0" fontId="48" fillId="0" borderId="11" xfId="0" applyFont="1" applyFill="1" applyBorder="1" applyAlignment="1">
      <alignment horizontal="center" vertical="top"/>
    </xf>
    <xf numFmtId="0" fontId="48" fillId="0" borderId="15" xfId="0" applyFont="1" applyFill="1" applyBorder="1" applyAlignment="1">
      <alignment horizontal="center" vertical="top"/>
    </xf>
    <xf numFmtId="0" fontId="48" fillId="0" borderId="12" xfId="0" applyFont="1" applyFill="1" applyBorder="1" applyAlignment="1">
      <alignment horizontal="center" vertical="top"/>
    </xf>
    <xf numFmtId="168" fontId="152" fillId="0" borderId="10" xfId="0" applyNumberFormat="1" applyFont="1" applyFill="1" applyBorder="1" applyAlignment="1">
      <alignment horizontal="center" vertical="top"/>
    </xf>
    <xf numFmtId="168" fontId="48" fillId="0" borderId="10" xfId="0" applyNumberFormat="1" applyFont="1" applyFill="1" applyBorder="1" applyAlignment="1">
      <alignment horizontal="center" vertical="top"/>
    </xf>
    <xf numFmtId="0" fontId="48" fillId="63" borderId="11" xfId="0" applyFont="1" applyFill="1" applyBorder="1" applyAlignment="1">
      <alignment horizontal="center" vertical="top"/>
    </xf>
    <xf numFmtId="0" fontId="48" fillId="63" borderId="15" xfId="0" applyFont="1" applyFill="1" applyBorder="1" applyAlignment="1">
      <alignment horizontal="center" vertical="top"/>
    </xf>
    <xf numFmtId="0" fontId="48" fillId="63" borderId="12" xfId="0" applyFont="1" applyFill="1" applyBorder="1" applyAlignment="1">
      <alignment horizontal="center" vertical="top"/>
    </xf>
    <xf numFmtId="0" fontId="48" fillId="64" borderId="11" xfId="0" applyFont="1" applyFill="1" applyBorder="1" applyAlignment="1">
      <alignment horizontal="center" vertical="top"/>
    </xf>
    <xf numFmtId="0" fontId="48" fillId="64" borderId="15" xfId="0" applyFont="1" applyFill="1" applyBorder="1" applyAlignment="1">
      <alignment horizontal="center" vertical="top"/>
    </xf>
    <xf numFmtId="0" fontId="48" fillId="64" borderId="12" xfId="0" applyFont="1" applyFill="1" applyBorder="1" applyAlignment="1">
      <alignment horizontal="center" vertical="top"/>
    </xf>
    <xf numFmtId="0" fontId="145" fillId="0" borderId="22" xfId="0" applyFont="1" applyFill="1" applyBorder="1" applyAlignment="1">
      <alignment horizontal="left" vertical="top" wrapText="1"/>
    </xf>
    <xf numFmtId="0" fontId="145" fillId="0" borderId="23" xfId="0" applyFont="1" applyFill="1" applyBorder="1" applyAlignment="1">
      <alignment horizontal="left" vertical="top" wrapText="1"/>
    </xf>
    <xf numFmtId="0" fontId="143" fillId="0" borderId="0" xfId="0" applyFont="1" applyFill="1" applyAlignment="1">
      <alignment horizontal="center" vertical="top"/>
    </xf>
    <xf numFmtId="0" fontId="143" fillId="0" borderId="0" xfId="0" applyFont="1" applyFill="1" applyBorder="1" applyAlignment="1">
      <alignment horizontal="center" vertical="top"/>
    </xf>
    <xf numFmtId="49" fontId="152" fillId="0" borderId="10" xfId="0" applyNumberFormat="1" applyFont="1" applyFill="1" applyBorder="1" applyAlignment="1">
      <alignment horizontal="center" vertical="top"/>
    </xf>
    <xf numFmtId="4" fontId="205" fillId="0" borderId="10" xfId="0" applyNumberFormat="1" applyFont="1" applyBorder="1" applyAlignment="1">
      <alignment horizontal="right" wrapText="1"/>
    </xf>
    <xf numFmtId="0" fontId="205" fillId="0" borderId="10" xfId="0" applyFont="1" applyBorder="1" applyAlignment="1">
      <alignment horizontal="right" wrapText="1"/>
    </xf>
    <xf numFmtId="0" fontId="48" fillId="0" borderId="10" xfId="0" applyFont="1" applyBorder="1" applyAlignment="1">
      <alignment horizontal="center" wrapText="1"/>
    </xf>
    <xf numFmtId="0" fontId="45" fillId="0" borderId="10" xfId="0" applyFont="1" applyBorder="1" applyAlignment="1">
      <alignment horizontal="center" wrapText="1"/>
    </xf>
    <xf numFmtId="0" fontId="205" fillId="0" borderId="10" xfId="0" applyFont="1" applyBorder="1" applyAlignment="1">
      <alignment horizontal="center" wrapText="1"/>
    </xf>
    <xf numFmtId="0" fontId="205" fillId="0" borderId="10" xfId="0" applyFont="1" applyBorder="1" applyAlignment="1">
      <alignment horizontal="center"/>
    </xf>
    <xf numFmtId="0" fontId="48" fillId="0" borderId="10" xfId="0" applyFont="1" applyBorder="1"/>
    <xf numFmtId="0" fontId="49" fillId="0" borderId="10" xfId="0" applyFont="1" applyBorder="1" applyAlignment="1">
      <alignment horizontal="center" wrapText="1"/>
    </xf>
    <xf numFmtId="0" fontId="49" fillId="0" borderId="10" xfId="0" applyFont="1" applyBorder="1"/>
    <xf numFmtId="0" fontId="106" fillId="0" borderId="10" xfId="0" applyFont="1" applyBorder="1"/>
    <xf numFmtId="0" fontId="49" fillId="0" borderId="10" xfId="0" applyFont="1" applyBorder="1" applyAlignment="1">
      <alignment horizontal="right"/>
    </xf>
    <xf numFmtId="0" fontId="49" fillId="0" borderId="10" xfId="0" applyFont="1" applyBorder="1" applyAlignment="1">
      <alignment wrapText="1"/>
    </xf>
    <xf numFmtId="0" fontId="49" fillId="0" borderId="10" xfId="0" applyFont="1" applyBorder="1" applyAlignment="1">
      <alignment horizontal="center"/>
    </xf>
    <xf numFmtId="4" fontId="49" fillId="0" borderId="10" xfId="0" applyNumberFormat="1" applyFont="1" applyBorder="1" applyAlignment="1">
      <alignment horizontal="right"/>
    </xf>
    <xf numFmtId="0" fontId="143" fillId="0" borderId="0" xfId="0" applyFont="1" applyAlignment="1">
      <alignment horizontal="center"/>
    </xf>
    <xf numFmtId="0" fontId="222" fillId="0" borderId="0" xfId="0" applyFont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96" fillId="44" borderId="32" xfId="0" applyFont="1" applyFill="1" applyBorder="1" applyAlignment="1">
      <alignment horizontal="center" vertical="center" wrapText="1"/>
    </xf>
    <xf numFmtId="0" fontId="96" fillId="44" borderId="48" xfId="0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wrapText="1"/>
    </xf>
    <xf numFmtId="0" fontId="95" fillId="0" borderId="10" xfId="0" applyFont="1" applyBorder="1" applyAlignment="1">
      <alignment horizontal="center" wrapText="1"/>
    </xf>
    <xf numFmtId="0" fontId="181" fillId="0" borderId="11" xfId="0" applyFont="1" applyFill="1" applyBorder="1" applyAlignment="1">
      <alignment horizontal="center" vertical="center" wrapText="1"/>
    </xf>
    <xf numFmtId="0" fontId="181" fillId="0" borderId="15" xfId="0" applyFont="1" applyFill="1" applyBorder="1" applyAlignment="1">
      <alignment horizontal="center" vertical="center" wrapText="1"/>
    </xf>
    <xf numFmtId="0" fontId="181" fillId="0" borderId="12" xfId="0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203" fillId="37" borderId="10" xfId="0" applyFont="1" applyFill="1" applyBorder="1" applyAlignment="1">
      <alignment horizontal="center"/>
    </xf>
    <xf numFmtId="4" fontId="203" fillId="37" borderId="10" xfId="0" applyNumberFormat="1" applyFont="1" applyFill="1" applyBorder="1" applyAlignment="1">
      <alignment horizontal="right"/>
    </xf>
    <xf numFmtId="0" fontId="49" fillId="37" borderId="10" xfId="0" applyFont="1" applyFill="1" applyBorder="1" applyAlignment="1">
      <alignment horizontal="center" wrapText="1"/>
    </xf>
    <xf numFmtId="0" fontId="49" fillId="0" borderId="0" xfId="0" applyFont="1" applyAlignment="1">
      <alignment horizontal="center"/>
    </xf>
    <xf numFmtId="0" fontId="175" fillId="0" borderId="26" xfId="0" applyFont="1" applyBorder="1" applyAlignment="1">
      <alignment horizontal="center" wrapText="1"/>
    </xf>
    <xf numFmtId="0" fontId="201" fillId="0" borderId="35" xfId="0" applyFont="1" applyBorder="1" applyAlignment="1">
      <alignment horizontal="center" wrapText="1"/>
    </xf>
    <xf numFmtId="0" fontId="201" fillId="0" borderId="25" xfId="0" applyFont="1" applyBorder="1" applyAlignment="1">
      <alignment horizontal="center" wrapText="1"/>
    </xf>
    <xf numFmtId="0" fontId="0" fillId="0" borderId="40" xfId="0" applyBorder="1" applyAlignment="1">
      <alignment wrapText="1"/>
    </xf>
    <xf numFmtId="0" fontId="114" fillId="0" borderId="0" xfId="0" applyFont="1" applyAlignment="1">
      <alignment horizontal="center" vertical="center" wrapText="1"/>
    </xf>
    <xf numFmtId="0" fontId="112" fillId="0" borderId="35" xfId="0" applyFont="1" applyBorder="1" applyAlignment="1">
      <alignment vertical="center" wrapText="1"/>
    </xf>
    <xf numFmtId="0" fontId="112" fillId="0" borderId="25" xfId="0" applyFont="1" applyBorder="1" applyAlignment="1">
      <alignment vertical="center" wrapText="1"/>
    </xf>
    <xf numFmtId="0" fontId="122" fillId="0" borderId="35" xfId="0" applyFont="1" applyBorder="1" applyAlignment="1">
      <alignment horizontal="center" wrapText="1"/>
    </xf>
    <xf numFmtId="0" fontId="122" fillId="0" borderId="25" xfId="0" applyFont="1" applyBorder="1" applyAlignment="1">
      <alignment horizontal="center" wrapText="1"/>
    </xf>
    <xf numFmtId="0" fontId="122" fillId="0" borderId="35" xfId="0" applyFont="1" applyBorder="1" applyAlignment="1">
      <alignment vertical="top" wrapText="1"/>
    </xf>
    <xf numFmtId="0" fontId="122" fillId="0" borderId="25" xfId="0" applyFont="1" applyBorder="1" applyAlignment="1">
      <alignment vertical="top" wrapText="1"/>
    </xf>
    <xf numFmtId="0" fontId="122" fillId="0" borderId="37" xfId="0" applyFont="1" applyBorder="1" applyAlignment="1">
      <alignment horizontal="center" wrapText="1"/>
    </xf>
    <xf numFmtId="0" fontId="122" fillId="53" borderId="35" xfId="0" applyFont="1" applyFill="1" applyBorder="1" applyAlignment="1">
      <alignment horizontal="center" wrapText="1"/>
    </xf>
    <xf numFmtId="0" fontId="122" fillId="53" borderId="25" xfId="0" applyFont="1" applyFill="1" applyBorder="1" applyAlignment="1">
      <alignment horizontal="center" wrapText="1"/>
    </xf>
    <xf numFmtId="0" fontId="122" fillId="0" borderId="0" xfId="0" applyFont="1" applyAlignment="1">
      <alignment horizontal="center" wrapText="1"/>
    </xf>
    <xf numFmtId="0" fontId="123" fillId="0" borderId="0" xfId="0" applyFont="1" applyAlignment="1">
      <alignment horizontal="center" wrapText="1"/>
    </xf>
    <xf numFmtId="0" fontId="122" fillId="0" borderId="40" xfId="0" applyFont="1" applyBorder="1" applyAlignment="1">
      <alignment horizontal="center" wrapText="1"/>
    </xf>
    <xf numFmtId="0" fontId="123" fillId="53" borderId="35" xfId="0" applyFont="1" applyFill="1" applyBorder="1" applyAlignment="1">
      <alignment horizontal="center" vertical="top" wrapText="1"/>
    </xf>
    <xf numFmtId="0" fontId="123" fillId="53" borderId="25" xfId="0" applyFont="1" applyFill="1" applyBorder="1" applyAlignment="1">
      <alignment horizontal="center" vertical="top" wrapText="1"/>
    </xf>
    <xf numFmtId="0" fontId="123" fillId="53" borderId="35" xfId="0" applyFont="1" applyFill="1" applyBorder="1" applyAlignment="1">
      <alignment vertical="top" wrapText="1"/>
    </xf>
    <xf numFmtId="0" fontId="123" fillId="53" borderId="25" xfId="0" applyFont="1" applyFill="1" applyBorder="1" applyAlignment="1">
      <alignment vertical="top" wrapText="1"/>
    </xf>
    <xf numFmtId="0" fontId="122" fillId="53" borderId="35" xfId="0" applyFont="1" applyFill="1" applyBorder="1" applyAlignment="1">
      <alignment horizontal="center" vertical="top" wrapText="1"/>
    </xf>
    <xf numFmtId="0" fontId="122" fillId="53" borderId="25" xfId="0" applyFont="1" applyFill="1" applyBorder="1" applyAlignment="1">
      <alignment horizontal="center" vertical="top" wrapText="1"/>
    </xf>
    <xf numFmtId="0" fontId="122" fillId="53" borderId="35" xfId="0" applyFont="1" applyFill="1" applyBorder="1" applyAlignment="1">
      <alignment vertical="top" wrapText="1"/>
    </xf>
    <xf numFmtId="0" fontId="122" fillId="53" borderId="25" xfId="0" applyFont="1" applyFill="1" applyBorder="1" applyAlignment="1">
      <alignment vertical="top" wrapText="1"/>
    </xf>
    <xf numFmtId="3" fontId="123" fillId="0" borderId="39" xfId="0" applyNumberFormat="1" applyFont="1" applyBorder="1" applyAlignment="1">
      <alignment horizontal="center" wrapText="1"/>
    </xf>
    <xf numFmtId="3" fontId="123" fillId="0" borderId="33" xfId="0" applyNumberFormat="1" applyFont="1" applyBorder="1" applyAlignment="1">
      <alignment horizontal="center" wrapText="1"/>
    </xf>
    <xf numFmtId="3" fontId="123" fillId="0" borderId="35" xfId="0" applyNumberFormat="1" applyFont="1" applyBorder="1" applyAlignment="1">
      <alignment horizontal="center" wrapText="1"/>
    </xf>
    <xf numFmtId="3" fontId="123" fillId="0" borderId="25" xfId="0" applyNumberFormat="1" applyFont="1" applyBorder="1" applyAlignment="1">
      <alignment horizontal="center" wrapText="1"/>
    </xf>
    <xf numFmtId="0" fontId="123" fillId="0" borderId="35" xfId="0" applyFont="1" applyBorder="1" applyAlignment="1">
      <alignment vertical="top" wrapText="1"/>
    </xf>
    <xf numFmtId="0" fontId="123" fillId="0" borderId="25" xfId="0" applyFont="1" applyBorder="1" applyAlignment="1">
      <alignment vertical="top" wrapText="1"/>
    </xf>
    <xf numFmtId="2" fontId="133" fillId="0" borderId="0" xfId="0" applyNumberFormat="1" applyFont="1" applyFill="1" applyAlignment="1">
      <alignment horizontal="center" vertical="center"/>
    </xf>
    <xf numFmtId="0" fontId="134" fillId="0" borderId="0" xfId="0" applyFont="1" applyFill="1" applyAlignment="1">
      <alignment horizontal="center"/>
    </xf>
    <xf numFmtId="0" fontId="134" fillId="0" borderId="0" xfId="0" applyFont="1" applyFill="1" applyBorder="1" applyAlignment="1">
      <alignment horizontal="center"/>
    </xf>
    <xf numFmtId="0" fontId="37" fillId="0" borderId="18" xfId="0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center" wrapText="1"/>
    </xf>
    <xf numFmtId="0" fontId="38" fillId="0" borderId="18" xfId="0" applyFont="1" applyFill="1" applyBorder="1" applyAlignment="1">
      <alignment vertical="center" wrapText="1"/>
    </xf>
    <xf numFmtId="0" fontId="38" fillId="0" borderId="13" xfId="0" applyFont="1" applyFill="1" applyBorder="1" applyAlignment="1">
      <alignment vertical="center" wrapText="1"/>
    </xf>
    <xf numFmtId="0" fontId="38" fillId="0" borderId="19" xfId="0" applyFont="1" applyFill="1" applyBorder="1" applyAlignment="1">
      <alignment vertical="center" wrapText="1"/>
    </xf>
    <xf numFmtId="0" fontId="33" fillId="0" borderId="0" xfId="0" applyFont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" vertical="center" wrapText="1"/>
    </xf>
    <xf numFmtId="0" fontId="37" fillId="0" borderId="12" xfId="0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" vertical="center" wrapText="1"/>
    </xf>
    <xf numFmtId="0" fontId="37" fillId="0" borderId="19" xfId="0" applyFont="1" applyFill="1" applyBorder="1" applyAlignment="1">
      <alignment vertical="center" wrapText="1"/>
    </xf>
    <xf numFmtId="0" fontId="192" fillId="0" borderId="11" xfId="0" applyFont="1" applyBorder="1" applyAlignment="1">
      <alignment horizontal="center" vertical="center" wrapText="1"/>
    </xf>
    <xf numFmtId="0" fontId="192" fillId="0" borderId="15" xfId="0" applyFont="1" applyBorder="1" applyAlignment="1">
      <alignment horizontal="center" vertical="center" wrapText="1"/>
    </xf>
    <xf numFmtId="0" fontId="192" fillId="0" borderId="12" xfId="0" applyFont="1" applyBorder="1" applyAlignment="1">
      <alignment horizontal="center" vertical="center" wrapText="1"/>
    </xf>
    <xf numFmtId="0" fontId="169" fillId="40" borderId="10" xfId="0" applyFont="1" applyFill="1" applyBorder="1" applyAlignment="1">
      <alignment horizontal="center" wrapText="1"/>
    </xf>
    <xf numFmtId="0" fontId="108" fillId="0" borderId="11" xfId="0" applyFont="1" applyBorder="1" applyAlignment="1">
      <alignment horizontal="center" vertical="center" wrapText="1"/>
    </xf>
    <xf numFmtId="0" fontId="108" fillId="0" borderId="15" xfId="0" applyFont="1" applyBorder="1" applyAlignment="1">
      <alignment horizontal="center" vertical="center" wrapText="1"/>
    </xf>
    <xf numFmtId="0" fontId="108" fillId="0" borderId="12" xfId="0" applyFont="1" applyBorder="1" applyAlignment="1">
      <alignment horizontal="center" vertical="center" wrapText="1"/>
    </xf>
    <xf numFmtId="0" fontId="169" fillId="40" borderId="11" xfId="0" applyFont="1" applyFill="1" applyBorder="1" applyAlignment="1">
      <alignment horizontal="center" vertical="center" wrapText="1"/>
    </xf>
    <xf numFmtId="0" fontId="169" fillId="40" borderId="15" xfId="0" applyFont="1" applyFill="1" applyBorder="1" applyAlignment="1">
      <alignment horizontal="center" vertical="center" wrapText="1"/>
    </xf>
    <xf numFmtId="0" fontId="202" fillId="0" borderId="11" xfId="0" applyFont="1" applyBorder="1" applyAlignment="1">
      <alignment horizontal="center" vertical="center" wrapText="1"/>
    </xf>
    <xf numFmtId="0" fontId="202" fillId="0" borderId="15" xfId="0" applyFont="1" applyBorder="1" applyAlignment="1">
      <alignment horizontal="center" vertical="center" wrapText="1"/>
    </xf>
    <xf numFmtId="0" fontId="202" fillId="0" borderId="12" xfId="0" applyFont="1" applyBorder="1" applyAlignment="1">
      <alignment horizontal="center" vertical="center" wrapText="1"/>
    </xf>
    <xf numFmtId="0" fontId="169" fillId="48" borderId="11" xfId="0" applyFont="1" applyFill="1" applyBorder="1" applyAlignment="1">
      <alignment horizontal="center" vertical="center" wrapText="1"/>
    </xf>
    <xf numFmtId="0" fontId="169" fillId="48" borderId="15" xfId="0" applyFont="1" applyFill="1" applyBorder="1" applyAlignment="1">
      <alignment horizontal="center" vertical="center" wrapText="1"/>
    </xf>
    <xf numFmtId="0" fontId="169" fillId="48" borderId="31" xfId="0" applyFont="1" applyFill="1" applyBorder="1" applyAlignment="1">
      <alignment horizontal="center" vertical="center" wrapText="1"/>
    </xf>
    <xf numFmtId="0" fontId="102" fillId="0" borderId="11" xfId="0" applyFont="1" applyBorder="1" applyAlignment="1">
      <alignment horizontal="center" vertical="center" wrapText="1"/>
    </xf>
    <xf numFmtId="0" fontId="102" fillId="0" borderId="15" xfId="0" applyFont="1" applyBorder="1" applyAlignment="1">
      <alignment horizontal="center" vertical="center" wrapText="1"/>
    </xf>
    <xf numFmtId="0" fontId="102" fillId="0" borderId="12" xfId="0" applyFont="1" applyBorder="1" applyAlignment="1">
      <alignment horizontal="center" vertical="center" wrapText="1"/>
    </xf>
    <xf numFmtId="0" fontId="169" fillId="40" borderId="13" xfId="0" applyFont="1" applyFill="1" applyBorder="1" applyAlignment="1">
      <alignment horizontal="center" wrapText="1"/>
    </xf>
    <xf numFmtId="0" fontId="93" fillId="0" borderId="0" xfId="0" applyFont="1" applyBorder="1" applyAlignment="1">
      <alignment horizontal="center" vertical="center" wrapText="1"/>
    </xf>
    <xf numFmtId="0" fontId="164" fillId="0" borderId="31" xfId="0" applyFont="1" applyFill="1" applyBorder="1" applyAlignment="1">
      <alignment horizontal="left" vertical="center" wrapText="1"/>
    </xf>
    <xf numFmtId="0" fontId="172" fillId="0" borderId="0" xfId="0" applyFont="1" applyBorder="1" applyAlignment="1">
      <alignment horizontal="center" vertical="center" wrapText="1"/>
    </xf>
    <xf numFmtId="0" fontId="60" fillId="0" borderId="0" xfId="0" applyFont="1" applyFill="1" applyAlignment="1">
      <alignment horizontal="center" vertical="center" wrapText="1"/>
    </xf>
    <xf numFmtId="0" fontId="224" fillId="0" borderId="0" xfId="0" applyFont="1" applyFill="1" applyAlignment="1">
      <alignment horizontal="center" vertical="center" wrapText="1"/>
    </xf>
    <xf numFmtId="0" fontId="169" fillId="0" borderId="11" xfId="0" applyFont="1" applyFill="1" applyBorder="1" applyAlignment="1">
      <alignment horizontal="center" vertical="center" wrapText="1"/>
    </xf>
    <xf numFmtId="0" fontId="169" fillId="0" borderId="15" xfId="0" applyFont="1" applyFill="1" applyBorder="1" applyAlignment="1">
      <alignment horizontal="center" vertical="center" wrapText="1"/>
    </xf>
    <xf numFmtId="0" fontId="202" fillId="0" borderId="10" xfId="0" applyFont="1" applyBorder="1" applyAlignment="1">
      <alignment horizontal="center" vertical="center" wrapText="1"/>
    </xf>
    <xf numFmtId="0" fontId="169" fillId="40" borderId="10" xfId="0" applyFont="1" applyFill="1" applyBorder="1" applyAlignment="1">
      <alignment horizontal="center" vertical="center" wrapText="1"/>
    </xf>
    <xf numFmtId="0" fontId="192" fillId="0" borderId="10" xfId="0" applyFont="1" applyBorder="1" applyAlignment="1">
      <alignment horizontal="center" vertical="center" wrapText="1"/>
    </xf>
    <xf numFmtId="0" fontId="169" fillId="0" borderId="12" xfId="0" applyFont="1" applyFill="1" applyBorder="1" applyAlignment="1">
      <alignment horizontal="center" vertical="center" wrapText="1"/>
    </xf>
    <xf numFmtId="0" fontId="164" fillId="0" borderId="10" xfId="0" applyFont="1" applyFill="1" applyBorder="1" applyAlignment="1">
      <alignment horizontal="center" vertical="center" wrapText="1"/>
    </xf>
    <xf numFmtId="4" fontId="164" fillId="0" borderId="0" xfId="0" applyNumberFormat="1" applyFont="1" applyFill="1" applyAlignment="1">
      <alignment horizontal="left" vertical="center" wrapText="1"/>
    </xf>
    <xf numFmtId="0" fontId="164" fillId="0" borderId="18" xfId="0" applyFont="1" applyFill="1" applyBorder="1" applyAlignment="1">
      <alignment horizontal="center" vertical="center" wrapText="1"/>
    </xf>
    <xf numFmtId="0" fontId="164" fillId="0" borderId="13" xfId="0" applyFont="1" applyFill="1" applyBorder="1" applyAlignment="1">
      <alignment horizontal="center" vertical="center" wrapText="1"/>
    </xf>
    <xf numFmtId="4" fontId="169" fillId="0" borderId="10" xfId="0" applyNumberFormat="1" applyFont="1" applyFill="1" applyBorder="1" applyAlignment="1">
      <alignment horizontal="center" vertical="center" wrapText="1"/>
    </xf>
    <xf numFmtId="2" fontId="169" fillId="0" borderId="10" xfId="0" applyNumberFormat="1" applyFont="1" applyFill="1" applyBorder="1" applyAlignment="1">
      <alignment horizontal="center" vertical="center" wrapText="1"/>
    </xf>
    <xf numFmtId="0" fontId="164" fillId="0" borderId="0" xfId="0" applyFont="1" applyFill="1" applyAlignment="1">
      <alignment horizontal="left" vertical="center" wrapText="1"/>
    </xf>
    <xf numFmtId="0" fontId="169" fillId="0" borderId="15" xfId="0" applyFont="1" applyFill="1" applyBorder="1" applyAlignment="1">
      <alignment horizontal="center" wrapText="1"/>
    </xf>
    <xf numFmtId="0" fontId="169" fillId="0" borderId="12" xfId="0" applyFont="1" applyFill="1" applyBorder="1" applyAlignment="1">
      <alignment horizontal="center" wrapText="1"/>
    </xf>
    <xf numFmtId="0" fontId="169" fillId="0" borderId="11" xfId="0" applyFont="1" applyFill="1" applyBorder="1" applyAlignment="1">
      <alignment horizontal="center" wrapText="1"/>
    </xf>
    <xf numFmtId="0" fontId="169" fillId="0" borderId="10" xfId="0" applyFont="1" applyFill="1" applyBorder="1" applyAlignment="1">
      <alignment horizontal="center" wrapText="1"/>
    </xf>
    <xf numFmtId="0" fontId="169" fillId="0" borderId="10" xfId="0" applyFont="1" applyFill="1" applyBorder="1" applyAlignment="1">
      <alignment horizontal="center" vertical="center" wrapText="1"/>
    </xf>
    <xf numFmtId="0" fontId="164" fillId="0" borderId="10" xfId="0" applyFont="1" applyFill="1" applyBorder="1" applyAlignment="1">
      <alignment horizontal="center" wrapText="1"/>
    </xf>
    <xf numFmtId="4" fontId="169" fillId="0" borderId="18" xfId="0" applyNumberFormat="1" applyFont="1" applyFill="1" applyBorder="1" applyAlignment="1">
      <alignment horizontal="center" vertical="center" wrapText="1"/>
    </xf>
    <xf numFmtId="4" fontId="169" fillId="0" borderId="19" xfId="0" applyNumberFormat="1" applyFont="1" applyFill="1" applyBorder="1" applyAlignment="1">
      <alignment horizontal="center" vertical="center" wrapText="1"/>
    </xf>
    <xf numFmtId="0" fontId="169" fillId="0" borderId="18" xfId="0" applyFont="1" applyFill="1" applyBorder="1" applyAlignment="1">
      <alignment horizontal="center" vertical="center" wrapText="1"/>
    </xf>
    <xf numFmtId="0" fontId="169" fillId="0" borderId="19" xfId="0" applyFont="1" applyFill="1" applyBorder="1" applyAlignment="1">
      <alignment horizontal="center" vertical="center" wrapText="1"/>
    </xf>
    <xf numFmtId="0" fontId="169" fillId="0" borderId="13" xfId="0" applyFont="1" applyFill="1" applyBorder="1" applyAlignment="1">
      <alignment horizontal="center" vertical="center" wrapText="1"/>
    </xf>
    <xf numFmtId="2" fontId="169" fillId="0" borderId="18" xfId="0" applyNumberFormat="1" applyFont="1" applyFill="1" applyBorder="1" applyAlignment="1">
      <alignment horizontal="center" vertical="center" wrapText="1"/>
    </xf>
    <xf numFmtId="2" fontId="169" fillId="0" borderId="19" xfId="0" applyNumberFormat="1" applyFont="1" applyFill="1" applyBorder="1" applyAlignment="1">
      <alignment horizontal="center" vertical="center" wrapText="1"/>
    </xf>
    <xf numFmtId="0" fontId="197" fillId="0" borderId="18" xfId="0" applyFont="1" applyFill="1" applyBorder="1" applyAlignment="1">
      <alignment horizontal="center" vertical="center" wrapText="1"/>
    </xf>
    <xf numFmtId="0" fontId="197" fillId="0" borderId="19" xfId="0" applyFont="1" applyFill="1" applyBorder="1" applyAlignment="1">
      <alignment horizontal="center" vertical="center" wrapText="1"/>
    </xf>
    <xf numFmtId="0" fontId="197" fillId="0" borderId="13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wrapText="1"/>
    </xf>
    <xf numFmtId="0" fontId="197" fillId="0" borderId="11" xfId="0" applyFont="1" applyFill="1" applyBorder="1" applyAlignment="1">
      <alignment horizontal="center" vertical="center" wrapText="1"/>
    </xf>
    <xf numFmtId="0" fontId="197" fillId="0" borderId="15" xfId="0" applyFont="1" applyFill="1" applyBorder="1" applyAlignment="1">
      <alignment horizontal="center" vertical="center" wrapText="1"/>
    </xf>
    <xf numFmtId="0" fontId="197" fillId="0" borderId="12" xfId="0" applyFont="1" applyFill="1" applyBorder="1" applyAlignment="1">
      <alignment horizontal="center" vertical="center" wrapText="1"/>
    </xf>
    <xf numFmtId="0" fontId="197" fillId="0" borderId="10" xfId="0" applyFont="1" applyFill="1" applyBorder="1" applyAlignment="1">
      <alignment horizontal="center" vertical="center" wrapText="1"/>
    </xf>
    <xf numFmtId="0" fontId="197" fillId="0" borderId="10" xfId="0" applyFont="1" applyFill="1" applyBorder="1" applyAlignment="1">
      <alignment horizontal="left" vertical="center" wrapText="1"/>
    </xf>
    <xf numFmtId="0" fontId="70" fillId="0" borderId="0" xfId="0" applyFont="1" applyAlignment="1">
      <alignment horizontal="center" vertical="center" wrapText="1"/>
    </xf>
    <xf numFmtId="0" fontId="70" fillId="0" borderId="0" xfId="0" applyFont="1" applyAlignment="1">
      <alignment horizontal="left" vertical="center" wrapText="1"/>
    </xf>
    <xf numFmtId="0" fontId="196" fillId="0" borderId="10" xfId="0" applyFont="1" applyFill="1" applyBorder="1" applyAlignment="1">
      <alignment horizontal="center" vertical="center" wrapText="1"/>
    </xf>
    <xf numFmtId="0" fontId="196" fillId="0" borderId="10" xfId="0" applyFont="1" applyFill="1" applyBorder="1" applyAlignment="1">
      <alignment horizontal="left" vertical="center" wrapText="1"/>
    </xf>
    <xf numFmtId="0" fontId="167" fillId="0" borderId="18" xfId="0" applyFont="1" applyBorder="1" applyAlignment="1">
      <alignment horizontal="center" vertical="center" wrapText="1"/>
    </xf>
    <xf numFmtId="0" fontId="167" fillId="0" borderId="19" xfId="0" applyFont="1" applyBorder="1" applyAlignment="1">
      <alignment horizontal="center" vertical="center" wrapText="1"/>
    </xf>
    <xf numFmtId="0" fontId="167" fillId="0" borderId="13" xfId="0" applyFont="1" applyBorder="1" applyAlignment="1">
      <alignment horizontal="center" vertical="center" wrapText="1"/>
    </xf>
    <xf numFmtId="0" fontId="167" fillId="0" borderId="11" xfId="0" applyFont="1" applyBorder="1" applyAlignment="1">
      <alignment horizontal="center" vertical="top" wrapText="1"/>
    </xf>
    <xf numFmtId="0" fontId="167" fillId="0" borderId="15" xfId="0" applyFont="1" applyBorder="1" applyAlignment="1">
      <alignment horizontal="center" vertical="top" wrapText="1"/>
    </xf>
    <xf numFmtId="0" fontId="167" fillId="0" borderId="12" xfId="0" applyFont="1" applyBorder="1" applyAlignment="1">
      <alignment horizontal="center" vertical="top" wrapText="1"/>
    </xf>
    <xf numFmtId="0" fontId="167" fillId="0" borderId="0" xfId="0" applyFont="1" applyBorder="1" applyAlignment="1">
      <alignment horizontal="center" vertical="center"/>
    </xf>
    <xf numFmtId="0" fontId="167" fillId="0" borderId="23" xfId="0" applyFont="1" applyBorder="1" applyAlignment="1">
      <alignment horizontal="center" vertical="center"/>
    </xf>
    <xf numFmtId="0" fontId="167" fillId="0" borderId="31" xfId="0" applyFont="1" applyBorder="1" applyAlignment="1">
      <alignment horizontal="center" vertical="center"/>
    </xf>
    <xf numFmtId="0" fontId="167" fillId="0" borderId="22" xfId="0" applyFont="1" applyBorder="1" applyAlignment="1">
      <alignment horizontal="center" vertical="center"/>
    </xf>
    <xf numFmtId="0" fontId="167" fillId="0" borderId="10" xfId="0" applyFont="1" applyBorder="1" applyAlignment="1">
      <alignment horizontal="center" vertical="center" wrapText="1"/>
    </xf>
    <xf numFmtId="0" fontId="167" fillId="0" borderId="11" xfId="0" applyFont="1" applyFill="1" applyBorder="1" applyAlignment="1">
      <alignment horizontal="center" vertical="top" wrapText="1"/>
    </xf>
    <xf numFmtId="0" fontId="167" fillId="0" borderId="12" xfId="0" applyFont="1" applyFill="1" applyBorder="1" applyAlignment="1">
      <alignment horizontal="center" vertical="top" wrapText="1"/>
    </xf>
    <xf numFmtId="0" fontId="167" fillId="0" borderId="11" xfId="0" applyFont="1" applyFill="1" applyBorder="1" applyAlignment="1">
      <alignment horizontal="center" vertical="center" wrapText="1"/>
    </xf>
    <xf numFmtId="0" fontId="167" fillId="0" borderId="12" xfId="0" applyFont="1" applyFill="1" applyBorder="1" applyAlignment="1">
      <alignment horizontal="center" vertical="center" wrapText="1"/>
    </xf>
    <xf numFmtId="0" fontId="167" fillId="0" borderId="15" xfId="0" applyFont="1" applyFill="1" applyBorder="1" applyAlignment="1">
      <alignment horizontal="center" vertical="top" wrapText="1"/>
    </xf>
    <xf numFmtId="0" fontId="166" fillId="0" borderId="11" xfId="0" applyFont="1" applyFill="1" applyBorder="1" applyAlignment="1">
      <alignment horizontal="left" vertical="center" wrapText="1"/>
    </xf>
    <xf numFmtId="0" fontId="166" fillId="0" borderId="15" xfId="0" applyFont="1" applyFill="1" applyBorder="1" applyAlignment="1">
      <alignment horizontal="left" vertical="center" wrapText="1"/>
    </xf>
    <xf numFmtId="0" fontId="166" fillId="0" borderId="12" xfId="0" applyFont="1" applyFill="1" applyBorder="1" applyAlignment="1">
      <alignment horizontal="left" vertical="center" wrapText="1"/>
    </xf>
    <xf numFmtId="0" fontId="166" fillId="51" borderId="11" xfId="0" applyFont="1" applyFill="1" applyBorder="1" applyAlignment="1">
      <alignment horizontal="left" vertical="center" wrapText="1"/>
    </xf>
    <xf numFmtId="0" fontId="166" fillId="51" borderId="15" xfId="0" applyFont="1" applyFill="1" applyBorder="1" applyAlignment="1">
      <alignment horizontal="left" vertical="center" wrapText="1"/>
    </xf>
    <xf numFmtId="0" fontId="166" fillId="51" borderId="12" xfId="0" applyFont="1" applyFill="1" applyBorder="1" applyAlignment="1">
      <alignment horizontal="left" vertical="center" wrapText="1"/>
    </xf>
    <xf numFmtId="0" fontId="167" fillId="0" borderId="10" xfId="0" applyFont="1" applyFill="1" applyBorder="1" applyAlignment="1">
      <alignment horizontal="center" vertical="center" wrapText="1"/>
    </xf>
    <xf numFmtId="0" fontId="167" fillId="0" borderId="20" xfId="0" applyFont="1" applyFill="1" applyBorder="1" applyAlignment="1">
      <alignment horizontal="center" vertical="center"/>
    </xf>
    <xf numFmtId="0" fontId="167" fillId="0" borderId="22" xfId="0" applyFont="1" applyFill="1" applyBorder="1" applyAlignment="1">
      <alignment horizontal="center" vertical="center"/>
    </xf>
    <xf numFmtId="0" fontId="167" fillId="0" borderId="21" xfId="0" applyFont="1" applyFill="1" applyBorder="1" applyAlignment="1">
      <alignment horizontal="center" vertical="center"/>
    </xf>
    <xf numFmtId="0" fontId="167" fillId="0" borderId="29" xfId="0" applyFont="1" applyFill="1" applyBorder="1" applyAlignment="1">
      <alignment horizontal="center" vertical="center"/>
    </xf>
    <xf numFmtId="0" fontId="167" fillId="0" borderId="0" xfId="0" applyFont="1" applyFill="1" applyAlignment="1">
      <alignment horizontal="center"/>
    </xf>
    <xf numFmtId="0" fontId="167" fillId="0" borderId="10" xfId="0" applyFont="1" applyBorder="1" applyAlignment="1">
      <alignment horizontal="center" vertical="center"/>
    </xf>
    <xf numFmtId="164" fontId="167" fillId="40" borderId="18" xfId="0" applyNumberFormat="1" applyFont="1" applyFill="1" applyBorder="1" applyAlignment="1">
      <alignment horizontal="center" vertical="center" wrapText="1"/>
    </xf>
    <xf numFmtId="164" fontId="167" fillId="40" borderId="13" xfId="0" applyNumberFormat="1" applyFont="1" applyFill="1" applyBorder="1" applyAlignment="1">
      <alignment horizontal="center" vertical="center" wrapText="1"/>
    </xf>
    <xf numFmtId="0" fontId="167" fillId="0" borderId="11" xfId="0" applyFont="1" applyBorder="1" applyAlignment="1">
      <alignment horizontal="center" vertical="center" wrapText="1"/>
    </xf>
    <xf numFmtId="0" fontId="167" fillId="0" borderId="15" xfId="0" applyFont="1" applyBorder="1" applyAlignment="1">
      <alignment horizontal="center" vertical="center" wrapText="1"/>
    </xf>
    <xf numFmtId="0" fontId="167" fillId="0" borderId="12" xfId="0" applyFont="1" applyBorder="1" applyAlignment="1">
      <alignment horizontal="center" vertical="center" wrapText="1"/>
    </xf>
    <xf numFmtId="2" fontId="27" fillId="0" borderId="0" xfId="0" applyNumberFormat="1" applyFont="1" applyFill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30" xfId="0" applyFont="1" applyBorder="1" applyAlignment="1">
      <alignment horizontal="center"/>
    </xf>
    <xf numFmtId="49" fontId="37" fillId="24" borderId="18" xfId="0" applyNumberFormat="1" applyFont="1" applyFill="1" applyBorder="1" applyAlignment="1">
      <alignment wrapText="1"/>
    </xf>
    <xf numFmtId="49" fontId="37" fillId="24" borderId="13" xfId="0" applyNumberFormat="1" applyFont="1" applyFill="1" applyBorder="1" applyAlignment="1">
      <alignment wrapText="1"/>
    </xf>
    <xf numFmtId="0" fontId="28" fillId="0" borderId="0" xfId="0" applyFont="1" applyFill="1" applyAlignment="1">
      <alignment horizontal="center"/>
    </xf>
    <xf numFmtId="0" fontId="33" fillId="0" borderId="0" xfId="0" applyFont="1" applyFill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3" fillId="0" borderId="30" xfId="0" applyFont="1" applyFill="1" applyBorder="1" applyAlignment="1">
      <alignment horizontal="center"/>
    </xf>
    <xf numFmtId="0" fontId="0" fillId="0" borderId="18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9" xfId="0" applyFont="1" applyFill="1" applyBorder="1" applyAlignment="1">
      <alignment vertical="center" wrapText="1"/>
    </xf>
    <xf numFmtId="49" fontId="83" fillId="0" borderId="10" xfId="0" applyNumberFormat="1" applyFont="1" applyFill="1" applyBorder="1" applyAlignment="1" applyProtection="1">
      <alignment horizontal="center" vertical="center" wrapText="1"/>
    </xf>
    <xf numFmtId="0" fontId="84" fillId="0" borderId="10" xfId="0" applyNumberFormat="1" applyFont="1" applyFill="1" applyBorder="1" applyAlignment="1" applyProtection="1">
      <alignment horizontal="center" vertical="center" wrapText="1"/>
    </xf>
    <xf numFmtId="167" fontId="83" fillId="0" borderId="18" xfId="0" applyNumberFormat="1" applyFont="1" applyFill="1" applyBorder="1" applyAlignment="1" applyProtection="1">
      <alignment horizontal="center" vertical="center" wrapText="1"/>
    </xf>
    <xf numFmtId="167" fontId="83" fillId="0" borderId="13" xfId="0" applyNumberFormat="1" applyFont="1" applyFill="1" applyBorder="1" applyAlignment="1" applyProtection="1">
      <alignment horizontal="center" vertical="center" wrapText="1"/>
    </xf>
    <xf numFmtId="0" fontId="84" fillId="0" borderId="18" xfId="0" applyNumberFormat="1" applyFont="1" applyFill="1" applyBorder="1" applyAlignment="1" applyProtection="1">
      <alignment horizontal="left" vertical="center" wrapText="1"/>
    </xf>
    <xf numFmtId="0" fontId="84" fillId="0" borderId="13" xfId="0" applyNumberFormat="1" applyFont="1" applyFill="1" applyBorder="1" applyAlignment="1" applyProtection="1">
      <alignment horizontal="left" vertical="center" wrapText="1"/>
    </xf>
    <xf numFmtId="4" fontId="84" fillId="0" borderId="18" xfId="0" applyNumberFormat="1" applyFont="1" applyFill="1" applyBorder="1" applyAlignment="1" applyProtection="1">
      <alignment horizontal="center" vertical="center" wrapText="1" shrinkToFit="1"/>
      <protection locked="0"/>
    </xf>
    <xf numFmtId="4" fontId="84" fillId="0" borderId="13" xfId="0" applyNumberFormat="1" applyFont="1" applyFill="1" applyBorder="1" applyAlignment="1" applyProtection="1">
      <alignment horizontal="center" vertical="center" wrapText="1" shrinkToFit="1"/>
      <protection locked="0"/>
    </xf>
    <xf numFmtId="2" fontId="84" fillId="0" borderId="18" xfId="0" applyNumberFormat="1" applyFont="1" applyFill="1" applyBorder="1" applyAlignment="1" applyProtection="1">
      <alignment horizontal="center" vertical="center" wrapText="1" shrinkToFit="1"/>
      <protection locked="0"/>
    </xf>
    <xf numFmtId="2" fontId="84" fillId="0" borderId="13" xfId="0" applyNumberFormat="1" applyFont="1" applyFill="1" applyBorder="1" applyAlignment="1" applyProtection="1">
      <alignment horizontal="center" vertical="center" wrapText="1" shrinkToFit="1"/>
      <protection locked="0"/>
    </xf>
    <xf numFmtId="0" fontId="84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0" fontId="84" fillId="0" borderId="10" xfId="0" applyNumberFormat="1" applyFont="1" applyFill="1" applyBorder="1" applyAlignment="1" applyProtection="1">
      <alignment horizontal="left" vertical="center" wrapText="1"/>
    </xf>
    <xf numFmtId="4" fontId="84" fillId="0" borderId="19" xfId="0" applyNumberFormat="1" applyFont="1" applyFill="1" applyBorder="1" applyAlignment="1" applyProtection="1">
      <alignment horizontal="center" vertical="center" wrapText="1" shrinkToFit="1"/>
      <protection locked="0"/>
    </xf>
    <xf numFmtId="0" fontId="83" fillId="0" borderId="10" xfId="0" applyNumberFormat="1" applyFont="1" applyFill="1" applyBorder="1" applyAlignment="1" applyProtection="1">
      <alignment horizontal="center" vertical="center" wrapText="1"/>
    </xf>
    <xf numFmtId="0" fontId="84" fillId="0" borderId="11" xfId="0" applyNumberFormat="1" applyFont="1" applyFill="1" applyBorder="1" applyAlignment="1" applyProtection="1">
      <alignment horizontal="left" vertical="center" wrapText="1"/>
    </xf>
    <xf numFmtId="0" fontId="84" fillId="0" borderId="18" xfId="0" applyNumberFormat="1" applyFont="1" applyFill="1" applyBorder="1" applyAlignment="1" applyProtection="1">
      <alignment horizontal="center" vertical="center" wrapText="1" shrinkToFit="1"/>
      <protection locked="0"/>
    </xf>
    <xf numFmtId="0" fontId="84" fillId="0" borderId="19" xfId="0" applyNumberFormat="1" applyFont="1" applyFill="1" applyBorder="1" applyAlignment="1" applyProtection="1">
      <alignment horizontal="center" vertical="center" wrapText="1" shrinkToFit="1"/>
      <protection locked="0"/>
    </xf>
    <xf numFmtId="0" fontId="84" fillId="0" borderId="13" xfId="0" applyNumberFormat="1" applyFont="1" applyFill="1" applyBorder="1" applyAlignment="1" applyProtection="1">
      <alignment horizontal="center" vertical="center" wrapText="1" shrinkToFit="1"/>
      <protection locked="0"/>
    </xf>
    <xf numFmtId="0" fontId="84" fillId="0" borderId="10" xfId="0" applyFont="1" applyFill="1" applyBorder="1" applyAlignment="1">
      <alignment horizontal="center" vertical="center"/>
    </xf>
    <xf numFmtId="167" fontId="83" fillId="0" borderId="10" xfId="0" applyNumberFormat="1" applyFont="1" applyFill="1" applyBorder="1" applyAlignment="1" applyProtection="1">
      <alignment horizontal="center" vertical="center" wrapText="1"/>
    </xf>
    <xf numFmtId="0" fontId="84" fillId="0" borderId="19" xfId="0" applyNumberFormat="1" applyFont="1" applyFill="1" applyBorder="1" applyAlignment="1" applyProtection="1">
      <alignment horizontal="left" vertical="center" wrapText="1"/>
    </xf>
    <xf numFmtId="2" fontId="84" fillId="0" borderId="19" xfId="0" applyNumberFormat="1" applyFont="1" applyFill="1" applyBorder="1" applyAlignment="1" applyProtection="1">
      <alignment horizontal="center" vertical="center" wrapText="1" shrinkToFit="1"/>
      <protection locked="0"/>
    </xf>
    <xf numFmtId="4" fontId="84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0" fontId="84" fillId="0" borderId="18" xfId="0" applyFont="1" applyFill="1" applyBorder="1" applyAlignment="1">
      <alignment horizontal="center" vertical="center"/>
    </xf>
    <xf numFmtId="0" fontId="84" fillId="0" borderId="19" xfId="0" applyFont="1" applyFill="1" applyBorder="1" applyAlignment="1">
      <alignment horizontal="center" vertical="center"/>
    </xf>
    <xf numFmtId="0" fontId="84" fillId="0" borderId="13" xfId="0" applyFont="1" applyFill="1" applyBorder="1" applyAlignment="1">
      <alignment horizontal="center" vertical="center"/>
    </xf>
    <xf numFmtId="0" fontId="83" fillId="0" borderId="18" xfId="0" applyNumberFormat="1" applyFont="1" applyFill="1" applyBorder="1" applyAlignment="1" applyProtection="1">
      <alignment horizontal="center" vertical="center" wrapText="1"/>
    </xf>
    <xf numFmtId="0" fontId="83" fillId="0" borderId="19" xfId="0" applyNumberFormat="1" applyFont="1" applyFill="1" applyBorder="1" applyAlignment="1" applyProtection="1">
      <alignment horizontal="center" vertical="center" wrapText="1"/>
    </xf>
    <xf numFmtId="0" fontId="83" fillId="0" borderId="13" xfId="0" applyNumberFormat="1" applyFont="1" applyFill="1" applyBorder="1" applyAlignment="1" applyProtection="1">
      <alignment horizontal="center" vertical="center" wrapText="1"/>
    </xf>
    <xf numFmtId="0" fontId="84" fillId="0" borderId="18" xfId="0" applyNumberFormat="1" applyFont="1" applyFill="1" applyBorder="1" applyAlignment="1">
      <alignment horizontal="center" vertical="center" wrapText="1"/>
    </xf>
    <xf numFmtId="0" fontId="84" fillId="0" borderId="19" xfId="0" applyNumberFormat="1" applyFont="1" applyFill="1" applyBorder="1" applyAlignment="1">
      <alignment horizontal="center" vertical="center" wrapText="1"/>
    </xf>
    <xf numFmtId="0" fontId="84" fillId="0" borderId="13" xfId="0" applyNumberFormat="1" applyFont="1" applyFill="1" applyBorder="1" applyAlignment="1">
      <alignment horizontal="center" vertical="center" wrapText="1"/>
    </xf>
    <xf numFmtId="167" fontId="83" fillId="0" borderId="19" xfId="0" applyNumberFormat="1" applyFont="1" applyFill="1" applyBorder="1" applyAlignment="1" applyProtection="1">
      <alignment horizontal="center" vertical="center" wrapText="1"/>
    </xf>
    <xf numFmtId="0" fontId="84" fillId="0" borderId="20" xfId="0" applyNumberFormat="1" applyFont="1" applyFill="1" applyBorder="1" applyAlignment="1" applyProtection="1">
      <alignment horizontal="left" vertical="center" wrapText="1"/>
    </xf>
    <xf numFmtId="0" fontId="84" fillId="0" borderId="14" xfId="0" applyNumberFormat="1" applyFont="1" applyFill="1" applyBorder="1" applyAlignment="1" applyProtection="1">
      <alignment horizontal="left" vertical="center" wrapText="1"/>
    </xf>
    <xf numFmtId="0" fontId="84" fillId="0" borderId="21" xfId="0" applyNumberFormat="1" applyFont="1" applyFill="1" applyBorder="1" applyAlignment="1" applyProtection="1">
      <alignment horizontal="left" vertical="center" wrapText="1"/>
    </xf>
    <xf numFmtId="0" fontId="83" fillId="0" borderId="18" xfId="0" applyNumberFormat="1" applyFont="1" applyFill="1" applyBorder="1" applyAlignment="1" applyProtection="1">
      <alignment horizontal="left" vertical="center" wrapText="1"/>
    </xf>
    <xf numFmtId="0" fontId="83" fillId="0" borderId="0" xfId="0" applyNumberFormat="1" applyFont="1" applyFill="1" applyBorder="1" applyAlignment="1" applyProtection="1">
      <alignment horizontal="center" vertical="top"/>
    </xf>
    <xf numFmtId="0" fontId="84" fillId="0" borderId="0" xfId="0" applyNumberFormat="1" applyFont="1" applyFill="1" applyBorder="1" applyAlignment="1" applyProtection="1">
      <alignment horizontal="center" vertical="top"/>
    </xf>
    <xf numFmtId="0" fontId="83" fillId="0" borderId="11" xfId="0" applyNumberFormat="1" applyFont="1" applyFill="1" applyBorder="1" applyAlignment="1" applyProtection="1">
      <alignment horizontal="center" vertical="center" wrapText="1"/>
    </xf>
    <xf numFmtId="0" fontId="83" fillId="0" borderId="15" xfId="0" applyNumberFormat="1" applyFont="1" applyFill="1" applyBorder="1" applyAlignment="1" applyProtection="1">
      <alignment horizontal="center" vertical="center" wrapText="1"/>
    </xf>
    <xf numFmtId="0" fontId="83" fillId="0" borderId="12" xfId="0" applyNumberFormat="1" applyFont="1" applyFill="1" applyBorder="1" applyAlignment="1" applyProtection="1">
      <alignment horizontal="center" vertical="center" wrapText="1"/>
    </xf>
    <xf numFmtId="0" fontId="83" fillId="0" borderId="10" xfId="0" applyFont="1" applyFill="1" applyBorder="1" applyAlignment="1">
      <alignment horizontal="center"/>
    </xf>
    <xf numFmtId="2" fontId="84" fillId="0" borderId="0" xfId="0" applyNumberFormat="1" applyFont="1" applyFill="1" applyBorder="1" applyAlignment="1">
      <alignment horizontal="left" vertical="center" wrapText="1"/>
    </xf>
    <xf numFmtId="0" fontId="84" fillId="0" borderId="0" xfId="0" applyFont="1" applyFill="1" applyBorder="1" applyAlignment="1">
      <alignment horizontal="left" vertical="center" wrapText="1"/>
    </xf>
    <xf numFmtId="0" fontId="83" fillId="0" borderId="10" xfId="0" applyFont="1" applyFill="1" applyBorder="1" applyAlignment="1">
      <alignment horizontal="center" vertical="center" wrapText="1"/>
    </xf>
    <xf numFmtId="0" fontId="83" fillId="0" borderId="10" xfId="0" applyFont="1" applyFill="1" applyBorder="1" applyAlignment="1">
      <alignment horizontal="left"/>
    </xf>
    <xf numFmtId="4" fontId="84" fillId="0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84" fillId="0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84" fillId="0" borderId="29" xfId="0" applyNumberFormat="1" applyFont="1" applyFill="1" applyBorder="1" applyAlignment="1" applyProtection="1">
      <alignment horizontal="center" vertical="center" wrapText="1" shrinkToFit="1"/>
      <protection locked="0"/>
    </xf>
    <xf numFmtId="0" fontId="169" fillId="0" borderId="11" xfId="0" applyFont="1" applyBorder="1" applyAlignment="1">
      <alignment horizontal="center" vertical="center" wrapText="1"/>
    </xf>
    <xf numFmtId="0" fontId="169" fillId="0" borderId="15" xfId="0" applyFont="1" applyBorder="1" applyAlignment="1">
      <alignment horizontal="center" vertical="center" wrapText="1"/>
    </xf>
    <xf numFmtId="0" fontId="169" fillId="0" borderId="12" xfId="0" applyFont="1" applyBorder="1" applyAlignment="1">
      <alignment horizontal="center" vertical="center" wrapText="1"/>
    </xf>
    <xf numFmtId="0" fontId="169" fillId="0" borderId="11" xfId="0" applyFont="1" applyBorder="1" applyAlignment="1">
      <alignment horizontal="center" wrapText="1"/>
    </xf>
    <xf numFmtId="0" fontId="169" fillId="0" borderId="15" xfId="0" applyFont="1" applyBorder="1" applyAlignment="1">
      <alignment horizontal="center" wrapText="1"/>
    </xf>
    <xf numFmtId="0" fontId="169" fillId="0" borderId="12" xfId="0" applyFont="1" applyBorder="1" applyAlignment="1">
      <alignment horizontal="center" wrapText="1"/>
    </xf>
    <xf numFmtId="0" fontId="172" fillId="0" borderId="10" xfId="0" applyFont="1" applyBorder="1" applyAlignment="1">
      <alignment horizontal="center" vertical="center" wrapText="1"/>
    </xf>
    <xf numFmtId="0" fontId="93" fillId="0" borderId="10" xfId="0" applyFont="1" applyBorder="1" applyAlignment="1">
      <alignment horizontal="center" vertical="center" wrapText="1"/>
    </xf>
    <xf numFmtId="0" fontId="176" fillId="0" borderId="35" xfId="0" applyFont="1" applyBorder="1" applyAlignment="1">
      <alignment horizontal="center" wrapText="1"/>
    </xf>
    <xf numFmtId="0" fontId="176" fillId="0" borderId="27" xfId="0" applyFont="1" applyBorder="1" applyAlignment="1">
      <alignment horizontal="center" wrapText="1"/>
    </xf>
    <xf numFmtId="0" fontId="176" fillId="0" borderId="47" xfId="0" applyFont="1" applyBorder="1" applyAlignment="1">
      <alignment horizontal="center" wrapText="1"/>
    </xf>
    <xf numFmtId="4" fontId="176" fillId="0" borderId="35" xfId="0" applyNumberFormat="1" applyFont="1" applyBorder="1" applyAlignment="1">
      <alignment horizontal="center" wrapText="1"/>
    </xf>
    <xf numFmtId="4" fontId="176" fillId="0" borderId="27" xfId="0" applyNumberFormat="1" applyFont="1" applyBorder="1" applyAlignment="1">
      <alignment horizontal="center" wrapText="1"/>
    </xf>
    <xf numFmtId="4" fontId="176" fillId="0" borderId="47" xfId="0" applyNumberFormat="1" applyFont="1" applyBorder="1" applyAlignment="1">
      <alignment horizontal="center" wrapText="1"/>
    </xf>
    <xf numFmtId="4" fontId="45" fillId="0" borderId="49" xfId="0" applyNumberFormat="1" applyFont="1" applyBorder="1" applyAlignment="1">
      <alignment horizontal="center" wrapText="1"/>
    </xf>
    <xf numFmtId="4" fontId="45" fillId="0" borderId="27" xfId="0" applyNumberFormat="1" applyFont="1" applyBorder="1" applyAlignment="1">
      <alignment horizontal="center" wrapText="1"/>
    </xf>
    <xf numFmtId="4" fontId="45" fillId="0" borderId="47" xfId="0" applyNumberFormat="1" applyFont="1" applyBorder="1" applyAlignment="1">
      <alignment horizontal="center" wrapText="1"/>
    </xf>
    <xf numFmtId="4" fontId="45" fillId="0" borderId="50" xfId="0" applyNumberFormat="1" applyFont="1" applyBorder="1" applyAlignment="1">
      <alignment horizontal="center" wrapText="1"/>
    </xf>
    <xf numFmtId="4" fontId="45" fillId="0" borderId="26" xfId="0" applyNumberFormat="1" applyFont="1" applyBorder="1" applyAlignment="1">
      <alignment horizontal="center" wrapText="1"/>
    </xf>
    <xf numFmtId="4" fontId="45" fillId="0" borderId="51" xfId="0" applyNumberFormat="1" applyFont="1" applyBorder="1" applyAlignment="1">
      <alignment horizontal="center" wrapText="1"/>
    </xf>
    <xf numFmtId="4" fontId="45" fillId="0" borderId="35" xfId="0" applyNumberFormat="1" applyFont="1" applyBorder="1" applyAlignment="1">
      <alignment horizontal="center" wrapText="1"/>
    </xf>
    <xf numFmtId="0" fontId="26" fillId="0" borderId="0" xfId="0" applyFont="1" applyAlignment="1">
      <alignment horizontal="right" wrapText="1"/>
    </xf>
    <xf numFmtId="0" fontId="115" fillId="0" borderId="0" xfId="0" applyFont="1" applyAlignment="1">
      <alignment wrapText="1"/>
    </xf>
    <xf numFmtId="0" fontId="141" fillId="0" borderId="37" xfId="0" applyFont="1" applyBorder="1" applyAlignment="1">
      <alignment horizontal="right" wrapText="1"/>
    </xf>
    <xf numFmtId="0" fontId="32" fillId="0" borderId="35" xfId="0" applyFont="1" applyBorder="1" applyAlignment="1">
      <alignment horizontal="center" wrapText="1"/>
    </xf>
    <xf numFmtId="0" fontId="32" fillId="0" borderId="25" xfId="0" applyFont="1" applyBorder="1" applyAlignment="1">
      <alignment horizontal="center" wrapText="1"/>
    </xf>
    <xf numFmtId="0" fontId="26" fillId="0" borderId="35" xfId="0" applyFont="1" applyBorder="1" applyAlignment="1">
      <alignment horizontal="center" wrapText="1"/>
    </xf>
    <xf numFmtId="0" fontId="26" fillId="0" borderId="25" xfId="0" applyFont="1" applyBorder="1" applyAlignment="1">
      <alignment horizontal="center" wrapText="1"/>
    </xf>
    <xf numFmtId="0" fontId="26" fillId="0" borderId="47" xfId="0" applyFont="1" applyBorder="1" applyAlignment="1">
      <alignment horizontal="center" wrapText="1"/>
    </xf>
    <xf numFmtId="0" fontId="26" fillId="0" borderId="32" xfId="0" applyFont="1" applyBorder="1" applyAlignment="1">
      <alignment horizontal="center" wrapText="1"/>
    </xf>
    <xf numFmtId="0" fontId="26" fillId="0" borderId="36" xfId="0" applyFont="1" applyBorder="1" applyAlignment="1">
      <alignment horizontal="center" wrapText="1"/>
    </xf>
    <xf numFmtId="0" fontId="26" fillId="0" borderId="48" xfId="0" applyFont="1" applyBorder="1" applyAlignment="1">
      <alignment horizontal="center" wrapText="1"/>
    </xf>
    <xf numFmtId="0" fontId="26" fillId="72" borderId="33" xfId="0" applyFont="1" applyFill="1" applyBorder="1" applyAlignment="1">
      <alignment horizontal="center" wrapText="1"/>
    </xf>
    <xf numFmtId="0" fontId="26" fillId="72" borderId="37" xfId="0" applyFont="1" applyFill="1" applyBorder="1" applyAlignment="1">
      <alignment horizontal="center" wrapText="1"/>
    </xf>
    <xf numFmtId="0" fontId="26" fillId="72" borderId="52" xfId="0" applyFont="1" applyFill="1" applyBorder="1" applyAlignment="1">
      <alignment horizontal="center" wrapText="1"/>
    </xf>
    <xf numFmtId="0" fontId="142" fillId="73" borderId="32" xfId="0" applyFont="1" applyFill="1" applyBorder="1" applyAlignment="1">
      <alignment horizontal="center" wrapText="1"/>
    </xf>
    <xf numFmtId="0" fontId="142" fillId="73" borderId="36" xfId="0" applyFont="1" applyFill="1" applyBorder="1" applyAlignment="1">
      <alignment horizontal="center" wrapText="1"/>
    </xf>
    <xf numFmtId="0" fontId="142" fillId="73" borderId="48" xfId="0" applyFont="1" applyFill="1" applyBorder="1" applyAlignment="1">
      <alignment horizontal="center" wrapText="1"/>
    </xf>
    <xf numFmtId="0" fontId="142" fillId="73" borderId="24" xfId="0" applyFont="1" applyFill="1" applyBorder="1" applyAlignment="1">
      <alignment horizontal="center" wrapText="1"/>
    </xf>
    <xf numFmtId="0" fontId="32" fillId="0" borderId="27" xfId="0" applyFont="1" applyBorder="1" applyAlignment="1">
      <alignment horizontal="center" wrapText="1"/>
    </xf>
    <xf numFmtId="0" fontId="26" fillId="72" borderId="32" xfId="0" applyFont="1" applyFill="1" applyBorder="1" applyAlignment="1">
      <alignment wrapText="1"/>
    </xf>
    <xf numFmtId="0" fontId="26" fillId="72" borderId="36" xfId="0" applyFont="1" applyFill="1" applyBorder="1" applyAlignment="1">
      <alignment wrapText="1"/>
    </xf>
    <xf numFmtId="0" fontId="26" fillId="72" borderId="24" xfId="0" applyFont="1" applyFill="1" applyBorder="1" applyAlignment="1">
      <alignment wrapText="1"/>
    </xf>
    <xf numFmtId="0" fontId="142" fillId="73" borderId="32" xfId="0" applyFont="1" applyFill="1" applyBorder="1" applyAlignment="1">
      <alignment wrapText="1"/>
    </xf>
    <xf numFmtId="0" fontId="142" fillId="73" borderId="36" xfId="0" applyFont="1" applyFill="1" applyBorder="1" applyAlignment="1">
      <alignment wrapText="1"/>
    </xf>
    <xf numFmtId="0" fontId="142" fillId="73" borderId="24" xfId="0" applyFont="1" applyFill="1" applyBorder="1" applyAlignment="1">
      <alignment wrapText="1"/>
    </xf>
    <xf numFmtId="0" fontId="32" fillId="0" borderId="47" xfId="0" applyFont="1" applyBorder="1" applyAlignment="1">
      <alignment horizontal="center" wrapText="1"/>
    </xf>
    <xf numFmtId="0" fontId="142" fillId="0" borderId="32" xfId="0" applyFont="1" applyBorder="1" applyAlignment="1">
      <alignment wrapText="1"/>
    </xf>
    <xf numFmtId="0" fontId="142" fillId="0" borderId="24" xfId="0" applyFont="1" applyBorder="1" applyAlignment="1">
      <alignment wrapText="1"/>
    </xf>
    <xf numFmtId="0" fontId="142" fillId="73" borderId="33" xfId="0" applyFont="1" applyFill="1" applyBorder="1" applyAlignment="1">
      <alignment horizontal="center" wrapText="1"/>
    </xf>
    <xf numFmtId="0" fontId="142" fillId="73" borderId="37" xfId="0" applyFont="1" applyFill="1" applyBorder="1" applyAlignment="1">
      <alignment horizontal="center" wrapText="1"/>
    </xf>
    <xf numFmtId="0" fontId="142" fillId="73" borderId="16" xfId="0" applyFont="1" applyFill="1" applyBorder="1" applyAlignment="1">
      <alignment horizontal="center" wrapText="1"/>
    </xf>
    <xf numFmtId="0" fontId="26" fillId="0" borderId="36" xfId="0" applyFont="1" applyBorder="1" applyAlignment="1">
      <alignment wrapText="1"/>
    </xf>
    <xf numFmtId="0" fontId="26" fillId="72" borderId="32" xfId="0" applyFont="1" applyFill="1" applyBorder="1" applyAlignment="1">
      <alignment horizontal="center" wrapText="1"/>
    </xf>
    <xf numFmtId="0" fontId="26" fillId="72" borderId="36" xfId="0" applyFont="1" applyFill="1" applyBorder="1" applyAlignment="1">
      <alignment horizontal="center" wrapText="1"/>
    </xf>
    <xf numFmtId="0" fontId="26" fillId="72" borderId="24" xfId="0" applyFont="1" applyFill="1" applyBorder="1" applyAlignment="1">
      <alignment horizontal="center" wrapText="1"/>
    </xf>
    <xf numFmtId="0" fontId="32" fillId="0" borderId="35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47" xfId="0" applyFont="1" applyBorder="1" applyAlignment="1">
      <alignment horizontal="center" vertical="center" wrapText="1"/>
    </xf>
    <xf numFmtId="0" fontId="26" fillId="72" borderId="48" xfId="0" applyFont="1" applyFill="1" applyBorder="1" applyAlignment="1">
      <alignment wrapText="1"/>
    </xf>
    <xf numFmtId="0" fontId="142" fillId="73" borderId="48" xfId="0" applyFont="1" applyFill="1" applyBorder="1" applyAlignment="1">
      <alignment wrapText="1"/>
    </xf>
    <xf numFmtId="0" fontId="175" fillId="0" borderId="47" xfId="0" applyFont="1" applyBorder="1" applyAlignment="1">
      <alignment wrapText="1"/>
    </xf>
    <xf numFmtId="0" fontId="175" fillId="0" borderId="49" xfId="0" applyFont="1" applyBorder="1" applyAlignment="1">
      <alignment wrapText="1"/>
    </xf>
    <xf numFmtId="0" fontId="26" fillId="72" borderId="48" xfId="0" applyFont="1" applyFill="1" applyBorder="1" applyAlignment="1">
      <alignment horizontal="center" wrapText="1"/>
    </xf>
    <xf numFmtId="0" fontId="142" fillId="0" borderId="48" xfId="0" applyFont="1" applyBorder="1" applyAlignment="1">
      <alignment wrapText="1"/>
    </xf>
    <xf numFmtId="0" fontId="142" fillId="73" borderId="52" xfId="0" applyFont="1" applyFill="1" applyBorder="1" applyAlignment="1">
      <alignment horizontal="center" wrapText="1"/>
    </xf>
  </cellXfs>
  <cellStyles count="95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63" builtinId="29" customBuiltin="1"/>
    <cellStyle name="Акцент2" xfId="64" builtinId="33" customBuiltin="1"/>
    <cellStyle name="Акцент3" xfId="65" builtinId="37" customBuiltin="1"/>
    <cellStyle name="Акцент4" xfId="66" builtinId="41" customBuiltin="1"/>
    <cellStyle name="Акцент5" xfId="67" builtinId="45" customBuiltin="1"/>
    <cellStyle name="Акцент6" xfId="68" builtinId="49" customBuiltin="1"/>
    <cellStyle name="Ввод" xfId="69" builtinId="20" customBuiltin="1"/>
    <cellStyle name="Вывод" xfId="70" builtinId="21" customBuiltin="1"/>
    <cellStyle name="Вычисление" xfId="71" builtinId="22" customBuiltin="1"/>
    <cellStyle name="Гиперссылка" xfId="72" builtinId="8"/>
    <cellStyle name="Заголовок 1" xfId="73" builtinId="16" customBuiltin="1"/>
    <cellStyle name="Заголовок 2" xfId="74" builtinId="17" customBuiltin="1"/>
    <cellStyle name="Заголовок 3" xfId="75" builtinId="18" customBuiltin="1"/>
    <cellStyle name="Заголовок 4" xfId="76" builtinId="19" customBuiltin="1"/>
    <cellStyle name="Итог" xfId="77" builtinId="25" customBuiltin="1"/>
    <cellStyle name="Контрольная ячейка" xfId="78" builtinId="23" customBuiltin="1"/>
    <cellStyle name="Название" xfId="79" builtinId="15" customBuiltin="1"/>
    <cellStyle name="Нейтральный" xfId="80" builtinId="28" customBuiltin="1"/>
    <cellStyle name="Обычный" xfId="0" builtinId="0"/>
    <cellStyle name="Обычный 2" xfId="81"/>
    <cellStyle name="Обычный 4" xfId="82"/>
    <cellStyle name="Обычный 5" xfId="83"/>
    <cellStyle name="Обычный 6" xfId="84"/>
    <cellStyle name="Обычный 8" xfId="85"/>
    <cellStyle name="Обычный_Лист1" xfId="87"/>
    <cellStyle name="Обычный_Приложение 6" xfId="88"/>
    <cellStyle name="Обычный_TMP_2" xfId="86"/>
    <cellStyle name="Плохой" xfId="89" builtinId="27" customBuiltin="1"/>
    <cellStyle name="Пояснение" xfId="90" builtinId="53" customBuiltin="1"/>
    <cellStyle name="Примечание" xfId="91" builtinId="10" customBuiltin="1"/>
    <cellStyle name="Связанная ячейка" xfId="92" builtinId="24" customBuiltin="1"/>
    <cellStyle name="Текст предупреждения" xfId="93" builtinId="11" customBuiltin="1"/>
    <cellStyle name="Хороший" xfId="94" builtinId="26" customBuiltin="1"/>
    <cellStyle name="Normal_TMP_1" xfId="19"/>
    <cellStyle name="S0" xfId="20"/>
    <cellStyle name="S1" xfId="21"/>
    <cellStyle name="S10" xfId="22"/>
    <cellStyle name="S11" xfId="23"/>
    <cellStyle name="S12" xfId="24"/>
    <cellStyle name="S13" xfId="25"/>
    <cellStyle name="S14" xfId="26"/>
    <cellStyle name="S15" xfId="27"/>
    <cellStyle name="S16" xfId="28"/>
    <cellStyle name="S17" xfId="29"/>
    <cellStyle name="S18" xfId="30"/>
    <cellStyle name="S19" xfId="31"/>
    <cellStyle name="S2" xfId="32"/>
    <cellStyle name="S20" xfId="33"/>
    <cellStyle name="S21" xfId="34"/>
    <cellStyle name="S22" xfId="35"/>
    <cellStyle name="S23" xfId="36"/>
    <cellStyle name="S24" xfId="37"/>
    <cellStyle name="S25" xfId="38"/>
    <cellStyle name="S26" xfId="39"/>
    <cellStyle name="S27" xfId="40"/>
    <cellStyle name="S28" xfId="41"/>
    <cellStyle name="S29" xfId="42"/>
    <cellStyle name="S3" xfId="43"/>
    <cellStyle name="S30" xfId="44"/>
    <cellStyle name="S31" xfId="45"/>
    <cellStyle name="S32" xfId="46"/>
    <cellStyle name="S33" xfId="47"/>
    <cellStyle name="S34" xfId="48"/>
    <cellStyle name="S35" xfId="49"/>
    <cellStyle name="S36" xfId="50"/>
    <cellStyle name="S37" xfId="51"/>
    <cellStyle name="S38" xfId="52"/>
    <cellStyle name="S39" xfId="53"/>
    <cellStyle name="S4" xfId="54"/>
    <cellStyle name="S40" xfId="55"/>
    <cellStyle name="S41" xfId="56"/>
    <cellStyle name="S42" xfId="57"/>
    <cellStyle name="S5" xfId="58"/>
    <cellStyle name="S6" xfId="59"/>
    <cellStyle name="S7" xfId="60"/>
    <cellStyle name="S8" xfId="61"/>
    <cellStyle name="S9" xfId="6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50" Type="http://schemas.openxmlformats.org/officeDocument/2006/relationships/externalLink" Target="externalLinks/externalLink5.xml"/><Relationship Id="rId51" Type="http://schemas.openxmlformats.org/officeDocument/2006/relationships/externalLink" Target="externalLinks/externalLink6.xml"/><Relationship Id="rId52" Type="http://schemas.openxmlformats.org/officeDocument/2006/relationships/externalLink" Target="externalLinks/externalLink7.xml"/><Relationship Id="rId53" Type="http://schemas.openxmlformats.org/officeDocument/2006/relationships/externalLink" Target="externalLinks/externalLink8.xml"/><Relationship Id="rId54" Type="http://schemas.openxmlformats.org/officeDocument/2006/relationships/externalLink" Target="externalLinks/externalLink9.xml"/><Relationship Id="rId55" Type="http://schemas.openxmlformats.org/officeDocument/2006/relationships/externalLink" Target="externalLinks/externalLink10.xml"/><Relationship Id="rId56" Type="http://schemas.openxmlformats.org/officeDocument/2006/relationships/externalLink" Target="externalLinks/externalLink11.xml"/><Relationship Id="rId57" Type="http://schemas.openxmlformats.org/officeDocument/2006/relationships/externalLink" Target="externalLinks/externalLink12.xml"/><Relationship Id="rId58" Type="http://schemas.openxmlformats.org/officeDocument/2006/relationships/theme" Target="theme/theme1.xml"/><Relationship Id="rId59" Type="http://schemas.openxmlformats.org/officeDocument/2006/relationships/styles" Target="styles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externalLink" Target="externalLinks/externalLink1.xml"/><Relationship Id="rId47" Type="http://schemas.openxmlformats.org/officeDocument/2006/relationships/externalLink" Target="externalLinks/externalLink2.xml"/><Relationship Id="rId48" Type="http://schemas.openxmlformats.org/officeDocument/2006/relationships/externalLink" Target="externalLinks/externalLink3.xml"/><Relationship Id="rId4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60" Type="http://schemas.openxmlformats.org/officeDocument/2006/relationships/sharedStrings" Target="sharedStrings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~!&#1057;&#1086;&#1093;&#1088;&#1072;&#1085;&#1105;&#1085;&#1085;&#1086;&#1077;/&#1056;&#1072;&#1073;%20&#1089;&#1090;&#1086;&#1083;/&#1052;&#1086;&#1080;%20&#1076;&#1086;&#1082;&#1091;&#1084;&#1077;&#1085;&#1090;&#1099;/2015/&#1058;&#1072;&#1073;&#1083;&#1080;&#1094;&#1072;_&#1056;&#1077;&#1075;&#1080;&#1086;&#1085;&#1099;_&#1088;&#1072;&#1089;&#1093;&#1086;&#1076;&#1099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54;&#1050;/&#1044;&#1054;&#1050;%20&#1052;&#1048;&#1053;&#1050;&#1059;&#1051;&#1068;&#1058;&#1059;&#1056;&#1067;/&#1044;&#1056;&#1054;&#1053;&#1044;%20&#1041;&#1054;&#1056;/&#1044;&#1056;&#1054;&#1053;&#1044;/2014/&#1055;&#1088;&#1086;&#1077;&#1082;&#1090;%20&#1044;&#1088;&#1086;&#1085;&#1076;%20&#1087;&#1086;&#1083;&#1091;&#1075;&#1086;&#1076;&#1080;&#1077;%202014&#1075;/&#1040;&#1059;&#1044;&#1048;&#1058;/&#1050;%20&#1040;&#1059;&#1044;&#1048;&#1058;&#105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54;&#1050;/&#1044;&#1054;&#1050;%20&#1052;&#1048;&#1053;&#1050;&#1059;&#1051;&#1068;&#1058;&#1059;&#1056;&#1067;/&#1044;&#1056;&#1054;&#1053;&#1044;%20&#1041;&#1054;&#1056;/&#1044;&#1056;&#1054;&#1053;&#1044;/2014/&#1055;&#1088;&#1086;&#1077;&#1082;&#1090;%20&#1044;&#1088;&#1086;&#1085;&#1076;%20&#1087;&#1086;&#1083;&#1091;&#1075;&#1086;&#1076;&#1080;&#1077;%202014&#1075;/&#1055;&#1088;&#1086;&#1077;&#1082;&#1090;%20&#1073;&#1102;&#1076;&#1078;&#1077;&#1090;&#1072;%202013%20&#1075;&#1086;&#1076;%20&#1042;&#1089;&#1077;&#1075;&#108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54;&#1050;/&#1044;&#1054;&#1050;%20&#1052;&#1048;&#1053;&#1050;&#1059;&#1051;&#1068;&#1058;&#1059;&#1056;&#1067;/&#1044;&#1056;&#1054;&#1053;&#1044;%20&#1041;&#1054;&#1056;/&#1044;&#1056;&#1054;&#1053;&#1044;/2014/&#1055;&#1088;&#1086;&#1077;&#1082;&#1090;%20&#1044;&#1088;&#1086;&#1085;&#1076;%20&#1087;&#1086;&#1083;&#1091;&#1075;&#1086;&#1076;&#1080;&#1077;%202014&#1075;/&#1044;&#1056;&#1054;&#1053;&#1044;%20&#1052;&#1080;&#1085;%20&#1050;&#1091;&#1083;&#1100;&#1090;&#1091;&#1088;&#1099;%202012/&#1055;&#1088;&#1080;&#1083;&#1086;&#1078;&#1077;&#1085;&#1080;&#1077;%202%20(&#1088;&#1072;&#1089;&#1093;&#1086;&#1076;&#1085;&#1099;&#1077;%20&#1086;&#1073;&#1103;&#1079;&#1072;&#1090;&#1077;&#1083;&#1100;&#1089;&#1090;&#1074;&#1072;)%20&#1050;&#1091;&#1083;&#1100;&#1090;&#1091;&#1088;&#1072;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-Shamil/Desktop/2015%20&#1043;&#1054;&#1044;/&#1044;&#1056;&#1054;&#1053;&#1044;%202015/&#1056;&#1086;&#1089;&#1087;&#1080;&#1089;&#1100;.%202014%20&#1076;&#1077;&#1082;&#1072;&#1073;&#1088;&#1100;%20&#1087;&#1086;%20&#1050;&#1040;&#1047;&#1053;&#104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&#1052;&#1086;&#1080;%20&#1076;&#1086;&#1082;&#1091;&#1084;&#1077;&#1085;&#1090;&#1099;/Downloads/&#1056;&#1086;&#1089;&#1087;&#1080;&#1089;&#1100;.%202014%20&#1085;&#1072;%201%20&#1086;&#1082;&#1090;&#1103;&#1073;&#1088;&#110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-Shamil/Desktop/2015%20&#1043;&#1054;&#1044;/&#1044;&#1056;&#1054;&#1053;&#1044;%202015/&#1056;&#1086;&#1089;&#1087;&#1080;&#1089;&#1100;.%202014%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oshiba/Downloads/&#1056;&#1086;&#1089;&#1087;&#1080;&#1089;&#1100;.%202014%20&#1085;&#1072;%201%20&#1080;&#1102;&#1051;&#1103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/Downloads/&#1052;&#1050;%20&#1085;&#1072;%2015.12%20(2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-Shamil/Desktop/2015%20&#1043;&#1054;&#1044;/&#1044;&#1056;&#1054;&#1053;&#1044;%202015/&#1056;&#1086;&#1089;&#1087;&#1080;&#1089;&#1100;.%202014%20&#1076;&#1077;&#1082;&#1072;&#1073;&#1088;&#110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Serverbuh\&#1073;&#1091;&#1093;&#1075;&#1072;&#1083;&#1090;&#1077;&#1088;&#1080;&#1103;\&#1056;&#1086;&#1089;&#1087;&#1080;&#1089;&#1100;.%202013%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54;&#1050;/&#1044;&#1054;&#1050;%20&#1052;&#1048;&#1053;&#1050;&#1059;&#1051;&#1068;&#1058;&#1059;&#1056;&#1067;/&#1044;&#1056;&#1054;&#1053;&#1044;%20&#1041;&#1054;&#1056;/&#1044;&#1056;&#1054;&#1053;&#1044;/2014/&#1055;&#1088;&#1086;&#1077;&#1082;&#1090;%20&#1044;&#1088;&#1086;&#1085;&#1076;%20&#1087;&#1086;&#1083;&#1091;&#1075;&#1086;&#1076;&#1080;&#1077;%202014&#1075;/&#1056;&#1054;&#1057;&#1055;&#1048;&#1057;&#1068;(20-21)%2029%20&#1044;&#1045;&#1050;&#1040;&#1041;&#1056;&#1071;%20&#1050;&#1054;&#1056;&#1045;&#1050;&#1058;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8">
          <cell r="D8">
            <v>1384357.4600000002</v>
          </cell>
        </row>
      </sheetData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/>
      <sheetData sheetId="1"/>
      <sheetData sheetId="2">
        <row r="40">
          <cell r="K40">
            <v>1849</v>
          </cell>
          <cell r="L40">
            <v>1680</v>
          </cell>
          <cell r="M40">
            <v>1700</v>
          </cell>
          <cell r="N40">
            <v>1774</v>
          </cell>
          <cell r="O40">
            <v>1827</v>
          </cell>
          <cell r="P40">
            <v>1859</v>
          </cell>
          <cell r="Q40">
            <v>1895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. мер."/>
      <sheetName val="Страхование"/>
      <sheetName val="Стипендия"/>
      <sheetName val="Налог трансп."/>
      <sheetName val="Имущ.налог"/>
      <sheetName val="Экол. нал. 08"/>
      <sheetName val="Экол. нал. 07"/>
      <sheetName val="Зем.налог"/>
      <sheetName val="Книг-РБ 212"/>
      <sheetName val="Ст. 221"/>
      <sheetName val="Ст. 223"/>
      <sheetName val="Ст.211,213"/>
      <sheetName val="Смета Ведомственая"/>
      <sheetName val="Итого МК"/>
      <sheetName val="Итого М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G6">
            <v>1749.4829183000002</v>
          </cell>
        </row>
        <row r="7">
          <cell r="G7">
            <v>38029.875284828988</v>
          </cell>
        </row>
        <row r="10">
          <cell r="G10">
            <v>850.85081478500001</v>
          </cell>
        </row>
        <row r="11">
          <cell r="G11">
            <v>98095.811510774147</v>
          </cell>
        </row>
        <row r="14">
          <cell r="G14">
            <v>7.652000000000001</v>
          </cell>
        </row>
        <row r="15">
          <cell r="G15">
            <v>4350.5702235492172</v>
          </cell>
        </row>
        <row r="21">
          <cell r="G21">
            <v>506.68628920000003</v>
          </cell>
        </row>
        <row r="22">
          <cell r="G22">
            <v>68007.605735053643</v>
          </cell>
        </row>
        <row r="23">
          <cell r="G23">
            <v>33872.043673312903</v>
          </cell>
        </row>
        <row r="26">
          <cell r="G26">
            <v>1592.4812721500002</v>
          </cell>
        </row>
        <row r="27">
          <cell r="G27">
            <v>227508.06430621678</v>
          </cell>
        </row>
        <row r="30">
          <cell r="G30">
            <v>2327.4728864999997</v>
          </cell>
        </row>
        <row r="31">
          <cell r="G31">
            <v>132895.87873278843</v>
          </cell>
        </row>
        <row r="34">
          <cell r="G34">
            <v>13843.3</v>
          </cell>
        </row>
        <row r="35">
          <cell r="G35">
            <v>664050.22040892881</v>
          </cell>
        </row>
        <row r="38">
          <cell r="G38">
            <v>37237.369100000004</v>
          </cell>
        </row>
        <row r="41">
          <cell r="G41">
            <v>3248.7</v>
          </cell>
        </row>
        <row r="45">
          <cell r="G45">
            <v>26450</v>
          </cell>
        </row>
        <row r="49">
          <cell r="G49">
            <v>10506.296366727167</v>
          </cell>
        </row>
        <row r="52">
          <cell r="G52">
            <v>4.26</v>
          </cell>
        </row>
        <row r="54">
          <cell r="G54">
            <v>2300</v>
          </cell>
        </row>
        <row r="55">
          <cell r="G55">
            <v>13319.86628060216</v>
          </cell>
        </row>
        <row r="56">
          <cell r="G56">
            <v>443</v>
          </cell>
        </row>
        <row r="58">
          <cell r="G58">
            <v>46500</v>
          </cell>
        </row>
        <row r="59">
          <cell r="G59">
            <v>32885</v>
          </cell>
        </row>
      </sheetData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есь"/>
      <sheetName val="Лист1"/>
      <sheetName val="Лист2"/>
    </sheetNames>
    <sheetDataSet>
      <sheetData sheetId="0" refreshError="1"/>
      <sheetData sheetId="1" refreshError="1">
        <row r="45">
          <cell r="M45">
            <v>1502.7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СУЗы"/>
      <sheetName val="Лист9"/>
      <sheetName val="Человеч. кап"/>
      <sheetName val="ЧК в МФ"/>
      <sheetName val="Лист2"/>
      <sheetName val="ПЕРЕДВИЖКА"/>
      <sheetName val="передвижки"/>
      <sheetName val="дебет-кредит 2013"/>
      <sheetName val="Союзы"/>
      <sheetName val="Централиз"/>
      <sheetName val="в МФ"/>
      <sheetName val="Роспись 2014по БП"/>
      <sheetName val="Лист6"/>
      <sheetName val="Лист3"/>
      <sheetName val="потр"/>
      <sheetName val="МЗ"/>
      <sheetName val="плюс минус"/>
      <sheetName val="РЦП"/>
      <sheetName val="Лист13"/>
      <sheetName val="январь"/>
      <sheetName val="Лезгинка"/>
      <sheetName val="212"/>
      <sheetName val="рднт и фил"/>
      <sheetName val="2922,8"/>
      <sheetName val="фил и аппарат"/>
      <sheetName val="февраль"/>
      <sheetName val="стип"/>
      <sheetName val="РДНТ"/>
      <sheetName val="волков"/>
      <sheetName val="союз"/>
      <sheetName val="рднт2"/>
      <sheetName val="450и100"/>
      <sheetName val="дагконц"/>
      <sheetName val="рднт3"/>
      <sheetName val="фил и дагконц"/>
      <sheetName val="15000"/>
      <sheetName val="театр песни"/>
      <sheetName val="март"/>
      <sheetName val="стип м"/>
      <sheetName val="волков2"/>
      <sheetName val="капрем"/>
      <sheetName val="2700 и др"/>
      <sheetName val="Дагконц220"/>
      <sheetName val="РДНТ и ДРБ"/>
      <sheetName val="Лист7"/>
      <sheetName val="120"/>
      <sheetName val="стип ап"/>
      <sheetName val="Дагконцерт 1200"/>
      <sheetName val="223"/>
      <sheetName val="700 и 150"/>
      <sheetName val="РДНТ прогр270"/>
      <sheetName val="290 ст и 125 тп"/>
      <sheetName val="ДРБ и Лезг"/>
      <sheetName val="апрель"/>
      <sheetName val="Лезгинка 130"/>
      <sheetName val="2000 и 1424,1"/>
      <sheetName val="чоп и августович"/>
      <sheetName val="840 и 241,6"/>
      <sheetName val="1000"/>
      <sheetName val="ком 223"/>
      <sheetName val="стип290"/>
      <sheetName val="РДНТ 22"/>
      <sheetName val="МЗ ТЗП"/>
      <sheetName val="ЦОПИК и ног. театр"/>
      <sheetName val="май"/>
      <sheetName val="июнь аванс"/>
      <sheetName val="июнь ост"/>
      <sheetName val="аул223"/>
      <sheetName val="рднт июнь"/>
      <sheetName val="дагконц 2000"/>
      <sheetName val="рояль и оборуд"/>
      <sheetName val="ДРБ 45"/>
      <sheetName val="июль"/>
      <sheetName val="612 ДК и библ"/>
      <sheetName val="Аз. отпуск"/>
      <sheetName val="экология"/>
      <sheetName val="5000 дагконцерт"/>
      <sheetName val="Дагконц200  и Молдаг"/>
      <sheetName val="рднтЦАМАУРИ"/>
      <sheetName val="музеи и ТЗП"/>
      <sheetName val="Союзы2"/>
      <sheetName val="август"/>
      <sheetName val="Даг. стип и рус"/>
      <sheetName val="дмз"/>
      <sheetName val="союз журавли"/>
      <sheetName val="кавказвижн и 2070"/>
      <sheetName val="ИЗО и Каспий прогр"/>
      <sheetName val="Пожарка"/>
      <sheetName val="налоги и ДРБ612"/>
      <sheetName val="рус. фил и ДК"/>
      <sheetName val="Каспий аренда"/>
      <sheetName val="210ДРБ"/>
      <sheetName val="ЧОП"/>
      <sheetName val="рус и фил2"/>
      <sheetName val="ДРБ690"/>
      <sheetName val="сентябрь 1вар"/>
      <sheetName val="ЗП сентябрь 02.10 2вар"/>
      <sheetName val="Русс. и филар.29.09"/>
      <sheetName val="ДРБ 29.09"/>
      <sheetName val="Таб.т 30.09."/>
      <sheetName val="Фес.русс.т."/>
      <sheetName val="Ком.усл"/>
      <sheetName val="Айланай 2.10"/>
      <sheetName val="МЗ 03.10"/>
      <sheetName val="Каж.комп. 3.10"/>
      <sheetName val="Зп октябрь аванс 03.10"/>
      <sheetName val="ЗП ДМЗ 8.10."/>
      <sheetName val="автобус Лез.т 8.10"/>
      <sheetName val="Лезгинка 09.10."/>
      <sheetName val="ЗП ДМЗ 13.10"/>
      <sheetName val="Даг-концерт 14.10"/>
      <sheetName val="ДРБ 14.10"/>
      <sheetName val="пожарка 14.10"/>
      <sheetName val="ЗП РДНТ 16.10."/>
      <sheetName val="612 ТЗП"/>
      <sheetName val="Доступ. среда"/>
      <sheetName val="223 2 мес"/>
      <sheetName val="октябрь"/>
      <sheetName val="612 прогр"/>
      <sheetName val="октябрь2"/>
      <sheetName val="Молдаг"/>
      <sheetName val="ЗП ноябрь (аванс 60%)"/>
      <sheetName val="аренда дет.биб."/>
      <sheetName val="Гранты биб. интер."/>
      <sheetName val="авар.т. (фургон)"/>
      <sheetName val="авар авто2"/>
      <sheetName val="ЗП ноябрь2"/>
      <sheetName val="Филармония 20.11."/>
      <sheetName val="Гранты"/>
      <sheetName val="ноябрь"/>
      <sheetName val="Союзыдек"/>
      <sheetName val="гранты2"/>
      <sheetName val="оборудов"/>
      <sheetName val="стип дек"/>
      <sheetName val="ММР и др"/>
      <sheetName val="фил и Дагконц 5000"/>
      <sheetName val="Лезгинка 150"/>
      <sheetName val="антитеррор"/>
      <sheetName val="декабрь"/>
      <sheetName val="Лист1"/>
      <sheetName val="Лист14"/>
      <sheetName val="проверка"/>
      <sheetName val="Роспись 2013 ЦС"/>
      <sheetName val="БЮДЖЕТ"/>
      <sheetName val="ЦЕЛЕВЫЕ"/>
      <sheetName val="Лист8"/>
      <sheetName val="союзы контроль"/>
      <sheetName val="Лист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4">
          <cell r="H34">
            <v>45898.999999999993</v>
          </cell>
        </row>
        <row r="36">
          <cell r="H36">
            <v>45448.999999999993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СУЗы"/>
      <sheetName val="Лист9"/>
      <sheetName val="Человеч. кап"/>
      <sheetName val="Лист5"/>
      <sheetName val="Лист2"/>
      <sheetName val="ПЕРЕДВИЖКА"/>
      <sheetName val="передвижки"/>
      <sheetName val="дебет-кредит 2013"/>
      <sheetName val="Союзы"/>
      <sheetName val="Централиз"/>
      <sheetName val="Роспись 2014по БП"/>
      <sheetName val="МЗ"/>
      <sheetName val="плюс минус"/>
      <sheetName val="РЦП"/>
      <sheetName val="январь"/>
      <sheetName val="Лезгинка"/>
      <sheetName val="212"/>
      <sheetName val="рднт и фил"/>
      <sheetName val="2922,8"/>
      <sheetName val="фил и аппарат"/>
      <sheetName val="февраль"/>
      <sheetName val="стип"/>
      <sheetName val="РДНТ"/>
      <sheetName val="волков"/>
      <sheetName val="союз"/>
      <sheetName val="рднт2"/>
      <sheetName val="450и100"/>
      <sheetName val="дагконц"/>
      <sheetName val="рднт3"/>
      <sheetName val="фил и дагконц"/>
      <sheetName val="15000"/>
      <sheetName val="театр песни"/>
      <sheetName val="март"/>
      <sheetName val="стип м"/>
      <sheetName val="волков2"/>
      <sheetName val="капрем"/>
      <sheetName val="2700 и др"/>
      <sheetName val="Дагконц220"/>
      <sheetName val="РДНТ и ДРБ"/>
      <sheetName val="Лист7"/>
      <sheetName val="120"/>
      <sheetName val="стип ап"/>
      <sheetName val="Дагконцерт 1200"/>
      <sheetName val="223"/>
      <sheetName val="700 и 150"/>
      <sheetName val="РДНТ прогр270"/>
      <sheetName val="290 ст и 125 тп"/>
      <sheetName val="ДРБ и Лезг"/>
      <sheetName val="апрель"/>
      <sheetName val="Лезгинка 130"/>
      <sheetName val="2000 и 1424,1"/>
      <sheetName val="чоп и августович"/>
      <sheetName val="840 и 241,6"/>
      <sheetName val="1000"/>
      <sheetName val="ком 223"/>
      <sheetName val="стип290"/>
      <sheetName val="РДНТ 22"/>
      <sheetName val="МЗ ТЗП"/>
      <sheetName val="ЦОПИК и ног. театр"/>
      <sheetName val="май"/>
      <sheetName val="июнь аванс"/>
      <sheetName val="июнь ост"/>
      <sheetName val="аул223"/>
      <sheetName val="рднт июнь"/>
      <sheetName val="дагконц 2000"/>
      <sheetName val="рояль и оборуд"/>
      <sheetName val="ДРБ 45"/>
      <sheetName val="июль"/>
      <sheetName val="612 ДК и библ"/>
      <sheetName val="Аз. отпуск"/>
      <sheetName val="экология"/>
      <sheetName val="5000 дагконцерт"/>
      <sheetName val="Дагконц200  и Молдаг"/>
      <sheetName val="рднтЦАМАУРИ"/>
      <sheetName val="музеи и ТЗП"/>
      <sheetName val="Союзы2"/>
      <sheetName val="август"/>
      <sheetName val="Даг. стип и рус"/>
      <sheetName val="дмз"/>
      <sheetName val="союз журавли"/>
      <sheetName val="кавказвижн и 2070"/>
      <sheetName val="ИЗО и Каспий прогр"/>
      <sheetName val="Пожарка"/>
      <sheetName val="налоги и ДРБ612"/>
      <sheetName val="рус. фил и ДК"/>
      <sheetName val="Каспий аренда"/>
      <sheetName val="210ДРБ"/>
      <sheetName val="ЧОП"/>
      <sheetName val="рус и фил2"/>
      <sheetName val="ДРБ690"/>
      <sheetName val="сентябрь 1вар"/>
      <sheetName val="Русс. и филар.29.09"/>
      <sheetName val="ДРБ 29.09"/>
      <sheetName val="Таб.т 30.09."/>
      <sheetName val="Фес.русс.т."/>
      <sheetName val="Ком.усл"/>
      <sheetName val="ЗП сентябрь 02.10 2вар"/>
      <sheetName val="Айланай 2.10"/>
      <sheetName val="МЗ 03.10"/>
      <sheetName val="Каж.комп. 3.10"/>
      <sheetName val="Зп октябрь аванс 03.10"/>
      <sheetName val="Лист14"/>
      <sheetName val="проверка"/>
      <sheetName val="Роспись 2013 ЦС"/>
      <sheetName val="БЮДЖЕТ"/>
      <sheetName val="ЦЕЛЕВЫЕ"/>
      <sheetName val="Лист1"/>
      <sheetName val="Лист3"/>
      <sheetName val="Лист4"/>
      <sheetName val="Лист6"/>
      <sheetName val="Лист8"/>
      <sheetName val="Лист10"/>
      <sheetName val="союзы контроль"/>
      <sheetName val="Лист12"/>
      <sheetName val="Лист11"/>
      <sheetName val="Лист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18">
          <cell r="BG418">
            <v>1073.9000000000001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"/>
      <sheetName val="Союзы"/>
      <sheetName val="Роспись 2013по БП"/>
      <sheetName val="плюс минус"/>
      <sheetName val="РЦП"/>
      <sheetName val="январь"/>
      <sheetName val="Лезгинка"/>
      <sheetName val="212"/>
      <sheetName val="рднт и фил"/>
      <sheetName val="2922,8"/>
      <sheetName val="фил и аппарат"/>
      <sheetName val="февраль"/>
      <sheetName val="Роспись 2013 ЦС"/>
      <sheetName val="БЮДЖЕТ"/>
      <sheetName val="ЦЕЛЕВЫЕ"/>
      <sheetName val="Лист1"/>
    </sheetNames>
    <sheetDataSet>
      <sheetData sheetId="0" refreshError="1"/>
      <sheetData sheetId="1" refreshError="1"/>
      <sheetData sheetId="2" refreshError="1">
        <row r="16">
          <cell r="H16">
            <v>114827.90000000001</v>
          </cell>
        </row>
        <row r="418">
          <cell r="H418">
            <v>38678</v>
          </cell>
        </row>
        <row r="500">
          <cell r="H500">
            <v>363509.2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СУЗы"/>
      <sheetName val="Лист9"/>
      <sheetName val="Человеч. кап"/>
      <sheetName val="Лист5"/>
      <sheetName val="Лист2"/>
      <sheetName val="ПЕРЕДВИЖКА"/>
      <sheetName val="передвижки"/>
      <sheetName val="дебет-кредит 2013"/>
      <sheetName val="Союзы"/>
      <sheetName val="Централиз"/>
      <sheetName val="Роспись 2014по БП"/>
      <sheetName val="МЗ"/>
      <sheetName val="плюс минус"/>
      <sheetName val="РЦП"/>
      <sheetName val="январь"/>
      <sheetName val="Лезгинка"/>
      <sheetName val="212"/>
      <sheetName val="рднт и фил"/>
      <sheetName val="2922,8"/>
      <sheetName val="фил и аппарат"/>
      <sheetName val="февраль"/>
      <sheetName val="стип"/>
      <sheetName val="РДНТ"/>
      <sheetName val="волков"/>
      <sheetName val="союз"/>
      <sheetName val="рднт2"/>
      <sheetName val="450и100"/>
      <sheetName val="дагконц"/>
      <sheetName val="рднт3"/>
      <sheetName val="фил и дагконц"/>
      <sheetName val="15000"/>
      <sheetName val="театр песни"/>
      <sheetName val="март"/>
      <sheetName val="стип м"/>
      <sheetName val="волков2"/>
      <sheetName val="капрем"/>
      <sheetName val="2700 и др"/>
      <sheetName val="Дагконц220"/>
      <sheetName val="РДНТ и ДРБ"/>
      <sheetName val="Лист7"/>
      <sheetName val="120"/>
      <sheetName val="стип ап"/>
      <sheetName val="Дагконцерт 1200"/>
      <sheetName val="223"/>
      <sheetName val="700 и 150"/>
      <sheetName val="РДНТ прогр270"/>
      <sheetName val="290 ст и 125 тп"/>
      <sheetName val="ДРБ и Лезг"/>
      <sheetName val="апрель"/>
      <sheetName val="Лезгинка 130"/>
      <sheetName val="2000 и 1424,1"/>
      <sheetName val="чоп и августович"/>
      <sheetName val="840 и 241,6"/>
      <sheetName val="1000"/>
      <sheetName val="ком 223"/>
      <sheetName val="стип290"/>
      <sheetName val="РДНТ 22"/>
      <sheetName val="МЗ ТЗП"/>
      <sheetName val="ЦОПИК и ног. театр"/>
      <sheetName val="май"/>
      <sheetName val="июнь аванс"/>
      <sheetName val="июнь ост"/>
      <sheetName val="июль"/>
      <sheetName val="август"/>
      <sheetName val="аул223"/>
      <sheetName val="рднт июнь"/>
      <sheetName val="Роспись 2013 ЦС"/>
      <sheetName val="БЮДЖЕТ"/>
      <sheetName val="ЦЕЛЕВЫЕ"/>
      <sheetName val="Лист1"/>
      <sheetName val="Лист3"/>
      <sheetName val="Лист4"/>
      <sheetName val="Лист6"/>
      <sheetName val="Лист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7">
          <cell r="H7">
            <v>1286910.3580500002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кумент"/>
    </sheetNames>
    <sheetDataSet>
      <sheetData sheetId="0" refreshError="1">
        <row r="50">
          <cell r="J50">
            <v>177007.16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СУЗы"/>
      <sheetName val="Лист9"/>
      <sheetName val="Человеч. кап"/>
      <sheetName val="ЧК в МФ"/>
      <sheetName val="Лист2"/>
      <sheetName val="ПЕРЕДВИЖКА"/>
      <sheetName val="передвижки"/>
      <sheetName val="дебет-кредит 2013"/>
      <sheetName val="Союзы"/>
      <sheetName val="Централиз"/>
      <sheetName val="в МФ"/>
      <sheetName val="Роспись 2014по БП"/>
      <sheetName val="Лист4"/>
      <sheetName val="Лист6"/>
      <sheetName val="Лист3"/>
      <sheetName val="потр"/>
      <sheetName val="МЗ"/>
      <sheetName val="плюс минус"/>
      <sheetName val="РЦП"/>
      <sheetName val="Лист13"/>
      <sheetName val="январь"/>
      <sheetName val="Лезгинка"/>
      <sheetName val="212"/>
      <sheetName val="рднт и фил"/>
      <sheetName val="2922,8"/>
      <sheetName val="фил и аппарат"/>
      <sheetName val="февраль"/>
      <sheetName val="стип"/>
      <sheetName val="РДНТ"/>
      <sheetName val="волков"/>
      <sheetName val="союз"/>
      <sheetName val="рднт2"/>
      <sheetName val="450и100"/>
      <sheetName val="дагконц"/>
      <sheetName val="рднт3"/>
      <sheetName val="фил и дагконц"/>
      <sheetName val="15000"/>
      <sheetName val="театр песни"/>
      <sheetName val="март"/>
      <sheetName val="стип м"/>
      <sheetName val="волков2"/>
      <sheetName val="капрем"/>
      <sheetName val="2700 и др"/>
      <sheetName val="Дагконц220"/>
      <sheetName val="РДНТ и ДРБ"/>
      <sheetName val="Лист7"/>
      <sheetName val="120"/>
      <sheetName val="стип ап"/>
      <sheetName val="Дагконцерт 1200"/>
      <sheetName val="223"/>
      <sheetName val="700 и 150"/>
      <sheetName val="РДНТ прогр270"/>
      <sheetName val="290 ст и 125 тп"/>
      <sheetName val="ДРБ и Лезг"/>
      <sheetName val="апрель"/>
      <sheetName val="Лезгинка 130"/>
      <sheetName val="2000 и 1424,1"/>
      <sheetName val="чоп и августович"/>
      <sheetName val="840 и 241,6"/>
      <sheetName val="1000"/>
      <sheetName val="ком 223"/>
      <sheetName val="стип290"/>
      <sheetName val="РДНТ 22"/>
      <sheetName val="МЗ ТЗП"/>
      <sheetName val="ЦОПИК и ног. театр"/>
      <sheetName val="май"/>
      <sheetName val="июнь аванс"/>
      <sheetName val="июнь ост"/>
      <sheetName val="аул223"/>
      <sheetName val="рднт июнь"/>
      <sheetName val="дагконц 2000"/>
      <sheetName val="рояль и оборуд"/>
      <sheetName val="ДРБ 45"/>
      <sheetName val="июль"/>
      <sheetName val="612 ДК и библ"/>
      <sheetName val="Аз. отпуск"/>
      <sheetName val="экология"/>
      <sheetName val="5000 дагконцерт"/>
      <sheetName val="Дагконц200  и Молдаг"/>
      <sheetName val="рднтЦАМАУРИ"/>
      <sheetName val="музеи и ТЗП"/>
      <sheetName val="Союзы2"/>
      <sheetName val="август"/>
      <sheetName val="Даг. стип и рус"/>
      <sheetName val="дмз"/>
      <sheetName val="союз журавли"/>
      <sheetName val="кавказвижн и 2070"/>
      <sheetName val="ИЗО и Каспий прогр"/>
      <sheetName val="Пожарка"/>
      <sheetName val="налоги и ДРБ612"/>
      <sheetName val="рус. фил и ДК"/>
      <sheetName val="Каспий аренда"/>
      <sheetName val="210ДРБ"/>
      <sheetName val="ЧОП"/>
      <sheetName val="рус и фил2"/>
      <sheetName val="ДРБ690"/>
      <sheetName val="сентябрь 1вар"/>
      <sheetName val="ЗП сентябрь 02.10 2вар"/>
      <sheetName val="Русс. и филар.29.09"/>
      <sheetName val="ДРБ 29.09"/>
      <sheetName val="Таб.т 30.09."/>
      <sheetName val="Фес.русс.т."/>
      <sheetName val="Ком.усл"/>
      <sheetName val="Айланай 2.10"/>
      <sheetName val="МЗ 03.10"/>
      <sheetName val="Каж.комп. 3.10"/>
      <sheetName val="Зп октябрь аванс 03.10"/>
      <sheetName val="ЗП ДМЗ 8.10."/>
      <sheetName val="автобус Лез.т 8.10"/>
      <sheetName val="Лезгинка 09.10."/>
      <sheetName val="ЗП ДМЗ 13.10"/>
      <sheetName val="Даг-концерт 14.10"/>
      <sheetName val="ДРБ 14.10"/>
      <sheetName val="пожарка 14.10"/>
      <sheetName val="ЗП РДНТ 16.10."/>
      <sheetName val="612 ТЗП"/>
      <sheetName val="Доступ. среда"/>
      <sheetName val="223 2 мес"/>
      <sheetName val="октябрь"/>
      <sheetName val="612 прогр"/>
      <sheetName val="октябрь2"/>
      <sheetName val="Молдаг"/>
      <sheetName val="ЗП ноябрь (аванс 60%)"/>
      <sheetName val="аренда дет.биб."/>
      <sheetName val="Гранты биб. интер."/>
      <sheetName val="авар.т. (фургон)"/>
      <sheetName val="авар авто2"/>
      <sheetName val="ЗП ноябрь2"/>
      <sheetName val="Филармония 20.11."/>
      <sheetName val="Гранты"/>
      <sheetName val="ноябрь"/>
      <sheetName val="Союзыдек"/>
      <sheetName val="гранты2"/>
      <sheetName val="оборудов"/>
      <sheetName val="стип дек"/>
      <sheetName val="ММР и др"/>
      <sheetName val="фил и Дагконц 5000"/>
      <sheetName val="Лезгинка 150"/>
      <sheetName val="антитеррор"/>
      <sheetName val="Гранты президента"/>
      <sheetName val="декабрь"/>
      <sheetName val="Лист1"/>
      <sheetName val="Лист14"/>
      <sheetName val="проверка"/>
      <sheetName val="Роспись 2013 ЦС"/>
      <sheetName val="БЮДЖЕТ"/>
      <sheetName val="ЦЕЛЕВЫЕ"/>
      <sheetName val="Лист8"/>
      <sheetName val="союзы контроль"/>
      <sheetName val="Лист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спись 2013по БП"/>
      <sheetName val="Распределение"/>
    </sheet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0,340"/>
      <sheetName val="225,226,290"/>
      <sheetName val="223,223ээ,223 газ,224"/>
      <sheetName val="212,212кн,221,222"/>
      <sheetName val="213"/>
      <sheetName val="211"/>
      <sheetName val="Заире"/>
      <sheetName val="РЦП"/>
      <sheetName val="Лист1"/>
      <sheetName val="Роспись"/>
      <sheetName val="Лист5"/>
      <sheetName val="Итоги"/>
      <sheetName val="Лист2"/>
      <sheetName val="Новая роспись"/>
      <sheetName val="20 счет"/>
      <sheetName val="21 счет"/>
      <sheetName val="Финансирование"/>
      <sheetName val="СОЮЗЫ"/>
      <sheetName val="Плюс,минус"/>
      <sheetName val="Лист7"/>
      <sheetName val="декабрь"/>
      <sheetName val="Лист6"/>
      <sheetName val="26.12"/>
      <sheetName val="612"/>
      <sheetName val="Лист4"/>
      <sheetName val="РРР"/>
      <sheetName val="22.06"/>
      <sheetName val="09.07"/>
      <sheetName val="25.06"/>
      <sheetName val="10.07"/>
      <sheetName val="18.07"/>
      <sheetName val="23.07"/>
      <sheetName val="27,07"/>
      <sheetName val="27.07"/>
      <sheetName val="31.07"/>
      <sheetName val="03.08"/>
      <sheetName val="13.08"/>
      <sheetName val="21.08"/>
      <sheetName val="05.09"/>
      <sheetName val="14.09"/>
      <sheetName val="25.09"/>
      <sheetName val="26.09"/>
      <sheetName val="01.10"/>
      <sheetName val="02.10"/>
      <sheetName val="09.10"/>
      <sheetName val="16.10"/>
      <sheetName val="19.10"/>
      <sheetName val="за окт. зпл"/>
      <sheetName val="31.10"/>
      <sheetName val="13.11"/>
      <sheetName val="16.11"/>
      <sheetName val="28.11"/>
      <sheetName val="за ноябрь"/>
      <sheetName val="04.12"/>
      <sheetName val="05.12"/>
      <sheetName val="13.12."/>
      <sheetName val="17.12"/>
      <sheetName val="25.12"/>
      <sheetName val="И. С."/>
      <sheetName val="распределение"/>
      <sheetName val="распр.зп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H4">
            <v>420</v>
          </cell>
        </row>
        <row r="5">
          <cell r="H5">
            <v>1700</v>
          </cell>
          <cell r="L5">
            <v>1700</v>
          </cell>
        </row>
        <row r="6">
          <cell r="H6">
            <v>4160</v>
          </cell>
          <cell r="I6">
            <v>1570</v>
          </cell>
          <cell r="L6">
            <v>1440</v>
          </cell>
        </row>
        <row r="7">
          <cell r="I7">
            <v>1570</v>
          </cell>
        </row>
        <row r="9">
          <cell r="H9">
            <v>5010.8</v>
          </cell>
          <cell r="I9">
            <v>1200</v>
          </cell>
          <cell r="L9">
            <v>3810.8</v>
          </cell>
        </row>
        <row r="10">
          <cell r="H10">
            <v>250</v>
          </cell>
        </row>
        <row r="11">
          <cell r="H11">
            <v>250</v>
          </cell>
          <cell r="I11">
            <v>250</v>
          </cell>
          <cell r="L11">
            <v>0</v>
          </cell>
        </row>
        <row r="12">
          <cell r="H12">
            <v>50</v>
          </cell>
          <cell r="L12">
            <v>0</v>
          </cell>
        </row>
        <row r="13">
          <cell r="H13">
            <v>50</v>
          </cell>
          <cell r="L13">
            <v>0</v>
          </cell>
        </row>
        <row r="14">
          <cell r="H14">
            <v>50</v>
          </cell>
          <cell r="L14">
            <v>0</v>
          </cell>
        </row>
        <row r="15">
          <cell r="H15">
            <v>50</v>
          </cell>
          <cell r="L15">
            <v>0</v>
          </cell>
        </row>
        <row r="16">
          <cell r="H16">
            <v>300</v>
          </cell>
          <cell r="I16">
            <v>202.7</v>
          </cell>
          <cell r="L16">
            <v>0</v>
          </cell>
        </row>
        <row r="17">
          <cell r="H17">
            <v>700</v>
          </cell>
          <cell r="I17">
            <v>700</v>
          </cell>
          <cell r="L17">
            <v>0</v>
          </cell>
        </row>
        <row r="18">
          <cell r="H18">
            <v>300</v>
          </cell>
          <cell r="I18">
            <v>100</v>
          </cell>
          <cell r="L18">
            <v>0</v>
          </cell>
        </row>
        <row r="19">
          <cell r="H19">
            <v>300</v>
          </cell>
          <cell r="L19">
            <v>100</v>
          </cell>
        </row>
        <row r="20">
          <cell r="H20">
            <v>1250</v>
          </cell>
          <cell r="L20">
            <v>1100.4000000000001</v>
          </cell>
        </row>
        <row r="21">
          <cell r="H21">
            <v>400</v>
          </cell>
          <cell r="L21">
            <v>0</v>
          </cell>
        </row>
        <row r="22">
          <cell r="H22">
            <v>500</v>
          </cell>
          <cell r="L22">
            <v>405</v>
          </cell>
        </row>
        <row r="23">
          <cell r="H23">
            <v>100</v>
          </cell>
          <cell r="I23">
            <v>100</v>
          </cell>
        </row>
        <row r="24">
          <cell r="H24">
            <v>250</v>
          </cell>
          <cell r="L24">
            <v>200</v>
          </cell>
        </row>
        <row r="35">
          <cell r="H35">
            <v>3908</v>
          </cell>
          <cell r="I35">
            <v>0</v>
          </cell>
          <cell r="L35">
            <v>2954</v>
          </cell>
        </row>
        <row r="36">
          <cell r="I36">
            <v>210</v>
          </cell>
        </row>
        <row r="38">
          <cell r="H38">
            <v>105</v>
          </cell>
          <cell r="I38">
            <v>41.25</v>
          </cell>
        </row>
        <row r="39">
          <cell r="H39">
            <v>150</v>
          </cell>
          <cell r="I39">
            <v>150</v>
          </cell>
        </row>
        <row r="40">
          <cell r="H40">
            <v>25</v>
          </cell>
          <cell r="I40">
            <v>18.75</v>
          </cell>
        </row>
        <row r="41">
          <cell r="H41">
            <v>100</v>
          </cell>
          <cell r="L41">
            <v>100</v>
          </cell>
        </row>
        <row r="42">
          <cell r="H42">
            <v>450</v>
          </cell>
          <cell r="L42">
            <v>450</v>
          </cell>
        </row>
        <row r="43">
          <cell r="H43">
            <v>10</v>
          </cell>
          <cell r="L43">
            <v>10</v>
          </cell>
        </row>
        <row r="44">
          <cell r="H44">
            <v>145</v>
          </cell>
          <cell r="L44">
            <v>145</v>
          </cell>
        </row>
        <row r="45">
          <cell r="H45">
            <v>0</v>
          </cell>
          <cell r="L45">
            <v>0</v>
          </cell>
        </row>
        <row r="46">
          <cell r="H46">
            <v>0</v>
          </cell>
          <cell r="L46">
            <v>0</v>
          </cell>
        </row>
        <row r="47">
          <cell r="H47">
            <v>150</v>
          </cell>
          <cell r="L47">
            <v>150</v>
          </cell>
        </row>
        <row r="48">
          <cell r="H48">
            <v>0</v>
          </cell>
          <cell r="L48">
            <v>0</v>
          </cell>
        </row>
        <row r="49">
          <cell r="H49">
            <v>10</v>
          </cell>
          <cell r="L49">
            <v>10</v>
          </cell>
        </row>
        <row r="50">
          <cell r="H50">
            <v>200</v>
          </cell>
          <cell r="L50">
            <v>200</v>
          </cell>
        </row>
        <row r="51">
          <cell r="H51">
            <v>0</v>
          </cell>
          <cell r="L51">
            <v>0</v>
          </cell>
        </row>
        <row r="52">
          <cell r="H52">
            <v>10</v>
          </cell>
          <cell r="L52">
            <v>10</v>
          </cell>
        </row>
        <row r="53">
          <cell r="H53">
            <v>150</v>
          </cell>
          <cell r="L53">
            <v>150</v>
          </cell>
        </row>
        <row r="54">
          <cell r="H54">
            <v>0</v>
          </cell>
          <cell r="L54">
            <v>0</v>
          </cell>
        </row>
        <row r="55">
          <cell r="H55">
            <v>10</v>
          </cell>
          <cell r="L55">
            <v>9.8999999999999986</v>
          </cell>
        </row>
        <row r="56">
          <cell r="H56">
            <v>50</v>
          </cell>
          <cell r="L56">
            <v>50</v>
          </cell>
        </row>
        <row r="57">
          <cell r="H57">
            <v>500</v>
          </cell>
          <cell r="L57">
            <v>500</v>
          </cell>
        </row>
        <row r="58">
          <cell r="H58">
            <v>10</v>
          </cell>
          <cell r="L58">
            <v>10</v>
          </cell>
        </row>
        <row r="59">
          <cell r="H59">
            <v>25</v>
          </cell>
          <cell r="L59">
            <v>25</v>
          </cell>
        </row>
        <row r="60">
          <cell r="H60">
            <v>150</v>
          </cell>
          <cell r="L60">
            <v>150</v>
          </cell>
        </row>
        <row r="61">
          <cell r="H61">
            <v>10</v>
          </cell>
          <cell r="L61">
            <v>10</v>
          </cell>
        </row>
        <row r="62">
          <cell r="H62">
            <v>25</v>
          </cell>
          <cell r="L62">
            <v>25</v>
          </cell>
        </row>
        <row r="63">
          <cell r="H63">
            <v>0</v>
          </cell>
        </row>
        <row r="64">
          <cell r="H64">
            <v>10</v>
          </cell>
          <cell r="L64">
            <v>10</v>
          </cell>
        </row>
        <row r="65">
          <cell r="H65">
            <v>575</v>
          </cell>
          <cell r="L65">
            <v>575</v>
          </cell>
        </row>
        <row r="66">
          <cell r="H66">
            <v>720.79300000000001</v>
          </cell>
          <cell r="L66">
            <v>720.79300000000001</v>
          </cell>
        </row>
        <row r="67">
          <cell r="H67">
            <v>494.20699999999999</v>
          </cell>
          <cell r="L67">
            <v>494.20699999999999</v>
          </cell>
        </row>
        <row r="68">
          <cell r="H68">
            <v>280</v>
          </cell>
          <cell r="L68">
            <v>280</v>
          </cell>
        </row>
        <row r="69">
          <cell r="H69">
            <v>350</v>
          </cell>
          <cell r="L69">
            <v>350</v>
          </cell>
        </row>
        <row r="70">
          <cell r="H70">
            <v>215</v>
          </cell>
          <cell r="L70">
            <v>215</v>
          </cell>
        </row>
        <row r="71">
          <cell r="H71">
            <v>74.375</v>
          </cell>
          <cell r="L71">
            <v>74.375</v>
          </cell>
        </row>
        <row r="72">
          <cell r="H72">
            <v>275.625</v>
          </cell>
          <cell r="L72">
            <v>275.625</v>
          </cell>
        </row>
        <row r="73">
          <cell r="H73">
            <v>10</v>
          </cell>
          <cell r="L73">
            <v>10</v>
          </cell>
        </row>
        <row r="74">
          <cell r="H74">
            <v>512.54999999999995</v>
          </cell>
          <cell r="L74">
            <v>210</v>
          </cell>
        </row>
        <row r="75">
          <cell r="H75">
            <v>10328.450000000001</v>
          </cell>
          <cell r="L75">
            <v>5179.6000000000004</v>
          </cell>
        </row>
        <row r="76">
          <cell r="H76">
            <v>40</v>
          </cell>
          <cell r="L76">
            <v>40</v>
          </cell>
        </row>
        <row r="77">
          <cell r="H77">
            <v>55</v>
          </cell>
          <cell r="L77">
            <v>55</v>
          </cell>
        </row>
        <row r="78">
          <cell r="H78">
            <v>400</v>
          </cell>
          <cell r="L78">
            <v>400</v>
          </cell>
        </row>
        <row r="79">
          <cell r="H79">
            <v>70</v>
          </cell>
          <cell r="L79">
            <v>70</v>
          </cell>
        </row>
        <row r="80">
          <cell r="H80">
            <v>50</v>
          </cell>
          <cell r="L80">
            <v>50</v>
          </cell>
        </row>
        <row r="81">
          <cell r="H81">
            <v>0</v>
          </cell>
          <cell r="L81">
            <v>0</v>
          </cell>
        </row>
        <row r="82">
          <cell r="H82">
            <v>10</v>
          </cell>
          <cell r="L82">
            <v>10</v>
          </cell>
        </row>
        <row r="83">
          <cell r="H83">
            <v>80</v>
          </cell>
          <cell r="L83">
            <v>80</v>
          </cell>
        </row>
        <row r="84">
          <cell r="H84">
            <v>0</v>
          </cell>
          <cell r="L84">
            <v>0</v>
          </cell>
        </row>
        <row r="85">
          <cell r="H85">
            <v>10</v>
          </cell>
          <cell r="L85">
            <v>10</v>
          </cell>
        </row>
        <row r="86">
          <cell r="H86">
            <v>1410</v>
          </cell>
          <cell r="L86">
            <v>1410</v>
          </cell>
        </row>
        <row r="87">
          <cell r="H87">
            <v>0</v>
          </cell>
          <cell r="L87">
            <v>0</v>
          </cell>
        </row>
        <row r="88">
          <cell r="H88">
            <v>240</v>
          </cell>
          <cell r="L88">
            <v>240</v>
          </cell>
        </row>
        <row r="89">
          <cell r="H89">
            <v>610</v>
          </cell>
          <cell r="L89">
            <v>610</v>
          </cell>
        </row>
        <row r="90">
          <cell r="H90">
            <v>700</v>
          </cell>
          <cell r="L90">
            <v>700</v>
          </cell>
        </row>
        <row r="91">
          <cell r="H91">
            <v>240</v>
          </cell>
          <cell r="L91">
            <v>240</v>
          </cell>
        </row>
        <row r="92">
          <cell r="H92">
            <v>462.58199999999999</v>
          </cell>
          <cell r="L92">
            <v>462.58199999999999</v>
          </cell>
        </row>
        <row r="93">
          <cell r="H93">
            <v>247.41800000000001</v>
          </cell>
          <cell r="L93">
            <v>247.41799999999998</v>
          </cell>
        </row>
        <row r="94">
          <cell r="H94">
            <v>240</v>
          </cell>
          <cell r="L94">
            <v>240</v>
          </cell>
        </row>
        <row r="95">
          <cell r="H95">
            <v>90</v>
          </cell>
          <cell r="L95">
            <v>90</v>
          </cell>
        </row>
        <row r="96">
          <cell r="H96">
            <v>0</v>
          </cell>
          <cell r="L96">
            <v>0</v>
          </cell>
        </row>
        <row r="97">
          <cell r="H97">
            <v>40</v>
          </cell>
          <cell r="L97">
            <v>40</v>
          </cell>
        </row>
        <row r="98">
          <cell r="H98">
            <v>60</v>
          </cell>
          <cell r="L98">
            <v>60</v>
          </cell>
        </row>
        <row r="99">
          <cell r="H99">
            <v>0</v>
          </cell>
          <cell r="L99">
            <v>0</v>
          </cell>
        </row>
        <row r="100">
          <cell r="H100">
            <v>40</v>
          </cell>
          <cell r="L100">
            <v>40</v>
          </cell>
        </row>
        <row r="101">
          <cell r="H101">
            <v>305</v>
          </cell>
          <cell r="L101">
            <v>305</v>
          </cell>
        </row>
        <row r="102">
          <cell r="H102">
            <v>150</v>
          </cell>
          <cell r="L102">
            <v>150</v>
          </cell>
        </row>
        <row r="103">
          <cell r="H103">
            <v>230</v>
          </cell>
          <cell r="L103">
            <v>230</v>
          </cell>
        </row>
        <row r="104">
          <cell r="H104">
            <v>55</v>
          </cell>
          <cell r="L104">
            <v>55</v>
          </cell>
        </row>
        <row r="105">
          <cell r="H105">
            <v>0</v>
          </cell>
          <cell r="L105">
            <v>0</v>
          </cell>
        </row>
        <row r="106">
          <cell r="H106">
            <v>25</v>
          </cell>
          <cell r="L106">
            <v>25</v>
          </cell>
        </row>
        <row r="107">
          <cell r="H107">
            <v>25</v>
          </cell>
          <cell r="L107">
            <v>25</v>
          </cell>
        </row>
        <row r="108">
          <cell r="H108">
            <v>0</v>
          </cell>
          <cell r="L108">
            <v>0</v>
          </cell>
        </row>
        <row r="109">
          <cell r="H109">
            <v>10</v>
          </cell>
          <cell r="L109">
            <v>10</v>
          </cell>
        </row>
        <row r="110">
          <cell r="H110">
            <v>50</v>
          </cell>
          <cell r="L110">
            <v>50</v>
          </cell>
        </row>
        <row r="111">
          <cell r="H111">
            <v>0</v>
          </cell>
          <cell r="L111">
            <v>0</v>
          </cell>
        </row>
        <row r="112">
          <cell r="H112">
            <v>10</v>
          </cell>
          <cell r="L112">
            <v>10</v>
          </cell>
        </row>
      </sheetData>
      <sheetData sheetId="8" refreshError="1"/>
      <sheetData sheetId="9">
        <row r="6">
          <cell r="A6" t="str">
            <v>Аппарат МК РД</v>
          </cell>
        </row>
        <row r="7">
          <cell r="A7" t="str">
            <v>Заработная плата</v>
          </cell>
          <cell r="B7" t="str">
            <v>056</v>
          </cell>
          <cell r="C7" t="str">
            <v>08</v>
          </cell>
          <cell r="D7" t="str">
            <v>04</v>
          </cell>
          <cell r="E7" t="str">
            <v>0020400</v>
          </cell>
          <cell r="F7" t="str">
            <v>012</v>
          </cell>
          <cell r="G7">
            <v>211</v>
          </cell>
          <cell r="H7">
            <v>13510</v>
          </cell>
        </row>
        <row r="8">
          <cell r="A8" t="str">
            <v>Прочие выплаты</v>
          </cell>
          <cell r="B8" t="str">
            <v>056</v>
          </cell>
          <cell r="C8" t="str">
            <v>08</v>
          </cell>
          <cell r="D8" t="str">
            <v>04</v>
          </cell>
          <cell r="E8" t="str">
            <v>0020400</v>
          </cell>
          <cell r="F8" t="str">
            <v>012</v>
          </cell>
          <cell r="G8">
            <v>212</v>
          </cell>
          <cell r="H8">
            <v>0</v>
          </cell>
        </row>
        <row r="9">
          <cell r="A9" t="str">
            <v>Начисления на оплату труда</v>
          </cell>
          <cell r="B9" t="str">
            <v>056</v>
          </cell>
          <cell r="C9" t="str">
            <v>08</v>
          </cell>
          <cell r="D9" t="str">
            <v>04</v>
          </cell>
          <cell r="E9" t="str">
            <v>0020400</v>
          </cell>
          <cell r="F9" t="str">
            <v>012</v>
          </cell>
          <cell r="G9">
            <v>213</v>
          </cell>
          <cell r="H9">
            <v>3584.6</v>
          </cell>
        </row>
        <row r="10">
          <cell r="A10" t="str">
            <v xml:space="preserve">Оплата услуг связи </v>
          </cell>
          <cell r="B10" t="str">
            <v>056</v>
          </cell>
          <cell r="C10" t="str">
            <v>08</v>
          </cell>
          <cell r="D10" t="str">
            <v>04</v>
          </cell>
          <cell r="E10" t="str">
            <v>0020400</v>
          </cell>
          <cell r="F10" t="str">
            <v>012</v>
          </cell>
          <cell r="G10">
            <v>221</v>
          </cell>
          <cell r="H10">
            <v>585</v>
          </cell>
        </row>
        <row r="11">
          <cell r="A11" t="str">
            <v>Транспортные услуги</v>
          </cell>
          <cell r="B11" t="str">
            <v>056</v>
          </cell>
          <cell r="C11" t="str">
            <v>08</v>
          </cell>
          <cell r="D11" t="str">
            <v>04</v>
          </cell>
          <cell r="E11" t="str">
            <v>0020400</v>
          </cell>
          <cell r="F11" t="str">
            <v>012</v>
          </cell>
          <cell r="G11">
            <v>222</v>
          </cell>
          <cell r="H11">
            <v>425.92500000000001</v>
          </cell>
        </row>
        <row r="12">
          <cell r="A12" t="str">
            <v>Коммунальные услуги</v>
          </cell>
          <cell r="B12" t="str">
            <v>056</v>
          </cell>
          <cell r="C12" t="str">
            <v>08</v>
          </cell>
          <cell r="D12" t="str">
            <v>04</v>
          </cell>
          <cell r="E12" t="str">
            <v>0020400</v>
          </cell>
          <cell r="F12" t="str">
            <v>012</v>
          </cell>
          <cell r="G12">
            <v>223</v>
          </cell>
          <cell r="H12">
            <v>300</v>
          </cell>
        </row>
        <row r="13">
          <cell r="A13" t="str">
            <v>Аренда</v>
          </cell>
          <cell r="B13" t="str">
            <v>056</v>
          </cell>
          <cell r="C13" t="str">
            <v>08</v>
          </cell>
          <cell r="D13" t="str">
            <v>04</v>
          </cell>
          <cell r="E13" t="str">
            <v>0020400</v>
          </cell>
          <cell r="F13" t="str">
            <v>012</v>
          </cell>
          <cell r="G13">
            <v>224</v>
          </cell>
        </row>
        <row r="14">
          <cell r="A14" t="str">
            <v>Услуги по содерж. имущества</v>
          </cell>
          <cell r="B14" t="str">
            <v>056</v>
          </cell>
          <cell r="C14" t="str">
            <v>08</v>
          </cell>
          <cell r="D14" t="str">
            <v>04</v>
          </cell>
          <cell r="E14" t="str">
            <v>0020400</v>
          </cell>
          <cell r="F14" t="str">
            <v>012</v>
          </cell>
          <cell r="G14">
            <v>225</v>
          </cell>
          <cell r="H14">
            <v>13478.487000000001</v>
          </cell>
        </row>
        <row r="15">
          <cell r="A15" t="str">
            <v>Прочие услуги</v>
          </cell>
          <cell r="B15" t="str">
            <v>056</v>
          </cell>
          <cell r="C15" t="str">
            <v>08</v>
          </cell>
          <cell r="D15" t="str">
            <v>04</v>
          </cell>
          <cell r="E15" t="str">
            <v>0020400</v>
          </cell>
          <cell r="F15" t="str">
            <v>012</v>
          </cell>
          <cell r="G15">
            <v>226</v>
          </cell>
          <cell r="H15">
            <v>3796.9759999999997</v>
          </cell>
        </row>
        <row r="16">
          <cell r="A16" t="str">
            <v>пособие по соцпомощи</v>
          </cell>
          <cell r="B16" t="str">
            <v>056</v>
          </cell>
          <cell r="C16" t="str">
            <v>08</v>
          </cell>
          <cell r="D16" t="str">
            <v>04</v>
          </cell>
          <cell r="E16" t="str">
            <v>0020400</v>
          </cell>
          <cell r="F16" t="str">
            <v>012</v>
          </cell>
          <cell r="G16" t="str">
            <v>262</v>
          </cell>
        </row>
        <row r="17">
          <cell r="A17" t="str">
            <v xml:space="preserve">Прочие расходы </v>
          </cell>
          <cell r="B17" t="str">
            <v>056</v>
          </cell>
          <cell r="C17" t="str">
            <v>08</v>
          </cell>
          <cell r="D17" t="str">
            <v>04</v>
          </cell>
          <cell r="E17" t="str">
            <v>0020400</v>
          </cell>
          <cell r="F17" t="str">
            <v>012</v>
          </cell>
          <cell r="G17">
            <v>290</v>
          </cell>
          <cell r="H17">
            <v>750</v>
          </cell>
        </row>
        <row r="18">
          <cell r="A18" t="str">
            <v>Увелич. стоимости осн. средств</v>
          </cell>
          <cell r="B18" t="str">
            <v>056</v>
          </cell>
          <cell r="C18" t="str">
            <v>08</v>
          </cell>
          <cell r="D18" t="str">
            <v>04</v>
          </cell>
          <cell r="E18" t="str">
            <v>0020400</v>
          </cell>
          <cell r="F18" t="str">
            <v>012</v>
          </cell>
          <cell r="G18">
            <v>310</v>
          </cell>
          <cell r="H18">
            <v>1617.4</v>
          </cell>
        </row>
        <row r="19">
          <cell r="A19" t="str">
            <v>Увелич. стоимости матер. запасов</v>
          </cell>
          <cell r="B19" t="str">
            <v>056</v>
          </cell>
          <cell r="C19" t="str">
            <v>08</v>
          </cell>
          <cell r="D19" t="str">
            <v>04</v>
          </cell>
          <cell r="E19" t="str">
            <v>0020400</v>
          </cell>
          <cell r="F19" t="str">
            <v>012</v>
          </cell>
          <cell r="G19">
            <v>340</v>
          </cell>
          <cell r="H19">
            <v>736</v>
          </cell>
        </row>
        <row r="21">
          <cell r="A21" t="str">
            <v>Респ. Цирковая школа</v>
          </cell>
        </row>
        <row r="22">
          <cell r="A22" t="str">
            <v>Заработная плата</v>
          </cell>
          <cell r="B22" t="str">
            <v>056</v>
          </cell>
          <cell r="C22" t="str">
            <v>07</v>
          </cell>
          <cell r="D22" t="str">
            <v>02</v>
          </cell>
          <cell r="E22">
            <v>4239902</v>
          </cell>
          <cell r="F22" t="str">
            <v>001</v>
          </cell>
          <cell r="G22">
            <v>211</v>
          </cell>
          <cell r="H22">
            <v>3394.7159999999999</v>
          </cell>
        </row>
        <row r="23">
          <cell r="A23" t="str">
            <v xml:space="preserve">Прочие выплаты </v>
          </cell>
          <cell r="B23" t="str">
            <v>056</v>
          </cell>
          <cell r="C23" t="str">
            <v>07</v>
          </cell>
          <cell r="D23" t="str">
            <v>02</v>
          </cell>
          <cell r="E23">
            <v>4239902</v>
          </cell>
          <cell r="F23" t="str">
            <v>001</v>
          </cell>
          <cell r="G23">
            <v>212</v>
          </cell>
          <cell r="H23">
            <v>24</v>
          </cell>
        </row>
        <row r="24">
          <cell r="A24" t="str">
            <v>Начисления на оплату труда</v>
          </cell>
          <cell r="B24" t="str">
            <v>056</v>
          </cell>
          <cell r="C24" t="str">
            <v>07</v>
          </cell>
          <cell r="D24" t="str">
            <v>02</v>
          </cell>
          <cell r="E24">
            <v>4239902</v>
          </cell>
          <cell r="F24" t="str">
            <v>001</v>
          </cell>
          <cell r="G24">
            <v>213</v>
          </cell>
          <cell r="H24">
            <v>1004.5840000000001</v>
          </cell>
        </row>
        <row r="25">
          <cell r="A25" t="str">
            <v xml:space="preserve">Оплата услуг связи </v>
          </cell>
          <cell r="B25" t="str">
            <v>056</v>
          </cell>
          <cell r="C25" t="str">
            <v>07</v>
          </cell>
          <cell r="D25" t="str">
            <v>02</v>
          </cell>
          <cell r="E25">
            <v>4239902</v>
          </cell>
          <cell r="F25" t="str">
            <v>001</v>
          </cell>
          <cell r="G25">
            <v>221</v>
          </cell>
          <cell r="H25">
            <v>17.5</v>
          </cell>
        </row>
        <row r="26">
          <cell r="A26" t="str">
            <v>Транспортные услуги</v>
          </cell>
          <cell r="B26" t="str">
            <v>056</v>
          </cell>
          <cell r="C26" t="str">
            <v>07</v>
          </cell>
          <cell r="D26" t="str">
            <v>02</v>
          </cell>
          <cell r="E26">
            <v>4239902</v>
          </cell>
          <cell r="F26" t="str">
            <v>001</v>
          </cell>
          <cell r="G26">
            <v>222</v>
          </cell>
        </row>
        <row r="27">
          <cell r="A27" t="str">
            <v>Коммунальные услуги</v>
          </cell>
          <cell r="B27" t="str">
            <v>056</v>
          </cell>
          <cell r="C27" t="str">
            <v>07</v>
          </cell>
          <cell r="D27" t="str">
            <v>02</v>
          </cell>
          <cell r="E27">
            <v>4239902</v>
          </cell>
          <cell r="F27" t="str">
            <v>001</v>
          </cell>
          <cell r="G27">
            <v>223</v>
          </cell>
          <cell r="H27">
            <v>175.5</v>
          </cell>
        </row>
        <row r="28">
          <cell r="A28" t="str">
            <v>Аренда</v>
          </cell>
          <cell r="B28" t="str">
            <v>056</v>
          </cell>
          <cell r="C28" t="str">
            <v>07</v>
          </cell>
          <cell r="D28" t="str">
            <v>02</v>
          </cell>
          <cell r="E28">
            <v>4239902</v>
          </cell>
          <cell r="F28" t="str">
            <v>001</v>
          </cell>
          <cell r="G28">
            <v>224</v>
          </cell>
        </row>
        <row r="29">
          <cell r="A29" t="str">
            <v>Услуги по содерж. имущества</v>
          </cell>
          <cell r="B29" t="str">
            <v>056</v>
          </cell>
          <cell r="C29" t="str">
            <v>07</v>
          </cell>
          <cell r="D29" t="str">
            <v>02</v>
          </cell>
          <cell r="E29">
            <v>4239902</v>
          </cell>
          <cell r="F29" t="str">
            <v>001</v>
          </cell>
          <cell r="G29">
            <v>225</v>
          </cell>
        </row>
        <row r="30">
          <cell r="A30" t="str">
            <v>Прочие услуги</v>
          </cell>
          <cell r="B30" t="str">
            <v>056</v>
          </cell>
          <cell r="C30" t="str">
            <v>07</v>
          </cell>
          <cell r="D30" t="str">
            <v>02</v>
          </cell>
          <cell r="E30">
            <v>4239902</v>
          </cell>
          <cell r="F30" t="str">
            <v>001</v>
          </cell>
          <cell r="G30">
            <v>226</v>
          </cell>
          <cell r="H30">
            <v>114.5</v>
          </cell>
        </row>
        <row r="31">
          <cell r="A31" t="str">
            <v>Прочие расходы</v>
          </cell>
          <cell r="B31" t="str">
            <v>056</v>
          </cell>
          <cell r="C31" t="str">
            <v>07</v>
          </cell>
          <cell r="D31" t="str">
            <v>02</v>
          </cell>
          <cell r="E31">
            <v>4239902</v>
          </cell>
          <cell r="F31" t="str">
            <v>001</v>
          </cell>
          <cell r="G31">
            <v>290</v>
          </cell>
          <cell r="H31">
            <v>11.1</v>
          </cell>
        </row>
        <row r="32">
          <cell r="A32" t="str">
            <v>Прочие расходы</v>
          </cell>
          <cell r="B32" t="str">
            <v>056</v>
          </cell>
          <cell r="C32" t="str">
            <v>07</v>
          </cell>
          <cell r="D32" t="str">
            <v>02</v>
          </cell>
          <cell r="E32" t="str">
            <v>4239502</v>
          </cell>
          <cell r="F32" t="str">
            <v>001</v>
          </cell>
          <cell r="G32">
            <v>290</v>
          </cell>
          <cell r="H32">
            <v>70.5</v>
          </cell>
        </row>
        <row r="33">
          <cell r="A33" t="str">
            <v>Увелич. стоимости осн.средств</v>
          </cell>
          <cell r="B33" t="str">
            <v>056</v>
          </cell>
          <cell r="C33" t="str">
            <v>07</v>
          </cell>
          <cell r="D33" t="str">
            <v>02</v>
          </cell>
          <cell r="E33">
            <v>4239902</v>
          </cell>
          <cell r="F33" t="str">
            <v>001</v>
          </cell>
          <cell r="G33">
            <v>310</v>
          </cell>
          <cell r="H33">
            <v>28.5</v>
          </cell>
        </row>
        <row r="34">
          <cell r="A34" t="str">
            <v>Увелич. стоимости матер. запасов</v>
          </cell>
          <cell r="B34" t="str">
            <v>056</v>
          </cell>
          <cell r="C34" t="str">
            <v>07</v>
          </cell>
          <cell r="D34" t="str">
            <v>02</v>
          </cell>
          <cell r="E34">
            <v>4239902</v>
          </cell>
          <cell r="F34" t="str">
            <v>001</v>
          </cell>
          <cell r="G34">
            <v>340</v>
          </cell>
          <cell r="H34">
            <v>14</v>
          </cell>
        </row>
        <row r="37">
          <cell r="A37" t="str">
            <v>Заработная плата</v>
          </cell>
          <cell r="B37" t="str">
            <v>056</v>
          </cell>
          <cell r="C37" t="str">
            <v>07</v>
          </cell>
          <cell r="D37" t="str">
            <v>02</v>
          </cell>
          <cell r="E37">
            <v>4239902</v>
          </cell>
          <cell r="F37" t="str">
            <v>001</v>
          </cell>
          <cell r="G37">
            <v>211</v>
          </cell>
          <cell r="H37">
            <v>2280.5340000000001</v>
          </cell>
        </row>
        <row r="38">
          <cell r="A38" t="str">
            <v xml:space="preserve">Прочие выплаты </v>
          </cell>
          <cell r="B38" t="str">
            <v>056</v>
          </cell>
          <cell r="C38" t="str">
            <v>07</v>
          </cell>
          <cell r="D38" t="str">
            <v>02</v>
          </cell>
          <cell r="E38">
            <v>4239902</v>
          </cell>
          <cell r="F38" t="str">
            <v>001</v>
          </cell>
          <cell r="G38">
            <v>212</v>
          </cell>
          <cell r="H38">
            <v>18</v>
          </cell>
        </row>
        <row r="39">
          <cell r="A39" t="str">
            <v>Начисления на оплату труда</v>
          </cell>
          <cell r="B39" t="str">
            <v>056</v>
          </cell>
          <cell r="C39" t="str">
            <v>07</v>
          </cell>
          <cell r="D39" t="str">
            <v>02</v>
          </cell>
          <cell r="E39">
            <v>4239902</v>
          </cell>
          <cell r="F39" t="str">
            <v>001</v>
          </cell>
          <cell r="G39">
            <v>213</v>
          </cell>
          <cell r="H39">
            <v>662.73699999999997</v>
          </cell>
        </row>
        <row r="40">
          <cell r="A40" t="str">
            <v xml:space="preserve">Оплата услуг связи </v>
          </cell>
          <cell r="B40" t="str">
            <v>056</v>
          </cell>
          <cell r="C40" t="str">
            <v>07</v>
          </cell>
          <cell r="D40" t="str">
            <v>02</v>
          </cell>
          <cell r="E40">
            <v>4239902</v>
          </cell>
          <cell r="F40" t="str">
            <v>001</v>
          </cell>
          <cell r="G40">
            <v>221</v>
          </cell>
        </row>
        <row r="41">
          <cell r="A41" t="str">
            <v>Транспортные услуги</v>
          </cell>
          <cell r="B41" t="str">
            <v>056</v>
          </cell>
          <cell r="C41" t="str">
            <v>07</v>
          </cell>
          <cell r="D41" t="str">
            <v>02</v>
          </cell>
          <cell r="E41">
            <v>4239902</v>
          </cell>
          <cell r="F41" t="str">
            <v>001</v>
          </cell>
          <cell r="G41">
            <v>222</v>
          </cell>
        </row>
        <row r="42">
          <cell r="A42" t="str">
            <v>Коммунальные услуги</v>
          </cell>
          <cell r="B42" t="str">
            <v>056</v>
          </cell>
          <cell r="C42" t="str">
            <v>07</v>
          </cell>
          <cell r="D42" t="str">
            <v>02</v>
          </cell>
          <cell r="E42">
            <v>4239902</v>
          </cell>
          <cell r="F42" t="str">
            <v>001</v>
          </cell>
          <cell r="G42">
            <v>223</v>
          </cell>
        </row>
        <row r="43">
          <cell r="A43" t="str">
            <v>Аренда</v>
          </cell>
          <cell r="B43" t="str">
            <v>056</v>
          </cell>
          <cell r="C43" t="str">
            <v>07</v>
          </cell>
          <cell r="D43" t="str">
            <v>02</v>
          </cell>
          <cell r="E43">
            <v>4239902</v>
          </cell>
          <cell r="F43" t="str">
            <v>001</v>
          </cell>
          <cell r="G43">
            <v>224</v>
          </cell>
        </row>
        <row r="44">
          <cell r="A44" t="str">
            <v>Услуги по содерж. имущества</v>
          </cell>
          <cell r="B44" t="str">
            <v>056</v>
          </cell>
          <cell r="C44" t="str">
            <v>07</v>
          </cell>
          <cell r="D44" t="str">
            <v>02</v>
          </cell>
          <cell r="E44">
            <v>4239902</v>
          </cell>
          <cell r="F44" t="str">
            <v>001</v>
          </cell>
          <cell r="G44">
            <v>225</v>
          </cell>
        </row>
        <row r="45">
          <cell r="A45" t="str">
            <v>Прочие услуги</v>
          </cell>
          <cell r="B45" t="str">
            <v>056</v>
          </cell>
          <cell r="C45" t="str">
            <v>07</v>
          </cell>
          <cell r="D45" t="str">
            <v>02</v>
          </cell>
          <cell r="E45">
            <v>4239902</v>
          </cell>
          <cell r="F45" t="str">
            <v>001</v>
          </cell>
          <cell r="G45">
            <v>226</v>
          </cell>
        </row>
        <row r="46">
          <cell r="A46" t="str">
            <v xml:space="preserve">Прочие расходы </v>
          </cell>
          <cell r="B46" t="str">
            <v>056</v>
          </cell>
          <cell r="C46" t="str">
            <v>07</v>
          </cell>
          <cell r="D46" t="str">
            <v>02</v>
          </cell>
          <cell r="E46">
            <v>4239902</v>
          </cell>
          <cell r="F46" t="str">
            <v>001</v>
          </cell>
          <cell r="G46">
            <v>290</v>
          </cell>
          <cell r="H46">
            <v>4.8289999999999997</v>
          </cell>
        </row>
        <row r="47">
          <cell r="A47" t="str">
            <v xml:space="preserve">Прочие расходы </v>
          </cell>
          <cell r="B47" t="str">
            <v>056</v>
          </cell>
          <cell r="C47" t="str">
            <v>07</v>
          </cell>
          <cell r="D47" t="str">
            <v>02</v>
          </cell>
          <cell r="E47" t="str">
            <v>4239502</v>
          </cell>
          <cell r="F47" t="str">
            <v>001</v>
          </cell>
          <cell r="G47" t="str">
            <v>290</v>
          </cell>
        </row>
        <row r="48">
          <cell r="A48" t="str">
            <v>Увелич. стоимости осн.средств</v>
          </cell>
          <cell r="B48" t="str">
            <v>056</v>
          </cell>
          <cell r="C48" t="str">
            <v>07</v>
          </cell>
          <cell r="D48" t="str">
            <v>02</v>
          </cell>
          <cell r="E48">
            <v>4239902</v>
          </cell>
          <cell r="F48" t="str">
            <v>001</v>
          </cell>
          <cell r="G48">
            <v>310</v>
          </cell>
        </row>
        <row r="49">
          <cell r="A49" t="str">
            <v>Увелич. стоимости матер. запасов</v>
          </cell>
          <cell r="B49" t="str">
            <v>056</v>
          </cell>
          <cell r="C49" t="str">
            <v>07</v>
          </cell>
          <cell r="D49" t="str">
            <v>02</v>
          </cell>
          <cell r="E49">
            <v>4239902</v>
          </cell>
          <cell r="F49" t="str">
            <v>001</v>
          </cell>
          <cell r="G49">
            <v>340</v>
          </cell>
          <cell r="H49">
            <v>10</v>
          </cell>
        </row>
        <row r="52">
          <cell r="A52" t="str">
            <v>Заработная плата</v>
          </cell>
          <cell r="B52" t="str">
            <v>056</v>
          </cell>
          <cell r="C52" t="str">
            <v>07</v>
          </cell>
          <cell r="D52" t="str">
            <v>02</v>
          </cell>
          <cell r="E52">
            <v>4239902</v>
          </cell>
          <cell r="F52" t="str">
            <v>001</v>
          </cell>
          <cell r="G52">
            <v>211</v>
          </cell>
          <cell r="H52">
            <v>2815.3</v>
          </cell>
        </row>
        <row r="53">
          <cell r="A53" t="str">
            <v xml:space="preserve">Прочие выплаты </v>
          </cell>
          <cell r="B53" t="str">
            <v>056</v>
          </cell>
          <cell r="C53" t="str">
            <v>07</v>
          </cell>
          <cell r="D53" t="str">
            <v>02</v>
          </cell>
          <cell r="E53">
            <v>4239902</v>
          </cell>
          <cell r="F53" t="str">
            <v>001</v>
          </cell>
          <cell r="G53">
            <v>212</v>
          </cell>
          <cell r="H53">
            <v>24</v>
          </cell>
        </row>
        <row r="54">
          <cell r="A54" t="str">
            <v>Начисления на оплату труда</v>
          </cell>
          <cell r="B54" t="str">
            <v>056</v>
          </cell>
          <cell r="C54" t="str">
            <v>07</v>
          </cell>
          <cell r="D54" t="str">
            <v>02</v>
          </cell>
          <cell r="E54">
            <v>4239902</v>
          </cell>
          <cell r="F54" t="str">
            <v>001</v>
          </cell>
          <cell r="G54">
            <v>213</v>
          </cell>
          <cell r="H54">
            <v>850.2</v>
          </cell>
        </row>
        <row r="55">
          <cell r="A55" t="str">
            <v xml:space="preserve">Оплата услуг связи </v>
          </cell>
          <cell r="B55" t="str">
            <v>056</v>
          </cell>
          <cell r="C55" t="str">
            <v>07</v>
          </cell>
          <cell r="D55" t="str">
            <v>02</v>
          </cell>
          <cell r="E55">
            <v>4239902</v>
          </cell>
          <cell r="F55" t="str">
            <v>001</v>
          </cell>
          <cell r="G55">
            <v>221</v>
          </cell>
        </row>
        <row r="56">
          <cell r="A56" t="str">
            <v>Транспортные услуги</v>
          </cell>
          <cell r="B56" t="str">
            <v>056</v>
          </cell>
          <cell r="C56" t="str">
            <v>07</v>
          </cell>
          <cell r="D56" t="str">
            <v>02</v>
          </cell>
          <cell r="E56">
            <v>4239902</v>
          </cell>
          <cell r="F56" t="str">
            <v>001</v>
          </cell>
          <cell r="G56">
            <v>222</v>
          </cell>
        </row>
        <row r="57">
          <cell r="A57" t="str">
            <v>Газ</v>
          </cell>
          <cell r="B57" t="str">
            <v>056</v>
          </cell>
          <cell r="C57" t="str">
            <v>07</v>
          </cell>
          <cell r="D57" t="str">
            <v>02</v>
          </cell>
          <cell r="E57">
            <v>4239902</v>
          </cell>
          <cell r="F57" t="str">
            <v>001</v>
          </cell>
          <cell r="G57">
            <v>223</v>
          </cell>
        </row>
        <row r="58">
          <cell r="A58" t="str">
            <v>Аренда</v>
          </cell>
          <cell r="B58" t="str">
            <v>056</v>
          </cell>
          <cell r="C58" t="str">
            <v>07</v>
          </cell>
          <cell r="D58" t="str">
            <v>02</v>
          </cell>
          <cell r="E58">
            <v>4239902</v>
          </cell>
          <cell r="F58" t="str">
            <v>001</v>
          </cell>
          <cell r="G58">
            <v>224</v>
          </cell>
        </row>
        <row r="59">
          <cell r="A59" t="str">
            <v>Услуги по содерж. имущества</v>
          </cell>
          <cell r="B59" t="str">
            <v>056</v>
          </cell>
          <cell r="C59" t="str">
            <v>07</v>
          </cell>
          <cell r="D59" t="str">
            <v>02</v>
          </cell>
          <cell r="E59">
            <v>4239902</v>
          </cell>
          <cell r="F59" t="str">
            <v>001</v>
          </cell>
          <cell r="G59">
            <v>225</v>
          </cell>
        </row>
        <row r="60">
          <cell r="A60" t="str">
            <v>Прочие услуги</v>
          </cell>
          <cell r="B60" t="str">
            <v>056</v>
          </cell>
          <cell r="C60" t="str">
            <v>07</v>
          </cell>
          <cell r="D60" t="str">
            <v>02</v>
          </cell>
          <cell r="E60">
            <v>4239902</v>
          </cell>
          <cell r="F60" t="str">
            <v>001</v>
          </cell>
          <cell r="G60">
            <v>226</v>
          </cell>
        </row>
        <row r="61">
          <cell r="A61" t="str">
            <v xml:space="preserve">Прочие расходы </v>
          </cell>
          <cell r="B61" t="str">
            <v>056</v>
          </cell>
          <cell r="C61" t="str">
            <v>07</v>
          </cell>
          <cell r="D61" t="str">
            <v>02</v>
          </cell>
          <cell r="E61">
            <v>4239902</v>
          </cell>
          <cell r="F61" t="str">
            <v>001</v>
          </cell>
          <cell r="G61">
            <v>290</v>
          </cell>
          <cell r="H61">
            <v>5.5</v>
          </cell>
        </row>
        <row r="62">
          <cell r="A62" t="str">
            <v xml:space="preserve">Прочие расходы </v>
          </cell>
          <cell r="B62" t="str">
            <v>056</v>
          </cell>
          <cell r="C62" t="str">
            <v>07</v>
          </cell>
          <cell r="D62" t="str">
            <v>02</v>
          </cell>
          <cell r="E62" t="str">
            <v>4239502</v>
          </cell>
          <cell r="F62" t="str">
            <v>001</v>
          </cell>
          <cell r="G62" t="str">
            <v>290</v>
          </cell>
          <cell r="H62">
            <v>1.4</v>
          </cell>
        </row>
        <row r="63">
          <cell r="A63" t="str">
            <v>Увелич. стоимости осн.средств</v>
          </cell>
          <cell r="B63" t="str">
            <v>056</v>
          </cell>
          <cell r="C63" t="str">
            <v>07</v>
          </cell>
          <cell r="D63" t="str">
            <v>02</v>
          </cell>
          <cell r="E63">
            <v>4239902</v>
          </cell>
          <cell r="F63" t="str">
            <v>001</v>
          </cell>
          <cell r="G63">
            <v>310</v>
          </cell>
        </row>
        <row r="64">
          <cell r="A64" t="str">
            <v>Увелич. стоимости матер. запасов</v>
          </cell>
          <cell r="B64" t="str">
            <v>056</v>
          </cell>
          <cell r="C64" t="str">
            <v>07</v>
          </cell>
          <cell r="D64" t="str">
            <v>02</v>
          </cell>
          <cell r="E64">
            <v>4239902</v>
          </cell>
          <cell r="F64" t="str">
            <v>001</v>
          </cell>
          <cell r="G64">
            <v>340</v>
          </cell>
          <cell r="H64">
            <v>10.199999999999999</v>
          </cell>
        </row>
        <row r="67">
          <cell r="A67" t="str">
            <v>Заработная плата</v>
          </cell>
          <cell r="B67" t="str">
            <v>056</v>
          </cell>
          <cell r="C67" t="str">
            <v>07</v>
          </cell>
          <cell r="D67" t="str">
            <v>02</v>
          </cell>
          <cell r="E67">
            <v>4239902</v>
          </cell>
          <cell r="F67" t="str">
            <v>001</v>
          </cell>
          <cell r="G67">
            <v>211</v>
          </cell>
          <cell r="H67">
            <v>6392.7</v>
          </cell>
        </row>
        <row r="68">
          <cell r="A68" t="str">
            <v xml:space="preserve">Прочие выплаты </v>
          </cell>
          <cell r="B68" t="str">
            <v>056</v>
          </cell>
          <cell r="C68" t="str">
            <v>07</v>
          </cell>
          <cell r="D68" t="str">
            <v>02</v>
          </cell>
          <cell r="E68">
            <v>4239902</v>
          </cell>
          <cell r="F68" t="str">
            <v>001</v>
          </cell>
          <cell r="G68">
            <v>212</v>
          </cell>
          <cell r="H68">
            <v>33.6</v>
          </cell>
        </row>
        <row r="69">
          <cell r="A69" t="str">
            <v>Начисления на оплату труда</v>
          </cell>
          <cell r="B69" t="str">
            <v>056</v>
          </cell>
          <cell r="C69" t="str">
            <v>07</v>
          </cell>
          <cell r="D69" t="str">
            <v>02</v>
          </cell>
          <cell r="E69">
            <v>4239902</v>
          </cell>
          <cell r="F69" t="str">
            <v>001</v>
          </cell>
          <cell r="G69">
            <v>213</v>
          </cell>
          <cell r="H69">
            <v>1930.6</v>
          </cell>
        </row>
        <row r="70">
          <cell r="A70" t="str">
            <v xml:space="preserve">Оплата услуг связи </v>
          </cell>
          <cell r="B70" t="str">
            <v>056</v>
          </cell>
          <cell r="C70" t="str">
            <v>07</v>
          </cell>
          <cell r="D70" t="str">
            <v>02</v>
          </cell>
          <cell r="E70">
            <v>4239902</v>
          </cell>
          <cell r="F70" t="str">
            <v>001</v>
          </cell>
          <cell r="G70">
            <v>221</v>
          </cell>
          <cell r="H70">
            <v>20</v>
          </cell>
        </row>
        <row r="71">
          <cell r="A71" t="str">
            <v>Транспортные услуги</v>
          </cell>
          <cell r="B71" t="str">
            <v>056</v>
          </cell>
          <cell r="C71" t="str">
            <v>07</v>
          </cell>
          <cell r="D71" t="str">
            <v>02</v>
          </cell>
          <cell r="E71">
            <v>4239902</v>
          </cell>
          <cell r="F71" t="str">
            <v>001</v>
          </cell>
          <cell r="G71">
            <v>222</v>
          </cell>
          <cell r="H71">
            <v>30</v>
          </cell>
        </row>
        <row r="72">
          <cell r="A72" t="str">
            <v>Коммунальные услуги</v>
          </cell>
          <cell r="B72" t="str">
            <v>056</v>
          </cell>
          <cell r="C72" t="str">
            <v>07</v>
          </cell>
          <cell r="D72" t="str">
            <v>02</v>
          </cell>
          <cell r="E72">
            <v>4239902</v>
          </cell>
          <cell r="F72" t="str">
            <v>001</v>
          </cell>
          <cell r="G72">
            <v>223</v>
          </cell>
          <cell r="H72">
            <v>556.93100000000004</v>
          </cell>
        </row>
        <row r="73">
          <cell r="A73" t="str">
            <v>Аренда</v>
          </cell>
          <cell r="B73" t="str">
            <v>056</v>
          </cell>
          <cell r="C73" t="str">
            <v>07</v>
          </cell>
          <cell r="D73" t="str">
            <v>02</v>
          </cell>
          <cell r="E73">
            <v>4239902</v>
          </cell>
          <cell r="F73" t="str">
            <v>001</v>
          </cell>
          <cell r="G73">
            <v>224</v>
          </cell>
        </row>
        <row r="74">
          <cell r="A74" t="str">
            <v>Услуги по содерж. имущества</v>
          </cell>
          <cell r="B74" t="str">
            <v>056</v>
          </cell>
          <cell r="C74" t="str">
            <v>07</v>
          </cell>
          <cell r="D74" t="str">
            <v>02</v>
          </cell>
          <cell r="E74">
            <v>4239902</v>
          </cell>
          <cell r="F74" t="str">
            <v>001</v>
          </cell>
          <cell r="G74">
            <v>225</v>
          </cell>
          <cell r="H74">
            <v>100</v>
          </cell>
        </row>
        <row r="75">
          <cell r="A75" t="str">
            <v>Прочие услуги</v>
          </cell>
          <cell r="B75" t="str">
            <v>056</v>
          </cell>
          <cell r="C75" t="str">
            <v>07</v>
          </cell>
          <cell r="D75" t="str">
            <v>02</v>
          </cell>
          <cell r="E75">
            <v>4239902</v>
          </cell>
          <cell r="F75" t="str">
            <v>001</v>
          </cell>
          <cell r="G75">
            <v>226</v>
          </cell>
          <cell r="H75">
            <v>927.14999999999986</v>
          </cell>
        </row>
        <row r="76">
          <cell r="A76" t="str">
            <v>Прочие расходы</v>
          </cell>
          <cell r="B76" t="str">
            <v>056</v>
          </cell>
          <cell r="C76" t="str">
            <v>07</v>
          </cell>
          <cell r="D76" t="str">
            <v>02</v>
          </cell>
          <cell r="E76">
            <v>4239902</v>
          </cell>
          <cell r="F76" t="str">
            <v>001</v>
          </cell>
          <cell r="G76">
            <v>290</v>
          </cell>
          <cell r="H76">
            <v>0.70000000000000018</v>
          </cell>
        </row>
        <row r="77">
          <cell r="A77" t="str">
            <v>Прочие расходы</v>
          </cell>
          <cell r="B77" t="str">
            <v>056</v>
          </cell>
          <cell r="C77" t="str">
            <v>07</v>
          </cell>
          <cell r="D77" t="str">
            <v>02</v>
          </cell>
          <cell r="E77" t="str">
            <v>4239502</v>
          </cell>
          <cell r="F77" t="str">
            <v>001</v>
          </cell>
          <cell r="G77" t="str">
            <v>290</v>
          </cell>
          <cell r="H77">
            <v>1512.9</v>
          </cell>
        </row>
        <row r="78">
          <cell r="A78" t="str">
            <v>Увелич. стоимости осн.средств</v>
          </cell>
          <cell r="B78" t="str">
            <v>056</v>
          </cell>
          <cell r="C78" t="str">
            <v>07</v>
          </cell>
          <cell r="D78" t="str">
            <v>02</v>
          </cell>
          <cell r="E78">
            <v>4239902</v>
          </cell>
          <cell r="F78" t="str">
            <v>001</v>
          </cell>
          <cell r="G78">
            <v>310</v>
          </cell>
          <cell r="H78">
            <v>16.919</v>
          </cell>
        </row>
        <row r="79">
          <cell r="A79" t="str">
            <v>Увелич. стоимости матер. запасов</v>
          </cell>
          <cell r="B79" t="str">
            <v>056</v>
          </cell>
          <cell r="C79" t="str">
            <v>07</v>
          </cell>
          <cell r="D79" t="str">
            <v>02</v>
          </cell>
          <cell r="E79">
            <v>4239902</v>
          </cell>
          <cell r="F79" t="str">
            <v>001</v>
          </cell>
          <cell r="G79">
            <v>340</v>
          </cell>
          <cell r="H79">
            <v>60</v>
          </cell>
        </row>
        <row r="82">
          <cell r="A82" t="str">
            <v>Заработная плата</v>
          </cell>
          <cell r="B82" t="str">
            <v>056</v>
          </cell>
          <cell r="C82" t="str">
            <v>07</v>
          </cell>
          <cell r="D82" t="str">
            <v>02</v>
          </cell>
          <cell r="E82">
            <v>4239902</v>
          </cell>
          <cell r="F82" t="str">
            <v>001</v>
          </cell>
          <cell r="G82">
            <v>211</v>
          </cell>
        </row>
        <row r="83">
          <cell r="A83" t="str">
            <v xml:space="preserve">Прочие выплаты </v>
          </cell>
          <cell r="B83" t="str">
            <v>056</v>
          </cell>
          <cell r="C83" t="str">
            <v>07</v>
          </cell>
          <cell r="D83" t="str">
            <v>02</v>
          </cell>
          <cell r="E83">
            <v>4239902</v>
          </cell>
          <cell r="F83" t="str">
            <v>001</v>
          </cell>
          <cell r="G83">
            <v>212</v>
          </cell>
        </row>
        <row r="84">
          <cell r="A84" t="str">
            <v>Начисления на оплату труда</v>
          </cell>
          <cell r="B84" t="str">
            <v>056</v>
          </cell>
          <cell r="C84" t="str">
            <v>07</v>
          </cell>
          <cell r="D84" t="str">
            <v>02</v>
          </cell>
          <cell r="E84">
            <v>4239902</v>
          </cell>
          <cell r="F84" t="str">
            <v>001</v>
          </cell>
          <cell r="G84">
            <v>213</v>
          </cell>
        </row>
        <row r="85">
          <cell r="A85" t="str">
            <v xml:space="preserve">Оплата услуг связи </v>
          </cell>
          <cell r="B85" t="str">
            <v>056</v>
          </cell>
          <cell r="C85" t="str">
            <v>07</v>
          </cell>
          <cell r="D85" t="str">
            <v>02</v>
          </cell>
          <cell r="E85">
            <v>4239902</v>
          </cell>
          <cell r="F85" t="str">
            <v>001</v>
          </cell>
          <cell r="G85">
            <v>221</v>
          </cell>
        </row>
        <row r="86">
          <cell r="A86" t="str">
            <v>Транспортные услуги</v>
          </cell>
          <cell r="B86" t="str">
            <v>056</v>
          </cell>
          <cell r="C86" t="str">
            <v>07</v>
          </cell>
          <cell r="D86" t="str">
            <v>02</v>
          </cell>
          <cell r="E86">
            <v>4239902</v>
          </cell>
          <cell r="F86" t="str">
            <v>001</v>
          </cell>
          <cell r="G86">
            <v>222</v>
          </cell>
        </row>
        <row r="87">
          <cell r="A87" t="str">
            <v>Коммунальные услуги</v>
          </cell>
          <cell r="B87" t="str">
            <v>056</v>
          </cell>
          <cell r="C87" t="str">
            <v>07</v>
          </cell>
          <cell r="D87" t="str">
            <v>02</v>
          </cell>
          <cell r="E87">
            <v>4239902</v>
          </cell>
          <cell r="F87" t="str">
            <v>001</v>
          </cell>
          <cell r="G87">
            <v>223</v>
          </cell>
        </row>
        <row r="88">
          <cell r="A88" t="str">
            <v>Аренда</v>
          </cell>
          <cell r="B88" t="str">
            <v>056</v>
          </cell>
          <cell r="C88" t="str">
            <v>07</v>
          </cell>
          <cell r="D88" t="str">
            <v>02</v>
          </cell>
          <cell r="E88">
            <v>4239902</v>
          </cell>
          <cell r="F88" t="str">
            <v>001</v>
          </cell>
          <cell r="G88">
            <v>224</v>
          </cell>
        </row>
        <row r="89">
          <cell r="A89" t="str">
            <v>Услуги по содерж. имущества</v>
          </cell>
          <cell r="B89" t="str">
            <v>056</v>
          </cell>
          <cell r="C89" t="str">
            <v>07</v>
          </cell>
          <cell r="D89" t="str">
            <v>02</v>
          </cell>
          <cell r="E89">
            <v>4239902</v>
          </cell>
          <cell r="F89" t="str">
            <v>001</v>
          </cell>
          <cell r="G89">
            <v>225</v>
          </cell>
        </row>
        <row r="90">
          <cell r="A90" t="str">
            <v>Прочие услуги</v>
          </cell>
          <cell r="B90" t="str">
            <v>056</v>
          </cell>
          <cell r="C90" t="str">
            <v>07</v>
          </cell>
          <cell r="D90" t="str">
            <v>02</v>
          </cell>
          <cell r="E90">
            <v>4239902</v>
          </cell>
          <cell r="F90" t="str">
            <v>001</v>
          </cell>
          <cell r="G90">
            <v>226</v>
          </cell>
        </row>
        <row r="91">
          <cell r="A91" t="str">
            <v xml:space="preserve">Прочие услуги </v>
          </cell>
          <cell r="B91" t="str">
            <v>056</v>
          </cell>
          <cell r="C91" t="str">
            <v>07</v>
          </cell>
          <cell r="D91" t="str">
            <v>02</v>
          </cell>
          <cell r="E91">
            <v>4239902</v>
          </cell>
          <cell r="F91" t="str">
            <v>001</v>
          </cell>
          <cell r="G91">
            <v>290</v>
          </cell>
        </row>
        <row r="92">
          <cell r="A92" t="str">
            <v xml:space="preserve">Прочие расходы </v>
          </cell>
          <cell r="B92" t="str">
            <v>056</v>
          </cell>
          <cell r="C92" t="str">
            <v>07</v>
          </cell>
          <cell r="D92" t="str">
            <v>02</v>
          </cell>
          <cell r="E92" t="str">
            <v>4239502</v>
          </cell>
          <cell r="F92" t="str">
            <v>001</v>
          </cell>
          <cell r="G92">
            <v>290</v>
          </cell>
        </row>
        <row r="93">
          <cell r="A93" t="str">
            <v>Увелич. стоимости осн.средств</v>
          </cell>
          <cell r="B93" t="str">
            <v>056</v>
          </cell>
          <cell r="C93" t="str">
            <v>07</v>
          </cell>
          <cell r="D93" t="str">
            <v>02</v>
          </cell>
          <cell r="E93">
            <v>4239902</v>
          </cell>
          <cell r="F93" t="str">
            <v>001</v>
          </cell>
          <cell r="G93">
            <v>310</v>
          </cell>
        </row>
        <row r="94">
          <cell r="A94" t="str">
            <v>Увелич. стоимости матер. запасов</v>
          </cell>
          <cell r="B94" t="str">
            <v>056</v>
          </cell>
          <cell r="C94" t="str">
            <v>07</v>
          </cell>
          <cell r="D94" t="str">
            <v>02</v>
          </cell>
          <cell r="E94">
            <v>4239902</v>
          </cell>
          <cell r="F94" t="str">
            <v>001</v>
          </cell>
          <cell r="G94">
            <v>340</v>
          </cell>
        </row>
        <row r="97">
          <cell r="A97" t="str">
            <v>Заработная плата</v>
          </cell>
          <cell r="B97" t="str">
            <v>056</v>
          </cell>
          <cell r="C97" t="str">
            <v>07</v>
          </cell>
          <cell r="D97" t="str">
            <v>04</v>
          </cell>
          <cell r="E97" t="str">
            <v>4279902</v>
          </cell>
          <cell r="F97" t="str">
            <v>001</v>
          </cell>
          <cell r="G97">
            <v>211</v>
          </cell>
          <cell r="H97">
            <v>16155.8</v>
          </cell>
        </row>
        <row r="98">
          <cell r="A98" t="str">
            <v>Прочие выплаты</v>
          </cell>
          <cell r="B98" t="str">
            <v>056</v>
          </cell>
          <cell r="C98" t="str">
            <v>07</v>
          </cell>
          <cell r="D98" t="str">
            <v>04</v>
          </cell>
          <cell r="E98" t="str">
            <v>4279902</v>
          </cell>
          <cell r="F98" t="str">
            <v>001</v>
          </cell>
          <cell r="G98">
            <v>212</v>
          </cell>
          <cell r="H98">
            <v>126.96</v>
          </cell>
        </row>
        <row r="99">
          <cell r="A99" t="str">
            <v>Начисления на оплату труда</v>
          </cell>
          <cell r="B99" t="str">
            <v>056</v>
          </cell>
          <cell r="C99" t="str">
            <v>07</v>
          </cell>
          <cell r="D99" t="str">
            <v>04</v>
          </cell>
          <cell r="E99" t="str">
            <v>4279902</v>
          </cell>
          <cell r="F99" t="str">
            <v>001</v>
          </cell>
          <cell r="G99">
            <v>213</v>
          </cell>
          <cell r="H99">
            <v>4879</v>
          </cell>
        </row>
        <row r="100">
          <cell r="A100" t="str">
            <v xml:space="preserve">Оплата услуг связи </v>
          </cell>
          <cell r="B100" t="str">
            <v>056</v>
          </cell>
          <cell r="C100" t="str">
            <v>07</v>
          </cell>
          <cell r="D100" t="str">
            <v>04</v>
          </cell>
          <cell r="E100" t="str">
            <v>4279902</v>
          </cell>
          <cell r="F100" t="str">
            <v>001</v>
          </cell>
          <cell r="G100">
            <v>221</v>
          </cell>
          <cell r="H100">
            <v>34</v>
          </cell>
        </row>
        <row r="101">
          <cell r="A101" t="str">
            <v>Транспортные услуги</v>
          </cell>
          <cell r="B101" t="str">
            <v>056</v>
          </cell>
          <cell r="C101" t="str">
            <v>07</v>
          </cell>
          <cell r="D101" t="str">
            <v>04</v>
          </cell>
          <cell r="E101" t="str">
            <v>4279902</v>
          </cell>
          <cell r="F101" t="str">
            <v>001</v>
          </cell>
          <cell r="G101">
            <v>222</v>
          </cell>
          <cell r="H101">
            <v>161</v>
          </cell>
        </row>
        <row r="102">
          <cell r="A102" t="str">
            <v>Коммунальные услуги</v>
          </cell>
          <cell r="B102" t="str">
            <v>056</v>
          </cell>
          <cell r="C102" t="str">
            <v>07</v>
          </cell>
          <cell r="D102" t="str">
            <v>04</v>
          </cell>
          <cell r="E102" t="str">
            <v>4279902</v>
          </cell>
          <cell r="F102" t="str">
            <v>001</v>
          </cell>
          <cell r="G102">
            <v>223</v>
          </cell>
          <cell r="H102">
            <v>468</v>
          </cell>
        </row>
        <row r="103">
          <cell r="A103" t="str">
            <v>Аренда помещения</v>
          </cell>
          <cell r="B103" t="str">
            <v>056</v>
          </cell>
          <cell r="C103" t="str">
            <v>07</v>
          </cell>
          <cell r="D103" t="str">
            <v>04</v>
          </cell>
          <cell r="E103" t="str">
            <v>4279902</v>
          </cell>
          <cell r="F103" t="str">
            <v>001</v>
          </cell>
          <cell r="G103">
            <v>224</v>
          </cell>
        </row>
        <row r="104">
          <cell r="A104" t="str">
            <v>Услуги по содерж. имущества</v>
          </cell>
          <cell r="B104" t="str">
            <v>056</v>
          </cell>
          <cell r="C104" t="str">
            <v>07</v>
          </cell>
          <cell r="D104" t="str">
            <v>04</v>
          </cell>
          <cell r="E104" t="str">
            <v>4279902</v>
          </cell>
          <cell r="F104" t="str">
            <v>001</v>
          </cell>
          <cell r="G104">
            <v>225</v>
          </cell>
          <cell r="H104">
            <v>1470</v>
          </cell>
        </row>
        <row r="105">
          <cell r="A105" t="str">
            <v>Прочие услуги</v>
          </cell>
          <cell r="B105" t="str">
            <v>056</v>
          </cell>
          <cell r="C105" t="str">
            <v>07</v>
          </cell>
          <cell r="D105" t="str">
            <v>04</v>
          </cell>
          <cell r="E105" t="str">
            <v>4279902</v>
          </cell>
          <cell r="F105" t="str">
            <v>001</v>
          </cell>
          <cell r="G105">
            <v>226</v>
          </cell>
          <cell r="H105">
            <v>300.83999999999997</v>
          </cell>
        </row>
        <row r="106">
          <cell r="A106" t="str">
            <v xml:space="preserve">Прочие расходы </v>
          </cell>
          <cell r="B106" t="str">
            <v>056</v>
          </cell>
          <cell r="C106" t="str">
            <v>07</v>
          </cell>
          <cell r="D106" t="str">
            <v>04</v>
          </cell>
          <cell r="E106" t="str">
            <v>4279902</v>
          </cell>
          <cell r="F106" t="str">
            <v>001</v>
          </cell>
          <cell r="G106">
            <v>290</v>
          </cell>
          <cell r="H106">
            <v>1881.51</v>
          </cell>
        </row>
        <row r="107">
          <cell r="A107" t="str">
            <v xml:space="preserve">Прочие расходы </v>
          </cell>
          <cell r="B107" t="str">
            <v>056</v>
          </cell>
          <cell r="C107" t="str">
            <v>07</v>
          </cell>
          <cell r="D107" t="str">
            <v>04</v>
          </cell>
          <cell r="E107" t="str">
            <v>4279502</v>
          </cell>
          <cell r="F107" t="str">
            <v>001</v>
          </cell>
          <cell r="G107" t="str">
            <v>290</v>
          </cell>
          <cell r="H107">
            <v>630.70000000000005</v>
          </cell>
        </row>
        <row r="108">
          <cell r="A108" t="str">
            <v>Увелич. стоимости осн. средств</v>
          </cell>
          <cell r="B108" t="str">
            <v>056</v>
          </cell>
          <cell r="C108" t="str">
            <v>07</v>
          </cell>
          <cell r="D108" t="str">
            <v>04</v>
          </cell>
          <cell r="E108" t="str">
            <v>4279902</v>
          </cell>
          <cell r="F108" t="str">
            <v>001</v>
          </cell>
          <cell r="G108">
            <v>310</v>
          </cell>
          <cell r="H108">
            <v>150</v>
          </cell>
        </row>
        <row r="109">
          <cell r="A109" t="str">
            <v>Увелич. стоимости матер. запасов</v>
          </cell>
          <cell r="B109" t="str">
            <v>056</v>
          </cell>
          <cell r="C109" t="str">
            <v>07</v>
          </cell>
          <cell r="D109" t="str">
            <v>04</v>
          </cell>
          <cell r="E109" t="str">
            <v>4279902</v>
          </cell>
          <cell r="F109" t="str">
            <v>001</v>
          </cell>
          <cell r="G109">
            <v>340</v>
          </cell>
          <cell r="H109">
            <v>99.89</v>
          </cell>
        </row>
        <row r="112">
          <cell r="A112" t="str">
            <v>Заработная плата</v>
          </cell>
          <cell r="B112" t="str">
            <v>056</v>
          </cell>
          <cell r="C112" t="str">
            <v>07</v>
          </cell>
          <cell r="D112" t="str">
            <v>04</v>
          </cell>
          <cell r="E112" t="str">
            <v>4279902</v>
          </cell>
          <cell r="F112" t="str">
            <v>001</v>
          </cell>
          <cell r="G112">
            <v>211</v>
          </cell>
          <cell r="H112">
            <v>8970.4</v>
          </cell>
        </row>
        <row r="113">
          <cell r="A113" t="str">
            <v>Прочие выплаты</v>
          </cell>
          <cell r="B113" t="str">
            <v>056</v>
          </cell>
          <cell r="C113" t="str">
            <v>07</v>
          </cell>
          <cell r="D113" t="str">
            <v>04</v>
          </cell>
          <cell r="E113" t="str">
            <v>4279902</v>
          </cell>
          <cell r="F113" t="str">
            <v>001</v>
          </cell>
          <cell r="G113">
            <v>212</v>
          </cell>
          <cell r="H113">
            <v>45.6</v>
          </cell>
        </row>
        <row r="114">
          <cell r="A114" t="str">
            <v>Начисления на оплату труда</v>
          </cell>
          <cell r="B114" t="str">
            <v>056</v>
          </cell>
          <cell r="C114" t="str">
            <v>07</v>
          </cell>
          <cell r="D114" t="str">
            <v>04</v>
          </cell>
          <cell r="E114" t="str">
            <v>4279902</v>
          </cell>
          <cell r="F114" t="str">
            <v>001</v>
          </cell>
          <cell r="G114">
            <v>213</v>
          </cell>
          <cell r="H114">
            <v>2709</v>
          </cell>
        </row>
        <row r="115">
          <cell r="A115" t="str">
            <v xml:space="preserve">Оплата услуг связи </v>
          </cell>
          <cell r="B115" t="str">
            <v>056</v>
          </cell>
          <cell r="C115" t="str">
            <v>07</v>
          </cell>
          <cell r="D115" t="str">
            <v>04</v>
          </cell>
          <cell r="E115" t="str">
            <v>4279902</v>
          </cell>
          <cell r="F115" t="str">
            <v>001</v>
          </cell>
          <cell r="G115">
            <v>221</v>
          </cell>
          <cell r="H115">
            <v>18</v>
          </cell>
        </row>
        <row r="116">
          <cell r="A116" t="str">
            <v>Транспортные услуги</v>
          </cell>
          <cell r="B116" t="str">
            <v>056</v>
          </cell>
          <cell r="C116" t="str">
            <v>07</v>
          </cell>
          <cell r="D116" t="str">
            <v>04</v>
          </cell>
          <cell r="E116" t="str">
            <v>4279902</v>
          </cell>
          <cell r="F116" t="str">
            <v>001</v>
          </cell>
          <cell r="G116">
            <v>222</v>
          </cell>
          <cell r="H116">
            <v>29.71</v>
          </cell>
        </row>
        <row r="117">
          <cell r="A117" t="str">
            <v>Коммунальные услуги</v>
          </cell>
          <cell r="B117" t="str">
            <v>056</v>
          </cell>
          <cell r="C117" t="str">
            <v>07</v>
          </cell>
          <cell r="D117" t="str">
            <v>04</v>
          </cell>
          <cell r="E117" t="str">
            <v>4279902</v>
          </cell>
          <cell r="F117" t="str">
            <v>001</v>
          </cell>
          <cell r="G117">
            <v>223</v>
          </cell>
          <cell r="H117">
            <v>414</v>
          </cell>
        </row>
        <row r="118">
          <cell r="A118" t="str">
            <v>Аренда помещения</v>
          </cell>
          <cell r="B118" t="str">
            <v>056</v>
          </cell>
          <cell r="C118" t="str">
            <v>07</v>
          </cell>
          <cell r="D118" t="str">
            <v>04</v>
          </cell>
          <cell r="E118" t="str">
            <v>4279902</v>
          </cell>
          <cell r="F118" t="str">
            <v>001</v>
          </cell>
          <cell r="G118">
            <v>224</v>
          </cell>
        </row>
        <row r="119">
          <cell r="A119" t="str">
            <v>Услуги по содерж. имущества</v>
          </cell>
          <cell r="B119" t="str">
            <v>056</v>
          </cell>
          <cell r="C119" t="str">
            <v>07</v>
          </cell>
          <cell r="D119" t="str">
            <v>04</v>
          </cell>
          <cell r="E119" t="str">
            <v>4279902</v>
          </cell>
          <cell r="F119" t="str">
            <v>001</v>
          </cell>
          <cell r="G119">
            <v>225</v>
          </cell>
          <cell r="H119">
            <v>900</v>
          </cell>
        </row>
        <row r="120">
          <cell r="A120" t="str">
            <v>Прочие услуги</v>
          </cell>
          <cell r="B120" t="str">
            <v>056</v>
          </cell>
          <cell r="C120" t="str">
            <v>07</v>
          </cell>
          <cell r="D120" t="str">
            <v>04</v>
          </cell>
          <cell r="E120" t="str">
            <v>4279902</v>
          </cell>
          <cell r="F120" t="str">
            <v>001</v>
          </cell>
          <cell r="G120">
            <v>226</v>
          </cell>
          <cell r="H120">
            <v>168.64</v>
          </cell>
        </row>
        <row r="121">
          <cell r="A121" t="str">
            <v xml:space="preserve">Прочие расходы </v>
          </cell>
          <cell r="B121" t="str">
            <v>056</v>
          </cell>
          <cell r="C121" t="str">
            <v>07</v>
          </cell>
          <cell r="D121" t="str">
            <v>04</v>
          </cell>
          <cell r="E121" t="str">
            <v>4279902</v>
          </cell>
          <cell r="F121" t="str">
            <v>001</v>
          </cell>
          <cell r="G121">
            <v>290</v>
          </cell>
          <cell r="H121">
            <v>1996.1</v>
          </cell>
        </row>
        <row r="122">
          <cell r="A122" t="str">
            <v xml:space="preserve">Прочие расходы </v>
          </cell>
          <cell r="B122" t="str">
            <v>056</v>
          </cell>
          <cell r="C122" t="str">
            <v>07</v>
          </cell>
          <cell r="D122" t="str">
            <v>04</v>
          </cell>
          <cell r="E122" t="str">
            <v>4279502</v>
          </cell>
          <cell r="F122" t="str">
            <v>001</v>
          </cell>
          <cell r="G122" t="str">
            <v>290</v>
          </cell>
          <cell r="H122">
            <v>6.8</v>
          </cell>
        </row>
        <row r="123">
          <cell r="A123" t="str">
            <v>Увелич. стоимости осн. средств</v>
          </cell>
          <cell r="B123" t="str">
            <v>056</v>
          </cell>
          <cell r="C123" t="str">
            <v>07</v>
          </cell>
          <cell r="D123" t="str">
            <v>04</v>
          </cell>
          <cell r="E123" t="str">
            <v>4279902</v>
          </cell>
          <cell r="F123" t="str">
            <v>001</v>
          </cell>
          <cell r="G123">
            <v>310</v>
          </cell>
          <cell r="H123">
            <v>150</v>
          </cell>
        </row>
        <row r="124">
          <cell r="A124" t="str">
            <v>Увелич. стоимости матер. запасов</v>
          </cell>
          <cell r="B124" t="str">
            <v>056</v>
          </cell>
          <cell r="C124" t="str">
            <v>07</v>
          </cell>
          <cell r="D124" t="str">
            <v>04</v>
          </cell>
          <cell r="E124" t="str">
            <v>4279902</v>
          </cell>
          <cell r="F124" t="str">
            <v>001</v>
          </cell>
          <cell r="G124">
            <v>340</v>
          </cell>
          <cell r="H124">
            <v>65.36</v>
          </cell>
        </row>
        <row r="127">
          <cell r="A127" t="str">
            <v>Заработная плата</v>
          </cell>
          <cell r="B127" t="str">
            <v>056</v>
          </cell>
          <cell r="C127" t="str">
            <v>07</v>
          </cell>
          <cell r="D127" t="str">
            <v>04</v>
          </cell>
          <cell r="E127" t="str">
            <v>4279902</v>
          </cell>
          <cell r="F127" t="str">
            <v>001</v>
          </cell>
          <cell r="G127">
            <v>211</v>
          </cell>
          <cell r="H127">
            <v>12136.300000000001</v>
          </cell>
        </row>
        <row r="128">
          <cell r="A128" t="str">
            <v>Прочие выплаты</v>
          </cell>
          <cell r="B128" t="str">
            <v>056</v>
          </cell>
          <cell r="C128" t="str">
            <v>07</v>
          </cell>
          <cell r="D128" t="str">
            <v>04</v>
          </cell>
          <cell r="E128" t="str">
            <v>4279902</v>
          </cell>
          <cell r="F128" t="str">
            <v>001</v>
          </cell>
          <cell r="G128">
            <v>212</v>
          </cell>
          <cell r="H128">
            <v>66</v>
          </cell>
        </row>
        <row r="129">
          <cell r="A129" t="str">
            <v>Начисления на оплату труда</v>
          </cell>
          <cell r="B129" t="str">
            <v>056</v>
          </cell>
          <cell r="C129" t="str">
            <v>07</v>
          </cell>
          <cell r="D129" t="str">
            <v>04</v>
          </cell>
          <cell r="E129" t="str">
            <v>4279902</v>
          </cell>
          <cell r="F129" t="str">
            <v>001</v>
          </cell>
          <cell r="G129">
            <v>213</v>
          </cell>
          <cell r="H129">
            <v>3653.6</v>
          </cell>
        </row>
        <row r="130">
          <cell r="A130" t="str">
            <v xml:space="preserve">Оплата услуг связи </v>
          </cell>
          <cell r="B130" t="str">
            <v>056</v>
          </cell>
          <cell r="C130" t="str">
            <v>07</v>
          </cell>
          <cell r="D130" t="str">
            <v>04</v>
          </cell>
          <cell r="E130" t="str">
            <v>4279902</v>
          </cell>
          <cell r="F130" t="str">
            <v>001</v>
          </cell>
          <cell r="G130">
            <v>221</v>
          </cell>
          <cell r="H130">
            <v>15</v>
          </cell>
        </row>
        <row r="131">
          <cell r="A131" t="str">
            <v>Транспортные услуги</v>
          </cell>
          <cell r="B131" t="str">
            <v>056</v>
          </cell>
          <cell r="C131" t="str">
            <v>07</v>
          </cell>
          <cell r="D131" t="str">
            <v>04</v>
          </cell>
          <cell r="E131" t="str">
            <v>4279902</v>
          </cell>
          <cell r="F131" t="str">
            <v>001</v>
          </cell>
          <cell r="G131">
            <v>222</v>
          </cell>
        </row>
        <row r="132">
          <cell r="A132" t="str">
            <v>Коммунальные услуги</v>
          </cell>
          <cell r="B132" t="str">
            <v>056</v>
          </cell>
          <cell r="C132" t="str">
            <v>07</v>
          </cell>
          <cell r="D132" t="str">
            <v>04</v>
          </cell>
          <cell r="E132" t="str">
            <v>4279902</v>
          </cell>
          <cell r="F132" t="str">
            <v>001</v>
          </cell>
          <cell r="G132">
            <v>223</v>
          </cell>
          <cell r="H132">
            <v>287</v>
          </cell>
        </row>
        <row r="133">
          <cell r="A133" t="str">
            <v>Аренда помещения</v>
          </cell>
          <cell r="B133" t="str">
            <v>056</v>
          </cell>
          <cell r="C133" t="str">
            <v>07</v>
          </cell>
          <cell r="D133" t="str">
            <v>04</v>
          </cell>
          <cell r="E133" t="str">
            <v>4279902</v>
          </cell>
          <cell r="F133" t="str">
            <v>001</v>
          </cell>
          <cell r="G133">
            <v>224</v>
          </cell>
          <cell r="H133">
            <v>0</v>
          </cell>
        </row>
        <row r="134">
          <cell r="A134" t="str">
            <v>Услуги по содерж. имущества</v>
          </cell>
          <cell r="B134" t="str">
            <v>056</v>
          </cell>
          <cell r="C134" t="str">
            <v>07</v>
          </cell>
          <cell r="D134" t="str">
            <v>04</v>
          </cell>
          <cell r="E134" t="str">
            <v>4279902</v>
          </cell>
          <cell r="F134" t="str">
            <v>001</v>
          </cell>
          <cell r="G134">
            <v>225</v>
          </cell>
          <cell r="H134">
            <v>75</v>
          </cell>
        </row>
        <row r="135">
          <cell r="A135" t="str">
            <v>Прочие услуги</v>
          </cell>
          <cell r="B135" t="str">
            <v>056</v>
          </cell>
          <cell r="C135" t="str">
            <v>07</v>
          </cell>
          <cell r="D135" t="str">
            <v>04</v>
          </cell>
          <cell r="E135" t="str">
            <v>4279902</v>
          </cell>
          <cell r="F135" t="str">
            <v>001</v>
          </cell>
          <cell r="G135">
            <v>226</v>
          </cell>
          <cell r="H135">
            <v>657</v>
          </cell>
        </row>
        <row r="136">
          <cell r="A136" t="str">
            <v xml:space="preserve">Прочие расходы </v>
          </cell>
          <cell r="B136" t="str">
            <v>056</v>
          </cell>
          <cell r="C136" t="str">
            <v>07</v>
          </cell>
          <cell r="D136" t="str">
            <v>04</v>
          </cell>
          <cell r="E136" t="str">
            <v>4279902</v>
          </cell>
          <cell r="F136" t="str">
            <v>001</v>
          </cell>
          <cell r="G136">
            <v>290</v>
          </cell>
          <cell r="H136">
            <v>928.4</v>
          </cell>
        </row>
        <row r="137">
          <cell r="A137" t="str">
            <v xml:space="preserve">Прочие расходы </v>
          </cell>
          <cell r="B137" t="str">
            <v>056</v>
          </cell>
          <cell r="C137" t="str">
            <v>07</v>
          </cell>
          <cell r="D137" t="str">
            <v>04</v>
          </cell>
          <cell r="E137" t="str">
            <v>4279502</v>
          </cell>
          <cell r="F137" t="str">
            <v>001</v>
          </cell>
          <cell r="G137" t="str">
            <v>290</v>
          </cell>
          <cell r="H137">
            <v>172.10000000000002</v>
          </cell>
        </row>
        <row r="138">
          <cell r="A138" t="str">
            <v>Увелич. стоимости осн. средств</v>
          </cell>
          <cell r="B138" t="str">
            <v>056</v>
          </cell>
          <cell r="C138" t="str">
            <v>07</v>
          </cell>
          <cell r="D138" t="str">
            <v>04</v>
          </cell>
          <cell r="E138" t="str">
            <v>4279902</v>
          </cell>
          <cell r="F138" t="str">
            <v>001</v>
          </cell>
          <cell r="G138">
            <v>310</v>
          </cell>
          <cell r="H138">
            <v>120</v>
          </cell>
        </row>
        <row r="139">
          <cell r="A139" t="str">
            <v>Увелич. стоимости матер. запасов</v>
          </cell>
          <cell r="B139" t="str">
            <v>056</v>
          </cell>
          <cell r="C139" t="str">
            <v>07</v>
          </cell>
          <cell r="D139" t="str">
            <v>04</v>
          </cell>
          <cell r="E139" t="str">
            <v>4279902</v>
          </cell>
          <cell r="F139" t="str">
            <v>001</v>
          </cell>
          <cell r="G139">
            <v>340</v>
          </cell>
          <cell r="H139">
            <v>90</v>
          </cell>
        </row>
        <row r="142">
          <cell r="A142" t="str">
            <v>Заработная плата</v>
          </cell>
          <cell r="B142" t="str">
            <v>056</v>
          </cell>
          <cell r="C142" t="str">
            <v>07</v>
          </cell>
          <cell r="D142" t="str">
            <v>04</v>
          </cell>
          <cell r="E142" t="str">
            <v>4279902</v>
          </cell>
          <cell r="F142" t="str">
            <v>001</v>
          </cell>
          <cell r="G142">
            <v>211</v>
          </cell>
          <cell r="H142">
            <v>7258.9</v>
          </cell>
        </row>
        <row r="143">
          <cell r="A143" t="str">
            <v>Прочие выплаты</v>
          </cell>
          <cell r="B143" t="str">
            <v>056</v>
          </cell>
          <cell r="C143" t="str">
            <v>07</v>
          </cell>
          <cell r="D143" t="str">
            <v>04</v>
          </cell>
          <cell r="E143" t="str">
            <v>4279902</v>
          </cell>
          <cell r="F143" t="str">
            <v>001</v>
          </cell>
          <cell r="G143">
            <v>212</v>
          </cell>
          <cell r="H143">
            <v>59.400000000000006</v>
          </cell>
        </row>
        <row r="144">
          <cell r="A144" t="str">
            <v>Начисления на оплату труда</v>
          </cell>
          <cell r="B144" t="str">
            <v>056</v>
          </cell>
          <cell r="C144" t="str">
            <v>07</v>
          </cell>
          <cell r="D144" t="str">
            <v>04</v>
          </cell>
          <cell r="E144" t="str">
            <v>4279902</v>
          </cell>
          <cell r="F144" t="str">
            <v>001</v>
          </cell>
          <cell r="G144">
            <v>213</v>
          </cell>
          <cell r="H144">
            <v>2192.1999999999998</v>
          </cell>
        </row>
        <row r="145">
          <cell r="A145" t="str">
            <v xml:space="preserve">Оплата услуг связи </v>
          </cell>
          <cell r="B145" t="str">
            <v>056</v>
          </cell>
          <cell r="C145" t="str">
            <v>07</v>
          </cell>
          <cell r="D145" t="str">
            <v>04</v>
          </cell>
          <cell r="E145" t="str">
            <v>4279902</v>
          </cell>
          <cell r="F145" t="str">
            <v>001</v>
          </cell>
          <cell r="G145">
            <v>221</v>
          </cell>
          <cell r="H145">
            <v>15</v>
          </cell>
        </row>
        <row r="146">
          <cell r="A146" t="str">
            <v>Транспортные услуги</v>
          </cell>
          <cell r="B146" t="str">
            <v>056</v>
          </cell>
          <cell r="C146" t="str">
            <v>07</v>
          </cell>
          <cell r="D146" t="str">
            <v>04</v>
          </cell>
          <cell r="E146" t="str">
            <v>4279902</v>
          </cell>
          <cell r="F146" t="str">
            <v>001</v>
          </cell>
          <cell r="G146">
            <v>222</v>
          </cell>
          <cell r="H146">
            <v>25</v>
          </cell>
        </row>
        <row r="147">
          <cell r="A147" t="str">
            <v>Коммунальные услуги</v>
          </cell>
          <cell r="B147" t="str">
            <v>056</v>
          </cell>
          <cell r="C147" t="str">
            <v>07</v>
          </cell>
          <cell r="D147" t="str">
            <v>04</v>
          </cell>
          <cell r="E147" t="str">
            <v>4279902</v>
          </cell>
          <cell r="F147" t="str">
            <v>001</v>
          </cell>
          <cell r="G147">
            <v>223</v>
          </cell>
          <cell r="H147">
            <v>78</v>
          </cell>
        </row>
        <row r="148">
          <cell r="A148" t="str">
            <v>Аренда помещения</v>
          </cell>
          <cell r="B148" t="str">
            <v>056</v>
          </cell>
          <cell r="C148" t="str">
            <v>07</v>
          </cell>
          <cell r="D148" t="str">
            <v>04</v>
          </cell>
          <cell r="E148" t="str">
            <v>4279902</v>
          </cell>
          <cell r="F148" t="str">
            <v>001</v>
          </cell>
          <cell r="G148">
            <v>224</v>
          </cell>
          <cell r="H148">
            <v>3</v>
          </cell>
        </row>
        <row r="149">
          <cell r="A149" t="str">
            <v>Услуги по содерж. имущества</v>
          </cell>
          <cell r="B149" t="str">
            <v>056</v>
          </cell>
          <cell r="C149" t="str">
            <v>07</v>
          </cell>
          <cell r="D149" t="str">
            <v>04</v>
          </cell>
          <cell r="E149" t="str">
            <v>4279902</v>
          </cell>
          <cell r="F149" t="str">
            <v>001</v>
          </cell>
          <cell r="G149">
            <v>225</v>
          </cell>
          <cell r="H149">
            <v>10</v>
          </cell>
        </row>
        <row r="150">
          <cell r="A150" t="str">
            <v>Прочие услуги</v>
          </cell>
          <cell r="B150" t="str">
            <v>056</v>
          </cell>
          <cell r="C150" t="str">
            <v>07</v>
          </cell>
          <cell r="D150" t="str">
            <v>04</v>
          </cell>
          <cell r="E150" t="str">
            <v>4279902</v>
          </cell>
          <cell r="F150" t="str">
            <v>001</v>
          </cell>
          <cell r="G150">
            <v>226</v>
          </cell>
          <cell r="H150">
            <v>195</v>
          </cell>
        </row>
        <row r="151">
          <cell r="A151" t="str">
            <v xml:space="preserve">Прочие расходы </v>
          </cell>
          <cell r="B151" t="str">
            <v>056</v>
          </cell>
          <cell r="C151" t="str">
            <v>07</v>
          </cell>
          <cell r="D151" t="str">
            <v>04</v>
          </cell>
          <cell r="E151" t="str">
            <v>4279902</v>
          </cell>
          <cell r="F151" t="str">
            <v>001</v>
          </cell>
          <cell r="G151">
            <v>290</v>
          </cell>
          <cell r="H151">
            <v>587.9</v>
          </cell>
        </row>
        <row r="152">
          <cell r="A152" t="str">
            <v xml:space="preserve">Прочие расходы </v>
          </cell>
          <cell r="B152" t="str">
            <v>056</v>
          </cell>
          <cell r="C152" t="str">
            <v>07</v>
          </cell>
          <cell r="D152" t="str">
            <v>04</v>
          </cell>
          <cell r="E152" t="str">
            <v>4279502</v>
          </cell>
          <cell r="F152" t="str">
            <v>001</v>
          </cell>
          <cell r="G152" t="str">
            <v>290</v>
          </cell>
          <cell r="H152">
            <v>1.1000000000000001</v>
          </cell>
        </row>
        <row r="153">
          <cell r="A153" t="str">
            <v>Увелич. стоимости осн. средств</v>
          </cell>
          <cell r="B153" t="str">
            <v>056</v>
          </cell>
          <cell r="C153" t="str">
            <v>07</v>
          </cell>
          <cell r="D153" t="str">
            <v>04</v>
          </cell>
          <cell r="E153" t="str">
            <v>4279902</v>
          </cell>
          <cell r="F153" t="str">
            <v>001</v>
          </cell>
          <cell r="G153">
            <v>310</v>
          </cell>
          <cell r="H153">
            <v>10</v>
          </cell>
        </row>
        <row r="154">
          <cell r="A154" t="str">
            <v>Увелич. стоимости матер. запасов</v>
          </cell>
          <cell r="B154" t="str">
            <v>056</v>
          </cell>
          <cell r="C154" t="str">
            <v>07</v>
          </cell>
          <cell r="D154" t="str">
            <v>04</v>
          </cell>
          <cell r="E154" t="str">
            <v>4279902</v>
          </cell>
          <cell r="F154" t="str">
            <v>001</v>
          </cell>
          <cell r="G154">
            <v>340</v>
          </cell>
          <cell r="H154">
            <v>36</v>
          </cell>
        </row>
        <row r="157">
          <cell r="A157" t="str">
            <v>Заработная плата</v>
          </cell>
          <cell r="B157" t="str">
            <v>056</v>
          </cell>
          <cell r="C157" t="str">
            <v>07</v>
          </cell>
          <cell r="D157" t="str">
            <v>04</v>
          </cell>
          <cell r="E157" t="str">
            <v>4279902</v>
          </cell>
          <cell r="F157" t="str">
            <v>001</v>
          </cell>
          <cell r="G157">
            <v>211</v>
          </cell>
        </row>
        <row r="158">
          <cell r="A158" t="str">
            <v>Прочие выплаты</v>
          </cell>
          <cell r="B158" t="str">
            <v>056</v>
          </cell>
          <cell r="C158" t="str">
            <v>07</v>
          </cell>
          <cell r="D158" t="str">
            <v>04</v>
          </cell>
          <cell r="E158" t="str">
            <v>4279902</v>
          </cell>
          <cell r="F158" t="str">
            <v>001</v>
          </cell>
          <cell r="G158">
            <v>212</v>
          </cell>
        </row>
        <row r="159">
          <cell r="A159" t="str">
            <v>Начисления на оплату труда</v>
          </cell>
          <cell r="B159" t="str">
            <v>056</v>
          </cell>
          <cell r="C159" t="str">
            <v>07</v>
          </cell>
          <cell r="D159" t="str">
            <v>04</v>
          </cell>
          <cell r="E159" t="str">
            <v>4279902</v>
          </cell>
          <cell r="F159" t="str">
            <v>001</v>
          </cell>
          <cell r="G159">
            <v>213</v>
          </cell>
        </row>
        <row r="160">
          <cell r="A160" t="str">
            <v xml:space="preserve">Оплата услуг связи </v>
          </cell>
          <cell r="B160" t="str">
            <v>056</v>
          </cell>
          <cell r="C160" t="str">
            <v>07</v>
          </cell>
          <cell r="D160" t="str">
            <v>04</v>
          </cell>
          <cell r="E160" t="str">
            <v>4279902</v>
          </cell>
          <cell r="F160" t="str">
            <v>001</v>
          </cell>
          <cell r="G160">
            <v>221</v>
          </cell>
        </row>
        <row r="161">
          <cell r="A161" t="str">
            <v>Транспортные услуги</v>
          </cell>
          <cell r="B161" t="str">
            <v>056</v>
          </cell>
          <cell r="C161" t="str">
            <v>07</v>
          </cell>
          <cell r="D161" t="str">
            <v>04</v>
          </cell>
          <cell r="E161" t="str">
            <v>4279902</v>
          </cell>
          <cell r="F161" t="str">
            <v>001</v>
          </cell>
          <cell r="G161">
            <v>222</v>
          </cell>
        </row>
        <row r="162">
          <cell r="A162" t="str">
            <v>Коммунальные услуги</v>
          </cell>
          <cell r="B162" t="str">
            <v>056</v>
          </cell>
          <cell r="C162" t="str">
            <v>07</v>
          </cell>
          <cell r="D162" t="str">
            <v>04</v>
          </cell>
          <cell r="E162" t="str">
            <v>4279902</v>
          </cell>
          <cell r="F162" t="str">
            <v>001</v>
          </cell>
          <cell r="G162">
            <v>223</v>
          </cell>
        </row>
        <row r="163">
          <cell r="A163" t="str">
            <v>Аренда помещения</v>
          </cell>
          <cell r="B163" t="str">
            <v>056</v>
          </cell>
          <cell r="C163" t="str">
            <v>07</v>
          </cell>
          <cell r="D163" t="str">
            <v>04</v>
          </cell>
          <cell r="E163" t="str">
            <v>4279902</v>
          </cell>
          <cell r="F163" t="str">
            <v>001</v>
          </cell>
          <cell r="G163">
            <v>224</v>
          </cell>
        </row>
        <row r="164">
          <cell r="A164" t="str">
            <v>Услуги по содерж. имущества</v>
          </cell>
          <cell r="B164" t="str">
            <v>056</v>
          </cell>
          <cell r="C164" t="str">
            <v>07</v>
          </cell>
          <cell r="D164" t="str">
            <v>04</v>
          </cell>
          <cell r="E164" t="str">
            <v>4279902</v>
          </cell>
          <cell r="F164" t="str">
            <v>001</v>
          </cell>
          <cell r="G164">
            <v>225</v>
          </cell>
        </row>
        <row r="165">
          <cell r="A165" t="str">
            <v>Прочие услуги</v>
          </cell>
          <cell r="B165" t="str">
            <v>056</v>
          </cell>
          <cell r="C165" t="str">
            <v>07</v>
          </cell>
          <cell r="D165" t="str">
            <v>04</v>
          </cell>
          <cell r="E165" t="str">
            <v>4279902</v>
          </cell>
          <cell r="F165" t="str">
            <v>001</v>
          </cell>
          <cell r="G165">
            <v>226</v>
          </cell>
        </row>
        <row r="166">
          <cell r="A166" t="str">
            <v xml:space="preserve">Прочие расходы </v>
          </cell>
          <cell r="B166" t="str">
            <v>056</v>
          </cell>
          <cell r="C166" t="str">
            <v>07</v>
          </cell>
          <cell r="D166" t="str">
            <v>04</v>
          </cell>
          <cell r="E166" t="str">
            <v>4279902</v>
          </cell>
          <cell r="F166" t="str">
            <v>001</v>
          </cell>
          <cell r="G166">
            <v>290</v>
          </cell>
        </row>
        <row r="167">
          <cell r="A167" t="str">
            <v xml:space="preserve">Прочие расходы </v>
          </cell>
          <cell r="B167" t="str">
            <v>056</v>
          </cell>
          <cell r="C167" t="str">
            <v>07</v>
          </cell>
          <cell r="D167" t="str">
            <v>04</v>
          </cell>
          <cell r="E167" t="str">
            <v>4279502</v>
          </cell>
          <cell r="F167" t="str">
            <v>001</v>
          </cell>
          <cell r="G167" t="str">
            <v>290</v>
          </cell>
        </row>
        <row r="168">
          <cell r="A168" t="str">
            <v>Увелич. стоимости осн. средств</v>
          </cell>
          <cell r="B168" t="str">
            <v>056</v>
          </cell>
          <cell r="C168" t="str">
            <v>07</v>
          </cell>
          <cell r="D168" t="str">
            <v>04</v>
          </cell>
          <cell r="E168" t="str">
            <v>4279902</v>
          </cell>
          <cell r="F168" t="str">
            <v>001</v>
          </cell>
          <cell r="G168">
            <v>310</v>
          </cell>
        </row>
        <row r="169">
          <cell r="A169" t="str">
            <v>Увелич. стоимости матер. запасов</v>
          </cell>
          <cell r="B169" t="str">
            <v>056</v>
          </cell>
          <cell r="C169" t="str">
            <v>07</v>
          </cell>
          <cell r="D169" t="str">
            <v>04</v>
          </cell>
          <cell r="E169" t="str">
            <v>4279902</v>
          </cell>
          <cell r="F169" t="str">
            <v>001</v>
          </cell>
          <cell r="G169">
            <v>340</v>
          </cell>
        </row>
        <row r="172">
          <cell r="A172" t="str">
            <v>Заработная плата</v>
          </cell>
          <cell r="B172" t="str">
            <v>056</v>
          </cell>
          <cell r="C172" t="str">
            <v>07</v>
          </cell>
          <cell r="D172" t="str">
            <v>05</v>
          </cell>
          <cell r="E172" t="str">
            <v>4299901</v>
          </cell>
          <cell r="F172" t="str">
            <v>001</v>
          </cell>
          <cell r="G172">
            <v>211</v>
          </cell>
          <cell r="H172">
            <v>2296.6020000000003</v>
          </cell>
        </row>
        <row r="173">
          <cell r="A173" t="str">
            <v>Прочие выплаты</v>
          </cell>
          <cell r="B173" t="str">
            <v>056</v>
          </cell>
          <cell r="C173" t="str">
            <v>07</v>
          </cell>
          <cell r="D173" t="str">
            <v>05</v>
          </cell>
          <cell r="E173" t="str">
            <v>4299901</v>
          </cell>
          <cell r="F173" t="str">
            <v>001</v>
          </cell>
          <cell r="G173">
            <v>212</v>
          </cell>
          <cell r="H173">
            <v>2.08</v>
          </cell>
        </row>
        <row r="174">
          <cell r="A174" t="str">
            <v>Начисления на оплату труда</v>
          </cell>
          <cell r="B174" t="str">
            <v>056</v>
          </cell>
          <cell r="C174" t="str">
            <v>07</v>
          </cell>
          <cell r="D174" t="str">
            <v>05</v>
          </cell>
          <cell r="E174" t="str">
            <v>4299901</v>
          </cell>
          <cell r="F174" t="str">
            <v>001</v>
          </cell>
          <cell r="G174">
            <v>213</v>
          </cell>
          <cell r="H174">
            <v>657.625</v>
          </cell>
        </row>
        <row r="175">
          <cell r="A175" t="str">
            <v xml:space="preserve">Оплата услуг связи </v>
          </cell>
          <cell r="B175" t="str">
            <v>056</v>
          </cell>
          <cell r="C175" t="str">
            <v>07</v>
          </cell>
          <cell r="D175" t="str">
            <v>05</v>
          </cell>
          <cell r="E175" t="str">
            <v>4299901</v>
          </cell>
          <cell r="F175" t="str">
            <v>001</v>
          </cell>
          <cell r="G175">
            <v>221</v>
          </cell>
          <cell r="H175">
            <v>40</v>
          </cell>
        </row>
        <row r="176">
          <cell r="A176" t="str">
            <v>Транспортные услуги</v>
          </cell>
          <cell r="B176" t="str">
            <v>056</v>
          </cell>
          <cell r="C176" t="str">
            <v>07</v>
          </cell>
          <cell r="D176" t="str">
            <v>05</v>
          </cell>
          <cell r="E176" t="str">
            <v>4299901</v>
          </cell>
          <cell r="F176" t="str">
            <v>001</v>
          </cell>
          <cell r="G176">
            <v>222</v>
          </cell>
          <cell r="H176">
            <v>11.25</v>
          </cell>
        </row>
        <row r="177">
          <cell r="A177" t="str">
            <v>Коммунальные услуги</v>
          </cell>
          <cell r="B177" t="str">
            <v>056</v>
          </cell>
          <cell r="C177" t="str">
            <v>07</v>
          </cell>
          <cell r="D177" t="str">
            <v>05</v>
          </cell>
          <cell r="E177" t="str">
            <v>4299901</v>
          </cell>
          <cell r="F177" t="str">
            <v>001</v>
          </cell>
          <cell r="G177">
            <v>223</v>
          </cell>
          <cell r="H177">
            <v>0</v>
          </cell>
        </row>
        <row r="178">
          <cell r="A178" t="str">
            <v>Аренда помещения</v>
          </cell>
          <cell r="B178" t="str">
            <v>056</v>
          </cell>
          <cell r="C178" t="str">
            <v>07</v>
          </cell>
          <cell r="D178" t="str">
            <v>05</v>
          </cell>
          <cell r="E178" t="str">
            <v>4299901</v>
          </cell>
          <cell r="F178" t="str">
            <v>001</v>
          </cell>
          <cell r="G178">
            <v>224</v>
          </cell>
          <cell r="H178">
            <v>0</v>
          </cell>
        </row>
        <row r="179">
          <cell r="A179" t="str">
            <v>Услуги по содерж. имущества</v>
          </cell>
          <cell r="B179" t="str">
            <v>056</v>
          </cell>
          <cell r="C179" t="str">
            <v>07</v>
          </cell>
          <cell r="D179" t="str">
            <v>05</v>
          </cell>
          <cell r="E179" t="str">
            <v>4299901</v>
          </cell>
          <cell r="F179" t="str">
            <v>001</v>
          </cell>
          <cell r="G179">
            <v>225</v>
          </cell>
          <cell r="H179">
            <v>3.1</v>
          </cell>
        </row>
        <row r="180">
          <cell r="A180" t="str">
            <v>Прочие услуги</v>
          </cell>
          <cell r="B180" t="str">
            <v>056</v>
          </cell>
          <cell r="C180" t="str">
            <v>07</v>
          </cell>
          <cell r="D180" t="str">
            <v>05</v>
          </cell>
          <cell r="E180" t="str">
            <v>4299901</v>
          </cell>
          <cell r="F180" t="str">
            <v>001</v>
          </cell>
          <cell r="G180">
            <v>226</v>
          </cell>
          <cell r="H180">
            <v>275.68299999999999</v>
          </cell>
        </row>
        <row r="181">
          <cell r="A181" t="str">
            <v xml:space="preserve">Прочие расходы </v>
          </cell>
          <cell r="B181" t="str">
            <v>056</v>
          </cell>
          <cell r="C181" t="str">
            <v>07</v>
          </cell>
          <cell r="D181" t="str">
            <v>05</v>
          </cell>
          <cell r="E181" t="str">
            <v>4299901</v>
          </cell>
          <cell r="F181" t="str">
            <v>001</v>
          </cell>
          <cell r="G181">
            <v>290</v>
          </cell>
          <cell r="H181">
            <v>3.6</v>
          </cell>
        </row>
        <row r="182">
          <cell r="A182" t="str">
            <v xml:space="preserve">Прочие расходы </v>
          </cell>
          <cell r="B182" t="str">
            <v>056</v>
          </cell>
          <cell r="C182" t="str">
            <v>07</v>
          </cell>
          <cell r="D182" t="str">
            <v>05</v>
          </cell>
          <cell r="E182" t="str">
            <v>4299501</v>
          </cell>
          <cell r="F182" t="str">
            <v>001</v>
          </cell>
          <cell r="G182" t="str">
            <v>290</v>
          </cell>
          <cell r="H182">
            <v>4.3599999999999994</v>
          </cell>
        </row>
        <row r="183">
          <cell r="A183" t="str">
            <v>Увелич. стоимости осн. средств</v>
          </cell>
          <cell r="B183" t="str">
            <v>056</v>
          </cell>
          <cell r="C183" t="str">
            <v>07</v>
          </cell>
          <cell r="D183" t="str">
            <v>05</v>
          </cell>
          <cell r="E183" t="str">
            <v>4299901</v>
          </cell>
          <cell r="F183" t="str">
            <v>001</v>
          </cell>
          <cell r="G183">
            <v>310</v>
          </cell>
          <cell r="H183">
            <v>0</v>
          </cell>
        </row>
        <row r="184">
          <cell r="A184" t="str">
            <v>Увелич. стоимости матер. запасов</v>
          </cell>
          <cell r="B184" t="str">
            <v>056</v>
          </cell>
          <cell r="C184" t="str">
            <v>07</v>
          </cell>
          <cell r="D184" t="str">
            <v>05</v>
          </cell>
          <cell r="E184" t="str">
            <v>4299901</v>
          </cell>
          <cell r="F184" t="str">
            <v>001</v>
          </cell>
          <cell r="G184">
            <v>340</v>
          </cell>
          <cell r="H184">
            <v>61</v>
          </cell>
        </row>
        <row r="186">
          <cell r="H186">
            <v>756</v>
          </cell>
        </row>
        <row r="187">
          <cell r="B187" t="str">
            <v>056</v>
          </cell>
          <cell r="C187" t="str">
            <v>07</v>
          </cell>
          <cell r="D187" t="str">
            <v>09</v>
          </cell>
          <cell r="E187" t="str">
            <v>4369300</v>
          </cell>
          <cell r="F187" t="str">
            <v>350</v>
          </cell>
          <cell r="G187" t="str">
            <v>290</v>
          </cell>
          <cell r="H187">
            <v>2200</v>
          </cell>
        </row>
        <row r="189">
          <cell r="A189" t="str">
            <v>Заработная плата</v>
          </cell>
          <cell r="B189" t="str">
            <v>056</v>
          </cell>
          <cell r="C189" t="str">
            <v>07</v>
          </cell>
          <cell r="G189">
            <v>211</v>
          </cell>
        </row>
        <row r="190">
          <cell r="A190" t="str">
            <v>Прочие выплаты</v>
          </cell>
          <cell r="B190" t="str">
            <v>056</v>
          </cell>
          <cell r="C190" t="str">
            <v>07</v>
          </cell>
          <cell r="G190">
            <v>212</v>
          </cell>
        </row>
        <row r="191">
          <cell r="A191" t="str">
            <v>Начисления на оплату труда</v>
          </cell>
          <cell r="B191" t="str">
            <v>056</v>
          </cell>
          <cell r="C191" t="str">
            <v>07</v>
          </cell>
          <cell r="G191">
            <v>213</v>
          </cell>
        </row>
        <row r="192">
          <cell r="A192" t="str">
            <v xml:space="preserve">Оплата услуг связи </v>
          </cell>
          <cell r="B192" t="str">
            <v>056</v>
          </cell>
          <cell r="C192" t="str">
            <v>07</v>
          </cell>
          <cell r="G192">
            <v>221</v>
          </cell>
        </row>
        <row r="193">
          <cell r="A193" t="str">
            <v>Транспортные услуги</v>
          </cell>
          <cell r="B193" t="str">
            <v>056</v>
          </cell>
          <cell r="C193" t="str">
            <v>07</v>
          </cell>
          <cell r="G193">
            <v>222</v>
          </cell>
        </row>
        <row r="194">
          <cell r="A194" t="str">
            <v>Коммунальные услуги</v>
          </cell>
          <cell r="B194" t="str">
            <v>056</v>
          </cell>
          <cell r="C194" t="str">
            <v>07</v>
          </cell>
          <cell r="G194">
            <v>223</v>
          </cell>
        </row>
        <row r="195">
          <cell r="A195" t="str">
            <v>Аренда помещения</v>
          </cell>
          <cell r="B195" t="str">
            <v>056</v>
          </cell>
          <cell r="C195" t="str">
            <v>07</v>
          </cell>
          <cell r="G195">
            <v>224</v>
          </cell>
        </row>
        <row r="196">
          <cell r="A196" t="str">
            <v>Услуги по содерж. имущества</v>
          </cell>
          <cell r="B196" t="str">
            <v>056</v>
          </cell>
          <cell r="C196" t="str">
            <v>07</v>
          </cell>
          <cell r="G196">
            <v>225</v>
          </cell>
        </row>
        <row r="197">
          <cell r="A197" t="str">
            <v>Прочие услуги</v>
          </cell>
          <cell r="B197" t="str">
            <v>056</v>
          </cell>
          <cell r="C197" t="str">
            <v>07</v>
          </cell>
          <cell r="G197">
            <v>226</v>
          </cell>
        </row>
        <row r="198">
          <cell r="A198" t="str">
            <v xml:space="preserve">Прочие расходы </v>
          </cell>
          <cell r="B198" t="str">
            <v>056</v>
          </cell>
          <cell r="C198" t="str">
            <v>07</v>
          </cell>
          <cell r="G198">
            <v>290</v>
          </cell>
        </row>
        <row r="199">
          <cell r="A199" t="str">
            <v xml:space="preserve">Прочие расходы </v>
          </cell>
          <cell r="B199" t="str">
            <v>056</v>
          </cell>
          <cell r="C199" t="str">
            <v>07</v>
          </cell>
          <cell r="G199" t="str">
            <v>290</v>
          </cell>
        </row>
        <row r="200">
          <cell r="A200" t="str">
            <v>Увелич. стоимости осн. средств</v>
          </cell>
          <cell r="B200" t="str">
            <v>056</v>
          </cell>
          <cell r="C200" t="str">
            <v>07</v>
          </cell>
          <cell r="G200">
            <v>310</v>
          </cell>
        </row>
        <row r="201">
          <cell r="A201" t="str">
            <v>Увелич. стоимости матер. запасов</v>
          </cell>
          <cell r="B201" t="str">
            <v>056</v>
          </cell>
          <cell r="C201" t="str">
            <v>07</v>
          </cell>
          <cell r="G201">
            <v>340</v>
          </cell>
        </row>
        <row r="204">
          <cell r="A204" t="str">
            <v xml:space="preserve">Заработная плата </v>
          </cell>
          <cell r="B204" t="str">
            <v>056</v>
          </cell>
          <cell r="C204" t="str">
            <v>08</v>
          </cell>
          <cell r="D204" t="str">
            <v>01</v>
          </cell>
          <cell r="E204">
            <v>4409901</v>
          </cell>
          <cell r="F204" t="str">
            <v>001</v>
          </cell>
          <cell r="G204">
            <v>211</v>
          </cell>
          <cell r="H204">
            <v>17145.8</v>
          </cell>
        </row>
        <row r="205">
          <cell r="A205" t="str">
            <v>Прочие выплаты</v>
          </cell>
          <cell r="B205" t="str">
            <v>056</v>
          </cell>
          <cell r="C205" t="str">
            <v>08</v>
          </cell>
          <cell r="D205" t="str">
            <v>01</v>
          </cell>
          <cell r="E205">
            <v>4409901</v>
          </cell>
          <cell r="F205" t="str">
            <v>001</v>
          </cell>
          <cell r="G205">
            <v>212</v>
          </cell>
          <cell r="H205">
            <v>180</v>
          </cell>
        </row>
        <row r="206">
          <cell r="A206" t="str">
            <v>Начисления на оплату труда</v>
          </cell>
          <cell r="B206" t="str">
            <v>056</v>
          </cell>
          <cell r="C206" t="str">
            <v>08</v>
          </cell>
          <cell r="D206" t="str">
            <v>01</v>
          </cell>
          <cell r="E206">
            <v>4409901</v>
          </cell>
          <cell r="F206" t="str">
            <v>001</v>
          </cell>
          <cell r="G206">
            <v>213</v>
          </cell>
          <cell r="H206">
            <v>4883.8999999999996</v>
          </cell>
        </row>
        <row r="207">
          <cell r="A207" t="str">
            <v xml:space="preserve">Оплата услуг связи </v>
          </cell>
          <cell r="B207" t="str">
            <v>056</v>
          </cell>
          <cell r="C207" t="str">
            <v>08</v>
          </cell>
          <cell r="D207" t="str">
            <v>01</v>
          </cell>
          <cell r="E207">
            <v>4409901</v>
          </cell>
          <cell r="F207" t="str">
            <v>001</v>
          </cell>
          <cell r="G207">
            <v>221</v>
          </cell>
          <cell r="H207">
            <v>157</v>
          </cell>
        </row>
        <row r="208">
          <cell r="A208" t="str">
            <v>Транспортные услуги</v>
          </cell>
          <cell r="B208" t="str">
            <v>056</v>
          </cell>
          <cell r="C208" t="str">
            <v>08</v>
          </cell>
          <cell r="D208" t="str">
            <v>01</v>
          </cell>
          <cell r="E208">
            <v>4409901</v>
          </cell>
          <cell r="F208" t="str">
            <v>001</v>
          </cell>
          <cell r="G208">
            <v>222</v>
          </cell>
          <cell r="H208">
            <v>890</v>
          </cell>
        </row>
        <row r="209">
          <cell r="A209" t="str">
            <v>Коммунальные услуги</v>
          </cell>
          <cell r="B209" t="str">
            <v>056</v>
          </cell>
          <cell r="C209" t="str">
            <v>08</v>
          </cell>
          <cell r="D209" t="str">
            <v>01</v>
          </cell>
          <cell r="E209">
            <v>4409901</v>
          </cell>
          <cell r="F209" t="str">
            <v>001</v>
          </cell>
          <cell r="G209">
            <v>223</v>
          </cell>
          <cell r="H209">
            <v>121</v>
          </cell>
        </row>
        <row r="210">
          <cell r="A210" t="str">
            <v>Аренда помещения</v>
          </cell>
          <cell r="B210" t="str">
            <v>056</v>
          </cell>
          <cell r="C210" t="str">
            <v>08</v>
          </cell>
          <cell r="D210" t="str">
            <v>01</v>
          </cell>
          <cell r="E210">
            <v>4409901</v>
          </cell>
          <cell r="F210" t="str">
            <v>001</v>
          </cell>
          <cell r="G210">
            <v>224</v>
          </cell>
        </row>
        <row r="211">
          <cell r="A211" t="str">
            <v>Услуги по содерж. имущества</v>
          </cell>
          <cell r="B211" t="str">
            <v>056</v>
          </cell>
          <cell r="C211" t="str">
            <v>08</v>
          </cell>
          <cell r="D211" t="str">
            <v>01</v>
          </cell>
          <cell r="E211">
            <v>4409901</v>
          </cell>
          <cell r="F211" t="str">
            <v>001</v>
          </cell>
          <cell r="G211">
            <v>225</v>
          </cell>
          <cell r="H211">
            <v>289</v>
          </cell>
        </row>
        <row r="212">
          <cell r="A212" t="str">
            <v>Прочие услуги</v>
          </cell>
          <cell r="B212" t="str">
            <v>056</v>
          </cell>
          <cell r="C212" t="str">
            <v>08</v>
          </cell>
          <cell r="D212" t="str">
            <v>01</v>
          </cell>
          <cell r="E212">
            <v>4409901</v>
          </cell>
          <cell r="F212" t="str">
            <v>001</v>
          </cell>
          <cell r="G212">
            <v>226</v>
          </cell>
          <cell r="H212">
            <v>11548.27</v>
          </cell>
        </row>
        <row r="213">
          <cell r="A213" t="str">
            <v xml:space="preserve">Прочие расходы </v>
          </cell>
          <cell r="B213" t="str">
            <v>056</v>
          </cell>
          <cell r="C213" t="str">
            <v>08</v>
          </cell>
          <cell r="D213" t="str">
            <v>01</v>
          </cell>
          <cell r="E213">
            <v>4409901</v>
          </cell>
          <cell r="F213" t="str">
            <v>001</v>
          </cell>
          <cell r="G213">
            <v>290</v>
          </cell>
          <cell r="H213">
            <v>19.399999999999999</v>
          </cell>
        </row>
        <row r="214">
          <cell r="A214" t="str">
            <v xml:space="preserve">Прочие расходы </v>
          </cell>
          <cell r="B214" t="str">
            <v>056</v>
          </cell>
          <cell r="C214" t="str">
            <v>08</v>
          </cell>
          <cell r="D214" t="str">
            <v>01</v>
          </cell>
          <cell r="E214" t="str">
            <v>4409500</v>
          </cell>
          <cell r="F214" t="str">
            <v>001</v>
          </cell>
          <cell r="G214" t="str">
            <v>290</v>
          </cell>
          <cell r="H214">
            <v>54.459999999999994</v>
          </cell>
        </row>
        <row r="215">
          <cell r="A215" t="str">
            <v>Увелич. стоимости осн. средств</v>
          </cell>
          <cell r="B215" t="str">
            <v>056</v>
          </cell>
          <cell r="C215" t="str">
            <v>08</v>
          </cell>
          <cell r="D215" t="str">
            <v>01</v>
          </cell>
          <cell r="E215">
            <v>4409901</v>
          </cell>
          <cell r="F215" t="str">
            <v>001</v>
          </cell>
          <cell r="G215">
            <v>310</v>
          </cell>
          <cell r="H215">
            <v>720</v>
          </cell>
        </row>
        <row r="216">
          <cell r="A216" t="str">
            <v>Увелич. стоимости матер. запасов</v>
          </cell>
          <cell r="B216" t="str">
            <v>056</v>
          </cell>
          <cell r="C216" t="str">
            <v>08</v>
          </cell>
          <cell r="D216" t="str">
            <v>01</v>
          </cell>
          <cell r="E216">
            <v>4409901</v>
          </cell>
          <cell r="F216" t="str">
            <v>001</v>
          </cell>
          <cell r="G216">
            <v>340</v>
          </cell>
          <cell r="H216">
            <v>730</v>
          </cell>
        </row>
        <row r="217">
          <cell r="E217" t="str">
            <v>4400000</v>
          </cell>
        </row>
        <row r="219">
          <cell r="A219" t="str">
            <v xml:space="preserve">Заработная плата </v>
          </cell>
          <cell r="B219" t="str">
            <v>056</v>
          </cell>
          <cell r="C219" t="str">
            <v>08</v>
          </cell>
          <cell r="D219" t="str">
            <v>01</v>
          </cell>
          <cell r="E219">
            <v>4409900</v>
          </cell>
          <cell r="F219" t="str">
            <v>001</v>
          </cell>
          <cell r="G219">
            <v>211</v>
          </cell>
          <cell r="H219">
            <v>8569.7999999999993</v>
          </cell>
        </row>
        <row r="220">
          <cell r="A220" t="str">
            <v>Прочие выплаты</v>
          </cell>
          <cell r="B220" t="str">
            <v>056</v>
          </cell>
          <cell r="C220" t="str">
            <v>08</v>
          </cell>
          <cell r="D220" t="str">
            <v>01</v>
          </cell>
          <cell r="E220">
            <v>4409900</v>
          </cell>
          <cell r="F220" t="str">
            <v>001</v>
          </cell>
          <cell r="G220">
            <v>212</v>
          </cell>
        </row>
        <row r="221">
          <cell r="A221" t="str">
            <v>Начисления на оплату труда</v>
          </cell>
          <cell r="B221" t="str">
            <v>056</v>
          </cell>
          <cell r="C221" t="str">
            <v>08</v>
          </cell>
          <cell r="D221" t="str">
            <v>01</v>
          </cell>
          <cell r="E221">
            <v>4409900</v>
          </cell>
          <cell r="F221" t="str">
            <v>001</v>
          </cell>
          <cell r="G221">
            <v>213</v>
          </cell>
          <cell r="H221">
            <v>2588.1</v>
          </cell>
        </row>
        <row r="222">
          <cell r="A222" t="str">
            <v xml:space="preserve">Оплата услуг связи </v>
          </cell>
          <cell r="B222" t="str">
            <v>056</v>
          </cell>
          <cell r="C222" t="str">
            <v>08</v>
          </cell>
          <cell r="D222" t="str">
            <v>01</v>
          </cell>
          <cell r="E222">
            <v>4409900</v>
          </cell>
          <cell r="F222" t="str">
            <v>001</v>
          </cell>
          <cell r="G222">
            <v>221</v>
          </cell>
          <cell r="H222">
            <v>16</v>
          </cell>
        </row>
        <row r="223">
          <cell r="A223" t="str">
            <v>Транспортные услуги</v>
          </cell>
          <cell r="B223" t="str">
            <v>056</v>
          </cell>
          <cell r="C223" t="str">
            <v>08</v>
          </cell>
          <cell r="D223" t="str">
            <v>01</v>
          </cell>
          <cell r="E223">
            <v>4409900</v>
          </cell>
          <cell r="F223" t="str">
            <v>001</v>
          </cell>
          <cell r="G223">
            <v>222</v>
          </cell>
        </row>
        <row r="224">
          <cell r="A224" t="str">
            <v>Коммунальные услуги</v>
          </cell>
          <cell r="B224" t="str">
            <v>056</v>
          </cell>
          <cell r="C224" t="str">
            <v>08</v>
          </cell>
          <cell r="D224" t="str">
            <v>01</v>
          </cell>
          <cell r="E224">
            <v>4409900</v>
          </cell>
          <cell r="F224" t="str">
            <v>001</v>
          </cell>
          <cell r="G224">
            <v>223</v>
          </cell>
          <cell r="H224">
            <v>237</v>
          </cell>
        </row>
        <row r="225">
          <cell r="A225" t="str">
            <v>Аренда помещения</v>
          </cell>
          <cell r="B225" t="str">
            <v>056</v>
          </cell>
          <cell r="C225" t="str">
            <v>08</v>
          </cell>
          <cell r="D225" t="str">
            <v>01</v>
          </cell>
          <cell r="E225">
            <v>4409900</v>
          </cell>
          <cell r="F225" t="str">
            <v>001</v>
          </cell>
          <cell r="G225">
            <v>224</v>
          </cell>
        </row>
        <row r="226">
          <cell r="A226" t="str">
            <v>Услуги по содерж. имущества</v>
          </cell>
          <cell r="B226" t="str">
            <v>056</v>
          </cell>
          <cell r="C226" t="str">
            <v>08</v>
          </cell>
          <cell r="D226" t="str">
            <v>01</v>
          </cell>
          <cell r="E226">
            <v>4409900</v>
          </cell>
          <cell r="F226" t="str">
            <v>001</v>
          </cell>
          <cell r="G226">
            <v>225</v>
          </cell>
          <cell r="H226">
            <v>22304.9</v>
          </cell>
        </row>
        <row r="227">
          <cell r="A227" t="str">
            <v>Прочие услуги</v>
          </cell>
          <cell r="B227" t="str">
            <v>056</v>
          </cell>
          <cell r="C227" t="str">
            <v>08</v>
          </cell>
          <cell r="D227" t="str">
            <v>01</v>
          </cell>
          <cell r="E227">
            <v>4409900</v>
          </cell>
          <cell r="F227" t="str">
            <v>001</v>
          </cell>
          <cell r="G227">
            <v>226</v>
          </cell>
          <cell r="H227">
            <v>505</v>
          </cell>
        </row>
        <row r="228">
          <cell r="A228" t="str">
            <v xml:space="preserve">Прочие расходы </v>
          </cell>
          <cell r="B228" t="str">
            <v>056</v>
          </cell>
          <cell r="C228" t="str">
            <v>08</v>
          </cell>
          <cell r="D228" t="str">
            <v>01</v>
          </cell>
          <cell r="E228">
            <v>4409900</v>
          </cell>
          <cell r="F228" t="str">
            <v>001</v>
          </cell>
          <cell r="G228">
            <v>290</v>
          </cell>
          <cell r="H228">
            <v>14.8</v>
          </cell>
        </row>
        <row r="229">
          <cell r="A229" t="str">
            <v xml:space="preserve">Прочие расходы </v>
          </cell>
          <cell r="B229" t="str">
            <v>056</v>
          </cell>
          <cell r="C229" t="str">
            <v>08</v>
          </cell>
          <cell r="D229" t="str">
            <v>01</v>
          </cell>
          <cell r="E229">
            <v>4409500</v>
          </cell>
          <cell r="F229" t="str">
            <v>001</v>
          </cell>
          <cell r="G229" t="str">
            <v>290</v>
          </cell>
          <cell r="H229">
            <v>298.60000000000002</v>
          </cell>
        </row>
        <row r="230">
          <cell r="A230" t="str">
            <v>Увелич. стоимости осн. средств</v>
          </cell>
          <cell r="B230" t="str">
            <v>056</v>
          </cell>
          <cell r="C230" t="str">
            <v>08</v>
          </cell>
          <cell r="D230" t="str">
            <v>01</v>
          </cell>
          <cell r="E230">
            <v>4409900</v>
          </cell>
          <cell r="F230" t="str">
            <v>001</v>
          </cell>
          <cell r="G230">
            <v>310</v>
          </cell>
        </row>
        <row r="231">
          <cell r="A231" t="str">
            <v>Увелич. стоимости матер. запасов</v>
          </cell>
          <cell r="B231" t="str">
            <v>056</v>
          </cell>
          <cell r="C231" t="str">
            <v>08</v>
          </cell>
          <cell r="D231" t="str">
            <v>01</v>
          </cell>
          <cell r="E231">
            <v>4409900</v>
          </cell>
          <cell r="F231" t="str">
            <v>001</v>
          </cell>
          <cell r="G231">
            <v>340</v>
          </cell>
        </row>
        <row r="234">
          <cell r="A234" t="str">
            <v xml:space="preserve">Заработная плата </v>
          </cell>
          <cell r="B234" t="str">
            <v>056</v>
          </cell>
          <cell r="C234" t="str">
            <v>08</v>
          </cell>
          <cell r="D234" t="str">
            <v>01</v>
          </cell>
          <cell r="E234" t="str">
            <v>4400000</v>
          </cell>
          <cell r="F234" t="str">
            <v>001</v>
          </cell>
          <cell r="G234">
            <v>211</v>
          </cell>
        </row>
        <row r="235">
          <cell r="A235" t="str">
            <v>Прочие выплаты</v>
          </cell>
          <cell r="B235" t="str">
            <v>056</v>
          </cell>
          <cell r="C235" t="str">
            <v>08</v>
          </cell>
          <cell r="D235" t="str">
            <v>01</v>
          </cell>
          <cell r="E235" t="str">
            <v>4400000</v>
          </cell>
          <cell r="F235" t="str">
            <v>001</v>
          </cell>
          <cell r="G235">
            <v>212</v>
          </cell>
        </row>
        <row r="236">
          <cell r="A236" t="str">
            <v>Начисления на оплату труда</v>
          </cell>
          <cell r="B236" t="str">
            <v>056</v>
          </cell>
          <cell r="C236" t="str">
            <v>08</v>
          </cell>
          <cell r="D236" t="str">
            <v>01</v>
          </cell>
          <cell r="E236" t="str">
            <v>4400000</v>
          </cell>
          <cell r="F236" t="str">
            <v>001</v>
          </cell>
          <cell r="G236">
            <v>213</v>
          </cell>
        </row>
        <row r="237">
          <cell r="A237" t="str">
            <v xml:space="preserve">Оплата услуг связи </v>
          </cell>
          <cell r="B237" t="str">
            <v>056</v>
          </cell>
          <cell r="C237" t="str">
            <v>08</v>
          </cell>
          <cell r="D237" t="str">
            <v>01</v>
          </cell>
          <cell r="E237" t="str">
            <v>4400000</v>
          </cell>
          <cell r="F237" t="str">
            <v>001</v>
          </cell>
          <cell r="G237">
            <v>221</v>
          </cell>
        </row>
        <row r="238">
          <cell r="A238" t="str">
            <v>Транспортные услуги</v>
          </cell>
          <cell r="B238" t="str">
            <v>056</v>
          </cell>
          <cell r="C238" t="str">
            <v>08</v>
          </cell>
          <cell r="D238" t="str">
            <v>01</v>
          </cell>
          <cell r="E238" t="str">
            <v>4400000</v>
          </cell>
          <cell r="F238" t="str">
            <v>001</v>
          </cell>
          <cell r="G238">
            <v>222</v>
          </cell>
        </row>
        <row r="239">
          <cell r="A239" t="str">
            <v>Коммунальные услуги</v>
          </cell>
          <cell r="B239" t="str">
            <v>056</v>
          </cell>
          <cell r="C239" t="str">
            <v>08</v>
          </cell>
          <cell r="D239" t="str">
            <v>01</v>
          </cell>
          <cell r="E239" t="str">
            <v>4400000</v>
          </cell>
          <cell r="F239" t="str">
            <v>001</v>
          </cell>
          <cell r="G239">
            <v>223</v>
          </cell>
        </row>
        <row r="240">
          <cell r="A240" t="str">
            <v>Аренда помещения</v>
          </cell>
          <cell r="B240" t="str">
            <v>056</v>
          </cell>
          <cell r="C240" t="str">
            <v>08</v>
          </cell>
          <cell r="D240" t="str">
            <v>01</v>
          </cell>
          <cell r="E240" t="str">
            <v>4400000</v>
          </cell>
          <cell r="F240" t="str">
            <v>001</v>
          </cell>
          <cell r="G240">
            <v>224</v>
          </cell>
        </row>
        <row r="241">
          <cell r="A241" t="str">
            <v>Услуги по содерж. имущества</v>
          </cell>
          <cell r="B241" t="str">
            <v>056</v>
          </cell>
          <cell r="C241" t="str">
            <v>08</v>
          </cell>
          <cell r="D241" t="str">
            <v>01</v>
          </cell>
          <cell r="E241" t="str">
            <v>4400000</v>
          </cell>
          <cell r="F241" t="str">
            <v>001</v>
          </cell>
          <cell r="G241">
            <v>225</v>
          </cell>
        </row>
        <row r="242">
          <cell r="A242" t="str">
            <v>Прочие услуги</v>
          </cell>
          <cell r="B242" t="str">
            <v>056</v>
          </cell>
          <cell r="C242" t="str">
            <v>08</v>
          </cell>
          <cell r="D242" t="str">
            <v>01</v>
          </cell>
          <cell r="E242" t="str">
            <v>4400000</v>
          </cell>
          <cell r="F242" t="str">
            <v>001</v>
          </cell>
          <cell r="G242">
            <v>226</v>
          </cell>
        </row>
        <row r="243">
          <cell r="A243" t="str">
            <v xml:space="preserve">Прочие расходы </v>
          </cell>
          <cell r="B243" t="str">
            <v>056</v>
          </cell>
          <cell r="C243" t="str">
            <v>08</v>
          </cell>
          <cell r="D243" t="str">
            <v>01</v>
          </cell>
          <cell r="E243" t="str">
            <v>4400000</v>
          </cell>
          <cell r="F243" t="str">
            <v>001</v>
          </cell>
          <cell r="G243">
            <v>290</v>
          </cell>
        </row>
        <row r="244">
          <cell r="A244" t="str">
            <v xml:space="preserve">Прочие расходы </v>
          </cell>
          <cell r="B244" t="str">
            <v>056</v>
          </cell>
          <cell r="C244" t="str">
            <v>08</v>
          </cell>
          <cell r="D244" t="str">
            <v>01</v>
          </cell>
          <cell r="E244" t="str">
            <v>4409500</v>
          </cell>
          <cell r="F244" t="str">
            <v>001</v>
          </cell>
          <cell r="G244" t="str">
            <v>290</v>
          </cell>
        </row>
        <row r="245">
          <cell r="A245" t="str">
            <v>Увелич. стоимости осн. средств</v>
          </cell>
          <cell r="B245" t="str">
            <v>056</v>
          </cell>
          <cell r="C245" t="str">
            <v>08</v>
          </cell>
          <cell r="D245" t="str">
            <v>01</v>
          </cell>
          <cell r="E245" t="str">
            <v>4400000</v>
          </cell>
          <cell r="F245" t="str">
            <v>001</v>
          </cell>
          <cell r="G245">
            <v>310</v>
          </cell>
        </row>
        <row r="246">
          <cell r="A246" t="str">
            <v>Увелич. стоимости матер. запасов</v>
          </cell>
          <cell r="B246" t="str">
            <v>056</v>
          </cell>
          <cell r="C246" t="str">
            <v>08</v>
          </cell>
          <cell r="D246" t="str">
            <v>01</v>
          </cell>
          <cell r="E246" t="str">
            <v>4400000</v>
          </cell>
          <cell r="F246" t="str">
            <v>001</v>
          </cell>
          <cell r="G246">
            <v>340</v>
          </cell>
        </row>
        <row r="249">
          <cell r="A249" t="str">
            <v xml:space="preserve">Заработная плата </v>
          </cell>
          <cell r="B249" t="str">
            <v>056</v>
          </cell>
          <cell r="C249" t="str">
            <v>08</v>
          </cell>
          <cell r="D249" t="str">
            <v>01</v>
          </cell>
          <cell r="E249">
            <v>4419901</v>
          </cell>
          <cell r="F249" t="str">
            <v>001</v>
          </cell>
          <cell r="G249">
            <v>211</v>
          </cell>
          <cell r="H249">
            <v>31935.1</v>
          </cell>
        </row>
        <row r="250">
          <cell r="A250" t="str">
            <v>Прочие выплаты</v>
          </cell>
          <cell r="B250" t="str">
            <v>056</v>
          </cell>
          <cell r="C250" t="str">
            <v>08</v>
          </cell>
          <cell r="D250" t="str">
            <v>01</v>
          </cell>
          <cell r="E250">
            <v>4419901</v>
          </cell>
          <cell r="F250" t="str">
            <v>001</v>
          </cell>
          <cell r="G250">
            <v>212</v>
          </cell>
          <cell r="H250">
            <v>5</v>
          </cell>
        </row>
        <row r="251">
          <cell r="A251" t="str">
            <v>Начисления на оплату труда</v>
          </cell>
          <cell r="B251" t="str">
            <v>056</v>
          </cell>
          <cell r="C251" t="str">
            <v>08</v>
          </cell>
          <cell r="D251" t="str">
            <v>01</v>
          </cell>
          <cell r="E251">
            <v>4419901</v>
          </cell>
          <cell r="F251" t="str">
            <v>001</v>
          </cell>
          <cell r="G251">
            <v>213</v>
          </cell>
          <cell r="H251">
            <v>9644.5</v>
          </cell>
        </row>
        <row r="252">
          <cell r="A252" t="str">
            <v xml:space="preserve">Оплата услуг связи </v>
          </cell>
          <cell r="B252" t="str">
            <v>056</v>
          </cell>
          <cell r="C252" t="str">
            <v>08</v>
          </cell>
          <cell r="D252" t="str">
            <v>01</v>
          </cell>
          <cell r="E252">
            <v>4419901</v>
          </cell>
          <cell r="F252" t="str">
            <v>001</v>
          </cell>
          <cell r="G252">
            <v>221</v>
          </cell>
          <cell r="H252">
            <v>50</v>
          </cell>
        </row>
        <row r="253">
          <cell r="A253" t="str">
            <v>Транспортные услуги</v>
          </cell>
          <cell r="B253" t="str">
            <v>056</v>
          </cell>
          <cell r="C253" t="str">
            <v>08</v>
          </cell>
          <cell r="D253" t="str">
            <v>01</v>
          </cell>
          <cell r="E253">
            <v>4419901</v>
          </cell>
          <cell r="F253" t="str">
            <v>001</v>
          </cell>
          <cell r="G253">
            <v>222</v>
          </cell>
          <cell r="H253">
            <v>10</v>
          </cell>
        </row>
        <row r="254">
          <cell r="A254" t="str">
            <v>Коммунальные услуги</v>
          </cell>
          <cell r="B254" t="str">
            <v>056</v>
          </cell>
          <cell r="C254" t="str">
            <v>08</v>
          </cell>
          <cell r="D254" t="str">
            <v>01</v>
          </cell>
          <cell r="E254">
            <v>4419901</v>
          </cell>
          <cell r="F254" t="str">
            <v>001</v>
          </cell>
          <cell r="G254">
            <v>223</v>
          </cell>
          <cell r="H254">
            <v>1135</v>
          </cell>
        </row>
        <row r="255">
          <cell r="A255" t="str">
            <v>Аренда помещения</v>
          </cell>
          <cell r="B255" t="str">
            <v>056</v>
          </cell>
          <cell r="C255" t="str">
            <v>08</v>
          </cell>
          <cell r="D255" t="str">
            <v>01</v>
          </cell>
          <cell r="E255">
            <v>4419901</v>
          </cell>
          <cell r="F255" t="str">
            <v>001</v>
          </cell>
          <cell r="G255">
            <v>224</v>
          </cell>
        </row>
        <row r="256">
          <cell r="A256" t="str">
            <v>Услуги по содерж. имущества</v>
          </cell>
          <cell r="B256" t="str">
            <v>056</v>
          </cell>
          <cell r="C256" t="str">
            <v>08</v>
          </cell>
          <cell r="D256" t="str">
            <v>01</v>
          </cell>
          <cell r="E256">
            <v>4419901</v>
          </cell>
          <cell r="F256" t="str">
            <v>001</v>
          </cell>
          <cell r="G256">
            <v>225</v>
          </cell>
          <cell r="H256">
            <v>1515</v>
          </cell>
        </row>
        <row r="257">
          <cell r="A257" t="str">
            <v>Прочие услуги</v>
          </cell>
          <cell r="B257" t="str">
            <v>056</v>
          </cell>
          <cell r="C257" t="str">
            <v>08</v>
          </cell>
          <cell r="D257" t="str">
            <v>01</v>
          </cell>
          <cell r="E257">
            <v>4419901</v>
          </cell>
          <cell r="F257" t="str">
            <v>001</v>
          </cell>
          <cell r="G257">
            <v>226</v>
          </cell>
          <cell r="H257">
            <v>1887</v>
          </cell>
        </row>
        <row r="258">
          <cell r="A258" t="str">
            <v xml:space="preserve">Прочие расходы </v>
          </cell>
          <cell r="B258" t="str">
            <v>056</v>
          </cell>
          <cell r="C258" t="str">
            <v>08</v>
          </cell>
          <cell r="D258" t="str">
            <v>01</v>
          </cell>
          <cell r="E258">
            <v>4419901</v>
          </cell>
          <cell r="F258" t="str">
            <v>001</v>
          </cell>
          <cell r="G258">
            <v>290</v>
          </cell>
          <cell r="H258">
            <v>117.2</v>
          </cell>
        </row>
        <row r="259">
          <cell r="A259" t="str">
            <v xml:space="preserve">Прочие расходы </v>
          </cell>
          <cell r="B259" t="str">
            <v>056</v>
          </cell>
          <cell r="C259" t="str">
            <v>08</v>
          </cell>
          <cell r="D259" t="str">
            <v>01</v>
          </cell>
          <cell r="E259" t="str">
            <v>4419500</v>
          </cell>
          <cell r="F259" t="str">
            <v>001</v>
          </cell>
          <cell r="G259" t="str">
            <v>290</v>
          </cell>
          <cell r="H259">
            <v>664.90000000000009</v>
          </cell>
        </row>
        <row r="260">
          <cell r="A260" t="str">
            <v>Увелич. стоимости осн. средств</v>
          </cell>
          <cell r="B260" t="str">
            <v>056</v>
          </cell>
          <cell r="C260" t="str">
            <v>08</v>
          </cell>
          <cell r="D260" t="str">
            <v>01</v>
          </cell>
          <cell r="E260">
            <v>4419901</v>
          </cell>
          <cell r="F260" t="str">
            <v>001</v>
          </cell>
          <cell r="G260">
            <v>310</v>
          </cell>
          <cell r="H260">
            <v>250</v>
          </cell>
        </row>
        <row r="261">
          <cell r="A261" t="str">
            <v>Увелич. стоимости матер. запасов</v>
          </cell>
          <cell r="B261" t="str">
            <v>056</v>
          </cell>
          <cell r="C261" t="str">
            <v>08</v>
          </cell>
          <cell r="D261" t="str">
            <v>01</v>
          </cell>
          <cell r="E261">
            <v>4419901</v>
          </cell>
          <cell r="F261" t="str">
            <v>001</v>
          </cell>
          <cell r="G261">
            <v>340</v>
          </cell>
          <cell r="H261">
            <v>230</v>
          </cell>
        </row>
        <row r="264">
          <cell r="A264" t="str">
            <v xml:space="preserve">Заработная плата </v>
          </cell>
          <cell r="B264" t="str">
            <v>056</v>
          </cell>
          <cell r="C264" t="str">
            <v>08</v>
          </cell>
          <cell r="D264" t="str">
            <v>01</v>
          </cell>
          <cell r="E264">
            <v>4419901</v>
          </cell>
          <cell r="F264" t="str">
            <v>001</v>
          </cell>
          <cell r="G264">
            <v>211</v>
          </cell>
          <cell r="H264">
            <v>7072.9</v>
          </cell>
        </row>
        <row r="265">
          <cell r="A265" t="str">
            <v>Прочие выплаты</v>
          </cell>
          <cell r="B265" t="str">
            <v>056</v>
          </cell>
          <cell r="C265" t="str">
            <v>08</v>
          </cell>
          <cell r="D265" t="str">
            <v>01</v>
          </cell>
          <cell r="E265">
            <v>4419901</v>
          </cell>
          <cell r="F265" t="str">
            <v>001</v>
          </cell>
          <cell r="G265">
            <v>212</v>
          </cell>
          <cell r="H265">
            <v>5.8999999999999995</v>
          </cell>
        </row>
        <row r="266">
          <cell r="A266" t="str">
            <v>Начисления на оплату труда</v>
          </cell>
          <cell r="B266" t="str">
            <v>056</v>
          </cell>
          <cell r="C266" t="str">
            <v>08</v>
          </cell>
          <cell r="D266" t="str">
            <v>01</v>
          </cell>
          <cell r="E266">
            <v>4419901</v>
          </cell>
          <cell r="F266" t="str">
            <v>001</v>
          </cell>
          <cell r="G266">
            <v>213</v>
          </cell>
          <cell r="H266">
            <v>2136</v>
          </cell>
        </row>
        <row r="267">
          <cell r="A267" t="str">
            <v xml:space="preserve">Оплата услуг связи </v>
          </cell>
          <cell r="B267" t="str">
            <v>056</v>
          </cell>
          <cell r="C267" t="str">
            <v>08</v>
          </cell>
          <cell r="D267" t="str">
            <v>01</v>
          </cell>
          <cell r="E267">
            <v>4419901</v>
          </cell>
          <cell r="F267" t="str">
            <v>001</v>
          </cell>
          <cell r="G267">
            <v>221</v>
          </cell>
          <cell r="H267">
            <v>16</v>
          </cell>
        </row>
        <row r="268">
          <cell r="A268" t="str">
            <v>Транспортные услуги</v>
          </cell>
          <cell r="B268" t="str">
            <v>056</v>
          </cell>
          <cell r="C268" t="str">
            <v>08</v>
          </cell>
          <cell r="D268" t="str">
            <v>01</v>
          </cell>
          <cell r="E268">
            <v>4419901</v>
          </cell>
          <cell r="F268" t="str">
            <v>001</v>
          </cell>
          <cell r="G268">
            <v>222</v>
          </cell>
          <cell r="H268">
            <v>184.79</v>
          </cell>
        </row>
        <row r="269">
          <cell r="A269" t="str">
            <v>Коммунальные услуги</v>
          </cell>
          <cell r="B269" t="str">
            <v>056</v>
          </cell>
          <cell r="C269" t="str">
            <v>08</v>
          </cell>
          <cell r="D269" t="str">
            <v>01</v>
          </cell>
          <cell r="E269">
            <v>4419901</v>
          </cell>
          <cell r="F269" t="str">
            <v>001</v>
          </cell>
          <cell r="G269">
            <v>223</v>
          </cell>
          <cell r="H269">
            <v>406</v>
          </cell>
        </row>
        <row r="270">
          <cell r="A270" t="str">
            <v>Аренда помещения</v>
          </cell>
          <cell r="B270" t="str">
            <v>056</v>
          </cell>
          <cell r="C270" t="str">
            <v>08</v>
          </cell>
          <cell r="D270" t="str">
            <v>01</v>
          </cell>
          <cell r="E270">
            <v>4419901</v>
          </cell>
          <cell r="F270" t="str">
            <v>001</v>
          </cell>
          <cell r="G270">
            <v>224</v>
          </cell>
        </row>
        <row r="271">
          <cell r="A271" t="str">
            <v>Услуги по содерж. имущества</v>
          </cell>
          <cell r="B271" t="str">
            <v>056</v>
          </cell>
          <cell r="C271" t="str">
            <v>08</v>
          </cell>
          <cell r="D271" t="str">
            <v>01</v>
          </cell>
          <cell r="E271">
            <v>4419901</v>
          </cell>
          <cell r="F271" t="str">
            <v>001</v>
          </cell>
          <cell r="G271">
            <v>225</v>
          </cell>
          <cell r="H271">
            <v>855</v>
          </cell>
        </row>
        <row r="272">
          <cell r="A272" t="str">
            <v>Прочие услуги</v>
          </cell>
          <cell r="B272" t="str">
            <v>056</v>
          </cell>
          <cell r="C272" t="str">
            <v>08</v>
          </cell>
          <cell r="D272" t="str">
            <v>01</v>
          </cell>
          <cell r="E272">
            <v>4419901</v>
          </cell>
          <cell r="F272" t="str">
            <v>001</v>
          </cell>
          <cell r="G272">
            <v>226</v>
          </cell>
          <cell r="H272">
            <v>5002.2949999999992</v>
          </cell>
        </row>
        <row r="273">
          <cell r="A273" t="str">
            <v xml:space="preserve">Прочие расходы </v>
          </cell>
          <cell r="B273" t="str">
            <v>056</v>
          </cell>
          <cell r="C273" t="str">
            <v>08</v>
          </cell>
          <cell r="D273" t="str">
            <v>01</v>
          </cell>
          <cell r="E273">
            <v>4419901</v>
          </cell>
          <cell r="F273" t="str">
            <v>001</v>
          </cell>
          <cell r="G273">
            <v>290</v>
          </cell>
          <cell r="H273">
            <v>14.8</v>
          </cell>
        </row>
        <row r="274">
          <cell r="A274" t="str">
            <v xml:space="preserve">Прочие расходы </v>
          </cell>
          <cell r="B274" t="str">
            <v>056</v>
          </cell>
          <cell r="C274" t="str">
            <v>08</v>
          </cell>
          <cell r="D274" t="str">
            <v>01</v>
          </cell>
          <cell r="E274" t="str">
            <v>4419500</v>
          </cell>
          <cell r="F274" t="str">
            <v>001</v>
          </cell>
          <cell r="G274" t="str">
            <v>290</v>
          </cell>
          <cell r="H274">
            <v>230.3</v>
          </cell>
        </row>
        <row r="275">
          <cell r="A275" t="str">
            <v>Увелич. стоимости осн. средств</v>
          </cell>
          <cell r="B275" t="str">
            <v>056</v>
          </cell>
          <cell r="C275" t="str">
            <v>08</v>
          </cell>
          <cell r="D275" t="str">
            <v>01</v>
          </cell>
          <cell r="E275">
            <v>4419901</v>
          </cell>
          <cell r="F275" t="str">
            <v>001</v>
          </cell>
          <cell r="G275">
            <v>310</v>
          </cell>
          <cell r="H275">
            <v>81.584999999999994</v>
          </cell>
        </row>
        <row r="276">
          <cell r="A276" t="str">
            <v>Увелич. стоимости матер. запасов</v>
          </cell>
          <cell r="B276" t="str">
            <v>056</v>
          </cell>
          <cell r="C276" t="str">
            <v>08</v>
          </cell>
          <cell r="D276" t="str">
            <v>01</v>
          </cell>
          <cell r="E276">
            <v>4419901</v>
          </cell>
          <cell r="F276" t="str">
            <v>001</v>
          </cell>
          <cell r="G276">
            <v>340</v>
          </cell>
          <cell r="H276">
            <v>192.9</v>
          </cell>
        </row>
        <row r="279">
          <cell r="A279" t="str">
            <v xml:space="preserve">Заработная плата </v>
          </cell>
          <cell r="B279" t="str">
            <v>056</v>
          </cell>
          <cell r="C279" t="str">
            <v>08</v>
          </cell>
          <cell r="D279" t="str">
            <v>01</v>
          </cell>
          <cell r="E279">
            <v>4419901</v>
          </cell>
          <cell r="F279" t="str">
            <v>001</v>
          </cell>
          <cell r="G279">
            <v>211</v>
          </cell>
          <cell r="H279">
            <v>12038.5</v>
          </cell>
        </row>
        <row r="280">
          <cell r="A280" t="str">
            <v>Прочие выплаты</v>
          </cell>
          <cell r="B280" t="str">
            <v>056</v>
          </cell>
          <cell r="C280" t="str">
            <v>08</v>
          </cell>
          <cell r="D280" t="str">
            <v>01</v>
          </cell>
          <cell r="E280">
            <v>4419901</v>
          </cell>
          <cell r="F280" t="str">
            <v>001</v>
          </cell>
          <cell r="G280">
            <v>212</v>
          </cell>
        </row>
        <row r="281">
          <cell r="A281" t="str">
            <v>Начисления на оплату труда</v>
          </cell>
          <cell r="B281" t="str">
            <v>056</v>
          </cell>
          <cell r="C281" t="str">
            <v>08</v>
          </cell>
          <cell r="D281" t="str">
            <v>01</v>
          </cell>
          <cell r="E281">
            <v>4419901</v>
          </cell>
          <cell r="F281" t="str">
            <v>001</v>
          </cell>
          <cell r="G281">
            <v>213</v>
          </cell>
          <cell r="H281">
            <v>3635.6</v>
          </cell>
        </row>
        <row r="282">
          <cell r="A282" t="str">
            <v xml:space="preserve">Оплата услуг связи </v>
          </cell>
          <cell r="B282" t="str">
            <v>056</v>
          </cell>
          <cell r="C282" t="str">
            <v>08</v>
          </cell>
          <cell r="D282" t="str">
            <v>01</v>
          </cell>
          <cell r="E282">
            <v>4419901</v>
          </cell>
          <cell r="F282" t="str">
            <v>001</v>
          </cell>
          <cell r="G282">
            <v>221</v>
          </cell>
          <cell r="H282">
            <v>23.362000000000002</v>
          </cell>
        </row>
        <row r="283">
          <cell r="A283" t="str">
            <v>Транспортные услуги</v>
          </cell>
          <cell r="B283" t="str">
            <v>056</v>
          </cell>
          <cell r="C283" t="str">
            <v>08</v>
          </cell>
          <cell r="D283" t="str">
            <v>01</v>
          </cell>
          <cell r="E283">
            <v>4419901</v>
          </cell>
          <cell r="F283" t="str">
            <v>001</v>
          </cell>
          <cell r="G283">
            <v>222</v>
          </cell>
        </row>
        <row r="284">
          <cell r="A284" t="str">
            <v>Коммунальные услуги</v>
          </cell>
          <cell r="B284" t="str">
            <v>056</v>
          </cell>
          <cell r="C284" t="str">
            <v>08</v>
          </cell>
          <cell r="D284" t="str">
            <v>01</v>
          </cell>
          <cell r="E284">
            <v>4419901</v>
          </cell>
          <cell r="F284" t="str">
            <v>001</v>
          </cell>
          <cell r="G284">
            <v>223</v>
          </cell>
          <cell r="H284">
            <v>171.20499999999998</v>
          </cell>
        </row>
        <row r="285">
          <cell r="A285" t="str">
            <v>Аренда помещения</v>
          </cell>
          <cell r="B285" t="str">
            <v>056</v>
          </cell>
          <cell r="C285" t="str">
            <v>08</v>
          </cell>
          <cell r="D285" t="str">
            <v>01</v>
          </cell>
          <cell r="E285">
            <v>4419901</v>
          </cell>
          <cell r="F285" t="str">
            <v>001</v>
          </cell>
          <cell r="G285">
            <v>224</v>
          </cell>
        </row>
        <row r="286">
          <cell r="A286" t="str">
            <v>Услуги по содерж. имущества</v>
          </cell>
          <cell r="B286" t="str">
            <v>056</v>
          </cell>
          <cell r="C286" t="str">
            <v>08</v>
          </cell>
          <cell r="D286" t="str">
            <v>01</v>
          </cell>
          <cell r="E286">
            <v>4419901</v>
          </cell>
          <cell r="F286" t="str">
            <v>001</v>
          </cell>
          <cell r="G286">
            <v>225</v>
          </cell>
          <cell r="H286">
            <v>186.352</v>
          </cell>
        </row>
        <row r="287">
          <cell r="A287" t="str">
            <v>Прочие услуги</v>
          </cell>
          <cell r="B287" t="str">
            <v>056</v>
          </cell>
          <cell r="C287" t="str">
            <v>08</v>
          </cell>
          <cell r="D287" t="str">
            <v>01</v>
          </cell>
          <cell r="E287">
            <v>4419901</v>
          </cell>
          <cell r="F287" t="str">
            <v>001</v>
          </cell>
          <cell r="G287">
            <v>226</v>
          </cell>
          <cell r="H287">
            <v>190.28100000000001</v>
          </cell>
        </row>
        <row r="288">
          <cell r="A288" t="str">
            <v xml:space="preserve">Прочие расходы </v>
          </cell>
          <cell r="B288" t="str">
            <v>056</v>
          </cell>
          <cell r="C288" t="str">
            <v>08</v>
          </cell>
          <cell r="D288" t="str">
            <v>01</v>
          </cell>
          <cell r="E288">
            <v>4419901</v>
          </cell>
          <cell r="F288" t="str">
            <v>001</v>
          </cell>
          <cell r="G288">
            <v>290</v>
          </cell>
          <cell r="H288">
            <v>0.5</v>
          </cell>
        </row>
        <row r="289">
          <cell r="A289" t="str">
            <v xml:space="preserve">Прочие расходы </v>
          </cell>
          <cell r="B289" t="str">
            <v>056</v>
          </cell>
          <cell r="C289" t="str">
            <v>08</v>
          </cell>
          <cell r="D289" t="str">
            <v>01</v>
          </cell>
          <cell r="E289" t="str">
            <v>4419500</v>
          </cell>
          <cell r="F289" t="str">
            <v>001</v>
          </cell>
          <cell r="G289" t="str">
            <v>290</v>
          </cell>
          <cell r="H289">
            <v>61.5</v>
          </cell>
        </row>
        <row r="290">
          <cell r="A290" t="str">
            <v>Увелич. стоимости осн. средств</v>
          </cell>
          <cell r="B290" t="str">
            <v>056</v>
          </cell>
          <cell r="C290" t="str">
            <v>08</v>
          </cell>
          <cell r="D290" t="str">
            <v>01</v>
          </cell>
          <cell r="E290">
            <v>4419901</v>
          </cell>
          <cell r="F290" t="str">
            <v>001</v>
          </cell>
          <cell r="G290">
            <v>310</v>
          </cell>
        </row>
        <row r="291">
          <cell r="A291" t="str">
            <v>Увелич. стоимости матер. запасов</v>
          </cell>
          <cell r="B291" t="str">
            <v>056</v>
          </cell>
          <cell r="C291" t="str">
            <v>08</v>
          </cell>
          <cell r="D291" t="str">
            <v>01</v>
          </cell>
          <cell r="E291">
            <v>4419901</v>
          </cell>
          <cell r="F291" t="str">
            <v>001</v>
          </cell>
          <cell r="G291">
            <v>340</v>
          </cell>
        </row>
        <row r="294">
          <cell r="A294" t="str">
            <v xml:space="preserve">Заработная плата </v>
          </cell>
          <cell r="B294" t="str">
            <v>056</v>
          </cell>
          <cell r="C294" t="str">
            <v>08</v>
          </cell>
          <cell r="D294" t="str">
            <v>01</v>
          </cell>
          <cell r="E294">
            <v>4419901</v>
          </cell>
          <cell r="F294" t="str">
            <v>001</v>
          </cell>
          <cell r="G294">
            <v>211</v>
          </cell>
          <cell r="H294">
            <v>3519.569</v>
          </cell>
        </row>
        <row r="295">
          <cell r="A295" t="str">
            <v>Прочие выплаты</v>
          </cell>
          <cell r="B295" t="str">
            <v>056</v>
          </cell>
          <cell r="C295" t="str">
            <v>08</v>
          </cell>
          <cell r="D295" t="str">
            <v>01</v>
          </cell>
          <cell r="E295">
            <v>4419901</v>
          </cell>
          <cell r="F295" t="str">
            <v>001</v>
          </cell>
          <cell r="G295">
            <v>212</v>
          </cell>
          <cell r="H295">
            <v>4.2</v>
          </cell>
        </row>
        <row r="296">
          <cell r="A296" t="str">
            <v>Начисления на оплату труда</v>
          </cell>
          <cell r="B296" t="str">
            <v>056</v>
          </cell>
          <cell r="C296" t="str">
            <v>08</v>
          </cell>
          <cell r="D296" t="str">
            <v>01</v>
          </cell>
          <cell r="E296">
            <v>4419901</v>
          </cell>
          <cell r="F296" t="str">
            <v>001</v>
          </cell>
          <cell r="G296">
            <v>213</v>
          </cell>
          <cell r="H296">
            <v>1044.568</v>
          </cell>
        </row>
        <row r="297">
          <cell r="A297" t="str">
            <v xml:space="preserve">Оплата услуг связи </v>
          </cell>
          <cell r="B297" t="str">
            <v>056</v>
          </cell>
          <cell r="C297" t="str">
            <v>08</v>
          </cell>
          <cell r="D297" t="str">
            <v>01</v>
          </cell>
          <cell r="E297">
            <v>4419901</v>
          </cell>
          <cell r="F297" t="str">
            <v>001</v>
          </cell>
          <cell r="G297">
            <v>221</v>
          </cell>
          <cell r="H297">
            <v>76.001000000000005</v>
          </cell>
        </row>
        <row r="298">
          <cell r="A298" t="str">
            <v>Транспортные услуги</v>
          </cell>
          <cell r="B298" t="str">
            <v>056</v>
          </cell>
          <cell r="C298" t="str">
            <v>08</v>
          </cell>
          <cell r="D298" t="str">
            <v>01</v>
          </cell>
          <cell r="E298">
            <v>4419901</v>
          </cell>
          <cell r="F298" t="str">
            <v>001</v>
          </cell>
          <cell r="G298">
            <v>222</v>
          </cell>
          <cell r="H298">
            <v>412.053</v>
          </cell>
        </row>
        <row r="299">
          <cell r="A299" t="str">
            <v>Коммунальные услуги</v>
          </cell>
          <cell r="B299" t="str">
            <v>056</v>
          </cell>
          <cell r="C299" t="str">
            <v>08</v>
          </cell>
          <cell r="D299" t="str">
            <v>01</v>
          </cell>
          <cell r="E299">
            <v>4419901</v>
          </cell>
          <cell r="F299" t="str">
            <v>001</v>
          </cell>
          <cell r="G299">
            <v>223</v>
          </cell>
          <cell r="H299">
            <v>170.57600000000002</v>
          </cell>
        </row>
        <row r="300">
          <cell r="A300" t="str">
            <v>Аренда помещения</v>
          </cell>
          <cell r="B300" t="str">
            <v>056</v>
          </cell>
          <cell r="C300" t="str">
            <v>08</v>
          </cell>
          <cell r="D300" t="str">
            <v>01</v>
          </cell>
          <cell r="E300">
            <v>4419901</v>
          </cell>
          <cell r="F300" t="str">
            <v>001</v>
          </cell>
          <cell r="G300">
            <v>224</v>
          </cell>
        </row>
        <row r="301">
          <cell r="A301" t="str">
            <v>Услуги по содерж. имущества</v>
          </cell>
          <cell r="B301" t="str">
            <v>056</v>
          </cell>
          <cell r="C301" t="str">
            <v>08</v>
          </cell>
          <cell r="D301" t="str">
            <v>01</v>
          </cell>
          <cell r="E301">
            <v>4419901</v>
          </cell>
          <cell r="F301" t="str">
            <v>001</v>
          </cell>
          <cell r="G301">
            <v>225</v>
          </cell>
          <cell r="H301">
            <v>453.34899999999999</v>
          </cell>
        </row>
        <row r="302">
          <cell r="A302" t="str">
            <v>Прочие услуги</v>
          </cell>
          <cell r="B302" t="str">
            <v>056</v>
          </cell>
          <cell r="C302" t="str">
            <v>08</v>
          </cell>
          <cell r="D302" t="str">
            <v>01</v>
          </cell>
          <cell r="E302">
            <v>4419901</v>
          </cell>
          <cell r="F302" t="str">
            <v>001</v>
          </cell>
          <cell r="G302">
            <v>226</v>
          </cell>
          <cell r="H302">
            <v>4251.3779999999988</v>
          </cell>
        </row>
        <row r="303">
          <cell r="A303" t="str">
            <v xml:space="preserve">Прочие расходы </v>
          </cell>
          <cell r="B303" t="str">
            <v>056</v>
          </cell>
          <cell r="C303" t="str">
            <v>08</v>
          </cell>
          <cell r="D303" t="str">
            <v>01</v>
          </cell>
          <cell r="E303">
            <v>4419901</v>
          </cell>
          <cell r="F303" t="str">
            <v>001</v>
          </cell>
          <cell r="G303">
            <v>290</v>
          </cell>
          <cell r="H303">
            <v>4.5999999999999996</v>
          </cell>
        </row>
        <row r="304">
          <cell r="A304" t="str">
            <v xml:space="preserve">Прочие расходы </v>
          </cell>
          <cell r="B304" t="str">
            <v>056</v>
          </cell>
          <cell r="C304" t="str">
            <v>08</v>
          </cell>
          <cell r="D304" t="str">
            <v>01</v>
          </cell>
          <cell r="E304" t="str">
            <v>4419500</v>
          </cell>
          <cell r="F304" t="str">
            <v>001</v>
          </cell>
          <cell r="G304" t="str">
            <v>290</v>
          </cell>
          <cell r="H304">
            <v>176.78800000000001</v>
          </cell>
        </row>
        <row r="305">
          <cell r="A305" t="str">
            <v>Увелич. стоимости осн. средств</v>
          </cell>
          <cell r="B305" t="str">
            <v>056</v>
          </cell>
          <cell r="C305" t="str">
            <v>08</v>
          </cell>
          <cell r="D305" t="str">
            <v>01</v>
          </cell>
          <cell r="E305">
            <v>4419901</v>
          </cell>
          <cell r="F305" t="str">
            <v>001</v>
          </cell>
          <cell r="G305">
            <v>310</v>
          </cell>
          <cell r="H305">
            <v>1553.1289999999999</v>
          </cell>
        </row>
        <row r="306">
          <cell r="A306" t="str">
            <v>Увелич. стоимости матер. запасов</v>
          </cell>
          <cell r="B306" t="str">
            <v>056</v>
          </cell>
          <cell r="C306" t="str">
            <v>08</v>
          </cell>
          <cell r="D306" t="str">
            <v>01</v>
          </cell>
          <cell r="E306">
            <v>4419901</v>
          </cell>
          <cell r="F306" t="str">
            <v>001</v>
          </cell>
          <cell r="G306">
            <v>340</v>
          </cell>
          <cell r="H306">
            <v>425.654</v>
          </cell>
        </row>
        <row r="309">
          <cell r="A309" t="str">
            <v xml:space="preserve">Заработная плата </v>
          </cell>
          <cell r="B309" t="str">
            <v>056</v>
          </cell>
          <cell r="C309" t="str">
            <v>08</v>
          </cell>
          <cell r="D309" t="str">
            <v>01</v>
          </cell>
          <cell r="E309" t="str">
            <v>4419901</v>
          </cell>
          <cell r="F309" t="str">
            <v>001</v>
          </cell>
          <cell r="G309">
            <v>211</v>
          </cell>
        </row>
        <row r="310">
          <cell r="A310" t="str">
            <v>Прочие выплаты</v>
          </cell>
          <cell r="B310" t="str">
            <v>056</v>
          </cell>
          <cell r="C310" t="str">
            <v>08</v>
          </cell>
          <cell r="D310" t="str">
            <v>01</v>
          </cell>
          <cell r="E310" t="str">
            <v>4419901</v>
          </cell>
          <cell r="F310" t="str">
            <v>001</v>
          </cell>
          <cell r="G310">
            <v>212</v>
          </cell>
        </row>
        <row r="311">
          <cell r="A311" t="str">
            <v>Начисления на оплату труда</v>
          </cell>
          <cell r="B311" t="str">
            <v>056</v>
          </cell>
          <cell r="C311" t="str">
            <v>08</v>
          </cell>
          <cell r="D311" t="str">
            <v>01</v>
          </cell>
          <cell r="E311" t="str">
            <v>4419901</v>
          </cell>
          <cell r="F311" t="str">
            <v>001</v>
          </cell>
          <cell r="G311">
            <v>213</v>
          </cell>
        </row>
        <row r="312">
          <cell r="A312" t="str">
            <v xml:space="preserve">Оплата услуг связи </v>
          </cell>
          <cell r="B312" t="str">
            <v>056</v>
          </cell>
          <cell r="C312" t="str">
            <v>08</v>
          </cell>
          <cell r="D312" t="str">
            <v>01</v>
          </cell>
          <cell r="E312" t="str">
            <v>4419901</v>
          </cell>
          <cell r="F312" t="str">
            <v>001</v>
          </cell>
          <cell r="G312">
            <v>221</v>
          </cell>
        </row>
        <row r="313">
          <cell r="A313" t="str">
            <v>Транспортные услуги</v>
          </cell>
          <cell r="B313" t="str">
            <v>056</v>
          </cell>
          <cell r="C313" t="str">
            <v>08</v>
          </cell>
          <cell r="D313" t="str">
            <v>01</v>
          </cell>
          <cell r="E313" t="str">
            <v>4419901</v>
          </cell>
          <cell r="F313" t="str">
            <v>001</v>
          </cell>
          <cell r="G313">
            <v>222</v>
          </cell>
        </row>
        <row r="314">
          <cell r="A314" t="str">
            <v>Коммунальные услуги</v>
          </cell>
          <cell r="B314" t="str">
            <v>056</v>
          </cell>
          <cell r="C314" t="str">
            <v>08</v>
          </cell>
          <cell r="D314" t="str">
            <v>01</v>
          </cell>
          <cell r="E314" t="str">
            <v>4419901</v>
          </cell>
          <cell r="F314" t="str">
            <v>001</v>
          </cell>
          <cell r="G314">
            <v>223</v>
          </cell>
        </row>
        <row r="315">
          <cell r="A315" t="str">
            <v>Аренда помещения</v>
          </cell>
          <cell r="B315" t="str">
            <v>056</v>
          </cell>
          <cell r="C315" t="str">
            <v>08</v>
          </cell>
          <cell r="D315" t="str">
            <v>01</v>
          </cell>
          <cell r="E315" t="str">
            <v>4419901</v>
          </cell>
          <cell r="F315" t="str">
            <v>001</v>
          </cell>
          <cell r="G315">
            <v>224</v>
          </cell>
        </row>
        <row r="316">
          <cell r="A316" t="str">
            <v>Услуги по содерж. имущества</v>
          </cell>
          <cell r="B316" t="str">
            <v>056</v>
          </cell>
          <cell r="C316" t="str">
            <v>08</v>
          </cell>
          <cell r="D316" t="str">
            <v>01</v>
          </cell>
          <cell r="E316" t="str">
            <v>4419901</v>
          </cell>
          <cell r="F316" t="str">
            <v>001</v>
          </cell>
          <cell r="G316">
            <v>225</v>
          </cell>
        </row>
        <row r="317">
          <cell r="A317" t="str">
            <v>Прочие услуги</v>
          </cell>
          <cell r="B317" t="str">
            <v>056</v>
          </cell>
          <cell r="C317" t="str">
            <v>08</v>
          </cell>
          <cell r="D317" t="str">
            <v>01</v>
          </cell>
          <cell r="E317" t="str">
            <v>4419901</v>
          </cell>
          <cell r="F317" t="str">
            <v>001</v>
          </cell>
          <cell r="G317">
            <v>226</v>
          </cell>
        </row>
        <row r="318">
          <cell r="A318" t="str">
            <v xml:space="preserve">Прочие расходы </v>
          </cell>
          <cell r="B318" t="str">
            <v>056</v>
          </cell>
          <cell r="C318" t="str">
            <v>08</v>
          </cell>
          <cell r="D318" t="str">
            <v>01</v>
          </cell>
          <cell r="E318" t="str">
            <v>4419901</v>
          </cell>
          <cell r="F318" t="str">
            <v>001</v>
          </cell>
          <cell r="G318">
            <v>290</v>
          </cell>
        </row>
        <row r="319">
          <cell r="A319" t="str">
            <v xml:space="preserve">Прочие расходы </v>
          </cell>
          <cell r="B319" t="str">
            <v>056</v>
          </cell>
          <cell r="C319" t="str">
            <v>08</v>
          </cell>
          <cell r="D319" t="str">
            <v>01</v>
          </cell>
          <cell r="E319" t="str">
            <v>4419500</v>
          </cell>
          <cell r="F319" t="str">
            <v>001</v>
          </cell>
          <cell r="G319" t="str">
            <v>290</v>
          </cell>
        </row>
        <row r="320">
          <cell r="A320" t="str">
            <v>Увелич. стоимости осн. средств</v>
          </cell>
          <cell r="B320" t="str">
            <v>056</v>
          </cell>
          <cell r="C320" t="str">
            <v>08</v>
          </cell>
          <cell r="D320" t="str">
            <v>01</v>
          </cell>
          <cell r="E320" t="str">
            <v>4419901</v>
          </cell>
          <cell r="F320" t="str">
            <v>001</v>
          </cell>
          <cell r="G320">
            <v>310</v>
          </cell>
        </row>
        <row r="321">
          <cell r="A321" t="str">
            <v>Увелич. стоимости матер. запасов</v>
          </cell>
          <cell r="B321" t="str">
            <v>056</v>
          </cell>
          <cell r="C321" t="str">
            <v>08</v>
          </cell>
          <cell r="D321" t="str">
            <v>01</v>
          </cell>
          <cell r="E321" t="str">
            <v>4419901</v>
          </cell>
          <cell r="F321" t="str">
            <v>001</v>
          </cell>
          <cell r="G321">
            <v>340</v>
          </cell>
        </row>
        <row r="322">
          <cell r="E322" t="str">
            <v>4410000</v>
          </cell>
        </row>
        <row r="324">
          <cell r="A324" t="str">
            <v>Заработная плата</v>
          </cell>
          <cell r="B324" t="str">
            <v>056</v>
          </cell>
          <cell r="C324" t="str">
            <v>08</v>
          </cell>
          <cell r="D324" t="str">
            <v>01</v>
          </cell>
          <cell r="E324">
            <v>4429901</v>
          </cell>
          <cell r="F324" t="str">
            <v>001</v>
          </cell>
          <cell r="G324">
            <v>211</v>
          </cell>
          <cell r="H324">
            <v>21446.1</v>
          </cell>
        </row>
        <row r="325">
          <cell r="A325" t="str">
            <v xml:space="preserve">Прочие выплаты </v>
          </cell>
          <cell r="B325" t="str">
            <v>056</v>
          </cell>
          <cell r="C325" t="str">
            <v>08</v>
          </cell>
          <cell r="D325" t="str">
            <v>01</v>
          </cell>
          <cell r="E325">
            <v>4429901</v>
          </cell>
          <cell r="F325" t="str">
            <v>001</v>
          </cell>
          <cell r="G325">
            <v>212</v>
          </cell>
        </row>
        <row r="326">
          <cell r="A326" t="str">
            <v>Начисления на оплату труда</v>
          </cell>
          <cell r="B326" t="str">
            <v>056</v>
          </cell>
          <cell r="C326" t="str">
            <v>08</v>
          </cell>
          <cell r="D326" t="str">
            <v>01</v>
          </cell>
          <cell r="E326">
            <v>4429901</v>
          </cell>
          <cell r="F326" t="str">
            <v>001</v>
          </cell>
          <cell r="G326">
            <v>213</v>
          </cell>
          <cell r="H326">
            <v>6476.7</v>
          </cell>
        </row>
        <row r="327">
          <cell r="A327" t="str">
            <v xml:space="preserve">Оплата услуг связи </v>
          </cell>
          <cell r="B327" t="str">
            <v>056</v>
          </cell>
          <cell r="C327" t="str">
            <v>08</v>
          </cell>
          <cell r="D327" t="str">
            <v>01</v>
          </cell>
          <cell r="E327">
            <v>4429901</v>
          </cell>
          <cell r="F327" t="str">
            <v>001</v>
          </cell>
          <cell r="G327">
            <v>221</v>
          </cell>
          <cell r="H327">
            <v>51</v>
          </cell>
        </row>
        <row r="328">
          <cell r="A328" t="str">
            <v>Транспортные услуги</v>
          </cell>
          <cell r="B328" t="str">
            <v>056</v>
          </cell>
          <cell r="C328" t="str">
            <v>08</v>
          </cell>
          <cell r="D328" t="str">
            <v>01</v>
          </cell>
          <cell r="E328">
            <v>4429901</v>
          </cell>
          <cell r="F328" t="str">
            <v>001</v>
          </cell>
          <cell r="G328">
            <v>222</v>
          </cell>
        </row>
        <row r="329">
          <cell r="A329" t="str">
            <v>Коммунальные услуги</v>
          </cell>
          <cell r="B329" t="str">
            <v>056</v>
          </cell>
          <cell r="C329" t="str">
            <v>08</v>
          </cell>
          <cell r="D329" t="str">
            <v>01</v>
          </cell>
          <cell r="E329">
            <v>4429901</v>
          </cell>
          <cell r="F329" t="str">
            <v>001</v>
          </cell>
          <cell r="G329">
            <v>223</v>
          </cell>
          <cell r="H329">
            <v>1840</v>
          </cell>
        </row>
        <row r="330">
          <cell r="A330" t="str">
            <v>Арендная плата</v>
          </cell>
          <cell r="B330" t="str">
            <v>056</v>
          </cell>
          <cell r="C330" t="str">
            <v>08</v>
          </cell>
          <cell r="D330" t="str">
            <v>01</v>
          </cell>
          <cell r="E330">
            <v>4429901</v>
          </cell>
          <cell r="F330" t="str">
            <v>001</v>
          </cell>
          <cell r="G330">
            <v>224</v>
          </cell>
        </row>
        <row r="331">
          <cell r="A331" t="str">
            <v>Услуги по содерж. имущества</v>
          </cell>
          <cell r="B331" t="str">
            <v>056</v>
          </cell>
          <cell r="C331" t="str">
            <v>08</v>
          </cell>
          <cell r="D331" t="str">
            <v>01</v>
          </cell>
          <cell r="E331">
            <v>4429901</v>
          </cell>
          <cell r="F331" t="str">
            <v>001</v>
          </cell>
          <cell r="G331">
            <v>225</v>
          </cell>
          <cell r="H331">
            <v>1680</v>
          </cell>
        </row>
        <row r="332">
          <cell r="A332" t="str">
            <v>Прочие услуги</v>
          </cell>
          <cell r="B332" t="str">
            <v>056</v>
          </cell>
          <cell r="C332" t="str">
            <v>08</v>
          </cell>
          <cell r="D332" t="str">
            <v>01</v>
          </cell>
          <cell r="E332">
            <v>4429901</v>
          </cell>
          <cell r="F332" t="str">
            <v>001</v>
          </cell>
          <cell r="G332">
            <v>226</v>
          </cell>
          <cell r="H332">
            <v>1121</v>
          </cell>
        </row>
        <row r="333">
          <cell r="A333" t="str">
            <v xml:space="preserve">Прочие расходы </v>
          </cell>
          <cell r="B333" t="str">
            <v>056</v>
          </cell>
          <cell r="C333" t="str">
            <v>08</v>
          </cell>
          <cell r="D333" t="str">
            <v>01</v>
          </cell>
          <cell r="E333">
            <v>4429901</v>
          </cell>
          <cell r="F333" t="str">
            <v>001</v>
          </cell>
          <cell r="G333">
            <v>290</v>
          </cell>
          <cell r="H333">
            <v>44.6</v>
          </cell>
        </row>
        <row r="334">
          <cell r="A334" t="str">
            <v xml:space="preserve">Прочие расходы </v>
          </cell>
          <cell r="B334" t="str">
            <v>056</v>
          </cell>
          <cell r="C334" t="str">
            <v>08</v>
          </cell>
          <cell r="D334" t="str">
            <v>01</v>
          </cell>
          <cell r="E334" t="str">
            <v>4429500</v>
          </cell>
          <cell r="F334" t="str">
            <v>001</v>
          </cell>
          <cell r="G334" t="str">
            <v>290</v>
          </cell>
          <cell r="H334">
            <v>2239.6</v>
          </cell>
        </row>
        <row r="335">
          <cell r="A335" t="str">
            <v>Увелич. стоимости осн. средств</v>
          </cell>
          <cell r="B335" t="str">
            <v>056</v>
          </cell>
          <cell r="C335" t="str">
            <v>08</v>
          </cell>
          <cell r="D335" t="str">
            <v>01</v>
          </cell>
          <cell r="E335">
            <v>4429901</v>
          </cell>
          <cell r="F335" t="str">
            <v>001</v>
          </cell>
          <cell r="G335">
            <v>310</v>
          </cell>
          <cell r="H335">
            <v>50</v>
          </cell>
        </row>
        <row r="336">
          <cell r="A336" t="str">
            <v>Увелич. стоимости матер. запасов</v>
          </cell>
          <cell r="B336" t="str">
            <v>056</v>
          </cell>
          <cell r="C336" t="str">
            <v>08</v>
          </cell>
          <cell r="D336" t="str">
            <v>01</v>
          </cell>
          <cell r="E336">
            <v>4429901</v>
          </cell>
          <cell r="F336" t="str">
            <v>001</v>
          </cell>
          <cell r="G336">
            <v>340</v>
          </cell>
          <cell r="H336">
            <v>218</v>
          </cell>
        </row>
        <row r="339">
          <cell r="A339" t="str">
            <v>Заработная плата</v>
          </cell>
          <cell r="B339" t="str">
            <v>056</v>
          </cell>
          <cell r="C339" t="str">
            <v>08</v>
          </cell>
          <cell r="D339" t="str">
            <v>01</v>
          </cell>
          <cell r="E339">
            <v>4429901</v>
          </cell>
          <cell r="F339" t="str">
            <v>001</v>
          </cell>
          <cell r="G339">
            <v>211</v>
          </cell>
          <cell r="H339">
            <v>5779.5</v>
          </cell>
        </row>
        <row r="340">
          <cell r="B340" t="str">
            <v>056</v>
          </cell>
          <cell r="C340" t="str">
            <v>08</v>
          </cell>
          <cell r="D340" t="str">
            <v>01</v>
          </cell>
          <cell r="E340">
            <v>4429901</v>
          </cell>
          <cell r="F340" t="str">
            <v>001</v>
          </cell>
          <cell r="G340">
            <v>212</v>
          </cell>
          <cell r="H340">
            <v>3</v>
          </cell>
        </row>
        <row r="341">
          <cell r="A341" t="str">
            <v>Начисления на оплату труда</v>
          </cell>
          <cell r="B341" t="str">
            <v>056</v>
          </cell>
          <cell r="C341" t="str">
            <v>08</v>
          </cell>
          <cell r="D341" t="str">
            <v>01</v>
          </cell>
          <cell r="E341">
            <v>4429901</v>
          </cell>
          <cell r="F341" t="str">
            <v>001</v>
          </cell>
          <cell r="G341">
            <v>213</v>
          </cell>
          <cell r="H341">
            <v>1745.5</v>
          </cell>
        </row>
        <row r="342">
          <cell r="A342" t="str">
            <v xml:space="preserve">Оплата услуг связи </v>
          </cell>
          <cell r="B342" t="str">
            <v>056</v>
          </cell>
          <cell r="C342" t="str">
            <v>08</v>
          </cell>
          <cell r="D342" t="str">
            <v>01</v>
          </cell>
          <cell r="E342">
            <v>4429901</v>
          </cell>
          <cell r="F342" t="str">
            <v>001</v>
          </cell>
          <cell r="G342">
            <v>221</v>
          </cell>
          <cell r="H342">
            <v>33</v>
          </cell>
        </row>
        <row r="343">
          <cell r="A343" t="str">
            <v>Транспортные услуги</v>
          </cell>
          <cell r="B343" t="str">
            <v>056</v>
          </cell>
          <cell r="C343" t="str">
            <v>08</v>
          </cell>
          <cell r="D343" t="str">
            <v>01</v>
          </cell>
          <cell r="E343">
            <v>4429901</v>
          </cell>
          <cell r="F343" t="str">
            <v>001</v>
          </cell>
          <cell r="G343">
            <v>222</v>
          </cell>
          <cell r="H343">
            <v>5</v>
          </cell>
        </row>
        <row r="344">
          <cell r="A344" t="str">
            <v>Коммунальные услуги</v>
          </cell>
          <cell r="B344" t="str">
            <v>056</v>
          </cell>
          <cell r="C344" t="str">
            <v>08</v>
          </cell>
          <cell r="D344" t="str">
            <v>01</v>
          </cell>
          <cell r="E344">
            <v>4429901</v>
          </cell>
          <cell r="F344" t="str">
            <v>001</v>
          </cell>
          <cell r="G344">
            <v>223</v>
          </cell>
          <cell r="H344">
            <v>200</v>
          </cell>
        </row>
        <row r="345">
          <cell r="A345" t="str">
            <v>Арендная плата</v>
          </cell>
          <cell r="B345" t="str">
            <v>056</v>
          </cell>
          <cell r="C345" t="str">
            <v>08</v>
          </cell>
          <cell r="D345" t="str">
            <v>01</v>
          </cell>
          <cell r="E345">
            <v>4429901</v>
          </cell>
          <cell r="F345" t="str">
            <v>001</v>
          </cell>
          <cell r="G345">
            <v>224</v>
          </cell>
        </row>
        <row r="346">
          <cell r="A346" t="str">
            <v>Услуги по содерж. имущества</v>
          </cell>
          <cell r="B346" t="str">
            <v>056</v>
          </cell>
          <cell r="C346" t="str">
            <v>08</v>
          </cell>
          <cell r="D346" t="str">
            <v>01</v>
          </cell>
          <cell r="E346">
            <v>4429901</v>
          </cell>
          <cell r="F346" t="str">
            <v>001</v>
          </cell>
          <cell r="G346">
            <v>225</v>
          </cell>
          <cell r="H346">
            <v>420</v>
          </cell>
        </row>
        <row r="347">
          <cell r="A347" t="str">
            <v>Прочие услуги</v>
          </cell>
          <cell r="B347" t="str">
            <v>056</v>
          </cell>
          <cell r="C347" t="str">
            <v>08</v>
          </cell>
          <cell r="D347" t="str">
            <v>01</v>
          </cell>
          <cell r="E347">
            <v>4429901</v>
          </cell>
          <cell r="F347" t="str">
            <v>001</v>
          </cell>
          <cell r="G347">
            <v>226</v>
          </cell>
          <cell r="H347">
            <v>952</v>
          </cell>
        </row>
        <row r="348">
          <cell r="A348" t="str">
            <v xml:space="preserve">Прочие расходы </v>
          </cell>
          <cell r="B348" t="str">
            <v>056</v>
          </cell>
          <cell r="C348" t="str">
            <v>08</v>
          </cell>
          <cell r="D348" t="str">
            <v>01</v>
          </cell>
          <cell r="E348">
            <v>4429901</v>
          </cell>
          <cell r="F348" t="str">
            <v>001</v>
          </cell>
          <cell r="G348">
            <v>290</v>
          </cell>
          <cell r="H348">
            <v>12.5</v>
          </cell>
        </row>
        <row r="349">
          <cell r="A349" t="str">
            <v xml:space="preserve">Прочие расходы </v>
          </cell>
          <cell r="B349" t="str">
            <v>056</v>
          </cell>
          <cell r="C349" t="str">
            <v>08</v>
          </cell>
          <cell r="D349" t="str">
            <v>01</v>
          </cell>
          <cell r="E349" t="str">
            <v>4429500</v>
          </cell>
          <cell r="F349" t="str">
            <v>001</v>
          </cell>
          <cell r="G349" t="str">
            <v>290</v>
          </cell>
          <cell r="H349">
            <v>123.09999999999997</v>
          </cell>
        </row>
        <row r="350">
          <cell r="A350" t="str">
            <v>Увелич. стоимости осн. средств</v>
          </cell>
          <cell r="B350" t="str">
            <v>056</v>
          </cell>
          <cell r="C350" t="str">
            <v>08</v>
          </cell>
          <cell r="D350" t="str">
            <v>01</v>
          </cell>
          <cell r="E350">
            <v>4429901</v>
          </cell>
          <cell r="F350" t="str">
            <v>001</v>
          </cell>
          <cell r="G350">
            <v>310</v>
          </cell>
          <cell r="H350">
            <v>255</v>
          </cell>
        </row>
        <row r="351">
          <cell r="A351" t="str">
            <v>Увелич. стоимости матер. запасов</v>
          </cell>
          <cell r="B351" t="str">
            <v>056</v>
          </cell>
          <cell r="C351" t="str">
            <v>08</v>
          </cell>
          <cell r="D351" t="str">
            <v>01</v>
          </cell>
          <cell r="E351">
            <v>4429901</v>
          </cell>
          <cell r="F351" t="str">
            <v>001</v>
          </cell>
          <cell r="G351">
            <v>340</v>
          </cell>
          <cell r="H351">
            <v>17</v>
          </cell>
        </row>
        <row r="354">
          <cell r="A354" t="str">
            <v>Заработная плата</v>
          </cell>
          <cell r="B354" t="str">
            <v>056</v>
          </cell>
          <cell r="C354" t="str">
            <v>08</v>
          </cell>
          <cell r="D354" t="str">
            <v>01</v>
          </cell>
          <cell r="E354">
            <v>4429901</v>
          </cell>
          <cell r="F354" t="str">
            <v>001</v>
          </cell>
          <cell r="G354">
            <v>211</v>
          </cell>
          <cell r="H354">
            <v>4908.2</v>
          </cell>
        </row>
        <row r="355">
          <cell r="A355" t="str">
            <v xml:space="preserve">Прочие выплаты </v>
          </cell>
          <cell r="B355" t="str">
            <v>056</v>
          </cell>
          <cell r="C355" t="str">
            <v>08</v>
          </cell>
          <cell r="D355" t="str">
            <v>01</v>
          </cell>
          <cell r="E355">
            <v>4429901</v>
          </cell>
          <cell r="F355" t="str">
            <v>001</v>
          </cell>
          <cell r="G355">
            <v>212</v>
          </cell>
        </row>
        <row r="356">
          <cell r="A356" t="str">
            <v>Начисления на оплату труда</v>
          </cell>
          <cell r="B356" t="str">
            <v>056</v>
          </cell>
          <cell r="C356" t="str">
            <v>08</v>
          </cell>
          <cell r="D356" t="str">
            <v>01</v>
          </cell>
          <cell r="E356">
            <v>4429901</v>
          </cell>
          <cell r="F356" t="str">
            <v>001</v>
          </cell>
          <cell r="G356">
            <v>213</v>
          </cell>
          <cell r="H356">
            <v>1482.62</v>
          </cell>
        </row>
        <row r="357">
          <cell r="A357" t="str">
            <v xml:space="preserve">Оплата услуг связи </v>
          </cell>
          <cell r="B357" t="str">
            <v>056</v>
          </cell>
          <cell r="C357" t="str">
            <v>08</v>
          </cell>
          <cell r="D357" t="str">
            <v>01</v>
          </cell>
          <cell r="E357">
            <v>4429901</v>
          </cell>
          <cell r="F357" t="str">
            <v>001</v>
          </cell>
          <cell r="G357">
            <v>221</v>
          </cell>
          <cell r="H357">
            <v>14</v>
          </cell>
        </row>
        <row r="358">
          <cell r="A358" t="str">
            <v>Транспортные услуги</v>
          </cell>
          <cell r="B358" t="str">
            <v>056</v>
          </cell>
          <cell r="C358" t="str">
            <v>08</v>
          </cell>
          <cell r="D358" t="str">
            <v>01</v>
          </cell>
          <cell r="E358">
            <v>4429901</v>
          </cell>
          <cell r="F358" t="str">
            <v>001</v>
          </cell>
          <cell r="G358">
            <v>222</v>
          </cell>
        </row>
        <row r="359">
          <cell r="A359" t="str">
            <v>Коммунальные услуги</v>
          </cell>
          <cell r="B359" t="str">
            <v>056</v>
          </cell>
          <cell r="C359" t="str">
            <v>08</v>
          </cell>
          <cell r="D359" t="str">
            <v>01</v>
          </cell>
          <cell r="E359">
            <v>4429901</v>
          </cell>
          <cell r="F359" t="str">
            <v>001</v>
          </cell>
          <cell r="G359">
            <v>223</v>
          </cell>
          <cell r="H359">
            <v>100</v>
          </cell>
        </row>
        <row r="360">
          <cell r="A360" t="str">
            <v>Арендная плата</v>
          </cell>
          <cell r="B360" t="str">
            <v>056</v>
          </cell>
          <cell r="C360" t="str">
            <v>08</v>
          </cell>
          <cell r="D360" t="str">
            <v>01</v>
          </cell>
          <cell r="E360">
            <v>4429901</v>
          </cell>
          <cell r="F360" t="str">
            <v>001</v>
          </cell>
          <cell r="G360">
            <v>224</v>
          </cell>
          <cell r="H360">
            <v>600</v>
          </cell>
        </row>
        <row r="361">
          <cell r="A361" t="str">
            <v>Услуги по содерж. имущества</v>
          </cell>
          <cell r="B361" t="str">
            <v>056</v>
          </cell>
          <cell r="C361" t="str">
            <v>08</v>
          </cell>
          <cell r="D361" t="str">
            <v>01</v>
          </cell>
          <cell r="E361">
            <v>4429901</v>
          </cell>
          <cell r="F361" t="str">
            <v>001</v>
          </cell>
          <cell r="G361">
            <v>225</v>
          </cell>
          <cell r="H361">
            <v>20</v>
          </cell>
        </row>
        <row r="362">
          <cell r="A362" t="str">
            <v>Прочие услуги</v>
          </cell>
          <cell r="B362" t="str">
            <v>056</v>
          </cell>
          <cell r="C362" t="str">
            <v>08</v>
          </cell>
          <cell r="D362" t="str">
            <v>01</v>
          </cell>
          <cell r="E362">
            <v>4429901</v>
          </cell>
          <cell r="F362" t="str">
            <v>001</v>
          </cell>
          <cell r="G362">
            <v>226</v>
          </cell>
          <cell r="H362">
            <v>304.60000000000002</v>
          </cell>
        </row>
        <row r="363">
          <cell r="A363" t="str">
            <v xml:space="preserve">Прочие расходы </v>
          </cell>
          <cell r="B363" t="str">
            <v>056</v>
          </cell>
          <cell r="C363" t="str">
            <v>08</v>
          </cell>
          <cell r="D363" t="str">
            <v>01</v>
          </cell>
          <cell r="E363">
            <v>4429901</v>
          </cell>
          <cell r="F363" t="str">
            <v>001</v>
          </cell>
          <cell r="G363">
            <v>290</v>
          </cell>
          <cell r="H363">
            <v>9.6999999999999993</v>
          </cell>
        </row>
        <row r="364">
          <cell r="A364" t="str">
            <v xml:space="preserve">Прочие расходы </v>
          </cell>
          <cell r="B364" t="str">
            <v>056</v>
          </cell>
          <cell r="C364" t="str">
            <v>08</v>
          </cell>
          <cell r="D364" t="str">
            <v>01</v>
          </cell>
          <cell r="E364" t="str">
            <v>4429500</v>
          </cell>
          <cell r="F364" t="str">
            <v>001</v>
          </cell>
          <cell r="G364" t="str">
            <v>290</v>
          </cell>
          <cell r="H364">
            <v>10.200000000000001</v>
          </cell>
        </row>
        <row r="365">
          <cell r="A365" t="str">
            <v>Увелич. стоимости осн. средств</v>
          </cell>
          <cell r="B365" t="str">
            <v>056</v>
          </cell>
          <cell r="C365" t="str">
            <v>08</v>
          </cell>
          <cell r="D365" t="str">
            <v>01</v>
          </cell>
          <cell r="E365">
            <v>4429901</v>
          </cell>
          <cell r="F365" t="str">
            <v>001</v>
          </cell>
          <cell r="G365">
            <v>310</v>
          </cell>
          <cell r="H365">
            <v>80.080000000000013</v>
          </cell>
        </row>
        <row r="366">
          <cell r="A366" t="str">
            <v>Увелич. стоимости матер. запасов</v>
          </cell>
          <cell r="B366" t="str">
            <v>056</v>
          </cell>
          <cell r="C366" t="str">
            <v>08</v>
          </cell>
          <cell r="D366" t="str">
            <v>01</v>
          </cell>
          <cell r="E366">
            <v>4429901</v>
          </cell>
          <cell r="F366" t="str">
            <v>001</v>
          </cell>
          <cell r="G366">
            <v>340</v>
          </cell>
          <cell r="H366">
            <v>102.1</v>
          </cell>
        </row>
        <row r="369">
          <cell r="A369" t="str">
            <v>Заработная плата</v>
          </cell>
          <cell r="B369" t="str">
            <v>056</v>
          </cell>
          <cell r="C369" t="str">
            <v>08</v>
          </cell>
          <cell r="D369" t="str">
            <v>01</v>
          </cell>
          <cell r="E369">
            <v>4429901</v>
          </cell>
          <cell r="F369" t="str">
            <v>001</v>
          </cell>
          <cell r="G369">
            <v>211</v>
          </cell>
          <cell r="H369">
            <v>2078.7270000000003</v>
          </cell>
        </row>
        <row r="370">
          <cell r="A370" t="str">
            <v xml:space="preserve">Прочие выплаты </v>
          </cell>
          <cell r="B370" t="str">
            <v>056</v>
          </cell>
          <cell r="C370" t="str">
            <v>08</v>
          </cell>
          <cell r="D370" t="str">
            <v>01</v>
          </cell>
          <cell r="E370">
            <v>4429901</v>
          </cell>
          <cell r="F370" t="str">
            <v>001</v>
          </cell>
          <cell r="G370">
            <v>212</v>
          </cell>
          <cell r="H370">
            <v>3</v>
          </cell>
        </row>
        <row r="371">
          <cell r="A371" t="str">
            <v>Начисления на оплату труда</v>
          </cell>
          <cell r="B371" t="str">
            <v>056</v>
          </cell>
          <cell r="C371" t="str">
            <v>08</v>
          </cell>
          <cell r="D371" t="str">
            <v>01</v>
          </cell>
          <cell r="E371">
            <v>4429901</v>
          </cell>
          <cell r="F371" t="str">
            <v>001</v>
          </cell>
          <cell r="G371">
            <v>213</v>
          </cell>
          <cell r="H371">
            <v>619.79999999999995</v>
          </cell>
        </row>
        <row r="372">
          <cell r="A372" t="str">
            <v xml:space="preserve">Оплата услуг связи </v>
          </cell>
          <cell r="B372" t="str">
            <v>056</v>
          </cell>
          <cell r="C372" t="str">
            <v>08</v>
          </cell>
          <cell r="D372" t="str">
            <v>01</v>
          </cell>
          <cell r="E372">
            <v>4429901</v>
          </cell>
          <cell r="F372" t="str">
            <v>001</v>
          </cell>
          <cell r="G372">
            <v>221</v>
          </cell>
          <cell r="H372">
            <v>9</v>
          </cell>
        </row>
        <row r="373">
          <cell r="A373" t="str">
            <v>Транспортные услуги</v>
          </cell>
          <cell r="B373" t="str">
            <v>056</v>
          </cell>
          <cell r="C373" t="str">
            <v>08</v>
          </cell>
          <cell r="D373" t="str">
            <v>01</v>
          </cell>
          <cell r="E373">
            <v>4429901</v>
          </cell>
          <cell r="F373" t="str">
            <v>001</v>
          </cell>
          <cell r="G373">
            <v>222</v>
          </cell>
          <cell r="H373">
            <v>3</v>
          </cell>
        </row>
        <row r="374">
          <cell r="A374" t="str">
            <v>Коммунальные услуги</v>
          </cell>
          <cell r="B374" t="str">
            <v>056</v>
          </cell>
          <cell r="C374" t="str">
            <v>08</v>
          </cell>
          <cell r="D374" t="str">
            <v>01</v>
          </cell>
          <cell r="E374">
            <v>4429901</v>
          </cell>
          <cell r="F374" t="str">
            <v>001</v>
          </cell>
          <cell r="G374">
            <v>223</v>
          </cell>
          <cell r="H374">
            <v>52</v>
          </cell>
        </row>
        <row r="375">
          <cell r="A375" t="str">
            <v>Арендная плата</v>
          </cell>
          <cell r="B375" t="str">
            <v>056</v>
          </cell>
          <cell r="C375" t="str">
            <v>08</v>
          </cell>
          <cell r="D375" t="str">
            <v>01</v>
          </cell>
          <cell r="E375">
            <v>4429901</v>
          </cell>
          <cell r="F375" t="str">
            <v>001</v>
          </cell>
          <cell r="G375">
            <v>224</v>
          </cell>
          <cell r="H375">
            <v>20</v>
          </cell>
        </row>
        <row r="376">
          <cell r="A376" t="str">
            <v>Услуги по содерж. имущества</v>
          </cell>
          <cell r="B376" t="str">
            <v>056</v>
          </cell>
          <cell r="C376" t="str">
            <v>08</v>
          </cell>
          <cell r="D376" t="str">
            <v>01</v>
          </cell>
          <cell r="E376">
            <v>4429901</v>
          </cell>
          <cell r="F376" t="str">
            <v>001</v>
          </cell>
          <cell r="G376">
            <v>225</v>
          </cell>
          <cell r="H376">
            <v>24</v>
          </cell>
        </row>
        <row r="377">
          <cell r="A377" t="str">
            <v>Прочие услуги</v>
          </cell>
          <cell r="B377" t="str">
            <v>056</v>
          </cell>
          <cell r="C377" t="str">
            <v>08</v>
          </cell>
          <cell r="D377" t="str">
            <v>01</v>
          </cell>
          <cell r="E377">
            <v>4429901</v>
          </cell>
          <cell r="F377" t="str">
            <v>001</v>
          </cell>
          <cell r="G377">
            <v>226</v>
          </cell>
          <cell r="H377">
            <v>93.573000000000008</v>
          </cell>
        </row>
        <row r="378">
          <cell r="A378" t="str">
            <v xml:space="preserve">Прочие расходы </v>
          </cell>
          <cell r="B378" t="str">
            <v>056</v>
          </cell>
          <cell r="C378" t="str">
            <v>08</v>
          </cell>
          <cell r="D378" t="str">
            <v>01</v>
          </cell>
          <cell r="E378">
            <v>4429901</v>
          </cell>
          <cell r="F378" t="str">
            <v>001</v>
          </cell>
          <cell r="G378">
            <v>290</v>
          </cell>
          <cell r="H378">
            <v>4</v>
          </cell>
        </row>
        <row r="379">
          <cell r="A379" t="str">
            <v xml:space="preserve">Прочие расходы </v>
          </cell>
          <cell r="B379" t="str">
            <v>056</v>
          </cell>
          <cell r="C379" t="str">
            <v>08</v>
          </cell>
          <cell r="D379" t="str">
            <v>01</v>
          </cell>
          <cell r="E379" t="str">
            <v>4429500</v>
          </cell>
          <cell r="F379" t="str">
            <v>001</v>
          </cell>
          <cell r="G379" t="str">
            <v>290</v>
          </cell>
          <cell r="H379">
            <v>5.4</v>
          </cell>
        </row>
        <row r="380">
          <cell r="A380" t="str">
            <v>Увелич. стоимости осн. средств</v>
          </cell>
          <cell r="B380" t="str">
            <v>056</v>
          </cell>
          <cell r="C380" t="str">
            <v>08</v>
          </cell>
          <cell r="D380" t="str">
            <v>01</v>
          </cell>
          <cell r="E380">
            <v>4429901</v>
          </cell>
          <cell r="F380" t="str">
            <v>001</v>
          </cell>
          <cell r="G380">
            <v>310</v>
          </cell>
          <cell r="H380">
            <v>60</v>
          </cell>
        </row>
        <row r="381">
          <cell r="A381" t="str">
            <v>Увелич. стоимости матер. запасов</v>
          </cell>
          <cell r="B381" t="str">
            <v>056</v>
          </cell>
          <cell r="C381" t="str">
            <v>08</v>
          </cell>
          <cell r="D381" t="str">
            <v>01</v>
          </cell>
          <cell r="E381">
            <v>4429901</v>
          </cell>
          <cell r="F381" t="str">
            <v>001</v>
          </cell>
          <cell r="G381">
            <v>340</v>
          </cell>
          <cell r="H381">
            <v>20</v>
          </cell>
        </row>
        <row r="384">
          <cell r="A384" t="str">
            <v>Заработная плата</v>
          </cell>
          <cell r="B384" t="str">
            <v>056</v>
          </cell>
          <cell r="C384" t="str">
            <v>08</v>
          </cell>
          <cell r="D384" t="str">
            <v>01</v>
          </cell>
          <cell r="E384" t="str">
            <v>4429901</v>
          </cell>
          <cell r="F384" t="str">
            <v>001</v>
          </cell>
          <cell r="G384">
            <v>211</v>
          </cell>
        </row>
        <row r="385">
          <cell r="A385" t="str">
            <v xml:space="preserve">Прочие выплаты </v>
          </cell>
          <cell r="B385" t="str">
            <v>056</v>
          </cell>
          <cell r="C385" t="str">
            <v>08</v>
          </cell>
          <cell r="D385" t="str">
            <v>01</v>
          </cell>
          <cell r="E385" t="str">
            <v>4429901</v>
          </cell>
          <cell r="F385" t="str">
            <v>001</v>
          </cell>
          <cell r="G385">
            <v>212</v>
          </cell>
        </row>
        <row r="386">
          <cell r="A386" t="str">
            <v>Начисления на оплату труда</v>
          </cell>
          <cell r="B386" t="str">
            <v>056</v>
          </cell>
          <cell r="C386" t="str">
            <v>08</v>
          </cell>
          <cell r="D386" t="str">
            <v>01</v>
          </cell>
          <cell r="E386" t="str">
            <v>4429901</v>
          </cell>
          <cell r="F386" t="str">
            <v>001</v>
          </cell>
          <cell r="G386">
            <v>213</v>
          </cell>
        </row>
        <row r="387">
          <cell r="A387" t="str">
            <v xml:space="preserve">Оплата услуг связи </v>
          </cell>
          <cell r="B387" t="str">
            <v>056</v>
          </cell>
          <cell r="C387" t="str">
            <v>08</v>
          </cell>
          <cell r="D387" t="str">
            <v>01</v>
          </cell>
          <cell r="E387" t="str">
            <v>4429901</v>
          </cell>
          <cell r="F387" t="str">
            <v>001</v>
          </cell>
          <cell r="G387">
            <v>221</v>
          </cell>
        </row>
        <row r="388">
          <cell r="A388" t="str">
            <v>Транспортные услуги</v>
          </cell>
          <cell r="B388" t="str">
            <v>056</v>
          </cell>
          <cell r="C388" t="str">
            <v>08</v>
          </cell>
          <cell r="D388" t="str">
            <v>01</v>
          </cell>
          <cell r="E388" t="str">
            <v>4429901</v>
          </cell>
          <cell r="F388" t="str">
            <v>001</v>
          </cell>
          <cell r="G388">
            <v>222</v>
          </cell>
        </row>
        <row r="389">
          <cell r="A389" t="str">
            <v>Коммунальные услуги</v>
          </cell>
          <cell r="B389" t="str">
            <v>056</v>
          </cell>
          <cell r="C389" t="str">
            <v>08</v>
          </cell>
          <cell r="D389" t="str">
            <v>01</v>
          </cell>
          <cell r="E389" t="str">
            <v>4429901</v>
          </cell>
          <cell r="F389" t="str">
            <v>001</v>
          </cell>
          <cell r="G389">
            <v>223</v>
          </cell>
        </row>
        <row r="390">
          <cell r="A390" t="str">
            <v>Арендная плата</v>
          </cell>
          <cell r="B390" t="str">
            <v>056</v>
          </cell>
          <cell r="C390" t="str">
            <v>08</v>
          </cell>
          <cell r="D390" t="str">
            <v>01</v>
          </cell>
          <cell r="E390" t="str">
            <v>4429901</v>
          </cell>
          <cell r="F390" t="str">
            <v>001</v>
          </cell>
          <cell r="G390">
            <v>224</v>
          </cell>
        </row>
        <row r="391">
          <cell r="A391" t="str">
            <v>Услуги по содерж. имущества</v>
          </cell>
          <cell r="B391" t="str">
            <v>056</v>
          </cell>
          <cell r="C391" t="str">
            <v>08</v>
          </cell>
          <cell r="D391" t="str">
            <v>01</v>
          </cell>
          <cell r="E391" t="str">
            <v>4429901</v>
          </cell>
          <cell r="F391" t="str">
            <v>001</v>
          </cell>
          <cell r="G391">
            <v>225</v>
          </cell>
        </row>
        <row r="392">
          <cell r="A392" t="str">
            <v>Прочие услуги</v>
          </cell>
          <cell r="B392" t="str">
            <v>056</v>
          </cell>
          <cell r="C392" t="str">
            <v>08</v>
          </cell>
          <cell r="D392" t="str">
            <v>01</v>
          </cell>
          <cell r="E392" t="str">
            <v>4429901</v>
          </cell>
          <cell r="F392" t="str">
            <v>001</v>
          </cell>
          <cell r="G392">
            <v>226</v>
          </cell>
        </row>
        <row r="393">
          <cell r="A393" t="str">
            <v xml:space="preserve">Прочие расходы </v>
          </cell>
          <cell r="B393" t="str">
            <v>056</v>
          </cell>
          <cell r="C393" t="str">
            <v>08</v>
          </cell>
          <cell r="D393" t="str">
            <v>01</v>
          </cell>
          <cell r="E393" t="str">
            <v>4429901</v>
          </cell>
          <cell r="F393" t="str">
            <v>001</v>
          </cell>
          <cell r="G393">
            <v>290</v>
          </cell>
        </row>
        <row r="394">
          <cell r="A394" t="str">
            <v xml:space="preserve">Прочие расходы </v>
          </cell>
          <cell r="B394" t="str">
            <v>056</v>
          </cell>
          <cell r="C394" t="str">
            <v>08</v>
          </cell>
          <cell r="D394" t="str">
            <v>01</v>
          </cell>
          <cell r="E394" t="str">
            <v>4429500</v>
          </cell>
          <cell r="F394" t="str">
            <v>001</v>
          </cell>
          <cell r="G394" t="str">
            <v>290</v>
          </cell>
        </row>
        <row r="395">
          <cell r="A395" t="str">
            <v>Увелич. стоимости осн. средств</v>
          </cell>
          <cell r="B395" t="str">
            <v>056</v>
          </cell>
          <cell r="C395" t="str">
            <v>08</v>
          </cell>
          <cell r="D395" t="str">
            <v>01</v>
          </cell>
          <cell r="E395" t="str">
            <v>4429901</v>
          </cell>
          <cell r="F395" t="str">
            <v>001</v>
          </cell>
          <cell r="G395">
            <v>310</v>
          </cell>
        </row>
        <row r="396">
          <cell r="A396" t="str">
            <v>Увелич. стоимости матер. запасов</v>
          </cell>
          <cell r="B396" t="str">
            <v>056</v>
          </cell>
          <cell r="C396" t="str">
            <v>08</v>
          </cell>
          <cell r="D396" t="str">
            <v>01</v>
          </cell>
          <cell r="E396" t="str">
            <v>4429901</v>
          </cell>
          <cell r="F396" t="str">
            <v>001</v>
          </cell>
          <cell r="G396">
            <v>340</v>
          </cell>
        </row>
        <row r="397">
          <cell r="E397" t="str">
            <v>4420000</v>
          </cell>
        </row>
        <row r="399">
          <cell r="A399" t="str">
            <v>Заработная плата</v>
          </cell>
          <cell r="B399" t="str">
            <v>056</v>
          </cell>
          <cell r="C399" t="str">
            <v>08</v>
          </cell>
          <cell r="D399" t="str">
            <v>01</v>
          </cell>
          <cell r="E399">
            <v>4439901</v>
          </cell>
          <cell r="F399" t="str">
            <v>001</v>
          </cell>
          <cell r="G399">
            <v>211</v>
          </cell>
          <cell r="H399">
            <v>22267.966</v>
          </cell>
        </row>
        <row r="400">
          <cell r="A400" t="str">
            <v xml:space="preserve">Прочие выплаты </v>
          </cell>
          <cell r="B400" t="str">
            <v>056</v>
          </cell>
          <cell r="C400" t="str">
            <v>08</v>
          </cell>
          <cell r="D400" t="str">
            <v>01</v>
          </cell>
          <cell r="E400">
            <v>4439901</v>
          </cell>
          <cell r="F400" t="str">
            <v>001</v>
          </cell>
          <cell r="G400">
            <v>212</v>
          </cell>
        </row>
        <row r="401">
          <cell r="A401" t="str">
            <v>Начисления на оплату труда</v>
          </cell>
          <cell r="B401" t="str">
            <v>056</v>
          </cell>
          <cell r="C401" t="str">
            <v>08</v>
          </cell>
          <cell r="D401" t="str">
            <v>01</v>
          </cell>
          <cell r="E401">
            <v>4439901</v>
          </cell>
          <cell r="F401" t="str">
            <v>001</v>
          </cell>
          <cell r="G401">
            <v>213</v>
          </cell>
          <cell r="H401">
            <v>6724.6</v>
          </cell>
        </row>
        <row r="402">
          <cell r="A402" t="str">
            <v xml:space="preserve">Оплата услуг связи </v>
          </cell>
          <cell r="B402" t="str">
            <v>056</v>
          </cell>
          <cell r="C402" t="str">
            <v>08</v>
          </cell>
          <cell r="D402" t="str">
            <v>01</v>
          </cell>
          <cell r="E402">
            <v>4439901</v>
          </cell>
          <cell r="F402" t="str">
            <v>001</v>
          </cell>
          <cell r="G402">
            <v>221</v>
          </cell>
        </row>
        <row r="403">
          <cell r="A403" t="str">
            <v>Транспортные услуги</v>
          </cell>
          <cell r="B403" t="str">
            <v>056</v>
          </cell>
          <cell r="C403" t="str">
            <v>08</v>
          </cell>
          <cell r="D403" t="str">
            <v>01</v>
          </cell>
          <cell r="E403">
            <v>4439901</v>
          </cell>
          <cell r="F403" t="str">
            <v>001</v>
          </cell>
          <cell r="G403">
            <v>222</v>
          </cell>
          <cell r="H403">
            <v>84.710000000000008</v>
          </cell>
        </row>
        <row r="404">
          <cell r="A404" t="str">
            <v>Коммунальные услуги</v>
          </cell>
          <cell r="B404" t="str">
            <v>056</v>
          </cell>
          <cell r="C404" t="str">
            <v>08</v>
          </cell>
          <cell r="D404" t="str">
            <v>01</v>
          </cell>
          <cell r="E404">
            <v>4439901</v>
          </cell>
          <cell r="F404" t="str">
            <v>001</v>
          </cell>
          <cell r="G404">
            <v>223</v>
          </cell>
          <cell r="H404">
            <v>2055</v>
          </cell>
        </row>
        <row r="405">
          <cell r="A405" t="str">
            <v>Арендная плата</v>
          </cell>
          <cell r="B405" t="str">
            <v>056</v>
          </cell>
          <cell r="C405" t="str">
            <v>08</v>
          </cell>
          <cell r="D405" t="str">
            <v>01</v>
          </cell>
          <cell r="E405">
            <v>4439901</v>
          </cell>
          <cell r="F405" t="str">
            <v>001</v>
          </cell>
          <cell r="G405">
            <v>224</v>
          </cell>
        </row>
        <row r="406">
          <cell r="A406" t="str">
            <v>Услуги по содерж. имущества</v>
          </cell>
          <cell r="B406" t="str">
            <v>056</v>
          </cell>
          <cell r="C406" t="str">
            <v>08</v>
          </cell>
          <cell r="D406" t="str">
            <v>01</v>
          </cell>
          <cell r="E406">
            <v>4439901</v>
          </cell>
          <cell r="F406" t="str">
            <v>001</v>
          </cell>
          <cell r="G406">
            <v>225</v>
          </cell>
          <cell r="H406">
            <v>231</v>
          </cell>
        </row>
        <row r="407">
          <cell r="A407" t="str">
            <v>Прочие услуги</v>
          </cell>
          <cell r="B407" t="str">
            <v>056</v>
          </cell>
          <cell r="C407" t="str">
            <v>08</v>
          </cell>
          <cell r="D407" t="str">
            <v>01</v>
          </cell>
          <cell r="E407">
            <v>4439901</v>
          </cell>
          <cell r="F407" t="str">
            <v>001</v>
          </cell>
          <cell r="G407">
            <v>226</v>
          </cell>
          <cell r="H407">
            <v>1131.221</v>
          </cell>
        </row>
        <row r="408">
          <cell r="A408" t="str">
            <v xml:space="preserve">Прочие расходы </v>
          </cell>
          <cell r="B408" t="str">
            <v>056</v>
          </cell>
          <cell r="C408" t="str">
            <v>08</v>
          </cell>
          <cell r="D408" t="str">
            <v>01</v>
          </cell>
          <cell r="E408">
            <v>4439901</v>
          </cell>
          <cell r="F408" t="str">
            <v>001</v>
          </cell>
          <cell r="G408">
            <v>290</v>
          </cell>
          <cell r="H408">
            <v>47.5</v>
          </cell>
        </row>
        <row r="409">
          <cell r="A409" t="str">
            <v xml:space="preserve">Прочие расходы </v>
          </cell>
          <cell r="B409" t="str">
            <v>056</v>
          </cell>
          <cell r="C409" t="str">
            <v>08</v>
          </cell>
          <cell r="D409" t="str">
            <v>01</v>
          </cell>
          <cell r="E409" t="str">
            <v>4439500</v>
          </cell>
          <cell r="F409" t="str">
            <v>001</v>
          </cell>
          <cell r="G409" t="str">
            <v>290</v>
          </cell>
          <cell r="H409">
            <v>3791.1000000000004</v>
          </cell>
        </row>
        <row r="410">
          <cell r="A410" t="str">
            <v>Увелич. стоимости осн. средств</v>
          </cell>
          <cell r="B410" t="str">
            <v>056</v>
          </cell>
          <cell r="C410" t="str">
            <v>08</v>
          </cell>
          <cell r="D410" t="str">
            <v>01</v>
          </cell>
          <cell r="E410">
            <v>4439901</v>
          </cell>
          <cell r="F410" t="str">
            <v>001</v>
          </cell>
          <cell r="G410">
            <v>310</v>
          </cell>
          <cell r="H410">
            <v>200</v>
          </cell>
        </row>
        <row r="411">
          <cell r="A411" t="str">
            <v>Увелич. стоимости матер. запасов</v>
          </cell>
          <cell r="B411" t="str">
            <v>056</v>
          </cell>
          <cell r="C411" t="str">
            <v>08</v>
          </cell>
          <cell r="D411" t="str">
            <v>01</v>
          </cell>
          <cell r="E411">
            <v>4439901</v>
          </cell>
          <cell r="F411" t="str">
            <v>001</v>
          </cell>
          <cell r="G411">
            <v>340</v>
          </cell>
          <cell r="H411">
            <v>248.834</v>
          </cell>
        </row>
        <row r="414">
          <cell r="A414" t="str">
            <v>Заработная плата</v>
          </cell>
          <cell r="B414" t="str">
            <v>056</v>
          </cell>
          <cell r="C414" t="str">
            <v>08</v>
          </cell>
          <cell r="D414" t="str">
            <v>01</v>
          </cell>
          <cell r="E414">
            <v>4439901</v>
          </cell>
          <cell r="F414" t="str">
            <v>001</v>
          </cell>
          <cell r="G414">
            <v>211</v>
          </cell>
          <cell r="H414">
            <v>23218.400000000001</v>
          </cell>
        </row>
        <row r="415">
          <cell r="A415" t="str">
            <v xml:space="preserve">Прочие выплаты </v>
          </cell>
          <cell r="B415" t="str">
            <v>056</v>
          </cell>
          <cell r="C415" t="str">
            <v>08</v>
          </cell>
          <cell r="D415" t="str">
            <v>01</v>
          </cell>
          <cell r="E415">
            <v>4439901</v>
          </cell>
          <cell r="F415" t="str">
            <v>001</v>
          </cell>
          <cell r="G415">
            <v>212</v>
          </cell>
        </row>
        <row r="416">
          <cell r="A416" t="str">
            <v>Начисления на оплату труда</v>
          </cell>
          <cell r="B416" t="str">
            <v>056</v>
          </cell>
          <cell r="C416" t="str">
            <v>08</v>
          </cell>
          <cell r="D416" t="str">
            <v>01</v>
          </cell>
          <cell r="E416">
            <v>4439901</v>
          </cell>
          <cell r="F416" t="str">
            <v>001</v>
          </cell>
          <cell r="G416">
            <v>213</v>
          </cell>
          <cell r="H416">
            <v>6829.7</v>
          </cell>
        </row>
        <row r="417">
          <cell r="A417" t="str">
            <v xml:space="preserve">Оплата услуг связи </v>
          </cell>
          <cell r="B417" t="str">
            <v>056</v>
          </cell>
          <cell r="C417" t="str">
            <v>08</v>
          </cell>
          <cell r="D417" t="str">
            <v>01</v>
          </cell>
          <cell r="E417">
            <v>4439901</v>
          </cell>
          <cell r="F417" t="str">
            <v>001</v>
          </cell>
          <cell r="G417">
            <v>221</v>
          </cell>
        </row>
        <row r="418">
          <cell r="A418" t="str">
            <v>Транспортные услуги</v>
          </cell>
          <cell r="B418" t="str">
            <v>056</v>
          </cell>
          <cell r="C418" t="str">
            <v>08</v>
          </cell>
          <cell r="D418" t="str">
            <v>01</v>
          </cell>
          <cell r="E418">
            <v>4439901</v>
          </cell>
          <cell r="F418" t="str">
            <v>001</v>
          </cell>
          <cell r="G418">
            <v>222</v>
          </cell>
        </row>
        <row r="419">
          <cell r="A419" t="str">
            <v>Коммунальные услуги</v>
          </cell>
          <cell r="B419" t="str">
            <v>056</v>
          </cell>
          <cell r="C419" t="str">
            <v>08</v>
          </cell>
          <cell r="D419" t="str">
            <v>01</v>
          </cell>
          <cell r="E419">
            <v>4439901</v>
          </cell>
          <cell r="F419" t="str">
            <v>001</v>
          </cell>
          <cell r="G419">
            <v>223</v>
          </cell>
          <cell r="H419">
            <v>820</v>
          </cell>
        </row>
        <row r="420">
          <cell r="A420" t="str">
            <v>Арендная плата</v>
          </cell>
          <cell r="B420" t="str">
            <v>056</v>
          </cell>
          <cell r="C420" t="str">
            <v>08</v>
          </cell>
          <cell r="D420" t="str">
            <v>01</v>
          </cell>
          <cell r="E420">
            <v>4439901</v>
          </cell>
          <cell r="F420" t="str">
            <v>001</v>
          </cell>
          <cell r="G420">
            <v>224</v>
          </cell>
        </row>
        <row r="421">
          <cell r="A421" t="str">
            <v>Услуги по содерж. имущества</v>
          </cell>
          <cell r="B421" t="str">
            <v>056</v>
          </cell>
          <cell r="C421" t="str">
            <v>08</v>
          </cell>
          <cell r="D421" t="str">
            <v>01</v>
          </cell>
          <cell r="E421">
            <v>4439901</v>
          </cell>
          <cell r="F421" t="str">
            <v>001</v>
          </cell>
          <cell r="G421">
            <v>225</v>
          </cell>
          <cell r="H421">
            <v>350</v>
          </cell>
        </row>
        <row r="422">
          <cell r="A422" t="str">
            <v>Прочие услуги</v>
          </cell>
          <cell r="B422" t="str">
            <v>056</v>
          </cell>
          <cell r="C422" t="str">
            <v>08</v>
          </cell>
          <cell r="D422" t="str">
            <v>01</v>
          </cell>
          <cell r="E422">
            <v>4439901</v>
          </cell>
          <cell r="F422" t="str">
            <v>001</v>
          </cell>
          <cell r="G422">
            <v>226</v>
          </cell>
          <cell r="H422">
            <v>180</v>
          </cell>
        </row>
        <row r="423">
          <cell r="A423" t="str">
            <v xml:space="preserve">Прочие расходы </v>
          </cell>
          <cell r="B423" t="str">
            <v>056</v>
          </cell>
          <cell r="C423" t="str">
            <v>08</v>
          </cell>
          <cell r="D423" t="str">
            <v>01</v>
          </cell>
          <cell r="E423">
            <v>4439901</v>
          </cell>
          <cell r="F423" t="str">
            <v>001</v>
          </cell>
          <cell r="G423">
            <v>290</v>
          </cell>
          <cell r="H423">
            <v>40.1</v>
          </cell>
        </row>
        <row r="424">
          <cell r="A424" t="str">
            <v xml:space="preserve">Прочие расходы </v>
          </cell>
          <cell r="B424" t="str">
            <v>056</v>
          </cell>
          <cell r="C424" t="str">
            <v>08</v>
          </cell>
          <cell r="D424" t="str">
            <v>01</v>
          </cell>
          <cell r="E424" t="str">
            <v>4439500</v>
          </cell>
          <cell r="F424" t="str">
            <v>001</v>
          </cell>
          <cell r="G424" t="str">
            <v>290</v>
          </cell>
          <cell r="H424">
            <v>1694.6999999999998</v>
          </cell>
        </row>
        <row r="425">
          <cell r="A425" t="str">
            <v>Увелич. стоимости осн. средств</v>
          </cell>
          <cell r="B425" t="str">
            <v>056</v>
          </cell>
          <cell r="C425" t="str">
            <v>08</v>
          </cell>
          <cell r="D425" t="str">
            <v>01</v>
          </cell>
          <cell r="E425">
            <v>4439901</v>
          </cell>
          <cell r="F425" t="str">
            <v>001</v>
          </cell>
          <cell r="G425">
            <v>310</v>
          </cell>
          <cell r="H425">
            <v>50</v>
          </cell>
        </row>
        <row r="426">
          <cell r="A426" t="str">
            <v>Увелич. стоимости матер. запасов</v>
          </cell>
          <cell r="B426" t="str">
            <v>056</v>
          </cell>
          <cell r="C426" t="str">
            <v>08</v>
          </cell>
          <cell r="D426" t="str">
            <v>01</v>
          </cell>
          <cell r="E426">
            <v>4439901</v>
          </cell>
          <cell r="F426" t="str">
            <v>001</v>
          </cell>
          <cell r="G426">
            <v>340</v>
          </cell>
          <cell r="H426">
            <v>70</v>
          </cell>
        </row>
        <row r="429">
          <cell r="A429" t="str">
            <v>Заработная плата</v>
          </cell>
          <cell r="B429" t="str">
            <v>056</v>
          </cell>
          <cell r="C429" t="str">
            <v>08</v>
          </cell>
          <cell r="D429" t="str">
            <v>01</v>
          </cell>
          <cell r="E429">
            <v>4439901</v>
          </cell>
          <cell r="F429" t="str">
            <v>001</v>
          </cell>
          <cell r="G429">
            <v>211</v>
          </cell>
          <cell r="H429">
            <v>19889.8</v>
          </cell>
        </row>
        <row r="430">
          <cell r="A430" t="str">
            <v xml:space="preserve">Прочие выплаты </v>
          </cell>
          <cell r="B430" t="str">
            <v>056</v>
          </cell>
          <cell r="C430" t="str">
            <v>08</v>
          </cell>
          <cell r="D430" t="str">
            <v>01</v>
          </cell>
          <cell r="E430">
            <v>4439901</v>
          </cell>
          <cell r="F430" t="str">
            <v>001</v>
          </cell>
          <cell r="G430">
            <v>212</v>
          </cell>
        </row>
        <row r="431">
          <cell r="A431" t="str">
            <v>Начисления на оплату труда</v>
          </cell>
          <cell r="B431" t="str">
            <v>056</v>
          </cell>
          <cell r="C431" t="str">
            <v>08</v>
          </cell>
          <cell r="D431" t="str">
            <v>01</v>
          </cell>
          <cell r="E431">
            <v>4439901</v>
          </cell>
          <cell r="F431" t="str">
            <v>001</v>
          </cell>
          <cell r="G431">
            <v>213</v>
          </cell>
          <cell r="H431">
            <v>5943.5999999999995</v>
          </cell>
        </row>
        <row r="432">
          <cell r="A432" t="str">
            <v xml:space="preserve">Оплата услуг связи </v>
          </cell>
          <cell r="B432" t="str">
            <v>056</v>
          </cell>
          <cell r="C432" t="str">
            <v>08</v>
          </cell>
          <cell r="D432" t="str">
            <v>01</v>
          </cell>
          <cell r="E432">
            <v>4439901</v>
          </cell>
          <cell r="F432" t="str">
            <v>001</v>
          </cell>
          <cell r="G432">
            <v>221</v>
          </cell>
        </row>
        <row r="433">
          <cell r="A433" t="str">
            <v>Транспортные услуги</v>
          </cell>
          <cell r="B433" t="str">
            <v>056</v>
          </cell>
          <cell r="C433" t="str">
            <v>08</v>
          </cell>
          <cell r="D433" t="str">
            <v>01</v>
          </cell>
          <cell r="E433">
            <v>4439901</v>
          </cell>
          <cell r="F433" t="str">
            <v>001</v>
          </cell>
          <cell r="G433">
            <v>222</v>
          </cell>
        </row>
        <row r="434">
          <cell r="A434" t="str">
            <v>Коммунальные услуги</v>
          </cell>
          <cell r="B434" t="str">
            <v>056</v>
          </cell>
          <cell r="C434" t="str">
            <v>08</v>
          </cell>
          <cell r="D434" t="str">
            <v>01</v>
          </cell>
          <cell r="E434">
            <v>4439901</v>
          </cell>
          <cell r="F434" t="str">
            <v>001</v>
          </cell>
          <cell r="G434">
            <v>223</v>
          </cell>
          <cell r="H434">
            <v>1050</v>
          </cell>
        </row>
        <row r="435">
          <cell r="A435" t="str">
            <v>Арендная плата</v>
          </cell>
          <cell r="B435" t="str">
            <v>056</v>
          </cell>
          <cell r="C435" t="str">
            <v>08</v>
          </cell>
          <cell r="D435" t="str">
            <v>01</v>
          </cell>
          <cell r="E435">
            <v>4439901</v>
          </cell>
          <cell r="F435" t="str">
            <v>001</v>
          </cell>
          <cell r="G435">
            <v>224</v>
          </cell>
        </row>
        <row r="436">
          <cell r="A436" t="str">
            <v>Услуги по содерж. имущества</v>
          </cell>
          <cell r="B436" t="str">
            <v>056</v>
          </cell>
          <cell r="C436" t="str">
            <v>08</v>
          </cell>
          <cell r="D436" t="str">
            <v>01</v>
          </cell>
          <cell r="E436">
            <v>4439901</v>
          </cell>
          <cell r="F436" t="str">
            <v>001</v>
          </cell>
          <cell r="G436">
            <v>225</v>
          </cell>
        </row>
        <row r="437">
          <cell r="A437" t="str">
            <v>Прочие услуги</v>
          </cell>
          <cell r="B437" t="str">
            <v>056</v>
          </cell>
          <cell r="C437" t="str">
            <v>08</v>
          </cell>
          <cell r="D437" t="str">
            <v>01</v>
          </cell>
          <cell r="E437">
            <v>4439901</v>
          </cell>
          <cell r="F437" t="str">
            <v>001</v>
          </cell>
          <cell r="G437">
            <v>226</v>
          </cell>
          <cell r="H437">
            <v>154.63999999999999</v>
          </cell>
        </row>
        <row r="438">
          <cell r="A438" t="str">
            <v xml:space="preserve">Прочие расходы </v>
          </cell>
          <cell r="B438" t="str">
            <v>056</v>
          </cell>
          <cell r="C438" t="str">
            <v>08</v>
          </cell>
          <cell r="D438" t="str">
            <v>01</v>
          </cell>
          <cell r="E438">
            <v>4439901</v>
          </cell>
          <cell r="F438" t="str">
            <v>001</v>
          </cell>
          <cell r="G438">
            <v>290</v>
          </cell>
          <cell r="H438">
            <v>40.299999999999997</v>
          </cell>
        </row>
        <row r="439">
          <cell r="A439" t="str">
            <v xml:space="preserve">Прочие расходы </v>
          </cell>
          <cell r="B439" t="str">
            <v>056</v>
          </cell>
          <cell r="C439" t="str">
            <v>08</v>
          </cell>
          <cell r="D439" t="str">
            <v>01</v>
          </cell>
          <cell r="E439" t="str">
            <v>4439500</v>
          </cell>
          <cell r="F439" t="str">
            <v>001</v>
          </cell>
          <cell r="G439" t="str">
            <v>290</v>
          </cell>
          <cell r="H439">
            <v>3099.1</v>
          </cell>
        </row>
        <row r="440">
          <cell r="A440" t="str">
            <v>Увелич. стоимости осн. средств</v>
          </cell>
          <cell r="B440" t="str">
            <v>056</v>
          </cell>
          <cell r="C440" t="str">
            <v>08</v>
          </cell>
          <cell r="D440" t="str">
            <v>01</v>
          </cell>
          <cell r="E440">
            <v>4439901</v>
          </cell>
          <cell r="F440" t="str">
            <v>001</v>
          </cell>
          <cell r="G440">
            <v>310</v>
          </cell>
          <cell r="H440">
            <v>200.36</v>
          </cell>
        </row>
        <row r="441">
          <cell r="A441" t="str">
            <v>Увелич. стоимости матер. запасов</v>
          </cell>
          <cell r="B441" t="str">
            <v>056</v>
          </cell>
          <cell r="C441" t="str">
            <v>08</v>
          </cell>
          <cell r="D441" t="str">
            <v>01</v>
          </cell>
          <cell r="E441">
            <v>4439901</v>
          </cell>
          <cell r="F441" t="str">
            <v>001</v>
          </cell>
          <cell r="G441">
            <v>340</v>
          </cell>
          <cell r="H441">
            <v>200</v>
          </cell>
        </row>
        <row r="444">
          <cell r="A444" t="str">
            <v>Заработная плата</v>
          </cell>
          <cell r="B444" t="str">
            <v>056</v>
          </cell>
          <cell r="C444" t="str">
            <v>08</v>
          </cell>
          <cell r="D444" t="str">
            <v>01</v>
          </cell>
          <cell r="E444">
            <v>4439901</v>
          </cell>
          <cell r="F444" t="str">
            <v>001</v>
          </cell>
          <cell r="G444">
            <v>211</v>
          </cell>
          <cell r="H444">
            <v>17181.900000000001</v>
          </cell>
        </row>
        <row r="445">
          <cell r="A445" t="str">
            <v xml:space="preserve">Прочие выплаты </v>
          </cell>
          <cell r="B445" t="str">
            <v>056</v>
          </cell>
          <cell r="C445" t="str">
            <v>08</v>
          </cell>
          <cell r="D445" t="str">
            <v>01</v>
          </cell>
          <cell r="E445">
            <v>4439901</v>
          </cell>
          <cell r="F445" t="str">
            <v>001</v>
          </cell>
          <cell r="G445">
            <v>212</v>
          </cell>
        </row>
        <row r="446">
          <cell r="A446" t="str">
            <v>Начисления на оплату труда</v>
          </cell>
          <cell r="B446" t="str">
            <v>056</v>
          </cell>
          <cell r="C446" t="str">
            <v>08</v>
          </cell>
          <cell r="D446" t="str">
            <v>01</v>
          </cell>
          <cell r="E446">
            <v>4439901</v>
          </cell>
          <cell r="F446" t="str">
            <v>001</v>
          </cell>
          <cell r="G446">
            <v>213</v>
          </cell>
          <cell r="H446">
            <v>5188.8999999999996</v>
          </cell>
        </row>
        <row r="447">
          <cell r="A447" t="str">
            <v xml:space="preserve">Оплата услуг связи </v>
          </cell>
          <cell r="B447" t="str">
            <v>056</v>
          </cell>
          <cell r="C447" t="str">
            <v>08</v>
          </cell>
          <cell r="D447" t="str">
            <v>01</v>
          </cell>
          <cell r="E447">
            <v>4439901</v>
          </cell>
          <cell r="F447" t="str">
            <v>001</v>
          </cell>
          <cell r="G447">
            <v>221</v>
          </cell>
        </row>
        <row r="448">
          <cell r="A448" t="str">
            <v>Транспортные услуги</v>
          </cell>
          <cell r="B448" t="str">
            <v>056</v>
          </cell>
          <cell r="C448" t="str">
            <v>08</v>
          </cell>
          <cell r="D448" t="str">
            <v>01</v>
          </cell>
          <cell r="E448">
            <v>4439901</v>
          </cell>
          <cell r="F448" t="str">
            <v>001</v>
          </cell>
          <cell r="G448">
            <v>222</v>
          </cell>
        </row>
        <row r="449">
          <cell r="A449" t="str">
            <v>Коммунальные услуги</v>
          </cell>
          <cell r="B449" t="str">
            <v>056</v>
          </cell>
          <cell r="C449" t="str">
            <v>08</v>
          </cell>
          <cell r="D449" t="str">
            <v>01</v>
          </cell>
          <cell r="E449">
            <v>4439901</v>
          </cell>
          <cell r="F449" t="str">
            <v>001</v>
          </cell>
          <cell r="G449">
            <v>223</v>
          </cell>
          <cell r="H449">
            <v>507</v>
          </cell>
        </row>
        <row r="450">
          <cell r="A450" t="str">
            <v>Арендная плата</v>
          </cell>
          <cell r="B450" t="str">
            <v>056</v>
          </cell>
          <cell r="C450" t="str">
            <v>08</v>
          </cell>
          <cell r="D450" t="str">
            <v>01</v>
          </cell>
          <cell r="E450">
            <v>4439901</v>
          </cell>
          <cell r="F450" t="str">
            <v>001</v>
          </cell>
          <cell r="G450">
            <v>224</v>
          </cell>
        </row>
        <row r="451">
          <cell r="A451" t="str">
            <v>Услуги по содерж. имущества</v>
          </cell>
          <cell r="B451" t="str">
            <v>056</v>
          </cell>
          <cell r="C451" t="str">
            <v>08</v>
          </cell>
          <cell r="D451" t="str">
            <v>01</v>
          </cell>
          <cell r="E451">
            <v>4439901</v>
          </cell>
          <cell r="F451" t="str">
            <v>001</v>
          </cell>
          <cell r="G451">
            <v>225</v>
          </cell>
        </row>
        <row r="452">
          <cell r="A452" t="str">
            <v>Прочие услуги</v>
          </cell>
          <cell r="B452" t="str">
            <v>056</v>
          </cell>
          <cell r="C452" t="str">
            <v>08</v>
          </cell>
          <cell r="D452" t="str">
            <v>01</v>
          </cell>
          <cell r="E452">
            <v>4439901</v>
          </cell>
          <cell r="F452" t="str">
            <v>001</v>
          </cell>
          <cell r="G452">
            <v>226</v>
          </cell>
          <cell r="H452">
            <v>335</v>
          </cell>
        </row>
        <row r="453">
          <cell r="A453" t="str">
            <v xml:space="preserve">Прочие расходы </v>
          </cell>
          <cell r="B453" t="str">
            <v>056</v>
          </cell>
          <cell r="C453" t="str">
            <v>08</v>
          </cell>
          <cell r="D453" t="str">
            <v>01</v>
          </cell>
          <cell r="E453">
            <v>4439901</v>
          </cell>
          <cell r="F453" t="str">
            <v>001</v>
          </cell>
          <cell r="G453">
            <v>290</v>
          </cell>
          <cell r="H453">
            <v>33.200000000000003</v>
          </cell>
        </row>
        <row r="454">
          <cell r="A454" t="str">
            <v xml:space="preserve">Прочие расходы </v>
          </cell>
          <cell r="B454" t="str">
            <v>056</v>
          </cell>
          <cell r="C454" t="str">
            <v>08</v>
          </cell>
          <cell r="D454" t="str">
            <v>01</v>
          </cell>
          <cell r="E454" t="str">
            <v>4439500</v>
          </cell>
          <cell r="F454" t="str">
            <v>001</v>
          </cell>
          <cell r="G454" t="str">
            <v>290</v>
          </cell>
          <cell r="H454">
            <v>1491.2</v>
          </cell>
        </row>
        <row r="455">
          <cell r="A455" t="str">
            <v>Увелич. стоимости осн. средств</v>
          </cell>
          <cell r="B455" t="str">
            <v>056</v>
          </cell>
          <cell r="C455" t="str">
            <v>08</v>
          </cell>
          <cell r="D455" t="str">
            <v>01</v>
          </cell>
          <cell r="E455">
            <v>4439901</v>
          </cell>
          <cell r="F455" t="str">
            <v>001</v>
          </cell>
          <cell r="G455">
            <v>310</v>
          </cell>
          <cell r="H455">
            <v>150</v>
          </cell>
        </row>
        <row r="456">
          <cell r="A456" t="str">
            <v>Увелич. стоимости матер. запасов</v>
          </cell>
          <cell r="B456" t="str">
            <v>056</v>
          </cell>
          <cell r="C456" t="str">
            <v>08</v>
          </cell>
          <cell r="D456" t="str">
            <v>01</v>
          </cell>
          <cell r="E456">
            <v>4439901</v>
          </cell>
          <cell r="F456" t="str">
            <v>001</v>
          </cell>
          <cell r="G456">
            <v>340</v>
          </cell>
          <cell r="H456">
            <v>170</v>
          </cell>
        </row>
        <row r="459">
          <cell r="A459" t="str">
            <v>Заработная плата</v>
          </cell>
          <cell r="B459" t="str">
            <v>056</v>
          </cell>
          <cell r="C459" t="str">
            <v>08</v>
          </cell>
          <cell r="D459" t="str">
            <v>01</v>
          </cell>
          <cell r="E459">
            <v>4439901</v>
          </cell>
          <cell r="F459" t="str">
            <v>001</v>
          </cell>
          <cell r="G459">
            <v>211</v>
          </cell>
          <cell r="H459">
            <v>10880.02</v>
          </cell>
        </row>
        <row r="460">
          <cell r="A460" t="str">
            <v xml:space="preserve">Прочие выплаты </v>
          </cell>
          <cell r="B460" t="str">
            <v>056</v>
          </cell>
          <cell r="C460" t="str">
            <v>08</v>
          </cell>
          <cell r="D460" t="str">
            <v>01</v>
          </cell>
          <cell r="E460">
            <v>4439901</v>
          </cell>
          <cell r="F460" t="str">
            <v>001</v>
          </cell>
          <cell r="G460">
            <v>212</v>
          </cell>
        </row>
        <row r="461">
          <cell r="A461" t="str">
            <v>Начисления на оплату труда</v>
          </cell>
          <cell r="B461" t="str">
            <v>056</v>
          </cell>
          <cell r="C461" t="str">
            <v>08</v>
          </cell>
          <cell r="D461" t="str">
            <v>01</v>
          </cell>
          <cell r="E461">
            <v>4439901</v>
          </cell>
          <cell r="F461" t="str">
            <v>001</v>
          </cell>
          <cell r="G461">
            <v>213</v>
          </cell>
          <cell r="H461">
            <v>3073.3</v>
          </cell>
        </row>
        <row r="462">
          <cell r="A462" t="str">
            <v xml:space="preserve">Оплата услуг связи </v>
          </cell>
          <cell r="B462" t="str">
            <v>056</v>
          </cell>
          <cell r="C462" t="str">
            <v>08</v>
          </cell>
          <cell r="D462" t="str">
            <v>01</v>
          </cell>
          <cell r="E462">
            <v>4439901</v>
          </cell>
          <cell r="F462" t="str">
            <v>001</v>
          </cell>
          <cell r="G462">
            <v>221</v>
          </cell>
        </row>
        <row r="463">
          <cell r="A463" t="str">
            <v>Транспортные услуги</v>
          </cell>
          <cell r="B463" t="str">
            <v>056</v>
          </cell>
          <cell r="C463" t="str">
            <v>08</v>
          </cell>
          <cell r="D463" t="str">
            <v>01</v>
          </cell>
          <cell r="E463">
            <v>4439901</v>
          </cell>
          <cell r="F463" t="str">
            <v>001</v>
          </cell>
          <cell r="G463">
            <v>222</v>
          </cell>
        </row>
        <row r="464">
          <cell r="A464" t="str">
            <v>Коммунальные услуги</v>
          </cell>
          <cell r="B464" t="str">
            <v>056</v>
          </cell>
          <cell r="C464" t="str">
            <v>08</v>
          </cell>
          <cell r="D464" t="str">
            <v>01</v>
          </cell>
          <cell r="E464">
            <v>4439901</v>
          </cell>
          <cell r="F464" t="str">
            <v>001</v>
          </cell>
          <cell r="G464">
            <v>223</v>
          </cell>
          <cell r="H464">
            <v>654.88</v>
          </cell>
        </row>
        <row r="465">
          <cell r="A465" t="str">
            <v>Арендная плата</v>
          </cell>
          <cell r="B465" t="str">
            <v>056</v>
          </cell>
          <cell r="C465" t="str">
            <v>08</v>
          </cell>
          <cell r="D465" t="str">
            <v>01</v>
          </cell>
          <cell r="E465">
            <v>4439901</v>
          </cell>
          <cell r="F465" t="str">
            <v>001</v>
          </cell>
          <cell r="G465">
            <v>224</v>
          </cell>
        </row>
        <row r="466">
          <cell r="A466" t="str">
            <v>Услуги по содерж. имущества</v>
          </cell>
          <cell r="B466" t="str">
            <v>056</v>
          </cell>
          <cell r="C466" t="str">
            <v>08</v>
          </cell>
          <cell r="D466" t="str">
            <v>01</v>
          </cell>
          <cell r="E466">
            <v>4439901</v>
          </cell>
          <cell r="F466" t="str">
            <v>001</v>
          </cell>
          <cell r="G466">
            <v>225</v>
          </cell>
        </row>
        <row r="467">
          <cell r="A467" t="str">
            <v>Прочие услуги</v>
          </cell>
          <cell r="B467" t="str">
            <v>056</v>
          </cell>
          <cell r="C467" t="str">
            <v>08</v>
          </cell>
          <cell r="D467" t="str">
            <v>01</v>
          </cell>
          <cell r="E467">
            <v>4439901</v>
          </cell>
          <cell r="F467" t="str">
            <v>001</v>
          </cell>
          <cell r="G467">
            <v>226</v>
          </cell>
          <cell r="H467">
            <v>225</v>
          </cell>
        </row>
        <row r="468">
          <cell r="A468" t="str">
            <v xml:space="preserve">Прочие расходы </v>
          </cell>
          <cell r="B468" t="str">
            <v>056</v>
          </cell>
          <cell r="C468" t="str">
            <v>08</v>
          </cell>
          <cell r="D468" t="str">
            <v>01</v>
          </cell>
          <cell r="E468">
            <v>4439901</v>
          </cell>
          <cell r="F468" t="str">
            <v>001</v>
          </cell>
          <cell r="G468">
            <v>290</v>
          </cell>
          <cell r="H468">
            <v>19</v>
          </cell>
        </row>
        <row r="469">
          <cell r="A469" t="str">
            <v xml:space="preserve">Прочие расходы </v>
          </cell>
          <cell r="B469" t="str">
            <v>056</v>
          </cell>
          <cell r="C469" t="str">
            <v>08</v>
          </cell>
          <cell r="D469" t="str">
            <v>01</v>
          </cell>
          <cell r="E469" t="str">
            <v>4439500</v>
          </cell>
          <cell r="F469" t="str">
            <v>001</v>
          </cell>
          <cell r="G469" t="str">
            <v>290</v>
          </cell>
          <cell r="H469">
            <v>204.8</v>
          </cell>
        </row>
        <row r="470">
          <cell r="A470" t="str">
            <v>Увелич. стоимости осн. средств</v>
          </cell>
          <cell r="B470" t="str">
            <v>056</v>
          </cell>
          <cell r="C470" t="str">
            <v>08</v>
          </cell>
          <cell r="D470" t="str">
            <v>01</v>
          </cell>
          <cell r="E470">
            <v>4439901</v>
          </cell>
          <cell r="F470" t="str">
            <v>001</v>
          </cell>
          <cell r="G470">
            <v>310</v>
          </cell>
          <cell r="H470">
            <v>500</v>
          </cell>
        </row>
        <row r="471">
          <cell r="A471" t="str">
            <v>Увелич. стоимости матер. запасов</v>
          </cell>
          <cell r="B471" t="str">
            <v>056</v>
          </cell>
          <cell r="C471" t="str">
            <v>08</v>
          </cell>
          <cell r="D471" t="str">
            <v>01</v>
          </cell>
          <cell r="E471">
            <v>4439901</v>
          </cell>
          <cell r="F471" t="str">
            <v>001</v>
          </cell>
          <cell r="G471">
            <v>340</v>
          </cell>
          <cell r="H471">
            <v>80</v>
          </cell>
        </row>
        <row r="474">
          <cell r="A474" t="str">
            <v>Заработная плата</v>
          </cell>
          <cell r="B474" t="str">
            <v>056</v>
          </cell>
          <cell r="C474" t="str">
            <v>08</v>
          </cell>
          <cell r="D474" t="str">
            <v>01</v>
          </cell>
          <cell r="E474">
            <v>4439901</v>
          </cell>
          <cell r="F474" t="str">
            <v>001</v>
          </cell>
          <cell r="G474">
            <v>211</v>
          </cell>
          <cell r="H474">
            <v>14441</v>
          </cell>
        </row>
        <row r="475">
          <cell r="A475" t="str">
            <v xml:space="preserve">Прочие выплаты </v>
          </cell>
          <cell r="B475" t="str">
            <v>056</v>
          </cell>
          <cell r="C475" t="str">
            <v>08</v>
          </cell>
          <cell r="D475" t="str">
            <v>01</v>
          </cell>
          <cell r="E475">
            <v>4439901</v>
          </cell>
          <cell r="F475" t="str">
            <v>001</v>
          </cell>
          <cell r="G475">
            <v>212</v>
          </cell>
        </row>
        <row r="476">
          <cell r="A476" t="str">
            <v>Начисления на оплату труда</v>
          </cell>
          <cell r="B476" t="str">
            <v>056</v>
          </cell>
          <cell r="C476" t="str">
            <v>08</v>
          </cell>
          <cell r="D476" t="str">
            <v>01</v>
          </cell>
          <cell r="E476">
            <v>4439901</v>
          </cell>
          <cell r="F476" t="str">
            <v>001</v>
          </cell>
          <cell r="G476">
            <v>213</v>
          </cell>
          <cell r="H476">
            <v>4361.2</v>
          </cell>
        </row>
        <row r="477">
          <cell r="A477" t="str">
            <v xml:space="preserve">Оплата услуг связи </v>
          </cell>
          <cell r="B477" t="str">
            <v>056</v>
          </cell>
          <cell r="C477" t="str">
            <v>08</v>
          </cell>
          <cell r="D477" t="str">
            <v>01</v>
          </cell>
          <cell r="E477">
            <v>4439901</v>
          </cell>
          <cell r="F477" t="str">
            <v>001</v>
          </cell>
          <cell r="G477">
            <v>221</v>
          </cell>
        </row>
        <row r="478">
          <cell r="A478" t="str">
            <v>Транспортные услуги</v>
          </cell>
          <cell r="B478" t="str">
            <v>056</v>
          </cell>
          <cell r="C478" t="str">
            <v>08</v>
          </cell>
          <cell r="D478" t="str">
            <v>01</v>
          </cell>
          <cell r="E478">
            <v>4439901</v>
          </cell>
          <cell r="F478" t="str">
            <v>001</v>
          </cell>
          <cell r="G478">
            <v>222</v>
          </cell>
        </row>
        <row r="479">
          <cell r="A479" t="str">
            <v>Коммунальные услуги</v>
          </cell>
          <cell r="B479" t="str">
            <v>056</v>
          </cell>
          <cell r="C479" t="str">
            <v>08</v>
          </cell>
          <cell r="D479" t="str">
            <v>01</v>
          </cell>
          <cell r="E479">
            <v>4439901</v>
          </cell>
          <cell r="F479" t="str">
            <v>001</v>
          </cell>
          <cell r="G479">
            <v>223</v>
          </cell>
        </row>
        <row r="480">
          <cell r="A480" t="str">
            <v>Арендная плата</v>
          </cell>
          <cell r="B480" t="str">
            <v>056</v>
          </cell>
          <cell r="C480" t="str">
            <v>08</v>
          </cell>
          <cell r="D480" t="str">
            <v>01</v>
          </cell>
          <cell r="E480">
            <v>4439901</v>
          </cell>
          <cell r="F480" t="str">
            <v>001</v>
          </cell>
          <cell r="G480">
            <v>224</v>
          </cell>
        </row>
        <row r="481">
          <cell r="A481" t="str">
            <v>Услуги по содерж. имущества</v>
          </cell>
          <cell r="B481" t="str">
            <v>056</v>
          </cell>
          <cell r="C481" t="str">
            <v>08</v>
          </cell>
          <cell r="D481" t="str">
            <v>01</v>
          </cell>
          <cell r="E481">
            <v>4439901</v>
          </cell>
          <cell r="F481" t="str">
            <v>001</v>
          </cell>
          <cell r="G481">
            <v>225</v>
          </cell>
        </row>
        <row r="482">
          <cell r="A482" t="str">
            <v>Прочие услуги</v>
          </cell>
          <cell r="B482" t="str">
            <v>056</v>
          </cell>
          <cell r="C482" t="str">
            <v>08</v>
          </cell>
          <cell r="D482" t="str">
            <v>01</v>
          </cell>
          <cell r="E482">
            <v>4439901</v>
          </cell>
          <cell r="F482" t="str">
            <v>001</v>
          </cell>
          <cell r="G482">
            <v>226</v>
          </cell>
          <cell r="H482">
            <v>234.64</v>
          </cell>
        </row>
        <row r="483">
          <cell r="A483" t="str">
            <v xml:space="preserve">Прочие расходы </v>
          </cell>
          <cell r="B483" t="str">
            <v>056</v>
          </cell>
          <cell r="C483" t="str">
            <v>08</v>
          </cell>
          <cell r="D483" t="str">
            <v>01</v>
          </cell>
          <cell r="E483">
            <v>4439901</v>
          </cell>
          <cell r="F483" t="str">
            <v>001</v>
          </cell>
          <cell r="G483">
            <v>290</v>
          </cell>
          <cell r="H483">
            <v>21.8</v>
          </cell>
        </row>
        <row r="484">
          <cell r="A484" t="str">
            <v xml:space="preserve">Прочие расходы </v>
          </cell>
          <cell r="B484" t="str">
            <v>056</v>
          </cell>
          <cell r="C484" t="str">
            <v>08</v>
          </cell>
          <cell r="D484" t="str">
            <v>01</v>
          </cell>
          <cell r="E484" t="str">
            <v>4439500</v>
          </cell>
          <cell r="F484" t="str">
            <v>001</v>
          </cell>
          <cell r="G484" t="str">
            <v>290</v>
          </cell>
          <cell r="H484">
            <v>39</v>
          </cell>
        </row>
        <row r="485">
          <cell r="A485" t="str">
            <v>Увелич. стоимости осн. средств</v>
          </cell>
          <cell r="B485" t="str">
            <v>056</v>
          </cell>
          <cell r="C485" t="str">
            <v>08</v>
          </cell>
          <cell r="D485" t="str">
            <v>01</v>
          </cell>
          <cell r="E485">
            <v>4439901</v>
          </cell>
          <cell r="F485" t="str">
            <v>001</v>
          </cell>
          <cell r="G485">
            <v>310</v>
          </cell>
          <cell r="H485">
            <v>70.36</v>
          </cell>
        </row>
        <row r="486">
          <cell r="A486" t="str">
            <v>Увелич. стоимости матер. запасов</v>
          </cell>
          <cell r="B486" t="str">
            <v>056</v>
          </cell>
          <cell r="C486" t="str">
            <v>08</v>
          </cell>
          <cell r="D486" t="str">
            <v>01</v>
          </cell>
          <cell r="E486">
            <v>4439901</v>
          </cell>
          <cell r="F486" t="str">
            <v>001</v>
          </cell>
          <cell r="G486">
            <v>340</v>
          </cell>
          <cell r="H486">
            <v>450</v>
          </cell>
        </row>
        <row r="489">
          <cell r="A489" t="str">
            <v>Заработная плата</v>
          </cell>
          <cell r="B489" t="str">
            <v>056</v>
          </cell>
          <cell r="C489" t="str">
            <v>08</v>
          </cell>
          <cell r="D489" t="str">
            <v>01</v>
          </cell>
          <cell r="E489">
            <v>4439901</v>
          </cell>
          <cell r="F489" t="str">
            <v>001</v>
          </cell>
          <cell r="G489">
            <v>211</v>
          </cell>
          <cell r="H489">
            <v>13938</v>
          </cell>
        </row>
        <row r="490">
          <cell r="A490" t="str">
            <v xml:space="preserve">Прочие выплаты </v>
          </cell>
          <cell r="B490" t="str">
            <v>056</v>
          </cell>
          <cell r="C490" t="str">
            <v>08</v>
          </cell>
          <cell r="D490" t="str">
            <v>01</v>
          </cell>
          <cell r="E490">
            <v>4439901</v>
          </cell>
          <cell r="F490" t="str">
            <v>001</v>
          </cell>
          <cell r="G490">
            <v>212</v>
          </cell>
        </row>
        <row r="491">
          <cell r="A491" t="str">
            <v>Начисления на оплату труда</v>
          </cell>
          <cell r="B491" t="str">
            <v>056</v>
          </cell>
          <cell r="C491" t="str">
            <v>08</v>
          </cell>
          <cell r="D491" t="str">
            <v>01</v>
          </cell>
          <cell r="E491">
            <v>4439901</v>
          </cell>
          <cell r="F491" t="str">
            <v>001</v>
          </cell>
          <cell r="G491">
            <v>213</v>
          </cell>
          <cell r="H491">
            <v>4181.8</v>
          </cell>
        </row>
        <row r="492">
          <cell r="A492" t="str">
            <v xml:space="preserve">Оплата услуг связи </v>
          </cell>
          <cell r="B492" t="str">
            <v>056</v>
          </cell>
          <cell r="C492" t="str">
            <v>08</v>
          </cell>
          <cell r="D492" t="str">
            <v>01</v>
          </cell>
          <cell r="E492">
            <v>4439901</v>
          </cell>
          <cell r="F492" t="str">
            <v>001</v>
          </cell>
          <cell r="G492">
            <v>221</v>
          </cell>
        </row>
        <row r="493">
          <cell r="A493" t="str">
            <v>Транспортные услуги</v>
          </cell>
          <cell r="B493" t="str">
            <v>056</v>
          </cell>
          <cell r="C493" t="str">
            <v>08</v>
          </cell>
          <cell r="D493" t="str">
            <v>01</v>
          </cell>
          <cell r="E493">
            <v>4439901</v>
          </cell>
          <cell r="F493" t="str">
            <v>001</v>
          </cell>
          <cell r="G493">
            <v>222</v>
          </cell>
        </row>
        <row r="494">
          <cell r="A494" t="str">
            <v>Коммунальные услуги</v>
          </cell>
          <cell r="B494" t="str">
            <v>056</v>
          </cell>
          <cell r="C494" t="str">
            <v>08</v>
          </cell>
          <cell r="D494" t="str">
            <v>01</v>
          </cell>
          <cell r="E494">
            <v>4439901</v>
          </cell>
          <cell r="F494" t="str">
            <v>001</v>
          </cell>
          <cell r="G494">
            <v>223</v>
          </cell>
          <cell r="H494">
            <v>375.70000000000005</v>
          </cell>
        </row>
        <row r="495">
          <cell r="A495" t="str">
            <v>Арендная плата</v>
          </cell>
          <cell r="B495" t="str">
            <v>056</v>
          </cell>
          <cell r="C495" t="str">
            <v>08</v>
          </cell>
          <cell r="D495" t="str">
            <v>01</v>
          </cell>
          <cell r="E495">
            <v>4439901</v>
          </cell>
          <cell r="F495" t="str">
            <v>001</v>
          </cell>
          <cell r="G495">
            <v>224</v>
          </cell>
        </row>
        <row r="496">
          <cell r="A496" t="str">
            <v>Услуги по содерж. имущества</v>
          </cell>
          <cell r="B496" t="str">
            <v>056</v>
          </cell>
          <cell r="C496" t="str">
            <v>08</v>
          </cell>
          <cell r="D496" t="str">
            <v>01</v>
          </cell>
          <cell r="E496">
            <v>4439901</v>
          </cell>
          <cell r="F496" t="str">
            <v>001</v>
          </cell>
          <cell r="G496">
            <v>225</v>
          </cell>
          <cell r="H496">
            <v>50</v>
          </cell>
        </row>
        <row r="497">
          <cell r="A497" t="str">
            <v>Прочие услуги</v>
          </cell>
          <cell r="B497" t="str">
            <v>056</v>
          </cell>
          <cell r="C497" t="str">
            <v>08</v>
          </cell>
          <cell r="D497" t="str">
            <v>01</v>
          </cell>
          <cell r="E497">
            <v>4439901</v>
          </cell>
          <cell r="F497" t="str">
            <v>001</v>
          </cell>
          <cell r="G497">
            <v>226</v>
          </cell>
          <cell r="H497">
            <v>330</v>
          </cell>
        </row>
        <row r="498">
          <cell r="A498" t="str">
            <v xml:space="preserve">Прочие расходы </v>
          </cell>
          <cell r="B498" t="str">
            <v>056</v>
          </cell>
          <cell r="C498" t="str">
            <v>08</v>
          </cell>
          <cell r="D498" t="str">
            <v>01</v>
          </cell>
          <cell r="E498">
            <v>4439901</v>
          </cell>
          <cell r="F498" t="str">
            <v>001</v>
          </cell>
          <cell r="G498">
            <v>290</v>
          </cell>
          <cell r="H498">
            <v>27.5</v>
          </cell>
        </row>
        <row r="499">
          <cell r="A499" t="str">
            <v xml:space="preserve">Прочие расходы </v>
          </cell>
          <cell r="B499" t="str">
            <v>056</v>
          </cell>
          <cell r="C499" t="str">
            <v>08</v>
          </cell>
          <cell r="D499" t="str">
            <v>01</v>
          </cell>
          <cell r="E499" t="str">
            <v>4439500</v>
          </cell>
          <cell r="F499" t="str">
            <v>001</v>
          </cell>
          <cell r="G499" t="str">
            <v>290</v>
          </cell>
          <cell r="H499">
            <v>1491.6000000000001</v>
          </cell>
        </row>
        <row r="500">
          <cell r="A500" t="str">
            <v>Увелич. стоимости осн. средств</v>
          </cell>
          <cell r="B500" t="str">
            <v>056</v>
          </cell>
          <cell r="C500" t="str">
            <v>08</v>
          </cell>
          <cell r="D500" t="str">
            <v>01</v>
          </cell>
          <cell r="E500">
            <v>4439901</v>
          </cell>
          <cell r="F500" t="str">
            <v>001</v>
          </cell>
          <cell r="G500">
            <v>310</v>
          </cell>
          <cell r="H500">
            <v>175</v>
          </cell>
        </row>
        <row r="501">
          <cell r="A501" t="str">
            <v>Увелич. стоимости матер. запасов</v>
          </cell>
          <cell r="B501" t="str">
            <v>056</v>
          </cell>
          <cell r="C501" t="str">
            <v>08</v>
          </cell>
          <cell r="D501" t="str">
            <v>01</v>
          </cell>
          <cell r="E501">
            <v>4439901</v>
          </cell>
          <cell r="F501" t="str">
            <v>001</v>
          </cell>
          <cell r="G501">
            <v>340</v>
          </cell>
          <cell r="H501">
            <v>350</v>
          </cell>
        </row>
        <row r="504">
          <cell r="A504" t="str">
            <v>Заработная плата</v>
          </cell>
          <cell r="B504" t="str">
            <v>056</v>
          </cell>
          <cell r="C504" t="str">
            <v>08</v>
          </cell>
          <cell r="D504" t="str">
            <v>01</v>
          </cell>
          <cell r="E504">
            <v>4439901</v>
          </cell>
          <cell r="F504" t="str">
            <v>001</v>
          </cell>
          <cell r="G504">
            <v>211</v>
          </cell>
          <cell r="H504">
            <v>39243.5</v>
          </cell>
        </row>
        <row r="505">
          <cell r="A505" t="str">
            <v xml:space="preserve">Прочие выплаты </v>
          </cell>
          <cell r="B505" t="str">
            <v>056</v>
          </cell>
          <cell r="C505" t="str">
            <v>08</v>
          </cell>
          <cell r="D505" t="str">
            <v>01</v>
          </cell>
          <cell r="E505">
            <v>4439901</v>
          </cell>
          <cell r="F505" t="str">
            <v>001</v>
          </cell>
          <cell r="G505">
            <v>212</v>
          </cell>
        </row>
        <row r="506">
          <cell r="A506" t="str">
            <v>Начисления на оплату труда</v>
          </cell>
          <cell r="B506" t="str">
            <v>056</v>
          </cell>
          <cell r="C506" t="str">
            <v>08</v>
          </cell>
          <cell r="D506" t="str">
            <v>01</v>
          </cell>
          <cell r="E506">
            <v>4439901</v>
          </cell>
          <cell r="F506" t="str">
            <v>001</v>
          </cell>
          <cell r="G506">
            <v>213</v>
          </cell>
          <cell r="H506">
            <v>11135.4</v>
          </cell>
        </row>
        <row r="507">
          <cell r="A507" t="str">
            <v xml:space="preserve">Оплата услуг связи </v>
          </cell>
          <cell r="B507" t="str">
            <v>056</v>
          </cell>
          <cell r="C507" t="str">
            <v>08</v>
          </cell>
          <cell r="D507" t="str">
            <v>01</v>
          </cell>
          <cell r="E507">
            <v>4439901</v>
          </cell>
          <cell r="F507" t="str">
            <v>001</v>
          </cell>
          <cell r="G507">
            <v>221</v>
          </cell>
        </row>
        <row r="508">
          <cell r="A508" t="str">
            <v>Транспортные услуги</v>
          </cell>
          <cell r="B508" t="str">
            <v>056</v>
          </cell>
          <cell r="C508" t="str">
            <v>08</v>
          </cell>
          <cell r="D508" t="str">
            <v>01</v>
          </cell>
          <cell r="E508">
            <v>4439901</v>
          </cell>
          <cell r="F508" t="str">
            <v>001</v>
          </cell>
          <cell r="G508">
            <v>222</v>
          </cell>
          <cell r="H508">
            <v>19.715</v>
          </cell>
        </row>
        <row r="509">
          <cell r="A509" t="str">
            <v>Коммунальные услуги</v>
          </cell>
          <cell r="B509" t="str">
            <v>056</v>
          </cell>
          <cell r="C509" t="str">
            <v>08</v>
          </cell>
          <cell r="D509" t="str">
            <v>01</v>
          </cell>
          <cell r="E509">
            <v>4439901</v>
          </cell>
          <cell r="F509" t="str">
            <v>001</v>
          </cell>
          <cell r="G509">
            <v>223</v>
          </cell>
        </row>
        <row r="510">
          <cell r="A510" t="str">
            <v>Арендная плата</v>
          </cell>
          <cell r="B510" t="str">
            <v>056</v>
          </cell>
          <cell r="C510" t="str">
            <v>08</v>
          </cell>
          <cell r="D510" t="str">
            <v>01</v>
          </cell>
          <cell r="E510">
            <v>4439901</v>
          </cell>
          <cell r="F510" t="str">
            <v>001</v>
          </cell>
          <cell r="G510">
            <v>224</v>
          </cell>
        </row>
        <row r="511">
          <cell r="A511" t="str">
            <v>Услуги по содерж. имущества</v>
          </cell>
          <cell r="B511" t="str">
            <v>056</v>
          </cell>
          <cell r="C511" t="str">
            <v>08</v>
          </cell>
          <cell r="D511" t="str">
            <v>01</v>
          </cell>
          <cell r="E511">
            <v>4439901</v>
          </cell>
          <cell r="F511" t="str">
            <v>001</v>
          </cell>
          <cell r="G511">
            <v>225</v>
          </cell>
        </row>
        <row r="512">
          <cell r="A512" t="str">
            <v>Прочие услуги</v>
          </cell>
          <cell r="B512" t="str">
            <v>056</v>
          </cell>
          <cell r="C512" t="str">
            <v>08</v>
          </cell>
          <cell r="D512" t="str">
            <v>01</v>
          </cell>
          <cell r="E512">
            <v>4439901</v>
          </cell>
          <cell r="F512" t="str">
            <v>001</v>
          </cell>
          <cell r="G512">
            <v>226</v>
          </cell>
          <cell r="H512">
            <v>488.45600000000002</v>
          </cell>
        </row>
        <row r="513">
          <cell r="A513" t="str">
            <v xml:space="preserve">Прочие расходы </v>
          </cell>
          <cell r="B513" t="str">
            <v>056</v>
          </cell>
          <cell r="C513" t="str">
            <v>08</v>
          </cell>
          <cell r="D513" t="str">
            <v>01</v>
          </cell>
          <cell r="E513">
            <v>4439901</v>
          </cell>
          <cell r="F513" t="str">
            <v>001</v>
          </cell>
          <cell r="G513">
            <v>290</v>
          </cell>
          <cell r="H513">
            <v>65.900000000000006</v>
          </cell>
        </row>
        <row r="514">
          <cell r="A514" t="str">
            <v xml:space="preserve">Прочие расходы </v>
          </cell>
          <cell r="B514" t="str">
            <v>056</v>
          </cell>
          <cell r="C514" t="str">
            <v>08</v>
          </cell>
          <cell r="D514" t="str">
            <v>01</v>
          </cell>
          <cell r="E514" t="str">
            <v>4439500</v>
          </cell>
          <cell r="F514" t="str">
            <v>001</v>
          </cell>
          <cell r="G514" t="str">
            <v>290</v>
          </cell>
          <cell r="H514">
            <v>48.599999999999994</v>
          </cell>
        </row>
        <row r="515">
          <cell r="A515" t="str">
            <v>Увелич. стоимости осн. средств</v>
          </cell>
          <cell r="B515" t="str">
            <v>056</v>
          </cell>
          <cell r="C515" t="str">
            <v>08</v>
          </cell>
          <cell r="D515" t="str">
            <v>01</v>
          </cell>
          <cell r="E515">
            <v>4439901</v>
          </cell>
          <cell r="F515" t="str">
            <v>001</v>
          </cell>
          <cell r="G515">
            <v>310</v>
          </cell>
          <cell r="H515">
            <v>200.36</v>
          </cell>
        </row>
        <row r="516">
          <cell r="A516" t="str">
            <v>Увелич. стоимости матер. запасов</v>
          </cell>
          <cell r="B516" t="str">
            <v>056</v>
          </cell>
          <cell r="C516" t="str">
            <v>08</v>
          </cell>
          <cell r="D516" t="str">
            <v>01</v>
          </cell>
          <cell r="E516">
            <v>4439901</v>
          </cell>
          <cell r="F516" t="str">
            <v>001</v>
          </cell>
          <cell r="G516">
            <v>340</v>
          </cell>
          <cell r="H516">
            <v>300</v>
          </cell>
        </row>
        <row r="519">
          <cell r="A519" t="str">
            <v>Заработная плата</v>
          </cell>
          <cell r="B519" t="str">
            <v>056</v>
          </cell>
          <cell r="C519" t="str">
            <v>08</v>
          </cell>
          <cell r="D519" t="str">
            <v>01</v>
          </cell>
          <cell r="E519">
            <v>4439901</v>
          </cell>
          <cell r="F519" t="str">
            <v>001</v>
          </cell>
          <cell r="G519">
            <v>211</v>
          </cell>
          <cell r="H519">
            <v>13156.5</v>
          </cell>
        </row>
        <row r="520">
          <cell r="A520" t="str">
            <v xml:space="preserve">Прочие выплаты </v>
          </cell>
          <cell r="B520" t="str">
            <v>056</v>
          </cell>
          <cell r="C520" t="str">
            <v>08</v>
          </cell>
          <cell r="D520" t="str">
            <v>01</v>
          </cell>
          <cell r="E520">
            <v>4439901</v>
          </cell>
          <cell r="F520" t="str">
            <v>001</v>
          </cell>
          <cell r="G520">
            <v>212</v>
          </cell>
        </row>
        <row r="521">
          <cell r="A521" t="str">
            <v>Начисления на оплату труда</v>
          </cell>
          <cell r="B521" t="str">
            <v>056</v>
          </cell>
          <cell r="C521" t="str">
            <v>08</v>
          </cell>
          <cell r="D521" t="str">
            <v>01</v>
          </cell>
          <cell r="E521">
            <v>4439901</v>
          </cell>
          <cell r="F521" t="str">
            <v>001</v>
          </cell>
          <cell r="G521">
            <v>213</v>
          </cell>
          <cell r="H521">
            <v>3973.3</v>
          </cell>
        </row>
        <row r="522">
          <cell r="A522" t="str">
            <v xml:space="preserve">Оплата услуг связи </v>
          </cell>
          <cell r="B522" t="str">
            <v>056</v>
          </cell>
          <cell r="C522" t="str">
            <v>08</v>
          </cell>
          <cell r="D522" t="str">
            <v>01</v>
          </cell>
          <cell r="E522">
            <v>4439901</v>
          </cell>
          <cell r="F522" t="str">
            <v>001</v>
          </cell>
          <cell r="G522">
            <v>221</v>
          </cell>
        </row>
        <row r="523">
          <cell r="A523" t="str">
            <v>Транспортные услуги</v>
          </cell>
          <cell r="B523" t="str">
            <v>056</v>
          </cell>
          <cell r="C523" t="str">
            <v>08</v>
          </cell>
          <cell r="D523" t="str">
            <v>01</v>
          </cell>
          <cell r="E523">
            <v>4439901</v>
          </cell>
          <cell r="F523" t="str">
            <v>001</v>
          </cell>
          <cell r="G523">
            <v>222</v>
          </cell>
        </row>
        <row r="524">
          <cell r="A524" t="str">
            <v>Коммунальные услуги</v>
          </cell>
          <cell r="B524" t="str">
            <v>056</v>
          </cell>
          <cell r="C524" t="str">
            <v>08</v>
          </cell>
          <cell r="D524" t="str">
            <v>01</v>
          </cell>
          <cell r="E524">
            <v>4439901</v>
          </cell>
          <cell r="F524" t="str">
            <v>001</v>
          </cell>
          <cell r="G524">
            <v>223</v>
          </cell>
          <cell r="H524">
            <v>135.4</v>
          </cell>
        </row>
        <row r="525">
          <cell r="A525" t="str">
            <v>Арендная плата</v>
          </cell>
          <cell r="B525" t="str">
            <v>056</v>
          </cell>
          <cell r="C525" t="str">
            <v>08</v>
          </cell>
          <cell r="D525" t="str">
            <v>01</v>
          </cell>
          <cell r="E525">
            <v>4439901</v>
          </cell>
          <cell r="F525" t="str">
            <v>001</v>
          </cell>
          <cell r="G525">
            <v>224</v>
          </cell>
        </row>
        <row r="526">
          <cell r="A526" t="str">
            <v>Услуги по содерж. имущества</v>
          </cell>
          <cell r="B526" t="str">
            <v>056</v>
          </cell>
          <cell r="C526" t="str">
            <v>08</v>
          </cell>
          <cell r="D526" t="str">
            <v>01</v>
          </cell>
          <cell r="E526">
            <v>4439901</v>
          </cell>
          <cell r="F526" t="str">
            <v>001</v>
          </cell>
          <cell r="G526">
            <v>225</v>
          </cell>
        </row>
        <row r="527">
          <cell r="A527" t="str">
            <v>Прочие услуги</v>
          </cell>
          <cell r="B527" t="str">
            <v>056</v>
          </cell>
          <cell r="C527" t="str">
            <v>08</v>
          </cell>
          <cell r="D527" t="str">
            <v>01</v>
          </cell>
          <cell r="E527">
            <v>4439901</v>
          </cell>
          <cell r="F527" t="str">
            <v>001</v>
          </cell>
          <cell r="G527">
            <v>226</v>
          </cell>
          <cell r="H527">
            <v>265</v>
          </cell>
        </row>
        <row r="528">
          <cell r="A528" t="str">
            <v xml:space="preserve">Прочие расходы </v>
          </cell>
          <cell r="B528" t="str">
            <v>056</v>
          </cell>
          <cell r="C528" t="str">
            <v>08</v>
          </cell>
          <cell r="D528" t="str">
            <v>01</v>
          </cell>
          <cell r="E528">
            <v>4439901</v>
          </cell>
          <cell r="F528" t="str">
            <v>001</v>
          </cell>
          <cell r="G528">
            <v>290</v>
          </cell>
          <cell r="H528">
            <v>18.600000000000001</v>
          </cell>
        </row>
        <row r="529">
          <cell r="A529" t="str">
            <v xml:space="preserve">Прочие расходы </v>
          </cell>
          <cell r="B529" t="str">
            <v>056</v>
          </cell>
          <cell r="C529" t="str">
            <v>08</v>
          </cell>
          <cell r="D529" t="str">
            <v>01</v>
          </cell>
          <cell r="E529" t="str">
            <v>4439500</v>
          </cell>
          <cell r="F529" t="str">
            <v>001</v>
          </cell>
          <cell r="G529" t="str">
            <v>290</v>
          </cell>
          <cell r="H529">
            <v>110.80000000000001</v>
          </cell>
        </row>
        <row r="530">
          <cell r="A530" t="str">
            <v>Увелич. стоимости осн. средств</v>
          </cell>
          <cell r="B530" t="str">
            <v>056</v>
          </cell>
          <cell r="C530" t="str">
            <v>08</v>
          </cell>
          <cell r="D530" t="str">
            <v>01</v>
          </cell>
          <cell r="E530">
            <v>4439901</v>
          </cell>
          <cell r="F530" t="str">
            <v>001</v>
          </cell>
          <cell r="G530">
            <v>310</v>
          </cell>
          <cell r="H530">
            <v>350</v>
          </cell>
        </row>
        <row r="531">
          <cell r="A531" t="str">
            <v>Увелич. стоимости матер. запасов</v>
          </cell>
          <cell r="B531" t="str">
            <v>056</v>
          </cell>
          <cell r="C531" t="str">
            <v>08</v>
          </cell>
          <cell r="D531" t="str">
            <v>01</v>
          </cell>
          <cell r="E531">
            <v>4439901</v>
          </cell>
          <cell r="F531" t="str">
            <v>001</v>
          </cell>
          <cell r="G531">
            <v>340</v>
          </cell>
          <cell r="H531">
            <v>107.6</v>
          </cell>
        </row>
        <row r="534">
          <cell r="A534" t="str">
            <v>Заработная плата</v>
          </cell>
          <cell r="B534" t="str">
            <v>056</v>
          </cell>
          <cell r="C534" t="str">
            <v>08</v>
          </cell>
          <cell r="D534" t="str">
            <v>01</v>
          </cell>
          <cell r="E534">
            <v>4439901</v>
          </cell>
          <cell r="F534" t="str">
            <v>001</v>
          </cell>
          <cell r="G534">
            <v>211</v>
          </cell>
          <cell r="H534">
            <v>6764.2</v>
          </cell>
        </row>
        <row r="535">
          <cell r="A535" t="str">
            <v xml:space="preserve">Прочие выплаты </v>
          </cell>
          <cell r="B535" t="str">
            <v>056</v>
          </cell>
          <cell r="C535" t="str">
            <v>08</v>
          </cell>
          <cell r="D535" t="str">
            <v>01</v>
          </cell>
          <cell r="E535">
            <v>4439901</v>
          </cell>
          <cell r="F535" t="str">
            <v>001</v>
          </cell>
          <cell r="G535">
            <v>212</v>
          </cell>
        </row>
        <row r="536">
          <cell r="A536" t="str">
            <v>Начисления на оплату труда</v>
          </cell>
          <cell r="B536" t="str">
            <v>056</v>
          </cell>
          <cell r="C536" t="str">
            <v>08</v>
          </cell>
          <cell r="D536" t="str">
            <v>01</v>
          </cell>
          <cell r="E536">
            <v>4439901</v>
          </cell>
          <cell r="F536" t="str">
            <v>001</v>
          </cell>
          <cell r="G536">
            <v>213</v>
          </cell>
          <cell r="H536">
            <v>2042.8</v>
          </cell>
        </row>
        <row r="537">
          <cell r="A537" t="str">
            <v xml:space="preserve">Оплата услуг связи </v>
          </cell>
          <cell r="B537" t="str">
            <v>056</v>
          </cell>
          <cell r="C537" t="str">
            <v>08</v>
          </cell>
          <cell r="D537" t="str">
            <v>01</v>
          </cell>
          <cell r="E537">
            <v>4439901</v>
          </cell>
          <cell r="F537" t="str">
            <v>001</v>
          </cell>
          <cell r="G537">
            <v>221</v>
          </cell>
        </row>
        <row r="538">
          <cell r="A538" t="str">
            <v>Транспортные услуги</v>
          </cell>
          <cell r="B538" t="str">
            <v>056</v>
          </cell>
          <cell r="C538" t="str">
            <v>08</v>
          </cell>
          <cell r="D538" t="str">
            <v>01</v>
          </cell>
          <cell r="E538">
            <v>4439901</v>
          </cell>
          <cell r="F538" t="str">
            <v>001</v>
          </cell>
          <cell r="G538">
            <v>222</v>
          </cell>
        </row>
        <row r="539">
          <cell r="A539" t="str">
            <v>Коммунальные услуги</v>
          </cell>
          <cell r="B539" t="str">
            <v>056</v>
          </cell>
          <cell r="C539" t="str">
            <v>08</v>
          </cell>
          <cell r="D539" t="str">
            <v>01</v>
          </cell>
          <cell r="E539">
            <v>4439901</v>
          </cell>
          <cell r="F539" t="str">
            <v>001</v>
          </cell>
          <cell r="G539">
            <v>223</v>
          </cell>
        </row>
        <row r="540">
          <cell r="A540" t="str">
            <v>Арендная плата</v>
          </cell>
          <cell r="B540" t="str">
            <v>056</v>
          </cell>
          <cell r="C540" t="str">
            <v>08</v>
          </cell>
          <cell r="D540" t="str">
            <v>01</v>
          </cell>
          <cell r="E540">
            <v>4439901</v>
          </cell>
          <cell r="F540" t="str">
            <v>001</v>
          </cell>
          <cell r="G540">
            <v>224</v>
          </cell>
        </row>
        <row r="541">
          <cell r="A541" t="str">
            <v>Услуги по содерж. имущества</v>
          </cell>
          <cell r="B541" t="str">
            <v>056</v>
          </cell>
          <cell r="C541" t="str">
            <v>08</v>
          </cell>
          <cell r="D541" t="str">
            <v>01</v>
          </cell>
          <cell r="E541">
            <v>4439901</v>
          </cell>
          <cell r="F541" t="str">
            <v>001</v>
          </cell>
          <cell r="G541">
            <v>225</v>
          </cell>
        </row>
        <row r="542">
          <cell r="A542" t="str">
            <v>Прочие услуги</v>
          </cell>
          <cell r="B542" t="str">
            <v>056</v>
          </cell>
          <cell r="C542" t="str">
            <v>08</v>
          </cell>
          <cell r="D542" t="str">
            <v>01</v>
          </cell>
          <cell r="E542">
            <v>4439901</v>
          </cell>
          <cell r="F542" t="str">
            <v>001</v>
          </cell>
          <cell r="G542">
            <v>226</v>
          </cell>
          <cell r="H542">
            <v>125</v>
          </cell>
        </row>
        <row r="543">
          <cell r="A543" t="str">
            <v xml:space="preserve">Прочие расходы </v>
          </cell>
          <cell r="B543" t="str">
            <v>056</v>
          </cell>
          <cell r="C543" t="str">
            <v>08</v>
          </cell>
          <cell r="D543" t="str">
            <v>01</v>
          </cell>
          <cell r="E543">
            <v>4439901</v>
          </cell>
          <cell r="F543" t="str">
            <v>001</v>
          </cell>
          <cell r="G543">
            <v>290</v>
          </cell>
          <cell r="H543">
            <v>10.6</v>
          </cell>
        </row>
        <row r="544">
          <cell r="A544" t="str">
            <v xml:space="preserve">Прочие расходы </v>
          </cell>
          <cell r="B544" t="str">
            <v>056</v>
          </cell>
          <cell r="C544" t="str">
            <v>08</v>
          </cell>
          <cell r="D544" t="str">
            <v>01</v>
          </cell>
          <cell r="E544" t="str">
            <v>4439500</v>
          </cell>
          <cell r="F544" t="str">
            <v>001</v>
          </cell>
          <cell r="G544" t="str">
            <v>290</v>
          </cell>
          <cell r="H544">
            <v>9.1</v>
          </cell>
        </row>
        <row r="545">
          <cell r="A545" t="str">
            <v>Увелич. стоимости осн. средств</v>
          </cell>
          <cell r="B545" t="str">
            <v>056</v>
          </cell>
          <cell r="C545" t="str">
            <v>08</v>
          </cell>
          <cell r="D545" t="str">
            <v>01</v>
          </cell>
          <cell r="E545">
            <v>4439901</v>
          </cell>
          <cell r="F545" t="str">
            <v>001</v>
          </cell>
          <cell r="G545">
            <v>310</v>
          </cell>
          <cell r="H545">
            <v>50</v>
          </cell>
        </row>
        <row r="546">
          <cell r="A546" t="str">
            <v>Увелич. стоимости матер. запасов</v>
          </cell>
          <cell r="B546" t="str">
            <v>056</v>
          </cell>
          <cell r="C546" t="str">
            <v>08</v>
          </cell>
          <cell r="D546" t="str">
            <v>01</v>
          </cell>
          <cell r="E546">
            <v>4439901</v>
          </cell>
          <cell r="F546" t="str">
            <v>001</v>
          </cell>
          <cell r="G546">
            <v>340</v>
          </cell>
          <cell r="H546">
            <v>60</v>
          </cell>
        </row>
        <row r="549">
          <cell r="A549" t="str">
            <v>Заработная плата</v>
          </cell>
          <cell r="B549" t="str">
            <v>056</v>
          </cell>
          <cell r="C549" t="str">
            <v>08</v>
          </cell>
          <cell r="D549" t="str">
            <v>01</v>
          </cell>
          <cell r="E549">
            <v>4439901</v>
          </cell>
          <cell r="F549" t="str">
            <v>001</v>
          </cell>
          <cell r="G549">
            <v>211</v>
          </cell>
          <cell r="H549">
            <v>6738.9</v>
          </cell>
        </row>
        <row r="550">
          <cell r="A550" t="str">
            <v xml:space="preserve">Прочие выплаты </v>
          </cell>
          <cell r="B550" t="str">
            <v>056</v>
          </cell>
          <cell r="C550" t="str">
            <v>08</v>
          </cell>
          <cell r="D550" t="str">
            <v>01</v>
          </cell>
          <cell r="E550">
            <v>4439901</v>
          </cell>
          <cell r="F550" t="str">
            <v>001</v>
          </cell>
          <cell r="G550">
            <v>212</v>
          </cell>
        </row>
        <row r="551">
          <cell r="A551" t="str">
            <v>Начисления на оплату труда</v>
          </cell>
          <cell r="B551" t="str">
            <v>056</v>
          </cell>
          <cell r="C551" t="str">
            <v>08</v>
          </cell>
          <cell r="D551" t="str">
            <v>01</v>
          </cell>
          <cell r="E551">
            <v>4439901</v>
          </cell>
          <cell r="F551" t="str">
            <v>001</v>
          </cell>
          <cell r="G551">
            <v>213</v>
          </cell>
          <cell r="H551">
            <v>2035.2</v>
          </cell>
        </row>
        <row r="552">
          <cell r="A552" t="str">
            <v xml:space="preserve">Оплата услуг связи </v>
          </cell>
          <cell r="B552" t="str">
            <v>056</v>
          </cell>
          <cell r="C552" t="str">
            <v>08</v>
          </cell>
          <cell r="D552" t="str">
            <v>01</v>
          </cell>
          <cell r="E552">
            <v>4439901</v>
          </cell>
          <cell r="F552" t="str">
            <v>001</v>
          </cell>
          <cell r="G552">
            <v>221</v>
          </cell>
        </row>
        <row r="553">
          <cell r="A553" t="str">
            <v>Транспортные услуги</v>
          </cell>
          <cell r="B553" t="str">
            <v>056</v>
          </cell>
          <cell r="C553" t="str">
            <v>08</v>
          </cell>
          <cell r="D553" t="str">
            <v>01</v>
          </cell>
          <cell r="E553">
            <v>4439901</v>
          </cell>
          <cell r="F553" t="str">
            <v>001</v>
          </cell>
          <cell r="G553">
            <v>222</v>
          </cell>
        </row>
        <row r="554">
          <cell r="A554" t="str">
            <v>Коммунальные услуги</v>
          </cell>
          <cell r="B554" t="str">
            <v>056</v>
          </cell>
          <cell r="C554" t="str">
            <v>08</v>
          </cell>
          <cell r="D554" t="str">
            <v>01</v>
          </cell>
          <cell r="E554">
            <v>4439901</v>
          </cell>
          <cell r="F554" t="str">
            <v>001</v>
          </cell>
          <cell r="G554">
            <v>223</v>
          </cell>
          <cell r="H554">
            <v>172.2</v>
          </cell>
        </row>
        <row r="555">
          <cell r="A555" t="str">
            <v>Арендная плата</v>
          </cell>
          <cell r="B555" t="str">
            <v>056</v>
          </cell>
          <cell r="C555" t="str">
            <v>08</v>
          </cell>
          <cell r="D555" t="str">
            <v>01</v>
          </cell>
          <cell r="E555">
            <v>4439901</v>
          </cell>
          <cell r="F555" t="str">
            <v>001</v>
          </cell>
          <cell r="G555">
            <v>224</v>
          </cell>
        </row>
        <row r="556">
          <cell r="A556" t="str">
            <v>Услуги по содерж. имущества</v>
          </cell>
          <cell r="B556" t="str">
            <v>056</v>
          </cell>
          <cell r="C556" t="str">
            <v>08</v>
          </cell>
          <cell r="D556" t="str">
            <v>01</v>
          </cell>
          <cell r="E556">
            <v>4439901</v>
          </cell>
          <cell r="F556" t="str">
            <v>001</v>
          </cell>
          <cell r="G556">
            <v>225</v>
          </cell>
          <cell r="H556">
            <v>80</v>
          </cell>
        </row>
        <row r="557">
          <cell r="A557" t="str">
            <v>Прочие услуги</v>
          </cell>
          <cell r="B557" t="str">
            <v>056</v>
          </cell>
          <cell r="C557" t="str">
            <v>08</v>
          </cell>
          <cell r="D557" t="str">
            <v>01</v>
          </cell>
          <cell r="E557">
            <v>4439901</v>
          </cell>
          <cell r="F557" t="str">
            <v>001</v>
          </cell>
          <cell r="G557">
            <v>226</v>
          </cell>
          <cell r="H557">
            <v>175</v>
          </cell>
        </row>
        <row r="558">
          <cell r="A558" t="str">
            <v xml:space="preserve">Прочие расходы </v>
          </cell>
          <cell r="B558" t="str">
            <v>056</v>
          </cell>
          <cell r="C558" t="str">
            <v>08</v>
          </cell>
          <cell r="D558" t="str">
            <v>01</v>
          </cell>
          <cell r="E558">
            <v>4439901</v>
          </cell>
          <cell r="F558" t="str">
            <v>001</v>
          </cell>
          <cell r="G558">
            <v>290</v>
          </cell>
          <cell r="H558">
            <v>11</v>
          </cell>
        </row>
        <row r="559">
          <cell r="A559" t="str">
            <v xml:space="preserve">Прочие расходы </v>
          </cell>
          <cell r="B559" t="str">
            <v>056</v>
          </cell>
          <cell r="C559" t="str">
            <v>08</v>
          </cell>
          <cell r="D559" t="str">
            <v>01</v>
          </cell>
          <cell r="E559" t="str">
            <v>4439500</v>
          </cell>
          <cell r="F559" t="str">
            <v>001</v>
          </cell>
          <cell r="G559" t="str">
            <v>290</v>
          </cell>
          <cell r="H559">
            <v>74.800000000000011</v>
          </cell>
        </row>
        <row r="560">
          <cell r="A560" t="str">
            <v>Увелич. стоимости осн. средств</v>
          </cell>
          <cell r="B560" t="str">
            <v>056</v>
          </cell>
          <cell r="C560" t="str">
            <v>08</v>
          </cell>
          <cell r="D560" t="str">
            <v>01</v>
          </cell>
          <cell r="E560">
            <v>4439901</v>
          </cell>
          <cell r="F560" t="str">
            <v>001</v>
          </cell>
          <cell r="G560">
            <v>310</v>
          </cell>
          <cell r="H560">
            <v>50</v>
          </cell>
        </row>
        <row r="561">
          <cell r="A561" t="str">
            <v>Увелич. стоимости матер. запасов</v>
          </cell>
          <cell r="B561" t="str">
            <v>056</v>
          </cell>
          <cell r="C561" t="str">
            <v>08</v>
          </cell>
          <cell r="D561" t="str">
            <v>01</v>
          </cell>
          <cell r="E561">
            <v>4439901</v>
          </cell>
          <cell r="F561" t="str">
            <v>001</v>
          </cell>
          <cell r="G561">
            <v>340</v>
          </cell>
          <cell r="H561">
            <v>200</v>
          </cell>
        </row>
        <row r="564">
          <cell r="A564" t="str">
            <v>Заработная плата</v>
          </cell>
          <cell r="B564" t="str">
            <v>056</v>
          </cell>
          <cell r="C564" t="str">
            <v>08</v>
          </cell>
          <cell r="D564" t="str">
            <v>01</v>
          </cell>
          <cell r="E564">
            <v>4439901</v>
          </cell>
          <cell r="F564" t="str">
            <v>001</v>
          </cell>
          <cell r="G564">
            <v>211</v>
          </cell>
          <cell r="H564">
            <v>22948.343000000001</v>
          </cell>
        </row>
        <row r="565">
          <cell r="A565" t="str">
            <v xml:space="preserve">Прочие выплаты </v>
          </cell>
          <cell r="B565" t="str">
            <v>056</v>
          </cell>
          <cell r="C565" t="str">
            <v>08</v>
          </cell>
          <cell r="D565" t="str">
            <v>01</v>
          </cell>
          <cell r="E565">
            <v>4439901</v>
          </cell>
          <cell r="F565" t="str">
            <v>001</v>
          </cell>
          <cell r="G565">
            <v>212</v>
          </cell>
          <cell r="H565">
            <v>6.6</v>
          </cell>
        </row>
        <row r="566">
          <cell r="A566" t="str">
            <v>Начисления на оплату труда</v>
          </cell>
          <cell r="B566" t="str">
            <v>056</v>
          </cell>
          <cell r="C566" t="str">
            <v>08</v>
          </cell>
          <cell r="D566" t="str">
            <v>01</v>
          </cell>
          <cell r="E566">
            <v>4439901</v>
          </cell>
          <cell r="F566" t="str">
            <v>001</v>
          </cell>
          <cell r="G566">
            <v>213</v>
          </cell>
          <cell r="H566">
            <v>6930.857</v>
          </cell>
        </row>
        <row r="567">
          <cell r="A567" t="str">
            <v xml:space="preserve">Оплата услуг связи </v>
          </cell>
          <cell r="B567" t="str">
            <v>056</v>
          </cell>
          <cell r="C567" t="str">
            <v>08</v>
          </cell>
          <cell r="D567" t="str">
            <v>01</v>
          </cell>
          <cell r="E567">
            <v>4439901</v>
          </cell>
          <cell r="F567" t="str">
            <v>001</v>
          </cell>
          <cell r="G567">
            <v>221</v>
          </cell>
        </row>
        <row r="568">
          <cell r="A568" t="str">
            <v>Транспортные услуги</v>
          </cell>
          <cell r="B568" t="str">
            <v>056</v>
          </cell>
          <cell r="C568" t="str">
            <v>08</v>
          </cell>
          <cell r="D568" t="str">
            <v>01</v>
          </cell>
          <cell r="E568">
            <v>4439901</v>
          </cell>
          <cell r="F568" t="str">
            <v>001</v>
          </cell>
          <cell r="G568">
            <v>222</v>
          </cell>
          <cell r="H568">
            <v>293.61899999999997</v>
          </cell>
        </row>
        <row r="569">
          <cell r="A569" t="str">
            <v>Коммунальные услуги</v>
          </cell>
          <cell r="B569" t="str">
            <v>056</v>
          </cell>
          <cell r="C569" t="str">
            <v>08</v>
          </cell>
          <cell r="D569" t="str">
            <v>01</v>
          </cell>
          <cell r="E569">
            <v>4439901</v>
          </cell>
          <cell r="F569" t="str">
            <v>001</v>
          </cell>
          <cell r="G569">
            <v>223</v>
          </cell>
          <cell r="H569">
            <v>367</v>
          </cell>
        </row>
        <row r="570">
          <cell r="A570" t="str">
            <v>Арендная плата</v>
          </cell>
          <cell r="B570" t="str">
            <v>056</v>
          </cell>
          <cell r="C570" t="str">
            <v>08</v>
          </cell>
          <cell r="D570" t="str">
            <v>01</v>
          </cell>
          <cell r="E570">
            <v>4439901</v>
          </cell>
          <cell r="F570" t="str">
            <v>001</v>
          </cell>
          <cell r="G570">
            <v>224</v>
          </cell>
        </row>
        <row r="571">
          <cell r="A571" t="str">
            <v>Услуги по содерж. имущества</v>
          </cell>
          <cell r="B571" t="str">
            <v>056</v>
          </cell>
          <cell r="C571" t="str">
            <v>08</v>
          </cell>
          <cell r="D571" t="str">
            <v>01</v>
          </cell>
          <cell r="E571">
            <v>4439901</v>
          </cell>
          <cell r="F571" t="str">
            <v>001</v>
          </cell>
          <cell r="G571">
            <v>225</v>
          </cell>
          <cell r="H571">
            <v>10</v>
          </cell>
        </row>
        <row r="572">
          <cell r="A572" t="str">
            <v>Прочие услуги</v>
          </cell>
          <cell r="B572" t="str">
            <v>056</v>
          </cell>
          <cell r="C572" t="str">
            <v>08</v>
          </cell>
          <cell r="D572" t="str">
            <v>01</v>
          </cell>
          <cell r="E572">
            <v>4439901</v>
          </cell>
          <cell r="F572" t="str">
            <v>001</v>
          </cell>
          <cell r="G572">
            <v>226</v>
          </cell>
          <cell r="H572">
            <v>3487.0600000000009</v>
          </cell>
        </row>
        <row r="573">
          <cell r="A573" t="str">
            <v xml:space="preserve">Прочие расходы </v>
          </cell>
          <cell r="B573" t="str">
            <v>056</v>
          </cell>
          <cell r="C573" t="str">
            <v>08</v>
          </cell>
          <cell r="D573" t="str">
            <v>01</v>
          </cell>
          <cell r="E573">
            <v>4439901</v>
          </cell>
          <cell r="F573" t="str">
            <v>001</v>
          </cell>
          <cell r="G573">
            <v>290</v>
          </cell>
          <cell r="H573">
            <v>34.200000000000003</v>
          </cell>
        </row>
        <row r="574">
          <cell r="A574" t="str">
            <v xml:space="preserve">Прочие расходы </v>
          </cell>
          <cell r="B574" t="str">
            <v>056</v>
          </cell>
          <cell r="C574" t="str">
            <v>08</v>
          </cell>
          <cell r="D574" t="str">
            <v>01</v>
          </cell>
          <cell r="E574" t="str">
            <v>4439500</v>
          </cell>
          <cell r="F574" t="str">
            <v>001</v>
          </cell>
          <cell r="G574" t="str">
            <v>290</v>
          </cell>
          <cell r="H574">
            <v>519.32099999999991</v>
          </cell>
        </row>
        <row r="575">
          <cell r="A575" t="str">
            <v>Увелич. стоимости осн. средств</v>
          </cell>
          <cell r="B575" t="str">
            <v>056</v>
          </cell>
          <cell r="C575" t="str">
            <v>08</v>
          </cell>
          <cell r="D575" t="str">
            <v>01</v>
          </cell>
          <cell r="E575">
            <v>4439901</v>
          </cell>
          <cell r="F575" t="str">
            <v>001</v>
          </cell>
          <cell r="G575">
            <v>310</v>
          </cell>
          <cell r="H575">
            <v>9042.4789999999994</v>
          </cell>
        </row>
        <row r="576">
          <cell r="A576" t="str">
            <v>Увелич. стоимости матер. запасов</v>
          </cell>
          <cell r="B576" t="str">
            <v>056</v>
          </cell>
          <cell r="C576" t="str">
            <v>08</v>
          </cell>
          <cell r="D576" t="str">
            <v>01</v>
          </cell>
          <cell r="E576">
            <v>4439901</v>
          </cell>
          <cell r="F576" t="str">
            <v>001</v>
          </cell>
          <cell r="G576">
            <v>340</v>
          </cell>
          <cell r="H576">
            <v>90</v>
          </cell>
        </row>
        <row r="579">
          <cell r="A579" t="str">
            <v>Заработная плата</v>
          </cell>
          <cell r="B579" t="str">
            <v>056</v>
          </cell>
          <cell r="C579" t="str">
            <v>08</v>
          </cell>
          <cell r="D579" t="str">
            <v>01</v>
          </cell>
          <cell r="E579">
            <v>4439901</v>
          </cell>
          <cell r="F579" t="str">
            <v>001</v>
          </cell>
          <cell r="G579">
            <v>211</v>
          </cell>
          <cell r="H579">
            <v>2646.9</v>
          </cell>
        </row>
        <row r="580">
          <cell r="A580" t="str">
            <v xml:space="preserve">Прочие выплаты </v>
          </cell>
          <cell r="B580" t="str">
            <v>056</v>
          </cell>
          <cell r="C580" t="str">
            <v>08</v>
          </cell>
          <cell r="D580" t="str">
            <v>01</v>
          </cell>
          <cell r="E580">
            <v>4439901</v>
          </cell>
          <cell r="F580" t="str">
            <v>001</v>
          </cell>
          <cell r="G580">
            <v>212</v>
          </cell>
        </row>
        <row r="581">
          <cell r="A581" t="str">
            <v>Начисления на оплату труда</v>
          </cell>
          <cell r="B581" t="str">
            <v>056</v>
          </cell>
          <cell r="C581" t="str">
            <v>08</v>
          </cell>
          <cell r="D581" t="str">
            <v>01</v>
          </cell>
          <cell r="E581">
            <v>4439901</v>
          </cell>
          <cell r="F581" t="str">
            <v>001</v>
          </cell>
          <cell r="G581">
            <v>213</v>
          </cell>
          <cell r="H581">
            <v>812.94999999999993</v>
          </cell>
        </row>
        <row r="582">
          <cell r="A582" t="str">
            <v xml:space="preserve">Оплата услуг связи </v>
          </cell>
          <cell r="B582" t="str">
            <v>056</v>
          </cell>
          <cell r="C582" t="str">
            <v>08</v>
          </cell>
          <cell r="D582" t="str">
            <v>01</v>
          </cell>
          <cell r="E582">
            <v>4439901</v>
          </cell>
          <cell r="F582" t="str">
            <v>001</v>
          </cell>
          <cell r="G582">
            <v>221</v>
          </cell>
        </row>
        <row r="583">
          <cell r="A583" t="str">
            <v>Транспортные услуги</v>
          </cell>
          <cell r="B583" t="str">
            <v>056</v>
          </cell>
          <cell r="C583" t="str">
            <v>08</v>
          </cell>
          <cell r="D583" t="str">
            <v>01</v>
          </cell>
          <cell r="E583">
            <v>4439901</v>
          </cell>
          <cell r="F583" t="str">
            <v>001</v>
          </cell>
          <cell r="G583">
            <v>222</v>
          </cell>
        </row>
        <row r="584">
          <cell r="A584" t="str">
            <v>Коммунальные услуги</v>
          </cell>
          <cell r="B584" t="str">
            <v>056</v>
          </cell>
          <cell r="C584" t="str">
            <v>08</v>
          </cell>
          <cell r="D584" t="str">
            <v>01</v>
          </cell>
          <cell r="E584">
            <v>4439901</v>
          </cell>
          <cell r="F584" t="str">
            <v>001</v>
          </cell>
          <cell r="G584">
            <v>223</v>
          </cell>
        </row>
        <row r="585">
          <cell r="A585" t="str">
            <v>Арендная плата</v>
          </cell>
          <cell r="B585" t="str">
            <v>056</v>
          </cell>
          <cell r="C585" t="str">
            <v>08</v>
          </cell>
          <cell r="D585" t="str">
            <v>01</v>
          </cell>
          <cell r="E585">
            <v>4439901</v>
          </cell>
          <cell r="F585" t="str">
            <v>001</v>
          </cell>
          <cell r="G585">
            <v>224</v>
          </cell>
        </row>
        <row r="586">
          <cell r="A586" t="str">
            <v>Услуги по содерж. имущества</v>
          </cell>
          <cell r="B586" t="str">
            <v>056</v>
          </cell>
          <cell r="C586" t="str">
            <v>08</v>
          </cell>
          <cell r="D586" t="str">
            <v>01</v>
          </cell>
          <cell r="E586">
            <v>4439901</v>
          </cell>
          <cell r="F586" t="str">
            <v>001</v>
          </cell>
          <cell r="G586">
            <v>225</v>
          </cell>
          <cell r="H586">
            <v>8.0299999999999994</v>
          </cell>
        </row>
        <row r="587">
          <cell r="A587" t="str">
            <v>Прочие услуги</v>
          </cell>
          <cell r="B587" t="str">
            <v>056</v>
          </cell>
          <cell r="C587" t="str">
            <v>08</v>
          </cell>
          <cell r="D587" t="str">
            <v>01</v>
          </cell>
          <cell r="E587">
            <v>4439901</v>
          </cell>
          <cell r="F587" t="str">
            <v>001</v>
          </cell>
          <cell r="G587">
            <v>226</v>
          </cell>
          <cell r="H587">
            <v>50</v>
          </cell>
        </row>
        <row r="588">
          <cell r="A588" t="str">
            <v xml:space="preserve">Прочие расходы </v>
          </cell>
          <cell r="B588" t="str">
            <v>056</v>
          </cell>
          <cell r="C588" t="str">
            <v>08</v>
          </cell>
          <cell r="D588" t="str">
            <v>01</v>
          </cell>
          <cell r="E588">
            <v>4439901</v>
          </cell>
          <cell r="F588" t="str">
            <v>001</v>
          </cell>
          <cell r="G588">
            <v>290</v>
          </cell>
          <cell r="H588">
            <v>5.7</v>
          </cell>
        </row>
        <row r="589">
          <cell r="A589" t="str">
            <v xml:space="preserve">Прочие расходы </v>
          </cell>
          <cell r="B589" t="str">
            <v>056</v>
          </cell>
          <cell r="C589" t="str">
            <v>08</v>
          </cell>
          <cell r="D589" t="str">
            <v>01</v>
          </cell>
          <cell r="E589" t="str">
            <v>4439500</v>
          </cell>
          <cell r="F589" t="str">
            <v>001</v>
          </cell>
          <cell r="G589" t="str">
            <v>290</v>
          </cell>
          <cell r="H589">
            <v>12.57</v>
          </cell>
        </row>
        <row r="590">
          <cell r="A590" t="str">
            <v>Увелич. стоимости осн. средств</v>
          </cell>
          <cell r="B590" t="str">
            <v>056</v>
          </cell>
          <cell r="C590" t="str">
            <v>08</v>
          </cell>
          <cell r="D590" t="str">
            <v>01</v>
          </cell>
          <cell r="E590">
            <v>4439901</v>
          </cell>
          <cell r="F590" t="str">
            <v>001</v>
          </cell>
          <cell r="G590">
            <v>310</v>
          </cell>
          <cell r="H590">
            <v>17.45</v>
          </cell>
        </row>
        <row r="591">
          <cell r="A591" t="str">
            <v>Увелич. стоимости матер. запасов</v>
          </cell>
          <cell r="B591" t="str">
            <v>056</v>
          </cell>
          <cell r="C591" t="str">
            <v>08</v>
          </cell>
          <cell r="D591" t="str">
            <v>01</v>
          </cell>
          <cell r="E591">
            <v>4439901</v>
          </cell>
          <cell r="F591" t="str">
            <v>001</v>
          </cell>
          <cell r="G591">
            <v>340</v>
          </cell>
          <cell r="H591">
            <v>65</v>
          </cell>
        </row>
        <row r="594">
          <cell r="A594" t="str">
            <v>Заработная плата</v>
          </cell>
          <cell r="B594" t="str">
            <v>056</v>
          </cell>
          <cell r="C594" t="str">
            <v>08</v>
          </cell>
          <cell r="D594" t="str">
            <v>01</v>
          </cell>
          <cell r="E594">
            <v>4439901</v>
          </cell>
          <cell r="F594" t="str">
            <v>001</v>
          </cell>
          <cell r="G594">
            <v>211</v>
          </cell>
          <cell r="H594">
            <v>13303.4</v>
          </cell>
        </row>
        <row r="595">
          <cell r="A595" t="str">
            <v xml:space="preserve">Прочие выплаты </v>
          </cell>
          <cell r="B595" t="str">
            <v>056</v>
          </cell>
          <cell r="C595" t="str">
            <v>08</v>
          </cell>
          <cell r="D595" t="str">
            <v>01</v>
          </cell>
          <cell r="E595">
            <v>4439901</v>
          </cell>
          <cell r="F595" t="str">
            <v>001</v>
          </cell>
          <cell r="G595">
            <v>212</v>
          </cell>
          <cell r="H595">
            <v>16.7</v>
          </cell>
        </row>
        <row r="596">
          <cell r="A596" t="str">
            <v>Начисления на оплату труда</v>
          </cell>
          <cell r="B596" t="str">
            <v>056</v>
          </cell>
          <cell r="C596" t="str">
            <v>08</v>
          </cell>
          <cell r="D596" t="str">
            <v>01</v>
          </cell>
          <cell r="E596">
            <v>4439901</v>
          </cell>
          <cell r="F596" t="str">
            <v>001</v>
          </cell>
          <cell r="G596">
            <v>213</v>
          </cell>
          <cell r="H596">
            <v>4017.6</v>
          </cell>
        </row>
        <row r="597">
          <cell r="A597" t="str">
            <v xml:space="preserve">Оплата услуг связи </v>
          </cell>
          <cell r="B597" t="str">
            <v>056</v>
          </cell>
          <cell r="C597" t="str">
            <v>08</v>
          </cell>
          <cell r="D597" t="str">
            <v>01</v>
          </cell>
          <cell r="E597">
            <v>4439901</v>
          </cell>
          <cell r="F597" t="str">
            <v>001</v>
          </cell>
          <cell r="G597">
            <v>221</v>
          </cell>
        </row>
        <row r="598">
          <cell r="A598" t="str">
            <v>Транспортные услуги</v>
          </cell>
          <cell r="B598" t="str">
            <v>056</v>
          </cell>
          <cell r="C598" t="str">
            <v>08</v>
          </cell>
          <cell r="D598" t="str">
            <v>01</v>
          </cell>
          <cell r="E598">
            <v>4439901</v>
          </cell>
          <cell r="F598" t="str">
            <v>001</v>
          </cell>
          <cell r="G598">
            <v>222</v>
          </cell>
          <cell r="H598">
            <v>639.37700000000007</v>
          </cell>
        </row>
        <row r="599">
          <cell r="A599" t="str">
            <v>Коммунальные услуги</v>
          </cell>
          <cell r="B599" t="str">
            <v>056</v>
          </cell>
          <cell r="C599" t="str">
            <v>08</v>
          </cell>
          <cell r="D599" t="str">
            <v>01</v>
          </cell>
          <cell r="E599">
            <v>4439901</v>
          </cell>
          <cell r="F599" t="str">
            <v>001</v>
          </cell>
          <cell r="G599">
            <v>223</v>
          </cell>
        </row>
        <row r="600">
          <cell r="A600" t="str">
            <v>Арендная плата</v>
          </cell>
          <cell r="B600" t="str">
            <v>056</v>
          </cell>
          <cell r="C600" t="str">
            <v>08</v>
          </cell>
          <cell r="D600" t="str">
            <v>01</v>
          </cell>
          <cell r="E600">
            <v>4439901</v>
          </cell>
          <cell r="F600" t="str">
            <v>001</v>
          </cell>
          <cell r="G600">
            <v>224</v>
          </cell>
        </row>
        <row r="601">
          <cell r="A601" t="str">
            <v>Услуги по содерж. имущества</v>
          </cell>
          <cell r="B601" t="str">
            <v>056</v>
          </cell>
          <cell r="C601" t="str">
            <v>08</v>
          </cell>
          <cell r="D601" t="str">
            <v>01</v>
          </cell>
          <cell r="E601">
            <v>4439901</v>
          </cell>
          <cell r="F601" t="str">
            <v>001</v>
          </cell>
          <cell r="G601">
            <v>225</v>
          </cell>
        </row>
        <row r="602">
          <cell r="A602" t="str">
            <v>Прочие услуги</v>
          </cell>
          <cell r="B602" t="str">
            <v>056</v>
          </cell>
          <cell r="C602" t="str">
            <v>08</v>
          </cell>
          <cell r="D602" t="str">
            <v>01</v>
          </cell>
          <cell r="E602">
            <v>4439901</v>
          </cell>
          <cell r="F602" t="str">
            <v>001</v>
          </cell>
          <cell r="G602">
            <v>226</v>
          </cell>
          <cell r="H602">
            <v>574.91999999999996</v>
          </cell>
        </row>
        <row r="603">
          <cell r="A603" t="str">
            <v xml:space="preserve">Прочие расходы </v>
          </cell>
          <cell r="B603" t="str">
            <v>056</v>
          </cell>
          <cell r="C603" t="str">
            <v>08</v>
          </cell>
          <cell r="D603" t="str">
            <v>01</v>
          </cell>
          <cell r="E603">
            <v>4439901</v>
          </cell>
          <cell r="F603" t="str">
            <v>001</v>
          </cell>
          <cell r="G603">
            <v>290</v>
          </cell>
          <cell r="H603">
            <v>18.8</v>
          </cell>
        </row>
        <row r="604">
          <cell r="A604" t="str">
            <v xml:space="preserve">Прочие расходы </v>
          </cell>
          <cell r="B604" t="str">
            <v>056</v>
          </cell>
          <cell r="C604" t="str">
            <v>08</v>
          </cell>
          <cell r="D604" t="str">
            <v>01</v>
          </cell>
          <cell r="E604" t="str">
            <v>4439500</v>
          </cell>
          <cell r="F604" t="str">
            <v>001</v>
          </cell>
          <cell r="G604" t="str">
            <v>290</v>
          </cell>
          <cell r="H604">
            <v>6.2000000000000011</v>
          </cell>
        </row>
        <row r="605">
          <cell r="A605" t="str">
            <v>Увелич. стоимости осн. средств</v>
          </cell>
          <cell r="B605" t="str">
            <v>056</v>
          </cell>
          <cell r="C605" t="str">
            <v>08</v>
          </cell>
          <cell r="D605" t="str">
            <v>01</v>
          </cell>
          <cell r="E605">
            <v>4439901</v>
          </cell>
          <cell r="F605" t="str">
            <v>001</v>
          </cell>
          <cell r="G605">
            <v>310</v>
          </cell>
          <cell r="H605">
            <v>1000</v>
          </cell>
        </row>
        <row r="606">
          <cell r="A606" t="str">
            <v>Увелич. стоимости матер. запасов</v>
          </cell>
          <cell r="B606" t="str">
            <v>056</v>
          </cell>
          <cell r="C606" t="str">
            <v>08</v>
          </cell>
          <cell r="D606" t="str">
            <v>01</v>
          </cell>
          <cell r="E606">
            <v>4439901</v>
          </cell>
          <cell r="F606" t="str">
            <v>001</v>
          </cell>
          <cell r="G606">
            <v>340</v>
          </cell>
          <cell r="H606">
            <v>217.6</v>
          </cell>
        </row>
        <row r="609">
          <cell r="A609" t="str">
            <v>Заработная плата</v>
          </cell>
          <cell r="B609" t="str">
            <v>056</v>
          </cell>
          <cell r="C609" t="str">
            <v>08</v>
          </cell>
          <cell r="D609" t="str">
            <v>01</v>
          </cell>
          <cell r="E609">
            <v>4439901</v>
          </cell>
          <cell r="F609" t="str">
            <v>001</v>
          </cell>
          <cell r="G609">
            <v>211</v>
          </cell>
          <cell r="H609">
            <v>15533.76</v>
          </cell>
        </row>
        <row r="610">
          <cell r="A610" t="str">
            <v xml:space="preserve">Прочие выплаты </v>
          </cell>
          <cell r="B610" t="str">
            <v>056</v>
          </cell>
          <cell r="C610" t="str">
            <v>08</v>
          </cell>
          <cell r="D610" t="str">
            <v>01</v>
          </cell>
          <cell r="E610">
            <v>4439901</v>
          </cell>
          <cell r="F610" t="str">
            <v>001</v>
          </cell>
          <cell r="G610">
            <v>212</v>
          </cell>
          <cell r="H610">
            <v>23.1</v>
          </cell>
        </row>
        <row r="611">
          <cell r="A611" t="str">
            <v>Начисления на оплату труда</v>
          </cell>
          <cell r="B611" t="str">
            <v>056</v>
          </cell>
          <cell r="C611" t="str">
            <v>08</v>
          </cell>
          <cell r="D611" t="str">
            <v>01</v>
          </cell>
          <cell r="E611">
            <v>4439901</v>
          </cell>
          <cell r="F611" t="str">
            <v>001</v>
          </cell>
          <cell r="G611">
            <v>213</v>
          </cell>
          <cell r="H611">
            <v>4691.2</v>
          </cell>
        </row>
        <row r="612">
          <cell r="A612" t="str">
            <v xml:space="preserve">Оплата услуг связи </v>
          </cell>
          <cell r="B612" t="str">
            <v>056</v>
          </cell>
          <cell r="C612" t="str">
            <v>08</v>
          </cell>
          <cell r="D612" t="str">
            <v>01</v>
          </cell>
          <cell r="E612">
            <v>4439901</v>
          </cell>
          <cell r="F612" t="str">
            <v>001</v>
          </cell>
          <cell r="G612">
            <v>221</v>
          </cell>
        </row>
        <row r="613">
          <cell r="A613" t="str">
            <v>Транспортные услуги</v>
          </cell>
          <cell r="B613" t="str">
            <v>056</v>
          </cell>
          <cell r="C613" t="str">
            <v>08</v>
          </cell>
          <cell r="D613" t="str">
            <v>01</v>
          </cell>
          <cell r="E613">
            <v>4439901</v>
          </cell>
          <cell r="F613" t="str">
            <v>001</v>
          </cell>
          <cell r="G613">
            <v>222</v>
          </cell>
          <cell r="H613">
            <v>195.16200000000001</v>
          </cell>
        </row>
        <row r="614">
          <cell r="A614" t="str">
            <v>Коммунальные услуги</v>
          </cell>
          <cell r="B614" t="str">
            <v>056</v>
          </cell>
          <cell r="C614" t="str">
            <v>08</v>
          </cell>
          <cell r="D614" t="str">
            <v>01</v>
          </cell>
          <cell r="E614">
            <v>4439901</v>
          </cell>
          <cell r="F614" t="str">
            <v>001</v>
          </cell>
          <cell r="G614">
            <v>223</v>
          </cell>
          <cell r="H614">
            <v>83.94</v>
          </cell>
        </row>
        <row r="615">
          <cell r="A615" t="str">
            <v>Арендная плата</v>
          </cell>
          <cell r="B615" t="str">
            <v>056</v>
          </cell>
          <cell r="C615" t="str">
            <v>08</v>
          </cell>
          <cell r="D615" t="str">
            <v>01</v>
          </cell>
          <cell r="E615">
            <v>4439901</v>
          </cell>
          <cell r="F615" t="str">
            <v>001</v>
          </cell>
          <cell r="G615">
            <v>224</v>
          </cell>
          <cell r="H615">
            <v>160</v>
          </cell>
        </row>
        <row r="616">
          <cell r="A616" t="str">
            <v>Услуги по содерж. имущества</v>
          </cell>
          <cell r="B616" t="str">
            <v>056</v>
          </cell>
          <cell r="C616" t="str">
            <v>08</v>
          </cell>
          <cell r="D616" t="str">
            <v>01</v>
          </cell>
          <cell r="E616">
            <v>4439901</v>
          </cell>
          <cell r="F616" t="str">
            <v>001</v>
          </cell>
          <cell r="G616">
            <v>225</v>
          </cell>
        </row>
        <row r="617">
          <cell r="A617" t="str">
            <v>Прочие услуги</v>
          </cell>
          <cell r="B617" t="str">
            <v>056</v>
          </cell>
          <cell r="C617" t="str">
            <v>08</v>
          </cell>
          <cell r="D617" t="str">
            <v>01</v>
          </cell>
          <cell r="E617">
            <v>4439901</v>
          </cell>
          <cell r="F617" t="str">
            <v>001</v>
          </cell>
          <cell r="G617">
            <v>226</v>
          </cell>
          <cell r="H617">
            <v>402.79</v>
          </cell>
        </row>
        <row r="618">
          <cell r="A618" t="str">
            <v xml:space="preserve">Прочие расходы </v>
          </cell>
          <cell r="B618" t="str">
            <v>056</v>
          </cell>
          <cell r="C618" t="str">
            <v>08</v>
          </cell>
          <cell r="D618" t="str">
            <v>01</v>
          </cell>
          <cell r="E618">
            <v>4439901</v>
          </cell>
          <cell r="F618" t="str">
            <v>001</v>
          </cell>
          <cell r="G618">
            <v>290</v>
          </cell>
          <cell r="H618">
            <v>19.899999999999999</v>
          </cell>
        </row>
        <row r="619">
          <cell r="A619" t="str">
            <v xml:space="preserve">Прочие расходы </v>
          </cell>
          <cell r="B619" t="str">
            <v>056</v>
          </cell>
          <cell r="C619" t="str">
            <v>08</v>
          </cell>
          <cell r="D619" t="str">
            <v>01</v>
          </cell>
          <cell r="E619" t="str">
            <v>4439500</v>
          </cell>
          <cell r="F619" t="str">
            <v>001</v>
          </cell>
          <cell r="G619" t="str">
            <v>290</v>
          </cell>
          <cell r="H619">
            <v>21.3</v>
          </cell>
        </row>
        <row r="620">
          <cell r="A620" t="str">
            <v>Увелич. стоимости осн. средств</v>
          </cell>
          <cell r="B620" t="str">
            <v>056</v>
          </cell>
          <cell r="C620" t="str">
            <v>08</v>
          </cell>
          <cell r="D620" t="str">
            <v>01</v>
          </cell>
          <cell r="E620">
            <v>4439901</v>
          </cell>
          <cell r="F620" t="str">
            <v>001</v>
          </cell>
          <cell r="G620">
            <v>310</v>
          </cell>
          <cell r="H620">
            <v>300</v>
          </cell>
        </row>
        <row r="621">
          <cell r="A621" t="str">
            <v>Увелич. стоимости матер. запасов</v>
          </cell>
          <cell r="B621" t="str">
            <v>056</v>
          </cell>
          <cell r="C621" t="str">
            <v>08</v>
          </cell>
          <cell r="D621" t="str">
            <v>01</v>
          </cell>
          <cell r="E621">
            <v>4439901</v>
          </cell>
          <cell r="F621" t="str">
            <v>001</v>
          </cell>
          <cell r="G621">
            <v>340</v>
          </cell>
          <cell r="H621">
            <v>200</v>
          </cell>
        </row>
        <row r="624">
          <cell r="A624" t="str">
            <v>Заработная плата</v>
          </cell>
          <cell r="B624" t="str">
            <v>056</v>
          </cell>
          <cell r="C624" t="str">
            <v>08</v>
          </cell>
          <cell r="D624" t="str">
            <v>01</v>
          </cell>
          <cell r="E624">
            <v>4439901</v>
          </cell>
          <cell r="F624" t="str">
            <v>001</v>
          </cell>
          <cell r="G624">
            <v>211</v>
          </cell>
          <cell r="H624">
            <v>4593.7</v>
          </cell>
        </row>
        <row r="625">
          <cell r="A625" t="str">
            <v xml:space="preserve">Прочие выплаты </v>
          </cell>
          <cell r="B625" t="str">
            <v>056</v>
          </cell>
          <cell r="C625" t="str">
            <v>08</v>
          </cell>
          <cell r="D625" t="str">
            <v>01</v>
          </cell>
          <cell r="E625">
            <v>4439901</v>
          </cell>
          <cell r="F625" t="str">
            <v>001</v>
          </cell>
          <cell r="G625">
            <v>212</v>
          </cell>
        </row>
        <row r="626">
          <cell r="A626" t="str">
            <v>Начисления на оплату труда</v>
          </cell>
          <cell r="B626" t="str">
            <v>056</v>
          </cell>
          <cell r="C626" t="str">
            <v>08</v>
          </cell>
          <cell r="D626" t="str">
            <v>01</v>
          </cell>
          <cell r="E626">
            <v>4439901</v>
          </cell>
          <cell r="F626" t="str">
            <v>001</v>
          </cell>
          <cell r="G626">
            <v>213</v>
          </cell>
          <cell r="H626">
            <v>1387.3</v>
          </cell>
        </row>
        <row r="627">
          <cell r="A627" t="str">
            <v xml:space="preserve">Оплата услуг связи </v>
          </cell>
          <cell r="B627" t="str">
            <v>056</v>
          </cell>
          <cell r="C627" t="str">
            <v>08</v>
          </cell>
          <cell r="D627" t="str">
            <v>01</v>
          </cell>
          <cell r="E627">
            <v>4439901</v>
          </cell>
          <cell r="F627" t="str">
            <v>001</v>
          </cell>
          <cell r="G627">
            <v>221</v>
          </cell>
        </row>
        <row r="628">
          <cell r="A628" t="str">
            <v>Транспортные услуги</v>
          </cell>
          <cell r="B628" t="str">
            <v>056</v>
          </cell>
          <cell r="C628" t="str">
            <v>08</v>
          </cell>
          <cell r="D628" t="str">
            <v>01</v>
          </cell>
          <cell r="E628">
            <v>4439901</v>
          </cell>
          <cell r="F628" t="str">
            <v>001</v>
          </cell>
          <cell r="G628">
            <v>222</v>
          </cell>
        </row>
        <row r="629">
          <cell r="A629" t="str">
            <v>Коммунальные услуги</v>
          </cell>
          <cell r="B629" t="str">
            <v>056</v>
          </cell>
          <cell r="C629" t="str">
            <v>08</v>
          </cell>
          <cell r="D629" t="str">
            <v>01</v>
          </cell>
          <cell r="E629">
            <v>4439901</v>
          </cell>
          <cell r="F629" t="str">
            <v>001</v>
          </cell>
          <cell r="G629">
            <v>223</v>
          </cell>
          <cell r="H629">
            <v>24.8</v>
          </cell>
        </row>
        <row r="630">
          <cell r="A630" t="str">
            <v>Арендная плата</v>
          </cell>
          <cell r="B630" t="str">
            <v>056</v>
          </cell>
          <cell r="C630" t="str">
            <v>08</v>
          </cell>
          <cell r="D630" t="str">
            <v>01</v>
          </cell>
          <cell r="E630">
            <v>4439901</v>
          </cell>
          <cell r="F630" t="str">
            <v>001</v>
          </cell>
          <cell r="G630">
            <v>224</v>
          </cell>
        </row>
        <row r="631">
          <cell r="A631" t="str">
            <v>Услуги по содерж. имущества</v>
          </cell>
          <cell r="B631" t="str">
            <v>056</v>
          </cell>
          <cell r="C631" t="str">
            <v>08</v>
          </cell>
          <cell r="D631" t="str">
            <v>01</v>
          </cell>
          <cell r="E631">
            <v>4439901</v>
          </cell>
          <cell r="F631" t="str">
            <v>001</v>
          </cell>
          <cell r="G631">
            <v>225</v>
          </cell>
        </row>
        <row r="632">
          <cell r="A632" t="str">
            <v>Прочие услуги</v>
          </cell>
          <cell r="B632" t="str">
            <v>056</v>
          </cell>
          <cell r="C632" t="str">
            <v>08</v>
          </cell>
          <cell r="D632" t="str">
            <v>01</v>
          </cell>
          <cell r="E632">
            <v>4439901</v>
          </cell>
          <cell r="F632" t="str">
            <v>001</v>
          </cell>
          <cell r="G632">
            <v>226</v>
          </cell>
          <cell r="H632">
            <v>104.64</v>
          </cell>
        </row>
        <row r="633">
          <cell r="A633" t="str">
            <v xml:space="preserve">Прочие расходы </v>
          </cell>
          <cell r="B633" t="str">
            <v>056</v>
          </cell>
          <cell r="C633" t="str">
            <v>08</v>
          </cell>
          <cell r="D633" t="str">
            <v>01</v>
          </cell>
          <cell r="E633">
            <v>4439901</v>
          </cell>
          <cell r="F633" t="str">
            <v>001</v>
          </cell>
          <cell r="G633">
            <v>290</v>
          </cell>
          <cell r="H633">
            <v>8</v>
          </cell>
        </row>
        <row r="634">
          <cell r="A634" t="str">
            <v xml:space="preserve">Прочие расходы </v>
          </cell>
          <cell r="B634" t="str">
            <v>056</v>
          </cell>
          <cell r="C634" t="str">
            <v>08</v>
          </cell>
          <cell r="D634" t="str">
            <v>01</v>
          </cell>
          <cell r="E634" t="str">
            <v>4439500</v>
          </cell>
          <cell r="F634" t="str">
            <v>001</v>
          </cell>
          <cell r="G634" t="str">
            <v>290</v>
          </cell>
          <cell r="H634">
            <v>19</v>
          </cell>
        </row>
        <row r="635">
          <cell r="A635" t="str">
            <v>Увелич. стоимости осн. средств</v>
          </cell>
          <cell r="B635" t="str">
            <v>056</v>
          </cell>
          <cell r="C635" t="str">
            <v>08</v>
          </cell>
          <cell r="D635" t="str">
            <v>01</v>
          </cell>
          <cell r="E635">
            <v>4439901</v>
          </cell>
          <cell r="F635" t="str">
            <v>001</v>
          </cell>
          <cell r="G635">
            <v>310</v>
          </cell>
          <cell r="H635">
            <v>50.36</v>
          </cell>
        </row>
        <row r="636">
          <cell r="A636" t="str">
            <v>Увелич. стоимости матер. запасов</v>
          </cell>
          <cell r="B636" t="str">
            <v>056</v>
          </cell>
          <cell r="C636" t="str">
            <v>08</v>
          </cell>
          <cell r="D636" t="str">
            <v>01</v>
          </cell>
          <cell r="E636">
            <v>4439901</v>
          </cell>
          <cell r="F636" t="str">
            <v>001</v>
          </cell>
          <cell r="G636">
            <v>340</v>
          </cell>
        </row>
        <row r="639">
          <cell r="A639" t="str">
            <v>Заработная плата</v>
          </cell>
          <cell r="B639" t="str">
            <v>056</v>
          </cell>
          <cell r="C639" t="str">
            <v>08</v>
          </cell>
          <cell r="D639" t="str">
            <v>01</v>
          </cell>
          <cell r="E639">
            <v>4439901</v>
          </cell>
          <cell r="F639" t="str">
            <v>001</v>
          </cell>
          <cell r="G639">
            <v>211</v>
          </cell>
          <cell r="H639">
            <v>3705.2</v>
          </cell>
        </row>
        <row r="640">
          <cell r="A640" t="str">
            <v xml:space="preserve">Прочие выплаты </v>
          </cell>
          <cell r="B640" t="str">
            <v>056</v>
          </cell>
          <cell r="C640" t="str">
            <v>08</v>
          </cell>
          <cell r="D640" t="str">
            <v>01</v>
          </cell>
          <cell r="E640">
            <v>4439901</v>
          </cell>
          <cell r="F640" t="str">
            <v>001</v>
          </cell>
          <cell r="G640">
            <v>212</v>
          </cell>
        </row>
        <row r="641">
          <cell r="A641" t="str">
            <v>Начисления на оплату труда</v>
          </cell>
          <cell r="B641" t="str">
            <v>056</v>
          </cell>
          <cell r="C641" t="str">
            <v>08</v>
          </cell>
          <cell r="D641" t="str">
            <v>01</v>
          </cell>
          <cell r="E641">
            <v>4439901</v>
          </cell>
          <cell r="F641" t="str">
            <v>001</v>
          </cell>
          <cell r="G641">
            <v>213</v>
          </cell>
          <cell r="H641">
            <v>1119</v>
          </cell>
        </row>
        <row r="642">
          <cell r="A642" t="str">
            <v xml:space="preserve">Оплата услуг связи </v>
          </cell>
          <cell r="B642" t="str">
            <v>056</v>
          </cell>
          <cell r="C642" t="str">
            <v>08</v>
          </cell>
          <cell r="D642" t="str">
            <v>01</v>
          </cell>
          <cell r="E642">
            <v>4439901</v>
          </cell>
          <cell r="F642" t="str">
            <v>001</v>
          </cell>
          <cell r="G642">
            <v>221</v>
          </cell>
        </row>
        <row r="643">
          <cell r="A643" t="str">
            <v>Транспортные услуги</v>
          </cell>
          <cell r="B643" t="str">
            <v>056</v>
          </cell>
          <cell r="C643" t="str">
            <v>08</v>
          </cell>
          <cell r="D643" t="str">
            <v>01</v>
          </cell>
          <cell r="E643">
            <v>4439901</v>
          </cell>
          <cell r="F643" t="str">
            <v>001</v>
          </cell>
          <cell r="G643">
            <v>222</v>
          </cell>
        </row>
        <row r="644">
          <cell r="A644" t="str">
            <v>Коммунальные услуги</v>
          </cell>
          <cell r="B644" t="str">
            <v>056</v>
          </cell>
          <cell r="C644" t="str">
            <v>08</v>
          </cell>
          <cell r="D644" t="str">
            <v>01</v>
          </cell>
          <cell r="E644">
            <v>4439901</v>
          </cell>
          <cell r="F644" t="str">
            <v>001</v>
          </cell>
          <cell r="G644">
            <v>223</v>
          </cell>
        </row>
        <row r="645">
          <cell r="A645" t="str">
            <v>Арендная плата</v>
          </cell>
          <cell r="B645" t="str">
            <v>056</v>
          </cell>
          <cell r="C645" t="str">
            <v>08</v>
          </cell>
          <cell r="D645" t="str">
            <v>01</v>
          </cell>
          <cell r="E645">
            <v>4439901</v>
          </cell>
          <cell r="F645" t="str">
            <v>001</v>
          </cell>
          <cell r="G645">
            <v>224</v>
          </cell>
        </row>
        <row r="646">
          <cell r="A646" t="str">
            <v>Услуги по содерж. имущества</v>
          </cell>
          <cell r="B646" t="str">
            <v>056</v>
          </cell>
          <cell r="C646" t="str">
            <v>08</v>
          </cell>
          <cell r="D646" t="str">
            <v>01</v>
          </cell>
          <cell r="E646">
            <v>4439901</v>
          </cell>
          <cell r="F646" t="str">
            <v>001</v>
          </cell>
          <cell r="G646">
            <v>225</v>
          </cell>
        </row>
        <row r="647">
          <cell r="A647" t="str">
            <v>Прочие услуги</v>
          </cell>
          <cell r="B647" t="str">
            <v>056</v>
          </cell>
          <cell r="C647" t="str">
            <v>08</v>
          </cell>
          <cell r="D647" t="str">
            <v>01</v>
          </cell>
          <cell r="E647">
            <v>4439901</v>
          </cell>
          <cell r="F647" t="str">
            <v>001</v>
          </cell>
          <cell r="G647">
            <v>226</v>
          </cell>
          <cell r="H647">
            <v>165</v>
          </cell>
        </row>
        <row r="648">
          <cell r="A648" t="str">
            <v xml:space="preserve">Прочие расходы </v>
          </cell>
          <cell r="B648" t="str">
            <v>056</v>
          </cell>
          <cell r="C648" t="str">
            <v>08</v>
          </cell>
          <cell r="D648" t="str">
            <v>01</v>
          </cell>
          <cell r="E648">
            <v>4439901</v>
          </cell>
          <cell r="F648" t="str">
            <v>001</v>
          </cell>
          <cell r="G648">
            <v>290</v>
          </cell>
          <cell r="H648">
            <v>8</v>
          </cell>
        </row>
        <row r="649">
          <cell r="A649" t="str">
            <v xml:space="preserve">Прочие расходы </v>
          </cell>
          <cell r="B649" t="str">
            <v>056</v>
          </cell>
          <cell r="C649" t="str">
            <v>08</v>
          </cell>
          <cell r="D649" t="str">
            <v>01</v>
          </cell>
          <cell r="E649" t="str">
            <v>4439500</v>
          </cell>
          <cell r="F649" t="str">
            <v>001</v>
          </cell>
          <cell r="G649" t="str">
            <v>290</v>
          </cell>
          <cell r="H649">
            <v>19.100000000000001</v>
          </cell>
        </row>
        <row r="650">
          <cell r="A650" t="str">
            <v>Увелич. стоимости осн. средств</v>
          </cell>
          <cell r="B650" t="str">
            <v>056</v>
          </cell>
          <cell r="C650" t="str">
            <v>08</v>
          </cell>
          <cell r="D650" t="str">
            <v>01</v>
          </cell>
          <cell r="E650">
            <v>4439901</v>
          </cell>
          <cell r="F650" t="str">
            <v>001</v>
          </cell>
          <cell r="G650">
            <v>310</v>
          </cell>
          <cell r="H650">
            <v>90</v>
          </cell>
        </row>
        <row r="651">
          <cell r="A651" t="str">
            <v>Увелич. стоимости матер. запасов</v>
          </cell>
          <cell r="B651" t="str">
            <v>056</v>
          </cell>
          <cell r="C651" t="str">
            <v>08</v>
          </cell>
          <cell r="D651" t="str">
            <v>01</v>
          </cell>
          <cell r="E651">
            <v>4439901</v>
          </cell>
          <cell r="F651" t="str">
            <v>001</v>
          </cell>
          <cell r="G651">
            <v>340</v>
          </cell>
          <cell r="H651">
            <v>30</v>
          </cell>
        </row>
        <row r="654">
          <cell r="A654" t="str">
            <v>Заработная плата</v>
          </cell>
          <cell r="B654" t="str">
            <v>056</v>
          </cell>
          <cell r="C654" t="str">
            <v>08</v>
          </cell>
          <cell r="D654" t="str">
            <v>01</v>
          </cell>
          <cell r="E654">
            <v>4439901</v>
          </cell>
          <cell r="F654" t="str">
            <v>001</v>
          </cell>
          <cell r="G654">
            <v>211</v>
          </cell>
          <cell r="H654">
            <v>5246</v>
          </cell>
        </row>
        <row r="655">
          <cell r="A655" t="str">
            <v xml:space="preserve">Прочие выплаты </v>
          </cell>
          <cell r="B655" t="str">
            <v>056</v>
          </cell>
          <cell r="C655" t="str">
            <v>08</v>
          </cell>
          <cell r="D655" t="str">
            <v>01</v>
          </cell>
          <cell r="E655">
            <v>4439901</v>
          </cell>
          <cell r="F655" t="str">
            <v>001</v>
          </cell>
          <cell r="G655">
            <v>212</v>
          </cell>
        </row>
        <row r="656">
          <cell r="A656" t="str">
            <v>Начисления на оплату труда</v>
          </cell>
          <cell r="B656" t="str">
            <v>056</v>
          </cell>
          <cell r="C656" t="str">
            <v>08</v>
          </cell>
          <cell r="D656" t="str">
            <v>01</v>
          </cell>
          <cell r="E656">
            <v>4439901</v>
          </cell>
          <cell r="F656" t="str">
            <v>001</v>
          </cell>
          <cell r="G656">
            <v>213</v>
          </cell>
          <cell r="H656">
            <v>1584.3</v>
          </cell>
        </row>
        <row r="657">
          <cell r="A657" t="str">
            <v xml:space="preserve">Оплата услуг связи </v>
          </cell>
          <cell r="B657" t="str">
            <v>056</v>
          </cell>
          <cell r="C657" t="str">
            <v>08</v>
          </cell>
          <cell r="D657" t="str">
            <v>01</v>
          </cell>
          <cell r="E657">
            <v>4439901</v>
          </cell>
          <cell r="F657" t="str">
            <v>001</v>
          </cell>
          <cell r="G657">
            <v>221</v>
          </cell>
        </row>
        <row r="658">
          <cell r="A658" t="str">
            <v>Транспортные услуги</v>
          </cell>
          <cell r="B658" t="str">
            <v>056</v>
          </cell>
          <cell r="C658" t="str">
            <v>08</v>
          </cell>
          <cell r="D658" t="str">
            <v>01</v>
          </cell>
          <cell r="E658">
            <v>4439901</v>
          </cell>
          <cell r="F658" t="str">
            <v>001</v>
          </cell>
          <cell r="G658">
            <v>222</v>
          </cell>
        </row>
        <row r="659">
          <cell r="A659" t="str">
            <v>Коммунальные услуги</v>
          </cell>
          <cell r="B659" t="str">
            <v>056</v>
          </cell>
          <cell r="C659" t="str">
            <v>08</v>
          </cell>
          <cell r="D659" t="str">
            <v>01</v>
          </cell>
          <cell r="E659">
            <v>4439901</v>
          </cell>
          <cell r="F659" t="str">
            <v>001</v>
          </cell>
          <cell r="G659">
            <v>223</v>
          </cell>
        </row>
        <row r="660">
          <cell r="A660" t="str">
            <v>Арендная плата</v>
          </cell>
          <cell r="B660" t="str">
            <v>056</v>
          </cell>
          <cell r="C660" t="str">
            <v>08</v>
          </cell>
          <cell r="D660" t="str">
            <v>01</v>
          </cell>
          <cell r="E660">
            <v>4439901</v>
          </cell>
          <cell r="F660" t="str">
            <v>001</v>
          </cell>
          <cell r="G660">
            <v>224</v>
          </cell>
        </row>
        <row r="661">
          <cell r="A661" t="str">
            <v>Услуги по содерж. имущества</v>
          </cell>
          <cell r="B661" t="str">
            <v>056</v>
          </cell>
          <cell r="C661" t="str">
            <v>08</v>
          </cell>
          <cell r="D661" t="str">
            <v>01</v>
          </cell>
          <cell r="E661">
            <v>4439901</v>
          </cell>
          <cell r="F661" t="str">
            <v>001</v>
          </cell>
          <cell r="G661">
            <v>225</v>
          </cell>
        </row>
        <row r="662">
          <cell r="A662" t="str">
            <v>Прочие услуги</v>
          </cell>
          <cell r="B662" t="str">
            <v>056</v>
          </cell>
          <cell r="C662" t="str">
            <v>08</v>
          </cell>
          <cell r="D662" t="str">
            <v>01</v>
          </cell>
          <cell r="E662">
            <v>4439901</v>
          </cell>
          <cell r="F662" t="str">
            <v>001</v>
          </cell>
          <cell r="G662">
            <v>226</v>
          </cell>
          <cell r="H662">
            <v>45.14</v>
          </cell>
        </row>
        <row r="663">
          <cell r="A663" t="str">
            <v xml:space="preserve">Прочие расходы </v>
          </cell>
          <cell r="B663" t="str">
            <v>056</v>
          </cell>
          <cell r="C663" t="str">
            <v>08</v>
          </cell>
          <cell r="D663" t="str">
            <v>01</v>
          </cell>
          <cell r="E663">
            <v>4439901</v>
          </cell>
          <cell r="F663" t="str">
            <v>001</v>
          </cell>
          <cell r="G663">
            <v>290</v>
          </cell>
          <cell r="H663">
            <v>8.9</v>
          </cell>
        </row>
        <row r="664">
          <cell r="A664" t="str">
            <v xml:space="preserve">Прочие расходы </v>
          </cell>
          <cell r="B664" t="str">
            <v>056</v>
          </cell>
          <cell r="C664" t="str">
            <v>08</v>
          </cell>
          <cell r="D664" t="str">
            <v>01</v>
          </cell>
          <cell r="E664" t="str">
            <v>4439500</v>
          </cell>
          <cell r="F664" t="str">
            <v>001</v>
          </cell>
          <cell r="G664" t="str">
            <v>290</v>
          </cell>
          <cell r="H664">
            <v>5.6</v>
          </cell>
        </row>
        <row r="665">
          <cell r="A665" t="str">
            <v>Увелич. стоимости осн. средств</v>
          </cell>
          <cell r="B665" t="str">
            <v>056</v>
          </cell>
          <cell r="C665" t="str">
            <v>08</v>
          </cell>
          <cell r="D665" t="str">
            <v>01</v>
          </cell>
          <cell r="E665">
            <v>4439901</v>
          </cell>
          <cell r="F665" t="str">
            <v>001</v>
          </cell>
          <cell r="G665">
            <v>310</v>
          </cell>
          <cell r="H665">
            <v>150</v>
          </cell>
        </row>
        <row r="666">
          <cell r="A666" t="str">
            <v>Увелич. стоимости матер. запасов</v>
          </cell>
          <cell r="B666" t="str">
            <v>056</v>
          </cell>
          <cell r="C666" t="str">
            <v>08</v>
          </cell>
          <cell r="D666" t="str">
            <v>01</v>
          </cell>
          <cell r="E666">
            <v>4439901</v>
          </cell>
          <cell r="F666" t="str">
            <v>001</v>
          </cell>
          <cell r="G666">
            <v>340</v>
          </cell>
          <cell r="H666">
            <v>0.86</v>
          </cell>
        </row>
        <row r="669">
          <cell r="A669" t="str">
            <v>Заработная плата</v>
          </cell>
          <cell r="B669" t="str">
            <v>056</v>
          </cell>
          <cell r="C669" t="str">
            <v>08</v>
          </cell>
          <cell r="D669" t="str">
            <v>01</v>
          </cell>
          <cell r="E669">
            <v>4439901</v>
          </cell>
          <cell r="F669" t="str">
            <v>001</v>
          </cell>
          <cell r="G669">
            <v>211</v>
          </cell>
          <cell r="H669">
            <v>6045.72</v>
          </cell>
        </row>
        <row r="670">
          <cell r="A670" t="str">
            <v xml:space="preserve">Прочие выплаты </v>
          </cell>
          <cell r="B670" t="str">
            <v>056</v>
          </cell>
          <cell r="C670" t="str">
            <v>08</v>
          </cell>
          <cell r="D670" t="str">
            <v>01</v>
          </cell>
          <cell r="E670">
            <v>4439901</v>
          </cell>
          <cell r="F670" t="str">
            <v>001</v>
          </cell>
          <cell r="G670">
            <v>212</v>
          </cell>
          <cell r="H670">
            <v>32.9</v>
          </cell>
        </row>
        <row r="671">
          <cell r="A671" t="str">
            <v>Начисления на оплату труда</v>
          </cell>
          <cell r="B671" t="str">
            <v>056</v>
          </cell>
          <cell r="C671" t="str">
            <v>08</v>
          </cell>
          <cell r="D671" t="str">
            <v>01</v>
          </cell>
          <cell r="E671">
            <v>4439901</v>
          </cell>
          <cell r="F671" t="str">
            <v>001</v>
          </cell>
          <cell r="G671">
            <v>213</v>
          </cell>
          <cell r="H671">
            <v>1825.78</v>
          </cell>
        </row>
        <row r="672">
          <cell r="A672" t="str">
            <v xml:space="preserve">Оплата услуг связи </v>
          </cell>
          <cell r="B672" t="str">
            <v>056</v>
          </cell>
          <cell r="C672" t="str">
            <v>08</v>
          </cell>
          <cell r="D672" t="str">
            <v>01</v>
          </cell>
          <cell r="E672">
            <v>4439901</v>
          </cell>
          <cell r="F672" t="str">
            <v>001</v>
          </cell>
          <cell r="G672">
            <v>221</v>
          </cell>
        </row>
        <row r="673">
          <cell r="A673" t="str">
            <v>Транспортные услуги</v>
          </cell>
          <cell r="B673" t="str">
            <v>056</v>
          </cell>
          <cell r="C673" t="str">
            <v>08</v>
          </cell>
          <cell r="D673" t="str">
            <v>01</v>
          </cell>
          <cell r="E673">
            <v>4439901</v>
          </cell>
          <cell r="F673" t="str">
            <v>001</v>
          </cell>
          <cell r="G673">
            <v>222</v>
          </cell>
          <cell r="H673">
            <v>253.149</v>
          </cell>
        </row>
        <row r="674">
          <cell r="A674" t="str">
            <v>Коммунальные услуги</v>
          </cell>
          <cell r="B674" t="str">
            <v>056</v>
          </cell>
          <cell r="C674" t="str">
            <v>08</v>
          </cell>
          <cell r="D674" t="str">
            <v>01</v>
          </cell>
          <cell r="E674">
            <v>4439901</v>
          </cell>
          <cell r="F674" t="str">
            <v>001</v>
          </cell>
          <cell r="G674">
            <v>223</v>
          </cell>
        </row>
        <row r="675">
          <cell r="A675" t="str">
            <v>Арендная плата</v>
          </cell>
          <cell r="B675" t="str">
            <v>056</v>
          </cell>
          <cell r="C675" t="str">
            <v>08</v>
          </cell>
          <cell r="D675" t="str">
            <v>01</v>
          </cell>
          <cell r="E675">
            <v>4439901</v>
          </cell>
          <cell r="F675" t="str">
            <v>001</v>
          </cell>
          <cell r="G675">
            <v>224</v>
          </cell>
        </row>
        <row r="676">
          <cell r="A676" t="str">
            <v>Услуги по содерж. имущества</v>
          </cell>
          <cell r="B676" t="str">
            <v>056</v>
          </cell>
          <cell r="C676" t="str">
            <v>08</v>
          </cell>
          <cell r="D676" t="str">
            <v>01</v>
          </cell>
          <cell r="E676">
            <v>4439901</v>
          </cell>
          <cell r="F676" t="str">
            <v>001</v>
          </cell>
          <cell r="G676">
            <v>225</v>
          </cell>
        </row>
        <row r="677">
          <cell r="A677" t="str">
            <v>Прочие услуги</v>
          </cell>
          <cell r="B677" t="str">
            <v>056</v>
          </cell>
          <cell r="C677" t="str">
            <v>08</v>
          </cell>
          <cell r="D677" t="str">
            <v>01</v>
          </cell>
          <cell r="E677">
            <v>4439901</v>
          </cell>
          <cell r="F677" t="str">
            <v>001</v>
          </cell>
          <cell r="G677">
            <v>226</v>
          </cell>
          <cell r="H677">
            <v>403.87</v>
          </cell>
        </row>
        <row r="678">
          <cell r="A678" t="str">
            <v xml:space="preserve">Прочие расходы </v>
          </cell>
          <cell r="B678" t="str">
            <v>056</v>
          </cell>
          <cell r="C678" t="str">
            <v>08</v>
          </cell>
          <cell r="D678" t="str">
            <v>01</v>
          </cell>
          <cell r="E678">
            <v>4439901</v>
          </cell>
          <cell r="F678" t="str">
            <v>001</v>
          </cell>
          <cell r="G678">
            <v>290</v>
          </cell>
          <cell r="H678">
            <v>11.4</v>
          </cell>
        </row>
        <row r="679">
          <cell r="A679" t="str">
            <v xml:space="preserve">Прочие расходы </v>
          </cell>
          <cell r="B679" t="str">
            <v>056</v>
          </cell>
          <cell r="C679" t="str">
            <v>08</v>
          </cell>
          <cell r="D679" t="str">
            <v>01</v>
          </cell>
          <cell r="E679" t="str">
            <v>4439500</v>
          </cell>
          <cell r="F679" t="str">
            <v>001</v>
          </cell>
          <cell r="G679" t="str">
            <v>290</v>
          </cell>
          <cell r="H679">
            <v>9.1</v>
          </cell>
        </row>
        <row r="680">
          <cell r="A680" t="str">
            <v>Увелич. стоимости осн. средств</v>
          </cell>
          <cell r="B680" t="str">
            <v>056</v>
          </cell>
          <cell r="C680" t="str">
            <v>08</v>
          </cell>
          <cell r="D680" t="str">
            <v>01</v>
          </cell>
          <cell r="E680">
            <v>4439901</v>
          </cell>
          <cell r="F680" t="str">
            <v>001</v>
          </cell>
          <cell r="G680">
            <v>310</v>
          </cell>
          <cell r="H680">
            <v>55.86</v>
          </cell>
        </row>
        <row r="681">
          <cell r="A681" t="str">
            <v>Увелич. стоимости матер. запасов</v>
          </cell>
          <cell r="B681" t="str">
            <v>056</v>
          </cell>
          <cell r="C681" t="str">
            <v>08</v>
          </cell>
          <cell r="D681" t="str">
            <v>01</v>
          </cell>
          <cell r="E681">
            <v>4439901</v>
          </cell>
          <cell r="F681" t="str">
            <v>001</v>
          </cell>
          <cell r="G681">
            <v>340</v>
          </cell>
          <cell r="H681">
            <v>25</v>
          </cell>
        </row>
        <row r="684">
          <cell r="A684" t="str">
            <v>Заработная плата</v>
          </cell>
          <cell r="B684" t="str">
            <v>056</v>
          </cell>
          <cell r="C684" t="str">
            <v>08</v>
          </cell>
          <cell r="D684" t="str">
            <v>01</v>
          </cell>
          <cell r="E684">
            <v>4439901</v>
          </cell>
          <cell r="F684" t="str">
            <v>001</v>
          </cell>
          <cell r="G684">
            <v>211</v>
          </cell>
          <cell r="H684">
            <v>6811.2</v>
          </cell>
        </row>
        <row r="685">
          <cell r="A685" t="str">
            <v xml:space="preserve">Прочие выплаты </v>
          </cell>
          <cell r="B685" t="str">
            <v>056</v>
          </cell>
          <cell r="C685" t="str">
            <v>08</v>
          </cell>
          <cell r="D685" t="str">
            <v>01</v>
          </cell>
          <cell r="E685">
            <v>4439901</v>
          </cell>
          <cell r="F685" t="str">
            <v>001</v>
          </cell>
          <cell r="G685">
            <v>212</v>
          </cell>
        </row>
        <row r="686">
          <cell r="A686" t="str">
            <v>Начисления на оплату труда</v>
          </cell>
          <cell r="B686" t="str">
            <v>056</v>
          </cell>
          <cell r="C686" t="str">
            <v>08</v>
          </cell>
          <cell r="D686" t="str">
            <v>01</v>
          </cell>
          <cell r="E686">
            <v>4439901</v>
          </cell>
          <cell r="F686" t="str">
            <v>001</v>
          </cell>
          <cell r="G686">
            <v>213</v>
          </cell>
          <cell r="H686">
            <v>2057</v>
          </cell>
        </row>
        <row r="687">
          <cell r="A687" t="str">
            <v xml:space="preserve">Оплата услуг связи </v>
          </cell>
          <cell r="B687" t="str">
            <v>056</v>
          </cell>
          <cell r="C687" t="str">
            <v>08</v>
          </cell>
          <cell r="D687" t="str">
            <v>01</v>
          </cell>
          <cell r="E687">
            <v>4439901</v>
          </cell>
          <cell r="F687" t="str">
            <v>001</v>
          </cell>
          <cell r="G687">
            <v>221</v>
          </cell>
        </row>
        <row r="688">
          <cell r="A688" t="str">
            <v>Транспортные услуги</v>
          </cell>
          <cell r="B688" t="str">
            <v>056</v>
          </cell>
          <cell r="C688" t="str">
            <v>08</v>
          </cell>
          <cell r="D688" t="str">
            <v>01</v>
          </cell>
          <cell r="E688">
            <v>4439901</v>
          </cell>
          <cell r="F688" t="str">
            <v>001</v>
          </cell>
          <cell r="G688">
            <v>222</v>
          </cell>
        </row>
        <row r="689">
          <cell r="A689" t="str">
            <v>Коммунальные услуги</v>
          </cell>
          <cell r="B689" t="str">
            <v>056</v>
          </cell>
          <cell r="C689" t="str">
            <v>08</v>
          </cell>
          <cell r="D689" t="str">
            <v>01</v>
          </cell>
          <cell r="E689">
            <v>4439901</v>
          </cell>
          <cell r="F689" t="str">
            <v>001</v>
          </cell>
          <cell r="G689">
            <v>223</v>
          </cell>
        </row>
        <row r="690">
          <cell r="A690" t="str">
            <v>Арендная плата</v>
          </cell>
          <cell r="B690" t="str">
            <v>056</v>
          </cell>
          <cell r="C690" t="str">
            <v>08</v>
          </cell>
          <cell r="D690" t="str">
            <v>01</v>
          </cell>
          <cell r="E690">
            <v>4439901</v>
          </cell>
          <cell r="F690" t="str">
            <v>001</v>
          </cell>
          <cell r="G690">
            <v>224</v>
          </cell>
        </row>
        <row r="691">
          <cell r="A691" t="str">
            <v>Услуги по содерж. имущества</v>
          </cell>
          <cell r="B691" t="str">
            <v>056</v>
          </cell>
          <cell r="C691" t="str">
            <v>08</v>
          </cell>
          <cell r="D691" t="str">
            <v>01</v>
          </cell>
          <cell r="E691">
            <v>4439901</v>
          </cell>
          <cell r="F691" t="str">
            <v>001</v>
          </cell>
          <cell r="G691">
            <v>225</v>
          </cell>
        </row>
        <row r="692">
          <cell r="A692" t="str">
            <v>Прочие услуги</v>
          </cell>
          <cell r="B692" t="str">
            <v>056</v>
          </cell>
          <cell r="C692" t="str">
            <v>08</v>
          </cell>
          <cell r="D692" t="str">
            <v>01</v>
          </cell>
          <cell r="E692">
            <v>4439901</v>
          </cell>
          <cell r="F692" t="str">
            <v>001</v>
          </cell>
          <cell r="G692">
            <v>226</v>
          </cell>
          <cell r="H692">
            <v>115.14</v>
          </cell>
        </row>
        <row r="693">
          <cell r="A693" t="str">
            <v xml:space="preserve">Прочие расходы </v>
          </cell>
          <cell r="B693" t="str">
            <v>056</v>
          </cell>
          <cell r="C693" t="str">
            <v>08</v>
          </cell>
          <cell r="D693" t="str">
            <v>01</v>
          </cell>
          <cell r="E693">
            <v>4439901</v>
          </cell>
          <cell r="F693" t="str">
            <v>001</v>
          </cell>
          <cell r="G693">
            <v>290</v>
          </cell>
          <cell r="H693">
            <v>11.8</v>
          </cell>
        </row>
        <row r="694">
          <cell r="A694" t="str">
            <v xml:space="preserve">Прочие расходы </v>
          </cell>
          <cell r="B694" t="str">
            <v>056</v>
          </cell>
          <cell r="C694" t="str">
            <v>08</v>
          </cell>
          <cell r="D694" t="str">
            <v>01</v>
          </cell>
          <cell r="E694" t="str">
            <v>4439500</v>
          </cell>
          <cell r="F694" t="str">
            <v>001</v>
          </cell>
          <cell r="G694" t="str">
            <v>290</v>
          </cell>
          <cell r="H694">
            <v>4.7</v>
          </cell>
        </row>
        <row r="695">
          <cell r="A695" t="str">
            <v>Увелич. стоимости осн. средств</v>
          </cell>
          <cell r="B695" t="str">
            <v>056</v>
          </cell>
          <cell r="C695" t="str">
            <v>08</v>
          </cell>
          <cell r="D695" t="str">
            <v>01</v>
          </cell>
          <cell r="E695">
            <v>4439901</v>
          </cell>
          <cell r="F695" t="str">
            <v>001</v>
          </cell>
          <cell r="G695">
            <v>310</v>
          </cell>
          <cell r="H695">
            <v>180</v>
          </cell>
        </row>
        <row r="696">
          <cell r="A696" t="str">
            <v>Увелич. стоимости матер. запасов</v>
          </cell>
          <cell r="B696" t="str">
            <v>056</v>
          </cell>
          <cell r="C696" t="str">
            <v>08</v>
          </cell>
          <cell r="D696" t="str">
            <v>01</v>
          </cell>
          <cell r="E696">
            <v>4439901</v>
          </cell>
          <cell r="F696" t="str">
            <v>001</v>
          </cell>
          <cell r="G696">
            <v>340</v>
          </cell>
          <cell r="H696">
            <v>50.86</v>
          </cell>
        </row>
        <row r="699">
          <cell r="A699" t="str">
            <v>Заработная плата</v>
          </cell>
          <cell r="B699" t="str">
            <v>056</v>
          </cell>
          <cell r="C699" t="str">
            <v>08</v>
          </cell>
          <cell r="D699" t="str">
            <v>01</v>
          </cell>
          <cell r="E699">
            <v>4439901</v>
          </cell>
          <cell r="F699" t="str">
            <v>001</v>
          </cell>
          <cell r="G699">
            <v>211</v>
          </cell>
          <cell r="H699">
            <v>5749.5</v>
          </cell>
        </row>
        <row r="700">
          <cell r="A700" t="str">
            <v xml:space="preserve">Прочие выплаты </v>
          </cell>
          <cell r="B700" t="str">
            <v>056</v>
          </cell>
          <cell r="C700" t="str">
            <v>08</v>
          </cell>
          <cell r="D700" t="str">
            <v>01</v>
          </cell>
          <cell r="E700">
            <v>4439901</v>
          </cell>
          <cell r="F700" t="str">
            <v>001</v>
          </cell>
          <cell r="G700">
            <v>212</v>
          </cell>
        </row>
        <row r="701">
          <cell r="A701" t="str">
            <v>Начисления на оплату труда</v>
          </cell>
          <cell r="B701" t="str">
            <v>056</v>
          </cell>
          <cell r="C701" t="str">
            <v>08</v>
          </cell>
          <cell r="D701" t="str">
            <v>01</v>
          </cell>
          <cell r="E701">
            <v>4439901</v>
          </cell>
          <cell r="F701" t="str">
            <v>001</v>
          </cell>
          <cell r="G701">
            <v>213</v>
          </cell>
          <cell r="H701">
            <v>1736.3</v>
          </cell>
        </row>
        <row r="702">
          <cell r="A702" t="str">
            <v xml:space="preserve">Оплата услуг связи </v>
          </cell>
          <cell r="B702" t="str">
            <v>056</v>
          </cell>
          <cell r="C702" t="str">
            <v>08</v>
          </cell>
          <cell r="D702" t="str">
            <v>01</v>
          </cell>
          <cell r="E702">
            <v>4439901</v>
          </cell>
          <cell r="F702" t="str">
            <v>001</v>
          </cell>
          <cell r="G702">
            <v>221</v>
          </cell>
        </row>
        <row r="703">
          <cell r="A703" t="str">
            <v>Транспортные услуги</v>
          </cell>
          <cell r="B703" t="str">
            <v>056</v>
          </cell>
          <cell r="C703" t="str">
            <v>08</v>
          </cell>
          <cell r="D703" t="str">
            <v>01</v>
          </cell>
          <cell r="E703">
            <v>4439901</v>
          </cell>
          <cell r="F703" t="str">
            <v>001</v>
          </cell>
          <cell r="G703">
            <v>222</v>
          </cell>
        </row>
        <row r="704">
          <cell r="A704" t="str">
            <v>Коммунальные услуги</v>
          </cell>
          <cell r="B704" t="str">
            <v>056</v>
          </cell>
          <cell r="C704" t="str">
            <v>08</v>
          </cell>
          <cell r="D704" t="str">
            <v>01</v>
          </cell>
          <cell r="E704">
            <v>4439901</v>
          </cell>
          <cell r="F704" t="str">
            <v>001</v>
          </cell>
          <cell r="G704">
            <v>223</v>
          </cell>
        </row>
        <row r="705">
          <cell r="A705" t="str">
            <v>Арендная плата</v>
          </cell>
          <cell r="B705" t="str">
            <v>056</v>
          </cell>
          <cell r="C705" t="str">
            <v>08</v>
          </cell>
          <cell r="D705" t="str">
            <v>01</v>
          </cell>
          <cell r="E705">
            <v>4439901</v>
          </cell>
          <cell r="F705" t="str">
            <v>001</v>
          </cell>
          <cell r="G705">
            <v>224</v>
          </cell>
        </row>
        <row r="706">
          <cell r="A706" t="str">
            <v>Услуги по содерж. имущества</v>
          </cell>
          <cell r="B706" t="str">
            <v>056</v>
          </cell>
          <cell r="C706" t="str">
            <v>08</v>
          </cell>
          <cell r="D706" t="str">
            <v>01</v>
          </cell>
          <cell r="E706">
            <v>4439901</v>
          </cell>
          <cell r="F706" t="str">
            <v>001</v>
          </cell>
          <cell r="G706">
            <v>225</v>
          </cell>
        </row>
        <row r="707">
          <cell r="A707" t="str">
            <v>Прочие услуги</v>
          </cell>
          <cell r="B707" t="str">
            <v>056</v>
          </cell>
          <cell r="C707" t="str">
            <v>08</v>
          </cell>
          <cell r="D707" t="str">
            <v>01</v>
          </cell>
          <cell r="E707">
            <v>4439901</v>
          </cell>
          <cell r="F707" t="str">
            <v>001</v>
          </cell>
          <cell r="G707">
            <v>226</v>
          </cell>
          <cell r="H707">
            <v>104.64</v>
          </cell>
        </row>
        <row r="708">
          <cell r="A708" t="str">
            <v xml:space="preserve">Прочие расходы </v>
          </cell>
          <cell r="B708" t="str">
            <v>056</v>
          </cell>
          <cell r="C708" t="str">
            <v>08</v>
          </cell>
          <cell r="D708" t="str">
            <v>01</v>
          </cell>
          <cell r="E708">
            <v>4439901</v>
          </cell>
          <cell r="F708" t="str">
            <v>001</v>
          </cell>
          <cell r="G708">
            <v>290</v>
          </cell>
          <cell r="H708">
            <v>10.3</v>
          </cell>
        </row>
        <row r="709">
          <cell r="A709" t="str">
            <v xml:space="preserve">Прочие расходы </v>
          </cell>
          <cell r="B709" t="str">
            <v>056</v>
          </cell>
          <cell r="C709" t="str">
            <v>08</v>
          </cell>
          <cell r="D709" t="str">
            <v>01</v>
          </cell>
          <cell r="E709" t="str">
            <v>4439500</v>
          </cell>
          <cell r="F709" t="str">
            <v>001</v>
          </cell>
          <cell r="G709" t="str">
            <v>290</v>
          </cell>
          <cell r="H709">
            <v>5.8</v>
          </cell>
        </row>
        <row r="710">
          <cell r="A710" t="str">
            <v>Увелич. стоимости осн. средств</v>
          </cell>
          <cell r="B710" t="str">
            <v>056</v>
          </cell>
          <cell r="C710" t="str">
            <v>08</v>
          </cell>
          <cell r="D710" t="str">
            <v>01</v>
          </cell>
          <cell r="E710">
            <v>4439901</v>
          </cell>
          <cell r="F710" t="str">
            <v>001</v>
          </cell>
          <cell r="G710">
            <v>310</v>
          </cell>
          <cell r="H710">
            <v>135.36000000000001</v>
          </cell>
        </row>
        <row r="711">
          <cell r="A711" t="str">
            <v>Увелич. стоимости матер. запасов</v>
          </cell>
          <cell r="B711" t="str">
            <v>056</v>
          </cell>
          <cell r="C711" t="str">
            <v>08</v>
          </cell>
          <cell r="D711" t="str">
            <v>01</v>
          </cell>
          <cell r="E711">
            <v>4439901</v>
          </cell>
          <cell r="F711" t="str">
            <v>001</v>
          </cell>
          <cell r="G711">
            <v>340</v>
          </cell>
          <cell r="H711">
            <v>15</v>
          </cell>
        </row>
        <row r="714">
          <cell r="H714">
            <v>1568.6</v>
          </cell>
        </row>
        <row r="716">
          <cell r="H716">
            <v>473.7</v>
          </cell>
        </row>
        <row r="720">
          <cell r="H720">
            <v>420</v>
          </cell>
        </row>
        <row r="722">
          <cell r="H722">
            <v>104.64</v>
          </cell>
        </row>
        <row r="725">
          <cell r="H725">
            <v>250.36</v>
          </cell>
        </row>
        <row r="726">
          <cell r="H726">
            <v>50</v>
          </cell>
        </row>
        <row r="729">
          <cell r="A729" t="str">
            <v>Заработная плата</v>
          </cell>
          <cell r="B729" t="str">
            <v>056</v>
          </cell>
          <cell r="C729" t="str">
            <v>08</v>
          </cell>
          <cell r="D729" t="str">
            <v>01</v>
          </cell>
          <cell r="E729">
            <v>4439901</v>
          </cell>
          <cell r="F729" t="str">
            <v>001</v>
          </cell>
          <cell r="G729">
            <v>211</v>
          </cell>
          <cell r="H729">
            <v>42182.47</v>
          </cell>
        </row>
        <row r="730">
          <cell r="A730" t="str">
            <v xml:space="preserve">Прочие выплаты </v>
          </cell>
          <cell r="B730" t="str">
            <v>056</v>
          </cell>
          <cell r="C730" t="str">
            <v>08</v>
          </cell>
          <cell r="D730" t="str">
            <v>01</v>
          </cell>
          <cell r="E730">
            <v>4439901</v>
          </cell>
          <cell r="F730" t="str">
            <v>001</v>
          </cell>
          <cell r="G730">
            <v>212</v>
          </cell>
          <cell r="H730">
            <v>290</v>
          </cell>
        </row>
        <row r="731">
          <cell r="A731" t="str">
            <v>Начисления на оплату труда</v>
          </cell>
          <cell r="B731" t="str">
            <v>056</v>
          </cell>
          <cell r="C731" t="str">
            <v>08</v>
          </cell>
          <cell r="D731" t="str">
            <v>01</v>
          </cell>
          <cell r="E731">
            <v>4439901</v>
          </cell>
          <cell r="F731" t="str">
            <v>001</v>
          </cell>
          <cell r="G731">
            <v>213</v>
          </cell>
          <cell r="H731">
            <v>12736</v>
          </cell>
        </row>
        <row r="732">
          <cell r="A732" t="str">
            <v xml:space="preserve">Оплата услуг связи </v>
          </cell>
          <cell r="B732" t="str">
            <v>056</v>
          </cell>
          <cell r="C732" t="str">
            <v>08</v>
          </cell>
          <cell r="D732" t="str">
            <v>01</v>
          </cell>
          <cell r="E732">
            <v>4439901</v>
          </cell>
          <cell r="F732" t="str">
            <v>001</v>
          </cell>
          <cell r="G732">
            <v>221</v>
          </cell>
        </row>
        <row r="733">
          <cell r="A733" t="str">
            <v>Транспортные услуги</v>
          </cell>
          <cell r="B733" t="str">
            <v>056</v>
          </cell>
          <cell r="C733" t="str">
            <v>08</v>
          </cell>
          <cell r="D733" t="str">
            <v>01</v>
          </cell>
          <cell r="E733">
            <v>4439901</v>
          </cell>
          <cell r="F733" t="str">
            <v>001</v>
          </cell>
          <cell r="G733">
            <v>222</v>
          </cell>
          <cell r="H733">
            <v>3772.9069999999997</v>
          </cell>
        </row>
        <row r="734">
          <cell r="A734" t="str">
            <v>Коммунальные услуги</v>
          </cell>
          <cell r="B734" t="str">
            <v>056</v>
          </cell>
          <cell r="C734" t="str">
            <v>08</v>
          </cell>
          <cell r="D734" t="str">
            <v>01</v>
          </cell>
          <cell r="E734">
            <v>4439901</v>
          </cell>
          <cell r="F734" t="str">
            <v>001</v>
          </cell>
          <cell r="G734">
            <v>223</v>
          </cell>
          <cell r="H734">
            <v>349</v>
          </cell>
        </row>
        <row r="735">
          <cell r="A735" t="str">
            <v>Арендная плата</v>
          </cell>
          <cell r="B735" t="str">
            <v>056</v>
          </cell>
          <cell r="C735" t="str">
            <v>08</v>
          </cell>
          <cell r="D735" t="str">
            <v>01</v>
          </cell>
          <cell r="E735">
            <v>4439901</v>
          </cell>
          <cell r="F735" t="str">
            <v>001</v>
          </cell>
          <cell r="G735">
            <v>224</v>
          </cell>
        </row>
        <row r="736">
          <cell r="A736" t="str">
            <v>Услуги по содерж. имущества</v>
          </cell>
          <cell r="B736" t="str">
            <v>056</v>
          </cell>
          <cell r="C736" t="str">
            <v>08</v>
          </cell>
          <cell r="D736" t="str">
            <v>01</v>
          </cell>
          <cell r="E736">
            <v>4439901</v>
          </cell>
          <cell r="F736" t="str">
            <v>001</v>
          </cell>
          <cell r="G736">
            <v>225</v>
          </cell>
          <cell r="H736">
            <v>12000</v>
          </cell>
        </row>
        <row r="737">
          <cell r="A737" t="str">
            <v>Прочие услуги</v>
          </cell>
          <cell r="B737" t="str">
            <v>056</v>
          </cell>
          <cell r="C737" t="str">
            <v>08</v>
          </cell>
          <cell r="D737" t="str">
            <v>01</v>
          </cell>
          <cell r="E737">
            <v>4439901</v>
          </cell>
          <cell r="F737" t="str">
            <v>001</v>
          </cell>
          <cell r="G737">
            <v>226</v>
          </cell>
          <cell r="H737">
            <v>1171.9099999999999</v>
          </cell>
        </row>
        <row r="738">
          <cell r="A738" t="str">
            <v xml:space="preserve">Прочие расходы </v>
          </cell>
          <cell r="B738" t="str">
            <v>056</v>
          </cell>
          <cell r="C738" t="str">
            <v>08</v>
          </cell>
          <cell r="D738" t="str">
            <v>01</v>
          </cell>
          <cell r="E738">
            <v>4439901</v>
          </cell>
          <cell r="F738" t="str">
            <v>001</v>
          </cell>
          <cell r="G738">
            <v>290</v>
          </cell>
          <cell r="H738">
            <v>29.6</v>
          </cell>
        </row>
        <row r="739">
          <cell r="A739" t="str">
            <v xml:space="preserve">Прочие расходы </v>
          </cell>
          <cell r="B739" t="str">
            <v>056</v>
          </cell>
          <cell r="C739" t="str">
            <v>08</v>
          </cell>
          <cell r="D739" t="str">
            <v>01</v>
          </cell>
          <cell r="E739" t="str">
            <v>4439500</v>
          </cell>
          <cell r="F739" t="str">
            <v>001</v>
          </cell>
          <cell r="G739" t="str">
            <v>290</v>
          </cell>
          <cell r="H739">
            <v>243.10000000000005</v>
          </cell>
        </row>
        <row r="740">
          <cell r="A740" t="str">
            <v>Увелич. стоимости осн. средств</v>
          </cell>
          <cell r="B740" t="str">
            <v>056</v>
          </cell>
          <cell r="C740" t="str">
            <v>08</v>
          </cell>
          <cell r="D740" t="str">
            <v>01</v>
          </cell>
          <cell r="E740">
            <v>4439901</v>
          </cell>
          <cell r="F740" t="str">
            <v>001</v>
          </cell>
          <cell r="G740">
            <v>310</v>
          </cell>
          <cell r="H740">
            <v>190.13</v>
          </cell>
        </row>
        <row r="741">
          <cell r="A741" t="str">
            <v>Увелич. стоимости матер. запасов</v>
          </cell>
          <cell r="B741" t="str">
            <v>056</v>
          </cell>
          <cell r="C741" t="str">
            <v>08</v>
          </cell>
          <cell r="D741" t="str">
            <v>01</v>
          </cell>
          <cell r="E741">
            <v>4439901</v>
          </cell>
          <cell r="F741" t="str">
            <v>001</v>
          </cell>
          <cell r="G741">
            <v>340</v>
          </cell>
          <cell r="H741">
            <v>300</v>
          </cell>
        </row>
        <row r="744">
          <cell r="A744" t="str">
            <v>Заработная плата</v>
          </cell>
          <cell r="B744" t="str">
            <v>056</v>
          </cell>
          <cell r="C744" t="str">
            <v>08</v>
          </cell>
          <cell r="D744" t="str">
            <v>01</v>
          </cell>
          <cell r="E744" t="str">
            <v>4439901</v>
          </cell>
          <cell r="F744" t="str">
            <v>001</v>
          </cell>
          <cell r="G744">
            <v>211</v>
          </cell>
        </row>
        <row r="745">
          <cell r="A745" t="str">
            <v xml:space="preserve">Прочие выплаты </v>
          </cell>
          <cell r="B745" t="str">
            <v>056</v>
          </cell>
          <cell r="C745" t="str">
            <v>08</v>
          </cell>
          <cell r="D745" t="str">
            <v>01</v>
          </cell>
          <cell r="E745" t="str">
            <v>4439901</v>
          </cell>
          <cell r="F745" t="str">
            <v>001</v>
          </cell>
          <cell r="G745">
            <v>212</v>
          </cell>
        </row>
        <row r="746">
          <cell r="A746" t="str">
            <v>Начисления на оплату труда</v>
          </cell>
          <cell r="B746" t="str">
            <v>056</v>
          </cell>
          <cell r="C746" t="str">
            <v>08</v>
          </cell>
          <cell r="D746" t="str">
            <v>01</v>
          </cell>
          <cell r="E746" t="str">
            <v>4439901</v>
          </cell>
          <cell r="F746" t="str">
            <v>001</v>
          </cell>
          <cell r="G746">
            <v>213</v>
          </cell>
        </row>
        <row r="747">
          <cell r="A747" t="str">
            <v xml:space="preserve">Оплата услуг связи </v>
          </cell>
          <cell r="B747" t="str">
            <v>056</v>
          </cell>
          <cell r="C747" t="str">
            <v>08</v>
          </cell>
          <cell r="D747" t="str">
            <v>01</v>
          </cell>
          <cell r="E747" t="str">
            <v>4439901</v>
          </cell>
          <cell r="F747" t="str">
            <v>001</v>
          </cell>
          <cell r="G747">
            <v>221</v>
          </cell>
        </row>
        <row r="748">
          <cell r="A748" t="str">
            <v>Транспортные услуги</v>
          </cell>
          <cell r="B748" t="str">
            <v>056</v>
          </cell>
          <cell r="C748" t="str">
            <v>08</v>
          </cell>
          <cell r="D748" t="str">
            <v>01</v>
          </cell>
          <cell r="E748" t="str">
            <v>4439901</v>
          </cell>
          <cell r="F748" t="str">
            <v>001</v>
          </cell>
          <cell r="G748">
            <v>222</v>
          </cell>
        </row>
        <row r="749">
          <cell r="A749" t="str">
            <v>Коммунальные услуги</v>
          </cell>
          <cell r="B749" t="str">
            <v>056</v>
          </cell>
          <cell r="C749" t="str">
            <v>08</v>
          </cell>
          <cell r="D749" t="str">
            <v>01</v>
          </cell>
          <cell r="E749" t="str">
            <v>4439901</v>
          </cell>
          <cell r="F749" t="str">
            <v>001</v>
          </cell>
          <cell r="G749">
            <v>223</v>
          </cell>
        </row>
        <row r="750">
          <cell r="A750" t="str">
            <v>Арендная плата</v>
          </cell>
          <cell r="B750" t="str">
            <v>056</v>
          </cell>
          <cell r="C750" t="str">
            <v>08</v>
          </cell>
          <cell r="D750" t="str">
            <v>01</v>
          </cell>
          <cell r="E750" t="str">
            <v>4439901</v>
          </cell>
          <cell r="F750" t="str">
            <v>001</v>
          </cell>
          <cell r="G750">
            <v>224</v>
          </cell>
        </row>
        <row r="751">
          <cell r="A751" t="str">
            <v>Услуги по содерж. имущества</v>
          </cell>
          <cell r="B751" t="str">
            <v>056</v>
          </cell>
          <cell r="C751" t="str">
            <v>08</v>
          </cell>
          <cell r="D751" t="str">
            <v>01</v>
          </cell>
          <cell r="E751" t="str">
            <v>4439901</v>
          </cell>
          <cell r="F751" t="str">
            <v>001</v>
          </cell>
          <cell r="G751">
            <v>225</v>
          </cell>
        </row>
        <row r="752">
          <cell r="A752" t="str">
            <v>Прочие услуги</v>
          </cell>
          <cell r="B752" t="str">
            <v>056</v>
          </cell>
          <cell r="C752" t="str">
            <v>08</v>
          </cell>
          <cell r="D752" t="str">
            <v>01</v>
          </cell>
          <cell r="E752" t="str">
            <v>4439901</v>
          </cell>
          <cell r="F752" t="str">
            <v>001</v>
          </cell>
          <cell r="G752">
            <v>226</v>
          </cell>
        </row>
        <row r="753">
          <cell r="A753" t="str">
            <v xml:space="preserve">Прочие расходы </v>
          </cell>
          <cell r="B753" t="str">
            <v>056</v>
          </cell>
          <cell r="C753" t="str">
            <v>08</v>
          </cell>
          <cell r="D753" t="str">
            <v>01</v>
          </cell>
          <cell r="E753" t="str">
            <v>4439901</v>
          </cell>
          <cell r="F753" t="str">
            <v>001</v>
          </cell>
          <cell r="G753">
            <v>290</v>
          </cell>
        </row>
        <row r="754">
          <cell r="A754" t="str">
            <v xml:space="preserve">Прочие расходы </v>
          </cell>
          <cell r="B754" t="str">
            <v>056</v>
          </cell>
          <cell r="C754" t="str">
            <v>08</v>
          </cell>
          <cell r="D754" t="str">
            <v>01</v>
          </cell>
          <cell r="E754" t="str">
            <v>4439500</v>
          </cell>
          <cell r="F754" t="str">
            <v>001</v>
          </cell>
          <cell r="G754" t="str">
            <v>290</v>
          </cell>
        </row>
        <row r="755">
          <cell r="A755" t="str">
            <v>Увелич. стоимости осн. средств</v>
          </cell>
          <cell r="B755" t="str">
            <v>056</v>
          </cell>
          <cell r="C755" t="str">
            <v>08</v>
          </cell>
          <cell r="D755" t="str">
            <v>01</v>
          </cell>
          <cell r="E755" t="str">
            <v>4439901</v>
          </cell>
          <cell r="F755" t="str">
            <v>001</v>
          </cell>
          <cell r="G755">
            <v>310</v>
          </cell>
        </row>
        <row r="756">
          <cell r="A756" t="str">
            <v>Увелич. стоимости матер. запасов</v>
          </cell>
          <cell r="B756" t="str">
            <v>056</v>
          </cell>
          <cell r="C756" t="str">
            <v>08</v>
          </cell>
          <cell r="D756" t="str">
            <v>01</v>
          </cell>
          <cell r="E756" t="str">
            <v>4439901</v>
          </cell>
          <cell r="F756" t="str">
            <v>001</v>
          </cell>
          <cell r="G756">
            <v>340</v>
          </cell>
        </row>
        <row r="757">
          <cell r="E757" t="str">
            <v>4430000</v>
          </cell>
        </row>
        <row r="760">
          <cell r="A760" t="str">
            <v xml:space="preserve">Прочие выплаты </v>
          </cell>
          <cell r="B760" t="str">
            <v>056</v>
          </cell>
          <cell r="C760" t="str">
            <v>08</v>
          </cell>
          <cell r="D760" t="str">
            <v>01</v>
          </cell>
          <cell r="E760">
            <v>4508501</v>
          </cell>
          <cell r="F760" t="str">
            <v>001</v>
          </cell>
          <cell r="G760" t="str">
            <v>212</v>
          </cell>
          <cell r="H760">
            <v>5.4</v>
          </cell>
        </row>
        <row r="762">
          <cell r="A762" t="str">
            <v xml:space="preserve">Оплата услуг связи </v>
          </cell>
          <cell r="B762" t="str">
            <v>056</v>
          </cell>
          <cell r="C762" t="str">
            <v>08</v>
          </cell>
          <cell r="D762" t="str">
            <v>01</v>
          </cell>
          <cell r="E762">
            <v>4508501</v>
          </cell>
          <cell r="F762" t="str">
            <v>001</v>
          </cell>
          <cell r="G762" t="str">
            <v>221</v>
          </cell>
        </row>
        <row r="763">
          <cell r="A763" t="str">
            <v>Транспортные услуги</v>
          </cell>
          <cell r="B763" t="str">
            <v>056</v>
          </cell>
          <cell r="C763" t="str">
            <v>08</v>
          </cell>
          <cell r="D763" t="str">
            <v>01</v>
          </cell>
          <cell r="E763">
            <v>4508501</v>
          </cell>
          <cell r="F763" t="str">
            <v>001</v>
          </cell>
          <cell r="G763" t="str">
            <v>222</v>
          </cell>
          <cell r="H763">
            <v>113.36</v>
          </cell>
        </row>
        <row r="765">
          <cell r="A765" t="str">
            <v>Арендная плата</v>
          </cell>
          <cell r="B765" t="str">
            <v>056</v>
          </cell>
          <cell r="C765" t="str">
            <v>08</v>
          </cell>
          <cell r="D765" t="str">
            <v>01</v>
          </cell>
          <cell r="E765">
            <v>4508501</v>
          </cell>
          <cell r="F765" t="str">
            <v>001</v>
          </cell>
          <cell r="G765" t="str">
            <v>224</v>
          </cell>
        </row>
        <row r="766">
          <cell r="G766" t="str">
            <v>225</v>
          </cell>
        </row>
        <row r="767">
          <cell r="A767" t="str">
            <v>централизован</v>
          </cell>
          <cell r="B767" t="str">
            <v>056</v>
          </cell>
          <cell r="C767" t="str">
            <v>08</v>
          </cell>
          <cell r="D767" t="str">
            <v>01</v>
          </cell>
          <cell r="E767" t="str">
            <v>4508501</v>
          </cell>
          <cell r="F767" t="str">
            <v>001</v>
          </cell>
          <cell r="G767">
            <v>226</v>
          </cell>
          <cell r="H767">
            <v>13701.4</v>
          </cell>
        </row>
        <row r="769">
          <cell r="G769" t="str">
            <v>290</v>
          </cell>
        </row>
        <row r="770">
          <cell r="G770" t="str">
            <v>310</v>
          </cell>
        </row>
        <row r="771">
          <cell r="A771" t="str">
            <v>Увелич. стоимости матер. запасов</v>
          </cell>
          <cell r="B771" t="str">
            <v>056</v>
          </cell>
          <cell r="C771" t="str">
            <v>08</v>
          </cell>
          <cell r="D771" t="str">
            <v>01</v>
          </cell>
          <cell r="E771">
            <v>4508501</v>
          </cell>
          <cell r="F771" t="str">
            <v>001</v>
          </cell>
          <cell r="G771" t="str">
            <v>340</v>
          </cell>
          <cell r="H771">
            <v>200</v>
          </cell>
        </row>
        <row r="772">
          <cell r="E772" t="str">
            <v>4500000</v>
          </cell>
        </row>
        <row r="774">
          <cell r="A774" t="str">
            <v>Заработная плата</v>
          </cell>
          <cell r="B774" t="str">
            <v>056</v>
          </cell>
          <cell r="C774" t="str">
            <v>08</v>
          </cell>
          <cell r="D774" t="str">
            <v>04</v>
          </cell>
          <cell r="E774" t="str">
            <v>4529902</v>
          </cell>
          <cell r="F774" t="str">
            <v>001</v>
          </cell>
          <cell r="G774">
            <v>211</v>
          </cell>
          <cell r="H774">
            <v>1008.3</v>
          </cell>
        </row>
        <row r="775">
          <cell r="A775" t="str">
            <v xml:space="preserve">Прочие выплаты </v>
          </cell>
          <cell r="B775" t="str">
            <v>056</v>
          </cell>
          <cell r="C775" t="str">
            <v>08</v>
          </cell>
          <cell r="D775" t="str">
            <v>04</v>
          </cell>
          <cell r="E775" t="str">
            <v>4529902</v>
          </cell>
          <cell r="F775" t="str">
            <v>001</v>
          </cell>
          <cell r="G775">
            <v>212</v>
          </cell>
        </row>
        <row r="776">
          <cell r="A776" t="str">
            <v>Начисления на оплату труда</v>
          </cell>
          <cell r="B776" t="str">
            <v>056</v>
          </cell>
          <cell r="C776" t="str">
            <v>08</v>
          </cell>
          <cell r="D776" t="str">
            <v>04</v>
          </cell>
          <cell r="E776" t="str">
            <v>4529902</v>
          </cell>
          <cell r="F776" t="str">
            <v>001</v>
          </cell>
          <cell r="G776">
            <v>213</v>
          </cell>
          <cell r="H776">
            <v>307.81833999999998</v>
          </cell>
        </row>
        <row r="777">
          <cell r="A777" t="str">
            <v xml:space="preserve">Оплата услуг связи </v>
          </cell>
          <cell r="B777" t="str">
            <v>056</v>
          </cell>
          <cell r="C777" t="str">
            <v>08</v>
          </cell>
          <cell r="D777" t="str">
            <v>04</v>
          </cell>
          <cell r="E777" t="str">
            <v>4529902</v>
          </cell>
          <cell r="F777" t="str">
            <v>001</v>
          </cell>
          <cell r="G777">
            <v>221</v>
          </cell>
          <cell r="H777">
            <v>12.681660000000001</v>
          </cell>
        </row>
        <row r="778">
          <cell r="A778" t="str">
            <v>Транспортные услуги</v>
          </cell>
          <cell r="B778" t="str">
            <v>056</v>
          </cell>
          <cell r="C778" t="str">
            <v>08</v>
          </cell>
          <cell r="D778" t="str">
            <v>04</v>
          </cell>
          <cell r="E778" t="str">
            <v>4529902</v>
          </cell>
          <cell r="F778" t="str">
            <v>001</v>
          </cell>
          <cell r="G778">
            <v>222</v>
          </cell>
          <cell r="H778">
            <v>25.36999999999999</v>
          </cell>
        </row>
        <row r="779">
          <cell r="A779" t="str">
            <v>Коммунальные услуги</v>
          </cell>
          <cell r="B779" t="str">
            <v>056</v>
          </cell>
          <cell r="C779" t="str">
            <v>08</v>
          </cell>
          <cell r="D779" t="str">
            <v>04</v>
          </cell>
          <cell r="E779" t="str">
            <v>4529902</v>
          </cell>
          <cell r="F779" t="str">
            <v>001</v>
          </cell>
          <cell r="G779">
            <v>223</v>
          </cell>
        </row>
        <row r="780">
          <cell r="A780" t="str">
            <v>Арендная плата</v>
          </cell>
          <cell r="B780" t="str">
            <v>056</v>
          </cell>
          <cell r="C780" t="str">
            <v>08</v>
          </cell>
          <cell r="D780" t="str">
            <v>04</v>
          </cell>
          <cell r="E780" t="str">
            <v>4529902</v>
          </cell>
          <cell r="F780" t="str">
            <v>001</v>
          </cell>
          <cell r="G780">
            <v>224</v>
          </cell>
        </row>
        <row r="781">
          <cell r="A781" t="str">
            <v>Услуги по содерж. имущества</v>
          </cell>
          <cell r="B781" t="str">
            <v>056</v>
          </cell>
          <cell r="C781" t="str">
            <v>08</v>
          </cell>
          <cell r="D781" t="str">
            <v>04</v>
          </cell>
          <cell r="E781" t="str">
            <v>4529902</v>
          </cell>
          <cell r="F781" t="str">
            <v>001</v>
          </cell>
          <cell r="G781">
            <v>225</v>
          </cell>
          <cell r="H781">
            <v>9502.5</v>
          </cell>
        </row>
        <row r="782">
          <cell r="A782" t="str">
            <v>Прочие услуги</v>
          </cell>
          <cell r="B782" t="str">
            <v>056</v>
          </cell>
          <cell r="C782" t="str">
            <v>08</v>
          </cell>
          <cell r="D782" t="str">
            <v>04</v>
          </cell>
          <cell r="E782" t="str">
            <v>4529902</v>
          </cell>
          <cell r="F782" t="str">
            <v>001</v>
          </cell>
          <cell r="G782">
            <v>226</v>
          </cell>
          <cell r="H782">
            <v>473</v>
          </cell>
        </row>
        <row r="783">
          <cell r="A783" t="str">
            <v xml:space="preserve">Прочие расходы </v>
          </cell>
          <cell r="B783" t="str">
            <v>056</v>
          </cell>
          <cell r="C783" t="str">
            <v>08</v>
          </cell>
          <cell r="D783" t="str">
            <v>04</v>
          </cell>
          <cell r="E783" t="str">
            <v>4529902</v>
          </cell>
          <cell r="F783" t="str">
            <v>001</v>
          </cell>
          <cell r="G783">
            <v>290</v>
          </cell>
          <cell r="H783">
            <v>2.5</v>
          </cell>
        </row>
        <row r="784">
          <cell r="A784" t="str">
            <v xml:space="preserve">Прочие расходы </v>
          </cell>
          <cell r="B784" t="str">
            <v>056</v>
          </cell>
          <cell r="C784" t="str">
            <v>08</v>
          </cell>
          <cell r="D784" t="str">
            <v>04</v>
          </cell>
          <cell r="E784" t="str">
            <v>4529500</v>
          </cell>
          <cell r="F784" t="str">
            <v>001</v>
          </cell>
          <cell r="G784" t="str">
            <v>290</v>
          </cell>
          <cell r="H784">
            <v>1.9</v>
          </cell>
        </row>
        <row r="785">
          <cell r="A785" t="str">
            <v>Увелич. стоимости осн. средств</v>
          </cell>
          <cell r="B785" t="str">
            <v>056</v>
          </cell>
          <cell r="C785" t="str">
            <v>08</v>
          </cell>
          <cell r="D785" t="str">
            <v>04</v>
          </cell>
          <cell r="E785" t="str">
            <v>4529902</v>
          </cell>
          <cell r="F785" t="str">
            <v>001</v>
          </cell>
          <cell r="G785">
            <v>310</v>
          </cell>
        </row>
        <row r="786">
          <cell r="A786" t="str">
            <v>Увелич. стоимости матер. запасов</v>
          </cell>
          <cell r="B786" t="str">
            <v>056</v>
          </cell>
          <cell r="C786" t="str">
            <v>08</v>
          </cell>
          <cell r="D786" t="str">
            <v>04</v>
          </cell>
          <cell r="E786" t="str">
            <v>4529902</v>
          </cell>
          <cell r="F786" t="str">
            <v>001</v>
          </cell>
          <cell r="G786">
            <v>340</v>
          </cell>
          <cell r="H786">
            <v>115.23</v>
          </cell>
        </row>
        <row r="787">
          <cell r="E787" t="str">
            <v>4520000</v>
          </cell>
        </row>
        <row r="789">
          <cell r="A789" t="str">
            <v>Заработная плата</v>
          </cell>
          <cell r="B789" t="str">
            <v>056</v>
          </cell>
          <cell r="C789" t="str">
            <v>08</v>
          </cell>
          <cell r="D789" t="str">
            <v>01</v>
          </cell>
          <cell r="G789">
            <v>211</v>
          </cell>
        </row>
        <row r="790">
          <cell r="A790" t="str">
            <v>Прочие выплаты</v>
          </cell>
          <cell r="B790" t="str">
            <v>056</v>
          </cell>
          <cell r="C790" t="str">
            <v>08</v>
          </cell>
          <cell r="D790" t="str">
            <v>01</v>
          </cell>
          <cell r="G790">
            <v>212</v>
          </cell>
        </row>
        <row r="791">
          <cell r="A791" t="str">
            <v>Начисления на оплату труда</v>
          </cell>
          <cell r="B791" t="str">
            <v>056</v>
          </cell>
          <cell r="C791" t="str">
            <v>08</v>
          </cell>
          <cell r="D791" t="str">
            <v>01</v>
          </cell>
          <cell r="G791">
            <v>213</v>
          </cell>
        </row>
        <row r="792">
          <cell r="A792" t="str">
            <v xml:space="preserve">Оплата услуг связи </v>
          </cell>
          <cell r="B792" t="str">
            <v>056</v>
          </cell>
          <cell r="C792" t="str">
            <v>08</v>
          </cell>
          <cell r="D792" t="str">
            <v>01</v>
          </cell>
          <cell r="G792">
            <v>221</v>
          </cell>
        </row>
        <row r="793">
          <cell r="A793" t="str">
            <v>Транспортные услуги</v>
          </cell>
          <cell r="B793" t="str">
            <v>056</v>
          </cell>
          <cell r="C793" t="str">
            <v>08</v>
          </cell>
          <cell r="D793" t="str">
            <v>01</v>
          </cell>
          <cell r="G793">
            <v>222</v>
          </cell>
        </row>
        <row r="794">
          <cell r="A794" t="str">
            <v>Коммунальные услуги</v>
          </cell>
          <cell r="B794" t="str">
            <v>056</v>
          </cell>
          <cell r="C794" t="str">
            <v>08</v>
          </cell>
          <cell r="D794" t="str">
            <v>01</v>
          </cell>
          <cell r="G794">
            <v>223</v>
          </cell>
        </row>
        <row r="795">
          <cell r="A795" t="str">
            <v>Арендная плата</v>
          </cell>
          <cell r="B795" t="str">
            <v>056</v>
          </cell>
          <cell r="C795" t="str">
            <v>08</v>
          </cell>
          <cell r="D795" t="str">
            <v>01</v>
          </cell>
          <cell r="G795">
            <v>224</v>
          </cell>
        </row>
        <row r="796">
          <cell r="A796" t="str">
            <v>Услуги по содерж. имущества</v>
          </cell>
          <cell r="B796" t="str">
            <v>056</v>
          </cell>
          <cell r="C796" t="str">
            <v>08</v>
          </cell>
          <cell r="D796" t="str">
            <v>01</v>
          </cell>
          <cell r="G796">
            <v>225</v>
          </cell>
        </row>
        <row r="797">
          <cell r="A797" t="str">
            <v>Прочие услуги</v>
          </cell>
          <cell r="B797" t="str">
            <v>056</v>
          </cell>
          <cell r="C797" t="str">
            <v>08</v>
          </cell>
          <cell r="D797" t="str">
            <v>01</v>
          </cell>
          <cell r="G797">
            <v>226</v>
          </cell>
        </row>
        <row r="798">
          <cell r="A798" t="str">
            <v xml:space="preserve">Прочие расходы </v>
          </cell>
          <cell r="B798" t="str">
            <v>056</v>
          </cell>
          <cell r="C798" t="str">
            <v>08</v>
          </cell>
          <cell r="D798" t="str">
            <v>01</v>
          </cell>
          <cell r="G798">
            <v>290</v>
          </cell>
        </row>
        <row r="799">
          <cell r="A799" t="str">
            <v xml:space="preserve">Прочие расходы </v>
          </cell>
          <cell r="B799" t="str">
            <v>056</v>
          </cell>
          <cell r="C799" t="str">
            <v>08</v>
          </cell>
          <cell r="D799" t="str">
            <v>01</v>
          </cell>
          <cell r="G799" t="str">
            <v>290</v>
          </cell>
        </row>
        <row r="800">
          <cell r="A800" t="str">
            <v>Увелич. стоимости осн. средств</v>
          </cell>
          <cell r="B800" t="str">
            <v>056</v>
          </cell>
          <cell r="C800" t="str">
            <v>08</v>
          </cell>
          <cell r="D800" t="str">
            <v>01</v>
          </cell>
          <cell r="G800">
            <v>310</v>
          </cell>
        </row>
        <row r="801">
          <cell r="A801" t="str">
            <v>Увелич. стоимости матер. запасов</v>
          </cell>
          <cell r="B801" t="str">
            <v>056</v>
          </cell>
          <cell r="C801" t="str">
            <v>08</v>
          </cell>
          <cell r="D801" t="str">
            <v>01</v>
          </cell>
          <cell r="G801">
            <v>340</v>
          </cell>
        </row>
        <row r="803">
          <cell r="A803" t="str">
            <v xml:space="preserve">РЦП «Сохранение и развитие профессионального искусства и народного творчества Дагестана на 2011-2015 годы» </v>
          </cell>
          <cell r="B803" t="str">
            <v>056</v>
          </cell>
          <cell r="C803" t="str">
            <v>08</v>
          </cell>
          <cell r="D803" t="str">
            <v>01</v>
          </cell>
          <cell r="E803" t="str">
            <v>5226200</v>
          </cell>
          <cell r="F803" t="str">
            <v>001</v>
          </cell>
          <cell r="G803" t="str">
            <v>226</v>
          </cell>
        </row>
        <row r="804">
          <cell r="B804" t="str">
            <v>056</v>
          </cell>
          <cell r="C804" t="str">
            <v>08</v>
          </cell>
          <cell r="D804" t="str">
            <v>01</v>
          </cell>
          <cell r="E804" t="str">
            <v>5226200</v>
          </cell>
          <cell r="F804" t="str">
            <v>001</v>
          </cell>
          <cell r="G804" t="str">
            <v>225</v>
          </cell>
        </row>
        <row r="805">
          <cell r="B805" t="str">
            <v>056</v>
          </cell>
          <cell r="C805" t="str">
            <v>08</v>
          </cell>
          <cell r="D805" t="str">
            <v>01</v>
          </cell>
          <cell r="E805" t="str">
            <v>5226200</v>
          </cell>
          <cell r="F805" t="str">
            <v>001</v>
          </cell>
          <cell r="G805" t="str">
            <v>310</v>
          </cell>
        </row>
        <row r="806">
          <cell r="A806" t="str">
            <v xml:space="preserve">РЦП «Сохранение, использование, популяризация и государственная охрана объектов культурного наследия (памятников истории и культуры), расположенных на территории Республики Дагестан, находящихся в собственности Республики Дагестан, на 2011-2016 годы» </v>
          </cell>
          <cell r="B806" t="str">
            <v>056</v>
          </cell>
          <cell r="C806" t="str">
            <v>08</v>
          </cell>
          <cell r="D806" t="str">
            <v>04</v>
          </cell>
          <cell r="E806" t="str">
            <v>5226600</v>
          </cell>
          <cell r="F806" t="str">
            <v>012</v>
          </cell>
          <cell r="G806" t="str">
            <v>226</v>
          </cell>
        </row>
        <row r="807">
          <cell r="B807" t="str">
            <v>056</v>
          </cell>
          <cell r="C807" t="str">
            <v>08</v>
          </cell>
          <cell r="D807" t="str">
            <v>04</v>
          </cell>
          <cell r="E807" t="str">
            <v>5226600</v>
          </cell>
          <cell r="F807" t="str">
            <v>012</v>
          </cell>
          <cell r="G807" t="str">
            <v>225</v>
          </cell>
        </row>
        <row r="808">
          <cell r="A808" t="str">
            <v xml:space="preserve">РЦП «Развитие национальных отношений в Республике Дагестан на 2011-2015 годы» </v>
          </cell>
          <cell r="B808" t="str">
            <v>056</v>
          </cell>
          <cell r="C808" t="str">
            <v>01</v>
          </cell>
          <cell r="D808" t="str">
            <v>13</v>
          </cell>
          <cell r="E808" t="str">
            <v>5225200</v>
          </cell>
          <cell r="F808" t="str">
            <v>012</v>
          </cell>
        </row>
        <row r="809">
          <cell r="B809" t="str">
            <v>056</v>
          </cell>
          <cell r="C809" t="str">
            <v>03</v>
          </cell>
          <cell r="D809" t="str">
            <v>10</v>
          </cell>
          <cell r="E809" t="str">
            <v>5220900</v>
          </cell>
          <cell r="F809" t="str">
            <v>012</v>
          </cell>
        </row>
        <row r="810">
          <cell r="A810" t="str">
            <v xml:space="preserve">РЦП «Пожарная безопастность в Республике Дагестан на период до 2014 года» </v>
          </cell>
          <cell r="B810" t="str">
            <v>056</v>
          </cell>
          <cell r="C810" t="str">
            <v>03</v>
          </cell>
          <cell r="D810" t="str">
            <v>10</v>
          </cell>
          <cell r="E810" t="str">
            <v>5220900</v>
          </cell>
          <cell r="F810" t="str">
            <v>012</v>
          </cell>
          <cell r="G810" t="str">
            <v>226</v>
          </cell>
        </row>
        <row r="811">
          <cell r="B811" t="str">
            <v>056</v>
          </cell>
          <cell r="C811" t="str">
            <v>03</v>
          </cell>
          <cell r="D811" t="str">
            <v>10</v>
          </cell>
          <cell r="E811" t="str">
            <v>5220900</v>
          </cell>
          <cell r="F811" t="str">
            <v>012</v>
          </cell>
          <cell r="G811" t="str">
            <v>310</v>
          </cell>
        </row>
        <row r="812">
          <cell r="A812" t="str">
            <v>РЦП "Повышение правовой культуры населения РД на 2011-2014 гг"</v>
          </cell>
          <cell r="B812" t="str">
            <v>056</v>
          </cell>
          <cell r="C812" t="str">
            <v>01</v>
          </cell>
          <cell r="D812" t="str">
            <v>13</v>
          </cell>
          <cell r="E812" t="str">
            <v>5220100</v>
          </cell>
          <cell r="F812" t="str">
            <v>012</v>
          </cell>
          <cell r="G812" t="str">
            <v>310</v>
          </cell>
          <cell r="H812">
            <v>150</v>
          </cell>
        </row>
        <row r="813">
          <cell r="A813" t="str">
            <v>Пособия по социальной  помощи</v>
          </cell>
          <cell r="B813" t="str">
            <v>056</v>
          </cell>
          <cell r="C813" t="str">
            <v>10</v>
          </cell>
          <cell r="D813" t="str">
            <v>04</v>
          </cell>
          <cell r="E813" t="str">
            <v>5201320</v>
          </cell>
          <cell r="F813" t="str">
            <v>314</v>
          </cell>
          <cell r="G813">
            <v>262</v>
          </cell>
          <cell r="H813">
            <v>443</v>
          </cell>
        </row>
        <row r="814">
          <cell r="A814" t="str">
            <v>Союз писателей РД</v>
          </cell>
          <cell r="B814" t="str">
            <v>056</v>
          </cell>
          <cell r="C814" t="str">
            <v>08</v>
          </cell>
          <cell r="D814" t="str">
            <v>04</v>
          </cell>
          <cell r="E814" t="str">
            <v>4510000</v>
          </cell>
          <cell r="F814" t="str">
            <v>006</v>
          </cell>
          <cell r="G814" t="str">
            <v>242</v>
          </cell>
          <cell r="H814">
            <v>3963</v>
          </cell>
        </row>
        <row r="815">
          <cell r="A815" t="str">
            <v>Союз композиторов РД</v>
          </cell>
          <cell r="B815" t="str">
            <v>056</v>
          </cell>
          <cell r="C815" t="str">
            <v>08</v>
          </cell>
          <cell r="D815" t="str">
            <v>04</v>
          </cell>
          <cell r="E815" t="str">
            <v>4510000</v>
          </cell>
          <cell r="F815" t="str">
            <v>006</v>
          </cell>
          <cell r="G815">
            <v>242</v>
          </cell>
          <cell r="H815">
            <v>769.1</v>
          </cell>
        </row>
        <row r="816">
          <cell r="A816" t="str">
            <v>Союз художников РД</v>
          </cell>
          <cell r="B816" t="str">
            <v>056</v>
          </cell>
          <cell r="C816" t="str">
            <v>08</v>
          </cell>
          <cell r="D816" t="str">
            <v>04</v>
          </cell>
          <cell r="E816" t="str">
            <v>4510000</v>
          </cell>
          <cell r="F816" t="str">
            <v>006</v>
          </cell>
          <cell r="G816">
            <v>242</v>
          </cell>
          <cell r="H816">
            <v>723.9</v>
          </cell>
        </row>
        <row r="817">
          <cell r="A817" t="str">
            <v>Союз музыкантов РД</v>
          </cell>
          <cell r="B817" t="str">
            <v>056</v>
          </cell>
          <cell r="C817" t="str">
            <v>08</v>
          </cell>
          <cell r="D817" t="str">
            <v>04</v>
          </cell>
          <cell r="E817" t="str">
            <v>4510000</v>
          </cell>
          <cell r="F817" t="str">
            <v>006</v>
          </cell>
          <cell r="G817">
            <v>242</v>
          </cell>
          <cell r="H817">
            <v>580.9</v>
          </cell>
        </row>
        <row r="818">
          <cell r="A818" t="str">
            <v>Союз театральных деятелей РД</v>
          </cell>
          <cell r="B818" t="str">
            <v>056</v>
          </cell>
          <cell r="C818" t="str">
            <v>08</v>
          </cell>
          <cell r="D818" t="str">
            <v>04</v>
          </cell>
          <cell r="E818" t="str">
            <v>4510000</v>
          </cell>
          <cell r="F818" t="str">
            <v>006</v>
          </cell>
          <cell r="G818">
            <v>242</v>
          </cell>
          <cell r="H818">
            <v>397.3</v>
          </cell>
        </row>
        <row r="819">
          <cell r="A819" t="str">
            <v>Союз хореографов РД</v>
          </cell>
          <cell r="B819" t="str">
            <v>056</v>
          </cell>
          <cell r="C819" t="str">
            <v>08</v>
          </cell>
          <cell r="D819" t="str">
            <v>04</v>
          </cell>
          <cell r="E819" t="str">
            <v>4510000</v>
          </cell>
          <cell r="F819" t="str">
            <v>006</v>
          </cell>
          <cell r="G819">
            <v>242</v>
          </cell>
          <cell r="H819">
            <v>278.60000000000002</v>
          </cell>
        </row>
        <row r="820">
          <cell r="A820" t="str">
            <v>Союз кинематографистов РД</v>
          </cell>
          <cell r="B820" t="str">
            <v>056</v>
          </cell>
          <cell r="C820" t="str">
            <v>08</v>
          </cell>
          <cell r="D820" t="str">
            <v>04</v>
          </cell>
          <cell r="E820" t="str">
            <v>4510000</v>
          </cell>
          <cell r="F820" t="str">
            <v>006</v>
          </cell>
          <cell r="G820">
            <v>242</v>
          </cell>
          <cell r="H820">
            <v>2937.5</v>
          </cell>
        </row>
        <row r="821">
          <cell r="A821" t="str">
            <v>Союз женщин РД</v>
          </cell>
          <cell r="B821" t="str">
            <v>056</v>
          </cell>
          <cell r="C821" t="str">
            <v>08</v>
          </cell>
          <cell r="D821" t="str">
            <v>04</v>
          </cell>
          <cell r="E821" t="str">
            <v>4510000</v>
          </cell>
          <cell r="F821" t="str">
            <v>006</v>
          </cell>
          <cell r="G821">
            <v>242</v>
          </cell>
          <cell r="H821">
            <v>871</v>
          </cell>
        </row>
        <row r="822">
          <cell r="A822" t="str">
            <v>Союз журналистов</v>
          </cell>
          <cell r="B822" t="str">
            <v>056</v>
          </cell>
          <cell r="C822" t="str">
            <v>08</v>
          </cell>
          <cell r="D822" t="str">
            <v>04</v>
          </cell>
          <cell r="E822" t="str">
            <v>4510000</v>
          </cell>
          <cell r="F822" t="str">
            <v>006</v>
          </cell>
          <cell r="G822">
            <v>242</v>
          </cell>
          <cell r="H822">
            <v>278.10000000000002</v>
          </cell>
        </row>
        <row r="823">
          <cell r="A823" t="str">
            <v>Союз архитекторов РД</v>
          </cell>
          <cell r="B823" t="str">
            <v>056</v>
          </cell>
          <cell r="C823" t="str">
            <v>08</v>
          </cell>
          <cell r="D823" t="str">
            <v>04</v>
          </cell>
          <cell r="E823" t="str">
            <v>4510000</v>
          </cell>
          <cell r="F823" t="str">
            <v>006</v>
          </cell>
          <cell r="G823">
            <v>242</v>
          </cell>
          <cell r="H823">
            <v>310</v>
          </cell>
        </row>
        <row r="825">
          <cell r="A825" t="str">
            <v>ОХРАНА объектов(федеральные полномочия)</v>
          </cell>
        </row>
        <row r="826">
          <cell r="A826" t="str">
            <v>Заработная плата</v>
          </cell>
          <cell r="B826" t="str">
            <v>056</v>
          </cell>
          <cell r="C826" t="str">
            <v>08</v>
          </cell>
          <cell r="E826" t="str">
            <v>0015300</v>
          </cell>
          <cell r="F826" t="str">
            <v>012</v>
          </cell>
          <cell r="G826" t="str">
            <v>211</v>
          </cell>
          <cell r="H826">
            <v>1604.6</v>
          </cell>
        </row>
        <row r="827">
          <cell r="A827" t="str">
            <v>Прочие выплаты</v>
          </cell>
          <cell r="B827" t="str">
            <v>056</v>
          </cell>
          <cell r="C827" t="str">
            <v>08</v>
          </cell>
          <cell r="E827" t="str">
            <v>0015300</v>
          </cell>
          <cell r="F827" t="str">
            <v>012</v>
          </cell>
          <cell r="G827" t="str">
            <v>212</v>
          </cell>
          <cell r="H827">
            <v>12.8</v>
          </cell>
        </row>
        <row r="828">
          <cell r="A828" t="str">
            <v>Начисления на оплату труда</v>
          </cell>
          <cell r="B828" t="str">
            <v>056</v>
          </cell>
          <cell r="C828" t="str">
            <v>08</v>
          </cell>
          <cell r="E828" t="str">
            <v>0015300</v>
          </cell>
          <cell r="F828" t="str">
            <v>012</v>
          </cell>
          <cell r="G828" t="str">
            <v>213</v>
          </cell>
          <cell r="H828">
            <v>484.6</v>
          </cell>
        </row>
        <row r="829">
          <cell r="A829" t="str">
            <v>Транспортные услуги</v>
          </cell>
          <cell r="B829" t="str">
            <v>056</v>
          </cell>
          <cell r="C829" t="str">
            <v>08</v>
          </cell>
          <cell r="E829" t="str">
            <v>0015300</v>
          </cell>
          <cell r="F829" t="str">
            <v>012</v>
          </cell>
          <cell r="G829" t="str">
            <v>222</v>
          </cell>
          <cell r="H829">
            <v>20.391000000000005</v>
          </cell>
        </row>
        <row r="830">
          <cell r="A830" t="str">
            <v>Услуги по содерж. имущества</v>
          </cell>
          <cell r="B830" t="str">
            <v>056</v>
          </cell>
          <cell r="C830" t="str">
            <v>08</v>
          </cell>
          <cell r="E830" t="str">
            <v>0015300</v>
          </cell>
          <cell r="F830" t="str">
            <v>012</v>
          </cell>
          <cell r="G830" t="str">
            <v>225</v>
          </cell>
          <cell r="H830">
            <v>50</v>
          </cell>
        </row>
        <row r="831">
          <cell r="A831" t="str">
            <v>Прочие услуги</v>
          </cell>
          <cell r="B831" t="str">
            <v>056</v>
          </cell>
          <cell r="C831" t="str">
            <v>08</v>
          </cell>
          <cell r="E831" t="str">
            <v>0015300</v>
          </cell>
          <cell r="F831" t="str">
            <v>012</v>
          </cell>
          <cell r="G831" t="str">
            <v>226</v>
          </cell>
          <cell r="H831">
            <v>635</v>
          </cell>
        </row>
        <row r="832">
          <cell r="A832" t="str">
            <v>Увелич. стоимости осн. средств</v>
          </cell>
          <cell r="B832" t="str">
            <v>056</v>
          </cell>
          <cell r="C832" t="str">
            <v>08</v>
          </cell>
          <cell r="E832" t="str">
            <v>0015300</v>
          </cell>
          <cell r="F832" t="str">
            <v>012</v>
          </cell>
          <cell r="G832" t="str">
            <v>310</v>
          </cell>
          <cell r="H832">
            <v>224.5</v>
          </cell>
        </row>
        <row r="833">
          <cell r="A833" t="str">
            <v>Увелич. стоимости матер. запасов</v>
          </cell>
          <cell r="B833" t="str">
            <v>056</v>
          </cell>
          <cell r="C833" t="str">
            <v>08</v>
          </cell>
          <cell r="E833" t="str">
            <v>0015300</v>
          </cell>
          <cell r="F833" t="str">
            <v>012</v>
          </cell>
          <cell r="G833" t="str">
            <v>340</v>
          </cell>
          <cell r="H833">
            <v>216.809</v>
          </cell>
        </row>
        <row r="834">
          <cell r="A834" t="str">
            <v>Всего расходов</v>
          </cell>
          <cell r="B834" t="str">
            <v>056</v>
          </cell>
          <cell r="C834" t="str">
            <v>08</v>
          </cell>
          <cell r="E834" t="str">
            <v>0015300</v>
          </cell>
          <cell r="F834" t="str">
            <v>012</v>
          </cell>
        </row>
        <row r="835">
          <cell r="A835" t="str">
            <v>РЦП "Комплексные меры противодействия злоупотреблению наркотическими средствами и ихнезаконному обороту в 2010 - 2014 годы"</v>
          </cell>
          <cell r="B835" t="str">
            <v>056</v>
          </cell>
          <cell r="C835" t="str">
            <v>09</v>
          </cell>
          <cell r="E835" t="str">
            <v>5223900</v>
          </cell>
          <cell r="F835" t="str">
            <v>079</v>
          </cell>
          <cell r="G835" t="str">
            <v>226</v>
          </cell>
          <cell r="H835">
            <v>266.8</v>
          </cell>
        </row>
        <row r="836">
          <cell r="B836" t="str">
            <v>056</v>
          </cell>
          <cell r="C836" t="str">
            <v>09</v>
          </cell>
          <cell r="E836" t="str">
            <v>5223900</v>
          </cell>
          <cell r="F836" t="str">
            <v>079</v>
          </cell>
          <cell r="G836" t="str">
            <v>310</v>
          </cell>
          <cell r="H836">
            <v>20</v>
          </cell>
        </row>
        <row r="837">
          <cell r="A837" t="str">
            <v>Матер. помощь</v>
          </cell>
          <cell r="B837" t="str">
            <v>056</v>
          </cell>
          <cell r="C837" t="str">
            <v>10</v>
          </cell>
          <cell r="D837" t="str">
            <v>03</v>
          </cell>
          <cell r="E837" t="str">
            <v>5058600</v>
          </cell>
          <cell r="F837" t="str">
            <v>005</v>
          </cell>
          <cell r="G837" t="str">
            <v>262</v>
          </cell>
          <cell r="H837">
            <v>1300</v>
          </cell>
        </row>
        <row r="838">
          <cell r="A838" t="str">
            <v>РЦП "Патриотическое воспитание граждан в Республике Дагестан на 2011-2015 годы"</v>
          </cell>
          <cell r="B838" t="str">
            <v>056</v>
          </cell>
          <cell r="C838" t="str">
            <v>07</v>
          </cell>
          <cell r="D838" t="str">
            <v>07</v>
          </cell>
          <cell r="E838" t="str">
            <v>5222900</v>
          </cell>
          <cell r="F838" t="str">
            <v>447</v>
          </cell>
          <cell r="G838" t="str">
            <v>222</v>
          </cell>
          <cell r="H838">
            <v>100</v>
          </cell>
        </row>
        <row r="839">
          <cell r="B839" t="str">
            <v>056</v>
          </cell>
          <cell r="C839" t="str">
            <v>07</v>
          </cell>
          <cell r="D839" t="str">
            <v>07</v>
          </cell>
          <cell r="E839" t="str">
            <v>5222900</v>
          </cell>
          <cell r="F839" t="str">
            <v>447</v>
          </cell>
          <cell r="G839" t="str">
            <v>226</v>
          </cell>
          <cell r="H839">
            <v>70</v>
          </cell>
        </row>
        <row r="840">
          <cell r="B840" t="str">
            <v>056</v>
          </cell>
          <cell r="C840" t="str">
            <v>07</v>
          </cell>
          <cell r="D840" t="str">
            <v>07</v>
          </cell>
          <cell r="E840" t="str">
            <v>5222900</v>
          </cell>
          <cell r="F840" t="str">
            <v>447</v>
          </cell>
          <cell r="G840" t="str">
            <v>340</v>
          </cell>
          <cell r="H840">
            <v>100</v>
          </cell>
        </row>
        <row r="841">
          <cell r="A841" t="str">
            <v>Комплексная программа "Программа противодействия экстремизму и терроризму в РД на 2012-2016 гг"</v>
          </cell>
          <cell r="B841" t="str">
            <v>056</v>
          </cell>
          <cell r="C841" t="str">
            <v>01</v>
          </cell>
          <cell r="D841" t="str">
            <v>13</v>
          </cell>
          <cell r="E841" t="str">
            <v>5227500</v>
          </cell>
          <cell r="F841" t="str">
            <v>012</v>
          </cell>
          <cell r="G841" t="str">
            <v>226</v>
          </cell>
          <cell r="H841">
            <v>3455</v>
          </cell>
        </row>
        <row r="842">
          <cell r="B842" t="str">
            <v>056</v>
          </cell>
          <cell r="C842" t="str">
            <v>08</v>
          </cell>
          <cell r="D842" t="str">
            <v>01</v>
          </cell>
          <cell r="E842">
            <v>4400800</v>
          </cell>
          <cell r="F842" t="str">
            <v>012</v>
          </cell>
          <cell r="G842" t="str">
            <v>310</v>
          </cell>
          <cell r="H842">
            <v>14788.4</v>
          </cell>
        </row>
      </sheetData>
      <sheetData sheetId="10" refreshError="1"/>
      <sheetData sheetId="11" refreshError="1"/>
      <sheetData sheetId="12" refreshError="1"/>
      <sheetData sheetId="13">
        <row r="36">
          <cell r="A36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36">
            <v>611</v>
          </cell>
          <cell r="G36" t="str">
            <v>241</v>
          </cell>
          <cell r="H36">
            <v>2544.3400000000006</v>
          </cell>
        </row>
        <row r="53">
          <cell r="A53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53">
            <v>611</v>
          </cell>
          <cell r="G53" t="str">
            <v>241</v>
          </cell>
          <cell r="H53">
            <v>1585.7400000000005</v>
          </cell>
        </row>
        <row r="70">
          <cell r="A70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70">
            <v>611</v>
          </cell>
          <cell r="G70" t="str">
            <v>241</v>
          </cell>
          <cell r="H70">
            <v>1973.5099999999998</v>
          </cell>
        </row>
        <row r="87">
          <cell r="A87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87">
            <v>611</v>
          </cell>
          <cell r="G87" t="str">
            <v>241</v>
          </cell>
          <cell r="H87">
            <v>6318.6900000000005</v>
          </cell>
        </row>
        <row r="104">
          <cell r="A104" t="str">
            <v>Субсидии бюджетным учреждениям на финансовое обеспечение государственного задания на оказание государственных услуг (выполнение работ)</v>
          </cell>
          <cell r="F104">
            <v>611</v>
          </cell>
          <cell r="G104" t="str">
            <v>241</v>
          </cell>
        </row>
        <row r="120">
          <cell r="A120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120">
            <v>611</v>
          </cell>
          <cell r="G120" t="str">
            <v>241</v>
          </cell>
          <cell r="H120">
            <v>14472.179999999997</v>
          </cell>
        </row>
        <row r="121">
          <cell r="A121" t="str">
            <v>Субсидии на иные цели</v>
          </cell>
          <cell r="F121" t="str">
            <v>612</v>
          </cell>
          <cell r="G121" t="str">
            <v>241</v>
          </cell>
          <cell r="H121">
            <v>22.8</v>
          </cell>
        </row>
        <row r="138">
          <cell r="A138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138">
            <v>611</v>
          </cell>
          <cell r="G138" t="str">
            <v>241</v>
          </cell>
          <cell r="H138">
            <v>8546.0299999999988</v>
          </cell>
        </row>
        <row r="139">
          <cell r="A139" t="str">
            <v>Субсидии на иные цели</v>
          </cell>
          <cell r="B139" t="str">
            <v>056</v>
          </cell>
          <cell r="C139" t="str">
            <v>07</v>
          </cell>
          <cell r="D139" t="str">
            <v>04</v>
          </cell>
          <cell r="E139" t="str">
            <v>4279902</v>
          </cell>
          <cell r="F139" t="str">
            <v>612</v>
          </cell>
          <cell r="G139" t="str">
            <v>241</v>
          </cell>
          <cell r="H139">
            <v>13.71</v>
          </cell>
        </row>
        <row r="156">
          <cell r="A156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156">
            <v>611</v>
          </cell>
          <cell r="G156" t="str">
            <v>241</v>
          </cell>
          <cell r="H156">
            <v>9825.5000000000018</v>
          </cell>
        </row>
        <row r="173">
          <cell r="A173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173">
            <v>611</v>
          </cell>
          <cell r="G173" t="str">
            <v>241</v>
          </cell>
          <cell r="H173">
            <v>5576.0899999999992</v>
          </cell>
        </row>
        <row r="190">
          <cell r="B190" t="str">
            <v>056</v>
          </cell>
          <cell r="C190" t="str">
            <v>07</v>
          </cell>
          <cell r="D190" t="str">
            <v>04</v>
          </cell>
          <cell r="E190" t="str">
            <v>4279902</v>
          </cell>
          <cell r="F190">
            <v>611</v>
          </cell>
          <cell r="G190" t="str">
            <v>241</v>
          </cell>
        </row>
        <row r="191">
          <cell r="B191" t="str">
            <v>056</v>
          </cell>
          <cell r="C191" t="str">
            <v>07</v>
          </cell>
          <cell r="D191" t="str">
            <v>04</v>
          </cell>
          <cell r="E191" t="str">
            <v>4279902</v>
          </cell>
          <cell r="F191" t="str">
            <v>612</v>
          </cell>
          <cell r="G191" t="str">
            <v>241</v>
          </cell>
        </row>
        <row r="208">
          <cell r="A208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208">
            <v>611</v>
          </cell>
          <cell r="G208" t="str">
            <v>241</v>
          </cell>
          <cell r="H208">
            <v>1835.0900000000004</v>
          </cell>
        </row>
        <row r="244">
          <cell r="A244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244">
            <v>611</v>
          </cell>
          <cell r="G244" t="str">
            <v>241</v>
          </cell>
          <cell r="H244">
            <v>18063.650000000001</v>
          </cell>
        </row>
        <row r="261">
          <cell r="A261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261">
            <v>611</v>
          </cell>
          <cell r="G261" t="str">
            <v>241</v>
          </cell>
          <cell r="H261">
            <v>6483.43</v>
          </cell>
        </row>
        <row r="262">
          <cell r="A262" t="str">
            <v>Субсидии на иные цели</v>
          </cell>
          <cell r="F262">
            <v>612</v>
          </cell>
          <cell r="G262" t="str">
            <v>241</v>
          </cell>
          <cell r="H262">
            <v>22304.9</v>
          </cell>
        </row>
        <row r="296">
          <cell r="A296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296">
            <v>611</v>
          </cell>
          <cell r="G296" t="str">
            <v>241</v>
          </cell>
          <cell r="H296">
            <v>25234.859999999997</v>
          </cell>
        </row>
        <row r="297">
          <cell r="A297" t="str">
            <v>Субсидии на иные цели</v>
          </cell>
          <cell r="B297" t="str">
            <v>056</v>
          </cell>
          <cell r="C297" t="str">
            <v>08</v>
          </cell>
          <cell r="D297" t="str">
            <v>01</v>
          </cell>
          <cell r="E297" t="str">
            <v>4419901</v>
          </cell>
          <cell r="F297">
            <v>612</v>
          </cell>
          <cell r="G297" t="str">
            <v>241</v>
          </cell>
          <cell r="H297">
            <v>750</v>
          </cell>
        </row>
        <row r="314">
          <cell r="A314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314">
            <v>611</v>
          </cell>
          <cell r="G314" t="str">
            <v>241</v>
          </cell>
          <cell r="H314">
            <v>6597.5899999999956</v>
          </cell>
        </row>
        <row r="315">
          <cell r="A315" t="str">
            <v>Субсидии на иные цели</v>
          </cell>
          <cell r="F315" t="str">
            <v>612</v>
          </cell>
          <cell r="G315" t="str">
            <v>241</v>
          </cell>
          <cell r="H315">
            <v>4322.47</v>
          </cell>
        </row>
        <row r="332">
          <cell r="A332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332">
            <v>611</v>
          </cell>
          <cell r="G332" t="str">
            <v>241</v>
          </cell>
          <cell r="H332">
            <v>8815.6049999999996</v>
          </cell>
        </row>
        <row r="349">
          <cell r="A349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349">
            <v>611</v>
          </cell>
          <cell r="G349" t="str">
            <v>241</v>
          </cell>
          <cell r="H349">
            <v>7536.78</v>
          </cell>
        </row>
        <row r="350">
          <cell r="A350" t="str">
            <v>Субсидии на иные цели</v>
          </cell>
          <cell r="F350" t="str">
            <v>612</v>
          </cell>
          <cell r="G350" t="str">
            <v>241</v>
          </cell>
          <cell r="H350">
            <v>1134.1650000000002</v>
          </cell>
        </row>
        <row r="384">
          <cell r="A384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384">
            <v>611</v>
          </cell>
          <cell r="G384" t="str">
            <v>241</v>
          </cell>
          <cell r="H384">
            <v>19206.2</v>
          </cell>
        </row>
        <row r="401">
          <cell r="A401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401">
            <v>611</v>
          </cell>
          <cell r="G401" t="str">
            <v>241</v>
          </cell>
          <cell r="H401">
            <v>5433.4400000000005</v>
          </cell>
        </row>
        <row r="418">
          <cell r="A418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418">
            <v>611</v>
          </cell>
          <cell r="G418" t="str">
            <v>241</v>
          </cell>
          <cell r="H418">
            <v>4088.8600000000006</v>
          </cell>
        </row>
        <row r="435">
          <cell r="A435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435">
            <v>611</v>
          </cell>
          <cell r="G435" t="str">
            <v>241</v>
          </cell>
          <cell r="H435">
            <v>1624.34</v>
          </cell>
        </row>
        <row r="468">
          <cell r="A468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468">
            <v>611</v>
          </cell>
          <cell r="G468" t="str">
            <v>241</v>
          </cell>
          <cell r="H468">
            <v>19101.700000000004</v>
          </cell>
        </row>
        <row r="469">
          <cell r="A469" t="str">
            <v>Субсидии на иные цели</v>
          </cell>
          <cell r="F469">
            <v>612</v>
          </cell>
          <cell r="G469" t="str">
            <v>241</v>
          </cell>
          <cell r="H469">
            <v>915.93100000000004</v>
          </cell>
        </row>
        <row r="486">
          <cell r="A486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486">
            <v>611</v>
          </cell>
          <cell r="G486" t="str">
            <v>241</v>
          </cell>
          <cell r="H486">
            <v>17702</v>
          </cell>
        </row>
        <row r="503">
          <cell r="A503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503">
            <v>611</v>
          </cell>
          <cell r="G503" t="str">
            <v>241</v>
          </cell>
          <cell r="H503">
            <v>16255.629999999994</v>
          </cell>
        </row>
        <row r="520">
          <cell r="A520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520">
            <v>611</v>
          </cell>
          <cell r="G520" t="str">
            <v>241</v>
          </cell>
          <cell r="H520">
            <v>13215.610000000004</v>
          </cell>
        </row>
        <row r="537">
          <cell r="A537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537">
            <v>611</v>
          </cell>
          <cell r="G537" t="str">
            <v>241</v>
          </cell>
          <cell r="H537">
            <v>8364.3199999999979</v>
          </cell>
        </row>
        <row r="554">
          <cell r="A554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554">
            <v>611</v>
          </cell>
          <cell r="G554" t="str">
            <v>241</v>
          </cell>
          <cell r="H554">
            <v>10388.77</v>
          </cell>
        </row>
        <row r="571">
          <cell r="A571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571">
            <v>611</v>
          </cell>
          <cell r="G571" t="str">
            <v>241</v>
          </cell>
          <cell r="H571">
            <v>11085.31</v>
          </cell>
        </row>
        <row r="588">
          <cell r="A588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588">
            <v>611</v>
          </cell>
          <cell r="G588" t="str">
            <v>241</v>
          </cell>
          <cell r="H588">
            <v>27512.819999999996</v>
          </cell>
        </row>
        <row r="589">
          <cell r="A589" t="str">
            <v>Субсидии на иные цели</v>
          </cell>
          <cell r="B589" t="str">
            <v>056</v>
          </cell>
          <cell r="C589" t="str">
            <v>08</v>
          </cell>
          <cell r="D589" t="str">
            <v>01</v>
          </cell>
          <cell r="E589" t="str">
            <v>4439901</v>
          </cell>
          <cell r="F589">
            <v>612</v>
          </cell>
          <cell r="G589" t="str">
            <v>241</v>
          </cell>
          <cell r="H589">
            <v>103.53100000000001</v>
          </cell>
        </row>
        <row r="606">
          <cell r="A606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606">
            <v>611</v>
          </cell>
          <cell r="G606" t="str">
            <v>241</v>
          </cell>
          <cell r="H606">
            <v>9685.2299999999977</v>
          </cell>
        </row>
        <row r="623">
          <cell r="A623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623">
            <v>611</v>
          </cell>
          <cell r="G623" t="str">
            <v>241</v>
          </cell>
          <cell r="H623">
            <v>4781.880000000001</v>
          </cell>
        </row>
        <row r="640">
          <cell r="A640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640">
            <v>611</v>
          </cell>
          <cell r="G640" t="str">
            <v>241</v>
          </cell>
          <cell r="H640">
            <v>5090.17</v>
          </cell>
        </row>
        <row r="657">
          <cell r="A657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657">
            <v>611</v>
          </cell>
          <cell r="G657" t="str">
            <v>241</v>
          </cell>
          <cell r="H657">
            <v>16881.759999999998</v>
          </cell>
        </row>
        <row r="658">
          <cell r="A658" t="str">
            <v>Субсидии на иные цели</v>
          </cell>
          <cell r="F658">
            <v>612</v>
          </cell>
          <cell r="G658" t="str">
            <v>241</v>
          </cell>
          <cell r="H658">
            <v>11820.478999999999</v>
          </cell>
        </row>
        <row r="675">
          <cell r="A675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675">
            <v>611</v>
          </cell>
          <cell r="G675" t="str">
            <v>241</v>
          </cell>
          <cell r="H675">
            <v>1924.4900000000002</v>
          </cell>
        </row>
        <row r="692">
          <cell r="A692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692">
            <v>611</v>
          </cell>
          <cell r="G692" t="str">
            <v>241</v>
          </cell>
          <cell r="H692">
            <v>10634.029999999999</v>
          </cell>
        </row>
        <row r="693">
          <cell r="A693" t="str">
            <v>Субсидии на иные цели</v>
          </cell>
          <cell r="F693">
            <v>612</v>
          </cell>
          <cell r="G693" t="str">
            <v>241</v>
          </cell>
          <cell r="H693">
            <v>367.59699999999998</v>
          </cell>
        </row>
        <row r="710">
          <cell r="A710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710">
            <v>611</v>
          </cell>
          <cell r="G710" t="str">
            <v>241</v>
          </cell>
          <cell r="H710">
            <v>11388.340000000002</v>
          </cell>
        </row>
        <row r="711">
          <cell r="A711" t="str">
            <v>Субсидии на иные цели</v>
          </cell>
          <cell r="F711">
            <v>612</v>
          </cell>
          <cell r="G711" t="str">
            <v>241</v>
          </cell>
          <cell r="H711">
            <v>414.25200000000001</v>
          </cell>
        </row>
        <row r="728">
          <cell r="A728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728">
            <v>611</v>
          </cell>
          <cell r="G728" t="str">
            <v>241</v>
          </cell>
          <cell r="H728">
            <v>3255.11</v>
          </cell>
        </row>
        <row r="745">
          <cell r="A745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745">
            <v>611</v>
          </cell>
          <cell r="G745" t="str">
            <v>241</v>
          </cell>
          <cell r="H745">
            <v>2735.62</v>
          </cell>
        </row>
        <row r="762">
          <cell r="A762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762">
            <v>611</v>
          </cell>
          <cell r="G762" t="str">
            <v>241</v>
          </cell>
          <cell r="H762">
            <v>3786.71</v>
          </cell>
        </row>
        <row r="779">
          <cell r="A779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779">
            <v>611</v>
          </cell>
          <cell r="G779" t="str">
            <v>241</v>
          </cell>
          <cell r="H779">
            <v>4302.24</v>
          </cell>
        </row>
        <row r="780">
          <cell r="A780" t="str">
            <v>Субсидии на иные цели</v>
          </cell>
          <cell r="F780">
            <v>612</v>
          </cell>
          <cell r="G780" t="str">
            <v>241</v>
          </cell>
          <cell r="H780">
            <v>564.779</v>
          </cell>
        </row>
        <row r="797">
          <cell r="A797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797">
            <v>611</v>
          </cell>
          <cell r="G797" t="str">
            <v>241</v>
          </cell>
          <cell r="H797">
            <v>4978.4300000000012</v>
          </cell>
        </row>
        <row r="814">
          <cell r="A814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814">
            <v>611</v>
          </cell>
          <cell r="G814" t="str">
            <v>241</v>
          </cell>
          <cell r="H814">
            <v>4131.130000000001</v>
          </cell>
        </row>
        <row r="831">
          <cell r="A831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831">
            <v>611</v>
          </cell>
          <cell r="G831" t="str">
            <v>241</v>
          </cell>
          <cell r="H831">
            <v>1617.49</v>
          </cell>
        </row>
        <row r="848">
          <cell r="A848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848">
            <v>611</v>
          </cell>
          <cell r="G848" t="str">
            <v>241</v>
          </cell>
          <cell r="H848">
            <v>32617.500000000025</v>
          </cell>
        </row>
        <row r="849">
          <cell r="A849" t="str">
            <v>Субсидии на иные цели</v>
          </cell>
          <cell r="F849">
            <v>612</v>
          </cell>
          <cell r="G849" t="str">
            <v>241</v>
          </cell>
          <cell r="H849">
            <v>13579.816999999999</v>
          </cell>
        </row>
        <row r="902">
          <cell r="A902" t="str">
            <v>Субсидия на финансовое обеспечение государственного задания на оказание государственных услуг (выполнение работ)</v>
          </cell>
          <cell r="F902">
            <v>611</v>
          </cell>
          <cell r="G902" t="str">
            <v>241</v>
          </cell>
          <cell r="H902">
            <v>812.86000000000058</v>
          </cell>
        </row>
        <row r="912">
          <cell r="A912" t="str">
            <v>Субсидии на иные цели</v>
          </cell>
          <cell r="B912" t="str">
            <v>056</v>
          </cell>
          <cell r="C912" t="str">
            <v>08</v>
          </cell>
          <cell r="D912" t="str">
            <v>01</v>
          </cell>
          <cell r="E912" t="str">
            <v>5226200</v>
          </cell>
          <cell r="F912">
            <v>612</v>
          </cell>
          <cell r="G912" t="str">
            <v>241</v>
          </cell>
        </row>
        <row r="917">
          <cell r="A917" t="str">
            <v>Субсидии на иные цели</v>
          </cell>
          <cell r="B917" t="str">
            <v>056</v>
          </cell>
          <cell r="C917" t="str">
            <v>08</v>
          </cell>
          <cell r="D917" t="str">
            <v>04</v>
          </cell>
          <cell r="E917" t="str">
            <v>5226600</v>
          </cell>
          <cell r="F917">
            <v>612</v>
          </cell>
          <cell r="G917" t="str">
            <v>241</v>
          </cell>
        </row>
        <row r="922">
          <cell r="A922" t="str">
            <v>Субсидии на иные цели</v>
          </cell>
          <cell r="B922" t="str">
            <v>056</v>
          </cell>
          <cell r="C922" t="str">
            <v>01</v>
          </cell>
          <cell r="D922" t="str">
            <v>13</v>
          </cell>
          <cell r="E922" t="str">
            <v>5225200</v>
          </cell>
          <cell r="F922">
            <v>612</v>
          </cell>
          <cell r="G922" t="str">
            <v>241</v>
          </cell>
        </row>
        <row r="929">
          <cell r="A929" t="str">
            <v>Субсидии на иные цели</v>
          </cell>
          <cell r="B929" t="str">
            <v>056</v>
          </cell>
          <cell r="C929" t="str">
            <v>03</v>
          </cell>
          <cell r="D929" t="str">
            <v>10</v>
          </cell>
          <cell r="E929" t="str">
            <v>5220900</v>
          </cell>
          <cell r="F929">
            <v>612</v>
          </cell>
          <cell r="G929" t="str">
            <v>241</v>
          </cell>
        </row>
        <row r="934">
          <cell r="A934" t="str">
            <v>Субсидии на иные цели</v>
          </cell>
          <cell r="B934" t="str">
            <v>056</v>
          </cell>
          <cell r="C934" t="str">
            <v>01</v>
          </cell>
          <cell r="D934" t="str">
            <v>13</v>
          </cell>
          <cell r="E934" t="str">
            <v>5220100</v>
          </cell>
          <cell r="F934">
            <v>612</v>
          </cell>
          <cell r="G934" t="str">
            <v>241</v>
          </cell>
          <cell r="H934">
            <v>0</v>
          </cell>
        </row>
        <row r="937">
          <cell r="A937" t="str">
            <v>Субсидии на иные цели</v>
          </cell>
          <cell r="B937" t="str">
            <v>056</v>
          </cell>
          <cell r="C937" t="str">
            <v>09</v>
          </cell>
          <cell r="D937" t="str">
            <v>09</v>
          </cell>
          <cell r="E937" t="str">
            <v>5223900</v>
          </cell>
          <cell r="F937" t="str">
            <v>612</v>
          </cell>
          <cell r="G937" t="str">
            <v>241</v>
          </cell>
          <cell r="H937">
            <v>286.8</v>
          </cell>
        </row>
        <row r="940">
          <cell r="A940" t="str">
            <v>Субсидии на иные цели</v>
          </cell>
          <cell r="B940" t="str">
            <v>056</v>
          </cell>
          <cell r="C940" t="str">
            <v>07</v>
          </cell>
          <cell r="D940" t="str">
            <v>07</v>
          </cell>
          <cell r="E940" t="str">
            <v>5222900</v>
          </cell>
          <cell r="F940" t="str">
            <v>612</v>
          </cell>
          <cell r="G940" t="str">
            <v>241</v>
          </cell>
          <cell r="H940">
            <v>270</v>
          </cell>
        </row>
      </sheetData>
      <sheetData sheetId="14" refreshError="1"/>
      <sheetData sheetId="15">
        <row r="57">
          <cell r="I57">
            <v>266.8</v>
          </cell>
        </row>
        <row r="59">
          <cell r="I59">
            <v>100</v>
          </cell>
        </row>
        <row r="60">
          <cell r="I60">
            <v>70</v>
          </cell>
        </row>
        <row r="61">
          <cell r="I61">
            <v>100</v>
          </cell>
        </row>
        <row r="62">
          <cell r="P62">
            <v>2660</v>
          </cell>
        </row>
        <row r="119">
          <cell r="I119">
            <v>20</v>
          </cell>
        </row>
        <row r="120">
          <cell r="P120">
            <v>131.25</v>
          </cell>
        </row>
        <row r="128">
          <cell r="P128">
            <v>50</v>
          </cell>
        </row>
        <row r="135">
          <cell r="P135">
            <v>150</v>
          </cell>
        </row>
      </sheetData>
      <sheetData sheetId="16">
        <row r="7">
          <cell r="I7">
            <v>1771.32</v>
          </cell>
          <cell r="L7">
            <v>1111.92</v>
          </cell>
          <cell r="N7">
            <v>1119.6600000000001</v>
          </cell>
          <cell r="O7">
            <v>1111.9000000000001</v>
          </cell>
          <cell r="P7">
            <v>1111.93</v>
          </cell>
          <cell r="Q7">
            <v>1024.9000000000001</v>
          </cell>
          <cell r="T7">
            <v>1198.94</v>
          </cell>
          <cell r="U7">
            <v>1198.94</v>
          </cell>
          <cell r="V7">
            <v>1024.8900000000001</v>
          </cell>
          <cell r="W7">
            <v>1111.92</v>
          </cell>
          <cell r="X7">
            <v>1107.02</v>
          </cell>
          <cell r="Z7">
            <v>616.66</v>
          </cell>
        </row>
        <row r="8">
          <cell r="N8">
            <v>2.5</v>
          </cell>
          <cell r="P8">
            <v>1.67</v>
          </cell>
          <cell r="W8">
            <v>4.16</v>
          </cell>
          <cell r="X8">
            <v>-8.33</v>
          </cell>
        </row>
        <row r="9">
          <cell r="I9">
            <v>711.6</v>
          </cell>
          <cell r="L9">
            <v>335.8</v>
          </cell>
          <cell r="N9">
            <v>295.8</v>
          </cell>
          <cell r="O9">
            <v>335.8</v>
          </cell>
          <cell r="P9">
            <v>335.8</v>
          </cell>
          <cell r="Q9">
            <v>307.93</v>
          </cell>
          <cell r="T9">
            <v>363.67</v>
          </cell>
          <cell r="U9">
            <v>363.67</v>
          </cell>
          <cell r="V9">
            <v>307.93</v>
          </cell>
          <cell r="W9">
            <v>335.8</v>
          </cell>
          <cell r="X9">
            <v>335.8</v>
          </cell>
          <cell r="Z9">
            <v>-445</v>
          </cell>
        </row>
        <row r="10">
          <cell r="L10">
            <v>50</v>
          </cell>
          <cell r="N10">
            <v>112.5</v>
          </cell>
          <cell r="Q10">
            <v>50</v>
          </cell>
          <cell r="T10">
            <v>80</v>
          </cell>
          <cell r="W10">
            <v>50</v>
          </cell>
          <cell r="X10">
            <v>50</v>
          </cell>
          <cell r="Z10">
            <v>192.5</v>
          </cell>
        </row>
        <row r="11">
          <cell r="L11">
            <v>30</v>
          </cell>
          <cell r="N11">
            <v>75</v>
          </cell>
          <cell r="Q11">
            <v>70</v>
          </cell>
          <cell r="T11">
            <v>100</v>
          </cell>
          <cell r="Z11">
            <v>150.92500000000001</v>
          </cell>
        </row>
        <row r="12">
          <cell r="I12">
            <v>21.67</v>
          </cell>
          <cell r="L12">
            <v>21.67</v>
          </cell>
          <cell r="N12">
            <v>21.66</v>
          </cell>
          <cell r="O12">
            <v>21.67</v>
          </cell>
          <cell r="P12">
            <v>21.66</v>
          </cell>
          <cell r="Q12">
            <v>50</v>
          </cell>
          <cell r="T12">
            <v>21.66</v>
          </cell>
          <cell r="V12">
            <v>15.01</v>
          </cell>
          <cell r="W12">
            <v>21.67</v>
          </cell>
          <cell r="Z12">
            <v>83.33</v>
          </cell>
        </row>
        <row r="14">
          <cell r="L14">
            <v>50</v>
          </cell>
          <cell r="N14">
            <v>3762.5</v>
          </cell>
          <cell r="Q14">
            <v>-1771.5129999999999</v>
          </cell>
          <cell r="T14">
            <v>60</v>
          </cell>
          <cell r="U14">
            <v>4500</v>
          </cell>
          <cell r="W14">
            <v>3438.75</v>
          </cell>
          <cell r="Z14">
            <v>3438.75</v>
          </cell>
        </row>
        <row r="15">
          <cell r="L15">
            <v>290</v>
          </cell>
          <cell r="N15">
            <v>53</v>
          </cell>
          <cell r="O15">
            <v>86.42</v>
          </cell>
          <cell r="P15">
            <v>100</v>
          </cell>
          <cell r="Q15">
            <v>1771.5129999999999</v>
          </cell>
          <cell r="T15">
            <v>642.57999999999993</v>
          </cell>
          <cell r="Z15">
            <v>853.46299999999997</v>
          </cell>
        </row>
        <row r="17">
          <cell r="I17">
            <v>95</v>
          </cell>
          <cell r="N17">
            <v>228.5</v>
          </cell>
          <cell r="W17">
            <v>161.80000000000001</v>
          </cell>
          <cell r="Z17">
            <v>264.7</v>
          </cell>
        </row>
        <row r="18">
          <cell r="L18">
            <v>50</v>
          </cell>
          <cell r="P18">
            <v>150</v>
          </cell>
          <cell r="Q18">
            <v>1200</v>
          </cell>
          <cell r="Z18">
            <v>217.4</v>
          </cell>
        </row>
        <row r="19">
          <cell r="L19">
            <v>130</v>
          </cell>
          <cell r="N19">
            <v>54</v>
          </cell>
          <cell r="O19">
            <v>61.33</v>
          </cell>
          <cell r="Q19">
            <v>50</v>
          </cell>
          <cell r="T19">
            <v>300</v>
          </cell>
          <cell r="Z19">
            <v>140.66999999999999</v>
          </cell>
        </row>
        <row r="22">
          <cell r="I22">
            <v>447.32</v>
          </cell>
          <cell r="L22">
            <v>279.58</v>
          </cell>
          <cell r="N22">
            <v>279.58</v>
          </cell>
          <cell r="O22">
            <v>279.7</v>
          </cell>
          <cell r="P22">
            <v>279.45</v>
          </cell>
          <cell r="Q22">
            <v>643.5</v>
          </cell>
          <cell r="U22">
            <v>195.3</v>
          </cell>
          <cell r="V22">
            <v>279.60000000000002</v>
          </cell>
          <cell r="W22">
            <v>296.3</v>
          </cell>
          <cell r="X22">
            <v>296.24</v>
          </cell>
          <cell r="Y22">
            <v>-0.48399999999999999</v>
          </cell>
          <cell r="Z22">
            <v>118.63</v>
          </cell>
        </row>
        <row r="23">
          <cell r="N23">
            <v>6</v>
          </cell>
          <cell r="P23">
            <v>4</v>
          </cell>
          <cell r="Y23">
            <v>4</v>
          </cell>
        </row>
        <row r="24">
          <cell r="I24">
            <v>180.03</v>
          </cell>
          <cell r="L24">
            <v>84.43</v>
          </cell>
          <cell r="N24">
            <v>73.25</v>
          </cell>
          <cell r="O24">
            <v>84.4</v>
          </cell>
          <cell r="P24">
            <v>84.4</v>
          </cell>
          <cell r="Q24">
            <v>194.3</v>
          </cell>
          <cell r="U24">
            <v>59</v>
          </cell>
          <cell r="V24">
            <v>84.4</v>
          </cell>
          <cell r="W24">
            <v>90.6</v>
          </cell>
          <cell r="X24">
            <v>90.59</v>
          </cell>
          <cell r="Y24">
            <v>-20.815999999999999</v>
          </cell>
        </row>
        <row r="25">
          <cell r="N25">
            <v>2.5</v>
          </cell>
          <cell r="Y25">
            <v>15</v>
          </cell>
        </row>
        <row r="27">
          <cell r="N27">
            <v>21</v>
          </cell>
          <cell r="O27">
            <v>14.92</v>
          </cell>
          <cell r="P27">
            <v>38.659999999999997</v>
          </cell>
          <cell r="T27">
            <v>14.92</v>
          </cell>
          <cell r="V27">
            <v>30</v>
          </cell>
          <cell r="Y27">
            <v>-15</v>
          </cell>
          <cell r="Z27">
            <v>59.5</v>
          </cell>
        </row>
        <row r="30">
          <cell r="N30">
            <v>28.61</v>
          </cell>
          <cell r="O30">
            <v>85.89</v>
          </cell>
        </row>
        <row r="31">
          <cell r="W31">
            <v>8.01</v>
          </cell>
          <cell r="Z31">
            <v>3.09</v>
          </cell>
        </row>
        <row r="32">
          <cell r="N32">
            <v>32.200000000000003</v>
          </cell>
          <cell r="V32">
            <v>2</v>
          </cell>
          <cell r="W32">
            <v>7.7</v>
          </cell>
          <cell r="Y32">
            <v>17.3</v>
          </cell>
          <cell r="Z32">
            <v>11.3</v>
          </cell>
        </row>
        <row r="34">
          <cell r="N34">
            <v>3.4699999999999998</v>
          </cell>
          <cell r="O34">
            <v>1.17</v>
          </cell>
        </row>
        <row r="36">
          <cell r="Q36">
            <v>837.8</v>
          </cell>
          <cell r="T36">
            <v>14.92</v>
          </cell>
          <cell r="U36">
            <v>254.3</v>
          </cell>
          <cell r="V36">
            <v>396</v>
          </cell>
          <cell r="W36">
            <v>402.60999999999996</v>
          </cell>
          <cell r="X36">
            <v>386.83000000000004</v>
          </cell>
          <cell r="Y36">
            <v>0</v>
          </cell>
          <cell r="Z36">
            <v>192.52</v>
          </cell>
        </row>
        <row r="37">
          <cell r="Q37">
            <v>0</v>
          </cell>
        </row>
        <row r="38">
          <cell r="I38">
            <v>297.77</v>
          </cell>
          <cell r="L38">
            <v>186.1</v>
          </cell>
          <cell r="N38">
            <v>186.1</v>
          </cell>
          <cell r="O38">
            <v>186</v>
          </cell>
          <cell r="P38">
            <v>186.24</v>
          </cell>
          <cell r="Q38">
            <v>471.1</v>
          </cell>
          <cell r="U38">
            <v>87.3</v>
          </cell>
          <cell r="V38">
            <v>186.1</v>
          </cell>
          <cell r="W38">
            <v>197.3</v>
          </cell>
          <cell r="X38">
            <v>197.2</v>
          </cell>
          <cell r="Y38">
            <v>20.434000000000001</v>
          </cell>
          <cell r="Z38">
            <v>78.89</v>
          </cell>
        </row>
        <row r="39">
          <cell r="N39">
            <v>4.5</v>
          </cell>
          <cell r="P39">
            <v>3</v>
          </cell>
        </row>
        <row r="40">
          <cell r="I40">
            <v>119.88</v>
          </cell>
          <cell r="L40">
            <v>56.2</v>
          </cell>
          <cell r="N40">
            <v>48.76</v>
          </cell>
          <cell r="O40">
            <v>56.2</v>
          </cell>
          <cell r="P40">
            <v>56.25</v>
          </cell>
          <cell r="Q40">
            <v>142.30000000000001</v>
          </cell>
          <cell r="U40">
            <v>26.3</v>
          </cell>
          <cell r="V40">
            <v>56.2</v>
          </cell>
          <cell r="W40">
            <v>60.2</v>
          </cell>
          <cell r="X40">
            <v>60.21</v>
          </cell>
          <cell r="Y40">
            <v>-19.763000000000002</v>
          </cell>
        </row>
        <row r="47">
          <cell r="W47">
            <v>4.125</v>
          </cell>
          <cell r="Y47">
            <v>-0.67100000000000004</v>
          </cell>
          <cell r="Z47">
            <v>1.375</v>
          </cell>
        </row>
        <row r="48">
          <cell r="N48">
            <v>0</v>
          </cell>
          <cell r="Z48">
            <v>0</v>
          </cell>
        </row>
        <row r="50">
          <cell r="N50">
            <v>2.5299999999999998</v>
          </cell>
          <cell r="O50">
            <v>0.83</v>
          </cell>
        </row>
        <row r="52">
          <cell r="Q52">
            <v>613.4</v>
          </cell>
          <cell r="T52">
            <v>0</v>
          </cell>
          <cell r="U52">
            <v>113.6</v>
          </cell>
          <cell r="V52">
            <v>242.3</v>
          </cell>
          <cell r="W52">
            <v>261.625</v>
          </cell>
          <cell r="X52">
            <v>257.40999999999997</v>
          </cell>
          <cell r="Y52">
            <v>0</v>
          </cell>
          <cell r="Z52">
            <v>80.265000000000001</v>
          </cell>
        </row>
        <row r="53">
          <cell r="Q53">
            <v>0</v>
          </cell>
        </row>
        <row r="54">
          <cell r="I54">
            <v>370.93</v>
          </cell>
          <cell r="L54">
            <v>231.83</v>
          </cell>
          <cell r="N54">
            <v>231.83</v>
          </cell>
          <cell r="O54">
            <v>231.8</v>
          </cell>
          <cell r="P54">
            <v>231.84</v>
          </cell>
          <cell r="Q54">
            <v>592.1</v>
          </cell>
          <cell r="U54">
            <v>103.3</v>
          </cell>
          <cell r="V54">
            <v>231.8</v>
          </cell>
          <cell r="W54">
            <v>245.8</v>
          </cell>
          <cell r="X54">
            <v>245.8</v>
          </cell>
          <cell r="Z54">
            <v>98.27</v>
          </cell>
        </row>
        <row r="55">
          <cell r="N55">
            <v>6</v>
          </cell>
          <cell r="P55">
            <v>4</v>
          </cell>
          <cell r="Z55">
            <v>9.1999999999999993</v>
          </cell>
        </row>
        <row r="56">
          <cell r="I56">
            <v>149.31</v>
          </cell>
          <cell r="L56">
            <v>70.010000000000005</v>
          </cell>
          <cell r="N56">
            <v>60.74</v>
          </cell>
          <cell r="O56">
            <v>70</v>
          </cell>
          <cell r="P56">
            <v>70</v>
          </cell>
          <cell r="Q56">
            <v>178.8</v>
          </cell>
          <cell r="U56">
            <v>31.2</v>
          </cell>
          <cell r="V56">
            <v>70</v>
          </cell>
          <cell r="W56">
            <v>75</v>
          </cell>
          <cell r="X56">
            <v>75.14</v>
          </cell>
          <cell r="Z56">
            <v>-16</v>
          </cell>
        </row>
        <row r="59">
          <cell r="Z59">
            <v>0</v>
          </cell>
        </row>
        <row r="63">
          <cell r="W63">
            <v>4.125</v>
          </cell>
          <cell r="Z63">
            <v>1.375</v>
          </cell>
        </row>
        <row r="64">
          <cell r="N64">
            <v>1.4</v>
          </cell>
          <cell r="Z64">
            <v>0</v>
          </cell>
        </row>
        <row r="66">
          <cell r="N66">
            <v>2.5499999999999998</v>
          </cell>
          <cell r="O66">
            <v>0.85</v>
          </cell>
          <cell r="Z66">
            <v>6.8</v>
          </cell>
        </row>
        <row r="68">
          <cell r="Q68">
            <v>770.9</v>
          </cell>
          <cell r="T68">
            <v>0</v>
          </cell>
          <cell r="U68">
            <v>134.5</v>
          </cell>
          <cell r="V68">
            <v>301.8</v>
          </cell>
          <cell r="W68">
            <v>324.92500000000001</v>
          </cell>
          <cell r="X68">
            <v>320.94</v>
          </cell>
          <cell r="Y68">
            <v>0</v>
          </cell>
          <cell r="Z68">
            <v>99.644999999999996</v>
          </cell>
        </row>
        <row r="69">
          <cell r="Q69">
            <v>0</v>
          </cell>
        </row>
        <row r="70">
          <cell r="I70">
            <v>842.25</v>
          </cell>
          <cell r="L70">
            <v>526.41</v>
          </cell>
          <cell r="N70">
            <v>526.41</v>
          </cell>
          <cell r="O70">
            <v>526.4</v>
          </cell>
          <cell r="P70">
            <v>526.41999999999996</v>
          </cell>
          <cell r="Q70">
            <v>1245.3</v>
          </cell>
          <cell r="T70">
            <v>300</v>
          </cell>
          <cell r="U70">
            <v>333.9</v>
          </cell>
          <cell r="V70">
            <v>526.4</v>
          </cell>
          <cell r="W70">
            <v>558</v>
          </cell>
          <cell r="X70">
            <v>558</v>
          </cell>
          <cell r="Y70">
            <v>-300</v>
          </cell>
          <cell r="Z70">
            <v>223.21</v>
          </cell>
        </row>
        <row r="71">
          <cell r="N71">
            <v>8.4</v>
          </cell>
          <cell r="P71">
            <v>5.6</v>
          </cell>
          <cell r="Y71">
            <v>18.3</v>
          </cell>
          <cell r="Z71">
            <v>1.3</v>
          </cell>
        </row>
        <row r="72">
          <cell r="I72">
            <v>338.98</v>
          </cell>
          <cell r="L72">
            <v>158.97999999999999</v>
          </cell>
          <cell r="N72">
            <v>137.91999999999999</v>
          </cell>
          <cell r="O72">
            <v>159</v>
          </cell>
          <cell r="P72">
            <v>159</v>
          </cell>
          <cell r="Q72">
            <v>376.1</v>
          </cell>
          <cell r="T72">
            <v>216.21899999999999</v>
          </cell>
          <cell r="U72">
            <v>100.8</v>
          </cell>
          <cell r="V72">
            <v>159</v>
          </cell>
          <cell r="W72">
            <v>170.4</v>
          </cell>
          <cell r="X72">
            <v>170.42</v>
          </cell>
          <cell r="Y72">
            <v>-216.21899999999999</v>
          </cell>
        </row>
        <row r="73">
          <cell r="N73">
            <v>4</v>
          </cell>
          <cell r="Y73">
            <v>16</v>
          </cell>
        </row>
        <row r="74">
          <cell r="N74">
            <v>7.5</v>
          </cell>
          <cell r="Y74">
            <v>22.5</v>
          </cell>
        </row>
        <row r="75">
          <cell r="I75">
            <v>63.25</v>
          </cell>
          <cell r="L75">
            <v>63.25</v>
          </cell>
          <cell r="N75">
            <v>42.25</v>
          </cell>
          <cell r="O75">
            <v>48.33</v>
          </cell>
          <cell r="P75">
            <v>24.59</v>
          </cell>
          <cell r="T75">
            <v>48.33</v>
          </cell>
          <cell r="V75">
            <v>97</v>
          </cell>
          <cell r="Y75">
            <v>-23.068999999999999</v>
          </cell>
          <cell r="Z75">
            <v>193</v>
          </cell>
        </row>
        <row r="76">
          <cell r="Y76">
            <v>0</v>
          </cell>
        </row>
        <row r="77">
          <cell r="N77">
            <v>25</v>
          </cell>
          <cell r="Y77">
            <v>75</v>
          </cell>
        </row>
        <row r="78">
          <cell r="N78">
            <v>154.30000000000001</v>
          </cell>
          <cell r="O78">
            <v>130.31</v>
          </cell>
          <cell r="T78">
            <v>41.42</v>
          </cell>
          <cell r="U78">
            <v>-516.21900000000005</v>
          </cell>
          <cell r="X78">
            <v>207.333</v>
          </cell>
          <cell r="Y78">
            <v>396.56900000000002</v>
          </cell>
        </row>
        <row r="79">
          <cell r="N79">
            <v>0.5</v>
          </cell>
          <cell r="O79">
            <v>0.2</v>
          </cell>
          <cell r="W79">
            <v>4.3250000000000002</v>
          </cell>
          <cell r="Y79">
            <v>-6</v>
          </cell>
          <cell r="Z79">
            <v>1.675</v>
          </cell>
        </row>
        <row r="80">
          <cell r="N80">
            <v>758.8</v>
          </cell>
          <cell r="O80">
            <v>4.76</v>
          </cell>
          <cell r="V80">
            <v>39.36</v>
          </cell>
          <cell r="W80">
            <v>371.11500000000001</v>
          </cell>
          <cell r="Z80">
            <v>338.86500000000001</v>
          </cell>
        </row>
        <row r="81">
          <cell r="Y81">
            <v>16.919</v>
          </cell>
        </row>
        <row r="82">
          <cell r="N82">
            <v>15</v>
          </cell>
          <cell r="O82">
            <v>5</v>
          </cell>
        </row>
        <row r="84">
          <cell r="Q84">
            <v>1621.4</v>
          </cell>
          <cell r="T84">
            <v>605.96900000000005</v>
          </cell>
          <cell r="U84">
            <v>-81.519000000000062</v>
          </cell>
          <cell r="V84">
            <v>821.76</v>
          </cell>
          <cell r="W84">
            <v>1103.8400000000001</v>
          </cell>
          <cell r="X84">
            <v>935.75299999999993</v>
          </cell>
          <cell r="Y84">
            <v>0</v>
          </cell>
          <cell r="Z84">
            <v>758.05</v>
          </cell>
        </row>
        <row r="102">
          <cell r="I102">
            <v>2128.5500000000002</v>
          </cell>
          <cell r="L102">
            <v>1330.35</v>
          </cell>
          <cell r="N102">
            <v>1330.35</v>
          </cell>
          <cell r="O102">
            <v>1330.4</v>
          </cell>
          <cell r="P102">
            <v>1330.32</v>
          </cell>
          <cell r="Q102">
            <v>3482.8</v>
          </cell>
          <cell r="U102">
            <v>508.2</v>
          </cell>
          <cell r="V102">
            <v>1330.3</v>
          </cell>
          <cell r="W102">
            <v>1410.3</v>
          </cell>
          <cell r="X102">
            <v>1410.2</v>
          </cell>
          <cell r="Z102">
            <v>564.03</v>
          </cell>
        </row>
        <row r="103">
          <cell r="N103">
            <v>31.59</v>
          </cell>
          <cell r="P103">
            <v>21.06</v>
          </cell>
          <cell r="Q103">
            <v>0.6</v>
          </cell>
          <cell r="Y103">
            <v>44</v>
          </cell>
        </row>
        <row r="104">
          <cell r="I104">
            <v>856.77</v>
          </cell>
          <cell r="L104">
            <v>401.77</v>
          </cell>
          <cell r="N104">
            <v>348.55</v>
          </cell>
          <cell r="O104">
            <v>401.8</v>
          </cell>
          <cell r="P104">
            <v>401.75</v>
          </cell>
          <cell r="Q104">
            <v>1051.8</v>
          </cell>
          <cell r="U104">
            <v>153.5</v>
          </cell>
          <cell r="V104">
            <v>401.8</v>
          </cell>
          <cell r="W104">
            <v>430.5</v>
          </cell>
          <cell r="X104">
            <v>430.76</v>
          </cell>
        </row>
        <row r="105">
          <cell r="N105">
            <v>4.8</v>
          </cell>
          <cell r="Y105">
            <v>29.2</v>
          </cell>
        </row>
        <row r="106">
          <cell r="N106">
            <v>37.5</v>
          </cell>
          <cell r="Q106">
            <v>11</v>
          </cell>
        </row>
        <row r="107">
          <cell r="I107">
            <v>39</v>
          </cell>
          <cell r="L107">
            <v>19</v>
          </cell>
          <cell r="N107">
            <v>59</v>
          </cell>
          <cell r="O107">
            <v>59</v>
          </cell>
          <cell r="T107">
            <v>37.68</v>
          </cell>
          <cell r="V107">
            <v>76</v>
          </cell>
          <cell r="Y107">
            <v>-79.995999999999995</v>
          </cell>
          <cell r="Z107">
            <v>178.32</v>
          </cell>
        </row>
        <row r="109">
          <cell r="N109">
            <v>367.5</v>
          </cell>
          <cell r="W109">
            <v>1102.5</v>
          </cell>
        </row>
        <row r="110">
          <cell r="N110">
            <v>88.7</v>
          </cell>
          <cell r="O110">
            <v>123.21</v>
          </cell>
          <cell r="Q110">
            <v>11.2</v>
          </cell>
          <cell r="T110">
            <v>11</v>
          </cell>
          <cell r="Y110">
            <v>-9.5</v>
          </cell>
        </row>
        <row r="111">
          <cell r="N111">
            <v>463</v>
          </cell>
          <cell r="O111">
            <v>154.30000000000001</v>
          </cell>
          <cell r="P111">
            <v>154.47999999999999</v>
          </cell>
          <cell r="V111">
            <v>462.9</v>
          </cell>
          <cell r="W111">
            <v>154.19999999999999</v>
          </cell>
          <cell r="X111">
            <v>308.63499999999999</v>
          </cell>
          <cell r="Z111">
            <v>183.995</v>
          </cell>
        </row>
        <row r="112">
          <cell r="N112">
            <v>330</v>
          </cell>
          <cell r="O112">
            <v>16.7</v>
          </cell>
          <cell r="W112">
            <v>126.32299999999999</v>
          </cell>
          <cell r="Z112">
            <v>157.67699999999999</v>
          </cell>
        </row>
        <row r="114">
          <cell r="N114">
            <v>24.970000000000002</v>
          </cell>
          <cell r="O114">
            <v>8.3000000000000007</v>
          </cell>
          <cell r="Y114">
            <v>16.295999999999999</v>
          </cell>
        </row>
        <row r="116">
          <cell r="Q116">
            <v>4534.6000000000004</v>
          </cell>
          <cell r="T116">
            <v>48.68</v>
          </cell>
          <cell r="U116">
            <v>661.7</v>
          </cell>
          <cell r="V116">
            <v>2271</v>
          </cell>
          <cell r="W116">
            <v>3223.8229999999999</v>
          </cell>
          <cell r="X116">
            <v>2149.5950000000003</v>
          </cell>
          <cell r="Y116">
            <v>0</v>
          </cell>
          <cell r="Z116">
            <v>1084.0219999999999</v>
          </cell>
        </row>
        <row r="117">
          <cell r="Q117">
            <v>22.8</v>
          </cell>
        </row>
        <row r="118">
          <cell r="Q118">
            <v>0</v>
          </cell>
        </row>
        <row r="119">
          <cell r="I119">
            <v>1181.8699999999999</v>
          </cell>
          <cell r="L119">
            <v>738.67</v>
          </cell>
          <cell r="N119">
            <v>738.67</v>
          </cell>
          <cell r="O119">
            <v>738.7</v>
          </cell>
          <cell r="P119">
            <v>738.64</v>
          </cell>
          <cell r="Q119">
            <v>1831.1</v>
          </cell>
          <cell r="U119">
            <v>384.9</v>
          </cell>
          <cell r="V119">
            <v>738.7</v>
          </cell>
          <cell r="W119">
            <v>783</v>
          </cell>
          <cell r="X119">
            <v>783</v>
          </cell>
          <cell r="Z119">
            <v>313.14999999999998</v>
          </cell>
        </row>
        <row r="120">
          <cell r="N120">
            <v>11.4</v>
          </cell>
          <cell r="P120">
            <v>7.6</v>
          </cell>
          <cell r="Y120">
            <v>26.6</v>
          </cell>
        </row>
        <row r="121">
          <cell r="I121">
            <v>475.67</v>
          </cell>
          <cell r="L121">
            <v>223.07</v>
          </cell>
          <cell r="N121">
            <v>193.5</v>
          </cell>
          <cell r="O121">
            <v>223</v>
          </cell>
          <cell r="P121">
            <v>223.1</v>
          </cell>
          <cell r="Q121">
            <v>553</v>
          </cell>
          <cell r="U121">
            <v>116.2</v>
          </cell>
          <cell r="V121">
            <v>223.1</v>
          </cell>
          <cell r="W121">
            <v>239.2</v>
          </cell>
          <cell r="X121">
            <v>239.16</v>
          </cell>
        </row>
        <row r="122">
          <cell r="N122">
            <v>4.5</v>
          </cell>
          <cell r="Y122">
            <v>13.5</v>
          </cell>
        </row>
        <row r="123">
          <cell r="N123">
            <v>5</v>
          </cell>
          <cell r="Y123">
            <v>15</v>
          </cell>
          <cell r="Z123">
            <v>9.7100000000000009</v>
          </cell>
        </row>
        <row r="124">
          <cell r="I124">
            <v>34.5</v>
          </cell>
          <cell r="L124">
            <v>32.17</v>
          </cell>
          <cell r="N124">
            <v>36.799999999999997</v>
          </cell>
          <cell r="O124">
            <v>36.799999999999997</v>
          </cell>
          <cell r="P124">
            <v>43.16</v>
          </cell>
          <cell r="T124">
            <v>35.299999999999997</v>
          </cell>
          <cell r="V124">
            <v>68</v>
          </cell>
          <cell r="Z124">
            <v>127.27</v>
          </cell>
        </row>
        <row r="126">
          <cell r="N126">
            <v>225</v>
          </cell>
          <cell r="W126">
            <v>675</v>
          </cell>
        </row>
        <row r="127">
          <cell r="N127">
            <v>41.16</v>
          </cell>
          <cell r="O127">
            <v>109.84</v>
          </cell>
          <cell r="T127">
            <v>5.2</v>
          </cell>
          <cell r="Y127">
            <v>8.44</v>
          </cell>
          <cell r="Z127">
            <v>4</v>
          </cell>
        </row>
        <row r="128">
          <cell r="N128">
            <v>493.4</v>
          </cell>
          <cell r="O128">
            <v>164.5</v>
          </cell>
          <cell r="P128">
            <v>164.5</v>
          </cell>
          <cell r="V128">
            <v>493.3</v>
          </cell>
          <cell r="W128">
            <v>164.5</v>
          </cell>
          <cell r="X128">
            <v>329</v>
          </cell>
          <cell r="Y128">
            <v>-257.05</v>
          </cell>
          <cell r="Z128">
            <v>186.9</v>
          </cell>
        </row>
        <row r="129">
          <cell r="N129">
            <v>6.8000000000000007</v>
          </cell>
          <cell r="Z129">
            <v>0</v>
          </cell>
        </row>
        <row r="130">
          <cell r="Y130">
            <v>150</v>
          </cell>
        </row>
        <row r="131">
          <cell r="N131">
            <v>16.34</v>
          </cell>
          <cell r="O131">
            <v>5.51</v>
          </cell>
          <cell r="Y131">
            <v>43.51</v>
          </cell>
        </row>
        <row r="133">
          <cell r="Q133">
            <v>2384.1</v>
          </cell>
          <cell r="T133">
            <v>40.5</v>
          </cell>
          <cell r="U133">
            <v>501.09999999999997</v>
          </cell>
          <cell r="V133">
            <v>1523.1000000000001</v>
          </cell>
          <cell r="W133">
            <v>1861.7</v>
          </cell>
          <cell r="X133">
            <v>1351.1599999999999</v>
          </cell>
          <cell r="Y133">
            <v>0</v>
          </cell>
          <cell r="Z133">
            <v>627.31999999999994</v>
          </cell>
        </row>
        <row r="134">
          <cell r="Z134">
            <v>13.71</v>
          </cell>
        </row>
        <row r="135">
          <cell r="Q135">
            <v>0</v>
          </cell>
        </row>
        <row r="136">
          <cell r="I136">
            <v>1593.97</v>
          </cell>
          <cell r="L136">
            <v>996.22</v>
          </cell>
          <cell r="N136">
            <v>996.22</v>
          </cell>
          <cell r="O136">
            <v>996.2</v>
          </cell>
          <cell r="P136">
            <v>996.22</v>
          </cell>
          <cell r="Q136">
            <v>2556.3000000000002</v>
          </cell>
          <cell r="U136">
            <v>432.3</v>
          </cell>
          <cell r="V136">
            <v>996.2</v>
          </cell>
          <cell r="W136">
            <v>1056</v>
          </cell>
          <cell r="X136">
            <v>1056</v>
          </cell>
          <cell r="Z136">
            <v>460.6700000000028</v>
          </cell>
        </row>
        <row r="137">
          <cell r="N137">
            <v>16.5</v>
          </cell>
          <cell r="P137">
            <v>11</v>
          </cell>
        </row>
        <row r="138">
          <cell r="I138">
            <v>641.61</v>
          </cell>
          <cell r="L138">
            <v>300.86</v>
          </cell>
          <cell r="N138">
            <v>261</v>
          </cell>
          <cell r="O138">
            <v>300.89999999999998</v>
          </cell>
          <cell r="P138">
            <v>300.86</v>
          </cell>
          <cell r="Q138">
            <v>772</v>
          </cell>
          <cell r="U138">
            <v>130.6</v>
          </cell>
          <cell r="V138">
            <v>300.89999999999998</v>
          </cell>
          <cell r="W138">
            <v>322.39999999999998</v>
          </cell>
          <cell r="X138">
            <v>322.47000000000003</v>
          </cell>
        </row>
        <row r="139">
          <cell r="N139">
            <v>3.8</v>
          </cell>
          <cell r="Z139">
            <v>11.2</v>
          </cell>
        </row>
        <row r="141">
          <cell r="I141">
            <v>27.67</v>
          </cell>
          <cell r="L141">
            <v>50</v>
          </cell>
          <cell r="N141">
            <v>5.36</v>
          </cell>
          <cell r="O141">
            <v>5.37</v>
          </cell>
          <cell r="P141">
            <v>55.9</v>
          </cell>
          <cell r="T141">
            <v>30</v>
          </cell>
          <cell r="V141">
            <v>57</v>
          </cell>
          <cell r="Z141">
            <v>55.69999999999996</v>
          </cell>
        </row>
        <row r="142">
          <cell r="I142">
            <v>1.67</v>
          </cell>
          <cell r="L142">
            <v>1.67</v>
          </cell>
          <cell r="N142">
            <v>1.66</v>
          </cell>
          <cell r="O142">
            <v>1.67</v>
          </cell>
          <cell r="P142">
            <v>-6.67</v>
          </cell>
          <cell r="Q142">
            <v>6.58</v>
          </cell>
          <cell r="Z142">
            <v>-6.58</v>
          </cell>
        </row>
        <row r="143">
          <cell r="W143">
            <v>15</v>
          </cell>
          <cell r="Z143">
            <v>43.462000000000003</v>
          </cell>
        </row>
        <row r="144">
          <cell r="N144">
            <v>171.75</v>
          </cell>
          <cell r="O144">
            <v>125.64</v>
          </cell>
          <cell r="T144">
            <v>21</v>
          </cell>
          <cell r="X144">
            <v>207</v>
          </cell>
          <cell r="Z144">
            <v>-78.414000000000001</v>
          </cell>
        </row>
        <row r="145">
          <cell r="N145">
            <v>225.25</v>
          </cell>
          <cell r="O145">
            <v>75.099999999999994</v>
          </cell>
          <cell r="P145">
            <v>75.3</v>
          </cell>
          <cell r="V145">
            <v>225.45</v>
          </cell>
          <cell r="W145">
            <v>75.3</v>
          </cell>
          <cell r="X145">
            <v>150.19999999999999</v>
          </cell>
          <cell r="Z145">
            <v>71.115000000000009</v>
          </cell>
        </row>
        <row r="146">
          <cell r="N146">
            <v>118.9</v>
          </cell>
          <cell r="W146">
            <v>36.677</v>
          </cell>
          <cell r="Z146">
            <v>16.523000000000017</v>
          </cell>
        </row>
        <row r="148">
          <cell r="N148">
            <v>17.5</v>
          </cell>
          <cell r="O148">
            <v>5.8</v>
          </cell>
          <cell r="Z148">
            <v>61.016999999999996</v>
          </cell>
        </row>
        <row r="150">
          <cell r="Q150">
            <v>3334.88</v>
          </cell>
          <cell r="T150">
            <v>51</v>
          </cell>
          <cell r="U150">
            <v>562.9</v>
          </cell>
          <cell r="V150">
            <v>1579.55</v>
          </cell>
          <cell r="W150">
            <v>1505.377</v>
          </cell>
          <cell r="X150">
            <v>1735.67</v>
          </cell>
          <cell r="Y150">
            <v>0</v>
          </cell>
          <cell r="Z150">
            <v>634.69300000000271</v>
          </cell>
        </row>
        <row r="151">
          <cell r="Q151">
            <v>0</v>
          </cell>
        </row>
        <row r="152">
          <cell r="I152">
            <v>956.39</v>
          </cell>
          <cell r="L152">
            <v>597.74</v>
          </cell>
          <cell r="N152">
            <v>597.74</v>
          </cell>
          <cell r="O152">
            <v>597.70000000000005</v>
          </cell>
          <cell r="P152">
            <v>597.75</v>
          </cell>
          <cell r="Q152">
            <v>1557.1</v>
          </cell>
          <cell r="U152">
            <v>236.3</v>
          </cell>
          <cell r="V152">
            <v>597.79999999999995</v>
          </cell>
          <cell r="W152">
            <v>633.5</v>
          </cell>
          <cell r="X152">
            <v>633.39</v>
          </cell>
          <cell r="Z152">
            <v>253.4899999999999</v>
          </cell>
        </row>
        <row r="153">
          <cell r="N153">
            <v>18.600000000000001</v>
          </cell>
          <cell r="P153">
            <v>12.4</v>
          </cell>
        </row>
        <row r="154">
          <cell r="I154">
            <v>384.92</v>
          </cell>
          <cell r="L154">
            <v>180.52</v>
          </cell>
          <cell r="N154">
            <v>156.6</v>
          </cell>
          <cell r="O154">
            <v>180.5</v>
          </cell>
          <cell r="P154">
            <v>180.5</v>
          </cell>
          <cell r="Q154">
            <v>470.24</v>
          </cell>
          <cell r="U154">
            <v>71.3</v>
          </cell>
          <cell r="V154">
            <v>180.5</v>
          </cell>
          <cell r="W154">
            <v>193.6</v>
          </cell>
          <cell r="X154">
            <v>193.52</v>
          </cell>
        </row>
        <row r="155">
          <cell r="N155">
            <v>3.65</v>
          </cell>
        </row>
        <row r="156">
          <cell r="N156">
            <v>5</v>
          </cell>
        </row>
        <row r="157">
          <cell r="I157">
            <v>6.5</v>
          </cell>
          <cell r="L157">
            <v>6.5</v>
          </cell>
          <cell r="N157">
            <v>6.5</v>
          </cell>
          <cell r="O157">
            <v>6.5</v>
          </cell>
          <cell r="P157">
            <v>8.6</v>
          </cell>
          <cell r="T157">
            <v>6.6</v>
          </cell>
          <cell r="V157">
            <v>13</v>
          </cell>
          <cell r="Z157">
            <v>23.799999999999997</v>
          </cell>
        </row>
        <row r="158">
          <cell r="I158">
            <v>0.25</v>
          </cell>
          <cell r="L158">
            <v>0.25</v>
          </cell>
          <cell r="N158">
            <v>0.25</v>
          </cell>
          <cell r="O158">
            <v>0.25</v>
          </cell>
          <cell r="P158">
            <v>2</v>
          </cell>
        </row>
        <row r="159">
          <cell r="N159">
            <v>2.5</v>
          </cell>
          <cell r="W159">
            <v>7.5</v>
          </cell>
        </row>
        <row r="160">
          <cell r="N160">
            <v>33.71</v>
          </cell>
          <cell r="O160">
            <v>101.29</v>
          </cell>
          <cell r="T160">
            <v>4.22</v>
          </cell>
        </row>
        <row r="161">
          <cell r="N161">
            <v>142.30000000000001</v>
          </cell>
          <cell r="O161">
            <v>47.4</v>
          </cell>
          <cell r="P161">
            <v>47.5</v>
          </cell>
          <cell r="V161">
            <v>142.30000000000001</v>
          </cell>
          <cell r="W161">
            <v>47.5</v>
          </cell>
          <cell r="X161">
            <v>94.8</v>
          </cell>
          <cell r="Z161">
            <v>66.09999999999998</v>
          </cell>
        </row>
        <row r="162">
          <cell r="N162">
            <v>1.1000000000000014</v>
          </cell>
          <cell r="Z162">
            <v>-1.3322676295501878E-15</v>
          </cell>
        </row>
        <row r="164">
          <cell r="N164">
            <v>9</v>
          </cell>
          <cell r="O164">
            <v>3</v>
          </cell>
        </row>
        <row r="166">
          <cell r="Q166">
            <v>2027.34</v>
          </cell>
          <cell r="T166">
            <v>10.82</v>
          </cell>
          <cell r="U166">
            <v>307.60000000000002</v>
          </cell>
          <cell r="V166">
            <v>933.59999999999991</v>
          </cell>
          <cell r="W166">
            <v>882.1</v>
          </cell>
          <cell r="X166">
            <v>921.70999999999992</v>
          </cell>
          <cell r="Y166">
            <v>0</v>
          </cell>
          <cell r="Z166">
            <v>343.38999999999987</v>
          </cell>
        </row>
        <row r="185">
          <cell r="I185">
            <v>313.52999999999997</v>
          </cell>
          <cell r="L185">
            <v>195.93</v>
          </cell>
          <cell r="N185">
            <v>195.93</v>
          </cell>
          <cell r="O185">
            <v>195.9</v>
          </cell>
          <cell r="P185">
            <v>195.93</v>
          </cell>
          <cell r="Q185">
            <v>195.9</v>
          </cell>
          <cell r="T185">
            <v>195.9</v>
          </cell>
          <cell r="U185">
            <v>195.9</v>
          </cell>
          <cell r="V185">
            <v>195.9</v>
          </cell>
          <cell r="W185">
            <v>207.7</v>
          </cell>
          <cell r="X185">
            <v>207.79</v>
          </cell>
          <cell r="Z185">
            <v>0.29200000000017212</v>
          </cell>
        </row>
        <row r="186">
          <cell r="N186">
            <v>1.25</v>
          </cell>
          <cell r="P186">
            <v>0.83</v>
          </cell>
        </row>
        <row r="187">
          <cell r="I187">
            <v>126.47</v>
          </cell>
          <cell r="L187">
            <v>59.17</v>
          </cell>
          <cell r="N187">
            <v>51.02</v>
          </cell>
          <cell r="O187">
            <v>59.2</v>
          </cell>
          <cell r="P187">
            <v>59.13</v>
          </cell>
          <cell r="Q187">
            <v>59.2</v>
          </cell>
          <cell r="T187">
            <v>59.2</v>
          </cell>
          <cell r="U187">
            <v>59.2</v>
          </cell>
          <cell r="V187">
            <v>59.2</v>
          </cell>
          <cell r="W187">
            <v>63.4</v>
          </cell>
          <cell r="X187">
            <v>63.31</v>
          </cell>
          <cell r="Z187">
            <v>-60.875</v>
          </cell>
        </row>
        <row r="188">
          <cell r="N188">
            <v>10</v>
          </cell>
          <cell r="Z188">
            <v>30</v>
          </cell>
        </row>
        <row r="189">
          <cell r="N189">
            <v>11.25</v>
          </cell>
          <cell r="Z189">
            <v>0</v>
          </cell>
        </row>
        <row r="190">
          <cell r="Z190">
            <v>0</v>
          </cell>
        </row>
        <row r="191">
          <cell r="Z191">
            <v>0</v>
          </cell>
        </row>
        <row r="192">
          <cell r="N192">
            <v>0.78</v>
          </cell>
          <cell r="Z192">
            <v>2.3200000000000003</v>
          </cell>
        </row>
        <row r="193">
          <cell r="N193">
            <v>18</v>
          </cell>
          <cell r="Z193">
            <v>257.68299999999999</v>
          </cell>
        </row>
        <row r="194">
          <cell r="N194">
            <v>0.9</v>
          </cell>
          <cell r="O194">
            <v>0.3</v>
          </cell>
          <cell r="W194">
            <v>1.5</v>
          </cell>
          <cell r="X194">
            <v>0.6</v>
          </cell>
          <cell r="Z194">
            <v>0.30000000000000038</v>
          </cell>
        </row>
        <row r="195">
          <cell r="N195">
            <v>4.3600000000000003</v>
          </cell>
          <cell r="V195">
            <v>0.9</v>
          </cell>
          <cell r="W195">
            <v>2.2000000000000002</v>
          </cell>
          <cell r="Z195">
            <v>-3.1</v>
          </cell>
        </row>
        <row r="196">
          <cell r="Z196">
            <v>0</v>
          </cell>
        </row>
        <row r="197">
          <cell r="N197">
            <v>15.25</v>
          </cell>
          <cell r="O197">
            <v>5.08</v>
          </cell>
          <cell r="Z197">
            <v>40.67</v>
          </cell>
        </row>
        <row r="200">
          <cell r="L200">
            <v>504</v>
          </cell>
          <cell r="X200">
            <v>252</v>
          </cell>
        </row>
        <row r="201">
          <cell r="N201">
            <v>300</v>
          </cell>
          <cell r="Z201">
            <v>1900</v>
          </cell>
        </row>
        <row r="220">
          <cell r="I220">
            <v>2217.91</v>
          </cell>
          <cell r="L220">
            <v>1386.21</v>
          </cell>
          <cell r="N220">
            <v>1386.21</v>
          </cell>
          <cell r="O220">
            <v>1386.2</v>
          </cell>
          <cell r="P220">
            <v>1386.23</v>
          </cell>
          <cell r="Q220">
            <v>1386.3</v>
          </cell>
          <cell r="T220">
            <v>2772.3</v>
          </cell>
          <cell r="V220">
            <v>1386.3</v>
          </cell>
          <cell r="W220">
            <v>1469.3</v>
          </cell>
          <cell r="X220">
            <v>1470.34</v>
          </cell>
          <cell r="Y220">
            <v>0.06</v>
          </cell>
          <cell r="Z220">
            <v>898.43999999999994</v>
          </cell>
        </row>
        <row r="221">
          <cell r="L221">
            <v>30</v>
          </cell>
          <cell r="N221">
            <v>15</v>
          </cell>
          <cell r="P221">
            <v>30</v>
          </cell>
          <cell r="V221">
            <v>46.77</v>
          </cell>
          <cell r="W221">
            <v>58.23</v>
          </cell>
        </row>
        <row r="222">
          <cell r="I222">
            <v>893.33</v>
          </cell>
          <cell r="L222">
            <v>418.63</v>
          </cell>
          <cell r="N222">
            <v>362.58</v>
          </cell>
          <cell r="O222">
            <v>418.6</v>
          </cell>
          <cell r="P222">
            <v>418.67</v>
          </cell>
          <cell r="Q222">
            <v>418.54</v>
          </cell>
          <cell r="T222">
            <v>837.54</v>
          </cell>
          <cell r="V222">
            <v>418.7</v>
          </cell>
          <cell r="W222">
            <v>448.7</v>
          </cell>
          <cell r="X222">
            <v>448.61</v>
          </cell>
          <cell r="Z222">
            <v>-200</v>
          </cell>
        </row>
        <row r="223">
          <cell r="L223">
            <v>26.16</v>
          </cell>
          <cell r="N223">
            <v>13.09</v>
          </cell>
          <cell r="V223">
            <v>117.75</v>
          </cell>
        </row>
        <row r="224">
          <cell r="L224">
            <v>15</v>
          </cell>
          <cell r="N224">
            <v>7.5</v>
          </cell>
          <cell r="W224">
            <v>67.5</v>
          </cell>
          <cell r="Y224">
            <v>800</v>
          </cell>
        </row>
        <row r="225">
          <cell r="I225">
            <v>14.92</v>
          </cell>
          <cell r="L225">
            <v>14.92</v>
          </cell>
          <cell r="N225">
            <v>14.91</v>
          </cell>
          <cell r="O225">
            <v>14.92</v>
          </cell>
          <cell r="P225">
            <v>14.91</v>
          </cell>
          <cell r="T225">
            <v>14.91</v>
          </cell>
          <cell r="V225">
            <v>30.3</v>
          </cell>
          <cell r="X225">
            <v>59.21</v>
          </cell>
          <cell r="Z225">
            <v>-58</v>
          </cell>
        </row>
        <row r="227">
          <cell r="L227">
            <v>48.16</v>
          </cell>
          <cell r="N227">
            <v>24.09</v>
          </cell>
          <cell r="V227">
            <v>216.75</v>
          </cell>
        </row>
        <row r="228">
          <cell r="L228">
            <v>1598.26</v>
          </cell>
          <cell r="N228">
            <v>799.14</v>
          </cell>
          <cell r="O228">
            <v>894.64</v>
          </cell>
          <cell r="P228">
            <v>3797.5</v>
          </cell>
          <cell r="Q228">
            <v>4000</v>
          </cell>
          <cell r="T228">
            <v>1258.73</v>
          </cell>
          <cell r="V228">
            <v>0.06</v>
          </cell>
          <cell r="Y228">
            <v>-800.06</v>
          </cell>
        </row>
        <row r="229">
          <cell r="L229">
            <v>3.24</v>
          </cell>
          <cell r="N229">
            <v>6.4600000000000009</v>
          </cell>
          <cell r="W229">
            <v>4.8499999999999996</v>
          </cell>
          <cell r="X229">
            <v>4.8499999999999996</v>
          </cell>
        </row>
        <row r="230">
          <cell r="N230">
            <v>54.46</v>
          </cell>
          <cell r="W230">
            <v>26.65</v>
          </cell>
          <cell r="X230">
            <v>26.99</v>
          </cell>
          <cell r="Z230">
            <v>-53.64</v>
          </cell>
        </row>
        <row r="231">
          <cell r="L231">
            <v>120</v>
          </cell>
          <cell r="P231">
            <v>600</v>
          </cell>
        </row>
        <row r="232">
          <cell r="L232">
            <v>121.66</v>
          </cell>
          <cell r="N232">
            <v>60.84</v>
          </cell>
          <cell r="O232">
            <v>60.83</v>
          </cell>
          <cell r="V232">
            <v>486.67</v>
          </cell>
        </row>
        <row r="234">
          <cell r="Q234">
            <v>5804.84</v>
          </cell>
          <cell r="T234">
            <v>4883.4799999999996</v>
          </cell>
          <cell r="U234">
            <v>0</v>
          </cell>
          <cell r="V234">
            <v>2703.2999999999997</v>
          </cell>
          <cell r="W234">
            <v>2075.23</v>
          </cell>
          <cell r="X234">
            <v>2009.9999999999998</v>
          </cell>
          <cell r="Y234">
            <v>0</v>
          </cell>
          <cell r="Z234">
            <v>586.79999999999995</v>
          </cell>
        </row>
        <row r="235">
          <cell r="Q235">
            <v>0</v>
          </cell>
        </row>
        <row r="236">
          <cell r="I236">
            <v>1129.08</v>
          </cell>
          <cell r="L236">
            <v>705.68</v>
          </cell>
          <cell r="N236">
            <v>705.68</v>
          </cell>
          <cell r="O236">
            <v>705.7</v>
          </cell>
          <cell r="P236">
            <v>705.68</v>
          </cell>
          <cell r="Q236">
            <v>705.7</v>
          </cell>
          <cell r="T236">
            <v>705.7</v>
          </cell>
          <cell r="U236">
            <v>705.7</v>
          </cell>
          <cell r="V236">
            <v>705.7</v>
          </cell>
          <cell r="W236">
            <v>748</v>
          </cell>
          <cell r="X236">
            <v>747.99</v>
          </cell>
          <cell r="Z236">
            <v>299.18999999999915</v>
          </cell>
        </row>
        <row r="237">
          <cell r="Z237">
            <v>0</v>
          </cell>
        </row>
        <row r="238">
          <cell r="I238">
            <v>454.46</v>
          </cell>
          <cell r="L238">
            <v>213.12</v>
          </cell>
          <cell r="N238">
            <v>184.89</v>
          </cell>
          <cell r="O238">
            <v>213.1</v>
          </cell>
          <cell r="P238">
            <v>213.14</v>
          </cell>
          <cell r="Q238">
            <v>213.09</v>
          </cell>
          <cell r="T238">
            <v>213.09</v>
          </cell>
          <cell r="U238">
            <v>213.1</v>
          </cell>
          <cell r="V238">
            <v>213.1</v>
          </cell>
          <cell r="W238">
            <v>228.5</v>
          </cell>
          <cell r="X238">
            <v>228.51</v>
          </cell>
          <cell r="Z238">
            <v>3.4106051316484809E-13</v>
          </cell>
        </row>
        <row r="239">
          <cell r="N239">
            <v>4</v>
          </cell>
          <cell r="Z239">
            <v>12</v>
          </cell>
        </row>
        <row r="240">
          <cell r="Z240">
            <v>0</v>
          </cell>
        </row>
        <row r="241">
          <cell r="I241">
            <v>19.75</v>
          </cell>
          <cell r="L241">
            <v>19.75</v>
          </cell>
          <cell r="N241">
            <v>19.75</v>
          </cell>
          <cell r="O241">
            <v>19.75</v>
          </cell>
          <cell r="P241">
            <v>19.75</v>
          </cell>
          <cell r="T241">
            <v>19.75</v>
          </cell>
          <cell r="V241">
            <v>49.7</v>
          </cell>
          <cell r="Z241">
            <v>68.8</v>
          </cell>
        </row>
        <row r="242">
          <cell r="Z242">
            <v>0</v>
          </cell>
        </row>
        <row r="243">
          <cell r="N243">
            <v>5576.23</v>
          </cell>
          <cell r="P243">
            <v>-5576.23</v>
          </cell>
          <cell r="Q243">
            <v>5576.23</v>
          </cell>
          <cell r="T243">
            <v>16728.669999999998</v>
          </cell>
          <cell r="Z243">
            <v>3.637978807091713E-12</v>
          </cell>
        </row>
        <row r="244">
          <cell r="N244">
            <v>101.25</v>
          </cell>
          <cell r="O244">
            <v>104.64</v>
          </cell>
          <cell r="Z244">
            <v>299.11</v>
          </cell>
        </row>
        <row r="245">
          <cell r="N245">
            <v>7.4</v>
          </cell>
          <cell r="W245">
            <v>4.1000000000000005</v>
          </cell>
          <cell r="Z245">
            <v>3.3</v>
          </cell>
        </row>
        <row r="246">
          <cell r="N246">
            <v>199.3</v>
          </cell>
          <cell r="W246">
            <v>99.3</v>
          </cell>
          <cell r="Z246">
            <v>1.4210854715202004E-14</v>
          </cell>
        </row>
        <row r="247">
          <cell r="Z247">
            <v>0</v>
          </cell>
        </row>
        <row r="248">
          <cell r="Z248">
            <v>0</v>
          </cell>
        </row>
        <row r="251">
          <cell r="Q251">
            <v>5576.23</v>
          </cell>
          <cell r="T251">
            <v>16728.669999999998</v>
          </cell>
        </row>
        <row r="270">
          <cell r="I270">
            <v>4207.5</v>
          </cell>
          <cell r="L270">
            <v>2629.7</v>
          </cell>
          <cell r="N270">
            <v>2629.7</v>
          </cell>
          <cell r="O270">
            <v>2629.7</v>
          </cell>
          <cell r="P270">
            <v>2629.7</v>
          </cell>
          <cell r="Q270">
            <v>2629.7</v>
          </cell>
          <cell r="T270">
            <v>2629.7</v>
          </cell>
          <cell r="U270">
            <v>2629.7</v>
          </cell>
          <cell r="V270">
            <v>2629.7</v>
          </cell>
          <cell r="W270">
            <v>2788</v>
          </cell>
          <cell r="Z270">
            <v>3902</v>
          </cell>
        </row>
        <row r="271">
          <cell r="N271">
            <v>1.25</v>
          </cell>
          <cell r="P271">
            <v>0.83</v>
          </cell>
          <cell r="Z271">
            <v>2.92</v>
          </cell>
        </row>
        <row r="272">
          <cell r="I272">
            <v>1693.6</v>
          </cell>
          <cell r="L272">
            <v>794.2</v>
          </cell>
          <cell r="N272">
            <v>794.2</v>
          </cell>
          <cell r="O272">
            <v>794.1</v>
          </cell>
          <cell r="P272">
            <v>794.4</v>
          </cell>
          <cell r="Q272">
            <v>794.2</v>
          </cell>
          <cell r="T272">
            <v>794.2</v>
          </cell>
          <cell r="U272">
            <v>794.2</v>
          </cell>
          <cell r="V272">
            <v>794.2</v>
          </cell>
          <cell r="W272">
            <v>814</v>
          </cell>
          <cell r="Z272">
            <v>783.2</v>
          </cell>
        </row>
        <row r="273">
          <cell r="N273">
            <v>12.5</v>
          </cell>
          <cell r="Z273">
            <v>37.5</v>
          </cell>
        </row>
        <row r="274">
          <cell r="N274">
            <v>2.5</v>
          </cell>
          <cell r="Z274">
            <v>7.5</v>
          </cell>
        </row>
        <row r="275">
          <cell r="I275">
            <v>98</v>
          </cell>
          <cell r="L275">
            <v>110.17</v>
          </cell>
          <cell r="N275">
            <v>44.17</v>
          </cell>
          <cell r="O275">
            <v>15</v>
          </cell>
          <cell r="P275">
            <v>140.29</v>
          </cell>
          <cell r="T275">
            <v>101.29</v>
          </cell>
          <cell r="V275">
            <v>150</v>
          </cell>
          <cell r="Z275">
            <v>476.08000000000004</v>
          </cell>
        </row>
        <row r="276">
          <cell r="Z276">
            <v>0</v>
          </cell>
        </row>
        <row r="277">
          <cell r="N277">
            <v>378.7</v>
          </cell>
          <cell r="Z277">
            <v>1136.3</v>
          </cell>
        </row>
        <row r="278">
          <cell r="N278">
            <v>296.75</v>
          </cell>
          <cell r="O278">
            <v>122.24000000000001</v>
          </cell>
          <cell r="T278">
            <v>367.6</v>
          </cell>
          <cell r="W278">
            <v>41</v>
          </cell>
          <cell r="Z278">
            <v>1059.4099999999999</v>
          </cell>
        </row>
        <row r="279">
          <cell r="N279">
            <v>33.6</v>
          </cell>
          <cell r="T279">
            <v>50</v>
          </cell>
          <cell r="W279">
            <v>4.3</v>
          </cell>
          <cell r="Z279">
            <v>29.3</v>
          </cell>
        </row>
        <row r="280">
          <cell r="N280">
            <v>529.4</v>
          </cell>
          <cell r="W280">
            <v>210.51</v>
          </cell>
          <cell r="Z280">
            <v>-75.009999999999991</v>
          </cell>
        </row>
        <row r="281">
          <cell r="Z281">
            <v>250</v>
          </cell>
        </row>
        <row r="282">
          <cell r="N282">
            <v>57.47</v>
          </cell>
          <cell r="O282">
            <v>19.170000000000002</v>
          </cell>
          <cell r="Z282">
            <v>153.36000000000001</v>
          </cell>
        </row>
        <row r="285">
          <cell r="T285">
            <v>400</v>
          </cell>
          <cell r="Z285">
            <v>350</v>
          </cell>
        </row>
        <row r="286">
          <cell r="Q286">
            <v>0</v>
          </cell>
        </row>
        <row r="287">
          <cell r="I287">
            <v>931.9</v>
          </cell>
          <cell r="L287">
            <v>582.45000000000005</v>
          </cell>
          <cell r="N287">
            <v>582.5</v>
          </cell>
          <cell r="O287">
            <v>582.5</v>
          </cell>
          <cell r="P287">
            <v>582.20000000000005</v>
          </cell>
          <cell r="Q287">
            <v>582.4</v>
          </cell>
          <cell r="T287">
            <v>582.4</v>
          </cell>
          <cell r="U287">
            <v>582.4</v>
          </cell>
          <cell r="V287">
            <v>582.4</v>
          </cell>
          <cell r="W287">
            <v>618</v>
          </cell>
          <cell r="Z287">
            <v>863.75</v>
          </cell>
        </row>
        <row r="288">
          <cell r="Q288">
            <v>4.0999999999999996</v>
          </cell>
          <cell r="Z288">
            <v>1.8</v>
          </cell>
        </row>
        <row r="289">
          <cell r="I289">
            <v>375.2</v>
          </cell>
          <cell r="L289">
            <v>176</v>
          </cell>
          <cell r="N289">
            <v>176</v>
          </cell>
          <cell r="O289">
            <v>175.8</v>
          </cell>
          <cell r="P289">
            <v>176</v>
          </cell>
          <cell r="Q289">
            <v>175.8</v>
          </cell>
          <cell r="T289">
            <v>175.9</v>
          </cell>
          <cell r="U289">
            <v>175.9</v>
          </cell>
          <cell r="V289">
            <v>175.9</v>
          </cell>
          <cell r="W289">
            <v>177</v>
          </cell>
          <cell r="Z289">
            <v>176.5</v>
          </cell>
        </row>
        <row r="290">
          <cell r="N290">
            <v>4</v>
          </cell>
          <cell r="Z290">
            <v>12</v>
          </cell>
        </row>
        <row r="291">
          <cell r="N291">
            <v>10</v>
          </cell>
          <cell r="Q291">
            <v>136.25</v>
          </cell>
          <cell r="Z291">
            <v>38.54</v>
          </cell>
        </row>
        <row r="292">
          <cell r="I292">
            <v>28</v>
          </cell>
          <cell r="L292">
            <v>78</v>
          </cell>
          <cell r="O292">
            <v>102</v>
          </cell>
          <cell r="T292">
            <v>31.5</v>
          </cell>
          <cell r="V292">
            <v>50</v>
          </cell>
          <cell r="Z292">
            <v>116.5</v>
          </cell>
        </row>
        <row r="293">
          <cell r="Z293">
            <v>0</v>
          </cell>
        </row>
        <row r="294">
          <cell r="N294">
            <v>213.8</v>
          </cell>
          <cell r="Z294">
            <v>641.20000000000005</v>
          </cell>
        </row>
        <row r="295">
          <cell r="N295">
            <v>241.3</v>
          </cell>
          <cell r="O295">
            <v>120.34</v>
          </cell>
          <cell r="Q295">
            <v>339.22</v>
          </cell>
          <cell r="T295">
            <v>15.7</v>
          </cell>
          <cell r="Z295">
            <v>4285.7349999999997</v>
          </cell>
        </row>
        <row r="296">
          <cell r="N296">
            <v>7.4</v>
          </cell>
          <cell r="W296">
            <v>3.7</v>
          </cell>
          <cell r="Z296">
            <v>3.7</v>
          </cell>
        </row>
        <row r="297">
          <cell r="N297">
            <v>99.66</v>
          </cell>
          <cell r="W297">
            <v>49.814999999999998</v>
          </cell>
          <cell r="Z297">
            <v>80.825000000000003</v>
          </cell>
        </row>
        <row r="298">
          <cell r="Z298">
            <v>81.584999999999994</v>
          </cell>
        </row>
        <row r="299">
          <cell r="N299">
            <v>25.03</v>
          </cell>
          <cell r="O299">
            <v>8.33</v>
          </cell>
          <cell r="Q299">
            <v>92.9</v>
          </cell>
          <cell r="Z299">
            <v>66.64</v>
          </cell>
        </row>
        <row r="302">
          <cell r="Q302">
            <v>572.47</v>
          </cell>
          <cell r="Z302">
            <v>3750</v>
          </cell>
        </row>
        <row r="304">
          <cell r="L304">
            <v>2550.08</v>
          </cell>
          <cell r="N304">
            <v>964</v>
          </cell>
          <cell r="O304">
            <v>920.08</v>
          </cell>
          <cell r="P304">
            <v>1050.5999999999999</v>
          </cell>
          <cell r="Q304">
            <v>978</v>
          </cell>
          <cell r="T304">
            <v>978</v>
          </cell>
          <cell r="U304">
            <v>978</v>
          </cell>
          <cell r="V304">
            <v>978</v>
          </cell>
          <cell r="W304">
            <v>1036.7</v>
          </cell>
          <cell r="Z304">
            <v>1605.04</v>
          </cell>
        </row>
        <row r="305">
          <cell r="Z305">
            <v>0</v>
          </cell>
        </row>
        <row r="306">
          <cell r="L306">
            <v>929.63499999999999</v>
          </cell>
          <cell r="N306">
            <v>291.2</v>
          </cell>
          <cell r="O306">
            <v>277.60000000000002</v>
          </cell>
          <cell r="P306">
            <v>317.39999999999998</v>
          </cell>
          <cell r="Q306">
            <v>278.2</v>
          </cell>
          <cell r="T306">
            <v>278.10000000000002</v>
          </cell>
          <cell r="U306">
            <v>296.2</v>
          </cell>
          <cell r="V306">
            <v>295.39999999999998</v>
          </cell>
          <cell r="W306">
            <v>313</v>
          </cell>
          <cell r="Z306">
            <v>358.86500000000001</v>
          </cell>
        </row>
        <row r="307">
          <cell r="X307">
            <v>-44.637999999999998</v>
          </cell>
          <cell r="Z307">
            <v>68</v>
          </cell>
        </row>
        <row r="308">
          <cell r="Z308">
            <v>0</v>
          </cell>
        </row>
        <row r="309">
          <cell r="L309">
            <v>44.17</v>
          </cell>
          <cell r="N309">
            <v>10.490000000000002</v>
          </cell>
          <cell r="X309">
            <v>-75.795000000000002</v>
          </cell>
          <cell r="Z309">
            <v>192.34</v>
          </cell>
        </row>
        <row r="310">
          <cell r="Z310">
            <v>0</v>
          </cell>
        </row>
        <row r="311">
          <cell r="X311">
            <v>178.75200000000001</v>
          </cell>
          <cell r="Z311">
            <v>7.6</v>
          </cell>
        </row>
        <row r="312">
          <cell r="O312">
            <v>104.64</v>
          </cell>
          <cell r="X312">
            <v>-0.31900000000000001</v>
          </cell>
          <cell r="Z312">
            <v>85.96</v>
          </cell>
        </row>
        <row r="313">
          <cell r="X313">
            <v>-56</v>
          </cell>
          <cell r="Z313">
            <v>56.5</v>
          </cell>
        </row>
        <row r="314">
          <cell r="N314">
            <v>31.8</v>
          </cell>
          <cell r="X314">
            <v>-2</v>
          </cell>
          <cell r="Z314">
            <v>31.7</v>
          </cell>
        </row>
        <row r="315">
          <cell r="Z315">
            <v>0</v>
          </cell>
        </row>
        <row r="316">
          <cell r="Z316">
            <v>0</v>
          </cell>
        </row>
        <row r="318">
          <cell r="Q318">
            <v>1256.2</v>
          </cell>
          <cell r="T318">
            <v>1256.0999999999999</v>
          </cell>
          <cell r="U318">
            <v>1274.2</v>
          </cell>
          <cell r="V318">
            <v>1273.4000000000001</v>
          </cell>
          <cell r="W318">
            <v>1349.7</v>
          </cell>
          <cell r="X318">
            <v>1.4210854715202004E-14</v>
          </cell>
          <cell r="Y318">
            <v>0</v>
          </cell>
          <cell r="Z318">
            <v>2406.0049999999997</v>
          </cell>
        </row>
        <row r="319">
          <cell r="Q319">
            <v>0</v>
          </cell>
        </row>
        <row r="320">
          <cell r="I320">
            <v>362.5</v>
          </cell>
          <cell r="L320">
            <v>303.86</v>
          </cell>
          <cell r="N320">
            <v>226.5</v>
          </cell>
          <cell r="O320">
            <v>298.72000000000003</v>
          </cell>
          <cell r="P320">
            <v>244.6</v>
          </cell>
          <cell r="Q320">
            <v>257.89999999999998</v>
          </cell>
          <cell r="T320">
            <v>257.89999999999998</v>
          </cell>
          <cell r="U320">
            <v>257.89999999999998</v>
          </cell>
          <cell r="V320">
            <v>257.89999999999998</v>
          </cell>
          <cell r="W320">
            <v>210</v>
          </cell>
          <cell r="Y320">
            <v>10.583</v>
          </cell>
          <cell r="Z320">
            <v>831.20600000000002</v>
          </cell>
        </row>
        <row r="321">
          <cell r="Z321">
            <v>4.2</v>
          </cell>
        </row>
        <row r="322">
          <cell r="I322">
            <v>145.97999999999999</v>
          </cell>
          <cell r="L322">
            <v>91.58</v>
          </cell>
          <cell r="N322">
            <v>68.5</v>
          </cell>
          <cell r="O322">
            <v>90</v>
          </cell>
          <cell r="P322">
            <v>74</v>
          </cell>
          <cell r="Q322">
            <v>77.900000000000006</v>
          </cell>
          <cell r="T322">
            <v>77.900000000000006</v>
          </cell>
          <cell r="U322">
            <v>77.900000000000006</v>
          </cell>
          <cell r="V322">
            <v>77.900000000000006</v>
          </cell>
          <cell r="W322">
            <v>58</v>
          </cell>
          <cell r="Y322">
            <v>0.69299999999999995</v>
          </cell>
          <cell r="Z322">
            <v>204.215</v>
          </cell>
        </row>
        <row r="323">
          <cell r="N323">
            <v>14.25</v>
          </cell>
          <cell r="Z323">
            <v>61.751000000000005</v>
          </cell>
        </row>
        <row r="324">
          <cell r="N324">
            <v>75</v>
          </cell>
          <cell r="Q324">
            <v>4.2</v>
          </cell>
          <cell r="Z324">
            <v>332.85300000000001</v>
          </cell>
        </row>
        <row r="325">
          <cell r="N325">
            <v>38.75</v>
          </cell>
          <cell r="O325">
            <v>33.58</v>
          </cell>
          <cell r="P325">
            <v>10.3</v>
          </cell>
          <cell r="T325">
            <v>17.8</v>
          </cell>
          <cell r="V325">
            <v>20</v>
          </cell>
          <cell r="X325">
            <v>10.693</v>
          </cell>
          <cell r="Z325">
            <v>39.453000000000003</v>
          </cell>
        </row>
        <row r="326">
          <cell r="Z326">
            <v>0</v>
          </cell>
        </row>
        <row r="327">
          <cell r="N327">
            <v>87.5</v>
          </cell>
          <cell r="P327">
            <v>50</v>
          </cell>
          <cell r="Z327">
            <v>315.84899999999999</v>
          </cell>
        </row>
        <row r="328">
          <cell r="N328">
            <v>763</v>
          </cell>
          <cell r="O328">
            <v>119.67</v>
          </cell>
          <cell r="P328">
            <v>50</v>
          </cell>
          <cell r="Q328">
            <v>148.4</v>
          </cell>
          <cell r="T328">
            <v>49.53</v>
          </cell>
          <cell r="W328">
            <v>112</v>
          </cell>
          <cell r="X328">
            <v>89.307000000000002</v>
          </cell>
          <cell r="Z328">
            <v>2919.471</v>
          </cell>
        </row>
        <row r="329">
          <cell r="N329">
            <v>2.2999999999999998</v>
          </cell>
          <cell r="W329">
            <v>1.1499999999999999</v>
          </cell>
          <cell r="Z329">
            <v>1.1499999999999999</v>
          </cell>
        </row>
        <row r="330">
          <cell r="N330">
            <v>127</v>
          </cell>
          <cell r="W330">
            <v>111.125</v>
          </cell>
          <cell r="Z330">
            <v>-61.336999999999996</v>
          </cell>
        </row>
        <row r="331">
          <cell r="Q331">
            <v>800</v>
          </cell>
          <cell r="T331">
            <v>800</v>
          </cell>
          <cell r="Z331">
            <v>-46.870999999999981</v>
          </cell>
        </row>
        <row r="332">
          <cell r="N332">
            <v>107.5</v>
          </cell>
          <cell r="O332">
            <v>35.83</v>
          </cell>
          <cell r="Q332">
            <v>242.03</v>
          </cell>
          <cell r="X332">
            <v>-100</v>
          </cell>
          <cell r="Y332">
            <v>-11.276</v>
          </cell>
          <cell r="Z332">
            <v>151.57</v>
          </cell>
        </row>
        <row r="335">
          <cell r="Q335">
            <v>394.63</v>
          </cell>
          <cell r="Z335">
            <v>739.53499999999997</v>
          </cell>
        </row>
        <row r="354">
          <cell r="I354">
            <v>2825.57</v>
          </cell>
          <cell r="L354">
            <v>1765.97</v>
          </cell>
          <cell r="N354">
            <v>1725.5</v>
          </cell>
          <cell r="O354">
            <v>1806.5</v>
          </cell>
          <cell r="P354">
            <v>1765.97</v>
          </cell>
          <cell r="Q354">
            <v>1766</v>
          </cell>
          <cell r="T354">
            <v>1766</v>
          </cell>
          <cell r="U354">
            <v>1766</v>
          </cell>
          <cell r="V354">
            <v>1766</v>
          </cell>
          <cell r="W354">
            <v>1871.9</v>
          </cell>
          <cell r="X354">
            <v>1871.9</v>
          </cell>
          <cell r="Z354">
            <v>748.79</v>
          </cell>
        </row>
        <row r="355">
          <cell r="Z355">
            <v>0</v>
          </cell>
        </row>
        <row r="356">
          <cell r="I356">
            <v>1137.32</v>
          </cell>
          <cell r="L356">
            <v>533.29999999999995</v>
          </cell>
          <cell r="N356">
            <v>449.13</v>
          </cell>
          <cell r="O356">
            <v>545.5</v>
          </cell>
          <cell r="P356">
            <v>533.4</v>
          </cell>
          <cell r="Q356">
            <v>533.29999999999995</v>
          </cell>
          <cell r="T356">
            <v>533.12</v>
          </cell>
          <cell r="U356">
            <v>533.29999999999995</v>
          </cell>
          <cell r="V356">
            <v>533.29999999999995</v>
          </cell>
          <cell r="W356">
            <v>572.5</v>
          </cell>
          <cell r="X356">
            <v>572.53</v>
          </cell>
          <cell r="Y356">
            <v>-54.511000000000003</v>
          </cell>
          <cell r="Z356">
            <v>0</v>
          </cell>
        </row>
        <row r="357">
          <cell r="N357">
            <v>12.75</v>
          </cell>
          <cell r="Z357">
            <v>38.25</v>
          </cell>
        </row>
        <row r="358">
          <cell r="Z358">
            <v>0</v>
          </cell>
        </row>
        <row r="359">
          <cell r="I359">
            <v>173</v>
          </cell>
          <cell r="L359">
            <v>173</v>
          </cell>
          <cell r="N359">
            <v>139</v>
          </cell>
          <cell r="O359">
            <v>161.69999999999999</v>
          </cell>
          <cell r="P359">
            <v>161.63</v>
          </cell>
          <cell r="T359">
            <v>206.8</v>
          </cell>
          <cell r="V359">
            <v>278</v>
          </cell>
          <cell r="Y359">
            <v>-124.529</v>
          </cell>
          <cell r="Z359">
            <v>546.87</v>
          </cell>
        </row>
        <row r="360">
          <cell r="Z360">
            <v>0</v>
          </cell>
        </row>
        <row r="361">
          <cell r="N361">
            <v>420</v>
          </cell>
          <cell r="W361">
            <v>1260</v>
          </cell>
          <cell r="Y361">
            <v>-1.754</v>
          </cell>
          <cell r="Z361">
            <v>0</v>
          </cell>
        </row>
        <row r="362">
          <cell r="N362">
            <v>292.75</v>
          </cell>
          <cell r="O362">
            <v>124.03999999999999</v>
          </cell>
          <cell r="T362">
            <v>19.399999999999999</v>
          </cell>
          <cell r="Y362">
            <v>180.79400000000001</v>
          </cell>
          <cell r="Z362">
            <v>501.13</v>
          </cell>
        </row>
        <row r="363">
          <cell r="N363">
            <v>22.4</v>
          </cell>
          <cell r="W363">
            <v>11.05</v>
          </cell>
          <cell r="Z363">
            <v>11.15</v>
          </cell>
        </row>
        <row r="364">
          <cell r="N364">
            <v>1119.8</v>
          </cell>
          <cell r="W364">
            <v>564.97500000000002</v>
          </cell>
          <cell r="Z364">
            <v>554.82500000000005</v>
          </cell>
        </row>
        <row r="365">
          <cell r="Z365">
            <v>50</v>
          </cell>
        </row>
        <row r="366">
          <cell r="N366">
            <v>54.45</v>
          </cell>
          <cell r="O366">
            <v>18.12</v>
          </cell>
          <cell r="Z366">
            <v>145.43</v>
          </cell>
        </row>
        <row r="368">
          <cell r="Q368">
            <v>2299.3000000000002</v>
          </cell>
          <cell r="T368">
            <v>2525.3200000000002</v>
          </cell>
          <cell r="U368">
            <v>2299.3000000000002</v>
          </cell>
          <cell r="V368">
            <v>2577.3000000000002</v>
          </cell>
          <cell r="W368">
            <v>4280.4250000000002</v>
          </cell>
          <cell r="X368">
            <v>2444.4300000000003</v>
          </cell>
          <cell r="Y368">
            <v>0</v>
          </cell>
        </row>
        <row r="369">
          <cell r="Q369">
            <v>0</v>
          </cell>
        </row>
        <row r="370">
          <cell r="I370">
            <v>790.31</v>
          </cell>
          <cell r="L370">
            <v>493.95</v>
          </cell>
          <cell r="N370">
            <v>482.6</v>
          </cell>
          <cell r="O370">
            <v>422.4</v>
          </cell>
          <cell r="P370">
            <v>475.85</v>
          </cell>
          <cell r="Q370">
            <v>476</v>
          </cell>
          <cell r="T370">
            <v>476</v>
          </cell>
          <cell r="U370">
            <v>476</v>
          </cell>
          <cell r="V370">
            <v>476</v>
          </cell>
          <cell r="W370">
            <v>504.3</v>
          </cell>
          <cell r="X370">
            <v>504.4</v>
          </cell>
          <cell r="Z370">
            <v>201.69000000000085</v>
          </cell>
        </row>
        <row r="371">
          <cell r="N371">
            <v>0.75</v>
          </cell>
          <cell r="P371">
            <v>0.5</v>
          </cell>
          <cell r="Z371">
            <v>1.75</v>
          </cell>
        </row>
        <row r="372">
          <cell r="I372">
            <v>318.07</v>
          </cell>
          <cell r="L372">
            <v>149.16999999999999</v>
          </cell>
          <cell r="N372">
            <v>125.6</v>
          </cell>
          <cell r="O372">
            <v>127.6</v>
          </cell>
          <cell r="P372">
            <v>143.69999999999999</v>
          </cell>
          <cell r="Q372">
            <v>143.69999999999999</v>
          </cell>
          <cell r="T372">
            <v>143.80000000000001</v>
          </cell>
          <cell r="U372">
            <v>143.80000000000001</v>
          </cell>
          <cell r="V372">
            <v>143.80000000000001</v>
          </cell>
          <cell r="W372">
            <v>153.19999999999999</v>
          </cell>
          <cell r="X372">
            <v>153.06</v>
          </cell>
          <cell r="Z372">
            <v>-82.347999999999999</v>
          </cell>
        </row>
        <row r="373">
          <cell r="N373">
            <v>8.3000000000000007</v>
          </cell>
          <cell r="Z373">
            <v>24.7</v>
          </cell>
        </row>
        <row r="374">
          <cell r="N374">
            <v>1.25</v>
          </cell>
          <cell r="Z374">
            <v>3.75</v>
          </cell>
        </row>
        <row r="375">
          <cell r="I375">
            <v>8.9</v>
          </cell>
          <cell r="L375">
            <v>8.9</v>
          </cell>
          <cell r="N375">
            <v>7.2</v>
          </cell>
          <cell r="O375">
            <v>8.3000000000000007</v>
          </cell>
          <cell r="P375">
            <v>8.3699999999999992</v>
          </cell>
          <cell r="T375">
            <v>10.7</v>
          </cell>
          <cell r="V375">
            <v>15</v>
          </cell>
          <cell r="Z375">
            <v>-5.7000000000000171</v>
          </cell>
        </row>
        <row r="376">
          <cell r="Z376">
            <v>0</v>
          </cell>
        </row>
        <row r="377">
          <cell r="N377">
            <v>105</v>
          </cell>
          <cell r="W377">
            <v>315</v>
          </cell>
          <cell r="Z377">
            <v>0</v>
          </cell>
        </row>
        <row r="378">
          <cell r="N378">
            <v>210.5</v>
          </cell>
          <cell r="O378">
            <v>121.24000000000001</v>
          </cell>
          <cell r="T378">
            <v>16.600000000000001</v>
          </cell>
          <cell r="X378">
            <v>207</v>
          </cell>
          <cell r="Z378">
            <v>378.08799999999997</v>
          </cell>
        </row>
        <row r="379">
          <cell r="N379">
            <v>6</v>
          </cell>
          <cell r="W379">
            <v>3.375</v>
          </cell>
          <cell r="Z379">
            <v>3.125</v>
          </cell>
        </row>
        <row r="380">
          <cell r="N380">
            <v>82</v>
          </cell>
          <cell r="W380">
            <v>41.075000000000003</v>
          </cell>
          <cell r="Z380">
            <v>2.4999999999963052E-2</v>
          </cell>
        </row>
        <row r="381">
          <cell r="Z381">
            <v>197.75</v>
          </cell>
        </row>
        <row r="382">
          <cell r="N382">
            <v>4.3</v>
          </cell>
          <cell r="O382">
            <v>1.4</v>
          </cell>
          <cell r="Z382">
            <v>11.299999999999999</v>
          </cell>
        </row>
        <row r="384">
          <cell r="Q384">
            <v>619.70000000000005</v>
          </cell>
          <cell r="T384">
            <v>647.1</v>
          </cell>
          <cell r="U384">
            <v>619.79999999999995</v>
          </cell>
          <cell r="V384">
            <v>634.79999999999995</v>
          </cell>
          <cell r="W384">
            <v>1016.95</v>
          </cell>
          <cell r="X384">
            <v>864.46</v>
          </cell>
        </row>
        <row r="385">
          <cell r="Q385">
            <v>0</v>
          </cell>
        </row>
        <row r="386">
          <cell r="I386">
            <v>646.66999999999996</v>
          </cell>
          <cell r="L386">
            <v>404.17</v>
          </cell>
          <cell r="N386">
            <v>394.9</v>
          </cell>
          <cell r="O386">
            <v>413.4</v>
          </cell>
          <cell r="P386">
            <v>404.2</v>
          </cell>
          <cell r="Q386">
            <v>404.12</v>
          </cell>
          <cell r="T386">
            <v>404.2</v>
          </cell>
          <cell r="U386">
            <v>404.2</v>
          </cell>
          <cell r="V386">
            <v>404.2</v>
          </cell>
          <cell r="W386">
            <v>428.4</v>
          </cell>
          <cell r="X386">
            <v>428.36</v>
          </cell>
          <cell r="Z386">
            <v>171.38</v>
          </cell>
        </row>
        <row r="387">
          <cell r="Z387">
            <v>0</v>
          </cell>
        </row>
        <row r="388">
          <cell r="I388">
            <v>260.26</v>
          </cell>
          <cell r="L388">
            <v>122.06</v>
          </cell>
          <cell r="N388">
            <v>102.8</v>
          </cell>
          <cell r="O388">
            <v>124.8</v>
          </cell>
          <cell r="P388">
            <v>122.11</v>
          </cell>
          <cell r="Q388">
            <v>122.1</v>
          </cell>
          <cell r="T388">
            <v>122.1</v>
          </cell>
          <cell r="U388">
            <v>122.1</v>
          </cell>
          <cell r="V388">
            <v>122.1</v>
          </cell>
          <cell r="W388">
            <v>130.9</v>
          </cell>
          <cell r="X388">
            <v>130.97</v>
          </cell>
          <cell r="Y388">
            <v>0.32</v>
          </cell>
          <cell r="Z388">
            <v>0</v>
          </cell>
        </row>
        <row r="389">
          <cell r="N389">
            <v>3.5</v>
          </cell>
          <cell r="Z389">
            <v>10.5</v>
          </cell>
        </row>
        <row r="390">
          <cell r="Z390">
            <v>0</v>
          </cell>
        </row>
        <row r="391">
          <cell r="I391">
            <v>11.67</v>
          </cell>
          <cell r="L391">
            <v>11.67</v>
          </cell>
          <cell r="N391">
            <v>9.41</v>
          </cell>
          <cell r="O391">
            <v>10.9</v>
          </cell>
          <cell r="P391">
            <v>10.93</v>
          </cell>
          <cell r="T391">
            <v>13.91</v>
          </cell>
          <cell r="V391">
            <v>19</v>
          </cell>
          <cell r="Z391">
            <v>12.51</v>
          </cell>
        </row>
        <row r="392">
          <cell r="I392">
            <v>50</v>
          </cell>
          <cell r="L392">
            <v>50</v>
          </cell>
          <cell r="N392">
            <v>50</v>
          </cell>
          <cell r="O392">
            <v>50</v>
          </cell>
          <cell r="P392">
            <v>50</v>
          </cell>
          <cell r="Y392">
            <v>45.816000000000003</v>
          </cell>
        </row>
        <row r="393">
          <cell r="N393">
            <v>5</v>
          </cell>
          <cell r="W393">
            <v>15</v>
          </cell>
          <cell r="Z393">
            <v>0</v>
          </cell>
        </row>
        <row r="394">
          <cell r="N394">
            <v>103.65</v>
          </cell>
          <cell r="O394">
            <v>108.84</v>
          </cell>
          <cell r="T394">
            <v>4.2</v>
          </cell>
          <cell r="Z394">
            <v>3.71</v>
          </cell>
        </row>
        <row r="395">
          <cell r="N395">
            <v>4.8</v>
          </cell>
          <cell r="W395">
            <v>2.4750000000000001</v>
          </cell>
          <cell r="Z395">
            <v>2.4249999999999998</v>
          </cell>
        </row>
        <row r="396">
          <cell r="N396">
            <v>10.199999999999999</v>
          </cell>
          <cell r="Z396">
            <v>0</v>
          </cell>
        </row>
        <row r="397">
          <cell r="Y397">
            <v>-46.136000000000003</v>
          </cell>
          <cell r="Z397">
            <v>80.400000000000006</v>
          </cell>
        </row>
        <row r="398">
          <cell r="N398">
            <v>5</v>
          </cell>
          <cell r="O398">
            <v>1.7</v>
          </cell>
          <cell r="Y398">
            <v>0</v>
          </cell>
          <cell r="Z398">
            <v>95.4</v>
          </cell>
        </row>
        <row r="400">
          <cell r="Q400">
            <v>526.22</v>
          </cell>
          <cell r="T400">
            <v>544.41</v>
          </cell>
          <cell r="U400">
            <v>526.29999999999995</v>
          </cell>
          <cell r="V400">
            <v>545.29999999999995</v>
          </cell>
          <cell r="W400">
            <v>576.77499999999998</v>
          </cell>
          <cell r="X400">
            <v>559.33000000000004</v>
          </cell>
        </row>
        <row r="401">
          <cell r="Q401">
            <v>0</v>
          </cell>
        </row>
        <row r="402">
          <cell r="I402">
            <v>270.39999999999998</v>
          </cell>
          <cell r="L402">
            <v>169</v>
          </cell>
          <cell r="N402">
            <v>165.18</v>
          </cell>
          <cell r="O402">
            <v>172.8</v>
          </cell>
          <cell r="P402">
            <v>169</v>
          </cell>
          <cell r="Q402">
            <v>169</v>
          </cell>
          <cell r="T402">
            <v>169</v>
          </cell>
          <cell r="U402">
            <v>169</v>
          </cell>
          <cell r="V402">
            <v>169</v>
          </cell>
          <cell r="W402">
            <v>179.2</v>
          </cell>
          <cell r="X402">
            <v>179.1</v>
          </cell>
          <cell r="Y402">
            <v>26.427</v>
          </cell>
          <cell r="Z402">
            <v>71.62</v>
          </cell>
        </row>
        <row r="403">
          <cell r="N403">
            <v>0.75</v>
          </cell>
          <cell r="P403">
            <v>0.5</v>
          </cell>
          <cell r="Z403">
            <v>1.75</v>
          </cell>
        </row>
        <row r="404">
          <cell r="I404">
            <v>108.86</v>
          </cell>
          <cell r="L404">
            <v>51.06</v>
          </cell>
          <cell r="N404">
            <v>43</v>
          </cell>
          <cell r="O404">
            <v>52.2</v>
          </cell>
          <cell r="P404">
            <v>51</v>
          </cell>
          <cell r="Q404">
            <v>51</v>
          </cell>
          <cell r="T404">
            <v>51</v>
          </cell>
          <cell r="U404">
            <v>51</v>
          </cell>
          <cell r="V404">
            <v>51</v>
          </cell>
          <cell r="W404">
            <v>54.8</v>
          </cell>
          <cell r="X404">
            <v>54.88</v>
          </cell>
          <cell r="Y404">
            <v>-24.911999999999999</v>
          </cell>
          <cell r="Z404">
            <v>0</v>
          </cell>
        </row>
        <row r="405">
          <cell r="N405">
            <v>2.2000000000000002</v>
          </cell>
          <cell r="Z405">
            <v>6.8</v>
          </cell>
        </row>
        <row r="406">
          <cell r="N406">
            <v>0.75</v>
          </cell>
          <cell r="Z406">
            <v>2.25</v>
          </cell>
        </row>
        <row r="407">
          <cell r="I407">
            <v>4.5999999999999996</v>
          </cell>
          <cell r="L407">
            <v>4.5999999999999996</v>
          </cell>
          <cell r="N407">
            <v>3.8</v>
          </cell>
          <cell r="O407">
            <v>4.3499999999999996</v>
          </cell>
          <cell r="P407">
            <v>4.32</v>
          </cell>
          <cell r="T407">
            <v>5.5</v>
          </cell>
          <cell r="V407">
            <v>8</v>
          </cell>
          <cell r="Z407">
            <v>16.829999999999998</v>
          </cell>
        </row>
        <row r="408">
          <cell r="I408">
            <v>1.67</v>
          </cell>
          <cell r="L408">
            <v>1.67</v>
          </cell>
          <cell r="N408">
            <v>1.66</v>
          </cell>
          <cell r="O408">
            <v>1.67</v>
          </cell>
          <cell r="P408">
            <v>1.66</v>
          </cell>
          <cell r="Z408">
            <v>11.67</v>
          </cell>
        </row>
        <row r="409">
          <cell r="N409">
            <v>6</v>
          </cell>
          <cell r="W409">
            <v>18</v>
          </cell>
          <cell r="Z409">
            <v>0</v>
          </cell>
        </row>
        <row r="410">
          <cell r="N410">
            <v>17.5</v>
          </cell>
          <cell r="O410">
            <v>46.36</v>
          </cell>
          <cell r="T410">
            <v>1.22</v>
          </cell>
          <cell r="Y410">
            <v>-27.53</v>
          </cell>
          <cell r="Z410">
            <v>32.450000000000003</v>
          </cell>
        </row>
        <row r="411">
          <cell r="N411">
            <v>2.2000000000000002</v>
          </cell>
          <cell r="W411">
            <v>0.8</v>
          </cell>
          <cell r="Z411">
            <v>1</v>
          </cell>
        </row>
        <row r="412">
          <cell r="N412">
            <v>2.7</v>
          </cell>
          <cell r="W412">
            <v>1.35</v>
          </cell>
          <cell r="Z412">
            <v>1.35</v>
          </cell>
        </row>
        <row r="413">
          <cell r="Y413">
            <v>12.715</v>
          </cell>
        </row>
        <row r="414">
          <cell r="N414">
            <v>5</v>
          </cell>
          <cell r="O414">
            <v>1.7</v>
          </cell>
          <cell r="Y414">
            <v>13.3</v>
          </cell>
        </row>
        <row r="416">
          <cell r="Q416">
            <v>220</v>
          </cell>
          <cell r="T416">
            <v>226.72</v>
          </cell>
          <cell r="U416">
            <v>220</v>
          </cell>
          <cell r="V416">
            <v>228</v>
          </cell>
          <cell r="W416">
            <v>254.15</v>
          </cell>
          <cell r="X416">
            <v>233.98</v>
          </cell>
        </row>
        <row r="434">
          <cell r="I434">
            <v>2933.7</v>
          </cell>
          <cell r="L434">
            <v>1833.5</v>
          </cell>
          <cell r="N434">
            <v>1833.5</v>
          </cell>
          <cell r="O434">
            <v>1833.5</v>
          </cell>
          <cell r="P434">
            <v>1833.8</v>
          </cell>
          <cell r="Q434">
            <v>1833.6</v>
          </cell>
          <cell r="T434">
            <v>1833.5</v>
          </cell>
          <cell r="U434">
            <v>1833.5</v>
          </cell>
          <cell r="V434">
            <v>1833.6</v>
          </cell>
          <cell r="W434">
            <v>1943.5</v>
          </cell>
          <cell r="X434">
            <v>1943.63</v>
          </cell>
          <cell r="Y434">
            <v>1.1659999999999999</v>
          </cell>
          <cell r="Z434">
            <v>777.47</v>
          </cell>
        </row>
        <row r="435">
          <cell r="Z435">
            <v>0</v>
          </cell>
        </row>
        <row r="436">
          <cell r="I436">
            <v>1180.8399999999999</v>
          </cell>
          <cell r="L436">
            <v>553.69000000000005</v>
          </cell>
          <cell r="N436">
            <v>480.4</v>
          </cell>
          <cell r="O436">
            <v>553.70000000000005</v>
          </cell>
          <cell r="P436">
            <v>553.79999999999995</v>
          </cell>
          <cell r="Q436">
            <v>553.70000000000005</v>
          </cell>
          <cell r="T436">
            <v>553.5</v>
          </cell>
          <cell r="U436">
            <v>553.70000000000005</v>
          </cell>
          <cell r="V436">
            <v>553.70000000000005</v>
          </cell>
          <cell r="W436">
            <v>593.79999999999995</v>
          </cell>
          <cell r="X436">
            <v>593.77</v>
          </cell>
          <cell r="Z436">
            <v>0</v>
          </cell>
        </row>
        <row r="437">
          <cell r="Z437">
            <v>0</v>
          </cell>
        </row>
        <row r="438">
          <cell r="Q438">
            <v>75</v>
          </cell>
          <cell r="Z438">
            <v>9.7100000000000009</v>
          </cell>
        </row>
        <row r="439">
          <cell r="I439">
            <v>166.8</v>
          </cell>
          <cell r="L439">
            <v>166.8</v>
          </cell>
          <cell r="N439">
            <v>163</v>
          </cell>
          <cell r="O439">
            <v>228.45</v>
          </cell>
          <cell r="P439">
            <v>57</v>
          </cell>
          <cell r="T439">
            <v>218.9</v>
          </cell>
          <cell r="V439">
            <v>283</v>
          </cell>
          <cell r="Z439">
            <v>231.1</v>
          </cell>
        </row>
        <row r="440">
          <cell r="Z440">
            <v>0</v>
          </cell>
        </row>
        <row r="441">
          <cell r="N441">
            <v>57.75</v>
          </cell>
          <cell r="Z441">
            <v>173.25</v>
          </cell>
        </row>
        <row r="442">
          <cell r="N442">
            <v>136.77000000000001</v>
          </cell>
          <cell r="W442">
            <v>250</v>
          </cell>
          <cell r="Z442">
            <v>581.221</v>
          </cell>
        </row>
        <row r="443">
          <cell r="N443">
            <v>23.6</v>
          </cell>
          <cell r="W443">
            <v>12.025</v>
          </cell>
          <cell r="Z443">
            <v>11.875</v>
          </cell>
        </row>
        <row r="444">
          <cell r="N444">
            <v>2090.4</v>
          </cell>
          <cell r="W444">
            <v>1045.425</v>
          </cell>
          <cell r="Z444">
            <v>655.27499999999998</v>
          </cell>
        </row>
        <row r="445">
          <cell r="Z445">
            <v>200</v>
          </cell>
        </row>
        <row r="446">
          <cell r="N446">
            <v>52.5</v>
          </cell>
          <cell r="O446">
            <v>30.8</v>
          </cell>
          <cell r="Y446">
            <v>-1.1659999999999999</v>
          </cell>
          <cell r="Z446">
            <v>166.7</v>
          </cell>
        </row>
        <row r="449">
          <cell r="Q449">
            <v>75</v>
          </cell>
          <cell r="W449">
            <v>250</v>
          </cell>
          <cell r="Z449">
            <v>590.93100000000004</v>
          </cell>
        </row>
        <row r="451">
          <cell r="I451">
            <v>3040.64</v>
          </cell>
          <cell r="L451">
            <v>1900.4</v>
          </cell>
          <cell r="N451">
            <v>1900.4</v>
          </cell>
          <cell r="O451">
            <v>1900.4</v>
          </cell>
          <cell r="P451">
            <v>1900.4</v>
          </cell>
          <cell r="Q451">
            <v>1900.4</v>
          </cell>
          <cell r="T451">
            <v>3800.8</v>
          </cell>
          <cell r="V451">
            <v>1900.4</v>
          </cell>
          <cell r="W451">
            <v>2014.4</v>
          </cell>
          <cell r="X451">
            <v>2014.44</v>
          </cell>
          <cell r="Z451">
            <v>945.72</v>
          </cell>
        </row>
        <row r="452">
          <cell r="Z452">
            <v>0</v>
          </cell>
        </row>
        <row r="453">
          <cell r="I453">
            <v>1223.92</v>
          </cell>
          <cell r="L453">
            <v>573.91999999999996</v>
          </cell>
          <cell r="N453">
            <v>498</v>
          </cell>
          <cell r="O453">
            <v>574</v>
          </cell>
          <cell r="P453">
            <v>573.9</v>
          </cell>
          <cell r="Q453">
            <v>574</v>
          </cell>
          <cell r="T453">
            <v>1147.8</v>
          </cell>
          <cell r="V453">
            <v>573.79999999999995</v>
          </cell>
          <cell r="W453">
            <v>615.20000000000005</v>
          </cell>
          <cell r="X453">
            <v>615.16</v>
          </cell>
          <cell r="Z453">
            <v>-140</v>
          </cell>
        </row>
        <row r="454">
          <cell r="Z454">
            <v>0</v>
          </cell>
        </row>
        <row r="455">
          <cell r="Z455">
            <v>0</v>
          </cell>
        </row>
        <row r="456">
          <cell r="I456">
            <v>64.11</v>
          </cell>
          <cell r="L456">
            <v>64.11</v>
          </cell>
          <cell r="N456">
            <v>90</v>
          </cell>
          <cell r="O456">
            <v>50.1</v>
          </cell>
          <cell r="P456">
            <v>77.5</v>
          </cell>
          <cell r="T456">
            <v>67.7</v>
          </cell>
          <cell r="V456">
            <v>205.5</v>
          </cell>
          <cell r="Z456">
            <v>200.97999999999996</v>
          </cell>
        </row>
        <row r="457">
          <cell r="Z457">
            <v>0</v>
          </cell>
        </row>
        <row r="458">
          <cell r="N458">
            <v>62.5</v>
          </cell>
          <cell r="Z458">
            <v>287.5</v>
          </cell>
        </row>
        <row r="459">
          <cell r="N459">
            <v>82.5</v>
          </cell>
          <cell r="P459">
            <v>50</v>
          </cell>
          <cell r="Z459">
            <v>47.5</v>
          </cell>
        </row>
        <row r="460">
          <cell r="N460">
            <v>20</v>
          </cell>
          <cell r="W460">
            <v>10.074999999999999</v>
          </cell>
          <cell r="Z460">
            <v>10.025000000000002</v>
          </cell>
        </row>
        <row r="461">
          <cell r="N461">
            <v>847.4</v>
          </cell>
          <cell r="W461">
            <v>423.625</v>
          </cell>
          <cell r="Z461">
            <v>423.67499999999984</v>
          </cell>
        </row>
        <row r="462">
          <cell r="Z462">
            <v>50</v>
          </cell>
        </row>
        <row r="463">
          <cell r="N463">
            <v>42.5</v>
          </cell>
          <cell r="O463">
            <v>14.2</v>
          </cell>
          <cell r="Z463">
            <v>13.3</v>
          </cell>
        </row>
        <row r="465">
          <cell r="Q465">
            <v>2474.4</v>
          </cell>
          <cell r="T465">
            <v>5016.3</v>
          </cell>
          <cell r="U465">
            <v>0</v>
          </cell>
          <cell r="V465">
            <v>2679.7</v>
          </cell>
          <cell r="W465">
            <v>3063.3</v>
          </cell>
          <cell r="X465">
            <v>2629.6</v>
          </cell>
          <cell r="Y465">
            <v>0</v>
          </cell>
          <cell r="Z465">
            <v>1838.7</v>
          </cell>
        </row>
        <row r="467">
          <cell r="I467">
            <v>2593.9</v>
          </cell>
          <cell r="L467">
            <v>1621.2</v>
          </cell>
          <cell r="N467">
            <v>1621.2</v>
          </cell>
          <cell r="O467">
            <v>1621.2</v>
          </cell>
          <cell r="P467">
            <v>1621.11</v>
          </cell>
          <cell r="Q467">
            <v>1621.2</v>
          </cell>
          <cell r="T467">
            <v>3242.4</v>
          </cell>
          <cell r="V467">
            <v>1621.2</v>
          </cell>
          <cell r="W467">
            <v>1718.5</v>
          </cell>
          <cell r="X467">
            <v>1718.4</v>
          </cell>
          <cell r="Z467">
            <v>889.48999999999478</v>
          </cell>
        </row>
        <row r="468">
          <cell r="Z468">
            <v>0</v>
          </cell>
        </row>
        <row r="469">
          <cell r="I469">
            <v>1044</v>
          </cell>
          <cell r="L469">
            <v>489.6</v>
          </cell>
          <cell r="N469">
            <v>424.7</v>
          </cell>
          <cell r="O469">
            <v>489.6</v>
          </cell>
          <cell r="P469">
            <v>489.6</v>
          </cell>
          <cell r="Q469">
            <v>489.6</v>
          </cell>
          <cell r="T469">
            <v>979.2</v>
          </cell>
          <cell r="V469">
            <v>489.6</v>
          </cell>
          <cell r="W469">
            <v>524.9</v>
          </cell>
          <cell r="X469">
            <v>524.9</v>
          </cell>
          <cell r="Z469">
            <v>-2.1000000000005912</v>
          </cell>
        </row>
        <row r="470">
          <cell r="Z470">
            <v>0</v>
          </cell>
        </row>
        <row r="471">
          <cell r="Z471">
            <v>0</v>
          </cell>
        </row>
        <row r="472">
          <cell r="I472">
            <v>104.7</v>
          </cell>
          <cell r="L472">
            <v>87.8</v>
          </cell>
          <cell r="N472">
            <v>109.31</v>
          </cell>
          <cell r="O472">
            <v>80</v>
          </cell>
          <cell r="P472">
            <v>194.71</v>
          </cell>
          <cell r="T472">
            <v>94.3</v>
          </cell>
          <cell r="V472">
            <v>120</v>
          </cell>
          <cell r="Z472">
            <v>259.18</v>
          </cell>
        </row>
        <row r="473">
          <cell r="Z473">
            <v>0</v>
          </cell>
        </row>
        <row r="474">
          <cell r="Z474">
            <v>0</v>
          </cell>
        </row>
        <row r="475">
          <cell r="N475">
            <v>101.2</v>
          </cell>
          <cell r="O475">
            <v>103.44</v>
          </cell>
          <cell r="P475">
            <v>-50</v>
          </cell>
          <cell r="Z475">
            <v>-1.4210854715202004E-14</v>
          </cell>
        </row>
        <row r="476">
          <cell r="N476">
            <v>20.2</v>
          </cell>
          <cell r="W476">
            <v>10.025</v>
          </cell>
          <cell r="Z476">
            <v>10.074999999999998</v>
          </cell>
        </row>
        <row r="477">
          <cell r="N477">
            <v>1488</v>
          </cell>
          <cell r="W477">
            <v>744.07500000000005</v>
          </cell>
          <cell r="Z477">
            <v>867.02499999999986</v>
          </cell>
        </row>
        <row r="478">
          <cell r="Z478">
            <v>200.36</v>
          </cell>
        </row>
        <row r="479">
          <cell r="N479">
            <v>40</v>
          </cell>
          <cell r="O479">
            <v>26.7</v>
          </cell>
          <cell r="Z479">
            <v>133.30000000000001</v>
          </cell>
        </row>
        <row r="481">
          <cell r="Q481">
            <v>2110.8000000000002</v>
          </cell>
          <cell r="T481">
            <v>4315.9000000000005</v>
          </cell>
          <cell r="U481">
            <v>0</v>
          </cell>
          <cell r="V481">
            <v>2230.8000000000002</v>
          </cell>
          <cell r="W481">
            <v>2997.5</v>
          </cell>
          <cell r="X481">
            <v>2243.3000000000002</v>
          </cell>
          <cell r="Y481">
            <v>0</v>
          </cell>
          <cell r="Z481">
            <v>2357.3299999999945</v>
          </cell>
        </row>
        <row r="483">
          <cell r="I483">
            <v>2263.75</v>
          </cell>
          <cell r="L483">
            <v>1414.85</v>
          </cell>
          <cell r="N483">
            <v>1414.85</v>
          </cell>
          <cell r="O483">
            <v>1414.9</v>
          </cell>
          <cell r="P483">
            <v>1414.8</v>
          </cell>
          <cell r="Q483">
            <v>1414.8</v>
          </cell>
          <cell r="T483">
            <v>2829.6</v>
          </cell>
          <cell r="V483">
            <v>1414.8</v>
          </cell>
          <cell r="W483">
            <v>1499.7</v>
          </cell>
          <cell r="X483">
            <v>1499.96</v>
          </cell>
          <cell r="Z483">
            <v>599.89000000000215</v>
          </cell>
        </row>
        <row r="484">
          <cell r="Z484">
            <v>0</v>
          </cell>
        </row>
        <row r="485">
          <cell r="I485">
            <v>911.18</v>
          </cell>
          <cell r="L485">
            <v>427.28</v>
          </cell>
          <cell r="N485">
            <v>370.7</v>
          </cell>
          <cell r="O485">
            <v>427.3</v>
          </cell>
          <cell r="P485">
            <v>427.3</v>
          </cell>
          <cell r="Q485">
            <v>427.3</v>
          </cell>
          <cell r="T485">
            <v>854.5</v>
          </cell>
          <cell r="V485">
            <v>427.3</v>
          </cell>
          <cell r="W485">
            <v>458</v>
          </cell>
          <cell r="X485">
            <v>458.04</v>
          </cell>
          <cell r="Z485">
            <v>-7.3896444519050419E-13</v>
          </cell>
        </row>
        <row r="486">
          <cell r="Z486">
            <v>0</v>
          </cell>
        </row>
        <row r="487">
          <cell r="Z487">
            <v>0</v>
          </cell>
        </row>
        <row r="488">
          <cell r="I488">
            <v>41.1</v>
          </cell>
          <cell r="L488">
            <v>41.1</v>
          </cell>
          <cell r="N488">
            <v>44.6</v>
          </cell>
          <cell r="O488">
            <v>42.2</v>
          </cell>
          <cell r="P488">
            <v>53.8</v>
          </cell>
          <cell r="T488">
            <v>42.3</v>
          </cell>
          <cell r="V488">
            <v>50</v>
          </cell>
          <cell r="Z488">
            <v>191.89999999999992</v>
          </cell>
        </row>
        <row r="489">
          <cell r="Z489">
            <v>0</v>
          </cell>
        </row>
        <row r="490">
          <cell r="Z490">
            <v>0</v>
          </cell>
        </row>
        <row r="491">
          <cell r="N491">
            <v>96.3</v>
          </cell>
          <cell r="O491">
            <v>216.68</v>
          </cell>
        </row>
        <row r="492">
          <cell r="N492">
            <v>16.600000000000001</v>
          </cell>
          <cell r="W492">
            <v>8.3000000000000007</v>
          </cell>
          <cell r="Z492">
            <v>8.3000000000000007</v>
          </cell>
        </row>
        <row r="493">
          <cell r="N493">
            <v>745.6</v>
          </cell>
          <cell r="W493">
            <v>372.8</v>
          </cell>
          <cell r="Z493">
            <v>372.8</v>
          </cell>
        </row>
        <row r="495">
          <cell r="N495">
            <v>42.5</v>
          </cell>
          <cell r="O495">
            <v>14.2</v>
          </cell>
        </row>
        <row r="497">
          <cell r="Q497">
            <v>1842.1</v>
          </cell>
          <cell r="T497">
            <v>3726.4</v>
          </cell>
          <cell r="U497">
            <v>0</v>
          </cell>
          <cell r="V497">
            <v>1892.1</v>
          </cell>
          <cell r="W497">
            <v>2338.8000000000002</v>
          </cell>
          <cell r="X497">
            <v>1958</v>
          </cell>
          <cell r="Y497">
            <v>0</v>
          </cell>
          <cell r="Z497">
            <v>1172.8900000000012</v>
          </cell>
        </row>
        <row r="499">
          <cell r="I499">
            <v>1385.1</v>
          </cell>
          <cell r="L499">
            <v>865.7</v>
          </cell>
          <cell r="N499">
            <v>865.7</v>
          </cell>
          <cell r="O499">
            <v>865.7</v>
          </cell>
          <cell r="P499">
            <v>865.7</v>
          </cell>
          <cell r="Q499">
            <v>865.7</v>
          </cell>
          <cell r="T499">
            <v>1731.4</v>
          </cell>
          <cell r="V499">
            <v>865.7</v>
          </cell>
          <cell r="W499">
            <v>917.5</v>
          </cell>
          <cell r="X499">
            <v>917.78</v>
          </cell>
          <cell r="Z499">
            <v>734.03999999999974</v>
          </cell>
        </row>
        <row r="500">
          <cell r="Z500">
            <v>0</v>
          </cell>
        </row>
        <row r="501">
          <cell r="I501">
            <v>557.54</v>
          </cell>
          <cell r="L501">
            <v>261.44</v>
          </cell>
          <cell r="N501">
            <v>226.8</v>
          </cell>
          <cell r="O501">
            <v>261.39999999999998</v>
          </cell>
          <cell r="P501">
            <v>261.39999999999998</v>
          </cell>
          <cell r="Q501">
            <v>261.39999999999998</v>
          </cell>
          <cell r="T501">
            <v>522.9</v>
          </cell>
          <cell r="V501">
            <v>261.39999999999998</v>
          </cell>
          <cell r="W501">
            <v>280.3</v>
          </cell>
          <cell r="X501">
            <v>280.32</v>
          </cell>
          <cell r="Z501">
            <v>-101.5999999999998</v>
          </cell>
        </row>
        <row r="502">
          <cell r="Z502">
            <v>0</v>
          </cell>
        </row>
        <row r="503">
          <cell r="Z503">
            <v>0</v>
          </cell>
        </row>
        <row r="504">
          <cell r="I504">
            <v>67.400000000000006</v>
          </cell>
          <cell r="L504">
            <v>67.400000000000006</v>
          </cell>
          <cell r="N504">
            <v>72.7</v>
          </cell>
          <cell r="O504">
            <v>69.2</v>
          </cell>
          <cell r="P504">
            <v>88.1</v>
          </cell>
          <cell r="T504">
            <v>69.099999999999994</v>
          </cell>
          <cell r="V504">
            <v>177</v>
          </cell>
          <cell r="Z504">
            <v>43.980000000000047</v>
          </cell>
        </row>
        <row r="505">
          <cell r="Z505">
            <v>0</v>
          </cell>
        </row>
        <row r="506">
          <cell r="Z506">
            <v>0</v>
          </cell>
        </row>
        <row r="507">
          <cell r="N507">
            <v>131.30000000000001</v>
          </cell>
          <cell r="O507">
            <v>93.7</v>
          </cell>
          <cell r="Z507">
            <v>-1.4210854715202004E-14</v>
          </cell>
        </row>
        <row r="508">
          <cell r="N508">
            <v>9.6</v>
          </cell>
          <cell r="W508">
            <v>4.6500000000000004</v>
          </cell>
          <cell r="Z508">
            <v>4.75</v>
          </cell>
        </row>
        <row r="509">
          <cell r="N509">
            <v>196.8</v>
          </cell>
          <cell r="W509">
            <v>98.325000000000003</v>
          </cell>
          <cell r="Z509">
            <v>-90.325000000000003</v>
          </cell>
        </row>
        <row r="511">
          <cell r="N511">
            <v>60</v>
          </cell>
        </row>
        <row r="513">
          <cell r="Q513">
            <v>1127.0999999999999</v>
          </cell>
          <cell r="T513">
            <v>2323.4</v>
          </cell>
          <cell r="U513">
            <v>0</v>
          </cell>
          <cell r="V513">
            <v>1304.0999999999999</v>
          </cell>
          <cell r="W513">
            <v>1300.7750000000001</v>
          </cell>
          <cell r="X513">
            <v>1198.0999999999999</v>
          </cell>
          <cell r="Y513">
            <v>0</v>
          </cell>
          <cell r="Z513">
            <v>590.84499999999991</v>
          </cell>
        </row>
        <row r="514">
          <cell r="Q514">
            <v>0</v>
          </cell>
        </row>
        <row r="515">
          <cell r="I515">
            <v>1902.65</v>
          </cell>
          <cell r="L515">
            <v>1189.1500000000001</v>
          </cell>
          <cell r="N515">
            <v>1189.1500000000001</v>
          </cell>
          <cell r="O515">
            <v>1189.2</v>
          </cell>
          <cell r="P515">
            <v>1189.0999999999999</v>
          </cell>
          <cell r="Q515">
            <v>2378.1999999999998</v>
          </cell>
          <cell r="U515">
            <v>1189.0999999999999</v>
          </cell>
          <cell r="V515">
            <v>1189.0999999999999</v>
          </cell>
          <cell r="W515">
            <v>1260.5999999999999</v>
          </cell>
          <cell r="X515">
            <v>1260.54</v>
          </cell>
          <cell r="Z515">
            <v>504.21000000000095</v>
          </cell>
        </row>
        <row r="516">
          <cell r="Z516">
            <v>0</v>
          </cell>
        </row>
        <row r="517">
          <cell r="I517">
            <v>765.82</v>
          </cell>
          <cell r="L517">
            <v>359.12</v>
          </cell>
          <cell r="N517">
            <v>311.60000000000002</v>
          </cell>
          <cell r="O517">
            <v>359.1</v>
          </cell>
          <cell r="P517">
            <v>359.1</v>
          </cell>
          <cell r="Q517">
            <v>718.2</v>
          </cell>
          <cell r="U517">
            <v>359.1</v>
          </cell>
          <cell r="V517">
            <v>359.1</v>
          </cell>
          <cell r="W517">
            <v>385</v>
          </cell>
          <cell r="X517">
            <v>385.06</v>
          </cell>
          <cell r="Z517">
            <v>-1.7053025658242404E-13</v>
          </cell>
        </row>
        <row r="518">
          <cell r="Z518">
            <v>0</v>
          </cell>
        </row>
        <row r="519">
          <cell r="Z519">
            <v>0</v>
          </cell>
        </row>
        <row r="520">
          <cell r="Z520">
            <v>0</v>
          </cell>
        </row>
        <row r="521">
          <cell r="Z521">
            <v>0</v>
          </cell>
        </row>
        <row r="522">
          <cell r="Z522">
            <v>0</v>
          </cell>
        </row>
        <row r="523">
          <cell r="N523">
            <v>133.69999999999999</v>
          </cell>
          <cell r="O523">
            <v>100.94</v>
          </cell>
          <cell r="Z523">
            <v>0</v>
          </cell>
        </row>
        <row r="524">
          <cell r="N524">
            <v>11</v>
          </cell>
          <cell r="W524">
            <v>5.35</v>
          </cell>
          <cell r="Z524">
            <v>5.4500000000000011</v>
          </cell>
        </row>
        <row r="525">
          <cell r="N525">
            <v>19.600000000000001</v>
          </cell>
          <cell r="W525">
            <v>9.65</v>
          </cell>
          <cell r="Z525">
            <v>9.7499999999999982</v>
          </cell>
        </row>
        <row r="526">
          <cell r="Z526">
            <v>70.36</v>
          </cell>
        </row>
        <row r="527">
          <cell r="N527">
            <v>102.5</v>
          </cell>
          <cell r="O527">
            <v>47.5</v>
          </cell>
          <cell r="Z527">
            <v>145.77600000000001</v>
          </cell>
        </row>
        <row r="529">
          <cell r="Q529">
            <v>3096.4</v>
          </cell>
          <cell r="T529">
            <v>0</v>
          </cell>
          <cell r="U529">
            <v>1548.1999999999998</v>
          </cell>
          <cell r="V529">
            <v>1548.1999999999998</v>
          </cell>
          <cell r="W529">
            <v>1660.6</v>
          </cell>
          <cell r="X529">
            <v>1645.6</v>
          </cell>
          <cell r="Y529">
            <v>0</v>
          </cell>
          <cell r="Z529">
            <v>735.54600000000073</v>
          </cell>
        </row>
        <row r="531">
          <cell r="I531">
            <v>1817.79</v>
          </cell>
          <cell r="L531">
            <v>1136.1199999999999</v>
          </cell>
          <cell r="N531">
            <v>1136.1199999999999</v>
          </cell>
          <cell r="O531">
            <v>1136</v>
          </cell>
          <cell r="P531">
            <v>1136.2</v>
          </cell>
          <cell r="Q531">
            <v>1529.796</v>
          </cell>
          <cell r="T531">
            <v>1182.7</v>
          </cell>
          <cell r="U531">
            <v>695.8</v>
          </cell>
          <cell r="V531">
            <v>1136.0999999999999</v>
          </cell>
          <cell r="W531">
            <v>1204.3</v>
          </cell>
          <cell r="X531">
            <v>1204.32</v>
          </cell>
          <cell r="Y531">
            <v>141</v>
          </cell>
          <cell r="Z531">
            <v>481.75400000000002</v>
          </cell>
        </row>
        <row r="532">
          <cell r="Z532">
            <v>0</v>
          </cell>
        </row>
        <row r="533">
          <cell r="I533">
            <v>731.71</v>
          </cell>
          <cell r="L533">
            <v>343.11</v>
          </cell>
          <cell r="N533">
            <v>297.7</v>
          </cell>
          <cell r="O533">
            <v>343.1</v>
          </cell>
          <cell r="P533">
            <v>343.1</v>
          </cell>
          <cell r="Q533">
            <v>462</v>
          </cell>
          <cell r="T533">
            <v>346.6</v>
          </cell>
          <cell r="U533">
            <v>210.1</v>
          </cell>
          <cell r="V533">
            <v>343.1</v>
          </cell>
          <cell r="W533">
            <v>373.1</v>
          </cell>
          <cell r="X533">
            <v>373.08</v>
          </cell>
          <cell r="Y533">
            <v>-140.9</v>
          </cell>
          <cell r="Z533">
            <v>156</v>
          </cell>
        </row>
        <row r="534">
          <cell r="Z534">
            <v>0</v>
          </cell>
        </row>
        <row r="535">
          <cell r="Z535">
            <v>0</v>
          </cell>
        </row>
        <row r="536">
          <cell r="I536">
            <v>43.1</v>
          </cell>
          <cell r="L536">
            <v>60</v>
          </cell>
          <cell r="N536">
            <v>29.8</v>
          </cell>
          <cell r="O536">
            <v>44.3</v>
          </cell>
          <cell r="P536">
            <v>56.5</v>
          </cell>
          <cell r="T536">
            <v>44.3</v>
          </cell>
          <cell r="V536">
            <v>76</v>
          </cell>
          <cell r="Z536">
            <v>21.7</v>
          </cell>
        </row>
        <row r="537">
          <cell r="Z537">
            <v>0</v>
          </cell>
        </row>
        <row r="538">
          <cell r="N538">
            <v>12.5</v>
          </cell>
          <cell r="Z538">
            <v>37.5</v>
          </cell>
        </row>
        <row r="539">
          <cell r="N539">
            <v>182.5</v>
          </cell>
          <cell r="O539">
            <v>108.34</v>
          </cell>
          <cell r="Z539">
            <v>39.159999999999997</v>
          </cell>
        </row>
        <row r="540">
          <cell r="N540">
            <v>13.8</v>
          </cell>
          <cell r="W540">
            <v>6.8250000000000002</v>
          </cell>
          <cell r="Z540">
            <v>6.875</v>
          </cell>
        </row>
        <row r="541">
          <cell r="N541">
            <v>745.8</v>
          </cell>
          <cell r="W541">
            <v>372.97500000000002</v>
          </cell>
          <cell r="Y541">
            <v>-0.1</v>
          </cell>
          <cell r="Z541">
            <v>372.92500000000001</v>
          </cell>
        </row>
        <row r="542">
          <cell r="Z542">
            <v>175</v>
          </cell>
        </row>
        <row r="543">
          <cell r="N543">
            <v>87.5</v>
          </cell>
          <cell r="O543">
            <v>29.2</v>
          </cell>
          <cell r="W543">
            <v>200</v>
          </cell>
          <cell r="Z543">
            <v>33.299999999999997</v>
          </cell>
        </row>
        <row r="545">
          <cell r="Q545">
            <v>1991.796</v>
          </cell>
          <cell r="T545">
            <v>1573.6000000000001</v>
          </cell>
          <cell r="U545">
            <v>905.9</v>
          </cell>
          <cell r="V545">
            <v>1555.1999999999998</v>
          </cell>
          <cell r="W545">
            <v>2157.2000000000003</v>
          </cell>
          <cell r="X545">
            <v>1577.3999999999999</v>
          </cell>
          <cell r="Y545">
            <v>-5.6898930012039273E-15</v>
          </cell>
          <cell r="Z545">
            <v>1324.2139999999999</v>
          </cell>
        </row>
        <row r="547">
          <cell r="I547">
            <v>5097.92</v>
          </cell>
          <cell r="L547">
            <v>3186.22</v>
          </cell>
          <cell r="N547">
            <v>3186.22</v>
          </cell>
          <cell r="O547">
            <v>3186.2</v>
          </cell>
          <cell r="P547">
            <v>3186.3</v>
          </cell>
          <cell r="Q547">
            <v>3186.2</v>
          </cell>
          <cell r="T547">
            <v>6872.4</v>
          </cell>
          <cell r="V547">
            <v>3186.2</v>
          </cell>
          <cell r="W547">
            <v>3169.1</v>
          </cell>
          <cell r="X547">
            <v>3169.18</v>
          </cell>
          <cell r="Z547">
            <v>1817.56</v>
          </cell>
        </row>
        <row r="548">
          <cell r="Z548">
            <v>0</v>
          </cell>
        </row>
        <row r="549">
          <cell r="I549">
            <v>2051.94</v>
          </cell>
          <cell r="L549">
            <v>962.24</v>
          </cell>
          <cell r="N549">
            <v>834.8</v>
          </cell>
          <cell r="O549">
            <v>962.2</v>
          </cell>
          <cell r="P549">
            <v>962.3</v>
          </cell>
          <cell r="Q549">
            <v>962.2</v>
          </cell>
          <cell r="T549">
            <v>2075.5</v>
          </cell>
          <cell r="V549">
            <v>962.2</v>
          </cell>
          <cell r="W549">
            <v>956</v>
          </cell>
          <cell r="X549">
            <v>956.02</v>
          </cell>
          <cell r="Z549">
            <v>-550</v>
          </cell>
        </row>
        <row r="550">
          <cell r="Z550">
            <v>0</v>
          </cell>
        </row>
        <row r="551">
          <cell r="Z551">
            <v>19.715</v>
          </cell>
        </row>
        <row r="555">
          <cell r="N555">
            <v>51.2</v>
          </cell>
          <cell r="O555">
            <v>53.44</v>
          </cell>
          <cell r="V555">
            <v>300</v>
          </cell>
          <cell r="Z555">
            <v>83.816000000000031</v>
          </cell>
        </row>
        <row r="556">
          <cell r="N556">
            <v>32.200000000000003</v>
          </cell>
          <cell r="W556">
            <v>17.225000000000001</v>
          </cell>
          <cell r="Z556">
            <v>16.475000000000001</v>
          </cell>
        </row>
        <row r="557">
          <cell r="N557">
            <v>32.4</v>
          </cell>
          <cell r="W557">
            <v>16.2</v>
          </cell>
          <cell r="Z557">
            <v>-3.5527136788005009E-15</v>
          </cell>
        </row>
        <row r="558">
          <cell r="Z558">
            <v>83.816000000000003</v>
          </cell>
        </row>
        <row r="559">
          <cell r="N559">
            <v>65</v>
          </cell>
          <cell r="O559">
            <v>35</v>
          </cell>
          <cell r="Z559">
            <v>71.842999999999989</v>
          </cell>
        </row>
        <row r="562">
          <cell r="Z562">
            <v>103.53100000000001</v>
          </cell>
        </row>
        <row r="564">
          <cell r="I564">
            <v>1733.37</v>
          </cell>
          <cell r="L564">
            <v>1083.3699999999999</v>
          </cell>
          <cell r="N564">
            <v>1083.3699999999999</v>
          </cell>
          <cell r="O564">
            <v>1083.4000000000001</v>
          </cell>
          <cell r="P564">
            <v>1083.4000000000001</v>
          </cell>
          <cell r="Q564">
            <v>1083.4000000000001</v>
          </cell>
          <cell r="T564">
            <v>2166.8000000000002</v>
          </cell>
          <cell r="V564">
            <v>1083.4000000000001</v>
          </cell>
          <cell r="W564">
            <v>1148.3</v>
          </cell>
          <cell r="X564">
            <v>1148.46</v>
          </cell>
          <cell r="Z564">
            <v>459.23000000000388</v>
          </cell>
        </row>
        <row r="565">
          <cell r="Z565">
            <v>0</v>
          </cell>
        </row>
        <row r="566">
          <cell r="I566">
            <v>697.68</v>
          </cell>
          <cell r="L566">
            <v>327.18</v>
          </cell>
          <cell r="N566">
            <v>283.8</v>
          </cell>
          <cell r="O566">
            <v>327.2</v>
          </cell>
          <cell r="P566">
            <v>327.2</v>
          </cell>
          <cell r="Q566">
            <v>327.2</v>
          </cell>
          <cell r="T566">
            <v>654.4</v>
          </cell>
          <cell r="V566">
            <v>327.2</v>
          </cell>
          <cell r="W566">
            <v>350.7</v>
          </cell>
          <cell r="X566">
            <v>350.74</v>
          </cell>
          <cell r="Z566">
            <v>2.8421709430404007E-13</v>
          </cell>
        </row>
        <row r="567">
          <cell r="Z567">
            <v>0</v>
          </cell>
        </row>
        <row r="568">
          <cell r="Z568">
            <v>0</v>
          </cell>
        </row>
        <row r="569">
          <cell r="I569">
            <v>16.5</v>
          </cell>
          <cell r="L569">
            <v>16.5</v>
          </cell>
          <cell r="N569">
            <v>17.8</v>
          </cell>
          <cell r="P569">
            <v>43</v>
          </cell>
          <cell r="T569">
            <v>10.6</v>
          </cell>
          <cell r="V569">
            <v>31</v>
          </cell>
          <cell r="Z569">
            <v>7.1054273576010019E-15</v>
          </cell>
        </row>
        <row r="570">
          <cell r="Z570">
            <v>0</v>
          </cell>
        </row>
        <row r="571">
          <cell r="Z571">
            <v>0</v>
          </cell>
        </row>
        <row r="572">
          <cell r="N572">
            <v>78.8</v>
          </cell>
          <cell r="O572">
            <v>136.19999999999999</v>
          </cell>
          <cell r="Z572">
            <v>50</v>
          </cell>
        </row>
        <row r="573">
          <cell r="N573">
            <v>9.4</v>
          </cell>
          <cell r="W573">
            <v>4.55</v>
          </cell>
          <cell r="Z573">
            <v>4.6500000000000012</v>
          </cell>
        </row>
        <row r="574">
          <cell r="N574">
            <v>73.8</v>
          </cell>
          <cell r="W574">
            <v>37.049999999999997</v>
          </cell>
          <cell r="Z574">
            <v>-4.9999999999982947E-2</v>
          </cell>
        </row>
        <row r="575">
          <cell r="Z575">
            <v>350</v>
          </cell>
        </row>
        <row r="576">
          <cell r="N576">
            <v>10</v>
          </cell>
          <cell r="Z576">
            <v>97.6</v>
          </cell>
        </row>
        <row r="578">
          <cell r="Q578">
            <v>1410.6</v>
          </cell>
          <cell r="T578">
            <v>2831.8</v>
          </cell>
          <cell r="U578">
            <v>0</v>
          </cell>
          <cell r="V578">
            <v>1441.6000000000001</v>
          </cell>
          <cell r="W578">
            <v>1540.6</v>
          </cell>
          <cell r="X578">
            <v>1499.2</v>
          </cell>
          <cell r="Y578">
            <v>0</v>
          </cell>
          <cell r="Z578">
            <v>961.43000000000427</v>
          </cell>
        </row>
        <row r="580">
          <cell r="I580">
            <v>891.2</v>
          </cell>
          <cell r="L580">
            <v>557</v>
          </cell>
          <cell r="N580">
            <v>557</v>
          </cell>
          <cell r="O580">
            <v>557</v>
          </cell>
          <cell r="P580">
            <v>557</v>
          </cell>
          <cell r="Q580">
            <v>1114</v>
          </cell>
          <cell r="U580">
            <v>557</v>
          </cell>
          <cell r="V580">
            <v>557</v>
          </cell>
          <cell r="W580">
            <v>590.4</v>
          </cell>
          <cell r="X580">
            <v>590.41999999999996</v>
          </cell>
          <cell r="Z580">
            <v>236.18000000000006</v>
          </cell>
        </row>
        <row r="582">
          <cell r="I582">
            <v>358.71</v>
          </cell>
          <cell r="L582">
            <v>168.21</v>
          </cell>
          <cell r="N582">
            <v>145.9</v>
          </cell>
          <cell r="O582">
            <v>168.2</v>
          </cell>
          <cell r="P582">
            <v>168.2</v>
          </cell>
          <cell r="Q582">
            <v>336.4</v>
          </cell>
          <cell r="U582">
            <v>168.2</v>
          </cell>
          <cell r="V582">
            <v>168.2</v>
          </cell>
          <cell r="W582">
            <v>180.4</v>
          </cell>
          <cell r="X582">
            <v>180.38</v>
          </cell>
        </row>
        <row r="588">
          <cell r="N588">
            <v>31.3</v>
          </cell>
          <cell r="O588">
            <v>93.7</v>
          </cell>
        </row>
        <row r="589">
          <cell r="N589">
            <v>5.4</v>
          </cell>
          <cell r="W589">
            <v>2.5499999999999998</v>
          </cell>
        </row>
        <row r="590">
          <cell r="N590">
            <v>6</v>
          </cell>
          <cell r="W590">
            <v>3.15</v>
          </cell>
        </row>
        <row r="592">
          <cell r="N592">
            <v>15</v>
          </cell>
        </row>
        <row r="594">
          <cell r="Q594">
            <v>1450.4</v>
          </cell>
          <cell r="T594">
            <v>0</v>
          </cell>
          <cell r="U594">
            <v>725.2</v>
          </cell>
          <cell r="V594">
            <v>725.2</v>
          </cell>
          <cell r="W594">
            <v>776.49999999999989</v>
          </cell>
          <cell r="X594">
            <v>770.8</v>
          </cell>
          <cell r="Y594">
            <v>0</v>
          </cell>
          <cell r="Z594">
            <v>236.18000000000006</v>
          </cell>
        </row>
        <row r="596">
          <cell r="I596">
            <v>887.87</v>
          </cell>
          <cell r="L596">
            <v>554.91999999999996</v>
          </cell>
          <cell r="N596">
            <v>554.91999999999996</v>
          </cell>
          <cell r="O596">
            <v>554.9</v>
          </cell>
          <cell r="P596">
            <v>554.9</v>
          </cell>
          <cell r="Q596">
            <v>1109.8</v>
          </cell>
          <cell r="U596">
            <v>554.9</v>
          </cell>
          <cell r="V596">
            <v>554.9</v>
          </cell>
          <cell r="W596">
            <v>588.20000000000005</v>
          </cell>
          <cell r="X596">
            <v>588.38</v>
          </cell>
          <cell r="Z596">
            <v>235.20999999999992</v>
          </cell>
        </row>
        <row r="597">
          <cell r="Z597">
            <v>0</v>
          </cell>
        </row>
        <row r="598">
          <cell r="I598">
            <v>357.39</v>
          </cell>
          <cell r="L598">
            <v>167.59</v>
          </cell>
          <cell r="N598">
            <v>145.4</v>
          </cell>
          <cell r="O598">
            <v>167.6</v>
          </cell>
          <cell r="P598">
            <v>167.6</v>
          </cell>
          <cell r="Q598">
            <v>335.2</v>
          </cell>
          <cell r="U598">
            <v>167.6</v>
          </cell>
          <cell r="V598">
            <v>167.7</v>
          </cell>
          <cell r="W598">
            <v>179.6</v>
          </cell>
          <cell r="X598">
            <v>179.52</v>
          </cell>
          <cell r="Z598">
            <v>5.6843418860808015E-14</v>
          </cell>
        </row>
        <row r="599">
          <cell r="Z599">
            <v>0</v>
          </cell>
        </row>
        <row r="600">
          <cell r="Z600">
            <v>0</v>
          </cell>
        </row>
        <row r="601">
          <cell r="I601">
            <v>30</v>
          </cell>
          <cell r="L601">
            <v>30</v>
          </cell>
          <cell r="T601">
            <v>15.7</v>
          </cell>
          <cell r="V601">
            <v>96.5</v>
          </cell>
          <cell r="Z601">
            <v>-1.4210854715202004E-14</v>
          </cell>
        </row>
        <row r="602">
          <cell r="Z602">
            <v>0</v>
          </cell>
        </row>
        <row r="603">
          <cell r="N603">
            <v>20</v>
          </cell>
          <cell r="Z603">
            <v>60</v>
          </cell>
        </row>
        <row r="604">
          <cell r="N604">
            <v>43.8</v>
          </cell>
          <cell r="O604">
            <v>104.64</v>
          </cell>
          <cell r="Z604">
            <v>26.559999999999988</v>
          </cell>
        </row>
        <row r="605">
          <cell r="N605">
            <v>5.6</v>
          </cell>
          <cell r="W605">
            <v>2.65</v>
          </cell>
          <cell r="Z605">
            <v>2.7500000000000004</v>
          </cell>
        </row>
        <row r="606">
          <cell r="N606">
            <v>49.8</v>
          </cell>
          <cell r="W606">
            <v>24.97</v>
          </cell>
          <cell r="Z606">
            <v>3.0000000000015348E-2</v>
          </cell>
        </row>
        <row r="607">
          <cell r="Z607">
            <v>50</v>
          </cell>
        </row>
        <row r="608">
          <cell r="N608">
            <v>37.5</v>
          </cell>
          <cell r="O608">
            <v>12.5</v>
          </cell>
          <cell r="Z608">
            <v>5.33</v>
          </cell>
        </row>
        <row r="610">
          <cell r="Q610">
            <v>1445</v>
          </cell>
          <cell r="T610">
            <v>15.7</v>
          </cell>
          <cell r="U610">
            <v>722.5</v>
          </cell>
          <cell r="V610">
            <v>819.09999999999991</v>
          </cell>
          <cell r="W610">
            <v>795.42000000000007</v>
          </cell>
          <cell r="X610">
            <v>767.9</v>
          </cell>
          <cell r="Y610">
            <v>0</v>
          </cell>
          <cell r="Z610">
            <v>379.88</v>
          </cell>
        </row>
        <row r="612">
          <cell r="I612">
            <v>3023.52</v>
          </cell>
          <cell r="L612">
            <v>1889.72</v>
          </cell>
          <cell r="N612">
            <v>1889.72</v>
          </cell>
          <cell r="O612">
            <v>1889.7</v>
          </cell>
          <cell r="P612">
            <v>1889.7</v>
          </cell>
          <cell r="Q612">
            <v>1889.7</v>
          </cell>
          <cell r="T612">
            <v>3779.4</v>
          </cell>
          <cell r="V612">
            <v>1889.7</v>
          </cell>
          <cell r="W612">
            <v>2003.1</v>
          </cell>
          <cell r="X612">
            <v>2003.2570000000001</v>
          </cell>
          <cell r="Z612">
            <v>800.8259999999982</v>
          </cell>
        </row>
        <row r="613">
          <cell r="Q613">
            <v>6.6</v>
          </cell>
          <cell r="Z613">
            <v>0</v>
          </cell>
        </row>
        <row r="614">
          <cell r="I614">
            <v>1217</v>
          </cell>
          <cell r="L614">
            <v>570.70000000000005</v>
          </cell>
          <cell r="N614">
            <v>495.1</v>
          </cell>
          <cell r="O614">
            <v>570.70000000000005</v>
          </cell>
          <cell r="P614">
            <v>570.70000000000005</v>
          </cell>
          <cell r="Q614">
            <v>570.70000000000005</v>
          </cell>
          <cell r="T614">
            <v>1141.4000000000001</v>
          </cell>
          <cell r="V614">
            <v>570.70000000000005</v>
          </cell>
          <cell r="W614">
            <v>611.79999999999995</v>
          </cell>
          <cell r="X614">
            <v>611.70000000000005</v>
          </cell>
          <cell r="Z614">
            <v>0.35700000000019827</v>
          </cell>
        </row>
        <row r="615">
          <cell r="Z615">
            <v>0</v>
          </cell>
        </row>
        <row r="616">
          <cell r="Q616">
            <v>283.53399999999999</v>
          </cell>
          <cell r="Z616">
            <v>10.084999999999999</v>
          </cell>
        </row>
        <row r="617">
          <cell r="I617">
            <v>29.8</v>
          </cell>
          <cell r="L617">
            <v>29.8</v>
          </cell>
          <cell r="N617">
            <v>32.200000000000003</v>
          </cell>
          <cell r="O617">
            <v>47.95</v>
          </cell>
          <cell r="P617">
            <v>16.8</v>
          </cell>
          <cell r="T617">
            <v>37.1</v>
          </cell>
          <cell r="V617">
            <v>51</v>
          </cell>
          <cell r="Z617">
            <v>122.35</v>
          </cell>
        </row>
        <row r="618">
          <cell r="Z618">
            <v>0</v>
          </cell>
        </row>
        <row r="619">
          <cell r="N619">
            <v>2.5</v>
          </cell>
          <cell r="Z619">
            <v>7.5</v>
          </cell>
        </row>
        <row r="620">
          <cell r="N620">
            <v>103.8</v>
          </cell>
          <cell r="O620">
            <v>321.08</v>
          </cell>
          <cell r="P620">
            <v>-9.8800000000000008</v>
          </cell>
          <cell r="Q620">
            <v>159.43</v>
          </cell>
          <cell r="W620">
            <v>331.8</v>
          </cell>
          <cell r="X620">
            <v>130.1</v>
          </cell>
          <cell r="Z620">
            <v>450.73</v>
          </cell>
        </row>
        <row r="621">
          <cell r="N621">
            <v>17.2</v>
          </cell>
          <cell r="W621">
            <v>8.4499999999999993</v>
          </cell>
          <cell r="Z621">
            <v>8.5500000000000043</v>
          </cell>
        </row>
        <row r="622">
          <cell r="N622">
            <v>403.4</v>
          </cell>
          <cell r="W622">
            <v>71.599999999999994</v>
          </cell>
          <cell r="Z622">
            <v>44.320999999999998</v>
          </cell>
        </row>
        <row r="623">
          <cell r="Z623">
            <v>4042.4789999999998</v>
          </cell>
        </row>
        <row r="624">
          <cell r="N624">
            <v>22.5</v>
          </cell>
          <cell r="O624">
            <v>3.53</v>
          </cell>
          <cell r="Z624">
            <v>63.97</v>
          </cell>
        </row>
        <row r="629">
          <cell r="I629">
            <v>348.74</v>
          </cell>
          <cell r="L629">
            <v>217.96</v>
          </cell>
          <cell r="N629">
            <v>217.96</v>
          </cell>
          <cell r="O629">
            <v>218</v>
          </cell>
          <cell r="P629">
            <v>217.9</v>
          </cell>
          <cell r="Q629">
            <v>218</v>
          </cell>
          <cell r="T629">
            <v>436</v>
          </cell>
          <cell r="V629">
            <v>218</v>
          </cell>
          <cell r="W629">
            <v>231</v>
          </cell>
          <cell r="X629">
            <v>231.14</v>
          </cell>
          <cell r="Z629">
            <v>92.199999999999704</v>
          </cell>
        </row>
        <row r="630">
          <cell r="Z630">
            <v>0</v>
          </cell>
        </row>
        <row r="631">
          <cell r="I631">
            <v>140.32</v>
          </cell>
          <cell r="L631">
            <v>65.819999999999993</v>
          </cell>
          <cell r="N631">
            <v>57.1</v>
          </cell>
          <cell r="O631">
            <v>65.8</v>
          </cell>
          <cell r="P631">
            <v>65.8</v>
          </cell>
          <cell r="Q631">
            <v>65.8</v>
          </cell>
          <cell r="T631">
            <v>131.69999999999999</v>
          </cell>
          <cell r="V631">
            <v>65.8</v>
          </cell>
          <cell r="W631">
            <v>70.599999999999994</v>
          </cell>
          <cell r="X631">
            <v>70.66</v>
          </cell>
          <cell r="Z631">
            <v>13.549999999999898</v>
          </cell>
        </row>
        <row r="632">
          <cell r="Z632">
            <v>0</v>
          </cell>
        </row>
        <row r="633">
          <cell r="Z633">
            <v>0</v>
          </cell>
        </row>
        <row r="634">
          <cell r="Z634">
            <v>0</v>
          </cell>
        </row>
        <row r="635">
          <cell r="Z635">
            <v>0</v>
          </cell>
        </row>
        <row r="636">
          <cell r="N636">
            <v>2.5</v>
          </cell>
          <cell r="Z636">
            <v>5.5299999999999994</v>
          </cell>
        </row>
        <row r="637">
          <cell r="N637">
            <v>12.5</v>
          </cell>
          <cell r="O637">
            <v>37.5</v>
          </cell>
          <cell r="Z637">
            <v>0</v>
          </cell>
        </row>
        <row r="638">
          <cell r="N638">
            <v>2.86</v>
          </cell>
          <cell r="W638">
            <v>1.415</v>
          </cell>
          <cell r="Z638">
            <v>1.4250000000000003</v>
          </cell>
        </row>
        <row r="639">
          <cell r="N639">
            <v>7.1</v>
          </cell>
          <cell r="W639">
            <v>3.55</v>
          </cell>
          <cell r="Z639">
            <v>1.9200000000000008</v>
          </cell>
        </row>
        <row r="640">
          <cell r="Z640">
            <v>17.45</v>
          </cell>
        </row>
        <row r="641">
          <cell r="N641">
            <v>16.25</v>
          </cell>
          <cell r="Z641">
            <v>4.4249999999999972</v>
          </cell>
        </row>
        <row r="643">
          <cell r="Q643">
            <v>283.8</v>
          </cell>
          <cell r="T643">
            <v>567.70000000000005</v>
          </cell>
          <cell r="U643">
            <v>0</v>
          </cell>
          <cell r="V643">
            <v>283.8</v>
          </cell>
          <cell r="W643">
            <v>306.56500000000005</v>
          </cell>
          <cell r="X643">
            <v>301.79999999999995</v>
          </cell>
          <cell r="Y643">
            <v>0</v>
          </cell>
          <cell r="Z643">
            <v>136.4999999999996</v>
          </cell>
        </row>
        <row r="645">
          <cell r="I645">
            <v>1752.77</v>
          </cell>
          <cell r="L645">
            <v>1095.47</v>
          </cell>
          <cell r="N645">
            <v>1095.47</v>
          </cell>
          <cell r="O645">
            <v>1095.5</v>
          </cell>
          <cell r="P645">
            <v>1095.4000000000001</v>
          </cell>
          <cell r="Q645">
            <v>2191</v>
          </cell>
          <cell r="U645">
            <v>1095.5</v>
          </cell>
          <cell r="V645">
            <v>1095.5</v>
          </cell>
          <cell r="W645">
            <v>1161.2</v>
          </cell>
          <cell r="X645">
            <v>1161.1600000000001</v>
          </cell>
          <cell r="Z645">
            <v>464.43000000000075</v>
          </cell>
        </row>
        <row r="646">
          <cell r="Q646">
            <v>16.7</v>
          </cell>
          <cell r="Z646">
            <v>0</v>
          </cell>
        </row>
        <row r="647">
          <cell r="I647">
            <v>705.53</v>
          </cell>
          <cell r="L647">
            <v>330.83</v>
          </cell>
          <cell r="N647">
            <v>287</v>
          </cell>
          <cell r="O647">
            <v>330.8</v>
          </cell>
          <cell r="P647">
            <v>330.8</v>
          </cell>
          <cell r="Q647">
            <v>661.7</v>
          </cell>
          <cell r="U647">
            <v>330.8</v>
          </cell>
          <cell r="V647">
            <v>330.8</v>
          </cell>
          <cell r="W647">
            <v>354.7</v>
          </cell>
          <cell r="X647">
            <v>354.64</v>
          </cell>
          <cell r="Z647">
            <v>-2.8421709430404007E-13</v>
          </cell>
        </row>
        <row r="648">
          <cell r="Z648">
            <v>0</v>
          </cell>
        </row>
        <row r="649">
          <cell r="O649">
            <v>354</v>
          </cell>
          <cell r="Q649">
            <v>145.87200000000001</v>
          </cell>
          <cell r="Z649">
            <v>139.50500000000005</v>
          </cell>
        </row>
        <row r="650">
          <cell r="Z650">
            <v>0</v>
          </cell>
        </row>
        <row r="651">
          <cell r="Z651">
            <v>0</v>
          </cell>
        </row>
        <row r="652">
          <cell r="Z652">
            <v>0</v>
          </cell>
        </row>
        <row r="653">
          <cell r="N653">
            <v>59.4</v>
          </cell>
          <cell r="O653">
            <v>240</v>
          </cell>
          <cell r="Q653">
            <v>166.7</v>
          </cell>
          <cell r="Z653">
            <v>108.82</v>
          </cell>
        </row>
        <row r="654">
          <cell r="N654">
            <v>9.4</v>
          </cell>
          <cell r="Z654">
            <v>9.4</v>
          </cell>
        </row>
        <row r="655">
          <cell r="N655">
            <v>6.2</v>
          </cell>
          <cell r="Z655">
            <v>8.8817841970012523E-16</v>
          </cell>
        </row>
        <row r="656">
          <cell r="Z656">
            <v>1000</v>
          </cell>
        </row>
        <row r="657">
          <cell r="N657">
            <v>4.4000000000000004</v>
          </cell>
          <cell r="Z657">
            <v>213.2</v>
          </cell>
        </row>
        <row r="660">
          <cell r="Q660">
            <v>329.27199999999999</v>
          </cell>
          <cell r="Z660">
            <v>38.325000000000003</v>
          </cell>
        </row>
        <row r="661">
          <cell r="Q661">
            <v>0</v>
          </cell>
        </row>
        <row r="662">
          <cell r="I662">
            <v>2046.63</v>
          </cell>
          <cell r="L662">
            <v>1279.1300000000001</v>
          </cell>
          <cell r="N662">
            <v>1279.1300000000001</v>
          </cell>
          <cell r="O662">
            <v>1279.0999999999999</v>
          </cell>
          <cell r="P662">
            <v>1279.0999999999999</v>
          </cell>
          <cell r="Q662">
            <v>1279.0999999999999</v>
          </cell>
          <cell r="T662">
            <v>1279.0999999999999</v>
          </cell>
          <cell r="U662">
            <v>2558.3000000000002</v>
          </cell>
          <cell r="V662">
            <v>1279.0999999999999</v>
          </cell>
          <cell r="W662">
            <v>822.9</v>
          </cell>
          <cell r="X662">
            <v>822.9</v>
          </cell>
          <cell r="Y662">
            <v>0.06</v>
          </cell>
          <cell r="Z662">
            <v>329.21</v>
          </cell>
        </row>
        <row r="663">
          <cell r="Q663">
            <v>23.1</v>
          </cell>
          <cell r="Z663">
            <v>0</v>
          </cell>
        </row>
        <row r="664">
          <cell r="I664">
            <v>823.8</v>
          </cell>
          <cell r="L664">
            <v>386.3</v>
          </cell>
          <cell r="N664">
            <v>335.1</v>
          </cell>
          <cell r="O664">
            <v>386.3</v>
          </cell>
          <cell r="P664">
            <v>386.3</v>
          </cell>
          <cell r="Q664">
            <v>386.3</v>
          </cell>
          <cell r="T664">
            <v>386.3</v>
          </cell>
          <cell r="U664">
            <v>772.6</v>
          </cell>
          <cell r="V664">
            <v>386.3</v>
          </cell>
          <cell r="W664">
            <v>221</v>
          </cell>
          <cell r="X664">
            <v>220.9</v>
          </cell>
          <cell r="Z664">
            <v>-7.673861546209082E-13</v>
          </cell>
        </row>
        <row r="665">
          <cell r="Z665">
            <v>0</v>
          </cell>
        </row>
        <row r="666">
          <cell r="Q666">
            <v>195.16200000000001</v>
          </cell>
          <cell r="Z666">
            <v>0</v>
          </cell>
        </row>
        <row r="667">
          <cell r="I667">
            <v>6.8</v>
          </cell>
          <cell r="L667">
            <v>6.8</v>
          </cell>
          <cell r="N667">
            <v>7.4</v>
          </cell>
          <cell r="O667">
            <v>7</v>
          </cell>
          <cell r="P667">
            <v>8.9</v>
          </cell>
          <cell r="T667">
            <v>7</v>
          </cell>
          <cell r="V667">
            <v>12</v>
          </cell>
          <cell r="Y667">
            <v>-0.06</v>
          </cell>
          <cell r="Z667">
            <v>28.1</v>
          </cell>
        </row>
        <row r="668">
          <cell r="I668">
            <v>13.33</v>
          </cell>
          <cell r="L668">
            <v>13.33</v>
          </cell>
          <cell r="N668">
            <v>13.34</v>
          </cell>
          <cell r="O668">
            <v>13.33</v>
          </cell>
          <cell r="P668">
            <v>13.34</v>
          </cell>
          <cell r="Z668">
            <v>93.32999999999997</v>
          </cell>
        </row>
        <row r="669">
          <cell r="Z669">
            <v>0</v>
          </cell>
        </row>
        <row r="670">
          <cell r="N670">
            <v>64.2</v>
          </cell>
          <cell r="O670">
            <v>92.6</v>
          </cell>
          <cell r="Q670">
            <v>195.99</v>
          </cell>
          <cell r="Z670">
            <v>50.000000000000028</v>
          </cell>
        </row>
        <row r="671">
          <cell r="N671">
            <v>10</v>
          </cell>
          <cell r="W671">
            <v>4.9249999999999998</v>
          </cell>
          <cell r="Z671">
            <v>4.9749999999999988</v>
          </cell>
        </row>
        <row r="672">
          <cell r="N672">
            <v>10.6</v>
          </cell>
          <cell r="W672">
            <v>5.375</v>
          </cell>
          <cell r="Z672">
            <v>5.3250000000000011</v>
          </cell>
        </row>
        <row r="673">
          <cell r="Z673">
            <v>300</v>
          </cell>
        </row>
        <row r="674">
          <cell r="N674">
            <v>50</v>
          </cell>
          <cell r="O674">
            <v>16.7</v>
          </cell>
          <cell r="Z674">
            <v>133.30000000000001</v>
          </cell>
        </row>
        <row r="677">
          <cell r="Q677">
            <v>414.25200000000001</v>
          </cell>
        </row>
        <row r="679">
          <cell r="I679">
            <v>605.23</v>
          </cell>
          <cell r="L679">
            <v>378.27</v>
          </cell>
          <cell r="N679">
            <v>378.27</v>
          </cell>
          <cell r="O679">
            <v>378.3</v>
          </cell>
          <cell r="P679">
            <v>378.2</v>
          </cell>
          <cell r="Q679">
            <v>756.6</v>
          </cell>
          <cell r="U679">
            <v>378.3</v>
          </cell>
          <cell r="V679">
            <v>378.3</v>
          </cell>
          <cell r="W679">
            <v>400.9</v>
          </cell>
          <cell r="X679">
            <v>401.18</v>
          </cell>
          <cell r="Z679">
            <v>160.15000000000003</v>
          </cell>
        </row>
        <row r="681">
          <cell r="I681">
            <v>243.64</v>
          </cell>
          <cell r="L681">
            <v>114.24</v>
          </cell>
          <cell r="N681">
            <v>99.1</v>
          </cell>
          <cell r="O681">
            <v>114.2</v>
          </cell>
          <cell r="P681">
            <v>114.2</v>
          </cell>
          <cell r="Q681">
            <v>228.5</v>
          </cell>
          <cell r="U681">
            <v>114.2</v>
          </cell>
          <cell r="V681">
            <v>114.2</v>
          </cell>
          <cell r="W681">
            <v>122.5</v>
          </cell>
          <cell r="X681">
            <v>122.52</v>
          </cell>
        </row>
        <row r="684">
          <cell r="I684">
            <v>2</v>
          </cell>
          <cell r="L684">
            <v>2</v>
          </cell>
          <cell r="N684">
            <v>2.2000000000000002</v>
          </cell>
          <cell r="O684">
            <v>2.1</v>
          </cell>
          <cell r="P684">
            <v>2.6</v>
          </cell>
          <cell r="T684">
            <v>2</v>
          </cell>
          <cell r="V684">
            <v>4</v>
          </cell>
        </row>
        <row r="687">
          <cell r="N687">
            <v>26.2</v>
          </cell>
          <cell r="O687">
            <v>78.44</v>
          </cell>
        </row>
        <row r="688">
          <cell r="N688">
            <v>4</v>
          </cell>
          <cell r="W688">
            <v>2</v>
          </cell>
        </row>
        <row r="689">
          <cell r="N689">
            <v>9.5</v>
          </cell>
          <cell r="W689">
            <v>4.75</v>
          </cell>
        </row>
        <row r="693">
          <cell r="Q693">
            <v>985.1</v>
          </cell>
          <cell r="T693">
            <v>2</v>
          </cell>
          <cell r="U693">
            <v>492.5</v>
          </cell>
          <cell r="V693">
            <v>496.5</v>
          </cell>
          <cell r="W693">
            <v>530.15</v>
          </cell>
          <cell r="X693">
            <v>523.70000000000005</v>
          </cell>
          <cell r="Y693">
            <v>0</v>
          </cell>
          <cell r="Z693">
            <v>160.15000000000003</v>
          </cell>
        </row>
        <row r="694">
          <cell r="Q694">
            <v>0</v>
          </cell>
        </row>
        <row r="695">
          <cell r="I695">
            <v>488.2</v>
          </cell>
          <cell r="L695">
            <v>305.10000000000002</v>
          </cell>
          <cell r="N695">
            <v>305.10000000000002</v>
          </cell>
          <cell r="O695">
            <v>305.10000000000002</v>
          </cell>
          <cell r="P695">
            <v>305.10000000000002</v>
          </cell>
          <cell r="Q695">
            <v>305.10000000000002</v>
          </cell>
          <cell r="T695">
            <v>610.20000000000005</v>
          </cell>
          <cell r="V695">
            <v>305.10000000000002</v>
          </cell>
          <cell r="W695">
            <v>323.39999999999998</v>
          </cell>
          <cell r="X695">
            <v>323.48</v>
          </cell>
          <cell r="Z695">
            <v>129.32000000000039</v>
          </cell>
        </row>
        <row r="697">
          <cell r="I697">
            <v>196.54</v>
          </cell>
          <cell r="L697">
            <v>92.14</v>
          </cell>
          <cell r="N697">
            <v>79.900000000000006</v>
          </cell>
          <cell r="O697">
            <v>92.1</v>
          </cell>
          <cell r="P697">
            <v>92.1</v>
          </cell>
          <cell r="Q697">
            <v>92.1</v>
          </cell>
          <cell r="T697">
            <v>184.3</v>
          </cell>
          <cell r="V697">
            <v>92.1</v>
          </cell>
          <cell r="W697">
            <v>98.9</v>
          </cell>
          <cell r="X697">
            <v>98.82</v>
          </cell>
        </row>
        <row r="703">
          <cell r="N703">
            <v>28.8</v>
          </cell>
          <cell r="O703">
            <v>86.2</v>
          </cell>
        </row>
        <row r="704">
          <cell r="N704">
            <v>4</v>
          </cell>
          <cell r="W704">
            <v>2</v>
          </cell>
        </row>
        <row r="705">
          <cell r="N705">
            <v>12.8</v>
          </cell>
          <cell r="W705">
            <v>6.3250000000000002</v>
          </cell>
        </row>
        <row r="707">
          <cell r="N707">
            <v>7.5</v>
          </cell>
        </row>
        <row r="710">
          <cell r="Q710">
            <v>0</v>
          </cell>
        </row>
        <row r="711">
          <cell r="I711">
            <v>691.2</v>
          </cell>
          <cell r="L711">
            <v>432</v>
          </cell>
          <cell r="N711">
            <v>432</v>
          </cell>
          <cell r="O711">
            <v>432</v>
          </cell>
          <cell r="P711">
            <v>431.9</v>
          </cell>
          <cell r="Q711">
            <v>432</v>
          </cell>
          <cell r="T711">
            <v>864</v>
          </cell>
          <cell r="V711">
            <v>432</v>
          </cell>
          <cell r="W711">
            <v>457.9</v>
          </cell>
          <cell r="X711">
            <v>457.92</v>
          </cell>
          <cell r="Z711">
            <v>183.0800000000001</v>
          </cell>
        </row>
        <row r="712">
          <cell r="Z712">
            <v>0</v>
          </cell>
        </row>
        <row r="713">
          <cell r="I713">
            <v>277.86</v>
          </cell>
          <cell r="L713">
            <v>130.46</v>
          </cell>
          <cell r="N713">
            <v>113.2</v>
          </cell>
          <cell r="O713">
            <v>130.5</v>
          </cell>
          <cell r="P713">
            <v>130.4</v>
          </cell>
          <cell r="Q713">
            <v>130.5</v>
          </cell>
          <cell r="T713">
            <v>260.89999999999998</v>
          </cell>
          <cell r="V713">
            <v>130.5</v>
          </cell>
          <cell r="W713">
            <v>140</v>
          </cell>
          <cell r="X713">
            <v>139.97999999999999</v>
          </cell>
          <cell r="Z713">
            <v>2.8421709430404007E-14</v>
          </cell>
        </row>
        <row r="714">
          <cell r="Z714">
            <v>0</v>
          </cell>
        </row>
        <row r="715">
          <cell r="Z715">
            <v>0</v>
          </cell>
        </row>
        <row r="716">
          <cell r="Z716">
            <v>0</v>
          </cell>
        </row>
        <row r="717">
          <cell r="Z717">
            <v>0</v>
          </cell>
        </row>
        <row r="718">
          <cell r="Z718">
            <v>0</v>
          </cell>
        </row>
        <row r="719">
          <cell r="N719">
            <v>11.3</v>
          </cell>
          <cell r="O719">
            <v>33.840000000000003</v>
          </cell>
          <cell r="Z719">
            <v>0</v>
          </cell>
        </row>
        <row r="720">
          <cell r="N720">
            <v>4.4000000000000004</v>
          </cell>
          <cell r="W720">
            <v>2.2749999999999999</v>
          </cell>
          <cell r="Z720">
            <v>2.2250000000000001</v>
          </cell>
        </row>
        <row r="721">
          <cell r="N721">
            <v>2.8</v>
          </cell>
          <cell r="W721">
            <v>1.4</v>
          </cell>
          <cell r="Z721">
            <v>1.4</v>
          </cell>
        </row>
        <row r="722">
          <cell r="Z722">
            <v>150</v>
          </cell>
        </row>
        <row r="723">
          <cell r="N723">
            <v>0.23</v>
          </cell>
          <cell r="Z723">
            <v>0.63</v>
          </cell>
        </row>
        <row r="725">
          <cell r="Q725">
            <v>562.5</v>
          </cell>
          <cell r="T725">
            <v>1124.9000000000001</v>
          </cell>
          <cell r="U725">
            <v>0</v>
          </cell>
          <cell r="V725">
            <v>562.5</v>
          </cell>
          <cell r="W725">
            <v>601.57499999999993</v>
          </cell>
          <cell r="X725">
            <v>597.9</v>
          </cell>
          <cell r="Y725">
            <v>0</v>
          </cell>
          <cell r="Z725">
            <v>337.33500000000015</v>
          </cell>
        </row>
        <row r="726">
          <cell r="Q726">
            <v>0</v>
          </cell>
        </row>
        <row r="727">
          <cell r="I727">
            <v>796.53</v>
          </cell>
          <cell r="L727">
            <v>497.83</v>
          </cell>
          <cell r="N727">
            <v>497.83</v>
          </cell>
          <cell r="O727">
            <v>497.8</v>
          </cell>
          <cell r="P727">
            <v>497.9</v>
          </cell>
          <cell r="Q727">
            <v>497.8</v>
          </cell>
          <cell r="T727">
            <v>995.6</v>
          </cell>
          <cell r="V727">
            <v>497.8</v>
          </cell>
          <cell r="W727">
            <v>527.79999999999995</v>
          </cell>
          <cell r="X727">
            <v>527.78</v>
          </cell>
          <cell r="Y727">
            <v>0.02</v>
          </cell>
          <cell r="Z727">
            <v>211.03</v>
          </cell>
        </row>
        <row r="728">
          <cell r="Q728">
            <v>32.9</v>
          </cell>
          <cell r="Z728">
            <v>0</v>
          </cell>
        </row>
        <row r="729">
          <cell r="I729">
            <v>320.64</v>
          </cell>
          <cell r="L729">
            <v>150.34</v>
          </cell>
          <cell r="N729">
            <v>130.4</v>
          </cell>
          <cell r="O729">
            <v>150.30000000000001</v>
          </cell>
          <cell r="P729">
            <v>150.4</v>
          </cell>
          <cell r="Q729">
            <v>150.30000000000001</v>
          </cell>
          <cell r="T729">
            <v>300.7</v>
          </cell>
          <cell r="V729">
            <v>150.30000000000001</v>
          </cell>
          <cell r="W729">
            <v>161.19999999999999</v>
          </cell>
          <cell r="X729">
            <v>161.22</v>
          </cell>
          <cell r="Y729">
            <v>-0.02</v>
          </cell>
          <cell r="Z729">
            <v>0</v>
          </cell>
        </row>
        <row r="730">
          <cell r="Z730">
            <v>0</v>
          </cell>
        </row>
        <row r="731">
          <cell r="Q731">
            <v>253.149</v>
          </cell>
          <cell r="Z731">
            <v>0</v>
          </cell>
        </row>
        <row r="732">
          <cell r="Z732">
            <v>0</v>
          </cell>
        </row>
        <row r="733">
          <cell r="Z733">
            <v>0</v>
          </cell>
        </row>
        <row r="734">
          <cell r="Z734">
            <v>0</v>
          </cell>
        </row>
        <row r="735">
          <cell r="N735">
            <v>31.3</v>
          </cell>
          <cell r="O735">
            <v>56.44</v>
          </cell>
          <cell r="Q735">
            <v>278.73</v>
          </cell>
        </row>
        <row r="736">
          <cell r="N736">
            <v>5.8</v>
          </cell>
          <cell r="W736">
            <v>2.75</v>
          </cell>
          <cell r="Z736">
            <v>2.8500000000000005</v>
          </cell>
        </row>
        <row r="737">
          <cell r="N737">
            <v>6</v>
          </cell>
          <cell r="W737">
            <v>3.0750000000000002</v>
          </cell>
          <cell r="Z737">
            <v>2.4999999999999467E-2</v>
          </cell>
        </row>
        <row r="739">
          <cell r="N739">
            <v>6.25</v>
          </cell>
        </row>
        <row r="742">
          <cell r="Q742">
            <v>564.779</v>
          </cell>
        </row>
        <row r="744">
          <cell r="I744">
            <v>897.37</v>
          </cell>
          <cell r="L744">
            <v>560.87</v>
          </cell>
          <cell r="N744">
            <v>560.87</v>
          </cell>
          <cell r="O744">
            <v>560.9</v>
          </cell>
          <cell r="P744">
            <v>560.9</v>
          </cell>
          <cell r="Q744">
            <v>560.9</v>
          </cell>
          <cell r="T744">
            <v>1121.8</v>
          </cell>
          <cell r="V744">
            <v>560.9</v>
          </cell>
          <cell r="W744">
            <v>594.5</v>
          </cell>
          <cell r="X744">
            <v>594.46</v>
          </cell>
          <cell r="Z744">
            <v>237.73000000000047</v>
          </cell>
        </row>
        <row r="745">
          <cell r="Z745">
            <v>0</v>
          </cell>
        </row>
        <row r="746">
          <cell r="I746">
            <v>361.18</v>
          </cell>
          <cell r="L746">
            <v>169.38</v>
          </cell>
          <cell r="N746">
            <v>146.9</v>
          </cell>
          <cell r="O746">
            <v>169.4</v>
          </cell>
          <cell r="P746">
            <v>169.4</v>
          </cell>
          <cell r="Q746">
            <v>169.4</v>
          </cell>
          <cell r="T746">
            <v>338.8</v>
          </cell>
          <cell r="V746">
            <v>169.4</v>
          </cell>
          <cell r="W746">
            <v>181.6</v>
          </cell>
          <cell r="X746">
            <v>181.54</v>
          </cell>
          <cell r="Z746">
            <v>-2.2737367544323206E-13</v>
          </cell>
        </row>
        <row r="747">
          <cell r="Z747">
            <v>0</v>
          </cell>
        </row>
        <row r="748">
          <cell r="Z748">
            <v>0</v>
          </cell>
        </row>
        <row r="749">
          <cell r="Z749">
            <v>0</v>
          </cell>
        </row>
        <row r="750">
          <cell r="Z750">
            <v>0</v>
          </cell>
        </row>
        <row r="751">
          <cell r="Z751">
            <v>0</v>
          </cell>
        </row>
        <row r="752">
          <cell r="N752">
            <v>28.8</v>
          </cell>
          <cell r="O752">
            <v>45.14</v>
          </cell>
        </row>
        <row r="753">
          <cell r="N753">
            <v>6</v>
          </cell>
          <cell r="W753">
            <v>2.85</v>
          </cell>
          <cell r="Z753">
            <v>2.9500000000000006</v>
          </cell>
        </row>
        <row r="754">
          <cell r="N754">
            <v>2.46</v>
          </cell>
          <cell r="W754">
            <v>1.0649999999999999</v>
          </cell>
          <cell r="Z754">
            <v>1.1750000000000003</v>
          </cell>
        </row>
        <row r="756">
          <cell r="N756">
            <v>12.7</v>
          </cell>
        </row>
        <row r="758">
          <cell r="Q758">
            <v>730.3</v>
          </cell>
          <cell r="T758">
            <v>1460.6</v>
          </cell>
          <cell r="U758">
            <v>0</v>
          </cell>
          <cell r="V758">
            <v>730.3</v>
          </cell>
          <cell r="W758">
            <v>780.0150000000001</v>
          </cell>
          <cell r="X758">
            <v>776</v>
          </cell>
          <cell r="Y758">
            <v>0</v>
          </cell>
          <cell r="Z758">
            <v>241.85500000000025</v>
          </cell>
        </row>
        <row r="760">
          <cell r="I760">
            <v>757.54</v>
          </cell>
          <cell r="L760">
            <v>473.44</v>
          </cell>
          <cell r="N760">
            <v>473.44</v>
          </cell>
          <cell r="O760">
            <v>473.4</v>
          </cell>
          <cell r="P760">
            <v>473.5</v>
          </cell>
          <cell r="Q760">
            <v>473.4</v>
          </cell>
          <cell r="T760">
            <v>946.8</v>
          </cell>
          <cell r="V760">
            <v>473.4</v>
          </cell>
          <cell r="W760">
            <v>501.9</v>
          </cell>
          <cell r="X760">
            <v>562.54899999999998</v>
          </cell>
          <cell r="Z760">
            <v>140.13100000000043</v>
          </cell>
        </row>
        <row r="761">
          <cell r="Z761">
            <v>0</v>
          </cell>
        </row>
        <row r="762">
          <cell r="I762">
            <v>304.88</v>
          </cell>
          <cell r="L762">
            <v>142.97999999999999</v>
          </cell>
          <cell r="N762">
            <v>124</v>
          </cell>
          <cell r="O762">
            <v>143</v>
          </cell>
          <cell r="P762">
            <v>143</v>
          </cell>
          <cell r="Q762">
            <v>143</v>
          </cell>
          <cell r="T762">
            <v>285.89999999999998</v>
          </cell>
          <cell r="V762">
            <v>143</v>
          </cell>
          <cell r="W762">
            <v>153.30000000000001</v>
          </cell>
          <cell r="X762">
            <v>68.350999999999999</v>
          </cell>
          <cell r="Z762">
            <v>84.889000000000067</v>
          </cell>
        </row>
        <row r="768">
          <cell r="N768">
            <v>26.2</v>
          </cell>
          <cell r="O768">
            <v>78.44</v>
          </cell>
        </row>
        <row r="769">
          <cell r="N769">
            <v>5.2</v>
          </cell>
          <cell r="W769">
            <v>2.5249999999999999</v>
          </cell>
        </row>
        <row r="770">
          <cell r="N770">
            <v>3</v>
          </cell>
          <cell r="W770">
            <v>1.35</v>
          </cell>
        </row>
        <row r="772">
          <cell r="N772">
            <v>3.75</v>
          </cell>
        </row>
        <row r="775">
          <cell r="Q775">
            <v>0</v>
          </cell>
        </row>
        <row r="776">
          <cell r="I776">
            <v>206.7</v>
          </cell>
          <cell r="L776">
            <v>129.19999999999999</v>
          </cell>
          <cell r="N776">
            <v>129.19999999999999</v>
          </cell>
          <cell r="O776">
            <v>129.19999999999999</v>
          </cell>
          <cell r="P776">
            <v>129</v>
          </cell>
          <cell r="Q776">
            <v>258.39999999999998</v>
          </cell>
          <cell r="U776">
            <v>129.19999999999999</v>
          </cell>
          <cell r="V776">
            <v>129.19999999999999</v>
          </cell>
          <cell r="W776">
            <v>136.9</v>
          </cell>
          <cell r="X776">
            <v>136.97</v>
          </cell>
          <cell r="Z776">
            <v>54.63</v>
          </cell>
        </row>
        <row r="778">
          <cell r="I778">
            <v>83.25</v>
          </cell>
          <cell r="L778">
            <v>39.049999999999997</v>
          </cell>
          <cell r="N778">
            <v>33.97</v>
          </cell>
          <cell r="O778">
            <v>39.1</v>
          </cell>
          <cell r="P778">
            <v>39</v>
          </cell>
          <cell r="Q778">
            <v>78</v>
          </cell>
          <cell r="U778">
            <v>39</v>
          </cell>
          <cell r="V778">
            <v>39</v>
          </cell>
          <cell r="W778">
            <v>41.7</v>
          </cell>
          <cell r="X778">
            <v>41.63</v>
          </cell>
          <cell r="Y778">
            <v>-17.95</v>
          </cell>
        </row>
        <row r="782">
          <cell r="I782">
            <v>35</v>
          </cell>
          <cell r="L782">
            <v>35</v>
          </cell>
          <cell r="N782">
            <v>35</v>
          </cell>
          <cell r="O782">
            <v>35</v>
          </cell>
          <cell r="P782">
            <v>35</v>
          </cell>
          <cell r="Y782">
            <v>33</v>
          </cell>
          <cell r="Z782">
            <v>-15.05</v>
          </cell>
        </row>
        <row r="784">
          <cell r="N784">
            <v>26.2</v>
          </cell>
          <cell r="O784">
            <v>78.44</v>
          </cell>
        </row>
        <row r="788">
          <cell r="N788">
            <v>12.5</v>
          </cell>
        </row>
        <row r="790">
          <cell r="Q790">
            <v>336.4</v>
          </cell>
          <cell r="T790">
            <v>0</v>
          </cell>
          <cell r="U790">
            <v>168.2</v>
          </cell>
          <cell r="V790">
            <v>168.2</v>
          </cell>
          <cell r="W790">
            <v>178.60000000000002</v>
          </cell>
          <cell r="X790">
            <v>178.6</v>
          </cell>
          <cell r="Y790">
            <v>15.05</v>
          </cell>
          <cell r="Z790">
            <v>39.58</v>
          </cell>
        </row>
        <row r="791">
          <cell r="Q791">
            <v>0</v>
          </cell>
        </row>
        <row r="792">
          <cell r="I792">
            <v>5556.3</v>
          </cell>
          <cell r="L792">
            <v>3472.7</v>
          </cell>
          <cell r="N792">
            <v>3472.7</v>
          </cell>
          <cell r="O792">
            <v>3472.7</v>
          </cell>
          <cell r="P792">
            <v>3472.8</v>
          </cell>
          <cell r="Q792">
            <v>3472.7</v>
          </cell>
          <cell r="T792">
            <v>6945.4</v>
          </cell>
          <cell r="V792">
            <v>3472.7</v>
          </cell>
          <cell r="W792">
            <v>3681.1</v>
          </cell>
          <cell r="X792">
            <v>3681.13</v>
          </cell>
          <cell r="Y792">
            <v>9.8699999999999992</v>
          </cell>
          <cell r="Z792">
            <v>1472.37</v>
          </cell>
        </row>
        <row r="793">
          <cell r="N793">
            <v>50</v>
          </cell>
          <cell r="P793">
            <v>33.33</v>
          </cell>
          <cell r="Q793">
            <v>54.3</v>
          </cell>
          <cell r="X793">
            <v>35.700000000000003</v>
          </cell>
        </row>
        <row r="794">
          <cell r="I794">
            <v>2236.41</v>
          </cell>
          <cell r="L794">
            <v>1048.76</v>
          </cell>
          <cell r="N794">
            <v>909.8</v>
          </cell>
          <cell r="O794">
            <v>1048.8</v>
          </cell>
          <cell r="P794">
            <v>1048.76</v>
          </cell>
          <cell r="Q794">
            <v>1048.8</v>
          </cell>
          <cell r="T794">
            <v>2097.5</v>
          </cell>
          <cell r="V794">
            <v>1048.8</v>
          </cell>
          <cell r="W794">
            <v>1124.2</v>
          </cell>
          <cell r="X794">
            <v>1124.17</v>
          </cell>
        </row>
        <row r="796">
          <cell r="N796">
            <v>450</v>
          </cell>
          <cell r="Q796">
            <v>277.803</v>
          </cell>
          <cell r="V796">
            <v>1200</v>
          </cell>
          <cell r="X796">
            <v>373.25400000000002</v>
          </cell>
          <cell r="Z796">
            <v>321.85000000000002</v>
          </cell>
        </row>
        <row r="797">
          <cell r="I797">
            <v>28</v>
          </cell>
          <cell r="L797">
            <v>28</v>
          </cell>
          <cell r="N797">
            <v>31.3</v>
          </cell>
          <cell r="O797">
            <v>29</v>
          </cell>
          <cell r="P797">
            <v>1.4</v>
          </cell>
          <cell r="T797">
            <v>39.65</v>
          </cell>
          <cell r="V797">
            <v>47</v>
          </cell>
          <cell r="Z797">
            <v>144.65</v>
          </cell>
        </row>
        <row r="799">
          <cell r="V799">
            <v>4000</v>
          </cell>
          <cell r="Z799">
            <v>8000</v>
          </cell>
        </row>
        <row r="800">
          <cell r="N800">
            <v>176.3</v>
          </cell>
          <cell r="O800">
            <v>157.04</v>
          </cell>
          <cell r="Q800">
            <v>391.85</v>
          </cell>
          <cell r="V800">
            <v>100</v>
          </cell>
          <cell r="X800">
            <v>35.1</v>
          </cell>
          <cell r="Z800">
            <v>89.96</v>
          </cell>
        </row>
        <row r="801">
          <cell r="N801">
            <v>14.8</v>
          </cell>
          <cell r="W801">
            <v>7.45</v>
          </cell>
          <cell r="Z801">
            <v>7.35</v>
          </cell>
        </row>
        <row r="802">
          <cell r="N802">
            <v>162.19999999999999</v>
          </cell>
          <cell r="W802">
            <v>80.900000000000006</v>
          </cell>
          <cell r="Z802">
            <v>0</v>
          </cell>
        </row>
        <row r="803">
          <cell r="V803">
            <v>200</v>
          </cell>
          <cell r="Y803">
            <v>-37.479999999999997</v>
          </cell>
        </row>
        <row r="804">
          <cell r="N804">
            <v>125</v>
          </cell>
          <cell r="O804">
            <v>41.7</v>
          </cell>
          <cell r="V804">
            <v>100</v>
          </cell>
          <cell r="Y804">
            <v>27.61</v>
          </cell>
        </row>
        <row r="807">
          <cell r="Q807">
            <v>723.95299999999997</v>
          </cell>
          <cell r="V807">
            <v>4000</v>
          </cell>
          <cell r="X807">
            <v>444.05399999999997</v>
          </cell>
          <cell r="Z807">
            <v>8411.81</v>
          </cell>
        </row>
        <row r="827">
          <cell r="Q827">
            <v>5.4</v>
          </cell>
        </row>
        <row r="830">
          <cell r="Q830">
            <v>113.36</v>
          </cell>
        </row>
        <row r="834">
          <cell r="L834">
            <v>2750</v>
          </cell>
          <cell r="N834">
            <v>1312.5</v>
          </cell>
          <cell r="O834">
            <v>2000</v>
          </cell>
          <cell r="Q834">
            <v>589.4</v>
          </cell>
          <cell r="T834">
            <v>3000</v>
          </cell>
          <cell r="W834">
            <v>3500</v>
          </cell>
          <cell r="Z834">
            <v>549.5</v>
          </cell>
        </row>
        <row r="838">
          <cell r="Q838">
            <v>200</v>
          </cell>
        </row>
        <row r="840">
          <cell r="Q840">
            <v>0</v>
          </cell>
        </row>
        <row r="841">
          <cell r="I841">
            <v>132.83000000000001</v>
          </cell>
          <cell r="L841">
            <v>83.03</v>
          </cell>
          <cell r="N841">
            <v>83.03</v>
          </cell>
          <cell r="O841">
            <v>83</v>
          </cell>
          <cell r="P841">
            <v>83.07</v>
          </cell>
          <cell r="Q841">
            <v>83.1</v>
          </cell>
          <cell r="T841">
            <v>83.1</v>
          </cell>
          <cell r="U841">
            <v>83.1</v>
          </cell>
          <cell r="V841">
            <v>83.1</v>
          </cell>
          <cell r="W841">
            <v>87.9</v>
          </cell>
          <cell r="X841">
            <v>87.85</v>
          </cell>
          <cell r="Z841">
            <v>35.19</v>
          </cell>
        </row>
        <row r="843">
          <cell r="I843">
            <v>53.47</v>
          </cell>
          <cell r="L843">
            <v>25.07</v>
          </cell>
          <cell r="N843">
            <v>21.76</v>
          </cell>
          <cell r="O843">
            <v>25.1</v>
          </cell>
          <cell r="P843">
            <v>25.04</v>
          </cell>
          <cell r="Q843">
            <v>25.01</v>
          </cell>
          <cell r="T843">
            <v>25</v>
          </cell>
          <cell r="U843">
            <v>25.1</v>
          </cell>
          <cell r="V843">
            <v>25.1</v>
          </cell>
          <cell r="W843">
            <v>26.9</v>
          </cell>
          <cell r="X843">
            <v>26.95</v>
          </cell>
          <cell r="Z843">
            <v>3.3183400000000001</v>
          </cell>
        </row>
        <row r="844">
          <cell r="N844">
            <v>4</v>
          </cell>
          <cell r="X844">
            <v>-3.3183400000000001</v>
          </cell>
          <cell r="Z844">
            <v>12</v>
          </cell>
        </row>
        <row r="845">
          <cell r="N845">
            <v>22.65</v>
          </cell>
          <cell r="Z845">
            <v>2.72</v>
          </cell>
        </row>
        <row r="848">
          <cell r="N848">
            <v>9502.5</v>
          </cell>
        </row>
        <row r="849">
          <cell r="N849">
            <v>473</v>
          </cell>
        </row>
        <row r="850">
          <cell r="N850">
            <v>1.26</v>
          </cell>
          <cell r="W850">
            <v>1.1000000000000001</v>
          </cell>
          <cell r="Z850">
            <v>0.14000000000000001</v>
          </cell>
        </row>
        <row r="851">
          <cell r="N851">
            <v>0.96</v>
          </cell>
          <cell r="Z851">
            <v>0.94</v>
          </cell>
        </row>
        <row r="853">
          <cell r="N853">
            <v>12.5</v>
          </cell>
          <cell r="O853">
            <v>4.17</v>
          </cell>
          <cell r="Z853">
            <v>98.56</v>
          </cell>
        </row>
        <row r="855">
          <cell r="Q855">
            <v>108.11</v>
          </cell>
          <cell r="T855">
            <v>108.1</v>
          </cell>
          <cell r="U855">
            <v>108.19999999999999</v>
          </cell>
          <cell r="V855">
            <v>108.19999999999999</v>
          </cell>
          <cell r="W855">
            <v>115.9</v>
          </cell>
          <cell r="X855">
            <v>111.48165999999999</v>
          </cell>
          <cell r="Y855">
            <v>0</v>
          </cell>
          <cell r="Z855">
            <v>152.86833999999999</v>
          </cell>
        </row>
        <row r="878">
          <cell r="N878">
            <v>375</v>
          </cell>
          <cell r="P878">
            <v>-375</v>
          </cell>
        </row>
        <row r="886">
          <cell r="N886">
            <v>150</v>
          </cell>
        </row>
        <row r="888">
          <cell r="I888">
            <v>36.92</v>
          </cell>
          <cell r="L888">
            <v>36.92</v>
          </cell>
          <cell r="N888">
            <v>36.92</v>
          </cell>
          <cell r="O888">
            <v>36.9</v>
          </cell>
          <cell r="P888">
            <v>36.92</v>
          </cell>
          <cell r="R888">
            <v>40</v>
          </cell>
          <cell r="T888">
            <v>107.7</v>
          </cell>
          <cell r="W888">
            <v>73.641000000000005</v>
          </cell>
        </row>
        <row r="889">
          <cell r="I889">
            <v>196</v>
          </cell>
          <cell r="L889">
            <v>196</v>
          </cell>
          <cell r="N889">
            <v>598.79999999999995</v>
          </cell>
          <cell r="O889">
            <v>325</v>
          </cell>
          <cell r="P889">
            <v>325</v>
          </cell>
          <cell r="Q889">
            <v>325</v>
          </cell>
          <cell r="T889">
            <v>682</v>
          </cell>
          <cell r="U889">
            <v>443</v>
          </cell>
          <cell r="V889">
            <v>443</v>
          </cell>
          <cell r="W889">
            <v>429.2</v>
          </cell>
        </row>
        <row r="890">
          <cell r="I890">
            <v>38</v>
          </cell>
          <cell r="L890">
            <v>38</v>
          </cell>
          <cell r="N890">
            <v>116.3</v>
          </cell>
          <cell r="O890">
            <v>63</v>
          </cell>
          <cell r="P890">
            <v>63</v>
          </cell>
          <cell r="Q890">
            <v>63</v>
          </cell>
          <cell r="T890">
            <v>133</v>
          </cell>
          <cell r="U890">
            <v>86</v>
          </cell>
          <cell r="V890">
            <v>86</v>
          </cell>
          <cell r="W890">
            <v>82.8</v>
          </cell>
        </row>
        <row r="891">
          <cell r="I891">
            <v>36</v>
          </cell>
          <cell r="L891">
            <v>36</v>
          </cell>
          <cell r="N891">
            <v>109</v>
          </cell>
          <cell r="O891">
            <v>59</v>
          </cell>
          <cell r="P891">
            <v>59</v>
          </cell>
          <cell r="Q891">
            <v>59</v>
          </cell>
          <cell r="T891">
            <v>127</v>
          </cell>
          <cell r="U891">
            <v>81</v>
          </cell>
          <cell r="V891">
            <v>81</v>
          </cell>
          <cell r="W891">
            <v>76.900000000000006</v>
          </cell>
        </row>
        <row r="892">
          <cell r="I892">
            <v>29</v>
          </cell>
          <cell r="L892">
            <v>29</v>
          </cell>
          <cell r="N892">
            <v>87.3</v>
          </cell>
          <cell r="O892">
            <v>48</v>
          </cell>
          <cell r="P892">
            <v>48</v>
          </cell>
          <cell r="Q892">
            <v>48</v>
          </cell>
          <cell r="T892">
            <v>98</v>
          </cell>
          <cell r="U892">
            <v>65</v>
          </cell>
          <cell r="V892">
            <v>65</v>
          </cell>
          <cell r="W892">
            <v>63.6</v>
          </cell>
        </row>
        <row r="893">
          <cell r="I893">
            <v>15</v>
          </cell>
          <cell r="L893">
            <v>15</v>
          </cell>
          <cell r="N893">
            <v>44.3</v>
          </cell>
          <cell r="O893">
            <v>24</v>
          </cell>
          <cell r="P893">
            <v>24</v>
          </cell>
          <cell r="Q893">
            <v>24</v>
          </cell>
          <cell r="T893">
            <v>53.4</v>
          </cell>
          <cell r="U893">
            <v>33</v>
          </cell>
          <cell r="V893">
            <v>33</v>
          </cell>
          <cell r="W893">
            <v>31.6</v>
          </cell>
          <cell r="X893">
            <v>100</v>
          </cell>
        </row>
        <row r="894">
          <cell r="I894">
            <v>14</v>
          </cell>
          <cell r="L894">
            <v>14</v>
          </cell>
          <cell r="N894">
            <v>41.7</v>
          </cell>
          <cell r="O894">
            <v>23</v>
          </cell>
          <cell r="P894">
            <v>23</v>
          </cell>
          <cell r="Q894">
            <v>23</v>
          </cell>
          <cell r="T894">
            <v>47</v>
          </cell>
          <cell r="U894">
            <v>32</v>
          </cell>
          <cell r="V894">
            <v>32</v>
          </cell>
          <cell r="W894">
            <v>28.9</v>
          </cell>
        </row>
        <row r="895">
          <cell r="I895">
            <v>136</v>
          </cell>
          <cell r="L895">
            <v>136</v>
          </cell>
          <cell r="N895">
            <v>2421.9</v>
          </cell>
          <cell r="O895">
            <v>241</v>
          </cell>
          <cell r="P895">
            <v>241</v>
          </cell>
          <cell r="Q895">
            <v>-238.39999999999998</v>
          </cell>
          <cell r="T895">
            <v>0</v>
          </cell>
          <cell r="U895">
            <v>0</v>
          </cell>
          <cell r="V895">
            <v>0</v>
          </cell>
        </row>
        <row r="896">
          <cell r="I896">
            <v>43</v>
          </cell>
          <cell r="L896">
            <v>43</v>
          </cell>
          <cell r="N896">
            <v>131.80000000000001</v>
          </cell>
          <cell r="O896">
            <v>72</v>
          </cell>
          <cell r="P896">
            <v>72</v>
          </cell>
          <cell r="Q896">
            <v>72</v>
          </cell>
          <cell r="T896">
            <v>146</v>
          </cell>
          <cell r="U896">
            <v>98</v>
          </cell>
          <cell r="V896">
            <v>98</v>
          </cell>
          <cell r="W896">
            <v>95.2</v>
          </cell>
        </row>
        <row r="897">
          <cell r="I897">
            <v>14</v>
          </cell>
          <cell r="L897">
            <v>14</v>
          </cell>
          <cell r="N897">
            <v>41.5</v>
          </cell>
          <cell r="O897">
            <v>24</v>
          </cell>
          <cell r="P897">
            <v>24</v>
          </cell>
          <cell r="Q897">
            <v>24</v>
          </cell>
          <cell r="T897">
            <v>41</v>
          </cell>
          <cell r="U897">
            <v>32</v>
          </cell>
          <cell r="V897">
            <v>32</v>
          </cell>
          <cell r="W897">
            <v>31.6</v>
          </cell>
        </row>
        <row r="898">
          <cell r="I898">
            <v>15</v>
          </cell>
          <cell r="L898">
            <v>15</v>
          </cell>
          <cell r="N898">
            <v>47.4</v>
          </cell>
          <cell r="O898">
            <v>25</v>
          </cell>
          <cell r="P898">
            <v>25</v>
          </cell>
          <cell r="Q898">
            <v>25</v>
          </cell>
          <cell r="T898">
            <v>56</v>
          </cell>
          <cell r="U898">
            <v>34</v>
          </cell>
          <cell r="V898">
            <v>34</v>
          </cell>
          <cell r="W898">
            <v>33.6</v>
          </cell>
        </row>
        <row r="901">
          <cell r="L901">
            <v>1604.6</v>
          </cell>
        </row>
        <row r="902">
          <cell r="L902">
            <v>10</v>
          </cell>
          <cell r="Z902">
            <v>2.8</v>
          </cell>
        </row>
        <row r="903">
          <cell r="L903">
            <v>484.6</v>
          </cell>
        </row>
        <row r="904">
          <cell r="L904">
            <v>100</v>
          </cell>
          <cell r="X904">
            <v>-79.608999999999995</v>
          </cell>
        </row>
        <row r="905">
          <cell r="L905">
            <v>50</v>
          </cell>
        </row>
        <row r="906">
          <cell r="L906">
            <v>635</v>
          </cell>
        </row>
        <row r="907">
          <cell r="L907">
            <v>224.5</v>
          </cell>
        </row>
        <row r="908">
          <cell r="L908">
            <v>140</v>
          </cell>
          <cell r="Z908">
            <v>76.808999999999997</v>
          </cell>
        </row>
        <row r="913">
          <cell r="N913">
            <v>250</v>
          </cell>
          <cell r="O913">
            <v>1050</v>
          </cell>
        </row>
        <row r="919">
          <cell r="V919" t="str">
            <v>14788,4</v>
          </cell>
        </row>
      </sheetData>
      <sheetData sheetId="17" refreshError="1"/>
      <sheetData sheetId="18">
        <row r="70">
          <cell r="G70">
            <v>938667.40899999999</v>
          </cell>
        </row>
      </sheetData>
      <sheetData sheetId="19" refreshError="1"/>
      <sheetData sheetId="20">
        <row r="34">
          <cell r="H34">
            <v>348300</v>
          </cell>
        </row>
      </sheetData>
      <sheetData sheetId="21">
        <row r="37">
          <cell r="H37">
            <v>684680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9" Type="http://schemas.openxmlformats.org/officeDocument/2006/relationships/hyperlink" Target="consultantplus://offline/ref=D1F91A7CF0132C82736304EE071E37B6E915D98F8AA261EF9914AAABCE5A0159D2CDF7E993776C3CE5CCC5kAZAM" TargetMode="External"/><Relationship Id="rId20" Type="http://schemas.openxmlformats.org/officeDocument/2006/relationships/hyperlink" Target="consultantplus://offline/ref=D1F91A7CF0132C82736304EE071E37B6E915D98F8AAF61EC9A14AAABCE5A0159D2CDF7E993776C3CE5C8C4kAZBM" TargetMode="External"/><Relationship Id="rId21" Type="http://schemas.openxmlformats.org/officeDocument/2006/relationships/printerSettings" Target="../printerSettings/printerSettings11.bin"/><Relationship Id="rId10" Type="http://schemas.openxmlformats.org/officeDocument/2006/relationships/hyperlink" Target="consultantplus://offline/ref=D1F91A7CF0132C82736304EE071E37B6E915D98F8AA261EF9914AAABCE5A0159D2CDF7E993776C3CE5CDC3kAZBM" TargetMode="External"/><Relationship Id="rId11" Type="http://schemas.openxmlformats.org/officeDocument/2006/relationships/hyperlink" Target="consultantplus://offline/ref=D1F91A7CF0132C82736304EE071E37B6E915D98F8AA261EF9914AAABCE5A0159D2CDF7E993776C3CE5CCC5kAZAM" TargetMode="External"/><Relationship Id="rId12" Type="http://schemas.openxmlformats.org/officeDocument/2006/relationships/hyperlink" Target="consultantplus://offline/ref=D1F91A7CF0132C82736304EE071E37B6E915D98F8AA261EF9914AAABCE5A0159D2CDF7E993776C3CE5CDC3kAZBM" TargetMode="External"/><Relationship Id="rId13" Type="http://schemas.openxmlformats.org/officeDocument/2006/relationships/hyperlink" Target="consultantplus://offline/ref=D1F91A7CF0132C82736304EE071E37B6E915D98F8AA261EF9914AAABCE5A0159D2CDF7E993776C3CE5CCC5kAZAM" TargetMode="External"/><Relationship Id="rId14" Type="http://schemas.openxmlformats.org/officeDocument/2006/relationships/hyperlink" Target="consultantplus://offline/ref=D1F91A7CF0132C82736304EE071E37B6E915D98F8AA261EF9914AAABCE5A0159D2CDF7E993776C3CE5CDC3kAZBM" TargetMode="External"/><Relationship Id="rId15" Type="http://schemas.openxmlformats.org/officeDocument/2006/relationships/hyperlink" Target="consultantplus://offline/ref=D1F91A7CF0132C82736304EE071E37B6E915D98F8AA261EF9914AAABCE5A0159D2CDF7E993776C3CE5CFC4kAZ1M" TargetMode="External"/><Relationship Id="rId16" Type="http://schemas.openxmlformats.org/officeDocument/2006/relationships/hyperlink" Target="consultantplus://offline/ref=D1F91A7CF0132C82736304EE071E37B6E915D98F8AA261EF9914AAABCE5A0159D2CDF7E993776C3CE5CDC3kAZBM" TargetMode="External"/><Relationship Id="rId17" Type="http://schemas.openxmlformats.org/officeDocument/2006/relationships/hyperlink" Target="consultantplus://offline/ref=D1F91A7CF0132C82736304EE071E37B6E915D98F8AA261EF9914AAABCE5A0159D2CDF7E993776C3CE5C9C6kAZBM" TargetMode="External"/><Relationship Id="rId18" Type="http://schemas.openxmlformats.org/officeDocument/2006/relationships/hyperlink" Target="consultantplus://offline/ref=D1F91A7CF0132C8273631AE311726ABFEE17838B8EAD6BBFC04BF1F699530B0E9582AEABD5k7ZBM" TargetMode="External"/><Relationship Id="rId19" Type="http://schemas.openxmlformats.org/officeDocument/2006/relationships/hyperlink" Target="consultantplus://offline/ref=D1F91A7CF0132C82736304EE071E37B6E915D98F8AAF61EC9A14AAABCE5A0159D2CDF7E993776C3CE5CDC2kAZ4M" TargetMode="External"/><Relationship Id="rId1" Type="http://schemas.openxmlformats.org/officeDocument/2006/relationships/hyperlink" Target="consultantplus://offline/ref=70394CBEEEC41CA054351E9EA80BF381B21E85C7E3251988A981B86B3E212D2B7F143B37B3DB2BB5C33D35c9j8O" TargetMode="External"/><Relationship Id="rId2" Type="http://schemas.openxmlformats.org/officeDocument/2006/relationships/hyperlink" Target="consultantplus://offline/ref=70394CBEEEC41CA054351E9EA80BF381B21E85C7E3251988A981B86B3E212D2B7F143B37B3DB2BB5C33E34c9j3O" TargetMode="External"/><Relationship Id="rId3" Type="http://schemas.openxmlformats.org/officeDocument/2006/relationships/hyperlink" Target="consultantplus://offline/ref=70394CBEEEC41CA054351E9EA80BF381B21E85C7E3251988A981B86B3E212D2B7F143B37B3DB2BB5C33C33c9j9O" TargetMode="External"/><Relationship Id="rId4" Type="http://schemas.openxmlformats.org/officeDocument/2006/relationships/hyperlink" Target="consultantplus://offline/ref=70394CBEEEC41CA054351E9EA80BF381B21E85C7E3251988A981B86B3E212D2B7F143B37B3DB2BB5C33836c9j9O" TargetMode="External"/><Relationship Id="rId5" Type="http://schemas.openxmlformats.org/officeDocument/2006/relationships/hyperlink" Target="consultantplus://offline/ref=70394CBEEEC41CA054350093BE67AE88B51CDFC3E72A13D8F0DEE3366928277C385B6275F5cDj7O" TargetMode="External"/><Relationship Id="rId6" Type="http://schemas.openxmlformats.org/officeDocument/2006/relationships/hyperlink" Target="consultantplus://offline/ref=70394CBEEEC41CA054351E9EA80BF381B21E85C7E328198BAA81B86B3E212D2B7F143B37B3DB2BB5C33C32c9j6O" TargetMode="External"/><Relationship Id="rId7" Type="http://schemas.openxmlformats.org/officeDocument/2006/relationships/hyperlink" Target="consultantplus://offline/ref=70394CBEEEC41CA054351E9EA80BF381B21E85C7E328198BAA81B86B3E212D2B7F143B37B3DB2BB5C33934c9j9O" TargetMode="External"/><Relationship Id="rId8" Type="http://schemas.openxmlformats.org/officeDocument/2006/relationships/hyperlink" Target="consultantplus://offline/ref=D1F91A7CF0132C82736304EE071E37B6E915D98F8AA261EF9914AAABCE5A0159D2CDF7E993776C3CE5CDC3kAZBM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consultantplus://offline/ref=9AC55110DA42731B3463B7C6AAFBFA4ACD423E9304EDCDDCC367D5CC492652C3C2DED79CB5B51205C42AF3N1aFI" TargetMode="External"/><Relationship Id="rId4" Type="http://schemas.openxmlformats.org/officeDocument/2006/relationships/printerSettings" Target="../printerSettings/printerSettings13.bin"/><Relationship Id="rId1" Type="http://schemas.openxmlformats.org/officeDocument/2006/relationships/hyperlink" Target="consultantplus://offline/ref=9AC55110DA42731B3463B7C6AAFBFA4ACD423E9304EDCDDCC367D5CC492652C3C2DED79CB5B51205C42AF3N1a1I" TargetMode="External"/><Relationship Id="rId2" Type="http://schemas.openxmlformats.org/officeDocument/2006/relationships/hyperlink" Target="consultantplus://offline/ref=9AC55110DA42731B3463B7C6AAFBFA4ACD423E9304EDCDDCC367D5CC492652C3C2DED79CB5B51205C42AF3N1a0I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consultantplus://offline/ref=C8939803C73ED29C2926F7C931923AE8DFE8239D76CC76F3B4FE45C696B323BEBD45CCE5F35FA8052BEEC6Y5kEL" TargetMode="External"/><Relationship Id="rId2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B1:U167"/>
  <sheetViews>
    <sheetView view="pageBreakPreview" topLeftCell="A5" zoomScale="50" zoomScaleSheetLayoutView="50" workbookViewId="0">
      <pane ySplit="7" topLeftCell="A20" activePane="bottomLeft" state="frozen"/>
      <selection activeCell="A5" sqref="A5"/>
      <selection pane="bottomLeft" activeCell="F16" sqref="F16"/>
    </sheetView>
  </sheetViews>
  <sheetFormatPr baseColWidth="10" defaultColWidth="8.83203125" defaultRowHeight="20" x14ac:dyDescent="0.2"/>
  <cols>
    <col min="1" max="1" width="1.6640625" style="235" customWidth="1"/>
    <col min="2" max="2" width="0.83203125" style="235" customWidth="1"/>
    <col min="3" max="3" width="15" style="234" customWidth="1"/>
    <col min="4" max="4" width="106.6640625" style="235" customWidth="1"/>
    <col min="5" max="5" width="19.5" style="546" customWidth="1"/>
    <col min="6" max="6" width="20.5" style="582" customWidth="1"/>
    <col min="7" max="7" width="20" style="582" customWidth="1"/>
    <col min="8" max="8" width="21" style="582" customWidth="1"/>
    <col min="9" max="10" width="19" style="589" customWidth="1"/>
    <col min="11" max="14" width="19" style="587" customWidth="1"/>
    <col min="15" max="15" width="26.33203125" style="236" customWidth="1"/>
    <col min="16" max="16" width="60.1640625" style="235" customWidth="1"/>
    <col min="17" max="18" width="8.83203125" style="235"/>
    <col min="19" max="19" width="20.1640625" style="235" bestFit="1" customWidth="1"/>
    <col min="20" max="16384" width="8.83203125" style="235"/>
  </cols>
  <sheetData>
    <row r="1" spans="2:20" x14ac:dyDescent="0.2">
      <c r="I1" s="587"/>
      <c r="J1" s="587"/>
    </row>
    <row r="2" spans="2:20" ht="20.25" customHeight="1" x14ac:dyDescent="0.2">
      <c r="B2" s="246"/>
      <c r="D2" s="246"/>
      <c r="E2" s="234"/>
      <c r="F2" s="2634"/>
      <c r="G2" s="2634"/>
      <c r="I2" s="2758" t="s">
        <v>270</v>
      </c>
      <c r="J2" s="2758"/>
      <c r="K2" s="2634"/>
      <c r="L2" s="2634"/>
      <c r="M2" s="2634"/>
      <c r="N2" s="2634"/>
    </row>
    <row r="3" spans="2:20" s="2309" customFormat="1" ht="24.75" customHeight="1" x14ac:dyDescent="0.2">
      <c r="B3" s="2305"/>
      <c r="C3" s="2305"/>
      <c r="D3" s="2306"/>
      <c r="E3" s="2307"/>
      <c r="F3" s="2759" t="s">
        <v>1826</v>
      </c>
      <c r="G3" s="2759"/>
      <c r="H3" s="2759"/>
      <c r="I3" s="2759"/>
      <c r="J3" s="2759"/>
      <c r="K3" s="2633"/>
      <c r="L3" s="2633"/>
      <c r="M3" s="2633"/>
      <c r="N3" s="233"/>
      <c r="O3" s="2308"/>
      <c r="P3" s="2308"/>
      <c r="Q3" s="2308"/>
      <c r="S3" s="2308"/>
      <c r="T3" s="233"/>
    </row>
    <row r="4" spans="2:20" s="2309" customFormat="1" ht="24.75" customHeight="1" x14ac:dyDescent="0.2">
      <c r="B4" s="2305"/>
      <c r="C4" s="2305"/>
      <c r="D4" s="2306"/>
      <c r="E4" s="2307"/>
      <c r="F4" s="2759"/>
      <c r="G4" s="2759"/>
      <c r="H4" s="2759"/>
      <c r="I4" s="2759"/>
      <c r="J4" s="2759"/>
      <c r="K4" s="2633"/>
      <c r="L4" s="2633"/>
      <c r="M4" s="2633"/>
      <c r="N4" s="233"/>
      <c r="O4" s="2308"/>
      <c r="P4" s="2308"/>
      <c r="Q4" s="2308"/>
      <c r="S4" s="2308"/>
      <c r="T4" s="233"/>
    </row>
    <row r="5" spans="2:20" ht="24.75" customHeight="1" x14ac:dyDescent="0.2">
      <c r="B5" s="246"/>
      <c r="D5" s="246"/>
      <c r="E5" s="234"/>
      <c r="F5" s="2759"/>
      <c r="G5" s="2759"/>
      <c r="H5" s="2759"/>
      <c r="I5" s="2759"/>
      <c r="J5" s="2759"/>
      <c r="K5" s="2633"/>
      <c r="L5" s="2633"/>
      <c r="M5" s="2633"/>
      <c r="N5" s="2634"/>
    </row>
    <row r="6" spans="2:20" ht="24.75" customHeight="1" x14ac:dyDescent="0.2">
      <c r="B6" s="246"/>
      <c r="D6" s="246"/>
      <c r="E6" s="234"/>
      <c r="F6" s="2639"/>
      <c r="G6" s="2654"/>
      <c r="H6" s="2654"/>
      <c r="I6" s="2654"/>
      <c r="J6" s="2654"/>
      <c r="K6" s="2633"/>
      <c r="L6" s="2633"/>
      <c r="M6" s="2633"/>
      <c r="N6" s="2634"/>
    </row>
    <row r="7" spans="2:20" ht="24.75" customHeight="1" x14ac:dyDescent="0.2">
      <c r="B7" s="246"/>
      <c r="D7" s="246"/>
      <c r="E7" s="234"/>
      <c r="F7" s="2639"/>
      <c r="G7" s="2654"/>
      <c r="H7" s="2654"/>
      <c r="I7" s="2654"/>
      <c r="J7" s="2654"/>
      <c r="K7" s="2633"/>
      <c r="L7" s="2633"/>
      <c r="M7" s="2633"/>
      <c r="N7" s="2634"/>
    </row>
    <row r="8" spans="2:20" ht="25" x14ac:dyDescent="0.2">
      <c r="B8" s="246"/>
      <c r="C8" s="2760" t="s">
        <v>271</v>
      </c>
      <c r="D8" s="2760"/>
      <c r="E8" s="2760"/>
      <c r="F8" s="2760"/>
      <c r="G8" s="2760"/>
      <c r="H8" s="2760"/>
      <c r="I8" s="2760"/>
      <c r="J8" s="2760"/>
      <c r="K8" s="578"/>
      <c r="L8" s="578"/>
      <c r="M8" s="578"/>
      <c r="N8" s="578"/>
    </row>
    <row r="9" spans="2:20" x14ac:dyDescent="0.2">
      <c r="B9" s="246"/>
      <c r="C9" s="2644"/>
      <c r="D9" s="2644"/>
      <c r="E9" s="2643"/>
      <c r="F9" s="2643"/>
      <c r="G9" s="2643"/>
      <c r="H9" s="2643"/>
      <c r="I9" s="2643"/>
      <c r="J9" s="2635"/>
      <c r="K9" s="2635"/>
      <c r="L9" s="2635"/>
      <c r="M9" s="2635"/>
      <c r="N9" s="2635"/>
    </row>
    <row r="10" spans="2:20" ht="20.25" customHeight="1" x14ac:dyDescent="0.2">
      <c r="B10" s="246"/>
      <c r="C10" s="2761" t="s">
        <v>1092</v>
      </c>
      <c r="D10" s="2761" t="s">
        <v>868</v>
      </c>
      <c r="E10" s="2761" t="s">
        <v>869</v>
      </c>
      <c r="F10" s="2761">
        <v>2014</v>
      </c>
      <c r="G10" s="2761">
        <v>2015</v>
      </c>
      <c r="H10" s="2761" t="s">
        <v>272</v>
      </c>
      <c r="I10" s="2761"/>
      <c r="J10" s="2761"/>
      <c r="K10" s="2264"/>
      <c r="L10" s="2264"/>
      <c r="M10" s="2264"/>
      <c r="N10" s="2264"/>
    </row>
    <row r="11" spans="2:20" ht="37.5" customHeight="1" x14ac:dyDescent="0.2">
      <c r="B11" s="246"/>
      <c r="C11" s="2761"/>
      <c r="D11" s="2761"/>
      <c r="E11" s="2761"/>
      <c r="F11" s="2761"/>
      <c r="G11" s="2761"/>
      <c r="H11" s="2653">
        <v>2016</v>
      </c>
      <c r="I11" s="2653">
        <v>2017</v>
      </c>
      <c r="J11" s="2653">
        <v>2018</v>
      </c>
      <c r="K11" s="2264"/>
      <c r="L11" s="2264"/>
      <c r="M11" s="2264"/>
      <c r="N11" s="2264"/>
    </row>
    <row r="12" spans="2:20" x14ac:dyDescent="0.2">
      <c r="B12" s="246"/>
      <c r="C12" s="2752" t="s">
        <v>273</v>
      </c>
      <c r="D12" s="2753"/>
      <c r="E12" s="2753"/>
      <c r="F12" s="2753"/>
      <c r="G12" s="2753"/>
      <c r="H12" s="2753"/>
      <c r="I12" s="2753"/>
      <c r="J12" s="2753"/>
      <c r="K12" s="1002"/>
      <c r="L12" s="1002"/>
      <c r="M12" s="1002"/>
      <c r="N12" s="1002"/>
    </row>
    <row r="13" spans="2:20" ht="26.25" customHeight="1" x14ac:dyDescent="0.2">
      <c r="B13" s="246"/>
      <c r="C13" s="2762" t="s">
        <v>274</v>
      </c>
      <c r="D13" s="2762"/>
      <c r="E13" s="2762"/>
      <c r="F13" s="2762"/>
      <c r="G13" s="2762"/>
      <c r="H13" s="2762"/>
      <c r="I13" s="2762"/>
      <c r="J13" s="2762"/>
      <c r="K13" s="1003"/>
      <c r="L13" s="1003"/>
      <c r="M13" s="1003"/>
      <c r="N13" s="1003"/>
    </row>
    <row r="14" spans="2:20" s="2324" customFormat="1" ht="49.5" customHeight="1" x14ac:dyDescent="0.2">
      <c r="B14" s="2323"/>
      <c r="C14" s="2746" t="s">
        <v>554</v>
      </c>
      <c r="D14" s="248" t="s">
        <v>275</v>
      </c>
      <c r="E14" s="2655" t="s">
        <v>3</v>
      </c>
      <c r="F14" s="573">
        <v>70</v>
      </c>
      <c r="G14" s="573">
        <v>70</v>
      </c>
      <c r="H14" s="573">
        <v>65</v>
      </c>
      <c r="I14" s="573">
        <v>65</v>
      </c>
      <c r="J14" s="573">
        <v>65</v>
      </c>
      <c r="K14" s="1001"/>
      <c r="L14" s="1001"/>
      <c r="M14" s="1001"/>
      <c r="N14" s="1001"/>
      <c r="O14" s="1101"/>
    </row>
    <row r="15" spans="2:20" s="2324" customFormat="1" ht="66.75" customHeight="1" x14ac:dyDescent="0.2">
      <c r="B15" s="2323"/>
      <c r="C15" s="2746"/>
      <c r="D15" s="248" t="s">
        <v>276</v>
      </c>
      <c r="E15" s="2655" t="s">
        <v>3</v>
      </c>
      <c r="F15" s="573">
        <v>24</v>
      </c>
      <c r="G15" s="573">
        <v>24</v>
      </c>
      <c r="H15" s="573">
        <v>24</v>
      </c>
      <c r="I15" s="573">
        <v>24</v>
      </c>
      <c r="J15" s="573">
        <v>24</v>
      </c>
      <c r="K15" s="1001"/>
      <c r="L15" s="1001"/>
      <c r="M15" s="1001"/>
      <c r="N15" s="1001"/>
      <c r="O15" s="1101"/>
    </row>
    <row r="16" spans="2:20" s="2324" customFormat="1" ht="46.5" customHeight="1" x14ac:dyDescent="0.2">
      <c r="B16" s="2323"/>
      <c r="C16" s="2746" t="s">
        <v>277</v>
      </c>
      <c r="D16" s="2325" t="s">
        <v>365</v>
      </c>
      <c r="E16" s="2326" t="s">
        <v>366</v>
      </c>
      <c r="F16" s="2666">
        <f>'Приложение № 1'!J13</f>
        <v>41</v>
      </c>
      <c r="G16" s="2666">
        <f>'Приложение № 1'!L13</f>
        <v>30</v>
      </c>
      <c r="H16" s="2666">
        <f>'Приложение № 1'!M13</f>
        <v>32</v>
      </c>
      <c r="I16" s="2666">
        <f>'Приложение № 1'!N13</f>
        <v>32</v>
      </c>
      <c r="J16" s="2666">
        <f>'Приложение № 1'!O13</f>
        <v>33</v>
      </c>
      <c r="K16" s="2288"/>
      <c r="L16" s="2288"/>
      <c r="M16" s="2288"/>
      <c r="N16" s="1004"/>
      <c r="O16" s="1101"/>
    </row>
    <row r="17" spans="2:21" s="2324" customFormat="1" ht="48" customHeight="1" x14ac:dyDescent="0.2">
      <c r="B17" s="2323"/>
      <c r="C17" s="2746"/>
      <c r="D17" s="2325" t="s">
        <v>371</v>
      </c>
      <c r="E17" s="2326" t="s">
        <v>306</v>
      </c>
      <c r="F17" s="2666">
        <f>'Приложение № 1'!J14</f>
        <v>339.7</v>
      </c>
      <c r="G17" s="2666">
        <f>'Приложение № 1'!L14</f>
        <v>358.26</v>
      </c>
      <c r="H17" s="2666">
        <f>'Приложение № 1'!M14</f>
        <v>372.15</v>
      </c>
      <c r="I17" s="2666">
        <f>'Приложение № 1'!N14</f>
        <v>391.19</v>
      </c>
      <c r="J17" s="2666">
        <f>'Приложение № 1'!O14</f>
        <v>395</v>
      </c>
      <c r="K17" s="2288"/>
      <c r="L17" s="2288"/>
      <c r="M17" s="2288"/>
      <c r="N17" s="1001"/>
      <c r="O17" s="1101"/>
    </row>
    <row r="18" spans="2:21" s="2324" customFormat="1" ht="40" x14ac:dyDescent="0.2">
      <c r="B18" s="2323"/>
      <c r="C18" s="2746"/>
      <c r="D18" s="2325" t="s">
        <v>372</v>
      </c>
      <c r="E18" s="2326" t="s">
        <v>306</v>
      </c>
      <c r="F18" s="2666">
        <f>'Приложение № 1'!J15</f>
        <v>325.18</v>
      </c>
      <c r="G18" s="2666">
        <f>'Приложение № 1'!L15</f>
        <v>201.82</v>
      </c>
      <c r="H18" s="2666">
        <f>'Приложение № 1'!M15</f>
        <v>209.33</v>
      </c>
      <c r="I18" s="2666">
        <f>'Приложение № 1'!N15</f>
        <v>217.09</v>
      </c>
      <c r="J18" s="2666">
        <f>'Приложение № 1'!O15</f>
        <v>218</v>
      </c>
      <c r="K18" s="2288"/>
      <c r="L18" s="2288"/>
      <c r="M18" s="2288"/>
      <c r="N18" s="586"/>
      <c r="O18" s="1101"/>
    </row>
    <row r="19" spans="2:21" s="2324" customFormat="1" ht="43.5" customHeight="1" x14ac:dyDescent="0.2">
      <c r="B19" s="2323"/>
      <c r="C19" s="2746"/>
      <c r="D19" s="2325" t="s">
        <v>367</v>
      </c>
      <c r="E19" s="2326" t="s">
        <v>366</v>
      </c>
      <c r="F19" s="2666">
        <f>'Приложение № 1'!J16</f>
        <v>2031</v>
      </c>
      <c r="G19" s="2666">
        <f>'Приложение № 1'!L16</f>
        <v>1813</v>
      </c>
      <c r="H19" s="2666">
        <f>'Приложение № 1'!M16</f>
        <v>1813</v>
      </c>
      <c r="I19" s="2666">
        <f>'Приложение № 1'!N16</f>
        <v>1813</v>
      </c>
      <c r="J19" s="2666">
        <f>'Приложение № 1'!O16</f>
        <v>1813</v>
      </c>
      <c r="K19" s="2288"/>
      <c r="L19" s="2288"/>
      <c r="M19" s="2288"/>
      <c r="N19" s="1004"/>
      <c r="O19" s="1101"/>
    </row>
    <row r="20" spans="2:21" s="2324" customFormat="1" ht="46.5" customHeight="1" x14ac:dyDescent="0.2">
      <c r="B20" s="2323"/>
      <c r="C20" s="2746"/>
      <c r="D20" s="2325" t="s">
        <v>369</v>
      </c>
      <c r="E20" s="2326" t="s">
        <v>366</v>
      </c>
      <c r="F20" s="2666">
        <f>'Приложение № 1'!J17</f>
        <v>867</v>
      </c>
      <c r="G20" s="2666">
        <f>'Приложение № 1'!L17</f>
        <v>838</v>
      </c>
      <c r="H20" s="2666">
        <f>'Приложение № 1'!M17</f>
        <v>838</v>
      </c>
      <c r="I20" s="2666">
        <f>'Приложение № 1'!N17</f>
        <v>838</v>
      </c>
      <c r="J20" s="2666">
        <f>'Приложение № 1'!O17</f>
        <v>838</v>
      </c>
      <c r="K20" s="2288"/>
      <c r="L20" s="2288"/>
      <c r="M20" s="2288"/>
      <c r="N20" s="1001"/>
      <c r="O20" s="1101"/>
    </row>
    <row r="21" spans="2:21" s="2324" customFormat="1" x14ac:dyDescent="0.2">
      <c r="B21" s="1163"/>
      <c r="C21" s="2746"/>
      <c r="D21" s="249" t="s">
        <v>284</v>
      </c>
      <c r="E21" s="251"/>
      <c r="F21" s="579"/>
      <c r="G21" s="579"/>
      <c r="H21" s="579"/>
      <c r="I21" s="2327"/>
      <c r="J21" s="2327"/>
      <c r="K21" s="2328"/>
      <c r="L21" s="2328"/>
      <c r="M21" s="2328"/>
      <c r="N21" s="1005"/>
      <c r="O21" s="1101"/>
    </row>
    <row r="22" spans="2:21" s="2324" customFormat="1" x14ac:dyDescent="0.2">
      <c r="B22" s="1163"/>
      <c r="C22" s="2746"/>
      <c r="D22" s="250" t="s">
        <v>285</v>
      </c>
      <c r="E22" s="251" t="s">
        <v>544</v>
      </c>
      <c r="F22" s="2329">
        <f t="shared" ref="F22:J22" si="0">F23+F25</f>
        <v>769997.3470500001</v>
      </c>
      <c r="G22" s="2329">
        <f t="shared" si="0"/>
        <v>675211.12899999996</v>
      </c>
      <c r="H22" s="2329">
        <f t="shared" si="0"/>
        <v>580669.80000000005</v>
      </c>
      <c r="I22" s="2329">
        <f t="shared" si="0"/>
        <v>584351.80000000005</v>
      </c>
      <c r="J22" s="2329">
        <f t="shared" si="0"/>
        <v>46404.215852203073</v>
      </c>
      <c r="K22" s="1006"/>
      <c r="L22" s="1006"/>
      <c r="M22" s="1006"/>
      <c r="N22" s="1006"/>
      <c r="O22" s="1101"/>
    </row>
    <row r="23" spans="2:21" s="2324" customFormat="1" x14ac:dyDescent="0.2">
      <c r="B23" s="1163"/>
      <c r="C23" s="2746"/>
      <c r="D23" s="250" t="s">
        <v>286</v>
      </c>
      <c r="E23" s="251" t="s">
        <v>544</v>
      </c>
      <c r="F23" s="2329">
        <f>'Приложение № 6'!E14</f>
        <v>737588.44705000008</v>
      </c>
      <c r="G23" s="2329">
        <f>'Приложение № 6'!G14</f>
        <v>630196.9</v>
      </c>
      <c r="H23" s="2329">
        <f>'Приложение № 6'!I14</f>
        <v>542099.80000000005</v>
      </c>
      <c r="I23" s="2329">
        <f>'Приложение № 6'!K14</f>
        <v>542099.80000000005</v>
      </c>
      <c r="J23" s="2329">
        <f>'Приложение № 6'!L14</f>
        <v>55.015852203070587</v>
      </c>
      <c r="K23" s="1006"/>
      <c r="L23" s="1006"/>
      <c r="M23" s="1006"/>
      <c r="N23" s="2328"/>
      <c r="O23" s="1101"/>
    </row>
    <row r="24" spans="2:21" s="2324" customFormat="1" ht="49.5" customHeight="1" x14ac:dyDescent="0.2">
      <c r="B24" s="1163"/>
      <c r="C24" s="2746"/>
      <c r="D24" s="250" t="s">
        <v>957</v>
      </c>
      <c r="E24" s="251" t="s">
        <v>544</v>
      </c>
      <c r="F24" s="2329">
        <f>'Приложение № 6'!E18</f>
        <v>532751.51705000002</v>
      </c>
      <c r="G24" s="2329">
        <f>'Приложение № 6'!G18</f>
        <v>531545.9</v>
      </c>
      <c r="H24" s="2329">
        <f>'Приложение № 6'!I18</f>
        <v>542099.80000000005</v>
      </c>
      <c r="I24" s="2329">
        <f>'Приложение № 6'!K18</f>
        <v>542099.80000000005</v>
      </c>
      <c r="J24" s="2329">
        <f>'Приложение № 6'!L18</f>
        <v>55.015852203070587</v>
      </c>
      <c r="K24" s="1006"/>
      <c r="L24" s="1006"/>
      <c r="M24" s="1006"/>
      <c r="N24" s="2328"/>
      <c r="O24" s="1101"/>
    </row>
    <row r="25" spans="2:21" s="2324" customFormat="1" ht="32.25" customHeight="1" x14ac:dyDescent="0.2">
      <c r="B25" s="1163"/>
      <c r="C25" s="2746"/>
      <c r="D25" s="250" t="s">
        <v>287</v>
      </c>
      <c r="E25" s="251" t="s">
        <v>544</v>
      </c>
      <c r="F25" s="2329">
        <f>'Приложение № 3'!E13</f>
        <v>32408.9</v>
      </c>
      <c r="G25" s="2329">
        <f>'Приложение № 3'!G13</f>
        <v>45014.228999999992</v>
      </c>
      <c r="H25" s="2329">
        <f>'Приложение № 3'!H13</f>
        <v>38570</v>
      </c>
      <c r="I25" s="2329">
        <f>'Приложение № 3'!I13</f>
        <v>42252</v>
      </c>
      <c r="J25" s="2329">
        <f>'Приложение № 3'!J13</f>
        <v>46349.200000000004</v>
      </c>
      <c r="K25" s="1006"/>
      <c r="L25" s="1006"/>
      <c r="M25" s="1006"/>
      <c r="N25" s="1006"/>
      <c r="O25" s="1101"/>
    </row>
    <row r="26" spans="2:21" ht="54.75" customHeight="1" x14ac:dyDescent="0.2">
      <c r="B26" s="246"/>
      <c r="C26" s="2747" t="s">
        <v>288</v>
      </c>
      <c r="D26" s="2748"/>
      <c r="E26" s="2748"/>
      <c r="F26" s="2748"/>
      <c r="G26" s="2748"/>
      <c r="H26" s="2748"/>
      <c r="I26" s="2748"/>
      <c r="J26" s="2748"/>
      <c r="K26" s="1003"/>
      <c r="L26" s="1003"/>
      <c r="M26" s="1003"/>
      <c r="N26" s="1003"/>
    </row>
    <row r="27" spans="2:21" ht="45" customHeight="1" x14ac:dyDescent="0.2">
      <c r="B27" s="246"/>
      <c r="C27" s="2746" t="s">
        <v>289</v>
      </c>
      <c r="D27" s="248" t="s">
        <v>290</v>
      </c>
      <c r="E27" s="2655" t="s">
        <v>555</v>
      </c>
      <c r="F27" s="2666">
        <f>'Приложение № 1'!J22</f>
        <v>15</v>
      </c>
      <c r="G27" s="2666">
        <f>'Приложение № 1'!M22</f>
        <v>17</v>
      </c>
      <c r="H27" s="2666">
        <f>'Приложение № 1'!N22</f>
        <v>17</v>
      </c>
      <c r="I27" s="2666">
        <f>'Приложение № 1'!O22</f>
        <v>18</v>
      </c>
      <c r="J27" s="2666">
        <f>'Приложение № 1'!P22</f>
        <v>20</v>
      </c>
      <c r="K27" s="2288"/>
      <c r="L27" s="2288"/>
      <c r="M27" s="2288"/>
      <c r="N27" s="586"/>
    </row>
    <row r="28" spans="2:21" ht="40" x14ac:dyDescent="0.2">
      <c r="B28" s="246"/>
      <c r="C28" s="2746"/>
      <c r="D28" s="247" t="s">
        <v>292</v>
      </c>
      <c r="E28" s="2655" t="s">
        <v>3</v>
      </c>
      <c r="F28" s="573">
        <v>85</v>
      </c>
      <c r="G28" s="573">
        <v>85</v>
      </c>
      <c r="H28" s="573">
        <v>86</v>
      </c>
      <c r="I28" s="573">
        <v>87</v>
      </c>
      <c r="J28" s="573">
        <v>87</v>
      </c>
      <c r="K28" s="1001"/>
      <c r="L28" s="1001"/>
      <c r="M28" s="1001"/>
      <c r="N28" s="1001"/>
    </row>
    <row r="29" spans="2:21" s="2324" customFormat="1" x14ac:dyDescent="0.2">
      <c r="B29" s="2323"/>
      <c r="C29" s="2746"/>
      <c r="D29" s="247" t="s">
        <v>1580</v>
      </c>
      <c r="E29" s="2655" t="s">
        <v>1581</v>
      </c>
      <c r="F29" s="2663">
        <f>'Дор карта'!D45</f>
        <v>38.799999999999997</v>
      </c>
      <c r="G29" s="2663">
        <f>'Дор карта'!E45</f>
        <v>41.4</v>
      </c>
      <c r="H29" s="2663">
        <f>'Дор карта'!F45</f>
        <v>44.3</v>
      </c>
      <c r="I29" s="2663">
        <f>'Дор карта'!G45</f>
        <v>47.4</v>
      </c>
      <c r="J29" s="2663">
        <f>'Дор карта'!H45</f>
        <v>50.9</v>
      </c>
      <c r="K29" s="1007"/>
      <c r="L29" s="1007"/>
      <c r="M29" s="1007"/>
      <c r="N29" s="1007"/>
      <c r="O29" s="1101"/>
    </row>
    <row r="30" spans="2:21" ht="62.25" customHeight="1" x14ac:dyDescent="0.2">
      <c r="B30" s="246"/>
      <c r="C30" s="2746"/>
      <c r="D30" s="247" t="s">
        <v>564</v>
      </c>
      <c r="E30" s="2655" t="s">
        <v>3</v>
      </c>
      <c r="F30" s="2664">
        <f>'Индикаторы РЦП'!E35</f>
        <v>0.5</v>
      </c>
      <c r="G30" s="2664">
        <f>'Индикаторы РЦП'!F35</f>
        <v>0.62</v>
      </c>
      <c r="H30" s="2664">
        <f>'Индикаторы РЦП'!G35</f>
        <v>0.9</v>
      </c>
      <c r="I30" s="2664">
        <f>'Индикаторы РЦП'!H35</f>
        <v>1.1000000000000001</v>
      </c>
      <c r="J30" s="2664">
        <f>'Индикаторы РЦП'!I35</f>
        <v>1.3</v>
      </c>
      <c r="K30" s="1007"/>
      <c r="L30" s="1007"/>
      <c r="M30" s="1007"/>
      <c r="N30" s="1007"/>
    </row>
    <row r="31" spans="2:21" ht="43.5" customHeight="1" x14ac:dyDescent="0.2">
      <c r="B31" s="246"/>
      <c r="C31" s="2746"/>
      <c r="D31" s="247" t="s">
        <v>565</v>
      </c>
      <c r="E31" s="2655" t="s">
        <v>3</v>
      </c>
      <c r="F31" s="2664">
        <f>'Индикаторы РЦП'!E36</f>
        <v>6.3</v>
      </c>
      <c r="G31" s="2664">
        <f>'Индикаторы РЦП'!F36</f>
        <v>11.8</v>
      </c>
      <c r="H31" s="2664">
        <f>'Индикаторы РЦП'!G36</f>
        <v>15.8</v>
      </c>
      <c r="I31" s="2664">
        <f>'Индикаторы РЦП'!H36</f>
        <v>18.2</v>
      </c>
      <c r="J31" s="2664">
        <f>'Индикаторы РЦП'!I36</f>
        <v>19.2</v>
      </c>
      <c r="K31" s="1007"/>
      <c r="L31" s="1007"/>
      <c r="M31" s="1007"/>
      <c r="N31" s="1007"/>
      <c r="R31" s="236"/>
      <c r="U31" s="236"/>
    </row>
    <row r="32" spans="2:21" s="2324" customFormat="1" ht="43.5" customHeight="1" x14ac:dyDescent="0.2">
      <c r="B32" s="2323"/>
      <c r="C32" s="2746"/>
      <c r="D32" s="247" t="s">
        <v>567</v>
      </c>
      <c r="E32" s="2655" t="s">
        <v>1588</v>
      </c>
      <c r="F32" s="2667">
        <f>'ГосПрограмма (Индикаторы)'!F23</f>
        <v>26</v>
      </c>
      <c r="G32" s="2667">
        <f>'ГосПрограмма (Индикаторы)'!G23</f>
        <v>28</v>
      </c>
      <c r="H32" s="2667">
        <f>'ГосПрограмма (Индикаторы)'!H23</f>
        <v>31</v>
      </c>
      <c r="I32" s="2667">
        <f>'ГосПрограмма (Индикаторы)'!I23</f>
        <v>33</v>
      </c>
      <c r="J32" s="2667">
        <f>'ГосПрограмма (Индикаторы)'!J23</f>
        <v>34</v>
      </c>
      <c r="K32" s="1007" t="s">
        <v>1870</v>
      </c>
      <c r="L32" s="1007"/>
      <c r="M32" s="1007"/>
      <c r="N32" s="1007"/>
      <c r="O32" s="1101"/>
    </row>
    <row r="33" spans="2:15" ht="48" customHeight="1" x14ac:dyDescent="0.2">
      <c r="B33" s="246"/>
      <c r="C33" s="2746"/>
      <c r="D33" s="247" t="s">
        <v>568</v>
      </c>
      <c r="E33" s="2655" t="s">
        <v>3</v>
      </c>
      <c r="F33" s="2664">
        <f>'Индикаторы РЦП'!E39</f>
        <v>1</v>
      </c>
      <c r="G33" s="2664">
        <f>'Индикаторы РЦП'!F39</f>
        <v>1</v>
      </c>
      <c r="H33" s="2664">
        <f>'Индикаторы РЦП'!G39</f>
        <v>3</v>
      </c>
      <c r="I33" s="2664">
        <f>'Индикаторы РЦП'!H39</f>
        <v>4</v>
      </c>
      <c r="J33" s="2664">
        <f>'Индикаторы РЦП'!I39</f>
        <v>5</v>
      </c>
      <c r="K33" s="1007"/>
      <c r="L33" s="1007"/>
      <c r="M33" s="1007"/>
      <c r="N33" s="1007"/>
    </row>
    <row r="34" spans="2:15" ht="43.5" customHeight="1" x14ac:dyDescent="0.2">
      <c r="B34" s="246"/>
      <c r="C34" s="2746"/>
      <c r="D34" s="247" t="s">
        <v>569</v>
      </c>
      <c r="E34" s="2655" t="s">
        <v>3</v>
      </c>
      <c r="F34" s="2664">
        <f>'Индикаторы РЦП'!E40</f>
        <v>7.3</v>
      </c>
      <c r="G34" s="2664">
        <f>'Индикаторы РЦП'!F40</f>
        <v>7.3</v>
      </c>
      <c r="H34" s="2664">
        <f>'Индикаторы РЦП'!G40</f>
        <v>8.3000000000000007</v>
      </c>
      <c r="I34" s="2664">
        <f>'Индикаторы РЦП'!H40</f>
        <v>9.4</v>
      </c>
      <c r="J34" s="2664">
        <f>'Индикаторы РЦП'!I40</f>
        <v>12.1</v>
      </c>
      <c r="K34" s="1007"/>
      <c r="L34" s="1007"/>
      <c r="M34" s="1007"/>
      <c r="N34" s="1007"/>
    </row>
    <row r="35" spans="2:15" ht="85.5" customHeight="1" x14ac:dyDescent="0.2">
      <c r="B35" s="246"/>
      <c r="C35" s="2746"/>
      <c r="D35" s="247" t="s">
        <v>570</v>
      </c>
      <c r="E35" s="2655" t="s">
        <v>3</v>
      </c>
      <c r="F35" s="2664">
        <f>'Индикаторы РЦП'!E41</f>
        <v>4</v>
      </c>
      <c r="G35" s="2664">
        <f>'Индикаторы РЦП'!F41</f>
        <v>4</v>
      </c>
      <c r="H35" s="2664">
        <f>'Индикаторы РЦП'!G41</f>
        <v>4.4000000000000004</v>
      </c>
      <c r="I35" s="2664">
        <f>'Индикаторы РЦП'!H41</f>
        <v>6.6</v>
      </c>
      <c r="J35" s="2664">
        <f>'Индикаторы РЦП'!I41</f>
        <v>10</v>
      </c>
      <c r="K35" s="1007"/>
      <c r="L35" s="1007"/>
      <c r="M35" s="1007"/>
      <c r="N35" s="1007"/>
    </row>
    <row r="36" spans="2:15" s="2324" customFormat="1" ht="84.75" customHeight="1" x14ac:dyDescent="0.2">
      <c r="B36" s="2323"/>
      <c r="C36" s="2655" t="s">
        <v>293</v>
      </c>
      <c r="D36" s="247" t="s">
        <v>1598</v>
      </c>
      <c r="E36" s="2655" t="s">
        <v>366</v>
      </c>
      <c r="F36" s="2666">
        <f>'ГосПрограмма (Индикаторы)'!F16</f>
        <v>80</v>
      </c>
      <c r="G36" s="2666">
        <f>'ГосПрограмма (Индикаторы)'!G16</f>
        <v>80</v>
      </c>
      <c r="H36" s="2666">
        <f>'ГосПрограмма (Индикаторы)'!H16</f>
        <v>85</v>
      </c>
      <c r="I36" s="2666">
        <f>'ГосПрограмма (Индикаторы)'!I16</f>
        <v>85</v>
      </c>
      <c r="J36" s="2666">
        <f>'ГосПрограмма (Индикаторы)'!J16</f>
        <v>85</v>
      </c>
      <c r="K36" s="2288" t="s">
        <v>1870</v>
      </c>
      <c r="L36" s="2288"/>
      <c r="M36" s="2288"/>
      <c r="N36" s="586"/>
      <c r="O36" s="1101"/>
    </row>
    <row r="37" spans="2:15" x14ac:dyDescent="0.2">
      <c r="B37" s="246"/>
      <c r="C37" s="2746"/>
      <c r="D37" s="249" t="s">
        <v>284</v>
      </c>
      <c r="E37" s="2265" t="s">
        <v>544</v>
      </c>
      <c r="F37" s="579"/>
      <c r="G37" s="579"/>
      <c r="H37" s="571"/>
      <c r="N37" s="586"/>
    </row>
    <row r="38" spans="2:15" s="2324" customFormat="1" x14ac:dyDescent="0.2">
      <c r="B38" s="2323"/>
      <c r="C38" s="2746"/>
      <c r="D38" s="250" t="s">
        <v>285</v>
      </c>
      <c r="E38" s="2265" t="s">
        <v>544</v>
      </c>
      <c r="F38" s="2329">
        <f t="shared" ref="F38:J38" si="1">F39+F41</f>
        <v>99689.040000000008</v>
      </c>
      <c r="G38" s="2329">
        <f t="shared" si="1"/>
        <v>103408.57320000001</v>
      </c>
      <c r="H38" s="2329">
        <f t="shared" si="1"/>
        <v>41514.080000000002</v>
      </c>
      <c r="I38" s="2329">
        <f t="shared" si="1"/>
        <v>41556.340000000004</v>
      </c>
      <c r="J38" s="2329">
        <f t="shared" si="1"/>
        <v>504.59665982511837</v>
      </c>
      <c r="K38" s="1006"/>
      <c r="L38" s="1006"/>
      <c r="M38" s="1006"/>
      <c r="N38" s="1006"/>
      <c r="O38" s="1101"/>
    </row>
    <row r="39" spans="2:15" s="2324" customFormat="1" x14ac:dyDescent="0.2">
      <c r="B39" s="2323"/>
      <c r="C39" s="2746"/>
      <c r="D39" s="250" t="s">
        <v>286</v>
      </c>
      <c r="E39" s="2265" t="s">
        <v>544</v>
      </c>
      <c r="F39" s="2329">
        <f>'Приложение № 6'!E21</f>
        <v>99342.66</v>
      </c>
      <c r="G39" s="2329">
        <f>'Приложение № 6'!G21</f>
        <v>102816.54000000001</v>
      </c>
      <c r="H39" s="2329">
        <f>'Приложение № 6'!I21</f>
        <v>41095.68</v>
      </c>
      <c r="I39" s="2329">
        <f>'Приложение № 6'!K21</f>
        <v>41095.68</v>
      </c>
      <c r="J39" s="2329">
        <f>'Приложение № 6'!L21</f>
        <v>4.1706598251183333</v>
      </c>
      <c r="K39" s="1006"/>
      <c r="L39" s="1006"/>
      <c r="M39" s="1006"/>
      <c r="N39" s="2328"/>
      <c r="O39" s="1101"/>
    </row>
    <row r="40" spans="2:15" s="2324" customFormat="1" ht="54" customHeight="1" x14ac:dyDescent="0.2">
      <c r="B40" s="2323"/>
      <c r="C40" s="2746"/>
      <c r="D40" s="250" t="s">
        <v>957</v>
      </c>
      <c r="E40" s="2265" t="s">
        <v>544</v>
      </c>
      <c r="F40" s="2329">
        <f>'Приложение № 6'!E24+'Приложение № 6'!E27</f>
        <v>55939.360000000008</v>
      </c>
      <c r="G40" s="2329">
        <f>'Приложение № 6'!G24+'Приложение № 6'!G27</f>
        <v>63360.540000000008</v>
      </c>
      <c r="H40" s="2329">
        <f>'Приложение № 6'!I24+'Приложение № 6'!I27</f>
        <v>41095.68</v>
      </c>
      <c r="I40" s="2329">
        <f>'Приложение № 6'!K24+'Приложение № 6'!K27</f>
        <v>41095.68</v>
      </c>
      <c r="J40" s="2329">
        <f>'Приложение № 6'!L24+'Приложение № 6'!L27</f>
        <v>4.1706598251183333</v>
      </c>
      <c r="K40" s="1006"/>
      <c r="L40" s="1006"/>
      <c r="M40" s="1006"/>
      <c r="N40" s="2328"/>
      <c r="O40" s="1101"/>
    </row>
    <row r="41" spans="2:15" s="2324" customFormat="1" x14ac:dyDescent="0.2">
      <c r="B41" s="2323"/>
      <c r="C41" s="2746"/>
      <c r="D41" s="250" t="s">
        <v>287</v>
      </c>
      <c r="E41" s="2265" t="s">
        <v>544</v>
      </c>
      <c r="F41" s="2329">
        <f>'Приложение № 3'!E14*0.2</f>
        <v>346.38000000000005</v>
      </c>
      <c r="G41" s="2329">
        <f>'Приложение № 3'!G14*0.2</f>
        <v>592.03320000000008</v>
      </c>
      <c r="H41" s="2329">
        <f>'Приложение № 3'!H14*0.2</f>
        <v>418.40000000000003</v>
      </c>
      <c r="I41" s="2329">
        <f>'Приложение № 3'!I14*0.2</f>
        <v>460.66000000000008</v>
      </c>
      <c r="J41" s="2329">
        <f>'Приложение № 3'!J14*0.2</f>
        <v>500.42600000000004</v>
      </c>
      <c r="K41" s="1006"/>
      <c r="L41" s="1006"/>
      <c r="M41" s="1006"/>
      <c r="N41" s="1006"/>
      <c r="O41" s="1101">
        <v>0.8</v>
      </c>
    </row>
    <row r="42" spans="2:15" ht="20.25" customHeight="1" x14ac:dyDescent="0.2">
      <c r="B42" s="246"/>
      <c r="C42" s="2756" t="s">
        <v>295</v>
      </c>
      <c r="D42" s="2757"/>
      <c r="E42" s="2757"/>
      <c r="F42" s="2757"/>
      <c r="G42" s="2757"/>
      <c r="H42" s="2757"/>
      <c r="I42" s="2757"/>
      <c r="J42" s="2757"/>
      <c r="K42" s="1009"/>
      <c r="L42" s="1009"/>
      <c r="M42" s="1009"/>
      <c r="N42" s="1009"/>
    </row>
    <row r="43" spans="2:15" ht="20.25" customHeight="1" x14ac:dyDescent="0.2">
      <c r="B43" s="246"/>
      <c r="C43" s="2747" t="s">
        <v>296</v>
      </c>
      <c r="D43" s="2748"/>
      <c r="E43" s="2748"/>
      <c r="F43" s="2748"/>
      <c r="G43" s="2748"/>
      <c r="H43" s="2748"/>
      <c r="I43" s="2748"/>
      <c r="J43" s="2748"/>
      <c r="K43" s="586"/>
      <c r="L43" s="586"/>
      <c r="M43" s="586"/>
      <c r="N43" s="586"/>
    </row>
    <row r="44" spans="2:15" ht="43.5" customHeight="1" x14ac:dyDescent="0.2">
      <c r="B44" s="246"/>
      <c r="C44" s="2746" t="s">
        <v>289</v>
      </c>
      <c r="D44" s="248" t="s">
        <v>297</v>
      </c>
      <c r="E44" s="2655" t="s">
        <v>3</v>
      </c>
      <c r="F44" s="573">
        <v>50</v>
      </c>
      <c r="G44" s="573">
        <v>50</v>
      </c>
      <c r="H44" s="573">
        <v>50</v>
      </c>
      <c r="I44" s="573">
        <v>51</v>
      </c>
      <c r="J44" s="573">
        <v>51</v>
      </c>
      <c r="K44" s="1001"/>
      <c r="L44" s="1001"/>
      <c r="M44" s="1001"/>
      <c r="N44" s="1001"/>
    </row>
    <row r="45" spans="2:15" ht="40" x14ac:dyDescent="0.2">
      <c r="B45" s="246"/>
      <c r="C45" s="2746"/>
      <c r="D45" s="252" t="s">
        <v>298</v>
      </c>
      <c r="E45" s="2655" t="s">
        <v>555</v>
      </c>
      <c r="F45" s="2666">
        <f>'Приложение № 1'!J47</f>
        <v>15</v>
      </c>
      <c r="G45" s="2666">
        <f>'Приложение № 1'!M47</f>
        <v>15</v>
      </c>
      <c r="H45" s="2666">
        <f>'Приложение № 1'!N47</f>
        <v>15</v>
      </c>
      <c r="I45" s="2666">
        <f>'Приложение № 1'!O47</f>
        <v>15</v>
      </c>
      <c r="J45" s="2666">
        <f>'Приложение № 1'!P47</f>
        <v>20</v>
      </c>
      <c r="K45" s="2288"/>
      <c r="L45" s="2288"/>
      <c r="M45" s="2288"/>
      <c r="N45" s="1004"/>
    </row>
    <row r="46" spans="2:15" s="2324" customFormat="1" x14ac:dyDescent="0.2">
      <c r="B46" s="2323"/>
      <c r="C46" s="2746" t="s">
        <v>299</v>
      </c>
      <c r="D46" s="247" t="s">
        <v>1603</v>
      </c>
      <c r="E46" s="2655" t="s">
        <v>1581</v>
      </c>
      <c r="F46" s="2667">
        <f>'ГосПрограмма (Индикаторы)'!F21</f>
        <v>386.2</v>
      </c>
      <c r="G46" s="2667">
        <f>'ГосПрограмма (Индикаторы)'!G21</f>
        <v>402.4</v>
      </c>
      <c r="H46" s="2667">
        <f>'ГосПрограмма (Индикаторы)'!H21</f>
        <v>419.5</v>
      </c>
      <c r="I46" s="2667">
        <f>'ГосПрограмма (Индикаторы)'!I21</f>
        <v>437.7</v>
      </c>
      <c r="J46" s="2667">
        <f>'ГосПрограмма (Индикаторы)'!J21</f>
        <v>457.6</v>
      </c>
      <c r="K46" s="1001"/>
      <c r="L46" s="1001"/>
      <c r="M46" s="1001"/>
      <c r="N46" s="1001"/>
      <c r="O46" s="1101"/>
    </row>
    <row r="47" spans="2:15" ht="40" x14ac:dyDescent="0.2">
      <c r="B47" s="246"/>
      <c r="C47" s="2746"/>
      <c r="D47" s="248" t="s">
        <v>557</v>
      </c>
      <c r="E47" s="2655" t="s">
        <v>306</v>
      </c>
      <c r="F47" s="573">
        <f>Лист5!E35</f>
        <v>48.97</v>
      </c>
      <c r="G47" s="573">
        <f>Лист5!F35</f>
        <v>49.29</v>
      </c>
      <c r="H47" s="573">
        <f>Лист5!G35</f>
        <v>49.6</v>
      </c>
      <c r="I47" s="573">
        <f>Лист5!H35</f>
        <v>49.8</v>
      </c>
      <c r="J47" s="573">
        <v>49.8</v>
      </c>
      <c r="K47" s="1001"/>
      <c r="L47" s="1001"/>
      <c r="M47" s="1001"/>
      <c r="N47" s="1001"/>
    </row>
    <row r="48" spans="2:15" s="2324" customFormat="1" x14ac:dyDescent="0.2">
      <c r="B48" s="2323"/>
      <c r="C48" s="2746"/>
      <c r="D48" s="247" t="s">
        <v>1606</v>
      </c>
      <c r="E48" s="2655" t="s">
        <v>1581</v>
      </c>
      <c r="F48" s="2668">
        <f>'Приложение № 1'!J32</f>
        <v>367.3</v>
      </c>
      <c r="G48" s="2668">
        <f>'Приложение № 1'!L32</f>
        <v>394.62</v>
      </c>
      <c r="H48" s="2668">
        <f>'Приложение № 1'!M32</f>
        <v>395.44</v>
      </c>
      <c r="I48" s="2668">
        <f>'Приложение № 1'!N32</f>
        <v>395.59</v>
      </c>
      <c r="J48" s="2668">
        <f>'Приложение № 1'!O32</f>
        <v>397</v>
      </c>
      <c r="K48" s="1001" t="s">
        <v>1870</v>
      </c>
      <c r="L48" s="1001"/>
      <c r="M48" s="1001"/>
      <c r="N48" s="1001"/>
      <c r="O48" s="1101"/>
    </row>
    <row r="49" spans="2:15" x14ac:dyDescent="0.2">
      <c r="B49" s="246"/>
      <c r="C49" s="2746"/>
      <c r="D49" s="249" t="s">
        <v>284</v>
      </c>
      <c r="E49" s="2265" t="s">
        <v>544</v>
      </c>
      <c r="F49" s="580"/>
      <c r="G49" s="580"/>
      <c r="H49" s="580"/>
      <c r="I49" s="580"/>
      <c r="J49" s="580"/>
      <c r="K49" s="1010"/>
      <c r="L49" s="1010"/>
      <c r="M49" s="1010"/>
      <c r="N49" s="1010"/>
    </row>
    <row r="50" spans="2:15" s="2324" customFormat="1" x14ac:dyDescent="0.2">
      <c r="B50" s="2323"/>
      <c r="C50" s="2746"/>
      <c r="D50" s="250" t="s">
        <v>285</v>
      </c>
      <c r="E50" s="2265" t="s">
        <v>544</v>
      </c>
      <c r="F50" s="2329">
        <f t="shared" ref="F50:J50" si="2">F51+F53</f>
        <v>169627.72399999999</v>
      </c>
      <c r="G50" s="2329">
        <f t="shared" si="2"/>
        <v>133622.55980000002</v>
      </c>
      <c r="H50" s="2329">
        <f t="shared" si="2"/>
        <v>145919.10999999999</v>
      </c>
      <c r="I50" s="2329">
        <f t="shared" si="2"/>
        <v>72882.3</v>
      </c>
      <c r="J50" s="2329">
        <f t="shared" si="2"/>
        <v>1015.9398742053601</v>
      </c>
      <c r="K50" s="1006"/>
      <c r="L50" s="1006"/>
      <c r="M50" s="1006"/>
      <c r="N50" s="1006"/>
      <c r="O50" s="1101"/>
    </row>
    <row r="51" spans="2:15" s="2324" customFormat="1" x14ac:dyDescent="0.2">
      <c r="B51" s="2323"/>
      <c r="C51" s="2746"/>
      <c r="D51" s="250" t="s">
        <v>286</v>
      </c>
      <c r="E51" s="2265" t="s">
        <v>544</v>
      </c>
      <c r="F51" s="2329">
        <f>'Приложение № 6'!E32</f>
        <v>168867.19399999999</v>
      </c>
      <c r="G51" s="2329">
        <f>'Приложение № 6'!G32</f>
        <v>132439.04000000001</v>
      </c>
      <c r="H51" s="2329">
        <f>'Приложение № 6'!I32</f>
        <v>145044.31</v>
      </c>
      <c r="I51" s="2329">
        <f>'Приложение № 6'!K32</f>
        <v>71939.31</v>
      </c>
      <c r="J51" s="2329">
        <f>'Приложение № 6'!L32</f>
        <v>7.300874205360115</v>
      </c>
      <c r="K51" s="1006"/>
      <c r="L51" s="1006"/>
      <c r="M51" s="1006"/>
      <c r="N51" s="2328"/>
      <c r="O51" s="1101"/>
    </row>
    <row r="52" spans="2:15" s="2324" customFormat="1" ht="54" customHeight="1" x14ac:dyDescent="0.2">
      <c r="B52" s="2323"/>
      <c r="C52" s="2746"/>
      <c r="D52" s="250" t="s">
        <v>957</v>
      </c>
      <c r="E52" s="2265" t="s">
        <v>544</v>
      </c>
      <c r="F52" s="2329">
        <f>'Приложение № 6'!E35+'Приложение № 6'!E38</f>
        <v>53692.193999999989</v>
      </c>
      <c r="G52" s="2329">
        <f>'Приложение № 6'!G35+'Приложение № 6'!G38</f>
        <v>49676.639999999999</v>
      </c>
      <c r="H52" s="2329">
        <f>'Приложение № 6'!I35+'Приложение № 6'!I38</f>
        <v>71939.31</v>
      </c>
      <c r="I52" s="2329">
        <f>'Приложение № 6'!K35+'Приложение № 6'!K38</f>
        <v>71939.31</v>
      </c>
      <c r="J52" s="2329">
        <f>'Приложение № 6'!L35+'Приложение № 6'!L38</f>
        <v>7.300874205360115</v>
      </c>
      <c r="K52" s="1006"/>
      <c r="L52" s="1006"/>
      <c r="M52" s="1006"/>
      <c r="N52" s="2328"/>
      <c r="O52" s="1101"/>
    </row>
    <row r="53" spans="2:15" s="2324" customFormat="1" x14ac:dyDescent="0.2">
      <c r="B53" s="2323"/>
      <c r="C53" s="2746"/>
      <c r="D53" s="250" t="s">
        <v>287</v>
      </c>
      <c r="E53" s="2265" t="s">
        <v>544</v>
      </c>
      <c r="F53" s="2329">
        <f>('Приложение № 3'!E14+'Приложение № 3'!E15)*0.3</f>
        <v>760.53000000000009</v>
      </c>
      <c r="G53" s="2329">
        <f>('Приложение № 3'!G14+'Приложение № 3'!G15)*0.3</f>
        <v>1183.5198</v>
      </c>
      <c r="H53" s="2329">
        <f>('Приложение № 3'!H14+'Приложение № 3'!H15)*0.3</f>
        <v>874.8</v>
      </c>
      <c r="I53" s="2329">
        <f>('Приложение № 3'!I14+'Приложение № 3'!I15)*0.3</f>
        <v>942.99</v>
      </c>
      <c r="J53" s="2329">
        <f>('Приложение № 3'!J14+'Приложение № 3'!J15)*0.3</f>
        <v>1008.639</v>
      </c>
      <c r="K53" s="1006"/>
      <c r="L53" s="1006"/>
      <c r="M53" s="1006"/>
      <c r="N53" s="1006"/>
      <c r="O53" s="1101" t="s">
        <v>834</v>
      </c>
    </row>
    <row r="54" spans="2:15" ht="26.25" customHeight="1" x14ac:dyDescent="0.2">
      <c r="B54" s="246"/>
      <c r="C54" s="2747" t="s">
        <v>307</v>
      </c>
      <c r="D54" s="2748"/>
      <c r="E54" s="2748"/>
      <c r="F54" s="2748"/>
      <c r="G54" s="2748"/>
      <c r="H54" s="2748"/>
      <c r="I54" s="2748"/>
      <c r="J54" s="2748"/>
      <c r="K54" s="1003"/>
      <c r="L54" s="1003"/>
      <c r="M54" s="1003"/>
      <c r="N54" s="1003"/>
    </row>
    <row r="55" spans="2:15" ht="84.75" customHeight="1" x14ac:dyDescent="0.2">
      <c r="B55" s="246"/>
      <c r="C55" s="2655" t="s">
        <v>289</v>
      </c>
      <c r="D55" s="435" t="s">
        <v>1587</v>
      </c>
      <c r="E55" s="2656" t="s">
        <v>1588</v>
      </c>
      <c r="F55" s="2669">
        <f>'ГосПрограмма (Индикаторы)'!F6</f>
        <v>32</v>
      </c>
      <c r="G55" s="2669">
        <f>'ГосПрограмма (Индикаторы)'!G6</f>
        <v>32.799999999999997</v>
      </c>
      <c r="H55" s="2669">
        <f>'ГосПрограмма (Индикаторы)'!H6</f>
        <v>33.6</v>
      </c>
      <c r="I55" s="2669">
        <f>'ГосПрограмма (Индикаторы)'!I6</f>
        <v>34.4</v>
      </c>
      <c r="J55" s="2669">
        <f>'ГосПрограмма (Индикаторы)'!J6</f>
        <v>35.299999999999997</v>
      </c>
      <c r="K55" s="2288" t="s">
        <v>1870</v>
      </c>
      <c r="L55" s="2288"/>
      <c r="M55" s="2288"/>
      <c r="N55" s="586"/>
    </row>
    <row r="56" spans="2:15" ht="111.75" customHeight="1" x14ac:dyDescent="0.2">
      <c r="B56" s="246"/>
      <c r="C56" s="2655" t="s">
        <v>299</v>
      </c>
      <c r="D56" s="435" t="s">
        <v>1602</v>
      </c>
      <c r="E56" s="2656" t="s">
        <v>366</v>
      </c>
      <c r="F56" s="2670">
        <f>'ГосПрограмма (Индикаторы)'!F20</f>
        <v>540</v>
      </c>
      <c r="G56" s="2670">
        <f>'ГосПрограмма (Индикаторы)'!G20</f>
        <v>1015</v>
      </c>
      <c r="H56" s="2670">
        <f>'ГосПрограмма (Индикаторы)'!H20</f>
        <v>1489</v>
      </c>
      <c r="I56" s="2670">
        <f>'ГосПрограмма (Индикаторы)'!I20</f>
        <v>1619</v>
      </c>
      <c r="J56" s="2670">
        <f>'ГосПрограмма (Индикаторы)'!J20</f>
        <v>1683</v>
      </c>
      <c r="K56" s="586" t="s">
        <v>1870</v>
      </c>
      <c r="L56" s="586"/>
      <c r="M56" s="586"/>
      <c r="N56" s="586"/>
    </row>
    <row r="57" spans="2:15" x14ac:dyDescent="0.2">
      <c r="B57" s="246"/>
      <c r="C57" s="2746"/>
      <c r="D57" s="249" t="s">
        <v>284</v>
      </c>
      <c r="E57" s="2265"/>
      <c r="F57" s="580"/>
      <c r="G57" s="580"/>
      <c r="H57" s="580"/>
      <c r="I57" s="580"/>
      <c r="J57" s="580"/>
      <c r="K57" s="1010"/>
      <c r="L57" s="1010"/>
      <c r="M57" s="1010"/>
      <c r="N57" s="1010"/>
    </row>
    <row r="58" spans="2:15" x14ac:dyDescent="0.2">
      <c r="B58" s="246"/>
      <c r="C58" s="2746"/>
      <c r="D58" s="250" t="s">
        <v>285</v>
      </c>
      <c r="E58" s="2265" t="s">
        <v>544</v>
      </c>
      <c r="F58" s="2329">
        <f t="shared" ref="F58:J58" si="3">F59+F61</f>
        <v>37547.599999999999</v>
      </c>
      <c r="G58" s="2329">
        <f t="shared" si="3"/>
        <v>25719.799999999996</v>
      </c>
      <c r="H58" s="2329">
        <f t="shared" si="3"/>
        <v>5366.3</v>
      </c>
      <c r="I58" s="2329">
        <f t="shared" si="3"/>
        <v>5366.3</v>
      </c>
      <c r="J58" s="2329">
        <f t="shared" si="3"/>
        <v>0.54460740933189355</v>
      </c>
      <c r="K58" s="2287"/>
      <c r="L58" s="2287"/>
      <c r="M58" s="2287"/>
      <c r="N58" s="1006"/>
    </row>
    <row r="59" spans="2:15" x14ac:dyDescent="0.2">
      <c r="B59" s="246"/>
      <c r="C59" s="2746"/>
      <c r="D59" s="250" t="s">
        <v>286</v>
      </c>
      <c r="E59" s="2265" t="s">
        <v>544</v>
      </c>
      <c r="F59" s="2329">
        <f>'Приложение № 6'!E41</f>
        <v>37547.599999999999</v>
      </c>
      <c r="G59" s="2329">
        <f>'Приложение № 6'!G41</f>
        <v>25719.799999999996</v>
      </c>
      <c r="H59" s="2329">
        <f>'Приложение № 6'!I41</f>
        <v>5366.3</v>
      </c>
      <c r="I59" s="2329">
        <f>'Приложение № 6'!K41</f>
        <v>5366.3</v>
      </c>
      <c r="J59" s="2329">
        <f>'Приложение № 6'!L41</f>
        <v>0.54460740933189355</v>
      </c>
      <c r="K59" s="2287"/>
      <c r="L59" s="2287"/>
      <c r="M59" s="2287"/>
    </row>
    <row r="60" spans="2:15" ht="49.5" customHeight="1" x14ac:dyDescent="0.2">
      <c r="B60" s="246"/>
      <c r="C60" s="2746"/>
      <c r="D60" s="250" t="s">
        <v>957</v>
      </c>
      <c r="E60" s="2265" t="s">
        <v>544</v>
      </c>
      <c r="F60" s="2329">
        <f>'Приложение № 6'!E45</f>
        <v>1660.1000000000001</v>
      </c>
      <c r="G60" s="2329">
        <f>'Приложение № 6'!G45</f>
        <v>4340.4359999999997</v>
      </c>
      <c r="H60" s="2329">
        <f>'Приложение № 6'!I45</f>
        <v>1826.4</v>
      </c>
      <c r="I60" s="2329">
        <f>'Приложение № 6'!K45</f>
        <v>1826.4</v>
      </c>
      <c r="J60" s="2329">
        <f>'Приложение № 6'!L45</f>
        <v>0.18535508122985492</v>
      </c>
      <c r="K60" s="2287"/>
      <c r="L60" s="2287"/>
      <c r="M60" s="2287"/>
    </row>
    <row r="61" spans="2:15" x14ac:dyDescent="0.2">
      <c r="B61" s="246"/>
      <c r="C61" s="2746"/>
      <c r="D61" s="250" t="s">
        <v>287</v>
      </c>
      <c r="E61" s="2265" t="s">
        <v>544</v>
      </c>
      <c r="F61" s="2329">
        <v>0</v>
      </c>
      <c r="G61" s="2329">
        <v>0</v>
      </c>
      <c r="H61" s="2329">
        <v>0</v>
      </c>
      <c r="I61" s="2329">
        <v>0</v>
      </c>
      <c r="J61" s="2329">
        <v>0</v>
      </c>
      <c r="K61" s="2287"/>
      <c r="L61" s="2287"/>
      <c r="M61" s="2287"/>
      <c r="N61" s="1006"/>
    </row>
    <row r="62" spans="2:15" ht="51.75" customHeight="1" x14ac:dyDescent="0.2">
      <c r="B62" s="246"/>
      <c r="C62" s="2747" t="s">
        <v>310</v>
      </c>
      <c r="D62" s="2748"/>
      <c r="E62" s="2748"/>
      <c r="F62" s="2748"/>
      <c r="G62" s="2748"/>
      <c r="H62" s="2748"/>
      <c r="I62" s="2748"/>
      <c r="J62" s="2748"/>
      <c r="K62" s="1003"/>
      <c r="L62" s="1003"/>
      <c r="M62" s="1003"/>
      <c r="N62" s="1003"/>
    </row>
    <row r="63" spans="2:15" ht="51" customHeight="1" x14ac:dyDescent="0.2">
      <c r="B63" s="246"/>
      <c r="C63" s="2746" t="s">
        <v>289</v>
      </c>
      <c r="D63" s="2330" t="s">
        <v>1623</v>
      </c>
      <c r="E63" s="2655" t="s">
        <v>3</v>
      </c>
      <c r="F63" s="2665">
        <f>'Дор карта'!D69</f>
        <v>57</v>
      </c>
      <c r="G63" s="2665">
        <f>'Дор карта'!E69</f>
        <v>61</v>
      </c>
      <c r="H63" s="2665">
        <f>'Дор карта'!F69</f>
        <v>69</v>
      </c>
      <c r="I63" s="2665">
        <f>'Дор карта'!G69</f>
        <v>77</v>
      </c>
      <c r="J63" s="2665">
        <f>'Дор карта'!H69</f>
        <v>85</v>
      </c>
      <c r="K63" s="1001" t="s">
        <v>39</v>
      </c>
      <c r="L63" s="1001"/>
      <c r="M63" s="1001"/>
      <c r="N63" s="1001"/>
      <c r="O63" s="496"/>
    </row>
    <row r="64" spans="2:15" ht="35.25" customHeight="1" x14ac:dyDescent="0.2">
      <c r="B64" s="246"/>
      <c r="C64" s="2746"/>
      <c r="D64" s="247" t="s">
        <v>1875</v>
      </c>
      <c r="E64" s="2655" t="s">
        <v>3</v>
      </c>
      <c r="F64" s="573">
        <f>Лист5!E80</f>
        <v>65</v>
      </c>
      <c r="G64" s="573">
        <f>Лист5!F80</f>
        <v>65</v>
      </c>
      <c r="H64" s="573">
        <f>Лист5!G80</f>
        <v>65</v>
      </c>
      <c r="I64" s="573">
        <f>Лист5!H80</f>
        <v>65</v>
      </c>
      <c r="J64" s="573">
        <v>65</v>
      </c>
      <c r="K64" s="1001"/>
      <c r="L64" s="1001"/>
      <c r="M64" s="1001"/>
      <c r="N64" s="1001"/>
    </row>
    <row r="65" spans="2:15" ht="102" customHeight="1" x14ac:dyDescent="0.2">
      <c r="B65" s="246"/>
      <c r="C65" s="2655" t="s">
        <v>313</v>
      </c>
      <c r="D65" s="247" t="s">
        <v>1604</v>
      </c>
      <c r="E65" s="2655" t="s">
        <v>366</v>
      </c>
      <c r="F65" s="2670">
        <f>'ГосПрограмма (Индикаторы)'!F22</f>
        <v>67</v>
      </c>
      <c r="G65" s="2670">
        <f>'ГосПрограмма (Индикаторы)'!G22</f>
        <v>190</v>
      </c>
      <c r="H65" s="2670">
        <f>'ГосПрограмма (Индикаторы)'!H22</f>
        <v>200</v>
      </c>
      <c r="I65" s="2670">
        <f>'ГосПрограмма (Индикаторы)'!I22</f>
        <v>210</v>
      </c>
      <c r="J65" s="2670">
        <f>'ГосПрограмма (Индикаторы)'!J22</f>
        <v>220</v>
      </c>
      <c r="K65" s="586" t="s">
        <v>1870</v>
      </c>
      <c r="L65" s="586"/>
      <c r="M65" s="586"/>
      <c r="N65" s="586"/>
    </row>
    <row r="66" spans="2:15" x14ac:dyDescent="0.2">
      <c r="B66" s="246"/>
      <c r="C66" s="2746"/>
      <c r="D66" s="249" t="s">
        <v>284</v>
      </c>
      <c r="E66" s="2265"/>
      <c r="F66" s="580"/>
      <c r="G66" s="580"/>
      <c r="H66" s="580"/>
      <c r="I66" s="580"/>
      <c r="J66" s="580"/>
      <c r="K66" s="1010"/>
      <c r="L66" s="1010"/>
      <c r="M66" s="1010"/>
      <c r="N66" s="1010"/>
    </row>
    <row r="67" spans="2:15" x14ac:dyDescent="0.2">
      <c r="B67" s="246"/>
      <c r="C67" s="2746"/>
      <c r="D67" s="250" t="s">
        <v>285</v>
      </c>
      <c r="E67" s="2265" t="s">
        <v>544</v>
      </c>
      <c r="F67" s="2329">
        <f t="shared" ref="F67:J67" si="4">F68+F70</f>
        <v>78320.039999999979</v>
      </c>
      <c r="G67" s="2329">
        <f t="shared" si="4"/>
        <v>78661.942999999999</v>
      </c>
      <c r="H67" s="2329">
        <f t="shared" si="4"/>
        <v>129145.01999999999</v>
      </c>
      <c r="I67" s="2329">
        <f t="shared" si="4"/>
        <v>129250.66999999998</v>
      </c>
      <c r="J67" s="2329">
        <f t="shared" si="4"/>
        <v>1264.0653308462356</v>
      </c>
      <c r="K67" s="2287"/>
      <c r="L67" s="2287"/>
      <c r="M67" s="2287"/>
      <c r="N67" s="1006"/>
    </row>
    <row r="68" spans="2:15" x14ac:dyDescent="0.2">
      <c r="B68" s="246"/>
      <c r="C68" s="2746"/>
      <c r="D68" s="250" t="s">
        <v>286</v>
      </c>
      <c r="E68" s="2265" t="s">
        <v>544</v>
      </c>
      <c r="F68" s="2329">
        <f>'Приложение № 6'!E49</f>
        <v>77454.089999999982</v>
      </c>
      <c r="G68" s="2329">
        <f>'Приложение № 6'!G49</f>
        <v>77181.86</v>
      </c>
      <c r="H68" s="2329">
        <f>'Приложение № 6'!I49</f>
        <v>128099.01999999999</v>
      </c>
      <c r="I68" s="2329">
        <f>'Приложение № 6'!K49</f>
        <v>128099.01999999999</v>
      </c>
      <c r="J68" s="2329">
        <f>'Приложение № 6'!L49</f>
        <v>13.000330846235657</v>
      </c>
      <c r="K68" s="2287"/>
      <c r="L68" s="2287"/>
      <c r="M68" s="2287"/>
    </row>
    <row r="69" spans="2:15" ht="48" customHeight="1" x14ac:dyDescent="0.2">
      <c r="B69" s="246"/>
      <c r="C69" s="2746"/>
      <c r="D69" s="250" t="s">
        <v>957</v>
      </c>
      <c r="E69" s="2265" t="s">
        <v>544</v>
      </c>
      <c r="F69" s="2329">
        <f>'Приложение № 6'!E53</f>
        <v>77454.089999999982</v>
      </c>
      <c r="G69" s="2329">
        <f>'Приложение № 6'!G53</f>
        <v>77181.86</v>
      </c>
      <c r="H69" s="2329">
        <f>'Приложение № 6'!I53</f>
        <v>128099.01999999999</v>
      </c>
      <c r="I69" s="2329">
        <f>'Приложение № 6'!K53</f>
        <v>128099.01999999999</v>
      </c>
      <c r="J69" s="2329">
        <f>'Приложение № 6'!L53</f>
        <v>13.000330846235657</v>
      </c>
      <c r="K69" s="2287"/>
      <c r="L69" s="2287"/>
      <c r="M69" s="2287"/>
    </row>
    <row r="70" spans="2:15" x14ac:dyDescent="0.2">
      <c r="B70" s="246"/>
      <c r="C70" s="2746"/>
      <c r="D70" s="250" t="s">
        <v>287</v>
      </c>
      <c r="E70" s="2265" t="s">
        <v>544</v>
      </c>
      <c r="F70" s="2329">
        <f>'Приложение № 3'!E14*0.5</f>
        <v>865.95</v>
      </c>
      <c r="G70" s="2329">
        <f>'Приложение № 3'!G14*0.5</f>
        <v>1480.0830000000001</v>
      </c>
      <c r="H70" s="2329">
        <f>'Приложение № 3'!H14*0.5</f>
        <v>1046</v>
      </c>
      <c r="I70" s="2329">
        <f>'Приложение № 3'!I14*0.5</f>
        <v>1151.6500000000001</v>
      </c>
      <c r="J70" s="2329">
        <f>'Приложение № 3'!J14*0.5</f>
        <v>1251.0650000000001</v>
      </c>
      <c r="K70" s="2287"/>
      <c r="L70" s="2287"/>
      <c r="M70" s="2287"/>
      <c r="N70" s="1006"/>
      <c r="O70" s="236" t="s">
        <v>1554</v>
      </c>
    </row>
    <row r="71" spans="2:15" ht="23.25" customHeight="1" x14ac:dyDescent="0.2">
      <c r="B71" s="246"/>
      <c r="C71" s="2747" t="s">
        <v>316</v>
      </c>
      <c r="D71" s="2748"/>
      <c r="E71" s="2748"/>
      <c r="F71" s="2748"/>
      <c r="G71" s="2748"/>
      <c r="H71" s="2748"/>
      <c r="I71" s="2748"/>
      <c r="J71" s="2748"/>
      <c r="K71" s="1003"/>
      <c r="L71" s="1003"/>
      <c r="M71" s="1003"/>
      <c r="N71" s="1003"/>
    </row>
    <row r="72" spans="2:15" ht="47.25" customHeight="1" x14ac:dyDescent="0.2">
      <c r="B72" s="246"/>
      <c r="C72" s="2751" t="s">
        <v>289</v>
      </c>
      <c r="D72" s="247" t="s">
        <v>1624</v>
      </c>
      <c r="E72" s="2655" t="s">
        <v>3</v>
      </c>
      <c r="F72" s="2665">
        <f>'Дор карта'!D63</f>
        <v>45.8</v>
      </c>
      <c r="G72" s="2665">
        <f>'Дор карта'!E63</f>
        <v>54.9</v>
      </c>
      <c r="H72" s="2665">
        <f>'Дор карта'!F63</f>
        <v>64</v>
      </c>
      <c r="I72" s="2665">
        <f>'Дор карта'!G63</f>
        <v>73.099999999999994</v>
      </c>
      <c r="J72" s="2665">
        <f>'Дор карта'!H63</f>
        <v>82.2</v>
      </c>
      <c r="K72" s="1001" t="s">
        <v>39</v>
      </c>
      <c r="L72" s="1001"/>
      <c r="M72" s="1001"/>
      <c r="N72" s="1001"/>
    </row>
    <row r="73" spans="2:15" ht="48" customHeight="1" x14ac:dyDescent="0.2">
      <c r="B73" s="246"/>
      <c r="C73" s="2751"/>
      <c r="D73" s="247" t="s">
        <v>1876</v>
      </c>
      <c r="E73" s="2655" t="s">
        <v>1610</v>
      </c>
      <c r="F73" s="2668">
        <f>'ГосПрограмма (Индикаторы)'!F27</f>
        <v>33.299999999999997</v>
      </c>
      <c r="G73" s="2668">
        <f>'ГосПрограмма (Индикаторы)'!G27</f>
        <v>66.599999999999994</v>
      </c>
      <c r="H73" s="2668">
        <f>'ГосПрограмма (Индикаторы)'!H27</f>
        <v>139.9</v>
      </c>
      <c r="I73" s="2668">
        <f>'ГосПрограмма (Индикаторы)'!I27</f>
        <v>307.8</v>
      </c>
      <c r="J73" s="2668">
        <f>'ГосПрограмма (Индикаторы)'!J27</f>
        <v>708</v>
      </c>
      <c r="K73" s="1001" t="s">
        <v>1870</v>
      </c>
      <c r="L73" s="1001"/>
      <c r="M73" s="1001"/>
      <c r="N73" s="1001"/>
    </row>
    <row r="74" spans="2:15" ht="48" customHeight="1" x14ac:dyDescent="0.2">
      <c r="B74" s="246"/>
      <c r="C74" s="2751"/>
      <c r="D74" s="247" t="s">
        <v>319</v>
      </c>
      <c r="E74" s="2655" t="s">
        <v>3</v>
      </c>
      <c r="F74" s="573">
        <v>70</v>
      </c>
      <c r="G74" s="573">
        <v>70</v>
      </c>
      <c r="H74" s="573">
        <v>70</v>
      </c>
      <c r="I74" s="573">
        <v>71</v>
      </c>
      <c r="J74" s="573">
        <v>71</v>
      </c>
      <c r="K74" s="1001"/>
      <c r="L74" s="1001"/>
      <c r="M74" s="1001"/>
      <c r="N74" s="1001"/>
    </row>
    <row r="75" spans="2:15" ht="40" x14ac:dyDescent="0.2">
      <c r="B75" s="246"/>
      <c r="C75" s="2746" t="s">
        <v>313</v>
      </c>
      <c r="D75" s="247" t="s">
        <v>1607</v>
      </c>
      <c r="E75" s="2655" t="s">
        <v>1608</v>
      </c>
      <c r="F75" s="2668">
        <f>'ГосПрограмма (Индикаторы)'!F26</f>
        <v>1078.7</v>
      </c>
      <c r="G75" s="2668">
        <f>'ГосПрограмма (Индикаторы)'!G26</f>
        <v>1086.8</v>
      </c>
      <c r="H75" s="2668">
        <f>'ГосПрограмма (Индикаторы)'!H26</f>
        <v>1091.71</v>
      </c>
      <c r="I75" s="2668">
        <f>'ГосПрограмма (Индикаторы)'!I26</f>
        <v>1097.4000000000001</v>
      </c>
      <c r="J75" s="2668">
        <f>'ГосПрограмма (Индикаторы)'!J26</f>
        <v>1103.0999999999999</v>
      </c>
      <c r="K75" s="1001" t="s">
        <v>1870</v>
      </c>
      <c r="L75" s="1001"/>
      <c r="M75" s="1001"/>
      <c r="N75" s="1001"/>
    </row>
    <row r="76" spans="2:15" ht="66.75" customHeight="1" x14ac:dyDescent="0.2">
      <c r="B76" s="246"/>
      <c r="C76" s="2746"/>
      <c r="D76" s="248" t="s">
        <v>595</v>
      </c>
      <c r="E76" s="2655" t="s">
        <v>322</v>
      </c>
      <c r="F76" s="573">
        <f>Лист5!E38</f>
        <v>40.880000000000003</v>
      </c>
      <c r="G76" s="573">
        <f>Лист5!F38</f>
        <v>41.7</v>
      </c>
      <c r="H76" s="573">
        <f>Лист5!G38</f>
        <v>42.54</v>
      </c>
      <c r="I76" s="573">
        <f>Лист5!H38</f>
        <v>42.54</v>
      </c>
      <c r="J76" s="573">
        <v>42.54</v>
      </c>
      <c r="K76" s="1001"/>
      <c r="L76" s="1001"/>
      <c r="M76" s="1001"/>
      <c r="N76" s="1001"/>
    </row>
    <row r="77" spans="2:15" x14ac:dyDescent="0.2">
      <c r="B77" s="246"/>
      <c r="C77" s="2746"/>
      <c r="D77" s="249" t="s">
        <v>284</v>
      </c>
      <c r="E77" s="2265"/>
      <c r="F77" s="580"/>
      <c r="G77" s="580"/>
      <c r="H77" s="580"/>
      <c r="I77" s="580"/>
      <c r="J77" s="580"/>
      <c r="K77" s="1010"/>
      <c r="L77" s="1010"/>
      <c r="M77" s="1010"/>
      <c r="N77" s="1010"/>
    </row>
    <row r="78" spans="2:15" x14ac:dyDescent="0.2">
      <c r="B78" s="246"/>
      <c r="C78" s="2746"/>
      <c r="D78" s="250" t="s">
        <v>285</v>
      </c>
      <c r="E78" s="2265" t="s">
        <v>544</v>
      </c>
      <c r="F78" s="2329">
        <f t="shared" ref="F78:J78" si="5">F79+F81</f>
        <v>48389.935999999994</v>
      </c>
      <c r="G78" s="2329">
        <f t="shared" si="5"/>
        <v>39419.729999999996</v>
      </c>
      <c r="H78" s="2329">
        <f t="shared" si="5"/>
        <v>40336.17</v>
      </c>
      <c r="I78" s="2329">
        <f t="shared" si="5"/>
        <v>40347.369999999995</v>
      </c>
      <c r="J78" s="2329">
        <f t="shared" si="5"/>
        <v>606.03504229960458</v>
      </c>
      <c r="K78" s="2287"/>
      <c r="L78" s="2287"/>
      <c r="M78" s="2287"/>
      <c r="N78" s="1006"/>
    </row>
    <row r="79" spans="2:15" x14ac:dyDescent="0.2">
      <c r="B79" s="246"/>
      <c r="C79" s="2746"/>
      <c r="D79" s="250" t="s">
        <v>286</v>
      </c>
      <c r="E79" s="2265" t="s">
        <v>544</v>
      </c>
      <c r="F79" s="2329">
        <f>'Приложение № 6'!E54</f>
        <v>47827.695999999996</v>
      </c>
      <c r="G79" s="2329">
        <f>'Приложение № 6'!G54</f>
        <v>38730.299999999996</v>
      </c>
      <c r="H79" s="2329">
        <f>'Приложение № 6'!I54</f>
        <v>39759.369999999995</v>
      </c>
      <c r="I79" s="2329">
        <f>'Приложение № 6'!K54</f>
        <v>39759.369999999995</v>
      </c>
      <c r="J79" s="2329">
        <f>'Приложение № 6'!L54</f>
        <v>4.0350422996046076</v>
      </c>
      <c r="K79" s="2287"/>
      <c r="L79" s="2287"/>
      <c r="M79" s="2287"/>
    </row>
    <row r="80" spans="2:15" ht="45" customHeight="1" x14ac:dyDescent="0.2">
      <c r="B80" s="246"/>
      <c r="C80" s="2746"/>
      <c r="D80" s="250" t="s">
        <v>957</v>
      </c>
      <c r="E80" s="2265" t="s">
        <v>544</v>
      </c>
      <c r="F80" s="2329">
        <f>'Приложение № 6'!E57</f>
        <v>47827.695999999996</v>
      </c>
      <c r="G80" s="2329">
        <f>'Приложение № 6'!G57</f>
        <v>38730.299999999996</v>
      </c>
      <c r="H80" s="2329">
        <f>'Приложение № 6'!I57</f>
        <v>39759.369999999995</v>
      </c>
      <c r="I80" s="2329">
        <f>'Приложение № 6'!K57</f>
        <v>39759.369999999995</v>
      </c>
      <c r="J80" s="2329">
        <f>'Приложение № 6'!L57</f>
        <v>4.0350422996046076</v>
      </c>
      <c r="K80" s="2287"/>
      <c r="L80" s="2287"/>
      <c r="M80" s="2287"/>
    </row>
    <row r="81" spans="2:15" x14ac:dyDescent="0.2">
      <c r="B81" s="246"/>
      <c r="C81" s="2746"/>
      <c r="D81" s="250" t="s">
        <v>287</v>
      </c>
      <c r="E81" s="2265" t="s">
        <v>544</v>
      </c>
      <c r="F81" s="2329">
        <f>'Приложение № 3'!E15*0.7</f>
        <v>562.24</v>
      </c>
      <c r="G81" s="2329">
        <f>'Приложение № 3'!G15*0.7</f>
        <v>689.43</v>
      </c>
      <c r="H81" s="2329">
        <f>'Приложение № 3'!H15*0.7</f>
        <v>576.79999999999995</v>
      </c>
      <c r="I81" s="2329">
        <f>'Приложение № 3'!I15*0.7</f>
        <v>588</v>
      </c>
      <c r="J81" s="2329">
        <f>'Приложение № 3'!J15*0.7</f>
        <v>602</v>
      </c>
      <c r="K81" s="2287"/>
      <c r="L81" s="2287"/>
      <c r="M81" s="2287"/>
      <c r="N81" s="1006"/>
      <c r="O81" s="236" t="s">
        <v>1555</v>
      </c>
    </row>
    <row r="82" spans="2:15" ht="20.25" customHeight="1" x14ac:dyDescent="0.2">
      <c r="B82" s="246"/>
      <c r="C82" s="2752" t="s">
        <v>323</v>
      </c>
      <c r="D82" s="2753"/>
      <c r="E82" s="2753"/>
      <c r="F82" s="2753"/>
      <c r="G82" s="2753"/>
      <c r="H82" s="2753"/>
      <c r="I82" s="2753"/>
      <c r="J82" s="2753"/>
      <c r="K82" s="1002"/>
      <c r="L82" s="1002"/>
      <c r="M82" s="1002"/>
      <c r="N82" s="1002"/>
    </row>
    <row r="83" spans="2:15" ht="20.25" customHeight="1" x14ac:dyDescent="0.2">
      <c r="B83" s="246"/>
      <c r="C83" s="2754" t="s">
        <v>324</v>
      </c>
      <c r="D83" s="2755"/>
      <c r="E83" s="2755"/>
      <c r="F83" s="2755"/>
      <c r="G83" s="2755"/>
      <c r="H83" s="2755"/>
      <c r="I83" s="2755"/>
      <c r="J83" s="2755"/>
      <c r="K83" s="1003"/>
      <c r="L83" s="1003"/>
      <c r="M83" s="1003"/>
      <c r="N83" s="1003"/>
    </row>
    <row r="84" spans="2:15" ht="88.5" customHeight="1" x14ac:dyDescent="0.2">
      <c r="B84" s="246"/>
      <c r="C84" s="2746" t="s">
        <v>289</v>
      </c>
      <c r="D84" s="253" t="s">
        <v>325</v>
      </c>
      <c r="E84" s="2655" t="s">
        <v>555</v>
      </c>
      <c r="F84" s="571">
        <v>1</v>
      </c>
      <c r="G84" s="571">
        <v>1</v>
      </c>
      <c r="H84" s="571">
        <v>1</v>
      </c>
      <c r="I84" s="571">
        <v>1</v>
      </c>
      <c r="J84" s="571">
        <v>1</v>
      </c>
      <c r="K84" s="586"/>
      <c r="L84" s="586"/>
      <c r="M84" s="586"/>
      <c r="N84" s="586"/>
    </row>
    <row r="85" spans="2:15" ht="52.5" customHeight="1" x14ac:dyDescent="0.2">
      <c r="B85" s="246"/>
      <c r="C85" s="2746"/>
      <c r="D85" s="253" t="s">
        <v>326</v>
      </c>
      <c r="E85" s="2655" t="s">
        <v>3</v>
      </c>
      <c r="F85" s="573">
        <v>48</v>
      </c>
      <c r="G85" s="573">
        <v>45</v>
      </c>
      <c r="H85" s="573">
        <v>45</v>
      </c>
      <c r="I85" s="573">
        <v>45</v>
      </c>
      <c r="J85" s="573">
        <v>45</v>
      </c>
      <c r="K85" s="1001"/>
      <c r="L85" s="1001"/>
      <c r="M85" s="1001"/>
      <c r="N85" s="1001"/>
    </row>
    <row r="86" spans="2:15" ht="66.75" customHeight="1" x14ac:dyDescent="0.2">
      <c r="B86" s="246"/>
      <c r="C86" s="2746"/>
      <c r="D86" s="247" t="s">
        <v>327</v>
      </c>
      <c r="E86" s="2655" t="s">
        <v>555</v>
      </c>
      <c r="F86" s="571">
        <f>Лист5!E118</f>
        <v>21</v>
      </c>
      <c r="G86" s="571">
        <f>Лист5!F118</f>
        <v>21</v>
      </c>
      <c r="H86" s="571">
        <f>Лист5!G118</f>
        <v>21</v>
      </c>
      <c r="I86" s="571">
        <f>Лист5!H118</f>
        <v>21</v>
      </c>
      <c r="J86" s="571">
        <v>21</v>
      </c>
      <c r="K86" s="586"/>
      <c r="L86" s="586"/>
      <c r="M86" s="586"/>
      <c r="N86" s="586"/>
      <c r="O86" s="1101"/>
    </row>
    <row r="87" spans="2:15" ht="68.25" customHeight="1" x14ac:dyDescent="0.2">
      <c r="B87" s="246"/>
      <c r="C87" s="2746"/>
      <c r="D87" s="247" t="s">
        <v>329</v>
      </c>
      <c r="E87" s="2655" t="s">
        <v>555</v>
      </c>
      <c r="F87" s="571">
        <v>28</v>
      </c>
      <c r="G87" s="571">
        <v>28</v>
      </c>
      <c r="H87" s="571">
        <v>29</v>
      </c>
      <c r="I87" s="571">
        <v>29</v>
      </c>
      <c r="J87" s="571">
        <v>29</v>
      </c>
      <c r="K87" s="586"/>
      <c r="L87" s="586"/>
      <c r="M87" s="586"/>
      <c r="N87" s="586"/>
    </row>
    <row r="88" spans="2:15" ht="52.5" customHeight="1" x14ac:dyDescent="0.2">
      <c r="B88" s="246"/>
      <c r="C88" s="2746" t="s">
        <v>313</v>
      </c>
      <c r="D88" s="248" t="s">
        <v>332</v>
      </c>
      <c r="E88" s="2655" t="s">
        <v>555</v>
      </c>
      <c r="F88" s="571">
        <f>Лист5!E137</f>
        <v>92</v>
      </c>
      <c r="G88" s="571">
        <f>Лист5!F137</f>
        <v>93</v>
      </c>
      <c r="H88" s="571">
        <f>Лист5!G137</f>
        <v>93</v>
      </c>
      <c r="I88" s="571">
        <f>Лист5!H137</f>
        <v>93</v>
      </c>
      <c r="J88" s="571">
        <v>93</v>
      </c>
      <c r="K88" s="586"/>
      <c r="L88" s="586"/>
      <c r="M88" s="586"/>
      <c r="N88" s="586"/>
    </row>
    <row r="89" spans="2:15" x14ac:dyDescent="0.2">
      <c r="B89" s="246"/>
      <c r="C89" s="2746"/>
      <c r="D89" s="247" t="s">
        <v>333</v>
      </c>
      <c r="E89" s="2655" t="s">
        <v>555</v>
      </c>
      <c r="F89" s="571">
        <f>Лист5!E138</f>
        <v>4</v>
      </c>
      <c r="G89" s="571">
        <f>Лист5!F138</f>
        <v>4</v>
      </c>
      <c r="H89" s="571">
        <f>Лист5!G138</f>
        <v>4</v>
      </c>
      <c r="I89" s="571">
        <f>Лист5!H138</f>
        <v>4</v>
      </c>
      <c r="J89" s="571">
        <v>4</v>
      </c>
      <c r="K89" s="586"/>
      <c r="L89" s="586"/>
      <c r="M89" s="586"/>
      <c r="N89" s="586"/>
    </row>
    <row r="90" spans="2:15" x14ac:dyDescent="0.2">
      <c r="B90" s="246"/>
      <c r="C90" s="2746"/>
      <c r="D90" s="247" t="s">
        <v>334</v>
      </c>
      <c r="E90" s="2655" t="s">
        <v>555</v>
      </c>
      <c r="F90" s="571">
        <f>Лист5!E139</f>
        <v>88</v>
      </c>
      <c r="G90" s="571">
        <f>Лист5!F139</f>
        <v>89</v>
      </c>
      <c r="H90" s="571">
        <f>Лист5!G139</f>
        <v>89</v>
      </c>
      <c r="I90" s="571">
        <f>Лист5!H139</f>
        <v>89</v>
      </c>
      <c r="J90" s="571">
        <v>89</v>
      </c>
      <c r="K90" s="586"/>
      <c r="L90" s="586"/>
      <c r="M90" s="586"/>
      <c r="N90" s="586"/>
    </row>
    <row r="91" spans="2:15" ht="43.5" customHeight="1" x14ac:dyDescent="0.2">
      <c r="B91" s="246"/>
      <c r="C91" s="2746"/>
      <c r="D91" s="247" t="s">
        <v>1596</v>
      </c>
      <c r="E91" s="2655" t="s">
        <v>1591</v>
      </c>
      <c r="F91" s="2670">
        <f>'ГосПрограмма (Индикаторы)'!F13</f>
        <v>500</v>
      </c>
      <c r="G91" s="2670">
        <f>'ГосПрограмма (Индикаторы)'!G13</f>
        <v>500</v>
      </c>
      <c r="H91" s="2670">
        <f>'ГосПрограмма (Индикаторы)'!H13</f>
        <v>500</v>
      </c>
      <c r="I91" s="2670">
        <f>'ГосПрограмма (Индикаторы)'!I13</f>
        <v>500</v>
      </c>
      <c r="J91" s="2670">
        <f>'ГосПрограмма (Индикаторы)'!J13</f>
        <v>500</v>
      </c>
      <c r="K91" s="586" t="s">
        <v>1870</v>
      </c>
      <c r="L91" s="586"/>
      <c r="M91" s="586"/>
      <c r="N91" s="586"/>
    </row>
    <row r="92" spans="2:15" ht="63" customHeight="1" x14ac:dyDescent="0.2">
      <c r="B92" s="246"/>
      <c r="C92" s="2746"/>
      <c r="D92" s="247" t="s">
        <v>1597</v>
      </c>
      <c r="E92" s="2655" t="s">
        <v>366</v>
      </c>
      <c r="F92" s="2670">
        <f>'ГосПрограмма (Индикаторы)'!F14</f>
        <v>14</v>
      </c>
      <c r="G92" s="2670">
        <f>'ГосПрограмма (Индикаторы)'!G14</f>
        <v>14</v>
      </c>
      <c r="H92" s="2670">
        <f>'ГосПрограмма (Индикаторы)'!H14</f>
        <v>14</v>
      </c>
      <c r="I92" s="2670">
        <f>'ГосПрограмма (Индикаторы)'!I14</f>
        <v>14</v>
      </c>
      <c r="J92" s="2670">
        <f>'ГосПрограмма (Индикаторы)'!J14</f>
        <v>14</v>
      </c>
      <c r="K92" s="586" t="s">
        <v>1870</v>
      </c>
      <c r="L92" s="586"/>
      <c r="M92" s="586"/>
      <c r="N92" s="586"/>
    </row>
    <row r="93" spans="2:15" x14ac:dyDescent="0.2">
      <c r="B93" s="246"/>
      <c r="C93" s="2746"/>
      <c r="D93" s="249" t="s">
        <v>284</v>
      </c>
      <c r="E93" s="2265"/>
      <c r="F93" s="580"/>
      <c r="G93" s="580"/>
      <c r="H93" s="580"/>
      <c r="I93" s="580"/>
      <c r="J93" s="580"/>
      <c r="K93" s="1010"/>
      <c r="L93" s="1010"/>
      <c r="M93" s="1010"/>
      <c r="N93" s="1010"/>
    </row>
    <row r="94" spans="2:15" x14ac:dyDescent="0.2">
      <c r="B94" s="246"/>
      <c r="C94" s="2746"/>
      <c r="D94" s="250" t="s">
        <v>285</v>
      </c>
      <c r="E94" s="2265" t="s">
        <v>544</v>
      </c>
      <c r="F94" s="2329">
        <f t="shared" ref="F94:J94" si="6">F95+F97</f>
        <v>136204.22399999999</v>
      </c>
      <c r="G94" s="2329">
        <f t="shared" si="6"/>
        <v>125361.82</v>
      </c>
      <c r="H94" s="2329">
        <f t="shared" si="6"/>
        <v>127819.36999999997</v>
      </c>
      <c r="I94" s="2329">
        <f t="shared" si="6"/>
        <v>127979.36999999997</v>
      </c>
      <c r="J94" s="2329">
        <f t="shared" si="6"/>
        <v>1932.8095716048681</v>
      </c>
      <c r="K94" s="2287"/>
      <c r="L94" s="2287"/>
      <c r="M94" s="2287"/>
      <c r="N94" s="1006"/>
    </row>
    <row r="95" spans="2:15" x14ac:dyDescent="0.2">
      <c r="B95" s="246"/>
      <c r="C95" s="2746"/>
      <c r="D95" s="250" t="s">
        <v>286</v>
      </c>
      <c r="E95" s="2265" t="s">
        <v>544</v>
      </c>
      <c r="F95" s="2329">
        <f>'Приложение № 6'!E60</f>
        <v>135412.424</v>
      </c>
      <c r="G95" s="2329">
        <f>'Приложение № 6'!G60</f>
        <v>123665.72</v>
      </c>
      <c r="H95" s="2329">
        <f>'Приложение № 6'!I60</f>
        <v>126219.36999999997</v>
      </c>
      <c r="I95" s="2329">
        <f>'Приложение № 6'!K60</f>
        <v>126219.36999999997</v>
      </c>
      <c r="J95" s="2329">
        <f>'Приложение № 6'!L60</f>
        <v>12.809571604868104</v>
      </c>
      <c r="K95" s="2287"/>
      <c r="L95" s="2287"/>
      <c r="M95" s="2287"/>
    </row>
    <row r="96" spans="2:15" ht="45" customHeight="1" x14ac:dyDescent="0.2">
      <c r="B96" s="246"/>
      <c r="C96" s="2746"/>
      <c r="D96" s="250" t="s">
        <v>957</v>
      </c>
      <c r="E96" s="2265" t="s">
        <v>544</v>
      </c>
      <c r="F96" s="2329">
        <f>'Приложение № 6'!E63+'Приложение № 6'!E66+'Приложение № 6'!E69</f>
        <v>133762.424</v>
      </c>
      <c r="G96" s="2329">
        <f>'Приложение № 6'!G63+'Приложение № 6'!G66+'Приложение № 6'!G69</f>
        <v>123665.72</v>
      </c>
      <c r="H96" s="2329">
        <f>'Приложение № 6'!I63+'Приложение № 6'!I66+'Приложение № 6'!I69</f>
        <v>126219.36999999997</v>
      </c>
      <c r="I96" s="2329">
        <f>'Приложение № 6'!K63+'Приложение № 6'!K66+'Приложение № 6'!K69</f>
        <v>126219.36999999997</v>
      </c>
      <c r="J96" s="2329">
        <f>'Приложение № 6'!L63+'Приложение № 6'!L66+'Приложение № 6'!L69</f>
        <v>12.809571604868106</v>
      </c>
      <c r="K96" s="2287"/>
      <c r="L96" s="2287"/>
      <c r="M96" s="2287"/>
    </row>
    <row r="97" spans="2:15" x14ac:dyDescent="0.2">
      <c r="B97" s="246"/>
      <c r="C97" s="2746"/>
      <c r="D97" s="250" t="s">
        <v>287</v>
      </c>
      <c r="E97" s="2265" t="s">
        <v>544</v>
      </c>
      <c r="F97" s="2329">
        <f>'Приложение № 3'!E16+'Приложение № 3'!E17</f>
        <v>791.8</v>
      </c>
      <c r="G97" s="2329">
        <f>'Приложение № 3'!G16+'Приложение № 3'!G17</f>
        <v>1696.1</v>
      </c>
      <c r="H97" s="2329">
        <f>'Приложение № 3'!H16+'Приложение № 3'!H17</f>
        <v>1600</v>
      </c>
      <c r="I97" s="2329">
        <f>'Приложение № 3'!I16+'Приложение № 3'!I17</f>
        <v>1760</v>
      </c>
      <c r="J97" s="2329">
        <f>'Приложение № 3'!J16+'Приложение № 3'!J17</f>
        <v>1920</v>
      </c>
      <c r="K97" s="2287"/>
      <c r="L97" s="2287"/>
      <c r="M97" s="2287"/>
      <c r="N97" s="1006"/>
    </row>
    <row r="98" spans="2:15" ht="20.25" customHeight="1" x14ac:dyDescent="0.2">
      <c r="B98" s="246"/>
      <c r="C98" s="2747" t="s">
        <v>335</v>
      </c>
      <c r="D98" s="2748"/>
      <c r="E98" s="2748"/>
      <c r="F98" s="2748"/>
      <c r="G98" s="2748"/>
      <c r="H98" s="2748"/>
      <c r="I98" s="2748"/>
      <c r="J98" s="2748"/>
      <c r="K98" s="1003"/>
      <c r="L98" s="1003"/>
      <c r="M98" s="1003"/>
      <c r="N98" s="1003"/>
    </row>
    <row r="99" spans="2:15" ht="42" customHeight="1" x14ac:dyDescent="0.2">
      <c r="B99" s="246"/>
      <c r="C99" s="2746" t="s">
        <v>289</v>
      </c>
      <c r="D99" s="253" t="s">
        <v>336</v>
      </c>
      <c r="E99" s="2655" t="s">
        <v>3</v>
      </c>
      <c r="F99" s="573">
        <v>98</v>
      </c>
      <c r="G99" s="573">
        <v>98</v>
      </c>
      <c r="H99" s="573">
        <v>98</v>
      </c>
      <c r="I99" s="573">
        <v>98</v>
      </c>
      <c r="J99" s="573">
        <v>98</v>
      </c>
      <c r="K99" s="1001"/>
      <c r="L99" s="1001"/>
      <c r="M99" s="1001"/>
      <c r="N99" s="1001"/>
    </row>
    <row r="100" spans="2:15" ht="90" customHeight="1" x14ac:dyDescent="0.2">
      <c r="B100" s="246"/>
      <c r="C100" s="2746"/>
      <c r="D100" s="253" t="s">
        <v>337</v>
      </c>
      <c r="E100" s="2655" t="s">
        <v>3</v>
      </c>
      <c r="F100" s="573">
        <v>12</v>
      </c>
      <c r="G100" s="573">
        <v>12</v>
      </c>
      <c r="H100" s="573">
        <v>13</v>
      </c>
      <c r="I100" s="573">
        <v>13</v>
      </c>
      <c r="J100" s="573">
        <v>13</v>
      </c>
      <c r="K100" s="1001"/>
      <c r="L100" s="1001"/>
      <c r="M100" s="1001"/>
      <c r="N100" s="1001"/>
    </row>
    <row r="101" spans="2:15" ht="55.5" customHeight="1" x14ac:dyDescent="0.2">
      <c r="B101" s="246"/>
      <c r="C101" s="2746" t="s">
        <v>313</v>
      </c>
      <c r="D101" s="247" t="s">
        <v>1594</v>
      </c>
      <c r="E101" s="2655" t="s">
        <v>1591</v>
      </c>
      <c r="F101" s="2671">
        <f>'ГосПрограмма (Индикаторы)'!F11</f>
        <v>672</v>
      </c>
      <c r="G101" s="2671">
        <f>'ГосПрограмма (Индикаторы)'!G11</f>
        <v>693</v>
      </c>
      <c r="H101" s="2671">
        <f>'ГосПрограмма (Индикаторы)'!H11</f>
        <v>700</v>
      </c>
      <c r="I101" s="2671">
        <f>'ГосПрограмма (Индикаторы)'!I11</f>
        <v>700</v>
      </c>
      <c r="J101" s="2671">
        <f>'ГосПрограмма (Индикаторы)'!J11</f>
        <v>700</v>
      </c>
      <c r="K101" s="1008" t="s">
        <v>1870</v>
      </c>
      <c r="L101" s="1008"/>
      <c r="M101" s="1008"/>
      <c r="N101" s="1008"/>
      <c r="O101" s="1101"/>
    </row>
    <row r="102" spans="2:15" ht="81" customHeight="1" x14ac:dyDescent="0.2">
      <c r="B102" s="246"/>
      <c r="C102" s="2746"/>
      <c r="D102" s="247" t="s">
        <v>1595</v>
      </c>
      <c r="E102" s="2655" t="s">
        <v>1591</v>
      </c>
      <c r="F102" s="2671">
        <f>'ГосПрограмма (Индикаторы)'!F12</f>
        <v>232</v>
      </c>
      <c r="G102" s="2671">
        <f>'ГосПрограмма (Индикаторы)'!G12</f>
        <v>235</v>
      </c>
      <c r="H102" s="2671">
        <f>'ГосПрограмма (Индикаторы)'!H12</f>
        <v>235</v>
      </c>
      <c r="I102" s="2671">
        <f>'ГосПрограмма (Индикаторы)'!I12</f>
        <v>235</v>
      </c>
      <c r="J102" s="2671">
        <f>'ГосПрограмма (Индикаторы)'!J12</f>
        <v>235</v>
      </c>
      <c r="K102" s="2289" t="s">
        <v>1870</v>
      </c>
      <c r="L102" s="2289"/>
      <c r="M102" s="2289"/>
      <c r="N102" s="1008"/>
      <c r="O102" s="1101"/>
    </row>
    <row r="103" spans="2:15" x14ac:dyDescent="0.2">
      <c r="B103" s="246"/>
      <c r="C103" s="2746"/>
      <c r="D103" s="249" t="s">
        <v>284</v>
      </c>
      <c r="E103" s="2265"/>
      <c r="F103" s="580"/>
      <c r="G103" s="580"/>
      <c r="H103" s="580"/>
      <c r="I103" s="580"/>
      <c r="J103" s="580"/>
      <c r="K103" s="1010"/>
      <c r="L103" s="1010"/>
      <c r="M103" s="1010"/>
      <c r="N103" s="1010"/>
    </row>
    <row r="104" spans="2:15" x14ac:dyDescent="0.2">
      <c r="B104" s="246"/>
      <c r="C104" s="2746"/>
      <c r="D104" s="250" t="s">
        <v>285</v>
      </c>
      <c r="E104" s="2265" t="s">
        <v>544</v>
      </c>
      <c r="F104" s="2329">
        <f t="shared" ref="F104:J104" si="7">F105+F107</f>
        <v>54970.796000000002</v>
      </c>
      <c r="G104" s="2329">
        <f t="shared" si="7"/>
        <v>53250.38</v>
      </c>
      <c r="H104" s="2329">
        <f t="shared" si="7"/>
        <v>51870.62999999999</v>
      </c>
      <c r="I104" s="2329">
        <f t="shared" si="7"/>
        <v>51870.62999999999</v>
      </c>
      <c r="J104" s="2329">
        <f t="shared" si="7"/>
        <v>5.2641726002484379</v>
      </c>
      <c r="K104" s="2287"/>
      <c r="L104" s="2287"/>
      <c r="M104" s="2287"/>
      <c r="N104" s="1006"/>
    </row>
    <row r="105" spans="2:15" x14ac:dyDescent="0.2">
      <c r="B105" s="246"/>
      <c r="C105" s="2746"/>
      <c r="D105" s="250" t="s">
        <v>286</v>
      </c>
      <c r="E105" s="2265" t="s">
        <v>544</v>
      </c>
      <c r="F105" s="2329">
        <f>'Приложение № 6'!E72</f>
        <v>54970.796000000002</v>
      </c>
      <c r="G105" s="2329">
        <f>'Приложение № 6'!G72</f>
        <v>53250.38</v>
      </c>
      <c r="H105" s="2329">
        <f>'Приложение № 6'!I72</f>
        <v>51870.62999999999</v>
      </c>
      <c r="I105" s="2329">
        <f>'Приложение № 6'!K72</f>
        <v>51870.62999999999</v>
      </c>
      <c r="J105" s="2329">
        <f>'Приложение № 6'!L72</f>
        <v>5.2641726002484379</v>
      </c>
      <c r="K105" s="2287"/>
      <c r="L105" s="2287"/>
      <c r="M105" s="2287"/>
    </row>
    <row r="106" spans="2:15" ht="46.5" customHeight="1" x14ac:dyDescent="0.2">
      <c r="B106" s="246"/>
      <c r="C106" s="2746"/>
      <c r="D106" s="250" t="s">
        <v>957</v>
      </c>
      <c r="E106" s="2265" t="s">
        <v>544</v>
      </c>
      <c r="F106" s="2329">
        <f>'Приложение № 6'!E75+'Приложение № 6'!E77</f>
        <v>54434.796000000002</v>
      </c>
      <c r="G106" s="2329">
        <f>'Приложение № 6'!G75+'Приложение № 6'!G77</f>
        <v>50212.38</v>
      </c>
      <c r="H106" s="2329">
        <f>'Приложение № 6'!I75+'Приложение № 6'!I77</f>
        <v>51870.62999999999</v>
      </c>
      <c r="I106" s="2329">
        <f>'Приложение № 6'!K75+'Приложение № 6'!K77</f>
        <v>51870.62999999999</v>
      </c>
      <c r="J106" s="2329">
        <f>'Приложение № 6'!L75+'Приложение № 6'!L77</f>
        <v>5.2641726002484388</v>
      </c>
      <c r="K106" s="2287"/>
      <c r="L106" s="2287"/>
      <c r="M106" s="2287"/>
    </row>
    <row r="107" spans="2:15" x14ac:dyDescent="0.2">
      <c r="B107" s="246"/>
      <c r="C107" s="2746"/>
      <c r="D107" s="250" t="s">
        <v>287</v>
      </c>
      <c r="E107" s="2265" t="s">
        <v>544</v>
      </c>
      <c r="F107" s="2329">
        <v>0</v>
      </c>
      <c r="G107" s="2329">
        <v>0</v>
      </c>
      <c r="H107" s="2329">
        <v>0</v>
      </c>
      <c r="I107" s="2329">
        <v>0</v>
      </c>
      <c r="J107" s="2329">
        <v>0</v>
      </c>
      <c r="K107" s="2287"/>
      <c r="L107" s="2287"/>
      <c r="M107" s="2287"/>
      <c r="N107" s="1006"/>
    </row>
    <row r="108" spans="2:15" ht="20.25" customHeight="1" x14ac:dyDescent="0.2">
      <c r="B108" s="246"/>
      <c r="C108" s="2747" t="s">
        <v>341</v>
      </c>
      <c r="D108" s="2748"/>
      <c r="E108" s="2748"/>
      <c r="F108" s="2748"/>
      <c r="G108" s="2748"/>
      <c r="H108" s="2748"/>
      <c r="I108" s="2748"/>
      <c r="J108" s="2748"/>
      <c r="K108" s="1003"/>
      <c r="L108" s="1003"/>
      <c r="M108" s="1003"/>
      <c r="N108" s="1003"/>
    </row>
    <row r="109" spans="2:15" ht="20.25" customHeight="1" x14ac:dyDescent="0.2">
      <c r="B109" s="246"/>
      <c r="C109" s="2640" t="s">
        <v>289</v>
      </c>
      <c r="D109" s="247" t="s">
        <v>342</v>
      </c>
      <c r="E109" s="2655" t="s">
        <v>555</v>
      </c>
      <c r="F109" s="571">
        <v>3</v>
      </c>
      <c r="G109" s="571">
        <v>3</v>
      </c>
      <c r="H109" s="571">
        <v>3</v>
      </c>
      <c r="I109" s="571">
        <v>3</v>
      </c>
      <c r="J109" s="571">
        <v>3</v>
      </c>
      <c r="K109" s="586"/>
      <c r="L109" s="586"/>
      <c r="M109" s="586"/>
      <c r="N109" s="586"/>
    </row>
    <row r="110" spans="2:15" ht="40.5" customHeight="1" x14ac:dyDescent="0.2">
      <c r="B110" s="246"/>
      <c r="C110" s="2641"/>
      <c r="D110" s="247" t="s">
        <v>343</v>
      </c>
      <c r="E110" s="2655" t="s">
        <v>555</v>
      </c>
      <c r="F110" s="571">
        <v>23</v>
      </c>
      <c r="G110" s="571">
        <v>23</v>
      </c>
      <c r="H110" s="571">
        <v>23</v>
      </c>
      <c r="I110" s="571">
        <v>23</v>
      </c>
      <c r="J110" s="571">
        <v>23</v>
      </c>
      <c r="K110" s="586"/>
      <c r="L110" s="586"/>
      <c r="M110" s="586"/>
      <c r="N110" s="586"/>
    </row>
    <row r="111" spans="2:15" ht="40.5" customHeight="1" x14ac:dyDescent="0.2">
      <c r="B111" s="246"/>
      <c r="C111" s="2642"/>
      <c r="D111" s="247" t="s">
        <v>344</v>
      </c>
      <c r="E111" s="2655" t="s">
        <v>339</v>
      </c>
      <c r="F111" s="571">
        <v>31</v>
      </c>
      <c r="G111" s="571">
        <v>31</v>
      </c>
      <c r="H111" s="571">
        <v>31</v>
      </c>
      <c r="I111" s="571">
        <v>31</v>
      </c>
      <c r="J111" s="571">
        <v>31</v>
      </c>
      <c r="K111" s="586"/>
      <c r="L111" s="586"/>
      <c r="M111" s="586"/>
      <c r="N111" s="586"/>
    </row>
    <row r="112" spans="2:15" x14ac:dyDescent="0.2">
      <c r="B112" s="246"/>
      <c r="C112" s="2746" t="s">
        <v>313</v>
      </c>
      <c r="D112" s="247" t="s">
        <v>345</v>
      </c>
      <c r="E112" s="2655" t="s">
        <v>555</v>
      </c>
      <c r="F112" s="571">
        <f>Лист5!E166</f>
        <v>62</v>
      </c>
      <c r="G112" s="571">
        <f>Лист5!F166</f>
        <v>63</v>
      </c>
      <c r="H112" s="571">
        <f>Лист5!G166</f>
        <v>63</v>
      </c>
      <c r="I112" s="571">
        <f>Лист5!H166</f>
        <v>65</v>
      </c>
      <c r="J112" s="571">
        <v>65</v>
      </c>
      <c r="K112" s="586"/>
      <c r="L112" s="586"/>
      <c r="M112" s="586"/>
      <c r="N112" s="586"/>
      <c r="O112" s="1101"/>
    </row>
    <row r="113" spans="2:17" x14ac:dyDescent="0.2">
      <c r="B113" s="246"/>
      <c r="C113" s="2746"/>
      <c r="D113" s="247" t="s">
        <v>346</v>
      </c>
      <c r="E113" s="2655" t="s">
        <v>555</v>
      </c>
      <c r="F113" s="571">
        <f>Лист5!E167</f>
        <v>15</v>
      </c>
      <c r="G113" s="571">
        <f>Лист5!F167</f>
        <v>16</v>
      </c>
      <c r="H113" s="571">
        <f>Лист5!G167</f>
        <v>16</v>
      </c>
      <c r="I113" s="571">
        <f>Лист5!H167</f>
        <v>15</v>
      </c>
      <c r="J113" s="571">
        <v>15</v>
      </c>
      <c r="K113" s="586"/>
      <c r="L113" s="586"/>
      <c r="M113" s="586"/>
      <c r="N113" s="586"/>
      <c r="O113" s="1101"/>
    </row>
    <row r="114" spans="2:17" ht="21" thickBot="1" x14ac:dyDescent="0.25">
      <c r="B114" s="246"/>
      <c r="C114" s="2746"/>
      <c r="D114" s="247" t="s">
        <v>347</v>
      </c>
      <c r="E114" s="2655" t="s">
        <v>348</v>
      </c>
      <c r="F114" s="573">
        <f>Лист5!E168</f>
        <v>32</v>
      </c>
      <c r="G114" s="573">
        <f>Лист5!F168</f>
        <v>33</v>
      </c>
      <c r="H114" s="573">
        <f>Лист5!G168</f>
        <v>33</v>
      </c>
      <c r="I114" s="573">
        <f>Лист5!H168</f>
        <v>35</v>
      </c>
      <c r="J114" s="573">
        <v>35</v>
      </c>
      <c r="K114" s="1001"/>
      <c r="L114" s="1001"/>
      <c r="M114" s="1001"/>
      <c r="N114" s="1001"/>
      <c r="O114" s="1101"/>
    </row>
    <row r="115" spans="2:17" ht="41" thickBot="1" x14ac:dyDescent="0.25">
      <c r="B115" s="246"/>
      <c r="C115" s="2746"/>
      <c r="D115" s="247" t="s">
        <v>349</v>
      </c>
      <c r="E115" s="2655" t="s">
        <v>348</v>
      </c>
      <c r="F115" s="573">
        <f>Лист5!E169</f>
        <v>24</v>
      </c>
      <c r="G115" s="573">
        <f>Лист5!F169</f>
        <v>25</v>
      </c>
      <c r="H115" s="573">
        <f>Лист5!G169</f>
        <v>25</v>
      </c>
      <c r="I115" s="573">
        <f>Лист5!H169</f>
        <v>27</v>
      </c>
      <c r="J115" s="573">
        <v>27</v>
      </c>
      <c r="K115" s="1001"/>
      <c r="L115" s="1001"/>
      <c r="M115" s="1001"/>
      <c r="N115" s="1001"/>
      <c r="O115" s="1101"/>
      <c r="P115" s="2311"/>
    </row>
    <row r="116" spans="2:17" ht="41" thickBot="1" x14ac:dyDescent="0.25">
      <c r="B116" s="246"/>
      <c r="C116" s="2746"/>
      <c r="D116" s="247" t="s">
        <v>350</v>
      </c>
      <c r="E116" s="2655" t="s">
        <v>348</v>
      </c>
      <c r="F116" s="573">
        <f>Лист5!E170</f>
        <v>8</v>
      </c>
      <c r="G116" s="573">
        <f>Лист5!F170</f>
        <v>8</v>
      </c>
      <c r="H116" s="573">
        <f>Лист5!G170</f>
        <v>8</v>
      </c>
      <c r="I116" s="573">
        <f>Лист5!H170</f>
        <v>8</v>
      </c>
      <c r="J116" s="573">
        <v>8</v>
      </c>
      <c r="K116" s="1001"/>
      <c r="L116" s="1001"/>
      <c r="M116" s="1001"/>
      <c r="N116" s="1001"/>
      <c r="O116" s="1101"/>
      <c r="P116" s="2312"/>
    </row>
    <row r="117" spans="2:17" x14ac:dyDescent="0.2">
      <c r="B117" s="246"/>
      <c r="C117" s="2746"/>
      <c r="D117" s="249" t="s">
        <v>284</v>
      </c>
      <c r="E117" s="2265"/>
      <c r="F117" s="576"/>
      <c r="G117" s="576"/>
      <c r="H117" s="576"/>
      <c r="I117" s="576"/>
      <c r="J117" s="576"/>
      <c r="K117" s="1011"/>
      <c r="L117" s="1011"/>
      <c r="M117" s="1011"/>
      <c r="N117" s="1011"/>
      <c r="P117" s="997"/>
    </row>
    <row r="118" spans="2:17" x14ac:dyDescent="0.2">
      <c r="B118" s="246"/>
      <c r="C118" s="2746"/>
      <c r="D118" s="250" t="s">
        <v>285</v>
      </c>
      <c r="E118" s="2265" t="s">
        <v>544</v>
      </c>
      <c r="F118" s="2329">
        <f t="shared" ref="F118:J118" si="8">F119+F121</f>
        <v>26163.840000000004</v>
      </c>
      <c r="G118" s="2329">
        <f t="shared" si="8"/>
        <v>13616.760000000002</v>
      </c>
      <c r="H118" s="2329">
        <f t="shared" si="8"/>
        <v>11353.82</v>
      </c>
      <c r="I118" s="2329">
        <f t="shared" si="8"/>
        <v>11353.82</v>
      </c>
      <c r="J118" s="2329">
        <f t="shared" si="8"/>
        <v>1.1522603090063246</v>
      </c>
      <c r="K118" s="2287"/>
      <c r="L118" s="2287"/>
      <c r="M118" s="2287"/>
      <c r="N118" s="1006"/>
      <c r="P118" s="997"/>
    </row>
    <row r="119" spans="2:17" x14ac:dyDescent="0.2">
      <c r="B119" s="246"/>
      <c r="C119" s="2746"/>
      <c r="D119" s="250" t="s">
        <v>286</v>
      </c>
      <c r="E119" s="2265" t="s">
        <v>544</v>
      </c>
      <c r="F119" s="2329">
        <f>'Приложение № 6'!E79</f>
        <v>26163.840000000004</v>
      </c>
      <c r="G119" s="2329">
        <f>'Приложение № 6'!G79</f>
        <v>13616.760000000002</v>
      </c>
      <c r="H119" s="2329">
        <f>'Приложение № 6'!I79</f>
        <v>11353.82</v>
      </c>
      <c r="I119" s="2329">
        <f>'Приложение № 6'!K79</f>
        <v>11353.82</v>
      </c>
      <c r="J119" s="2329">
        <f>'Приложение № 6'!L79</f>
        <v>1.1522603090063246</v>
      </c>
      <c r="K119" s="2287"/>
      <c r="L119" s="2287"/>
      <c r="M119" s="2287"/>
    </row>
    <row r="120" spans="2:17" ht="48" customHeight="1" x14ac:dyDescent="0.2">
      <c r="B120" s="246"/>
      <c r="C120" s="2746"/>
      <c r="D120" s="250" t="s">
        <v>957</v>
      </c>
      <c r="E120" s="2265" t="s">
        <v>544</v>
      </c>
      <c r="F120" s="2329">
        <f>'Приложение № 6'!E82+'Приложение № 6'!E84</f>
        <v>10678.440000000002</v>
      </c>
      <c r="G120" s="2329">
        <f>'Приложение № 6'!G82+'Приложение № 6'!G84</f>
        <v>12665.760000000002</v>
      </c>
      <c r="H120" s="2329">
        <f>'Приложение № 6'!I82+'Приложение № 6'!I84</f>
        <v>10273.92</v>
      </c>
      <c r="I120" s="2329">
        <f>'Приложение № 6'!K82+'Приложение № 6'!K84</f>
        <v>10273.92</v>
      </c>
      <c r="J120" s="2329">
        <f>'Приложение № 6'!L82+'Приложение № 6'!L84</f>
        <v>1.0426649562795833</v>
      </c>
      <c r="K120" s="2287"/>
      <c r="L120" s="2287"/>
      <c r="M120" s="2287"/>
    </row>
    <row r="121" spans="2:17" x14ac:dyDescent="0.2">
      <c r="B121" s="246"/>
      <c r="C121" s="2746"/>
      <c r="D121" s="250" t="s">
        <v>287</v>
      </c>
      <c r="E121" s="2265" t="s">
        <v>544</v>
      </c>
      <c r="F121" s="2329">
        <v>0</v>
      </c>
      <c r="G121" s="2329">
        <f>'Приложение № 3'!I22*0.2</f>
        <v>0</v>
      </c>
      <c r="H121" s="2329">
        <f>'Приложение № 3'!J22*0.2</f>
        <v>0</v>
      </c>
      <c r="I121" s="2329">
        <f>'Приложение № 3'!K22*0.2</f>
        <v>0</v>
      </c>
      <c r="J121" s="2329">
        <f>'Приложение № 3'!L22*0.2</f>
        <v>0</v>
      </c>
      <c r="K121" s="2287"/>
      <c r="L121" s="2287"/>
      <c r="M121" s="2287"/>
      <c r="N121" s="1006"/>
    </row>
    <row r="122" spans="2:17" x14ac:dyDescent="0.2">
      <c r="B122" s="246"/>
      <c r="C122" s="2749" t="s">
        <v>575</v>
      </c>
      <c r="D122" s="2749"/>
      <c r="E122" s="2749"/>
      <c r="F122" s="2749"/>
      <c r="G122" s="2749"/>
      <c r="H122" s="2749"/>
      <c r="I122" s="2749"/>
      <c r="J122" s="577"/>
      <c r="K122" s="577"/>
      <c r="L122" s="577"/>
      <c r="M122" s="577"/>
      <c r="N122" s="1001"/>
    </row>
    <row r="123" spans="2:17" x14ac:dyDescent="0.2">
      <c r="B123" s="246"/>
      <c r="C123" s="2750" t="s">
        <v>285</v>
      </c>
      <c r="D123" s="2750"/>
      <c r="E123" s="2265" t="s">
        <v>544</v>
      </c>
      <c r="F123" s="576">
        <f t="shared" ref="F123:J126" si="9">F22+F38+F50+F58+F67+F78+F94+F104+F118</f>
        <v>1420910.5470500004</v>
      </c>
      <c r="G123" s="576">
        <f t="shared" si="9"/>
        <v>1248272.6950000001</v>
      </c>
      <c r="H123" s="576">
        <f t="shared" si="9"/>
        <v>1133994.3</v>
      </c>
      <c r="I123" s="576">
        <f t="shared" si="9"/>
        <v>1064958.6000000001</v>
      </c>
      <c r="J123" s="576">
        <f t="shared" si="9"/>
        <v>51734.623371302849</v>
      </c>
      <c r="K123" s="2290"/>
      <c r="L123" s="2290"/>
      <c r="M123" s="2290"/>
      <c r="N123" s="1011"/>
    </row>
    <row r="124" spans="2:17" x14ac:dyDescent="0.2">
      <c r="B124" s="246"/>
      <c r="C124" s="2750" t="s">
        <v>286</v>
      </c>
      <c r="D124" s="2750"/>
      <c r="E124" s="2265" t="s">
        <v>544</v>
      </c>
      <c r="F124" s="576">
        <f t="shared" si="9"/>
        <v>1385174.7470500001</v>
      </c>
      <c r="G124" s="576">
        <f t="shared" si="9"/>
        <v>1197617.3</v>
      </c>
      <c r="H124" s="576">
        <f t="shared" si="9"/>
        <v>1090908.3</v>
      </c>
      <c r="I124" s="576">
        <f t="shared" si="9"/>
        <v>1017803.3</v>
      </c>
      <c r="J124" s="576">
        <f t="shared" si="9"/>
        <v>103.29337130284405</v>
      </c>
      <c r="K124" s="2286"/>
      <c r="L124" s="2286"/>
      <c r="M124" s="2286"/>
      <c r="N124" s="576"/>
      <c r="O124" s="2656" t="s">
        <v>922</v>
      </c>
      <c r="P124" s="2739" t="s">
        <v>969</v>
      </c>
      <c r="Q124" s="2739"/>
    </row>
    <row r="125" spans="2:17" ht="50.25" customHeight="1" x14ac:dyDescent="0.2">
      <c r="B125" s="246"/>
      <c r="C125" s="2740" t="s">
        <v>956</v>
      </c>
      <c r="D125" s="2740"/>
      <c r="E125" s="2265" t="s">
        <v>544</v>
      </c>
      <c r="F125" s="576">
        <f t="shared" si="9"/>
        <v>968200.61705</v>
      </c>
      <c r="G125" s="576">
        <f t="shared" si="9"/>
        <v>951379.53600000008</v>
      </c>
      <c r="H125" s="576">
        <f t="shared" si="9"/>
        <v>1013183.5000000001</v>
      </c>
      <c r="I125" s="576">
        <f t="shared" si="9"/>
        <v>1013183.5000000001</v>
      </c>
      <c r="J125" s="576">
        <f t="shared" si="9"/>
        <v>102.82452362201529</v>
      </c>
      <c r="K125" s="2290"/>
      <c r="L125" s="2290"/>
      <c r="M125" s="2290"/>
      <c r="N125" s="1012"/>
      <c r="P125" s="997"/>
    </row>
    <row r="126" spans="2:17" x14ac:dyDescent="0.2">
      <c r="B126" s="246"/>
      <c r="C126" s="2740" t="s">
        <v>287</v>
      </c>
      <c r="D126" s="2740"/>
      <c r="E126" s="2265" t="s">
        <v>544</v>
      </c>
      <c r="F126" s="576">
        <f t="shared" si="9"/>
        <v>35735.800000000003</v>
      </c>
      <c r="G126" s="576">
        <f t="shared" si="9"/>
        <v>50655.39499999999</v>
      </c>
      <c r="H126" s="576">
        <f t="shared" si="9"/>
        <v>43086.000000000007</v>
      </c>
      <c r="I126" s="576">
        <f t="shared" si="9"/>
        <v>47155.3</v>
      </c>
      <c r="J126" s="576">
        <f t="shared" si="9"/>
        <v>51631.330000000009</v>
      </c>
      <c r="K126" s="2290"/>
      <c r="L126" s="2290"/>
      <c r="M126" s="2290"/>
      <c r="N126" s="1012"/>
    </row>
    <row r="127" spans="2:17" ht="12.75" customHeight="1" x14ac:dyDescent="0.2">
      <c r="E127" s="590"/>
      <c r="F127" s="2332"/>
      <c r="G127" s="2332"/>
      <c r="H127" s="2333"/>
      <c r="I127" s="2333"/>
      <c r="J127" s="2333"/>
      <c r="K127" s="584"/>
      <c r="L127" s="584"/>
      <c r="M127" s="584"/>
      <c r="N127" s="584"/>
      <c r="P127" s="265"/>
    </row>
    <row r="128" spans="2:17" ht="23.25" customHeight="1" x14ac:dyDescent="0.2">
      <c r="E128" s="590"/>
      <c r="F128" s="2285"/>
      <c r="G128" s="2285"/>
      <c r="H128" s="2285"/>
      <c r="I128" s="2285"/>
      <c r="J128" s="2285"/>
      <c r="K128" s="2285"/>
      <c r="L128" s="2285"/>
      <c r="M128" s="2285"/>
      <c r="N128" s="235"/>
      <c r="O128" s="235"/>
      <c r="P128" s="265"/>
    </row>
    <row r="129" spans="3:17" ht="29.25" customHeight="1" x14ac:dyDescent="0.2">
      <c r="E129" s="590"/>
      <c r="F129" s="583"/>
      <c r="G129" s="583"/>
      <c r="H129" s="584"/>
      <c r="I129" s="584"/>
      <c r="J129" s="584"/>
      <c r="K129" s="584"/>
      <c r="L129" s="584"/>
      <c r="M129" s="584"/>
      <c r="N129" s="584"/>
      <c r="P129" s="265"/>
    </row>
    <row r="130" spans="3:17" x14ac:dyDescent="0.2">
      <c r="D130" s="2741" t="s">
        <v>867</v>
      </c>
      <c r="E130" s="2741"/>
      <c r="F130" s="2741"/>
      <c r="G130" s="581"/>
      <c r="H130" s="585"/>
      <c r="I130" s="586"/>
      <c r="J130" s="586"/>
      <c r="K130" s="586"/>
      <c r="L130" s="586"/>
      <c r="M130" s="586"/>
      <c r="N130" s="586"/>
      <c r="O130" s="237"/>
      <c r="P130" s="237"/>
      <c r="Q130" s="237"/>
    </row>
    <row r="131" spans="3:17" s="2309" customFormat="1" ht="47.25" customHeight="1" x14ac:dyDescent="0.2">
      <c r="C131" s="2744" t="s">
        <v>1632</v>
      </c>
      <c r="D131" s="2744"/>
      <c r="E131" s="2744"/>
      <c r="F131" s="2744"/>
      <c r="G131" s="2744"/>
      <c r="H131" s="2744"/>
      <c r="I131" s="1162"/>
      <c r="J131" s="1162"/>
      <c r="K131" s="1163"/>
      <c r="L131" s="1163"/>
      <c r="M131" s="1163"/>
      <c r="N131" s="1163"/>
      <c r="O131" s="1163"/>
      <c r="P131" s="2310"/>
    </row>
    <row r="132" spans="3:17" s="2309" customFormat="1" ht="47.25" customHeight="1" x14ac:dyDescent="0.2">
      <c r="C132" s="2743" t="s">
        <v>1772</v>
      </c>
      <c r="D132" s="2743"/>
      <c r="E132" s="2743"/>
      <c r="F132" s="2743"/>
      <c r="G132" s="2743"/>
      <c r="H132" s="2743"/>
      <c r="I132" s="1163"/>
      <c r="J132" s="1163"/>
      <c r="K132" s="1163"/>
      <c r="L132" s="1163"/>
      <c r="M132" s="1163"/>
      <c r="N132" s="1163"/>
      <c r="O132" s="1163"/>
      <c r="P132" s="2310"/>
    </row>
    <row r="133" spans="3:17" s="2309" customFormat="1" ht="55.5" customHeight="1" x14ac:dyDescent="0.2">
      <c r="C133" s="2744" t="s">
        <v>1873</v>
      </c>
      <c r="D133" s="2744"/>
      <c r="E133" s="2744"/>
      <c r="F133" s="2744"/>
      <c r="G133" s="2744"/>
      <c r="H133" s="2744"/>
      <c r="I133" s="1162"/>
      <c r="J133" s="1162"/>
      <c r="K133" s="1162"/>
      <c r="L133" s="1162"/>
      <c r="M133" s="1162"/>
      <c r="N133" s="1162"/>
    </row>
    <row r="134" spans="3:17" ht="53.25" customHeight="1" x14ac:dyDescent="0.2">
      <c r="C134" s="2744" t="s">
        <v>1631</v>
      </c>
      <c r="D134" s="2744"/>
      <c r="E134" s="2744"/>
      <c r="F134" s="2744"/>
      <c r="G134" s="2744"/>
      <c r="H134" s="2744"/>
      <c r="I134" s="1162"/>
      <c r="J134" s="1162"/>
      <c r="P134" s="236"/>
    </row>
    <row r="135" spans="3:17" x14ac:dyDescent="0.2">
      <c r="C135" s="2263"/>
      <c r="D135" s="2745" t="s">
        <v>866</v>
      </c>
      <c r="E135" s="2745"/>
      <c r="F135" s="2745"/>
      <c r="I135" s="587"/>
      <c r="J135" s="587"/>
    </row>
    <row r="136" spans="3:17" s="236" customFormat="1" x14ac:dyDescent="0.2">
      <c r="C136" s="2742" t="s">
        <v>1634</v>
      </c>
      <c r="D136" s="2742"/>
      <c r="E136" s="2742"/>
      <c r="F136" s="2742"/>
      <c r="G136" s="2742"/>
      <c r="H136" s="2742"/>
      <c r="I136" s="2313"/>
      <c r="J136" s="2313"/>
      <c r="K136" s="2313"/>
      <c r="L136" s="2313"/>
      <c r="M136" s="2313"/>
      <c r="N136" s="2313"/>
    </row>
    <row r="137" spans="3:17" s="236" customFormat="1" x14ac:dyDescent="0.2">
      <c r="C137" s="2742" t="s">
        <v>1635</v>
      </c>
      <c r="D137" s="2742"/>
      <c r="E137" s="2742"/>
      <c r="F137" s="2742"/>
      <c r="G137" s="2742"/>
      <c r="H137" s="2742"/>
      <c r="I137" s="2313"/>
      <c r="J137" s="2313"/>
      <c r="K137" s="2313"/>
      <c r="L137" s="2313"/>
      <c r="M137" s="2313"/>
      <c r="N137" s="2313"/>
    </row>
    <row r="138" spans="3:17" s="236" customFormat="1" ht="48.75" customHeight="1" x14ac:dyDescent="0.2">
      <c r="C138" s="2742" t="s">
        <v>1874</v>
      </c>
      <c r="D138" s="2742"/>
      <c r="E138" s="2742"/>
      <c r="F138" s="2742"/>
      <c r="G138" s="2742"/>
      <c r="H138" s="2742"/>
      <c r="I138" s="2313"/>
      <c r="J138" s="2313"/>
      <c r="K138" s="2313"/>
      <c r="L138" s="2313"/>
      <c r="M138" s="2313"/>
      <c r="N138" s="2313"/>
    </row>
    <row r="139" spans="3:17" ht="9.75" customHeight="1" x14ac:dyDescent="0.2">
      <c r="I139" s="587"/>
      <c r="J139" s="587"/>
    </row>
    <row r="140" spans="3:17" x14ac:dyDescent="0.2">
      <c r="I140" s="587"/>
      <c r="J140" s="587"/>
    </row>
    <row r="141" spans="3:17" x14ac:dyDescent="0.2">
      <c r="I141" s="587"/>
      <c r="J141" s="587"/>
    </row>
    <row r="142" spans="3:17" x14ac:dyDescent="0.2">
      <c r="F142" s="582" t="s">
        <v>961</v>
      </c>
      <c r="I142" s="587"/>
      <c r="J142" s="587"/>
    </row>
    <row r="143" spans="3:17" x14ac:dyDescent="0.2">
      <c r="I143" s="587"/>
      <c r="J143" s="587"/>
    </row>
    <row r="144" spans="3:17" x14ac:dyDescent="0.2">
      <c r="I144" s="587"/>
      <c r="J144" s="587"/>
    </row>
    <row r="145" spans="9:10" x14ac:dyDescent="0.2">
      <c r="I145" s="587"/>
      <c r="J145" s="587"/>
    </row>
    <row r="146" spans="9:10" x14ac:dyDescent="0.2">
      <c r="I146" s="587"/>
      <c r="J146" s="587"/>
    </row>
    <row r="147" spans="9:10" x14ac:dyDescent="0.2">
      <c r="I147" s="587"/>
      <c r="J147" s="587"/>
    </row>
    <row r="148" spans="9:10" x14ac:dyDescent="0.2">
      <c r="I148" s="587"/>
      <c r="J148" s="587"/>
    </row>
    <row r="149" spans="9:10" x14ac:dyDescent="0.2">
      <c r="I149" s="587"/>
      <c r="J149" s="587"/>
    </row>
    <row r="150" spans="9:10" x14ac:dyDescent="0.2">
      <c r="I150" s="587"/>
      <c r="J150" s="587"/>
    </row>
    <row r="151" spans="9:10" x14ac:dyDescent="0.2">
      <c r="I151" s="587"/>
      <c r="J151" s="587"/>
    </row>
    <row r="152" spans="9:10" x14ac:dyDescent="0.2">
      <c r="I152" s="587"/>
      <c r="J152" s="587"/>
    </row>
    <row r="153" spans="9:10" x14ac:dyDescent="0.2">
      <c r="I153" s="587"/>
      <c r="J153" s="587"/>
    </row>
    <row r="154" spans="9:10" x14ac:dyDescent="0.2">
      <c r="I154" s="587"/>
      <c r="J154" s="587"/>
    </row>
    <row r="155" spans="9:10" x14ac:dyDescent="0.2">
      <c r="I155" s="587"/>
      <c r="J155" s="587"/>
    </row>
    <row r="156" spans="9:10" x14ac:dyDescent="0.2">
      <c r="I156" s="587"/>
      <c r="J156" s="587"/>
    </row>
    <row r="157" spans="9:10" x14ac:dyDescent="0.2">
      <c r="I157" s="587"/>
      <c r="J157" s="587"/>
    </row>
    <row r="158" spans="9:10" x14ac:dyDescent="0.2">
      <c r="I158" s="587"/>
      <c r="J158" s="587"/>
    </row>
    <row r="159" spans="9:10" x14ac:dyDescent="0.2">
      <c r="I159" s="587"/>
      <c r="J159" s="587"/>
    </row>
    <row r="160" spans="9:10" x14ac:dyDescent="0.2">
      <c r="I160" s="587"/>
      <c r="J160" s="587"/>
    </row>
    <row r="161" spans="9:10" x14ac:dyDescent="0.2">
      <c r="I161" s="587"/>
      <c r="J161" s="587"/>
    </row>
    <row r="162" spans="9:10" x14ac:dyDescent="0.2">
      <c r="I162" s="587"/>
      <c r="J162" s="587"/>
    </row>
    <row r="163" spans="9:10" x14ac:dyDescent="0.2">
      <c r="I163" s="587"/>
      <c r="J163" s="587"/>
    </row>
    <row r="164" spans="9:10" x14ac:dyDescent="0.2">
      <c r="I164" s="587"/>
      <c r="J164" s="587"/>
    </row>
    <row r="165" spans="9:10" x14ac:dyDescent="0.2">
      <c r="I165" s="587"/>
      <c r="J165" s="587"/>
    </row>
    <row r="166" spans="9:10" x14ac:dyDescent="0.2">
      <c r="I166" s="587"/>
      <c r="J166" s="587"/>
    </row>
    <row r="167" spans="9:10" x14ac:dyDescent="0.2">
      <c r="I167" s="588"/>
      <c r="J167" s="588"/>
    </row>
  </sheetData>
  <mergeCells count="58">
    <mergeCell ref="C26:J26"/>
    <mergeCell ref="I2:J2"/>
    <mergeCell ref="F3:J5"/>
    <mergeCell ref="C8:J8"/>
    <mergeCell ref="C10:C11"/>
    <mergeCell ref="D10:D11"/>
    <mergeCell ref="E10:E11"/>
    <mergeCell ref="F10:F11"/>
    <mergeCell ref="G10:G11"/>
    <mergeCell ref="H10:J10"/>
    <mergeCell ref="C12:J12"/>
    <mergeCell ref="C13:J13"/>
    <mergeCell ref="C14:C15"/>
    <mergeCell ref="C16:C20"/>
    <mergeCell ref="C21:C25"/>
    <mergeCell ref="C66:C70"/>
    <mergeCell ref="C27:C35"/>
    <mergeCell ref="C37:C41"/>
    <mergeCell ref="C42:J42"/>
    <mergeCell ref="C43:J43"/>
    <mergeCell ref="C44:C45"/>
    <mergeCell ref="C46:C48"/>
    <mergeCell ref="C49:C53"/>
    <mergeCell ref="C54:J54"/>
    <mergeCell ref="C57:C61"/>
    <mergeCell ref="C62:J62"/>
    <mergeCell ref="C63:C64"/>
    <mergeCell ref="C123:D123"/>
    <mergeCell ref="C124:D124"/>
    <mergeCell ref="C101:C102"/>
    <mergeCell ref="C71:J71"/>
    <mergeCell ref="C72:C74"/>
    <mergeCell ref="C75:C76"/>
    <mergeCell ref="C77:C81"/>
    <mergeCell ref="C82:J82"/>
    <mergeCell ref="C83:J83"/>
    <mergeCell ref="C84:C87"/>
    <mergeCell ref="C88:C92"/>
    <mergeCell ref="C93:C97"/>
    <mergeCell ref="C98:J98"/>
    <mergeCell ref="C99:C100"/>
    <mergeCell ref="C103:C107"/>
    <mergeCell ref="C108:J108"/>
    <mergeCell ref="C112:C116"/>
    <mergeCell ref="C117:C121"/>
    <mergeCell ref="C122:I122"/>
    <mergeCell ref="P124:Q124"/>
    <mergeCell ref="C125:D125"/>
    <mergeCell ref="C126:D126"/>
    <mergeCell ref="D130:F130"/>
    <mergeCell ref="C138:H138"/>
    <mergeCell ref="C132:H132"/>
    <mergeCell ref="C133:H133"/>
    <mergeCell ref="C134:H134"/>
    <mergeCell ref="D135:F135"/>
    <mergeCell ref="C136:H136"/>
    <mergeCell ref="C137:H137"/>
    <mergeCell ref="C131:H131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56" orientation="landscape" r:id="rId1"/>
  <rowBreaks count="5" manualBreakCount="5">
    <brk id="29" min="1" max="10" man="1"/>
    <brk id="48" min="1" max="10" man="1"/>
    <brk id="73" min="1" max="10" man="1"/>
    <brk id="97" min="1" max="10" man="1"/>
    <brk id="121" min="1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C3:N41"/>
  <sheetViews>
    <sheetView view="pageBreakPreview" topLeftCell="A23" zoomScale="85" zoomScaleSheetLayoutView="85" workbookViewId="0">
      <selection activeCell="J35" sqref="J35"/>
    </sheetView>
  </sheetViews>
  <sheetFormatPr baseColWidth="10" defaultColWidth="8.83203125" defaultRowHeight="14" x14ac:dyDescent="0.15"/>
  <cols>
    <col min="1" max="1" width="8.83203125" style="2393"/>
    <col min="2" max="2" width="1.5" style="2393" customWidth="1"/>
    <col min="3" max="3" width="64.5" style="2393" customWidth="1"/>
    <col min="4" max="6" width="8.83203125" style="2396"/>
    <col min="7" max="7" width="15.5" style="2396" customWidth="1"/>
    <col min="8" max="8" width="8.5" style="2396" customWidth="1"/>
    <col min="9" max="9" width="15.5" style="2398" customWidth="1"/>
    <col min="10" max="11" width="17.1640625" style="2398" customWidth="1"/>
    <col min="12" max="12" width="21.5" style="2393" customWidth="1"/>
    <col min="13" max="13" width="15.5" style="2393" customWidth="1"/>
    <col min="14" max="16384" width="8.83203125" style="2393"/>
  </cols>
  <sheetData>
    <row r="3" spans="3:14" x14ac:dyDescent="0.15">
      <c r="C3" s="2394" t="s">
        <v>265</v>
      </c>
      <c r="D3" s="2397">
        <v>56</v>
      </c>
      <c r="E3" s="2397"/>
      <c r="F3" s="2397"/>
      <c r="G3" s="2397"/>
      <c r="H3" s="2397"/>
      <c r="I3" s="2399">
        <v>21059.217000000001</v>
      </c>
      <c r="J3" s="2399">
        <v>1279380.05</v>
      </c>
      <c r="K3" s="2509"/>
      <c r="L3" s="2510">
        <f>'Роспись 2015 год (2)'!I8</f>
        <v>1282099.0490000001</v>
      </c>
      <c r="M3" s="2393">
        <f>J3-L3</f>
        <v>-2718.9990000000689</v>
      </c>
      <c r="N3" s="2510" t="e">
        <f>M3+'Роспись 2015 год (2)'!#REF!</f>
        <v>#REF!</v>
      </c>
    </row>
    <row r="4" spans="3:14" ht="116" x14ac:dyDescent="0.15">
      <c r="C4" s="2394" t="s">
        <v>1765</v>
      </c>
      <c r="D4" s="2397">
        <v>56</v>
      </c>
      <c r="E4" s="2397">
        <v>1</v>
      </c>
      <c r="F4" s="932">
        <v>13</v>
      </c>
      <c r="G4" s="2397" t="s">
        <v>1657</v>
      </c>
      <c r="H4" s="2397">
        <v>600</v>
      </c>
      <c r="I4" s="2399">
        <v>0</v>
      </c>
      <c r="J4" s="2629">
        <v>1500</v>
      </c>
      <c r="K4" s="2509"/>
    </row>
    <row r="5" spans="3:14" ht="104" x14ac:dyDescent="0.15">
      <c r="C5" s="2395" t="s">
        <v>1763</v>
      </c>
      <c r="D5" s="2397">
        <v>56</v>
      </c>
      <c r="E5" s="2397">
        <v>1</v>
      </c>
      <c r="F5" s="2397">
        <v>13</v>
      </c>
      <c r="G5" s="2397" t="s">
        <v>1658</v>
      </c>
      <c r="H5" s="2397">
        <v>600</v>
      </c>
      <c r="I5" s="2399">
        <v>0</v>
      </c>
      <c r="J5" s="2629">
        <v>270</v>
      </c>
      <c r="K5" s="2509"/>
    </row>
    <row r="6" spans="3:14" ht="148" x14ac:dyDescent="0.15">
      <c r="C6" s="2394" t="s">
        <v>1767</v>
      </c>
      <c r="D6" s="2397">
        <v>56</v>
      </c>
      <c r="E6" s="2397">
        <v>1</v>
      </c>
      <c r="F6" s="2397">
        <v>13</v>
      </c>
      <c r="G6" s="2397" t="s">
        <v>1659</v>
      </c>
      <c r="H6" s="2397">
        <v>600</v>
      </c>
      <c r="I6" s="2399">
        <v>0</v>
      </c>
      <c r="J6" s="2629">
        <v>2218.6999999999998</v>
      </c>
      <c r="K6" s="2509"/>
    </row>
    <row r="7" spans="3:14" ht="106" x14ac:dyDescent="0.15">
      <c r="C7" s="2395" t="s">
        <v>1768</v>
      </c>
      <c r="D7" s="2397">
        <v>56</v>
      </c>
      <c r="E7" s="2397">
        <v>1</v>
      </c>
      <c r="F7" s="2397">
        <v>13</v>
      </c>
      <c r="G7" s="2397" t="s">
        <v>1660</v>
      </c>
      <c r="H7" s="2397">
        <v>600</v>
      </c>
      <c r="I7" s="2399">
        <v>0</v>
      </c>
      <c r="J7" s="2629">
        <v>150</v>
      </c>
      <c r="K7" s="2509"/>
    </row>
    <row r="8" spans="3:14" ht="150" x14ac:dyDescent="0.15">
      <c r="C8" s="2394" t="s">
        <v>1769</v>
      </c>
      <c r="D8" s="2397">
        <v>56</v>
      </c>
      <c r="E8" s="2397">
        <v>1</v>
      </c>
      <c r="F8" s="2397">
        <v>13</v>
      </c>
      <c r="G8" s="2397" t="s">
        <v>1661</v>
      </c>
      <c r="H8" s="2397">
        <v>600</v>
      </c>
      <c r="I8" s="2399">
        <v>0</v>
      </c>
      <c r="J8" s="2629">
        <v>800</v>
      </c>
      <c r="K8" s="2509"/>
    </row>
    <row r="9" spans="3:14" ht="88" x14ac:dyDescent="0.15">
      <c r="C9" s="2395" t="s">
        <v>1762</v>
      </c>
      <c r="D9" s="2397">
        <v>56</v>
      </c>
      <c r="E9" s="2397">
        <v>1</v>
      </c>
      <c r="F9" s="2397">
        <v>13</v>
      </c>
      <c r="G9" s="2397" t="s">
        <v>1662</v>
      </c>
      <c r="H9" s="2397">
        <v>600</v>
      </c>
      <c r="I9" s="2399">
        <v>0</v>
      </c>
      <c r="J9" s="2629">
        <v>34.799999999999997</v>
      </c>
      <c r="K9" s="2509"/>
    </row>
    <row r="10" spans="3:14" ht="106" x14ac:dyDescent="0.15">
      <c r="C10" s="2395" t="s">
        <v>1761</v>
      </c>
      <c r="D10" s="2397">
        <v>56</v>
      </c>
      <c r="E10" s="2397">
        <v>3</v>
      </c>
      <c r="F10" s="2397">
        <v>10</v>
      </c>
      <c r="G10" s="2397" t="s">
        <v>1663</v>
      </c>
      <c r="H10" s="2397">
        <v>600</v>
      </c>
      <c r="I10" s="2399">
        <v>0</v>
      </c>
      <c r="J10" s="2629">
        <v>600</v>
      </c>
      <c r="K10" s="2509"/>
    </row>
    <row r="11" spans="3:14" ht="86" x14ac:dyDescent="0.15">
      <c r="C11" s="2395" t="s">
        <v>1743</v>
      </c>
      <c r="D11" s="2397">
        <v>56</v>
      </c>
      <c r="E11" s="2397">
        <v>7</v>
      </c>
      <c r="F11" s="2397">
        <v>2</v>
      </c>
      <c r="G11" s="2397" t="s">
        <v>1344</v>
      </c>
      <c r="H11" s="2397">
        <v>600</v>
      </c>
      <c r="I11" s="2399">
        <v>0</v>
      </c>
      <c r="J11" s="2399">
        <v>40464.6</v>
      </c>
      <c r="K11" s="2399">
        <v>39464.6</v>
      </c>
    </row>
    <row r="12" spans="3:14" ht="86" x14ac:dyDescent="0.15">
      <c r="C12" s="2395" t="s">
        <v>1744</v>
      </c>
      <c r="D12" s="2397">
        <v>56</v>
      </c>
      <c r="E12" s="2397">
        <v>7</v>
      </c>
      <c r="F12" s="2397">
        <v>4</v>
      </c>
      <c r="G12" s="2397" t="s">
        <v>1349</v>
      </c>
      <c r="H12" s="2397">
        <v>600</v>
      </c>
      <c r="I12" s="2399">
        <v>350</v>
      </c>
      <c r="J12" s="2399">
        <v>126910</v>
      </c>
      <c r="K12" s="2399">
        <v>126909</v>
      </c>
    </row>
    <row r="13" spans="3:14" ht="114" x14ac:dyDescent="0.15">
      <c r="C13" s="2395" t="s">
        <v>1745</v>
      </c>
      <c r="D13" s="2397">
        <v>56</v>
      </c>
      <c r="E13" s="2397">
        <v>7</v>
      </c>
      <c r="F13" s="2397">
        <v>5</v>
      </c>
      <c r="G13" s="2397" t="s">
        <v>1352</v>
      </c>
      <c r="H13" s="2397">
        <v>600</v>
      </c>
      <c r="I13" s="2399">
        <v>0</v>
      </c>
      <c r="J13" s="2399">
        <v>6503.5</v>
      </c>
      <c r="K13" s="2509"/>
    </row>
    <row r="14" spans="3:14" ht="56" x14ac:dyDescent="0.15">
      <c r="C14" s="2394" t="s">
        <v>1664</v>
      </c>
      <c r="D14" s="2397">
        <v>56</v>
      </c>
      <c r="E14" s="2397">
        <v>7</v>
      </c>
      <c r="F14" s="2397">
        <v>9</v>
      </c>
      <c r="G14" s="2397" t="s">
        <v>1665</v>
      </c>
      <c r="H14" s="2397">
        <v>300</v>
      </c>
      <c r="I14" s="2399">
        <v>0</v>
      </c>
      <c r="J14" s="2399">
        <v>1188</v>
      </c>
      <c r="K14" s="2399">
        <v>936</v>
      </c>
    </row>
    <row r="15" spans="3:14" ht="70" x14ac:dyDescent="0.15">
      <c r="C15" s="2394" t="s">
        <v>1666</v>
      </c>
      <c r="D15" s="2397">
        <v>56</v>
      </c>
      <c r="E15" s="2397">
        <v>7</v>
      </c>
      <c r="F15" s="2397">
        <v>9</v>
      </c>
      <c r="G15" s="2397" t="s">
        <v>1667</v>
      </c>
      <c r="H15" s="2397">
        <v>300</v>
      </c>
      <c r="I15" s="2399">
        <v>1500</v>
      </c>
      <c r="J15" s="2399">
        <v>1500</v>
      </c>
      <c r="K15" s="2509"/>
    </row>
    <row r="16" spans="3:14" ht="28" x14ac:dyDescent="0.15">
      <c r="C16" s="2394" t="s">
        <v>1830</v>
      </c>
      <c r="D16" s="2397"/>
      <c r="E16" s="2397"/>
      <c r="F16" s="2397"/>
      <c r="G16" s="2397"/>
      <c r="H16" s="2397"/>
      <c r="I16" s="2399"/>
      <c r="J16" s="2399">
        <v>350</v>
      </c>
      <c r="K16" s="2509"/>
    </row>
    <row r="17" spans="3:11" ht="56" x14ac:dyDescent="0.15">
      <c r="C17" s="2395" t="s">
        <v>1668</v>
      </c>
      <c r="D17" s="2397">
        <v>56</v>
      </c>
      <c r="E17" s="2397">
        <v>8</v>
      </c>
      <c r="F17" s="2397">
        <v>1</v>
      </c>
      <c r="G17" s="2397" t="s">
        <v>1375</v>
      </c>
      <c r="H17" s="2397">
        <v>500</v>
      </c>
      <c r="I17" s="2399">
        <v>0</v>
      </c>
      <c r="J17" s="2399">
        <v>913.5</v>
      </c>
      <c r="K17" s="2509"/>
    </row>
    <row r="18" spans="3:11" ht="84" x14ac:dyDescent="0.15">
      <c r="C18" s="2395" t="s">
        <v>1669</v>
      </c>
      <c r="D18" s="2397">
        <v>56</v>
      </c>
      <c r="E18" s="2397">
        <v>8</v>
      </c>
      <c r="F18" s="2397">
        <v>1</v>
      </c>
      <c r="G18" s="2397" t="s">
        <v>1670</v>
      </c>
      <c r="H18" s="2397">
        <v>500</v>
      </c>
      <c r="I18" s="2399">
        <v>0</v>
      </c>
      <c r="J18" s="2628">
        <v>2474.933</v>
      </c>
      <c r="K18" s="2509"/>
    </row>
    <row r="19" spans="3:11" ht="56" x14ac:dyDescent="0.15">
      <c r="C19" s="2395" t="s">
        <v>1671</v>
      </c>
      <c r="D19" s="2397">
        <v>56</v>
      </c>
      <c r="E19" s="2397">
        <v>8</v>
      </c>
      <c r="F19" s="2397">
        <v>1</v>
      </c>
      <c r="G19" s="2397" t="s">
        <v>1672</v>
      </c>
      <c r="H19" s="2397">
        <v>500</v>
      </c>
      <c r="I19" s="2399">
        <v>0</v>
      </c>
      <c r="J19" s="2628">
        <v>2900</v>
      </c>
      <c r="K19" s="2509"/>
    </row>
    <row r="20" spans="3:11" ht="70" x14ac:dyDescent="0.15">
      <c r="C20" s="2395" t="s">
        <v>1673</v>
      </c>
      <c r="D20" s="2397">
        <v>56</v>
      </c>
      <c r="E20" s="2397">
        <v>8</v>
      </c>
      <c r="F20" s="2397">
        <v>1</v>
      </c>
      <c r="G20" s="2397" t="s">
        <v>1674</v>
      </c>
      <c r="H20" s="2397">
        <v>500</v>
      </c>
      <c r="I20" s="2399">
        <v>0</v>
      </c>
      <c r="J20" s="2628">
        <v>1150</v>
      </c>
      <c r="K20" s="2509"/>
    </row>
    <row r="21" spans="3:11" ht="86" x14ac:dyDescent="0.15">
      <c r="C21" s="2395" t="s">
        <v>1746</v>
      </c>
      <c r="D21" s="2397">
        <v>56</v>
      </c>
      <c r="E21" s="2397">
        <v>8</v>
      </c>
      <c r="F21" s="2397">
        <v>1</v>
      </c>
      <c r="G21" s="2397" t="s">
        <v>1376</v>
      </c>
      <c r="H21" s="2397">
        <v>600</v>
      </c>
      <c r="I21" s="2399">
        <v>0</v>
      </c>
      <c r="J21" s="2399">
        <v>32010.5</v>
      </c>
      <c r="K21" s="2509"/>
    </row>
    <row r="22" spans="3:11" ht="88" x14ac:dyDescent="0.15">
      <c r="C22" s="2395" t="s">
        <v>1747</v>
      </c>
      <c r="D22" s="2397">
        <v>56</v>
      </c>
      <c r="E22" s="2397">
        <v>8</v>
      </c>
      <c r="F22" s="2397">
        <v>1</v>
      </c>
      <c r="G22" s="2397" t="s">
        <v>1377</v>
      </c>
      <c r="H22" s="2397">
        <v>600</v>
      </c>
      <c r="I22" s="2399">
        <v>5078</v>
      </c>
      <c r="J22" s="2399">
        <v>83471.8</v>
      </c>
      <c r="K22" s="2509"/>
    </row>
    <row r="23" spans="3:11" ht="86" x14ac:dyDescent="0.15">
      <c r="C23" s="2395" t="s">
        <v>1748</v>
      </c>
      <c r="D23" s="2397">
        <v>56</v>
      </c>
      <c r="E23" s="2397">
        <v>8</v>
      </c>
      <c r="F23" s="2397">
        <v>1</v>
      </c>
      <c r="G23" s="2397" t="s">
        <v>1378</v>
      </c>
      <c r="H23" s="2397">
        <v>600</v>
      </c>
      <c r="I23" s="2399">
        <v>0</v>
      </c>
      <c r="J23" s="2399">
        <v>22152.7</v>
      </c>
      <c r="K23" s="2509"/>
    </row>
    <row r="24" spans="3:11" ht="72" x14ac:dyDescent="0.15">
      <c r="C24" s="2395" t="s">
        <v>1749</v>
      </c>
      <c r="D24" s="2397">
        <v>56</v>
      </c>
      <c r="E24" s="2397">
        <v>8</v>
      </c>
      <c r="F24" s="2397">
        <v>1</v>
      </c>
      <c r="G24" s="2397" t="s">
        <v>1379</v>
      </c>
      <c r="H24" s="2397">
        <v>600</v>
      </c>
      <c r="I24" s="2399">
        <v>7496</v>
      </c>
      <c r="J24" s="2399">
        <v>193022.3</v>
      </c>
      <c r="K24" s="2399">
        <v>192772.3</v>
      </c>
    </row>
    <row r="25" spans="3:11" ht="86" x14ac:dyDescent="0.15">
      <c r="C25" s="2395" t="s">
        <v>1750</v>
      </c>
      <c r="D25" s="2397">
        <v>56</v>
      </c>
      <c r="E25" s="2397">
        <v>8</v>
      </c>
      <c r="F25" s="2397">
        <v>1</v>
      </c>
      <c r="G25" s="2397" t="s">
        <v>1380</v>
      </c>
      <c r="H25" s="2397">
        <v>600</v>
      </c>
      <c r="I25" s="2399">
        <v>0</v>
      </c>
      <c r="J25" s="2399">
        <v>55329</v>
      </c>
      <c r="K25" s="2509"/>
    </row>
    <row r="26" spans="3:11" ht="86" x14ac:dyDescent="0.15">
      <c r="C26" s="2395" t="s">
        <v>1751</v>
      </c>
      <c r="D26" s="2397">
        <v>56</v>
      </c>
      <c r="E26" s="2397">
        <v>8</v>
      </c>
      <c r="F26" s="2397">
        <v>1</v>
      </c>
      <c r="G26" s="2397" t="s">
        <v>1381</v>
      </c>
      <c r="H26" s="2397">
        <v>600</v>
      </c>
      <c r="I26" s="2399">
        <v>-2251.1999999999998</v>
      </c>
      <c r="J26" s="2399">
        <v>630196.9</v>
      </c>
      <c r="K26" s="2399">
        <v>629330.9</v>
      </c>
    </row>
    <row r="27" spans="3:11" ht="58" x14ac:dyDescent="0.15">
      <c r="C27" s="2395" t="s">
        <v>1752</v>
      </c>
      <c r="D27" s="2397">
        <v>56</v>
      </c>
      <c r="E27" s="2397">
        <v>8</v>
      </c>
      <c r="F27" s="2397">
        <v>1</v>
      </c>
      <c r="G27" s="2397" t="s">
        <v>1382</v>
      </c>
      <c r="H27" s="2397">
        <v>600</v>
      </c>
      <c r="I27" s="2399">
        <v>0</v>
      </c>
      <c r="J27" s="2399">
        <v>8729.7000000000007</v>
      </c>
      <c r="K27" s="2509"/>
    </row>
    <row r="28" spans="3:11" ht="58" x14ac:dyDescent="0.15">
      <c r="C28" s="2395" t="s">
        <v>1753</v>
      </c>
      <c r="D28" s="2397">
        <v>56</v>
      </c>
      <c r="E28" s="2397">
        <v>8</v>
      </c>
      <c r="F28" s="2397">
        <v>1</v>
      </c>
      <c r="G28" s="2397" t="s">
        <v>1383</v>
      </c>
      <c r="H28" s="2397">
        <v>200</v>
      </c>
      <c r="I28" s="2399">
        <v>-357.7</v>
      </c>
      <c r="J28" s="2399">
        <v>951</v>
      </c>
      <c r="K28" s="2509"/>
    </row>
    <row r="29" spans="3:11" ht="100" x14ac:dyDescent="0.2">
      <c r="C29" s="2395" t="s">
        <v>1757</v>
      </c>
      <c r="D29" s="2397">
        <v>56</v>
      </c>
      <c r="E29" s="2397">
        <v>8</v>
      </c>
      <c r="F29" s="2397">
        <v>4</v>
      </c>
      <c r="G29" s="2397" t="s">
        <v>1368</v>
      </c>
      <c r="H29" s="2397">
        <v>100</v>
      </c>
      <c r="I29" s="2399">
        <v>280</v>
      </c>
      <c r="J29" s="2399">
        <v>21590.78</v>
      </c>
      <c r="K29" s="2509"/>
    </row>
    <row r="30" spans="3:11" ht="114" x14ac:dyDescent="0.2">
      <c r="C30" s="2395" t="s">
        <v>1756</v>
      </c>
      <c r="D30" s="2397">
        <v>56</v>
      </c>
      <c r="E30" s="2397">
        <v>8</v>
      </c>
      <c r="F30" s="2397">
        <v>4</v>
      </c>
      <c r="G30" s="2397" t="s">
        <v>1384</v>
      </c>
      <c r="H30" s="2397">
        <v>100</v>
      </c>
      <c r="I30" s="2399">
        <v>452.5</v>
      </c>
      <c r="J30" s="2399">
        <v>1495.92</v>
      </c>
      <c r="K30" s="2509"/>
    </row>
    <row r="31" spans="3:11" ht="86" x14ac:dyDescent="0.2">
      <c r="C31" s="2395" t="s">
        <v>1755</v>
      </c>
      <c r="D31" s="2397">
        <v>56</v>
      </c>
      <c r="E31" s="2397">
        <v>8</v>
      </c>
      <c r="F31" s="2397">
        <v>4</v>
      </c>
      <c r="G31" s="2397" t="s">
        <v>1384</v>
      </c>
      <c r="H31" s="2397">
        <v>200</v>
      </c>
      <c r="I31" s="2399">
        <v>356.02</v>
      </c>
      <c r="J31" s="2399">
        <v>2880.02</v>
      </c>
      <c r="K31" s="2509"/>
    </row>
    <row r="32" spans="3:11" ht="72" x14ac:dyDescent="0.2">
      <c r="C32" s="2395" t="s">
        <v>1754</v>
      </c>
      <c r="D32" s="2397">
        <v>56</v>
      </c>
      <c r="E32" s="2397">
        <v>8</v>
      </c>
      <c r="F32" s="2397">
        <v>4</v>
      </c>
      <c r="G32" s="2397" t="s">
        <v>1384</v>
      </c>
      <c r="H32" s="2397">
        <v>800</v>
      </c>
      <c r="I32" s="2399">
        <v>0</v>
      </c>
      <c r="J32" s="2399">
        <v>411.7</v>
      </c>
      <c r="K32" s="2509"/>
    </row>
    <row r="33" spans="3:11" ht="154" x14ac:dyDescent="0.15">
      <c r="C33" s="2394" t="s">
        <v>1741</v>
      </c>
      <c r="D33" s="2397">
        <v>56</v>
      </c>
      <c r="E33" s="2397">
        <v>8</v>
      </c>
      <c r="F33" s="2397">
        <v>4</v>
      </c>
      <c r="G33" s="2397" t="s">
        <v>1675</v>
      </c>
      <c r="H33" s="2397">
        <v>100</v>
      </c>
      <c r="I33" s="2399">
        <v>0</v>
      </c>
      <c r="J33" s="2399">
        <v>3115.33</v>
      </c>
      <c r="K33" s="2509"/>
    </row>
    <row r="34" spans="3:11" ht="126" x14ac:dyDescent="0.15">
      <c r="C34" s="2394" t="s">
        <v>1742</v>
      </c>
      <c r="D34" s="2397">
        <v>56</v>
      </c>
      <c r="E34" s="2397">
        <v>8</v>
      </c>
      <c r="F34" s="2397">
        <v>4</v>
      </c>
      <c r="G34" s="2397" t="s">
        <v>1675</v>
      </c>
      <c r="H34" s="2397">
        <v>200</v>
      </c>
      <c r="I34" s="2399">
        <v>0</v>
      </c>
      <c r="J34" s="2399">
        <v>451.77</v>
      </c>
      <c r="K34" s="2509"/>
    </row>
    <row r="35" spans="3:11" ht="84" x14ac:dyDescent="0.15">
      <c r="C35" s="2394" t="s">
        <v>1676</v>
      </c>
      <c r="D35" s="2397">
        <v>56</v>
      </c>
      <c r="E35" s="2397">
        <v>8</v>
      </c>
      <c r="F35" s="2397">
        <v>4</v>
      </c>
      <c r="G35" s="2397" t="s">
        <v>1677</v>
      </c>
      <c r="H35" s="2397">
        <v>400</v>
      </c>
      <c r="I35" s="2399">
        <v>8200</v>
      </c>
      <c r="J35" s="2629">
        <v>24100</v>
      </c>
      <c r="K35" s="2509" t="s">
        <v>1865</v>
      </c>
    </row>
    <row r="36" spans="3:11" ht="116" x14ac:dyDescent="0.15">
      <c r="C36" s="2395" t="s">
        <v>1758</v>
      </c>
      <c r="D36" s="2397">
        <v>56</v>
      </c>
      <c r="E36" s="2397">
        <v>10</v>
      </c>
      <c r="F36" s="2397">
        <v>4</v>
      </c>
      <c r="G36" s="2397" t="s">
        <v>1387</v>
      </c>
      <c r="H36" s="2397">
        <v>300</v>
      </c>
      <c r="I36" s="2399">
        <v>-44.402999999999999</v>
      </c>
      <c r="J36" s="2629">
        <v>576.59699999999998</v>
      </c>
      <c r="K36" s="2509"/>
    </row>
    <row r="37" spans="3:11" ht="104" x14ac:dyDescent="0.15">
      <c r="C37" s="2394" t="s">
        <v>1759</v>
      </c>
      <c r="D37" s="2397">
        <v>56</v>
      </c>
      <c r="E37" s="2397">
        <v>10</v>
      </c>
      <c r="F37" s="2397">
        <v>6</v>
      </c>
      <c r="G37" s="2397" t="s">
        <v>1678</v>
      </c>
      <c r="H37" s="2397">
        <v>600</v>
      </c>
      <c r="I37" s="2399">
        <v>0</v>
      </c>
      <c r="J37" s="2629">
        <v>11100</v>
      </c>
      <c r="K37" s="2509"/>
    </row>
    <row r="38" spans="3:11" ht="74" x14ac:dyDescent="0.15">
      <c r="C38" s="2395" t="s">
        <v>1760</v>
      </c>
      <c r="D38" s="2397">
        <v>56</v>
      </c>
      <c r="E38" s="2397">
        <v>10</v>
      </c>
      <c r="F38" s="2397">
        <v>6</v>
      </c>
      <c r="G38" s="2397" t="s">
        <v>1679</v>
      </c>
      <c r="H38" s="2397">
        <v>600</v>
      </c>
      <c r="I38" s="2399">
        <v>0</v>
      </c>
      <c r="J38" s="2629">
        <v>585</v>
      </c>
      <c r="K38" s="2509"/>
    </row>
    <row r="39" spans="3:11" x14ac:dyDescent="0.15">
      <c r="J39" s="2398">
        <f>SUM(J4:J38)</f>
        <v>1282099.05</v>
      </c>
    </row>
    <row r="40" spans="3:11" x14ac:dyDescent="0.15">
      <c r="J40" s="2526">
        <f>J39-J38-J37-J36-J35-J10-J9-J8-J7-J6-J5-J4</f>
        <v>1240163.953</v>
      </c>
    </row>
    <row r="41" spans="3:11" x14ac:dyDescent="0.15">
      <c r="C41" s="2630"/>
      <c r="D41" s="2396" t="s">
        <v>1866</v>
      </c>
      <c r="E41" s="2915" t="s">
        <v>1867</v>
      </c>
      <c r="F41" s="2915"/>
      <c r="G41" s="2915"/>
      <c r="H41" s="2915"/>
      <c r="I41" s="2915"/>
      <c r="J41" s="2526"/>
    </row>
  </sheetData>
  <mergeCells count="1">
    <mergeCell ref="E41:I41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6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L973"/>
  <sheetViews>
    <sheetView workbookViewId="0">
      <selection activeCell="J8" sqref="J8"/>
    </sheetView>
  </sheetViews>
  <sheetFormatPr baseColWidth="10" defaultColWidth="8.83203125" defaultRowHeight="13" x14ac:dyDescent="0.15"/>
  <cols>
    <col min="2" max="2" width="54" customWidth="1"/>
    <col min="8" max="8" width="8.6640625" customWidth="1"/>
    <col min="9" max="9" width="15.5" hidden="1" customWidth="1"/>
    <col min="10" max="10" width="15.5" customWidth="1"/>
    <col min="11" max="11" width="24" customWidth="1"/>
  </cols>
  <sheetData>
    <row r="2" spans="2:11" ht="15" x14ac:dyDescent="0.2">
      <c r="B2" s="2916" t="s">
        <v>68</v>
      </c>
      <c r="C2" s="2916"/>
      <c r="D2" s="2916"/>
      <c r="E2" s="2916"/>
      <c r="F2" s="2916"/>
      <c r="G2" s="2916"/>
      <c r="H2" s="2916"/>
      <c r="I2" s="2401"/>
      <c r="J2" s="2402"/>
      <c r="K2" s="2357"/>
    </row>
    <row r="3" spans="2:11" ht="15" x14ac:dyDescent="0.2">
      <c r="B3" s="2916" t="s">
        <v>1341</v>
      </c>
      <c r="C3" s="2916"/>
      <c r="D3" s="2916"/>
      <c r="E3" s="2916"/>
      <c r="F3" s="2916"/>
      <c r="G3" s="2916"/>
      <c r="H3" s="2916"/>
      <c r="I3" s="2401"/>
      <c r="J3" s="2403">
        <v>1229687.5190000001</v>
      </c>
      <c r="K3" s="2357"/>
    </row>
    <row r="4" spans="2:11" ht="15" x14ac:dyDescent="0.2">
      <c r="B4" s="2916" t="s">
        <v>69</v>
      </c>
      <c r="C4" s="2916"/>
      <c r="D4" s="2916"/>
      <c r="E4" s="2916"/>
      <c r="F4" s="2916"/>
      <c r="G4" s="2916"/>
      <c r="H4" s="2916"/>
      <c r="I4" s="2401"/>
      <c r="J4" s="2404"/>
      <c r="K4" s="2357"/>
    </row>
    <row r="5" spans="2:11" ht="15" x14ac:dyDescent="0.2">
      <c r="B5" s="2401"/>
      <c r="C5" s="2401"/>
      <c r="D5" s="2401"/>
      <c r="E5" s="2401"/>
      <c r="F5" s="2401"/>
      <c r="G5" s="2401"/>
      <c r="H5" s="2401"/>
      <c r="I5" s="2401"/>
      <c r="J5" s="2404"/>
      <c r="K5" s="2357"/>
    </row>
    <row r="6" spans="2:11" ht="15" x14ac:dyDescent="0.2">
      <c r="B6" s="2917" t="s">
        <v>70</v>
      </c>
      <c r="C6" s="2917" t="s">
        <v>71</v>
      </c>
      <c r="D6" s="2917" t="s">
        <v>72</v>
      </c>
      <c r="E6" s="2917" t="s">
        <v>73</v>
      </c>
      <c r="F6" s="2917" t="s">
        <v>74</v>
      </c>
      <c r="G6" s="2917" t="s">
        <v>75</v>
      </c>
      <c r="H6" s="2917" t="s">
        <v>76</v>
      </c>
      <c r="I6" s="2918" t="s">
        <v>1829</v>
      </c>
      <c r="J6" s="2919" t="s">
        <v>67</v>
      </c>
      <c r="K6" s="2357"/>
    </row>
    <row r="7" spans="2:11" ht="15" x14ac:dyDescent="0.2">
      <c r="B7" s="2917"/>
      <c r="C7" s="2917"/>
      <c r="D7" s="2917"/>
      <c r="E7" s="2917"/>
      <c r="F7" s="2917"/>
      <c r="G7" s="2917"/>
      <c r="H7" s="2917"/>
      <c r="I7" s="2918"/>
      <c r="J7" s="2919"/>
      <c r="K7" s="2357"/>
    </row>
    <row r="8" spans="2:11" ht="16" x14ac:dyDescent="0.2">
      <c r="B8" s="2185" t="s">
        <v>265</v>
      </c>
      <c r="C8" s="2405">
        <v>56</v>
      </c>
      <c r="D8" s="2405"/>
      <c r="E8" s="2405"/>
      <c r="F8" s="2405"/>
      <c r="G8" s="2405"/>
      <c r="H8" s="2405"/>
      <c r="I8" s="2406">
        <v>1168997.3999999999</v>
      </c>
      <c r="J8" s="2406">
        <v>1282099.0490000001</v>
      </c>
      <c r="K8" s="2357"/>
    </row>
    <row r="9" spans="2:11" s="2353" customFormat="1" ht="16" x14ac:dyDescent="0.2">
      <c r="B9" s="2185"/>
      <c r="C9" s="2405"/>
      <c r="D9" s="2405"/>
      <c r="E9" s="2405"/>
      <c r="F9" s="2405"/>
      <c r="G9" s="2405"/>
      <c r="H9" s="2405"/>
      <c r="I9" s="2406"/>
      <c r="J9" s="2406">
        <f>J29+J111+J193+J211+J212+J232+J236+J254+J272+J289+J387+J468+J903+J914+J939+J940+J952+J953+J954+J955+J956+J958+J960+J962+J964+J965+J966+J967+J969+J971+J919+J920+J921+J922</f>
        <v>1281749.0491000004</v>
      </c>
      <c r="K9" s="2511">
        <f>J8-J9</f>
        <v>349.99989999970421</v>
      </c>
    </row>
    <row r="10" spans="2:11" ht="48" x14ac:dyDescent="0.2">
      <c r="B10" s="2407" t="s">
        <v>1680</v>
      </c>
      <c r="C10" s="2408">
        <v>56</v>
      </c>
      <c r="D10" s="2408"/>
      <c r="E10" s="2408"/>
      <c r="F10" s="2408"/>
      <c r="G10" s="2408"/>
      <c r="H10" s="2408"/>
      <c r="I10" s="2409">
        <v>1167361.3999999999</v>
      </c>
      <c r="J10" s="2409">
        <v>1229687.5190000001</v>
      </c>
      <c r="K10" s="2357"/>
    </row>
    <row r="11" spans="2:11" ht="16" x14ac:dyDescent="0.2">
      <c r="B11" s="2410" t="s">
        <v>761</v>
      </c>
      <c r="C11" s="2175">
        <v>56</v>
      </c>
      <c r="D11" s="2175">
        <v>7</v>
      </c>
      <c r="E11" s="2175"/>
      <c r="F11" s="2175"/>
      <c r="G11" s="2175"/>
      <c r="H11" s="2175"/>
      <c r="I11" s="2411">
        <v>174157.3</v>
      </c>
      <c r="J11" s="2411">
        <v>176916.1</v>
      </c>
      <c r="K11" s="2357"/>
    </row>
    <row r="12" spans="2:11" ht="16" x14ac:dyDescent="0.2">
      <c r="B12" s="2407" t="s">
        <v>1593</v>
      </c>
      <c r="C12" s="2408">
        <v>56</v>
      </c>
      <c r="D12" s="2408">
        <v>7</v>
      </c>
      <c r="E12" s="2408"/>
      <c r="F12" s="2408"/>
      <c r="G12" s="2408">
        <v>600</v>
      </c>
      <c r="H12" s="2408"/>
      <c r="I12" s="2409">
        <v>174157.3</v>
      </c>
      <c r="J12" s="2409">
        <v>173878.1</v>
      </c>
      <c r="K12" s="2357"/>
    </row>
    <row r="13" spans="2:11" ht="26" x14ac:dyDescent="0.2">
      <c r="B13" s="2208" t="s">
        <v>764</v>
      </c>
      <c r="C13" s="2206"/>
      <c r="D13" s="2206"/>
      <c r="E13" s="2206"/>
      <c r="F13" s="2206"/>
      <c r="G13" s="2206">
        <v>611</v>
      </c>
      <c r="H13" s="2206">
        <v>241</v>
      </c>
      <c r="I13" s="2412">
        <v>174157.3</v>
      </c>
      <c r="J13" s="2412">
        <v>173878.1</v>
      </c>
      <c r="K13" s="2357"/>
    </row>
    <row r="14" spans="2:11" ht="15" hidden="1" x14ac:dyDescent="0.2">
      <c r="B14" s="2219" t="s">
        <v>78</v>
      </c>
      <c r="C14" s="2220">
        <v>56</v>
      </c>
      <c r="D14" s="2220">
        <v>7</v>
      </c>
      <c r="E14" s="2220"/>
      <c r="F14" s="2220"/>
      <c r="G14" s="2220"/>
      <c r="H14" s="2220">
        <v>211</v>
      </c>
      <c r="I14" s="2413">
        <v>123426.4</v>
      </c>
      <c r="J14" s="2413">
        <v>123349.4</v>
      </c>
      <c r="K14" s="2357"/>
    </row>
    <row r="15" spans="2:11" ht="15" hidden="1" x14ac:dyDescent="0.2">
      <c r="B15" s="2219" t="s">
        <v>83</v>
      </c>
      <c r="C15" s="2220">
        <v>56</v>
      </c>
      <c r="D15" s="2220">
        <v>7</v>
      </c>
      <c r="E15" s="2220"/>
      <c r="F15" s="2220"/>
      <c r="G15" s="2220"/>
      <c r="H15" s="2220">
        <v>212</v>
      </c>
      <c r="I15" s="2414">
        <v>7.4</v>
      </c>
      <c r="J15" s="2414">
        <v>2.4</v>
      </c>
      <c r="K15" s="2357"/>
    </row>
    <row r="16" spans="2:11" ht="15" hidden="1" x14ac:dyDescent="0.2">
      <c r="B16" s="2219" t="s">
        <v>84</v>
      </c>
      <c r="C16" s="2220">
        <v>56</v>
      </c>
      <c r="D16" s="2220">
        <v>7</v>
      </c>
      <c r="E16" s="2220"/>
      <c r="F16" s="2220"/>
      <c r="G16" s="2220"/>
      <c r="H16" s="2220">
        <v>213</v>
      </c>
      <c r="I16" s="2413">
        <v>35945</v>
      </c>
      <c r="J16" s="2413">
        <v>35922</v>
      </c>
      <c r="K16" s="2357"/>
    </row>
    <row r="17" spans="2:11" ht="15" hidden="1" x14ac:dyDescent="0.2">
      <c r="B17" s="2219" t="s">
        <v>85</v>
      </c>
      <c r="C17" s="2220">
        <v>56</v>
      </c>
      <c r="D17" s="2220">
        <v>7</v>
      </c>
      <c r="E17" s="2220"/>
      <c r="F17" s="2220"/>
      <c r="G17" s="2220"/>
      <c r="H17" s="2220">
        <v>221</v>
      </c>
      <c r="I17" s="2414">
        <v>146.19999999999999</v>
      </c>
      <c r="J17" s="2414">
        <v>115.15</v>
      </c>
      <c r="K17" s="2357"/>
    </row>
    <row r="18" spans="2:11" ht="15" hidden="1" x14ac:dyDescent="0.2">
      <c r="B18" s="2219" t="s">
        <v>86</v>
      </c>
      <c r="C18" s="2220">
        <v>56</v>
      </c>
      <c r="D18" s="2220">
        <v>7</v>
      </c>
      <c r="E18" s="2220"/>
      <c r="F18" s="2220"/>
      <c r="G18" s="2220"/>
      <c r="H18" s="2220">
        <v>222</v>
      </c>
      <c r="I18" s="2414">
        <v>40</v>
      </c>
      <c r="J18" s="2414">
        <v>36</v>
      </c>
      <c r="K18" s="2357"/>
    </row>
    <row r="19" spans="2:11" ht="15" hidden="1" x14ac:dyDescent="0.2">
      <c r="B19" s="2219" t="s">
        <v>87</v>
      </c>
      <c r="C19" s="2220">
        <v>56</v>
      </c>
      <c r="D19" s="2220">
        <v>7</v>
      </c>
      <c r="E19" s="2220"/>
      <c r="F19" s="2220"/>
      <c r="G19" s="2220"/>
      <c r="H19" s="2220">
        <v>223</v>
      </c>
      <c r="I19" s="2413">
        <v>2179</v>
      </c>
      <c r="J19" s="2413">
        <v>1946.8</v>
      </c>
      <c r="K19" s="2357"/>
    </row>
    <row r="20" spans="2:11" ht="15" hidden="1" x14ac:dyDescent="0.2">
      <c r="B20" s="2219" t="s">
        <v>111</v>
      </c>
      <c r="C20" s="2220">
        <v>56</v>
      </c>
      <c r="D20" s="2220">
        <v>7</v>
      </c>
      <c r="E20" s="2220"/>
      <c r="F20" s="2220"/>
      <c r="G20" s="2220"/>
      <c r="H20" s="2220">
        <v>224</v>
      </c>
      <c r="I20" s="2414">
        <v>6</v>
      </c>
      <c r="J20" s="2414">
        <v>5.4</v>
      </c>
      <c r="K20" s="2357"/>
    </row>
    <row r="21" spans="2:11" ht="15" hidden="1" x14ac:dyDescent="0.2">
      <c r="B21" s="2219" t="s">
        <v>90</v>
      </c>
      <c r="C21" s="2220">
        <v>56</v>
      </c>
      <c r="D21" s="2220">
        <v>7</v>
      </c>
      <c r="E21" s="2220"/>
      <c r="F21" s="2220"/>
      <c r="G21" s="2220"/>
      <c r="H21" s="2220">
        <v>225</v>
      </c>
      <c r="I21" s="2414">
        <v>200.6</v>
      </c>
      <c r="J21" s="2414">
        <v>145.69999999999999</v>
      </c>
      <c r="K21" s="2357"/>
    </row>
    <row r="22" spans="2:11" ht="15" hidden="1" x14ac:dyDescent="0.2">
      <c r="B22" s="2219" t="s">
        <v>91</v>
      </c>
      <c r="C22" s="2220">
        <v>56</v>
      </c>
      <c r="D22" s="2220">
        <v>7</v>
      </c>
      <c r="E22" s="2220"/>
      <c r="F22" s="2220"/>
      <c r="G22" s="2220"/>
      <c r="H22" s="2220">
        <v>226</v>
      </c>
      <c r="I22" s="2413">
        <v>2641</v>
      </c>
      <c r="J22" s="2413">
        <v>3015.7</v>
      </c>
      <c r="K22" s="2357"/>
    </row>
    <row r="23" spans="2:11" ht="15" hidden="1" x14ac:dyDescent="0.2">
      <c r="B23" s="2219" t="s">
        <v>94</v>
      </c>
      <c r="C23" s="2220">
        <v>56</v>
      </c>
      <c r="D23" s="2220">
        <v>7</v>
      </c>
      <c r="E23" s="2220"/>
      <c r="F23" s="2220"/>
      <c r="G23" s="2220"/>
      <c r="H23" s="2220">
        <v>290</v>
      </c>
      <c r="I23" s="2413">
        <v>2667.9</v>
      </c>
      <c r="J23" s="2413">
        <v>2440.15</v>
      </c>
      <c r="K23" s="2357"/>
    </row>
    <row r="24" spans="2:11" ht="15" hidden="1" x14ac:dyDescent="0.2">
      <c r="B24" s="2219" t="s">
        <v>94</v>
      </c>
      <c r="C24" s="2220">
        <v>56</v>
      </c>
      <c r="D24" s="2220">
        <v>7</v>
      </c>
      <c r="E24" s="2220"/>
      <c r="F24" s="2220"/>
      <c r="G24" s="2220"/>
      <c r="H24" s="2220">
        <v>290</v>
      </c>
      <c r="I24" s="2413">
        <v>6027.3</v>
      </c>
      <c r="J24" s="2413">
        <v>6027.3</v>
      </c>
      <c r="K24" s="2357"/>
    </row>
    <row r="25" spans="2:11" ht="15" hidden="1" x14ac:dyDescent="0.2">
      <c r="B25" s="2219" t="s">
        <v>96</v>
      </c>
      <c r="C25" s="2220">
        <v>56</v>
      </c>
      <c r="D25" s="2220">
        <v>7</v>
      </c>
      <c r="E25" s="2220"/>
      <c r="F25" s="2220"/>
      <c r="G25" s="2220"/>
      <c r="H25" s="2220">
        <v>310</v>
      </c>
      <c r="I25" s="2414">
        <v>125.5</v>
      </c>
      <c r="J25" s="2414">
        <v>75.5</v>
      </c>
      <c r="K25" s="2357"/>
    </row>
    <row r="26" spans="2:11" ht="15" hidden="1" x14ac:dyDescent="0.2">
      <c r="B26" s="2219" t="s">
        <v>97</v>
      </c>
      <c r="C26" s="2220">
        <v>56</v>
      </c>
      <c r="D26" s="2220">
        <v>7</v>
      </c>
      <c r="E26" s="2220"/>
      <c r="F26" s="2220"/>
      <c r="G26" s="2220"/>
      <c r="H26" s="2220">
        <v>340</v>
      </c>
      <c r="I26" s="2414">
        <v>745</v>
      </c>
      <c r="J26" s="2414">
        <v>796.6</v>
      </c>
      <c r="K26" s="2357"/>
    </row>
    <row r="27" spans="2:11" ht="15" x14ac:dyDescent="0.2">
      <c r="B27" s="2208" t="s">
        <v>767</v>
      </c>
      <c r="C27" s="2206">
        <v>56</v>
      </c>
      <c r="D27" s="2206">
        <v>7</v>
      </c>
      <c r="E27" s="2206"/>
      <c r="F27" s="2206"/>
      <c r="G27" s="2206">
        <v>612</v>
      </c>
      <c r="H27" s="2206">
        <v>241</v>
      </c>
      <c r="I27" s="2415">
        <v>0</v>
      </c>
      <c r="J27" s="2415">
        <v>0</v>
      </c>
      <c r="K27" s="2357"/>
    </row>
    <row r="28" spans="2:11" ht="16" thickBot="1" x14ac:dyDescent="0.25">
      <c r="B28" s="2527" t="s">
        <v>1126</v>
      </c>
      <c r="C28" s="2528">
        <v>56</v>
      </c>
      <c r="D28" s="2528">
        <v>7</v>
      </c>
      <c r="E28" s="2528">
        <v>2</v>
      </c>
      <c r="F28" s="2528"/>
      <c r="G28" s="2528"/>
      <c r="H28" s="2528"/>
      <c r="I28" s="2529">
        <v>40251</v>
      </c>
      <c r="J28" s="2529">
        <v>40464.6</v>
      </c>
      <c r="K28" s="2357"/>
    </row>
    <row r="29" spans="2:11" ht="68" x14ac:dyDescent="0.15">
      <c r="B29" s="2535" t="s">
        <v>1861</v>
      </c>
      <c r="C29" s="2536">
        <v>56</v>
      </c>
      <c r="D29" s="2536">
        <v>7</v>
      </c>
      <c r="E29" s="2536">
        <v>2</v>
      </c>
      <c r="F29" s="2536" t="s">
        <v>1344</v>
      </c>
      <c r="G29" s="2537"/>
      <c r="H29" s="2537"/>
      <c r="I29" s="2538">
        <v>40251</v>
      </c>
      <c r="J29" s="2539">
        <v>40464.6</v>
      </c>
      <c r="K29" s="2508">
        <f>'2015'!J11</f>
        <v>40464.6</v>
      </c>
    </row>
    <row r="30" spans="2:11" ht="15" x14ac:dyDescent="0.2">
      <c r="B30" s="2540" t="s">
        <v>1125</v>
      </c>
      <c r="C30" s="2419">
        <v>56</v>
      </c>
      <c r="D30" s="2419">
        <v>7</v>
      </c>
      <c r="E30" s="2419">
        <v>2</v>
      </c>
      <c r="F30" s="2444" t="s">
        <v>1344</v>
      </c>
      <c r="G30" s="2419">
        <v>600</v>
      </c>
      <c r="H30" s="2420"/>
      <c r="I30" s="2421">
        <v>40251</v>
      </c>
      <c r="J30" s="2541">
        <v>40464.6</v>
      </c>
      <c r="K30" s="2357"/>
    </row>
    <row r="31" spans="2:11" ht="26" x14ac:dyDescent="0.2">
      <c r="B31" s="2542" t="s">
        <v>764</v>
      </c>
      <c r="C31" s="2442">
        <v>56</v>
      </c>
      <c r="D31" s="2442">
        <v>7</v>
      </c>
      <c r="E31" s="2442">
        <v>2</v>
      </c>
      <c r="F31" s="2444" t="s">
        <v>1344</v>
      </c>
      <c r="G31" s="2442">
        <v>611</v>
      </c>
      <c r="H31" s="2442">
        <v>241</v>
      </c>
      <c r="I31" s="2412">
        <v>40251</v>
      </c>
      <c r="J31" s="2543">
        <v>40464.6</v>
      </c>
      <c r="K31" s="2357"/>
    </row>
    <row r="32" spans="2:11" ht="15" hidden="1" x14ac:dyDescent="0.2">
      <c r="B32" s="2544" t="s">
        <v>78</v>
      </c>
      <c r="C32" s="2444">
        <v>56</v>
      </c>
      <c r="D32" s="2444">
        <v>7</v>
      </c>
      <c r="E32" s="2444">
        <v>2</v>
      </c>
      <c r="F32" s="2444" t="s">
        <v>1344</v>
      </c>
      <c r="G32" s="2444"/>
      <c r="H32" s="2444">
        <v>211</v>
      </c>
      <c r="I32" s="2413">
        <v>28280.3</v>
      </c>
      <c r="J32" s="2545">
        <v>28203.3</v>
      </c>
      <c r="K32" s="2357"/>
    </row>
    <row r="33" spans="2:11" ht="15" hidden="1" x14ac:dyDescent="0.2">
      <c r="B33" s="2544" t="s">
        <v>103</v>
      </c>
      <c r="C33" s="2444">
        <v>56</v>
      </c>
      <c r="D33" s="2444">
        <v>7</v>
      </c>
      <c r="E33" s="2444">
        <v>2</v>
      </c>
      <c r="F33" s="2444" t="s">
        <v>1344</v>
      </c>
      <c r="G33" s="2444"/>
      <c r="H33" s="2444">
        <v>212</v>
      </c>
      <c r="I33" s="2445">
        <v>2.4</v>
      </c>
      <c r="J33" s="2546">
        <v>2.4</v>
      </c>
      <c r="K33" s="2357"/>
    </row>
    <row r="34" spans="2:11" ht="15" hidden="1" x14ac:dyDescent="0.2">
      <c r="B34" s="2544" t="s">
        <v>84</v>
      </c>
      <c r="C34" s="2444">
        <v>56</v>
      </c>
      <c r="D34" s="2444">
        <v>7</v>
      </c>
      <c r="E34" s="2444">
        <v>2</v>
      </c>
      <c r="F34" s="2444" t="s">
        <v>1344</v>
      </c>
      <c r="G34" s="2444"/>
      <c r="H34" s="2444">
        <v>213</v>
      </c>
      <c r="I34" s="2413">
        <v>8271.4</v>
      </c>
      <c r="J34" s="2545">
        <v>8248.4</v>
      </c>
      <c r="K34" s="2357"/>
    </row>
    <row r="35" spans="2:11" ht="15" hidden="1" x14ac:dyDescent="0.2">
      <c r="B35" s="2544" t="s">
        <v>85</v>
      </c>
      <c r="C35" s="2444">
        <v>56</v>
      </c>
      <c r="D35" s="2444">
        <v>7</v>
      </c>
      <c r="E35" s="2444">
        <v>2</v>
      </c>
      <c r="F35" s="2444" t="s">
        <v>1344</v>
      </c>
      <c r="G35" s="2444"/>
      <c r="H35" s="2444">
        <v>221</v>
      </c>
      <c r="I35" s="2445">
        <v>28.2</v>
      </c>
      <c r="J35" s="2546">
        <v>13.05</v>
      </c>
      <c r="K35" s="2357"/>
    </row>
    <row r="36" spans="2:11" ht="15" hidden="1" x14ac:dyDescent="0.2">
      <c r="B36" s="2544" t="s">
        <v>86</v>
      </c>
      <c r="C36" s="2444">
        <v>56</v>
      </c>
      <c r="D36" s="2444">
        <v>7</v>
      </c>
      <c r="E36" s="2444">
        <v>2</v>
      </c>
      <c r="F36" s="2444" t="s">
        <v>1344</v>
      </c>
      <c r="G36" s="2444"/>
      <c r="H36" s="2444">
        <v>222</v>
      </c>
      <c r="I36" s="2445">
        <v>20</v>
      </c>
      <c r="J36" s="2546">
        <v>18</v>
      </c>
      <c r="K36" s="2357"/>
    </row>
    <row r="37" spans="2:11" ht="15" hidden="1" x14ac:dyDescent="0.2">
      <c r="B37" s="2544" t="s">
        <v>87</v>
      </c>
      <c r="C37" s="2444">
        <v>56</v>
      </c>
      <c r="D37" s="2444">
        <v>7</v>
      </c>
      <c r="E37" s="2444">
        <v>2</v>
      </c>
      <c r="F37" s="2444" t="s">
        <v>1344</v>
      </c>
      <c r="G37" s="2444"/>
      <c r="H37" s="2444">
        <v>223</v>
      </c>
      <c r="I37" s="2445">
        <v>791.4</v>
      </c>
      <c r="J37" s="2546">
        <v>698</v>
      </c>
      <c r="K37" s="2357"/>
    </row>
    <row r="38" spans="2:11" ht="15" hidden="1" x14ac:dyDescent="0.2">
      <c r="B38" s="2544" t="s">
        <v>89</v>
      </c>
      <c r="C38" s="2444">
        <v>56</v>
      </c>
      <c r="D38" s="2444">
        <v>7</v>
      </c>
      <c r="E38" s="2444">
        <v>2</v>
      </c>
      <c r="F38" s="2444" t="s">
        <v>1344</v>
      </c>
      <c r="G38" s="2444"/>
      <c r="H38" s="2444">
        <v>224</v>
      </c>
      <c r="I38" s="2445">
        <v>0</v>
      </c>
      <c r="J38" s="2546">
        <v>0</v>
      </c>
      <c r="K38" s="2357"/>
    </row>
    <row r="39" spans="2:11" ht="15" hidden="1" x14ac:dyDescent="0.2">
      <c r="B39" s="2544" t="s">
        <v>90</v>
      </c>
      <c r="C39" s="2444">
        <v>56</v>
      </c>
      <c r="D39" s="2444">
        <v>7</v>
      </c>
      <c r="E39" s="2444">
        <v>2</v>
      </c>
      <c r="F39" s="2444" t="s">
        <v>1344</v>
      </c>
      <c r="G39" s="2444"/>
      <c r="H39" s="2444">
        <v>225</v>
      </c>
      <c r="I39" s="2445">
        <v>117.2</v>
      </c>
      <c r="J39" s="2546">
        <v>117.2</v>
      </c>
      <c r="K39" s="2357"/>
    </row>
    <row r="40" spans="2:11" ht="15" hidden="1" x14ac:dyDescent="0.2">
      <c r="B40" s="2544" t="s">
        <v>91</v>
      </c>
      <c r="C40" s="2444">
        <v>56</v>
      </c>
      <c r="D40" s="2444">
        <v>7</v>
      </c>
      <c r="E40" s="2444">
        <v>2</v>
      </c>
      <c r="F40" s="2444" t="s">
        <v>1344</v>
      </c>
      <c r="G40" s="2444"/>
      <c r="H40" s="2444">
        <v>226</v>
      </c>
      <c r="I40" s="2445">
        <v>617.20000000000005</v>
      </c>
      <c r="J40" s="2545">
        <v>1289.0999999999999</v>
      </c>
      <c r="K40" s="2357"/>
    </row>
    <row r="41" spans="2:11" ht="15" hidden="1" x14ac:dyDescent="0.2">
      <c r="B41" s="2544" t="s">
        <v>223</v>
      </c>
      <c r="C41" s="2444">
        <v>56</v>
      </c>
      <c r="D41" s="2444">
        <v>7</v>
      </c>
      <c r="E41" s="2444">
        <v>2</v>
      </c>
      <c r="F41" s="2444" t="s">
        <v>1344</v>
      </c>
      <c r="G41" s="2444"/>
      <c r="H41" s="2444">
        <v>290</v>
      </c>
      <c r="I41" s="2413">
        <v>1902.9</v>
      </c>
      <c r="J41" s="2545">
        <v>1675.15</v>
      </c>
      <c r="K41" s="2357"/>
    </row>
    <row r="42" spans="2:11" ht="15" hidden="1" x14ac:dyDescent="0.2">
      <c r="B42" s="2544" t="s">
        <v>94</v>
      </c>
      <c r="C42" s="2444">
        <v>56</v>
      </c>
      <c r="D42" s="2444">
        <v>7</v>
      </c>
      <c r="E42" s="2444">
        <v>2</v>
      </c>
      <c r="F42" s="2444" t="s">
        <v>1344</v>
      </c>
      <c r="G42" s="2444"/>
      <c r="H42" s="2444">
        <v>290</v>
      </c>
      <c r="I42" s="2445">
        <v>0</v>
      </c>
      <c r="J42" s="2546">
        <v>0</v>
      </c>
      <c r="K42" s="2357"/>
    </row>
    <row r="43" spans="2:11" ht="15" hidden="1" x14ac:dyDescent="0.2">
      <c r="B43" s="2544" t="s">
        <v>104</v>
      </c>
      <c r="C43" s="2444">
        <v>56</v>
      </c>
      <c r="D43" s="2444">
        <v>7</v>
      </c>
      <c r="E43" s="2444">
        <v>2</v>
      </c>
      <c r="F43" s="2444" t="s">
        <v>1344</v>
      </c>
      <c r="G43" s="2444"/>
      <c r="H43" s="2444">
        <v>310</v>
      </c>
      <c r="I43" s="2445">
        <v>100</v>
      </c>
      <c r="J43" s="2546">
        <v>50</v>
      </c>
      <c r="K43" s="2357"/>
    </row>
    <row r="44" spans="2:11" ht="15" hidden="1" x14ac:dyDescent="0.2">
      <c r="B44" s="2544" t="s">
        <v>97</v>
      </c>
      <c r="C44" s="2444">
        <v>56</v>
      </c>
      <c r="D44" s="2444">
        <v>7</v>
      </c>
      <c r="E44" s="2444">
        <v>2</v>
      </c>
      <c r="F44" s="2444" t="s">
        <v>1344</v>
      </c>
      <c r="G44" s="2444"/>
      <c r="H44" s="2444">
        <v>340</v>
      </c>
      <c r="I44" s="2445">
        <v>120</v>
      </c>
      <c r="J44" s="2546">
        <v>150</v>
      </c>
      <c r="K44" s="2357"/>
    </row>
    <row r="45" spans="2:11" ht="14.25" customHeight="1" thickBot="1" x14ac:dyDescent="0.25">
      <c r="B45" s="2547" t="s">
        <v>767</v>
      </c>
      <c r="C45" s="2548">
        <v>56</v>
      </c>
      <c r="D45" s="2548">
        <v>7</v>
      </c>
      <c r="E45" s="2548">
        <v>2</v>
      </c>
      <c r="F45" s="2549" t="s">
        <v>1344</v>
      </c>
      <c r="G45" s="2548">
        <v>612</v>
      </c>
      <c r="H45" s="2548">
        <v>241</v>
      </c>
      <c r="I45" s="2550">
        <v>0</v>
      </c>
      <c r="J45" s="2551">
        <v>0</v>
      </c>
      <c r="K45" s="2357"/>
    </row>
    <row r="46" spans="2:11" ht="39" hidden="1" x14ac:dyDescent="0.2">
      <c r="B46" s="2530" t="s">
        <v>1127</v>
      </c>
      <c r="C46" s="2531">
        <v>56</v>
      </c>
      <c r="D46" s="2531">
        <v>7</v>
      </c>
      <c r="E46" s="2531">
        <v>2</v>
      </c>
      <c r="F46" s="2532" t="s">
        <v>1344</v>
      </c>
      <c r="G46" s="2533">
        <v>600</v>
      </c>
      <c r="H46" s="2530"/>
      <c r="I46" s="2534">
        <v>7675.3</v>
      </c>
      <c r="J46" s="2534">
        <v>7596.75</v>
      </c>
      <c r="K46" s="2357"/>
    </row>
    <row r="47" spans="2:11" ht="26" hidden="1" x14ac:dyDescent="0.2">
      <c r="B47" s="2208" t="s">
        <v>764</v>
      </c>
      <c r="C47" s="2206">
        <v>56</v>
      </c>
      <c r="D47" s="2206">
        <v>7</v>
      </c>
      <c r="E47" s="2206">
        <v>2</v>
      </c>
      <c r="F47" s="2220" t="s">
        <v>1344</v>
      </c>
      <c r="G47" s="2206">
        <v>611</v>
      </c>
      <c r="H47" s="2206">
        <v>241</v>
      </c>
      <c r="I47" s="2412">
        <v>7675.3</v>
      </c>
      <c r="J47" s="2412">
        <v>7596.75</v>
      </c>
      <c r="K47" s="2357"/>
    </row>
    <row r="48" spans="2:11" ht="15" hidden="1" x14ac:dyDescent="0.2">
      <c r="B48" s="2219" t="s">
        <v>78</v>
      </c>
      <c r="C48" s="2220">
        <v>56</v>
      </c>
      <c r="D48" s="2220">
        <v>7</v>
      </c>
      <c r="E48" s="2220">
        <v>2</v>
      </c>
      <c r="F48" s="2220" t="s">
        <v>1344</v>
      </c>
      <c r="G48" s="2220"/>
      <c r="H48" s="2220">
        <v>211</v>
      </c>
      <c r="I48" s="1249">
        <v>5603.9</v>
      </c>
      <c r="J48" s="2413">
        <v>5603.9</v>
      </c>
      <c r="K48" s="2357"/>
    </row>
    <row r="49" spans="2:11" ht="15" hidden="1" x14ac:dyDescent="0.2">
      <c r="B49" s="2219" t="s">
        <v>103</v>
      </c>
      <c r="C49" s="2220">
        <v>56</v>
      </c>
      <c r="D49" s="2220">
        <v>7</v>
      </c>
      <c r="E49" s="2220">
        <v>2</v>
      </c>
      <c r="F49" s="2220" t="s">
        <v>1344</v>
      </c>
      <c r="G49" s="2220"/>
      <c r="H49" s="2220">
        <v>212</v>
      </c>
      <c r="I49" s="2356"/>
      <c r="J49" s="2414"/>
      <c r="K49" s="2357"/>
    </row>
    <row r="50" spans="2:11" ht="15" hidden="1" x14ac:dyDescent="0.2">
      <c r="B50" s="2219" t="s">
        <v>84</v>
      </c>
      <c r="C50" s="2220">
        <v>56</v>
      </c>
      <c r="D50" s="2220">
        <v>7</v>
      </c>
      <c r="E50" s="2220">
        <v>2</v>
      </c>
      <c r="F50" s="2220" t="s">
        <v>1344</v>
      </c>
      <c r="G50" s="2220"/>
      <c r="H50" s="2220">
        <v>213</v>
      </c>
      <c r="I50" s="1249">
        <v>1632.9</v>
      </c>
      <c r="J50" s="2413">
        <v>1632.9</v>
      </c>
      <c r="K50" s="2357"/>
    </row>
    <row r="51" spans="2:11" ht="15" hidden="1" x14ac:dyDescent="0.2">
      <c r="B51" s="2219" t="s">
        <v>85</v>
      </c>
      <c r="C51" s="2220">
        <v>56</v>
      </c>
      <c r="D51" s="2220">
        <v>7</v>
      </c>
      <c r="E51" s="2220">
        <v>2</v>
      </c>
      <c r="F51" s="2220" t="s">
        <v>1344</v>
      </c>
      <c r="G51" s="2220"/>
      <c r="H51" s="2220">
        <v>221</v>
      </c>
      <c r="I51" s="2356">
        <v>13.7</v>
      </c>
      <c r="J51" s="2414">
        <v>0</v>
      </c>
      <c r="K51" s="2357"/>
    </row>
    <row r="52" spans="2:11" ht="15" hidden="1" x14ac:dyDescent="0.2">
      <c r="B52" s="2219" t="s">
        <v>86</v>
      </c>
      <c r="C52" s="2220">
        <v>56</v>
      </c>
      <c r="D52" s="2220">
        <v>7</v>
      </c>
      <c r="E52" s="2220">
        <v>2</v>
      </c>
      <c r="F52" s="2220" t="s">
        <v>1344</v>
      </c>
      <c r="G52" s="2220"/>
      <c r="H52" s="2220">
        <v>222</v>
      </c>
      <c r="I52" s="2356"/>
      <c r="J52" s="2414"/>
      <c r="K52" s="2357"/>
    </row>
    <row r="53" spans="2:11" ht="15" hidden="1" x14ac:dyDescent="0.2">
      <c r="B53" s="2219" t="s">
        <v>87</v>
      </c>
      <c r="C53" s="2220">
        <v>56</v>
      </c>
      <c r="D53" s="2220">
        <v>7</v>
      </c>
      <c r="E53" s="2220">
        <v>2</v>
      </c>
      <c r="F53" s="2220" t="s">
        <v>1344</v>
      </c>
      <c r="G53" s="2220"/>
      <c r="H53" s="2220">
        <v>223</v>
      </c>
      <c r="I53" s="2356">
        <v>228.6</v>
      </c>
      <c r="J53" s="2414">
        <v>191.5</v>
      </c>
      <c r="K53" s="2357"/>
    </row>
    <row r="54" spans="2:11" ht="15" hidden="1" x14ac:dyDescent="0.2">
      <c r="B54" s="2219" t="s">
        <v>89</v>
      </c>
      <c r="C54" s="2220">
        <v>56</v>
      </c>
      <c r="D54" s="2220">
        <v>7</v>
      </c>
      <c r="E54" s="2220">
        <v>2</v>
      </c>
      <c r="F54" s="2220" t="s">
        <v>1344</v>
      </c>
      <c r="G54" s="2220"/>
      <c r="H54" s="2220">
        <v>224</v>
      </c>
      <c r="I54" s="2356"/>
      <c r="J54" s="2414"/>
      <c r="K54" s="2357"/>
    </row>
    <row r="55" spans="2:11" ht="15" hidden="1" x14ac:dyDescent="0.2">
      <c r="B55" s="2219" t="s">
        <v>90</v>
      </c>
      <c r="C55" s="2220">
        <v>56</v>
      </c>
      <c r="D55" s="2220">
        <v>7</v>
      </c>
      <c r="E55" s="2220">
        <v>2</v>
      </c>
      <c r="F55" s="2220" t="s">
        <v>1344</v>
      </c>
      <c r="G55" s="2220"/>
      <c r="H55" s="2220">
        <v>225</v>
      </c>
      <c r="I55" s="2356"/>
      <c r="J55" s="2414"/>
      <c r="K55" s="2357"/>
    </row>
    <row r="56" spans="2:11" ht="15" hidden="1" x14ac:dyDescent="0.2">
      <c r="B56" s="2219" t="s">
        <v>91</v>
      </c>
      <c r="C56" s="2220">
        <v>56</v>
      </c>
      <c r="D56" s="2220">
        <v>7</v>
      </c>
      <c r="E56" s="2220">
        <v>2</v>
      </c>
      <c r="F56" s="2220" t="s">
        <v>1344</v>
      </c>
      <c r="G56" s="2220"/>
      <c r="H56" s="2220">
        <v>226</v>
      </c>
      <c r="I56" s="2356">
        <v>3</v>
      </c>
      <c r="J56" s="2414">
        <v>3</v>
      </c>
      <c r="K56" s="2357"/>
    </row>
    <row r="57" spans="2:11" ht="15" hidden="1" x14ac:dyDescent="0.2">
      <c r="B57" s="2219" t="s">
        <v>220</v>
      </c>
      <c r="C57" s="2220">
        <v>56</v>
      </c>
      <c r="D57" s="2220">
        <v>7</v>
      </c>
      <c r="E57" s="2220">
        <v>2</v>
      </c>
      <c r="F57" s="2220" t="s">
        <v>1344</v>
      </c>
      <c r="G57" s="2220"/>
      <c r="H57" s="2220">
        <v>290</v>
      </c>
      <c r="I57" s="2356">
        <v>93.2</v>
      </c>
      <c r="J57" s="2414">
        <v>65.45</v>
      </c>
      <c r="K57" s="2357"/>
    </row>
    <row r="58" spans="2:11" ht="15" hidden="1" x14ac:dyDescent="0.2">
      <c r="B58" s="2219" t="s">
        <v>220</v>
      </c>
      <c r="C58" s="2220">
        <v>56</v>
      </c>
      <c r="D58" s="2220">
        <v>7</v>
      </c>
      <c r="E58" s="2220">
        <v>2</v>
      </c>
      <c r="F58" s="2220" t="s">
        <v>1344</v>
      </c>
      <c r="G58" s="2220"/>
      <c r="H58" s="2220">
        <v>290</v>
      </c>
      <c r="I58" s="2356"/>
      <c r="J58" s="2414"/>
      <c r="K58" s="2357"/>
    </row>
    <row r="59" spans="2:11" ht="15" hidden="1" x14ac:dyDescent="0.2">
      <c r="B59" s="2219" t="s">
        <v>104</v>
      </c>
      <c r="C59" s="2220">
        <v>56</v>
      </c>
      <c r="D59" s="2220">
        <v>7</v>
      </c>
      <c r="E59" s="2220">
        <v>2</v>
      </c>
      <c r="F59" s="2220" t="s">
        <v>1344</v>
      </c>
      <c r="G59" s="2220"/>
      <c r="H59" s="2220">
        <v>310</v>
      </c>
      <c r="I59" s="2356">
        <v>50</v>
      </c>
      <c r="J59" s="2414">
        <v>50</v>
      </c>
      <c r="K59" s="2357"/>
    </row>
    <row r="60" spans="2:11" ht="15" hidden="1" x14ac:dyDescent="0.2">
      <c r="B60" s="2219" t="s">
        <v>97</v>
      </c>
      <c r="C60" s="2220">
        <v>56</v>
      </c>
      <c r="D60" s="2220">
        <v>7</v>
      </c>
      <c r="E60" s="2220">
        <v>2</v>
      </c>
      <c r="F60" s="2220" t="s">
        <v>1344</v>
      </c>
      <c r="G60" s="2220"/>
      <c r="H60" s="2220">
        <v>340</v>
      </c>
      <c r="I60" s="2356">
        <v>50</v>
      </c>
      <c r="J60" s="2414">
        <v>50</v>
      </c>
      <c r="K60" s="2357"/>
    </row>
    <row r="61" spans="2:11" ht="15" hidden="1" x14ac:dyDescent="0.2">
      <c r="B61" s="2208" t="s">
        <v>767</v>
      </c>
      <c r="C61" s="2206">
        <v>56</v>
      </c>
      <c r="D61" s="2206">
        <v>7</v>
      </c>
      <c r="E61" s="2206">
        <v>2</v>
      </c>
      <c r="F61" s="2220" t="s">
        <v>1344</v>
      </c>
      <c r="G61" s="2206">
        <v>612</v>
      </c>
      <c r="H61" s="2206">
        <v>241</v>
      </c>
      <c r="I61" s="1252">
        <v>0</v>
      </c>
      <c r="J61" s="2425">
        <v>0</v>
      </c>
      <c r="K61" s="2357"/>
    </row>
    <row r="62" spans="2:11" ht="39" hidden="1" x14ac:dyDescent="0.2">
      <c r="B62" s="2422" t="s">
        <v>1128</v>
      </c>
      <c r="C62" s="2420">
        <v>56</v>
      </c>
      <c r="D62" s="2420">
        <v>7</v>
      </c>
      <c r="E62" s="2420">
        <v>2</v>
      </c>
      <c r="F62" s="2220" t="s">
        <v>1344</v>
      </c>
      <c r="G62" s="2423">
        <v>600</v>
      </c>
      <c r="H62" s="2422"/>
      <c r="I62" s="2424">
        <v>5815.7</v>
      </c>
      <c r="J62" s="2424">
        <v>5795.7</v>
      </c>
      <c r="K62" s="2357"/>
    </row>
    <row r="63" spans="2:11" ht="26" hidden="1" x14ac:dyDescent="0.2">
      <c r="B63" s="2208" t="s">
        <v>764</v>
      </c>
      <c r="C63" s="2206">
        <v>56</v>
      </c>
      <c r="D63" s="2206">
        <v>7</v>
      </c>
      <c r="E63" s="2206">
        <v>2</v>
      </c>
      <c r="F63" s="2220" t="s">
        <v>1344</v>
      </c>
      <c r="G63" s="2426">
        <v>611</v>
      </c>
      <c r="H63" s="2426">
        <v>241</v>
      </c>
      <c r="I63" s="2412">
        <v>5815.7</v>
      </c>
      <c r="J63" s="2412">
        <v>5795.7</v>
      </c>
      <c r="K63" s="2357"/>
    </row>
    <row r="64" spans="2:11" ht="15" hidden="1" x14ac:dyDescent="0.2">
      <c r="B64" s="2219" t="s">
        <v>78</v>
      </c>
      <c r="C64" s="2220">
        <v>56</v>
      </c>
      <c r="D64" s="2220">
        <v>7</v>
      </c>
      <c r="E64" s="2220">
        <v>2</v>
      </c>
      <c r="F64" s="2220" t="s">
        <v>1344</v>
      </c>
      <c r="G64" s="2220"/>
      <c r="H64" s="2220">
        <v>211</v>
      </c>
      <c r="I64" s="1254">
        <v>4482.1000000000004</v>
      </c>
      <c r="J64" s="2427">
        <v>4482.1000000000004</v>
      </c>
      <c r="K64" s="2357"/>
    </row>
    <row r="65" spans="2:11" ht="15" hidden="1" x14ac:dyDescent="0.2">
      <c r="B65" s="2219" t="s">
        <v>103</v>
      </c>
      <c r="C65" s="2220">
        <v>56</v>
      </c>
      <c r="D65" s="2220">
        <v>7</v>
      </c>
      <c r="E65" s="2220">
        <v>2</v>
      </c>
      <c r="F65" s="2220" t="s">
        <v>1344</v>
      </c>
      <c r="G65" s="2220"/>
      <c r="H65" s="2220">
        <v>212</v>
      </c>
      <c r="I65" s="1255"/>
      <c r="J65" s="2428"/>
      <c r="K65" s="2357"/>
    </row>
    <row r="66" spans="2:11" ht="15" hidden="1" x14ac:dyDescent="0.2">
      <c r="B66" s="2219" t="s">
        <v>84</v>
      </c>
      <c r="C66" s="2220">
        <v>56</v>
      </c>
      <c r="D66" s="2220">
        <v>7</v>
      </c>
      <c r="E66" s="2220">
        <v>2</v>
      </c>
      <c r="F66" s="2220" t="s">
        <v>1344</v>
      </c>
      <c r="G66" s="2220"/>
      <c r="H66" s="2220">
        <v>213</v>
      </c>
      <c r="I66" s="1254">
        <v>1306.0999999999999</v>
      </c>
      <c r="J66" s="2427">
        <v>1306.0999999999999</v>
      </c>
      <c r="K66" s="2357"/>
    </row>
    <row r="67" spans="2:11" ht="15" hidden="1" x14ac:dyDescent="0.2">
      <c r="B67" s="2219" t="s">
        <v>85</v>
      </c>
      <c r="C67" s="2220">
        <v>56</v>
      </c>
      <c r="D67" s="2220">
        <v>7</v>
      </c>
      <c r="E67" s="2220">
        <v>2</v>
      </c>
      <c r="F67" s="2220" t="s">
        <v>1344</v>
      </c>
      <c r="G67" s="2220"/>
      <c r="H67" s="2220">
        <v>221</v>
      </c>
      <c r="I67" s="1255"/>
      <c r="J67" s="2428"/>
      <c r="K67" s="2357"/>
    </row>
    <row r="68" spans="2:11" ht="15" hidden="1" x14ac:dyDescent="0.2">
      <c r="B68" s="2219" t="s">
        <v>86</v>
      </c>
      <c r="C68" s="2220">
        <v>56</v>
      </c>
      <c r="D68" s="2220">
        <v>7</v>
      </c>
      <c r="E68" s="2220">
        <v>2</v>
      </c>
      <c r="F68" s="2220" t="s">
        <v>1344</v>
      </c>
      <c r="G68" s="2220"/>
      <c r="H68" s="2220">
        <v>222</v>
      </c>
      <c r="I68" s="1255"/>
      <c r="J68" s="2428"/>
      <c r="K68" s="2357"/>
    </row>
    <row r="69" spans="2:11" ht="15" hidden="1" x14ac:dyDescent="0.2">
      <c r="B69" s="2219" t="s">
        <v>87</v>
      </c>
      <c r="C69" s="2220">
        <v>56</v>
      </c>
      <c r="D69" s="2220">
        <v>7</v>
      </c>
      <c r="E69" s="2220">
        <v>2</v>
      </c>
      <c r="F69" s="2220" t="s">
        <v>1344</v>
      </c>
      <c r="G69" s="2220"/>
      <c r="H69" s="2220">
        <v>223</v>
      </c>
      <c r="I69" s="1255"/>
      <c r="J69" s="2428"/>
      <c r="K69" s="2357"/>
    </row>
    <row r="70" spans="2:11" ht="15" hidden="1" x14ac:dyDescent="0.2">
      <c r="B70" s="2219" t="s">
        <v>89</v>
      </c>
      <c r="C70" s="2220">
        <v>56</v>
      </c>
      <c r="D70" s="2220">
        <v>7</v>
      </c>
      <c r="E70" s="2220">
        <v>2</v>
      </c>
      <c r="F70" s="2220" t="s">
        <v>1344</v>
      </c>
      <c r="G70" s="2220"/>
      <c r="H70" s="2220">
        <v>224</v>
      </c>
      <c r="I70" s="1255"/>
      <c r="J70" s="2428"/>
      <c r="K70" s="2357"/>
    </row>
    <row r="71" spans="2:11" ht="15" hidden="1" x14ac:dyDescent="0.2">
      <c r="B71" s="2219" t="s">
        <v>90</v>
      </c>
      <c r="C71" s="2220">
        <v>56</v>
      </c>
      <c r="D71" s="2220">
        <v>7</v>
      </c>
      <c r="E71" s="2220">
        <v>2</v>
      </c>
      <c r="F71" s="2220" t="s">
        <v>1344</v>
      </c>
      <c r="G71" s="2220"/>
      <c r="H71" s="2220">
        <v>225</v>
      </c>
      <c r="I71" s="1255"/>
      <c r="J71" s="2428"/>
      <c r="K71" s="2357"/>
    </row>
    <row r="72" spans="2:11" ht="15" hidden="1" x14ac:dyDescent="0.2">
      <c r="B72" s="2219" t="s">
        <v>91</v>
      </c>
      <c r="C72" s="2220">
        <v>56</v>
      </c>
      <c r="D72" s="2220">
        <v>7</v>
      </c>
      <c r="E72" s="2220">
        <v>2</v>
      </c>
      <c r="F72" s="2220" t="s">
        <v>1344</v>
      </c>
      <c r="G72" s="2220"/>
      <c r="H72" s="2220">
        <v>226</v>
      </c>
      <c r="I72" s="1255"/>
      <c r="J72" s="2428"/>
      <c r="K72" s="2357"/>
    </row>
    <row r="73" spans="2:11" ht="15" hidden="1" x14ac:dyDescent="0.2">
      <c r="B73" s="2219" t="s">
        <v>94</v>
      </c>
      <c r="C73" s="2220">
        <v>56</v>
      </c>
      <c r="D73" s="2220">
        <v>7</v>
      </c>
      <c r="E73" s="2220">
        <v>2</v>
      </c>
      <c r="F73" s="2220" t="s">
        <v>1344</v>
      </c>
      <c r="G73" s="2220"/>
      <c r="H73" s="2220">
        <v>290</v>
      </c>
      <c r="I73" s="1255">
        <v>7.5</v>
      </c>
      <c r="J73" s="2428">
        <v>7.5</v>
      </c>
      <c r="K73" s="2357"/>
    </row>
    <row r="74" spans="2:11" ht="15" hidden="1" x14ac:dyDescent="0.2">
      <c r="B74" s="2219" t="s">
        <v>94</v>
      </c>
      <c r="C74" s="2220">
        <v>56</v>
      </c>
      <c r="D74" s="2220">
        <v>7</v>
      </c>
      <c r="E74" s="2220">
        <v>2</v>
      </c>
      <c r="F74" s="2220" t="s">
        <v>1344</v>
      </c>
      <c r="G74" s="2220"/>
      <c r="H74" s="2220">
        <v>290</v>
      </c>
      <c r="I74" s="1255"/>
      <c r="J74" s="2428"/>
      <c r="K74" s="2357"/>
    </row>
    <row r="75" spans="2:11" ht="15" hidden="1" x14ac:dyDescent="0.2">
      <c r="B75" s="2219" t="s">
        <v>104</v>
      </c>
      <c r="C75" s="2220">
        <v>56</v>
      </c>
      <c r="D75" s="2220">
        <v>7</v>
      </c>
      <c r="E75" s="2220">
        <v>2</v>
      </c>
      <c r="F75" s="2220" t="s">
        <v>1344</v>
      </c>
      <c r="G75" s="2220"/>
      <c r="H75" s="2220">
        <v>310</v>
      </c>
      <c r="I75" s="1255">
        <v>20</v>
      </c>
      <c r="J75" s="2428">
        <v>0</v>
      </c>
      <c r="K75" s="2357"/>
    </row>
    <row r="76" spans="2:11" ht="15" hidden="1" x14ac:dyDescent="0.2">
      <c r="B76" s="2219" t="s">
        <v>97</v>
      </c>
      <c r="C76" s="2220">
        <v>56</v>
      </c>
      <c r="D76" s="2220">
        <v>7</v>
      </c>
      <c r="E76" s="2220">
        <v>2</v>
      </c>
      <c r="F76" s="2220" t="s">
        <v>1344</v>
      </c>
      <c r="G76" s="2220"/>
      <c r="H76" s="2220">
        <v>340</v>
      </c>
      <c r="I76" s="1255"/>
      <c r="J76" s="2428"/>
      <c r="K76" s="2357"/>
    </row>
    <row r="77" spans="2:11" ht="15" hidden="1" x14ac:dyDescent="0.2">
      <c r="B77" s="2208" t="s">
        <v>767</v>
      </c>
      <c r="C77" s="2206">
        <v>56</v>
      </c>
      <c r="D77" s="2206">
        <v>7</v>
      </c>
      <c r="E77" s="2206">
        <v>2</v>
      </c>
      <c r="F77" s="2220" t="s">
        <v>1344</v>
      </c>
      <c r="G77" s="2206">
        <v>612</v>
      </c>
      <c r="H77" s="2206">
        <v>241</v>
      </c>
      <c r="I77" s="1252">
        <v>0</v>
      </c>
      <c r="J77" s="2425">
        <v>0</v>
      </c>
      <c r="K77" s="2357"/>
    </row>
    <row r="78" spans="2:11" ht="39" hidden="1" x14ac:dyDescent="0.2">
      <c r="B78" s="2422" t="s">
        <v>1129</v>
      </c>
      <c r="C78" s="2420">
        <v>56</v>
      </c>
      <c r="D78" s="2420">
        <v>7</v>
      </c>
      <c r="E78" s="2420">
        <v>2</v>
      </c>
      <c r="F78" s="2220" t="s">
        <v>1344</v>
      </c>
      <c r="G78" s="2423">
        <v>600</v>
      </c>
      <c r="H78" s="2422"/>
      <c r="I78" s="2424">
        <v>7932.3</v>
      </c>
      <c r="J78" s="2424">
        <v>7832.5</v>
      </c>
      <c r="K78" s="2357"/>
    </row>
    <row r="79" spans="2:11" ht="26" hidden="1" x14ac:dyDescent="0.2">
      <c r="B79" s="2208" t="s">
        <v>764</v>
      </c>
      <c r="C79" s="2206">
        <v>56</v>
      </c>
      <c r="D79" s="2206">
        <v>7</v>
      </c>
      <c r="E79" s="2206">
        <v>2</v>
      </c>
      <c r="F79" s="2220" t="s">
        <v>1344</v>
      </c>
      <c r="G79" s="2426">
        <v>611</v>
      </c>
      <c r="H79" s="2426">
        <v>241</v>
      </c>
      <c r="I79" s="2412">
        <v>7932.3</v>
      </c>
      <c r="J79" s="2412">
        <v>7832.5</v>
      </c>
      <c r="K79" s="2357"/>
    </row>
    <row r="80" spans="2:11" ht="15" hidden="1" x14ac:dyDescent="0.2">
      <c r="B80" s="2219" t="s">
        <v>78</v>
      </c>
      <c r="C80" s="2220">
        <v>56</v>
      </c>
      <c r="D80" s="2220">
        <v>7</v>
      </c>
      <c r="E80" s="2220">
        <v>2</v>
      </c>
      <c r="F80" s="2220" t="s">
        <v>1344</v>
      </c>
      <c r="G80" s="2220"/>
      <c r="H80" s="2220">
        <v>211</v>
      </c>
      <c r="I80" s="1254">
        <v>5979.9</v>
      </c>
      <c r="J80" s="2427">
        <v>5979.9</v>
      </c>
      <c r="K80" s="2357"/>
    </row>
    <row r="81" spans="2:11" ht="15" hidden="1" x14ac:dyDescent="0.2">
      <c r="B81" s="2219" t="s">
        <v>103</v>
      </c>
      <c r="C81" s="2220">
        <v>56</v>
      </c>
      <c r="D81" s="2220">
        <v>7</v>
      </c>
      <c r="E81" s="2220">
        <v>2</v>
      </c>
      <c r="F81" s="2220" t="s">
        <v>1344</v>
      </c>
      <c r="G81" s="2220"/>
      <c r="H81" s="2220">
        <v>212</v>
      </c>
      <c r="I81" s="1255"/>
      <c r="J81" s="2428"/>
      <c r="K81" s="2357"/>
    </row>
    <row r="82" spans="2:11" ht="15" hidden="1" x14ac:dyDescent="0.2">
      <c r="B82" s="2219" t="s">
        <v>84</v>
      </c>
      <c r="C82" s="2220">
        <v>56</v>
      </c>
      <c r="D82" s="2220">
        <v>7</v>
      </c>
      <c r="E82" s="2220">
        <v>2</v>
      </c>
      <c r="F82" s="2220" t="s">
        <v>1344</v>
      </c>
      <c r="G82" s="2220"/>
      <c r="H82" s="2220">
        <v>213</v>
      </c>
      <c r="I82" s="1254">
        <v>1742.6</v>
      </c>
      <c r="J82" s="2427">
        <v>1742.6</v>
      </c>
      <c r="K82" s="2357"/>
    </row>
    <row r="83" spans="2:11" ht="15" hidden="1" x14ac:dyDescent="0.2">
      <c r="B83" s="2219" t="s">
        <v>85</v>
      </c>
      <c r="C83" s="2220">
        <v>56</v>
      </c>
      <c r="D83" s="2220">
        <v>7</v>
      </c>
      <c r="E83" s="2220">
        <v>2</v>
      </c>
      <c r="F83" s="2220" t="s">
        <v>1344</v>
      </c>
      <c r="G83" s="2220"/>
      <c r="H83" s="2220">
        <v>221</v>
      </c>
      <c r="I83" s="1255"/>
      <c r="J83" s="2428"/>
      <c r="K83" s="2357"/>
    </row>
    <row r="84" spans="2:11" ht="15" hidden="1" x14ac:dyDescent="0.2">
      <c r="B84" s="2219" t="s">
        <v>86</v>
      </c>
      <c r="C84" s="2220">
        <v>56</v>
      </c>
      <c r="D84" s="2220">
        <v>7</v>
      </c>
      <c r="E84" s="2220">
        <v>2</v>
      </c>
      <c r="F84" s="2220" t="s">
        <v>1344</v>
      </c>
      <c r="G84" s="2220"/>
      <c r="H84" s="2220">
        <v>222</v>
      </c>
      <c r="I84" s="1255"/>
      <c r="J84" s="2428"/>
      <c r="K84" s="2357"/>
    </row>
    <row r="85" spans="2:11" ht="15" hidden="1" x14ac:dyDescent="0.2">
      <c r="B85" s="2219" t="s">
        <v>87</v>
      </c>
      <c r="C85" s="2220">
        <v>56</v>
      </c>
      <c r="D85" s="2220">
        <v>7</v>
      </c>
      <c r="E85" s="2220">
        <v>2</v>
      </c>
      <c r="F85" s="2220" t="s">
        <v>1344</v>
      </c>
      <c r="G85" s="2220"/>
      <c r="H85" s="2220">
        <v>223</v>
      </c>
      <c r="I85" s="1255"/>
      <c r="J85" s="2428"/>
      <c r="K85" s="2357"/>
    </row>
    <row r="86" spans="2:11" ht="15" hidden="1" x14ac:dyDescent="0.2">
      <c r="B86" s="2219" t="s">
        <v>89</v>
      </c>
      <c r="C86" s="2220">
        <v>56</v>
      </c>
      <c r="D86" s="2220">
        <v>7</v>
      </c>
      <c r="E86" s="2220">
        <v>2</v>
      </c>
      <c r="F86" s="2220" t="s">
        <v>1344</v>
      </c>
      <c r="G86" s="2220"/>
      <c r="H86" s="2220">
        <v>224</v>
      </c>
      <c r="I86" s="1255"/>
      <c r="J86" s="2428"/>
      <c r="K86" s="2357"/>
    </row>
    <row r="87" spans="2:11" ht="15" hidden="1" x14ac:dyDescent="0.2">
      <c r="B87" s="2219" t="s">
        <v>90</v>
      </c>
      <c r="C87" s="2220">
        <v>56</v>
      </c>
      <c r="D87" s="2220">
        <v>7</v>
      </c>
      <c r="E87" s="2220">
        <v>2</v>
      </c>
      <c r="F87" s="2220" t="s">
        <v>1344</v>
      </c>
      <c r="G87" s="2220"/>
      <c r="H87" s="2220">
        <v>225</v>
      </c>
      <c r="I87" s="1255"/>
      <c r="J87" s="2428"/>
      <c r="K87" s="2357"/>
    </row>
    <row r="88" spans="2:11" ht="15" hidden="1" x14ac:dyDescent="0.2">
      <c r="B88" s="2219" t="s">
        <v>91</v>
      </c>
      <c r="C88" s="2220">
        <v>56</v>
      </c>
      <c r="D88" s="2220">
        <v>7</v>
      </c>
      <c r="E88" s="2220">
        <v>2</v>
      </c>
      <c r="F88" s="2220" t="s">
        <v>1344</v>
      </c>
      <c r="G88" s="2220"/>
      <c r="H88" s="2220">
        <v>226</v>
      </c>
      <c r="I88" s="1255">
        <v>100.8</v>
      </c>
      <c r="J88" s="2428">
        <v>1</v>
      </c>
      <c r="K88" s="2357"/>
    </row>
    <row r="89" spans="2:11" ht="15" hidden="1" x14ac:dyDescent="0.2">
      <c r="B89" s="2219" t="s">
        <v>94</v>
      </c>
      <c r="C89" s="2220">
        <v>56</v>
      </c>
      <c r="D89" s="2220">
        <v>7</v>
      </c>
      <c r="E89" s="2220">
        <v>2</v>
      </c>
      <c r="F89" s="2220" t="s">
        <v>1344</v>
      </c>
      <c r="G89" s="2220"/>
      <c r="H89" s="2220">
        <v>290</v>
      </c>
      <c r="I89" s="1255">
        <v>9</v>
      </c>
      <c r="J89" s="2428">
        <v>9</v>
      </c>
      <c r="K89" s="2357"/>
    </row>
    <row r="90" spans="2:11" ht="15" hidden="1" x14ac:dyDescent="0.2">
      <c r="B90" s="2219" t="s">
        <v>94</v>
      </c>
      <c r="C90" s="2220">
        <v>56</v>
      </c>
      <c r="D90" s="2220">
        <v>7</v>
      </c>
      <c r="E90" s="2220">
        <v>2</v>
      </c>
      <c r="F90" s="2220" t="s">
        <v>1344</v>
      </c>
      <c r="G90" s="2220"/>
      <c r="H90" s="2220">
        <v>290</v>
      </c>
      <c r="I90" s="1255"/>
      <c r="J90" s="2428"/>
      <c r="K90" s="2357"/>
    </row>
    <row r="91" spans="2:11" ht="15" hidden="1" x14ac:dyDescent="0.2">
      <c r="B91" s="2219" t="s">
        <v>104</v>
      </c>
      <c r="C91" s="2220">
        <v>56</v>
      </c>
      <c r="D91" s="2220">
        <v>7</v>
      </c>
      <c r="E91" s="2220">
        <v>2</v>
      </c>
      <c r="F91" s="2220" t="s">
        <v>1344</v>
      </c>
      <c r="G91" s="2220"/>
      <c r="H91" s="2220">
        <v>310</v>
      </c>
      <c r="I91" s="1255">
        <v>30</v>
      </c>
      <c r="J91" s="2428">
        <v>0</v>
      </c>
      <c r="K91" s="2357"/>
    </row>
    <row r="92" spans="2:11" ht="15" hidden="1" x14ac:dyDescent="0.2">
      <c r="B92" s="2219" t="s">
        <v>97</v>
      </c>
      <c r="C92" s="2220">
        <v>56</v>
      </c>
      <c r="D92" s="2220">
        <v>7</v>
      </c>
      <c r="E92" s="2220">
        <v>2</v>
      </c>
      <c r="F92" s="2220" t="s">
        <v>1344</v>
      </c>
      <c r="G92" s="2220"/>
      <c r="H92" s="2220">
        <v>340</v>
      </c>
      <c r="I92" s="1255">
        <v>70</v>
      </c>
      <c r="J92" s="2428">
        <v>100</v>
      </c>
      <c r="K92" s="2357"/>
    </row>
    <row r="93" spans="2:11" ht="15" hidden="1" x14ac:dyDescent="0.2">
      <c r="B93" s="2208" t="s">
        <v>767</v>
      </c>
      <c r="C93" s="2206">
        <v>56</v>
      </c>
      <c r="D93" s="2206">
        <v>7</v>
      </c>
      <c r="E93" s="2206">
        <v>2</v>
      </c>
      <c r="F93" s="2220" t="s">
        <v>1344</v>
      </c>
      <c r="G93" s="2206">
        <v>612</v>
      </c>
      <c r="H93" s="2206">
        <v>241</v>
      </c>
      <c r="I93" s="1252">
        <v>0</v>
      </c>
      <c r="J93" s="2425">
        <v>0</v>
      </c>
      <c r="K93" s="2357"/>
    </row>
    <row r="94" spans="2:11" ht="39" hidden="1" x14ac:dyDescent="0.2">
      <c r="B94" s="2422" t="s">
        <v>1130</v>
      </c>
      <c r="C94" s="2420">
        <v>56</v>
      </c>
      <c r="D94" s="2420">
        <v>7</v>
      </c>
      <c r="E94" s="2420">
        <v>2</v>
      </c>
      <c r="F94" s="2220" t="s">
        <v>1344</v>
      </c>
      <c r="G94" s="2423">
        <v>600</v>
      </c>
      <c r="H94" s="2422"/>
      <c r="I94" s="2424">
        <v>18827.7</v>
      </c>
      <c r="J94" s="2424">
        <v>19239.650000000001</v>
      </c>
      <c r="K94" s="2357"/>
    </row>
    <row r="95" spans="2:11" ht="26" hidden="1" x14ac:dyDescent="0.2">
      <c r="B95" s="2208" t="s">
        <v>764</v>
      </c>
      <c r="C95" s="2206">
        <v>56</v>
      </c>
      <c r="D95" s="2206">
        <v>7</v>
      </c>
      <c r="E95" s="2206">
        <v>2</v>
      </c>
      <c r="F95" s="2220" t="s">
        <v>1344</v>
      </c>
      <c r="G95" s="2206">
        <v>611</v>
      </c>
      <c r="H95" s="2206">
        <v>241</v>
      </c>
      <c r="I95" s="2412">
        <v>18827.7</v>
      </c>
      <c r="J95" s="2412">
        <v>19239.650000000001</v>
      </c>
      <c r="K95" s="2357"/>
    </row>
    <row r="96" spans="2:11" ht="15" hidden="1" x14ac:dyDescent="0.2">
      <c r="B96" s="2219" t="s">
        <v>78</v>
      </c>
      <c r="C96" s="2220">
        <v>56</v>
      </c>
      <c r="D96" s="2220">
        <v>7</v>
      </c>
      <c r="E96" s="2220">
        <v>2</v>
      </c>
      <c r="F96" s="2220" t="s">
        <v>1344</v>
      </c>
      <c r="G96" s="2220"/>
      <c r="H96" s="2220">
        <v>211</v>
      </c>
      <c r="I96" s="1254">
        <v>12214.4</v>
      </c>
      <c r="J96" s="2253">
        <v>12137.4</v>
      </c>
      <c r="K96" s="2357"/>
    </row>
    <row r="97" spans="2:12" ht="15" hidden="1" x14ac:dyDescent="0.2">
      <c r="B97" s="2219" t="s">
        <v>103</v>
      </c>
      <c r="C97" s="2220">
        <v>56</v>
      </c>
      <c r="D97" s="2220">
        <v>7</v>
      </c>
      <c r="E97" s="2220">
        <v>2</v>
      </c>
      <c r="F97" s="2220" t="s">
        <v>1344</v>
      </c>
      <c r="G97" s="2220">
        <v>1</v>
      </c>
      <c r="H97" s="2220">
        <v>212</v>
      </c>
      <c r="I97" s="1255">
        <v>2.4</v>
      </c>
      <c r="J97" s="2429">
        <v>2.4</v>
      </c>
      <c r="K97" s="2357"/>
    </row>
    <row r="98" spans="2:12" ht="15" hidden="1" x14ac:dyDescent="0.2">
      <c r="B98" s="2219" t="s">
        <v>84</v>
      </c>
      <c r="C98" s="2220">
        <v>56</v>
      </c>
      <c r="D98" s="2220">
        <v>7</v>
      </c>
      <c r="E98" s="2220">
        <v>2</v>
      </c>
      <c r="F98" s="2220" t="s">
        <v>1344</v>
      </c>
      <c r="G98" s="2220">
        <v>1</v>
      </c>
      <c r="H98" s="2220">
        <v>213</v>
      </c>
      <c r="I98" s="1254">
        <v>3589.8</v>
      </c>
      <c r="J98" s="2253">
        <v>3566.8</v>
      </c>
      <c r="K98" s="2357"/>
    </row>
    <row r="99" spans="2:12" ht="15" hidden="1" x14ac:dyDescent="0.2">
      <c r="B99" s="2219" t="s">
        <v>85</v>
      </c>
      <c r="C99" s="2220">
        <v>56</v>
      </c>
      <c r="D99" s="2220">
        <v>7</v>
      </c>
      <c r="E99" s="2220">
        <v>2</v>
      </c>
      <c r="F99" s="2220" t="s">
        <v>1344</v>
      </c>
      <c r="G99" s="2220">
        <v>1</v>
      </c>
      <c r="H99" s="2220">
        <v>221</v>
      </c>
      <c r="I99" s="1255">
        <v>14.5</v>
      </c>
      <c r="J99" s="2429">
        <v>13.05</v>
      </c>
      <c r="K99" s="2357"/>
    </row>
    <row r="100" spans="2:12" ht="15" hidden="1" x14ac:dyDescent="0.2">
      <c r="B100" s="2219" t="s">
        <v>86</v>
      </c>
      <c r="C100" s="2220">
        <v>56</v>
      </c>
      <c r="D100" s="2220">
        <v>7</v>
      </c>
      <c r="E100" s="2220">
        <v>2</v>
      </c>
      <c r="F100" s="2220" t="s">
        <v>1344</v>
      </c>
      <c r="G100" s="2220">
        <v>1</v>
      </c>
      <c r="H100" s="2220">
        <v>222</v>
      </c>
      <c r="I100" s="1255">
        <v>20</v>
      </c>
      <c r="J100" s="2429">
        <v>18</v>
      </c>
      <c r="K100" s="2357"/>
    </row>
    <row r="101" spans="2:12" ht="15" hidden="1" x14ac:dyDescent="0.2">
      <c r="B101" s="2219" t="s">
        <v>87</v>
      </c>
      <c r="C101" s="2220">
        <v>56</v>
      </c>
      <c r="D101" s="2220">
        <v>7</v>
      </c>
      <c r="E101" s="2220">
        <v>2</v>
      </c>
      <c r="F101" s="2220" t="s">
        <v>1344</v>
      </c>
      <c r="G101" s="2220">
        <v>1</v>
      </c>
      <c r="H101" s="2220">
        <v>223</v>
      </c>
      <c r="I101" s="1255">
        <v>562.79999999999995</v>
      </c>
      <c r="J101" s="2429">
        <v>506.5</v>
      </c>
      <c r="K101" s="2357"/>
    </row>
    <row r="102" spans="2:12" ht="15" hidden="1" x14ac:dyDescent="0.2">
      <c r="B102" s="2219" t="s">
        <v>89</v>
      </c>
      <c r="C102" s="2220">
        <v>56</v>
      </c>
      <c r="D102" s="2220">
        <v>7</v>
      </c>
      <c r="E102" s="2220">
        <v>2</v>
      </c>
      <c r="F102" s="2220" t="s">
        <v>1344</v>
      </c>
      <c r="G102" s="2220">
        <v>1</v>
      </c>
      <c r="H102" s="2220">
        <v>224</v>
      </c>
      <c r="I102" s="1255"/>
      <c r="J102" s="2429"/>
      <c r="K102" s="2357"/>
    </row>
    <row r="103" spans="2:12" ht="15" hidden="1" x14ac:dyDescent="0.2">
      <c r="B103" s="2219" t="s">
        <v>90</v>
      </c>
      <c r="C103" s="2220">
        <v>56</v>
      </c>
      <c r="D103" s="2220">
        <v>7</v>
      </c>
      <c r="E103" s="2220">
        <v>2</v>
      </c>
      <c r="F103" s="2220" t="s">
        <v>1344</v>
      </c>
      <c r="G103" s="2220">
        <v>1</v>
      </c>
      <c r="H103" s="2220">
        <v>225</v>
      </c>
      <c r="I103" s="1255">
        <v>117.2</v>
      </c>
      <c r="J103" s="2429">
        <v>117.2</v>
      </c>
      <c r="K103" s="2357"/>
    </row>
    <row r="104" spans="2:12" ht="15" hidden="1" x14ac:dyDescent="0.2">
      <c r="B104" s="2219" t="s">
        <v>91</v>
      </c>
      <c r="C104" s="2220">
        <v>56</v>
      </c>
      <c r="D104" s="2220">
        <v>7</v>
      </c>
      <c r="E104" s="2220">
        <v>2</v>
      </c>
      <c r="F104" s="2220" t="s">
        <v>1344</v>
      </c>
      <c r="G104" s="2220">
        <v>1</v>
      </c>
      <c r="H104" s="2220">
        <v>226</v>
      </c>
      <c r="I104" s="1255">
        <v>513.4</v>
      </c>
      <c r="J104" s="2253">
        <v>1285.0999999999999</v>
      </c>
      <c r="K104" s="2357"/>
    </row>
    <row r="105" spans="2:12" ht="15" hidden="1" x14ac:dyDescent="0.2">
      <c r="B105" s="2219" t="s">
        <v>220</v>
      </c>
      <c r="C105" s="2220">
        <v>56</v>
      </c>
      <c r="D105" s="2220">
        <v>7</v>
      </c>
      <c r="E105" s="2220">
        <v>2</v>
      </c>
      <c r="F105" s="2220" t="s">
        <v>1344</v>
      </c>
      <c r="G105" s="2220">
        <v>1</v>
      </c>
      <c r="H105" s="2220">
        <v>290</v>
      </c>
      <c r="I105" s="1254">
        <v>1793.2</v>
      </c>
      <c r="J105" s="2253">
        <v>1593.2</v>
      </c>
      <c r="K105" s="2357"/>
    </row>
    <row r="106" spans="2:12" ht="15" hidden="1" x14ac:dyDescent="0.2">
      <c r="B106" s="2219" t="s">
        <v>220</v>
      </c>
      <c r="C106" s="2220">
        <v>56</v>
      </c>
      <c r="D106" s="2220">
        <v>7</v>
      </c>
      <c r="E106" s="2220">
        <v>2</v>
      </c>
      <c r="F106" s="2220" t="s">
        <v>1344</v>
      </c>
      <c r="G106" s="2220">
        <v>1</v>
      </c>
      <c r="H106" s="2220">
        <v>290</v>
      </c>
      <c r="I106" s="1255"/>
      <c r="J106" s="2429"/>
      <c r="K106" s="2357"/>
    </row>
    <row r="107" spans="2:12" ht="15" hidden="1" x14ac:dyDescent="0.2">
      <c r="B107" s="2219" t="s">
        <v>104</v>
      </c>
      <c r="C107" s="2220">
        <v>56</v>
      </c>
      <c r="D107" s="2220">
        <v>7</v>
      </c>
      <c r="E107" s="2220">
        <v>2</v>
      </c>
      <c r="F107" s="2220" t="s">
        <v>1344</v>
      </c>
      <c r="G107" s="2220">
        <v>1</v>
      </c>
      <c r="H107" s="2220">
        <v>310</v>
      </c>
      <c r="I107" s="1256"/>
      <c r="J107" s="2430"/>
      <c r="K107" s="2357"/>
    </row>
    <row r="108" spans="2:12" ht="15" hidden="1" x14ac:dyDescent="0.2">
      <c r="B108" s="2219" t="s">
        <v>97</v>
      </c>
      <c r="C108" s="2220">
        <v>56</v>
      </c>
      <c r="D108" s="2220">
        <v>7</v>
      </c>
      <c r="E108" s="2220">
        <v>2</v>
      </c>
      <c r="F108" s="2220" t="s">
        <v>1344</v>
      </c>
      <c r="G108" s="2220">
        <v>1</v>
      </c>
      <c r="H108" s="2220">
        <v>340</v>
      </c>
      <c r="I108" s="1255"/>
      <c r="J108" s="2429"/>
      <c r="K108" s="2357"/>
    </row>
    <row r="109" spans="2:12" ht="15" hidden="1" x14ac:dyDescent="0.2">
      <c r="B109" s="2208" t="s">
        <v>767</v>
      </c>
      <c r="C109" s="2206">
        <v>56</v>
      </c>
      <c r="D109" s="2206">
        <v>7</v>
      </c>
      <c r="E109" s="2206">
        <v>2</v>
      </c>
      <c r="F109" s="2220" t="s">
        <v>1344</v>
      </c>
      <c r="G109" s="2206">
        <v>612</v>
      </c>
      <c r="H109" s="2206">
        <v>241</v>
      </c>
      <c r="I109" s="1252">
        <v>0</v>
      </c>
      <c r="J109" s="2425">
        <v>0</v>
      </c>
      <c r="K109" s="2357"/>
    </row>
    <row r="110" spans="2:12" ht="15" hidden="1" x14ac:dyDescent="0.2">
      <c r="B110" s="2552" t="s">
        <v>771</v>
      </c>
      <c r="C110" s="2553">
        <v>56</v>
      </c>
      <c r="D110" s="2553">
        <v>7</v>
      </c>
      <c r="E110" s="2553">
        <v>4</v>
      </c>
      <c r="F110" s="2554"/>
      <c r="G110" s="2554"/>
      <c r="H110" s="2553"/>
      <c r="I110" s="2555">
        <v>127399.6</v>
      </c>
      <c r="J110" s="2555">
        <v>126910</v>
      </c>
      <c r="K110" s="2357"/>
    </row>
    <row r="111" spans="2:12" ht="69" x14ac:dyDescent="0.2">
      <c r="B111" s="2535" t="s">
        <v>1862</v>
      </c>
      <c r="C111" s="2536">
        <v>56</v>
      </c>
      <c r="D111" s="2536">
        <v>7</v>
      </c>
      <c r="E111" s="2536">
        <v>4</v>
      </c>
      <c r="F111" s="2536" t="s">
        <v>1349</v>
      </c>
      <c r="G111" s="2536"/>
      <c r="H111" s="2537"/>
      <c r="I111" s="2538">
        <v>127399.6</v>
      </c>
      <c r="J111" s="2539">
        <v>126910</v>
      </c>
      <c r="K111" s="2357">
        <f>'2015'!J12</f>
        <v>126910</v>
      </c>
      <c r="L111" s="999">
        <f>J111-K111</f>
        <v>0</v>
      </c>
    </row>
    <row r="112" spans="2:12" ht="15" x14ac:dyDescent="0.2">
      <c r="B112" s="2540" t="s">
        <v>1125</v>
      </c>
      <c r="C112" s="2419">
        <v>56</v>
      </c>
      <c r="D112" s="2419">
        <v>7</v>
      </c>
      <c r="E112" s="2419">
        <v>4</v>
      </c>
      <c r="F112" s="2444" t="s">
        <v>1349</v>
      </c>
      <c r="G112" s="2419">
        <v>600</v>
      </c>
      <c r="H112" s="2420"/>
      <c r="I112" s="2421">
        <v>127399.6</v>
      </c>
      <c r="J112" s="2541">
        <v>126910</v>
      </c>
      <c r="K112" s="2357"/>
    </row>
    <row r="113" spans="2:11" ht="26" x14ac:dyDescent="0.2">
      <c r="B113" s="2542" t="s">
        <v>764</v>
      </c>
      <c r="C113" s="2442">
        <v>56</v>
      </c>
      <c r="D113" s="2442">
        <v>7</v>
      </c>
      <c r="E113" s="2442">
        <v>4</v>
      </c>
      <c r="F113" s="2444" t="s">
        <v>1349</v>
      </c>
      <c r="G113" s="2442">
        <v>611</v>
      </c>
      <c r="H113" s="2442">
        <v>241</v>
      </c>
      <c r="I113" s="2412">
        <v>127399.6</v>
      </c>
      <c r="J113" s="2543">
        <v>126910</v>
      </c>
      <c r="K113" s="2357"/>
    </row>
    <row r="114" spans="2:11" ht="15" hidden="1" x14ac:dyDescent="0.2">
      <c r="B114" s="2544" t="s">
        <v>78</v>
      </c>
      <c r="C114" s="2431">
        <v>56</v>
      </c>
      <c r="D114" s="2431">
        <v>7</v>
      </c>
      <c r="E114" s="2431">
        <v>4</v>
      </c>
      <c r="F114" s="2444" t="s">
        <v>1349</v>
      </c>
      <c r="G114" s="2431"/>
      <c r="H114" s="2444">
        <v>211</v>
      </c>
      <c r="I114" s="2413">
        <v>90231.9</v>
      </c>
      <c r="J114" s="2545">
        <v>90231.9</v>
      </c>
      <c r="K114" s="2357"/>
    </row>
    <row r="115" spans="2:11" ht="15" hidden="1" x14ac:dyDescent="0.2">
      <c r="B115" s="2544" t="s">
        <v>83</v>
      </c>
      <c r="C115" s="2431">
        <v>56</v>
      </c>
      <c r="D115" s="2431">
        <v>7</v>
      </c>
      <c r="E115" s="2431">
        <v>4</v>
      </c>
      <c r="F115" s="2444" t="s">
        <v>1349</v>
      </c>
      <c r="G115" s="2431"/>
      <c r="H115" s="2444">
        <v>212</v>
      </c>
      <c r="I115" s="2445">
        <v>5</v>
      </c>
      <c r="J115" s="2546">
        <v>0</v>
      </c>
      <c r="K115" s="2357"/>
    </row>
    <row r="116" spans="2:11" ht="15" hidden="1" x14ac:dyDescent="0.2">
      <c r="B116" s="2544" t="s">
        <v>84</v>
      </c>
      <c r="C116" s="2431">
        <v>56</v>
      </c>
      <c r="D116" s="2431">
        <v>7</v>
      </c>
      <c r="E116" s="2431">
        <v>4</v>
      </c>
      <c r="F116" s="2444" t="s">
        <v>1349</v>
      </c>
      <c r="G116" s="2431"/>
      <c r="H116" s="2444">
        <v>213</v>
      </c>
      <c r="I116" s="2413">
        <v>26276.3</v>
      </c>
      <c r="J116" s="2545">
        <v>26276.3</v>
      </c>
      <c r="K116" s="2357"/>
    </row>
    <row r="117" spans="2:11" ht="15" hidden="1" x14ac:dyDescent="0.2">
      <c r="B117" s="2544" t="s">
        <v>85</v>
      </c>
      <c r="C117" s="2431">
        <v>56</v>
      </c>
      <c r="D117" s="2431">
        <v>7</v>
      </c>
      <c r="E117" s="2431">
        <v>4</v>
      </c>
      <c r="F117" s="2444" t="s">
        <v>1349</v>
      </c>
      <c r="G117" s="2431"/>
      <c r="H117" s="2444">
        <v>221</v>
      </c>
      <c r="I117" s="2445">
        <v>86.3</v>
      </c>
      <c r="J117" s="2546">
        <v>73.599999999999994</v>
      </c>
      <c r="K117" s="2357"/>
    </row>
    <row r="118" spans="2:11" ht="15" hidden="1" x14ac:dyDescent="0.2">
      <c r="B118" s="2544" t="s">
        <v>86</v>
      </c>
      <c r="C118" s="2431">
        <v>56</v>
      </c>
      <c r="D118" s="2431">
        <v>7</v>
      </c>
      <c r="E118" s="2431">
        <v>4</v>
      </c>
      <c r="F118" s="2444" t="s">
        <v>1349</v>
      </c>
      <c r="G118" s="2431"/>
      <c r="H118" s="2444">
        <v>222</v>
      </c>
      <c r="I118" s="2445">
        <v>20</v>
      </c>
      <c r="J118" s="2546">
        <v>18</v>
      </c>
      <c r="K118" s="2357"/>
    </row>
    <row r="119" spans="2:11" ht="15" hidden="1" x14ac:dyDescent="0.2">
      <c r="B119" s="2544" t="s">
        <v>87</v>
      </c>
      <c r="C119" s="2431">
        <v>56</v>
      </c>
      <c r="D119" s="2431">
        <v>7</v>
      </c>
      <c r="E119" s="2431">
        <v>4</v>
      </c>
      <c r="F119" s="2444" t="s">
        <v>1349</v>
      </c>
      <c r="G119" s="2431"/>
      <c r="H119" s="2444">
        <v>223</v>
      </c>
      <c r="I119" s="2413">
        <v>1387.6</v>
      </c>
      <c r="J119" s="2545">
        <v>1248.8</v>
      </c>
      <c r="K119" s="2357"/>
    </row>
    <row r="120" spans="2:11" ht="15" hidden="1" x14ac:dyDescent="0.2">
      <c r="B120" s="2544" t="s">
        <v>111</v>
      </c>
      <c r="C120" s="2431">
        <v>56</v>
      </c>
      <c r="D120" s="2431">
        <v>7</v>
      </c>
      <c r="E120" s="2431">
        <v>4</v>
      </c>
      <c r="F120" s="2444" t="s">
        <v>1349</v>
      </c>
      <c r="G120" s="2431"/>
      <c r="H120" s="2444">
        <v>224</v>
      </c>
      <c r="I120" s="2445">
        <v>6</v>
      </c>
      <c r="J120" s="2546">
        <v>5.4</v>
      </c>
      <c r="K120" s="2357"/>
    </row>
    <row r="121" spans="2:11" ht="15" hidden="1" x14ac:dyDescent="0.2">
      <c r="B121" s="2544" t="s">
        <v>90</v>
      </c>
      <c r="C121" s="2431">
        <v>56</v>
      </c>
      <c r="D121" s="2431">
        <v>7</v>
      </c>
      <c r="E121" s="2431">
        <v>4</v>
      </c>
      <c r="F121" s="2444" t="s">
        <v>1349</v>
      </c>
      <c r="G121" s="2431"/>
      <c r="H121" s="2444">
        <v>225</v>
      </c>
      <c r="I121" s="2445">
        <v>83.4</v>
      </c>
      <c r="J121" s="2546">
        <v>28.5</v>
      </c>
      <c r="K121" s="2357"/>
    </row>
    <row r="122" spans="2:11" ht="15" hidden="1" x14ac:dyDescent="0.2">
      <c r="B122" s="2544" t="s">
        <v>91</v>
      </c>
      <c r="C122" s="2431">
        <v>56</v>
      </c>
      <c r="D122" s="2431">
        <v>7</v>
      </c>
      <c r="E122" s="2431">
        <v>4</v>
      </c>
      <c r="F122" s="2444" t="s">
        <v>1349</v>
      </c>
      <c r="G122" s="2431"/>
      <c r="H122" s="2444">
        <v>226</v>
      </c>
      <c r="I122" s="2413">
        <v>1883.6</v>
      </c>
      <c r="J122" s="2545">
        <v>1586.4</v>
      </c>
      <c r="K122" s="2357"/>
    </row>
    <row r="123" spans="2:11" ht="15" hidden="1" x14ac:dyDescent="0.2">
      <c r="B123" s="2544" t="s">
        <v>94</v>
      </c>
      <c r="C123" s="2431">
        <v>56</v>
      </c>
      <c r="D123" s="2431">
        <v>7</v>
      </c>
      <c r="E123" s="2431">
        <v>4</v>
      </c>
      <c r="F123" s="2444" t="s">
        <v>1349</v>
      </c>
      <c r="G123" s="2431"/>
      <c r="H123" s="2444">
        <v>290</v>
      </c>
      <c r="I123" s="2445">
        <v>756.3</v>
      </c>
      <c r="J123" s="2546">
        <v>756.3</v>
      </c>
      <c r="K123" s="2357"/>
    </row>
    <row r="124" spans="2:11" ht="15" hidden="1" x14ac:dyDescent="0.2">
      <c r="B124" s="2544" t="s">
        <v>94</v>
      </c>
      <c r="C124" s="2431">
        <v>56</v>
      </c>
      <c r="D124" s="2431">
        <v>7</v>
      </c>
      <c r="E124" s="2431">
        <v>4</v>
      </c>
      <c r="F124" s="2444" t="s">
        <v>1349</v>
      </c>
      <c r="G124" s="2431"/>
      <c r="H124" s="2444" t="s">
        <v>1350</v>
      </c>
      <c r="I124" s="2413">
        <v>6027.3</v>
      </c>
      <c r="J124" s="2545">
        <v>6027.3</v>
      </c>
      <c r="K124" s="2357"/>
    </row>
    <row r="125" spans="2:11" ht="15" hidden="1" x14ac:dyDescent="0.2">
      <c r="B125" s="2544" t="s">
        <v>96</v>
      </c>
      <c r="C125" s="2431">
        <v>56</v>
      </c>
      <c r="D125" s="2431">
        <v>7</v>
      </c>
      <c r="E125" s="2431">
        <v>4</v>
      </c>
      <c r="F125" s="2444" t="s">
        <v>1349</v>
      </c>
      <c r="G125" s="2431"/>
      <c r="H125" s="2444">
        <v>310</v>
      </c>
      <c r="I125" s="2445">
        <v>25.5</v>
      </c>
      <c r="J125" s="2546">
        <v>25.5</v>
      </c>
      <c r="K125" s="2357"/>
    </row>
    <row r="126" spans="2:11" ht="15" hidden="1" x14ac:dyDescent="0.2">
      <c r="B126" s="2544" t="s">
        <v>97</v>
      </c>
      <c r="C126" s="2431">
        <v>56</v>
      </c>
      <c r="D126" s="2431">
        <v>7</v>
      </c>
      <c r="E126" s="2431">
        <v>4</v>
      </c>
      <c r="F126" s="2444" t="s">
        <v>1349</v>
      </c>
      <c r="G126" s="2431"/>
      <c r="H126" s="2444">
        <v>340</v>
      </c>
      <c r="I126" s="2445">
        <v>610.4</v>
      </c>
      <c r="J126" s="2546">
        <v>632</v>
      </c>
      <c r="K126" s="2357"/>
    </row>
    <row r="127" spans="2:11" ht="16" thickBot="1" x14ac:dyDescent="0.25">
      <c r="B127" s="2547" t="s">
        <v>767</v>
      </c>
      <c r="C127" s="2548">
        <v>56</v>
      </c>
      <c r="D127" s="2548">
        <v>7</v>
      </c>
      <c r="E127" s="2548">
        <v>4</v>
      </c>
      <c r="F127" s="2549" t="s">
        <v>1349</v>
      </c>
      <c r="G127" s="2548">
        <v>612</v>
      </c>
      <c r="H127" s="2548">
        <v>241</v>
      </c>
      <c r="I127" s="2550">
        <v>0</v>
      </c>
      <c r="J127" s="2551">
        <v>0</v>
      </c>
      <c r="K127" s="2357"/>
    </row>
    <row r="128" spans="2:11" ht="36" hidden="1" x14ac:dyDescent="0.2">
      <c r="B128" s="2556" t="s">
        <v>1131</v>
      </c>
      <c r="C128" s="2531">
        <v>56</v>
      </c>
      <c r="D128" s="2531">
        <v>7</v>
      </c>
      <c r="E128" s="2531">
        <v>4</v>
      </c>
      <c r="F128" s="2532" t="s">
        <v>1349</v>
      </c>
      <c r="G128" s="2533">
        <v>600</v>
      </c>
      <c r="H128" s="2530"/>
      <c r="I128" s="2557">
        <v>42406.400000000001</v>
      </c>
      <c r="J128" s="2557">
        <v>42185.4</v>
      </c>
      <c r="K128" s="2357"/>
    </row>
    <row r="129" spans="2:11" ht="26" hidden="1" x14ac:dyDescent="0.2">
      <c r="B129" s="2208" t="s">
        <v>764</v>
      </c>
      <c r="C129" s="2206">
        <v>56</v>
      </c>
      <c r="D129" s="2206">
        <v>7</v>
      </c>
      <c r="E129" s="2206">
        <v>4</v>
      </c>
      <c r="F129" s="2220" t="s">
        <v>1349</v>
      </c>
      <c r="G129" s="2206">
        <v>611</v>
      </c>
      <c r="H129" s="2206">
        <v>241</v>
      </c>
      <c r="I129" s="2412">
        <v>42406.400000000001</v>
      </c>
      <c r="J129" s="2412">
        <v>42185.4</v>
      </c>
      <c r="K129" s="2357"/>
    </row>
    <row r="130" spans="2:11" ht="15" hidden="1" x14ac:dyDescent="0.2">
      <c r="B130" s="2219" t="s">
        <v>78</v>
      </c>
      <c r="C130" s="2431">
        <v>56</v>
      </c>
      <c r="D130" s="2431">
        <v>7</v>
      </c>
      <c r="E130" s="2431">
        <v>4</v>
      </c>
      <c r="F130" s="2220" t="s">
        <v>1349</v>
      </c>
      <c r="G130" s="2431"/>
      <c r="H130" s="2220">
        <v>211</v>
      </c>
      <c r="I130" s="1254">
        <v>30277.4</v>
      </c>
      <c r="J130" s="2427">
        <v>30277.4</v>
      </c>
      <c r="K130" s="2357"/>
    </row>
    <row r="131" spans="2:11" ht="15" hidden="1" x14ac:dyDescent="0.2">
      <c r="B131" s="2219" t="s">
        <v>83</v>
      </c>
      <c r="C131" s="2431">
        <v>56</v>
      </c>
      <c r="D131" s="2431">
        <v>7</v>
      </c>
      <c r="E131" s="2431">
        <v>4</v>
      </c>
      <c r="F131" s="2220" t="s">
        <v>1349</v>
      </c>
      <c r="G131" s="2431"/>
      <c r="H131" s="2220">
        <v>212</v>
      </c>
      <c r="I131" s="1255"/>
      <c r="J131" s="2428">
        <v>0</v>
      </c>
      <c r="K131" s="2357"/>
    </row>
    <row r="132" spans="2:11" ht="15" hidden="1" x14ac:dyDescent="0.2">
      <c r="B132" s="2219" t="s">
        <v>84</v>
      </c>
      <c r="C132" s="2431">
        <v>56</v>
      </c>
      <c r="D132" s="2431">
        <v>7</v>
      </c>
      <c r="E132" s="2431">
        <v>4</v>
      </c>
      <c r="F132" s="2220" t="s">
        <v>1349</v>
      </c>
      <c r="G132" s="2431"/>
      <c r="H132" s="2220">
        <v>213</v>
      </c>
      <c r="I132" s="1254">
        <v>8822.9</v>
      </c>
      <c r="J132" s="2427">
        <v>8822.9</v>
      </c>
      <c r="K132" s="2357"/>
    </row>
    <row r="133" spans="2:11" ht="15" hidden="1" x14ac:dyDescent="0.2">
      <c r="B133" s="2219" t="s">
        <v>85</v>
      </c>
      <c r="C133" s="2431">
        <v>56</v>
      </c>
      <c r="D133" s="2431">
        <v>7</v>
      </c>
      <c r="E133" s="2431">
        <v>4</v>
      </c>
      <c r="F133" s="2220" t="s">
        <v>1349</v>
      </c>
      <c r="G133" s="2431"/>
      <c r="H133" s="2220">
        <v>221</v>
      </c>
      <c r="I133" s="1255">
        <v>31.1</v>
      </c>
      <c r="J133" s="2428">
        <v>24</v>
      </c>
      <c r="K133" s="2357"/>
    </row>
    <row r="134" spans="2:11" ht="15" hidden="1" x14ac:dyDescent="0.2">
      <c r="B134" s="2219" t="s">
        <v>86</v>
      </c>
      <c r="C134" s="2431">
        <v>56</v>
      </c>
      <c r="D134" s="2431">
        <v>7</v>
      </c>
      <c r="E134" s="2431">
        <v>4</v>
      </c>
      <c r="F134" s="2220" t="s">
        <v>1349</v>
      </c>
      <c r="G134" s="2431"/>
      <c r="H134" s="2220">
        <v>222</v>
      </c>
      <c r="I134" s="1255"/>
      <c r="J134" s="2428"/>
      <c r="K134" s="2357"/>
    </row>
    <row r="135" spans="2:11" ht="15" hidden="1" x14ac:dyDescent="0.2">
      <c r="B135" s="2219" t="s">
        <v>87</v>
      </c>
      <c r="C135" s="2431">
        <v>56</v>
      </c>
      <c r="D135" s="2431">
        <v>7</v>
      </c>
      <c r="E135" s="2431">
        <v>4</v>
      </c>
      <c r="F135" s="2220" t="s">
        <v>1349</v>
      </c>
      <c r="G135" s="2431"/>
      <c r="H135" s="2220">
        <v>223</v>
      </c>
      <c r="I135" s="1255">
        <v>528.5</v>
      </c>
      <c r="J135" s="2428">
        <v>475.5</v>
      </c>
      <c r="K135" s="2357"/>
    </row>
    <row r="136" spans="2:11" ht="15" hidden="1" x14ac:dyDescent="0.2">
      <c r="B136" s="2219" t="s">
        <v>111</v>
      </c>
      <c r="C136" s="2431">
        <v>56</v>
      </c>
      <c r="D136" s="2431">
        <v>7</v>
      </c>
      <c r="E136" s="2431">
        <v>4</v>
      </c>
      <c r="F136" s="2220" t="s">
        <v>1349</v>
      </c>
      <c r="G136" s="2431"/>
      <c r="H136" s="2220">
        <v>224</v>
      </c>
      <c r="I136" s="1255"/>
      <c r="J136" s="2428"/>
      <c r="K136" s="2357"/>
    </row>
    <row r="137" spans="2:11" ht="15" hidden="1" x14ac:dyDescent="0.2">
      <c r="B137" s="2219" t="s">
        <v>90</v>
      </c>
      <c r="C137" s="2431">
        <v>56</v>
      </c>
      <c r="D137" s="2431">
        <v>7</v>
      </c>
      <c r="E137" s="2431">
        <v>4</v>
      </c>
      <c r="F137" s="2220" t="s">
        <v>1349</v>
      </c>
      <c r="G137" s="2431"/>
      <c r="H137" s="2220">
        <v>225</v>
      </c>
      <c r="I137" s="1255">
        <v>50.3</v>
      </c>
      <c r="J137" s="2428">
        <v>0</v>
      </c>
      <c r="K137" s="2357"/>
    </row>
    <row r="138" spans="2:11" ht="15" hidden="1" x14ac:dyDescent="0.2">
      <c r="B138" s="2219" t="s">
        <v>91</v>
      </c>
      <c r="C138" s="2431">
        <v>56</v>
      </c>
      <c r="D138" s="2431">
        <v>7</v>
      </c>
      <c r="E138" s="2431">
        <v>4</v>
      </c>
      <c r="F138" s="2220" t="s">
        <v>1349</v>
      </c>
      <c r="G138" s="2431"/>
      <c r="H138" s="2220">
        <v>226</v>
      </c>
      <c r="I138" s="1255">
        <v>21.7</v>
      </c>
      <c r="J138" s="2428">
        <v>0</v>
      </c>
      <c r="K138" s="2357"/>
    </row>
    <row r="139" spans="2:11" ht="15" hidden="1" x14ac:dyDescent="0.2">
      <c r="B139" s="2219" t="s">
        <v>94</v>
      </c>
      <c r="C139" s="2431">
        <v>56</v>
      </c>
      <c r="D139" s="2431">
        <v>7</v>
      </c>
      <c r="E139" s="2431">
        <v>4</v>
      </c>
      <c r="F139" s="2220" t="s">
        <v>1349</v>
      </c>
      <c r="G139" s="2431"/>
      <c r="H139" s="2220">
        <v>290</v>
      </c>
      <c r="I139" s="1255">
        <v>515.70000000000005</v>
      </c>
      <c r="J139" s="2428">
        <v>515.70000000000005</v>
      </c>
      <c r="K139" s="2357"/>
    </row>
    <row r="140" spans="2:11" ht="15" hidden="1" x14ac:dyDescent="0.2">
      <c r="B140" s="2219" t="s">
        <v>94</v>
      </c>
      <c r="C140" s="2431">
        <v>56</v>
      </c>
      <c r="D140" s="2431">
        <v>7</v>
      </c>
      <c r="E140" s="2431">
        <v>4</v>
      </c>
      <c r="F140" s="2220" t="s">
        <v>1349</v>
      </c>
      <c r="G140" s="2431"/>
      <c r="H140" s="2220" t="s">
        <v>1350</v>
      </c>
      <c r="I140" s="1254">
        <v>2054.9</v>
      </c>
      <c r="J140" s="2427">
        <v>2054.9</v>
      </c>
      <c r="K140" s="2357"/>
    </row>
    <row r="141" spans="2:11" ht="15" hidden="1" x14ac:dyDescent="0.2">
      <c r="B141" s="2219" t="s">
        <v>96</v>
      </c>
      <c r="C141" s="2431">
        <v>56</v>
      </c>
      <c r="D141" s="2431">
        <v>7</v>
      </c>
      <c r="E141" s="2431">
        <v>4</v>
      </c>
      <c r="F141" s="2220" t="s">
        <v>1349</v>
      </c>
      <c r="G141" s="2431"/>
      <c r="H141" s="2220">
        <v>310</v>
      </c>
      <c r="I141" s="2184"/>
      <c r="J141" s="2434"/>
      <c r="K141" s="2357"/>
    </row>
    <row r="142" spans="2:11" ht="15" hidden="1" x14ac:dyDescent="0.2">
      <c r="B142" s="2219" t="s">
        <v>97</v>
      </c>
      <c r="C142" s="2431">
        <v>56</v>
      </c>
      <c r="D142" s="2431">
        <v>7</v>
      </c>
      <c r="E142" s="2431">
        <v>4</v>
      </c>
      <c r="F142" s="2220" t="s">
        <v>1349</v>
      </c>
      <c r="G142" s="2431"/>
      <c r="H142" s="2220">
        <v>340</v>
      </c>
      <c r="I142" s="1255">
        <v>103.9</v>
      </c>
      <c r="J142" s="2428">
        <v>15</v>
      </c>
      <c r="K142" s="2357"/>
    </row>
    <row r="143" spans="2:11" ht="15" hidden="1" x14ac:dyDescent="0.2">
      <c r="B143" s="2208" t="s">
        <v>767</v>
      </c>
      <c r="C143" s="2206">
        <v>56</v>
      </c>
      <c r="D143" s="2206">
        <v>7</v>
      </c>
      <c r="E143" s="2206">
        <v>4</v>
      </c>
      <c r="F143" s="2220" t="s">
        <v>1349</v>
      </c>
      <c r="G143" s="2206">
        <v>612</v>
      </c>
      <c r="H143" s="2206">
        <v>241</v>
      </c>
      <c r="I143" s="1252">
        <v>0</v>
      </c>
      <c r="J143" s="2425">
        <v>0</v>
      </c>
      <c r="K143" s="2357"/>
    </row>
    <row r="144" spans="2:11" ht="36" hidden="1" x14ac:dyDescent="0.2">
      <c r="B144" s="2432" t="s">
        <v>1132</v>
      </c>
      <c r="C144" s="2420">
        <v>56</v>
      </c>
      <c r="D144" s="2420">
        <v>7</v>
      </c>
      <c r="E144" s="2420">
        <v>4</v>
      </c>
      <c r="F144" s="2220" t="s">
        <v>1349</v>
      </c>
      <c r="G144" s="2423">
        <v>600</v>
      </c>
      <c r="H144" s="2422"/>
      <c r="I144" s="2421">
        <v>25921.7</v>
      </c>
      <c r="J144" s="2421">
        <v>25775</v>
      </c>
      <c r="K144" s="2357"/>
    </row>
    <row r="145" spans="2:11" ht="26" hidden="1" x14ac:dyDescent="0.2">
      <c r="B145" s="2208" t="s">
        <v>764</v>
      </c>
      <c r="C145" s="2206">
        <v>56</v>
      </c>
      <c r="D145" s="2206">
        <v>7</v>
      </c>
      <c r="E145" s="2206">
        <v>4</v>
      </c>
      <c r="F145" s="2220" t="s">
        <v>1349</v>
      </c>
      <c r="G145" s="2206">
        <v>611</v>
      </c>
      <c r="H145" s="2206">
        <v>241</v>
      </c>
      <c r="I145" s="2412">
        <v>25921.7</v>
      </c>
      <c r="J145" s="2412">
        <v>25775</v>
      </c>
      <c r="K145" s="2357"/>
    </row>
    <row r="146" spans="2:11" ht="15" hidden="1" x14ac:dyDescent="0.2">
      <c r="B146" s="2219" t="s">
        <v>78</v>
      </c>
      <c r="C146" s="2431">
        <v>56</v>
      </c>
      <c r="D146" s="2431">
        <v>7</v>
      </c>
      <c r="E146" s="2431">
        <v>4</v>
      </c>
      <c r="F146" s="2220" t="s">
        <v>1349</v>
      </c>
      <c r="G146" s="2431"/>
      <c r="H146" s="2220">
        <v>211</v>
      </c>
      <c r="I146" s="1254">
        <v>17758.8</v>
      </c>
      <c r="J146" s="2427">
        <v>17758.8</v>
      </c>
      <c r="K146" s="2357"/>
    </row>
    <row r="147" spans="2:11" ht="15" hidden="1" x14ac:dyDescent="0.2">
      <c r="B147" s="2219" t="s">
        <v>83</v>
      </c>
      <c r="C147" s="2431">
        <v>56</v>
      </c>
      <c r="D147" s="2431">
        <v>7</v>
      </c>
      <c r="E147" s="2431">
        <v>4</v>
      </c>
      <c r="F147" s="2220" t="s">
        <v>1349</v>
      </c>
      <c r="G147" s="2431"/>
      <c r="H147" s="2220">
        <v>212</v>
      </c>
      <c r="I147" s="1255"/>
      <c r="J147" s="2428">
        <v>0</v>
      </c>
      <c r="K147" s="2357"/>
    </row>
    <row r="148" spans="2:11" ht="15" hidden="1" x14ac:dyDescent="0.2">
      <c r="B148" s="2219" t="s">
        <v>84</v>
      </c>
      <c r="C148" s="2431">
        <v>56</v>
      </c>
      <c r="D148" s="2431">
        <v>7</v>
      </c>
      <c r="E148" s="2431">
        <v>4</v>
      </c>
      <c r="F148" s="2220" t="s">
        <v>1349</v>
      </c>
      <c r="G148" s="2431"/>
      <c r="H148" s="2220">
        <v>213</v>
      </c>
      <c r="I148" s="1254">
        <v>5174.8999999999996</v>
      </c>
      <c r="J148" s="2427">
        <v>5174.8999999999996</v>
      </c>
      <c r="K148" s="2357"/>
    </row>
    <row r="149" spans="2:11" ht="15" hidden="1" x14ac:dyDescent="0.2">
      <c r="B149" s="2219" t="s">
        <v>85</v>
      </c>
      <c r="C149" s="2431">
        <v>56</v>
      </c>
      <c r="D149" s="2431">
        <v>7</v>
      </c>
      <c r="E149" s="2431">
        <v>4</v>
      </c>
      <c r="F149" s="2220" t="s">
        <v>1349</v>
      </c>
      <c r="G149" s="2431"/>
      <c r="H149" s="2220">
        <v>221</v>
      </c>
      <c r="I149" s="1255">
        <v>24.1</v>
      </c>
      <c r="J149" s="2428">
        <v>21.7</v>
      </c>
      <c r="K149" s="2357"/>
    </row>
    <row r="150" spans="2:11" ht="15" hidden="1" x14ac:dyDescent="0.2">
      <c r="B150" s="2219" t="s">
        <v>86</v>
      </c>
      <c r="C150" s="2431">
        <v>56</v>
      </c>
      <c r="D150" s="2431">
        <v>7</v>
      </c>
      <c r="E150" s="2431">
        <v>4</v>
      </c>
      <c r="F150" s="2220" t="s">
        <v>1349</v>
      </c>
      <c r="G150" s="2431"/>
      <c r="H150" s="2220">
        <v>222</v>
      </c>
      <c r="I150" s="1255"/>
      <c r="J150" s="2428"/>
      <c r="K150" s="2357"/>
    </row>
    <row r="151" spans="2:11" ht="15" hidden="1" x14ac:dyDescent="0.2">
      <c r="B151" s="2219" t="s">
        <v>87</v>
      </c>
      <c r="C151" s="2431">
        <v>56</v>
      </c>
      <c r="D151" s="2431">
        <v>7</v>
      </c>
      <c r="E151" s="2431">
        <v>4</v>
      </c>
      <c r="F151" s="2220" t="s">
        <v>1349</v>
      </c>
      <c r="G151" s="2431"/>
      <c r="H151" s="2220">
        <v>223</v>
      </c>
      <c r="I151" s="1255">
        <v>442.8</v>
      </c>
      <c r="J151" s="2428">
        <v>398.5</v>
      </c>
      <c r="K151" s="2357"/>
    </row>
    <row r="152" spans="2:11" ht="15" hidden="1" x14ac:dyDescent="0.2">
      <c r="B152" s="2219" t="s">
        <v>111</v>
      </c>
      <c r="C152" s="2431">
        <v>56</v>
      </c>
      <c r="D152" s="2431">
        <v>7</v>
      </c>
      <c r="E152" s="2431">
        <v>4</v>
      </c>
      <c r="F152" s="2220" t="s">
        <v>1349</v>
      </c>
      <c r="G152" s="2431"/>
      <c r="H152" s="2220">
        <v>224</v>
      </c>
      <c r="I152" s="1255"/>
      <c r="J152" s="2428"/>
      <c r="K152" s="2357"/>
    </row>
    <row r="153" spans="2:11" ht="15" hidden="1" x14ac:dyDescent="0.2">
      <c r="B153" s="2219" t="s">
        <v>90</v>
      </c>
      <c r="C153" s="2431">
        <v>56</v>
      </c>
      <c r="D153" s="2431">
        <v>7</v>
      </c>
      <c r="E153" s="2431">
        <v>4</v>
      </c>
      <c r="F153" s="2220" t="s">
        <v>1349</v>
      </c>
      <c r="G153" s="2431"/>
      <c r="H153" s="2220">
        <v>225</v>
      </c>
      <c r="I153" s="1255"/>
      <c r="J153" s="2428"/>
      <c r="K153" s="2357"/>
    </row>
    <row r="154" spans="2:11" ht="15" hidden="1" x14ac:dyDescent="0.2">
      <c r="B154" s="2219" t="s">
        <v>91</v>
      </c>
      <c r="C154" s="2431">
        <v>56</v>
      </c>
      <c r="D154" s="2431">
        <v>7</v>
      </c>
      <c r="E154" s="2431">
        <v>4</v>
      </c>
      <c r="F154" s="2220" t="s">
        <v>1349</v>
      </c>
      <c r="G154" s="2431"/>
      <c r="H154" s="2220">
        <v>226</v>
      </c>
      <c r="I154" s="1255">
        <v>3</v>
      </c>
      <c r="J154" s="2428">
        <v>3</v>
      </c>
      <c r="K154" s="2357"/>
    </row>
    <row r="155" spans="2:11" ht="15" hidden="1" x14ac:dyDescent="0.2">
      <c r="B155" s="2219" t="s">
        <v>94</v>
      </c>
      <c r="C155" s="2431">
        <v>56</v>
      </c>
      <c r="D155" s="2431">
        <v>7</v>
      </c>
      <c r="E155" s="2431">
        <v>4</v>
      </c>
      <c r="F155" s="2220" t="s">
        <v>1349</v>
      </c>
      <c r="G155" s="2431"/>
      <c r="H155" s="2220">
        <v>290</v>
      </c>
      <c r="I155" s="1255">
        <v>35.9</v>
      </c>
      <c r="J155" s="2428">
        <v>35.9</v>
      </c>
      <c r="K155" s="2357"/>
    </row>
    <row r="156" spans="2:11" ht="15" hidden="1" x14ac:dyDescent="0.2">
      <c r="B156" s="2219" t="s">
        <v>94</v>
      </c>
      <c r="C156" s="2431">
        <v>56</v>
      </c>
      <c r="D156" s="2431">
        <v>7</v>
      </c>
      <c r="E156" s="2431">
        <v>4</v>
      </c>
      <c r="F156" s="2220" t="s">
        <v>1349</v>
      </c>
      <c r="G156" s="2431"/>
      <c r="H156" s="2220">
        <v>290</v>
      </c>
      <c r="I156" s="1254">
        <v>2192.1999999999998</v>
      </c>
      <c r="J156" s="2427">
        <v>2192.1999999999998</v>
      </c>
      <c r="K156" s="2357"/>
    </row>
    <row r="157" spans="2:11" ht="15" hidden="1" x14ac:dyDescent="0.2">
      <c r="B157" s="2219" t="s">
        <v>96</v>
      </c>
      <c r="C157" s="2431">
        <v>56</v>
      </c>
      <c r="D157" s="2431">
        <v>7</v>
      </c>
      <c r="E157" s="2431">
        <v>4</v>
      </c>
      <c r="F157" s="2220" t="s">
        <v>1349</v>
      </c>
      <c r="G157" s="2431"/>
      <c r="H157" s="2220">
        <v>310</v>
      </c>
      <c r="I157" s="2184"/>
      <c r="J157" s="2434"/>
      <c r="K157" s="2357"/>
    </row>
    <row r="158" spans="2:11" ht="15" hidden="1" x14ac:dyDescent="0.2">
      <c r="B158" s="2219" t="s">
        <v>97</v>
      </c>
      <c r="C158" s="2431">
        <v>56</v>
      </c>
      <c r="D158" s="2431">
        <v>7</v>
      </c>
      <c r="E158" s="2431">
        <v>4</v>
      </c>
      <c r="F158" s="2220" t="s">
        <v>1349</v>
      </c>
      <c r="G158" s="2431"/>
      <c r="H158" s="2220">
        <v>340</v>
      </c>
      <c r="I158" s="1255">
        <v>290</v>
      </c>
      <c r="J158" s="2428">
        <v>190</v>
      </c>
      <c r="K158" s="2357"/>
    </row>
    <row r="159" spans="2:11" ht="15" hidden="1" x14ac:dyDescent="0.2">
      <c r="B159" s="2208" t="s">
        <v>767</v>
      </c>
      <c r="C159" s="2206">
        <v>56</v>
      </c>
      <c r="D159" s="2206">
        <v>7</v>
      </c>
      <c r="E159" s="2206">
        <v>4</v>
      </c>
      <c r="F159" s="2220" t="s">
        <v>1349</v>
      </c>
      <c r="G159" s="2206">
        <v>612</v>
      </c>
      <c r="H159" s="2206">
        <v>241</v>
      </c>
      <c r="I159" s="1252">
        <v>0</v>
      </c>
      <c r="J159" s="2425">
        <v>0</v>
      </c>
      <c r="K159" s="2357"/>
    </row>
    <row r="160" spans="2:11" ht="36" hidden="1" x14ac:dyDescent="0.2">
      <c r="B160" s="2432" t="s">
        <v>1133</v>
      </c>
      <c r="C160" s="2420">
        <v>56</v>
      </c>
      <c r="D160" s="2420">
        <v>7</v>
      </c>
      <c r="E160" s="2420">
        <v>4</v>
      </c>
      <c r="F160" s="2220" t="s">
        <v>1349</v>
      </c>
      <c r="G160" s="2423">
        <v>600</v>
      </c>
      <c r="H160" s="2435"/>
      <c r="I160" s="2433">
        <v>37395.5</v>
      </c>
      <c r="J160" s="2433">
        <v>34225.800000000003</v>
      </c>
      <c r="K160" s="2357"/>
    </row>
    <row r="161" spans="2:11" ht="26" hidden="1" x14ac:dyDescent="0.2">
      <c r="B161" s="2208" t="s">
        <v>764</v>
      </c>
      <c r="C161" s="2206">
        <v>56</v>
      </c>
      <c r="D161" s="2206">
        <v>7</v>
      </c>
      <c r="E161" s="2206">
        <v>4</v>
      </c>
      <c r="F161" s="2220" t="s">
        <v>1349</v>
      </c>
      <c r="G161" s="2206">
        <v>611</v>
      </c>
      <c r="H161" s="2206">
        <v>241</v>
      </c>
      <c r="I161" s="2412">
        <v>37395.5</v>
      </c>
      <c r="J161" s="2412">
        <v>34225.800000000003</v>
      </c>
      <c r="K161" s="2357"/>
    </row>
    <row r="162" spans="2:11" ht="15" hidden="1" x14ac:dyDescent="0.2">
      <c r="B162" s="2219" t="s">
        <v>78</v>
      </c>
      <c r="C162" s="2431">
        <v>56</v>
      </c>
      <c r="D162" s="2431">
        <v>7</v>
      </c>
      <c r="E162" s="2431">
        <v>4</v>
      </c>
      <c r="F162" s="2220" t="s">
        <v>1349</v>
      </c>
      <c r="G162" s="2431"/>
      <c r="H162" s="2220">
        <v>211</v>
      </c>
      <c r="I162" s="1254">
        <v>26106.5</v>
      </c>
      <c r="J162" s="2427">
        <v>24806.5</v>
      </c>
      <c r="K162" s="2357"/>
    </row>
    <row r="163" spans="2:11" ht="15" hidden="1" x14ac:dyDescent="0.2">
      <c r="B163" s="2219" t="s">
        <v>83</v>
      </c>
      <c r="C163" s="2431">
        <v>56</v>
      </c>
      <c r="D163" s="2431">
        <v>7</v>
      </c>
      <c r="E163" s="2431">
        <v>4</v>
      </c>
      <c r="F163" s="2220" t="s">
        <v>1349</v>
      </c>
      <c r="G163" s="2431"/>
      <c r="H163" s="2220">
        <v>212</v>
      </c>
      <c r="I163" s="1255"/>
      <c r="J163" s="2428"/>
      <c r="K163" s="2357"/>
    </row>
    <row r="164" spans="2:11" ht="15" hidden="1" x14ac:dyDescent="0.2">
      <c r="B164" s="2219" t="s">
        <v>84</v>
      </c>
      <c r="C164" s="2431">
        <v>56</v>
      </c>
      <c r="D164" s="2431">
        <v>7</v>
      </c>
      <c r="E164" s="2431">
        <v>4</v>
      </c>
      <c r="F164" s="2220" t="s">
        <v>1349</v>
      </c>
      <c r="G164" s="2431"/>
      <c r="H164" s="2220">
        <v>213</v>
      </c>
      <c r="I164" s="1254">
        <v>7590</v>
      </c>
      <c r="J164" s="2427">
        <v>7197.4</v>
      </c>
      <c r="K164" s="2357"/>
    </row>
    <row r="165" spans="2:11" ht="15" hidden="1" x14ac:dyDescent="0.2">
      <c r="B165" s="2219" t="s">
        <v>85</v>
      </c>
      <c r="C165" s="2431">
        <v>56</v>
      </c>
      <c r="D165" s="2431">
        <v>7</v>
      </c>
      <c r="E165" s="2431">
        <v>4</v>
      </c>
      <c r="F165" s="2220" t="s">
        <v>1349</v>
      </c>
      <c r="G165" s="2431"/>
      <c r="H165" s="2220">
        <v>221</v>
      </c>
      <c r="I165" s="1255">
        <v>16.600000000000001</v>
      </c>
      <c r="J165" s="2428">
        <v>14.9</v>
      </c>
      <c r="K165" s="2357"/>
    </row>
    <row r="166" spans="2:11" ht="15" hidden="1" x14ac:dyDescent="0.2">
      <c r="B166" s="2219" t="s">
        <v>86</v>
      </c>
      <c r="C166" s="2431">
        <v>56</v>
      </c>
      <c r="D166" s="2431">
        <v>7</v>
      </c>
      <c r="E166" s="2431">
        <v>4</v>
      </c>
      <c r="F166" s="2220" t="s">
        <v>1349</v>
      </c>
      <c r="G166" s="2431"/>
      <c r="H166" s="2220">
        <v>222</v>
      </c>
      <c r="I166" s="1255"/>
      <c r="J166" s="2428"/>
      <c r="K166" s="2357"/>
    </row>
    <row r="167" spans="2:11" ht="15" hidden="1" x14ac:dyDescent="0.2">
      <c r="B167" s="2219" t="s">
        <v>87</v>
      </c>
      <c r="C167" s="2431">
        <v>56</v>
      </c>
      <c r="D167" s="2431">
        <v>7</v>
      </c>
      <c r="E167" s="2431">
        <v>4</v>
      </c>
      <c r="F167" s="2220" t="s">
        <v>1349</v>
      </c>
      <c r="G167" s="2431"/>
      <c r="H167" s="2220">
        <v>223</v>
      </c>
      <c r="I167" s="1255">
        <v>335.3</v>
      </c>
      <c r="J167" s="2428">
        <v>301.8</v>
      </c>
      <c r="K167" s="2357"/>
    </row>
    <row r="168" spans="2:11" ht="15" hidden="1" x14ac:dyDescent="0.2">
      <c r="B168" s="2219" t="s">
        <v>111</v>
      </c>
      <c r="C168" s="2431">
        <v>56</v>
      </c>
      <c r="D168" s="2431">
        <v>7</v>
      </c>
      <c r="E168" s="2431">
        <v>4</v>
      </c>
      <c r="F168" s="2220" t="s">
        <v>1349</v>
      </c>
      <c r="G168" s="2431"/>
      <c r="H168" s="2220">
        <v>224</v>
      </c>
      <c r="I168" s="1255"/>
      <c r="J168" s="2428"/>
      <c r="K168" s="2357"/>
    </row>
    <row r="169" spans="2:11" ht="15" hidden="1" x14ac:dyDescent="0.2">
      <c r="B169" s="2219" t="s">
        <v>90</v>
      </c>
      <c r="C169" s="2431">
        <v>56</v>
      </c>
      <c r="D169" s="2431">
        <v>7</v>
      </c>
      <c r="E169" s="2431">
        <v>4</v>
      </c>
      <c r="F169" s="2220" t="s">
        <v>1349</v>
      </c>
      <c r="G169" s="2431"/>
      <c r="H169" s="2220">
        <v>225</v>
      </c>
      <c r="I169" s="1255">
        <v>22.6</v>
      </c>
      <c r="J169" s="2428">
        <v>22.6</v>
      </c>
      <c r="K169" s="2357"/>
    </row>
    <row r="170" spans="2:11" ht="15" hidden="1" x14ac:dyDescent="0.2">
      <c r="B170" s="2219" t="s">
        <v>91</v>
      </c>
      <c r="C170" s="2431">
        <v>56</v>
      </c>
      <c r="D170" s="2431">
        <v>7</v>
      </c>
      <c r="E170" s="2431">
        <v>4</v>
      </c>
      <c r="F170" s="2220" t="s">
        <v>1349</v>
      </c>
      <c r="G170" s="2431"/>
      <c r="H170" s="2220">
        <v>226</v>
      </c>
      <c r="I170" s="1254">
        <v>1847.4</v>
      </c>
      <c r="J170" s="2428">
        <v>445</v>
      </c>
      <c r="K170" s="2357"/>
    </row>
    <row r="171" spans="2:11" ht="15" hidden="1" x14ac:dyDescent="0.2">
      <c r="B171" s="2219" t="s">
        <v>94</v>
      </c>
      <c r="C171" s="2431">
        <v>56</v>
      </c>
      <c r="D171" s="2431">
        <v>7</v>
      </c>
      <c r="E171" s="2431">
        <v>4</v>
      </c>
      <c r="F171" s="2220" t="s">
        <v>1349</v>
      </c>
      <c r="G171" s="2431"/>
      <c r="H171" s="2220">
        <v>290</v>
      </c>
      <c r="I171" s="1255">
        <v>179.6</v>
      </c>
      <c r="J171" s="2428">
        <v>179.6</v>
      </c>
      <c r="K171" s="2357"/>
    </row>
    <row r="172" spans="2:11" ht="15" hidden="1" x14ac:dyDescent="0.2">
      <c r="B172" s="2219" t="s">
        <v>94</v>
      </c>
      <c r="C172" s="2431">
        <v>56</v>
      </c>
      <c r="D172" s="2431">
        <v>7</v>
      </c>
      <c r="E172" s="2431">
        <v>4</v>
      </c>
      <c r="F172" s="2220" t="s">
        <v>1349</v>
      </c>
      <c r="G172" s="2431"/>
      <c r="H172" s="2220">
        <v>290</v>
      </c>
      <c r="I172" s="1254">
        <v>1103</v>
      </c>
      <c r="J172" s="2427">
        <v>1103</v>
      </c>
      <c r="K172" s="2357"/>
    </row>
    <row r="173" spans="2:11" ht="15" hidden="1" x14ac:dyDescent="0.2">
      <c r="B173" s="2219" t="s">
        <v>96</v>
      </c>
      <c r="C173" s="2431">
        <v>56</v>
      </c>
      <c r="D173" s="2431">
        <v>7</v>
      </c>
      <c r="E173" s="2431">
        <v>4</v>
      </c>
      <c r="F173" s="2220" t="s">
        <v>1349</v>
      </c>
      <c r="G173" s="2431"/>
      <c r="H173" s="2220">
        <v>310</v>
      </c>
      <c r="I173" s="1255"/>
      <c r="J173" s="2428"/>
      <c r="K173" s="2357"/>
    </row>
    <row r="174" spans="2:11" ht="15" hidden="1" x14ac:dyDescent="0.2">
      <c r="B174" s="2219" t="s">
        <v>97</v>
      </c>
      <c r="C174" s="2431">
        <v>56</v>
      </c>
      <c r="D174" s="2431">
        <v>7</v>
      </c>
      <c r="E174" s="2431">
        <v>4</v>
      </c>
      <c r="F174" s="2220" t="s">
        <v>1349</v>
      </c>
      <c r="G174" s="2431"/>
      <c r="H174" s="2220">
        <v>340</v>
      </c>
      <c r="I174" s="1255">
        <v>194.5</v>
      </c>
      <c r="J174" s="2428">
        <v>155</v>
      </c>
      <c r="K174" s="2357"/>
    </row>
    <row r="175" spans="2:11" ht="15" hidden="1" x14ac:dyDescent="0.2">
      <c r="B175" s="2208" t="s">
        <v>767</v>
      </c>
      <c r="C175" s="2206">
        <v>56</v>
      </c>
      <c r="D175" s="2206">
        <v>7</v>
      </c>
      <c r="E175" s="2206">
        <v>4</v>
      </c>
      <c r="F175" s="2220" t="s">
        <v>1349</v>
      </c>
      <c r="G175" s="2206">
        <v>612</v>
      </c>
      <c r="H175" s="2206">
        <v>241</v>
      </c>
      <c r="I175" s="1252">
        <v>0</v>
      </c>
      <c r="J175" s="2425">
        <v>0</v>
      </c>
      <c r="K175" s="2357"/>
    </row>
    <row r="176" spans="2:11" ht="24" hidden="1" x14ac:dyDescent="0.2">
      <c r="B176" s="2432" t="s">
        <v>1134</v>
      </c>
      <c r="C176" s="2420">
        <v>56</v>
      </c>
      <c r="D176" s="2420">
        <v>7</v>
      </c>
      <c r="E176" s="2420">
        <v>4</v>
      </c>
      <c r="F176" s="2220" t="s">
        <v>1349</v>
      </c>
      <c r="G176" s="2423">
        <v>600</v>
      </c>
      <c r="H176" s="2435"/>
      <c r="I176" s="2433">
        <v>21676</v>
      </c>
      <c r="J176" s="2433">
        <v>24723.8</v>
      </c>
      <c r="K176" s="2357"/>
    </row>
    <row r="177" spans="2:11" ht="26" hidden="1" x14ac:dyDescent="0.2">
      <c r="B177" s="2208" t="s">
        <v>764</v>
      </c>
      <c r="C177" s="2206">
        <v>56</v>
      </c>
      <c r="D177" s="2206">
        <v>7</v>
      </c>
      <c r="E177" s="2206">
        <v>4</v>
      </c>
      <c r="F177" s="2220" t="s">
        <v>1349</v>
      </c>
      <c r="G177" s="2206">
        <v>611</v>
      </c>
      <c r="H177" s="2206">
        <v>241</v>
      </c>
      <c r="I177" s="2412">
        <v>21676</v>
      </c>
      <c r="J177" s="2412">
        <v>24723.8</v>
      </c>
      <c r="K177" s="2357"/>
    </row>
    <row r="178" spans="2:11" ht="15" hidden="1" x14ac:dyDescent="0.2">
      <c r="B178" s="2219" t="s">
        <v>78</v>
      </c>
      <c r="C178" s="2431">
        <v>56</v>
      </c>
      <c r="D178" s="2431">
        <v>7</v>
      </c>
      <c r="E178" s="2431">
        <v>4</v>
      </c>
      <c r="F178" s="2220" t="s">
        <v>1349</v>
      </c>
      <c r="G178" s="2431"/>
      <c r="H178" s="2220">
        <v>211</v>
      </c>
      <c r="I178" s="1254">
        <v>16089.2</v>
      </c>
      <c r="J178" s="2427">
        <v>17389.2</v>
      </c>
      <c r="K178" s="2357"/>
    </row>
    <row r="179" spans="2:11" ht="15" hidden="1" x14ac:dyDescent="0.2">
      <c r="B179" s="2219" t="s">
        <v>83</v>
      </c>
      <c r="C179" s="2431">
        <v>56</v>
      </c>
      <c r="D179" s="2431">
        <v>7</v>
      </c>
      <c r="E179" s="2431">
        <v>4</v>
      </c>
      <c r="F179" s="2220" t="s">
        <v>1349</v>
      </c>
      <c r="G179" s="2431"/>
      <c r="H179" s="2220">
        <v>212</v>
      </c>
      <c r="I179" s="1255">
        <v>5</v>
      </c>
      <c r="J179" s="2428">
        <v>0</v>
      </c>
      <c r="K179" s="2357"/>
    </row>
    <row r="180" spans="2:11" ht="15" hidden="1" x14ac:dyDescent="0.2">
      <c r="B180" s="2219" t="s">
        <v>84</v>
      </c>
      <c r="C180" s="2431">
        <v>56</v>
      </c>
      <c r="D180" s="2431">
        <v>7</v>
      </c>
      <c r="E180" s="2431">
        <v>4</v>
      </c>
      <c r="F180" s="2220" t="s">
        <v>1349</v>
      </c>
      <c r="G180" s="2431"/>
      <c r="H180" s="2220">
        <v>213</v>
      </c>
      <c r="I180" s="1254">
        <v>4688.5</v>
      </c>
      <c r="J180" s="2427">
        <v>5081.1000000000004</v>
      </c>
      <c r="K180" s="2357"/>
    </row>
    <row r="181" spans="2:11" ht="15" hidden="1" x14ac:dyDescent="0.2">
      <c r="B181" s="2219" t="s">
        <v>85</v>
      </c>
      <c r="C181" s="2431">
        <v>56</v>
      </c>
      <c r="D181" s="2431">
        <v>7</v>
      </c>
      <c r="E181" s="2431">
        <v>4</v>
      </c>
      <c r="F181" s="2220" t="s">
        <v>1349</v>
      </c>
      <c r="G181" s="2431"/>
      <c r="H181" s="2220">
        <v>221</v>
      </c>
      <c r="I181" s="1255">
        <v>14.5</v>
      </c>
      <c r="J181" s="2428">
        <v>13</v>
      </c>
      <c r="K181" s="2357"/>
    </row>
    <row r="182" spans="2:11" ht="15" hidden="1" x14ac:dyDescent="0.2">
      <c r="B182" s="2219" t="s">
        <v>86</v>
      </c>
      <c r="C182" s="2431">
        <v>56</v>
      </c>
      <c r="D182" s="2431">
        <v>7</v>
      </c>
      <c r="E182" s="2431">
        <v>4</v>
      </c>
      <c r="F182" s="2220" t="s">
        <v>1349</v>
      </c>
      <c r="G182" s="2431"/>
      <c r="H182" s="2220">
        <v>222</v>
      </c>
      <c r="I182" s="1255">
        <v>20</v>
      </c>
      <c r="J182" s="2428">
        <v>18</v>
      </c>
      <c r="K182" s="2357"/>
    </row>
    <row r="183" spans="2:11" ht="15" hidden="1" x14ac:dyDescent="0.2">
      <c r="B183" s="2219" t="s">
        <v>87</v>
      </c>
      <c r="C183" s="2431">
        <v>56</v>
      </c>
      <c r="D183" s="2431">
        <v>7</v>
      </c>
      <c r="E183" s="2431">
        <v>4</v>
      </c>
      <c r="F183" s="2220" t="s">
        <v>1349</v>
      </c>
      <c r="G183" s="2431"/>
      <c r="H183" s="2220">
        <v>223</v>
      </c>
      <c r="I183" s="1255">
        <v>81</v>
      </c>
      <c r="J183" s="2428">
        <v>73</v>
      </c>
      <c r="K183" s="2357"/>
    </row>
    <row r="184" spans="2:11" ht="15" hidden="1" x14ac:dyDescent="0.2">
      <c r="B184" s="2219" t="s">
        <v>111</v>
      </c>
      <c r="C184" s="2431">
        <v>56</v>
      </c>
      <c r="D184" s="2431">
        <v>7</v>
      </c>
      <c r="E184" s="2431">
        <v>4</v>
      </c>
      <c r="F184" s="2220" t="s">
        <v>1349</v>
      </c>
      <c r="G184" s="2431"/>
      <c r="H184" s="2220">
        <v>224</v>
      </c>
      <c r="I184" s="1255">
        <v>6</v>
      </c>
      <c r="J184" s="2428">
        <v>5.4</v>
      </c>
      <c r="K184" s="2357"/>
    </row>
    <row r="185" spans="2:11" ht="15" hidden="1" x14ac:dyDescent="0.2">
      <c r="B185" s="2219" t="s">
        <v>90</v>
      </c>
      <c r="C185" s="2431">
        <v>56</v>
      </c>
      <c r="D185" s="2431">
        <v>7</v>
      </c>
      <c r="E185" s="2431">
        <v>4</v>
      </c>
      <c r="F185" s="2220" t="s">
        <v>1349</v>
      </c>
      <c r="G185" s="2431"/>
      <c r="H185" s="2220">
        <v>225</v>
      </c>
      <c r="I185" s="1255">
        <v>10.5</v>
      </c>
      <c r="J185" s="2428">
        <v>5.9</v>
      </c>
      <c r="K185" s="2357"/>
    </row>
    <row r="186" spans="2:11" ht="15" hidden="1" x14ac:dyDescent="0.2">
      <c r="B186" s="2219" t="s">
        <v>91</v>
      </c>
      <c r="C186" s="2431">
        <v>56</v>
      </c>
      <c r="D186" s="2431">
        <v>7</v>
      </c>
      <c r="E186" s="2431">
        <v>4</v>
      </c>
      <c r="F186" s="2220" t="s">
        <v>1349</v>
      </c>
      <c r="G186" s="2431"/>
      <c r="H186" s="2220">
        <v>226</v>
      </c>
      <c r="I186" s="1255">
        <v>11.5</v>
      </c>
      <c r="J186" s="2427">
        <v>1138.4000000000001</v>
      </c>
      <c r="K186" s="2357"/>
    </row>
    <row r="187" spans="2:11" ht="15" hidden="1" x14ac:dyDescent="0.2">
      <c r="B187" s="2219" t="s">
        <v>94</v>
      </c>
      <c r="C187" s="2431">
        <v>56</v>
      </c>
      <c r="D187" s="2431">
        <v>7</v>
      </c>
      <c r="E187" s="2431">
        <v>4</v>
      </c>
      <c r="F187" s="2220" t="s">
        <v>1349</v>
      </c>
      <c r="G187" s="2431"/>
      <c r="H187" s="2220">
        <v>290</v>
      </c>
      <c r="I187" s="1255">
        <v>25.1</v>
      </c>
      <c r="J187" s="2428">
        <v>25.1</v>
      </c>
      <c r="K187" s="2357"/>
    </row>
    <row r="188" spans="2:11" ht="15" hidden="1" x14ac:dyDescent="0.2">
      <c r="B188" s="2219" t="s">
        <v>94</v>
      </c>
      <c r="C188" s="2431">
        <v>56</v>
      </c>
      <c r="D188" s="2431">
        <v>7</v>
      </c>
      <c r="E188" s="2431">
        <v>4</v>
      </c>
      <c r="F188" s="2220" t="s">
        <v>1349</v>
      </c>
      <c r="G188" s="2431"/>
      <c r="H188" s="2220">
        <v>290</v>
      </c>
      <c r="I188" s="1255">
        <v>677.2</v>
      </c>
      <c r="J188" s="2428">
        <v>677.2</v>
      </c>
      <c r="K188" s="2357"/>
    </row>
    <row r="189" spans="2:11" ht="15" hidden="1" x14ac:dyDescent="0.2">
      <c r="B189" s="2219" t="s">
        <v>96</v>
      </c>
      <c r="C189" s="2431">
        <v>56</v>
      </c>
      <c r="D189" s="2431">
        <v>7</v>
      </c>
      <c r="E189" s="2431">
        <v>4</v>
      </c>
      <c r="F189" s="2220" t="s">
        <v>1349</v>
      </c>
      <c r="G189" s="2431"/>
      <c r="H189" s="2220">
        <v>310</v>
      </c>
      <c r="I189" s="1255">
        <v>25.5</v>
      </c>
      <c r="J189" s="2428">
        <v>25.5</v>
      </c>
      <c r="K189" s="2357"/>
    </row>
    <row r="190" spans="2:11" ht="15" hidden="1" x14ac:dyDescent="0.2">
      <c r="B190" s="2219" t="s">
        <v>97</v>
      </c>
      <c r="C190" s="2431">
        <v>56</v>
      </c>
      <c r="D190" s="2431">
        <v>7</v>
      </c>
      <c r="E190" s="2431">
        <v>4</v>
      </c>
      <c r="F190" s="2220" t="s">
        <v>1349</v>
      </c>
      <c r="G190" s="2431"/>
      <c r="H190" s="2220">
        <v>340</v>
      </c>
      <c r="I190" s="1255">
        <v>22</v>
      </c>
      <c r="J190" s="2428">
        <v>272</v>
      </c>
      <c r="K190" s="2357"/>
    </row>
    <row r="191" spans="2:11" ht="15" hidden="1" x14ac:dyDescent="0.2">
      <c r="B191" s="2208" t="s">
        <v>767</v>
      </c>
      <c r="C191" s="2206">
        <v>56</v>
      </c>
      <c r="D191" s="2206">
        <v>7</v>
      </c>
      <c r="E191" s="2206">
        <v>4</v>
      </c>
      <c r="F191" s="2220" t="s">
        <v>1349</v>
      </c>
      <c r="G191" s="2206">
        <v>612</v>
      </c>
      <c r="H191" s="2206">
        <v>241</v>
      </c>
      <c r="I191" s="1252">
        <v>0</v>
      </c>
      <c r="J191" s="2425">
        <v>0</v>
      </c>
      <c r="K191" s="2357"/>
    </row>
    <row r="192" spans="2:11" ht="26" hidden="1" x14ac:dyDescent="0.2">
      <c r="B192" s="2552" t="s">
        <v>773</v>
      </c>
      <c r="C192" s="2553">
        <v>56</v>
      </c>
      <c r="D192" s="2553">
        <v>7</v>
      </c>
      <c r="E192" s="2553">
        <v>5</v>
      </c>
      <c r="F192" s="2553"/>
      <c r="G192" s="2553"/>
      <c r="H192" s="2553"/>
      <c r="I192" s="2555">
        <v>6506.7</v>
      </c>
      <c r="J192" s="2555">
        <v>6503.5</v>
      </c>
      <c r="K192" s="2357"/>
    </row>
    <row r="193" spans="2:11" ht="77" x14ac:dyDescent="0.2">
      <c r="B193" s="2535" t="s">
        <v>1351</v>
      </c>
      <c r="C193" s="2536">
        <v>56</v>
      </c>
      <c r="D193" s="2536">
        <v>7</v>
      </c>
      <c r="E193" s="2536">
        <v>5</v>
      </c>
      <c r="F193" s="2536" t="s">
        <v>1352</v>
      </c>
      <c r="G193" s="2558"/>
      <c r="H193" s="2558"/>
      <c r="I193" s="2559">
        <v>6506.7</v>
      </c>
      <c r="J193" s="2560">
        <v>6503.5</v>
      </c>
      <c r="K193" s="2357">
        <f>'2015'!J13</f>
        <v>6503.5</v>
      </c>
    </row>
    <row r="194" spans="2:11" ht="15" x14ac:dyDescent="0.2">
      <c r="B194" s="2540" t="s">
        <v>1125</v>
      </c>
      <c r="C194" s="2419">
        <v>56</v>
      </c>
      <c r="D194" s="2419">
        <v>7</v>
      </c>
      <c r="E194" s="2419">
        <v>5</v>
      </c>
      <c r="F194" s="2444" t="s">
        <v>1352</v>
      </c>
      <c r="G194" s="2419">
        <v>600</v>
      </c>
      <c r="H194" s="2422"/>
      <c r="I194" s="2421">
        <v>6506.7</v>
      </c>
      <c r="J194" s="2541">
        <v>6503.5</v>
      </c>
      <c r="K194" s="2357"/>
    </row>
    <row r="195" spans="2:11" ht="39" x14ac:dyDescent="0.2">
      <c r="B195" s="2542" t="s">
        <v>1135</v>
      </c>
      <c r="C195" s="2442">
        <v>56</v>
      </c>
      <c r="D195" s="2442">
        <v>7</v>
      </c>
      <c r="E195" s="2442">
        <v>5</v>
      </c>
      <c r="F195" s="2444" t="s">
        <v>1352</v>
      </c>
      <c r="G195" s="2442">
        <v>611</v>
      </c>
      <c r="H195" s="2208">
        <v>241</v>
      </c>
      <c r="I195" s="2412">
        <v>6506.7</v>
      </c>
      <c r="J195" s="2543">
        <v>6503.5</v>
      </c>
      <c r="K195" s="2357"/>
    </row>
    <row r="196" spans="2:11" ht="15" hidden="1" x14ac:dyDescent="0.2">
      <c r="B196" s="2544" t="s">
        <v>78</v>
      </c>
      <c r="C196" s="2444">
        <v>56</v>
      </c>
      <c r="D196" s="2444">
        <v>7</v>
      </c>
      <c r="E196" s="2444">
        <v>5</v>
      </c>
      <c r="F196" s="2444" t="s">
        <v>1352</v>
      </c>
      <c r="G196" s="2444"/>
      <c r="H196" s="2444">
        <v>211</v>
      </c>
      <c r="I196" s="1249">
        <v>4914.2</v>
      </c>
      <c r="J196" s="2545">
        <v>4914.2</v>
      </c>
      <c r="K196" s="2357"/>
    </row>
    <row r="197" spans="2:11" ht="15" hidden="1" x14ac:dyDescent="0.2">
      <c r="B197" s="2544" t="s">
        <v>83</v>
      </c>
      <c r="C197" s="2444">
        <v>56</v>
      </c>
      <c r="D197" s="2444">
        <v>7</v>
      </c>
      <c r="E197" s="2444">
        <v>5</v>
      </c>
      <c r="F197" s="2444" t="s">
        <v>1352</v>
      </c>
      <c r="G197" s="2444"/>
      <c r="H197" s="2444">
        <v>212</v>
      </c>
      <c r="I197" s="2400"/>
      <c r="J197" s="2546">
        <v>0</v>
      </c>
      <c r="K197" s="2357"/>
    </row>
    <row r="198" spans="2:11" ht="15" hidden="1" x14ac:dyDescent="0.2">
      <c r="B198" s="2544" t="s">
        <v>84</v>
      </c>
      <c r="C198" s="2444">
        <v>56</v>
      </c>
      <c r="D198" s="2444">
        <v>7</v>
      </c>
      <c r="E198" s="2444">
        <v>5</v>
      </c>
      <c r="F198" s="2444" t="s">
        <v>1352</v>
      </c>
      <c r="G198" s="2444"/>
      <c r="H198" s="2444">
        <v>213</v>
      </c>
      <c r="I198" s="1249">
        <v>1397.3</v>
      </c>
      <c r="J198" s="2545">
        <v>1397.3</v>
      </c>
      <c r="K198" s="2357"/>
    </row>
    <row r="199" spans="2:11" ht="15" hidden="1" x14ac:dyDescent="0.2">
      <c r="B199" s="2544" t="s">
        <v>85</v>
      </c>
      <c r="C199" s="2444">
        <v>56</v>
      </c>
      <c r="D199" s="2444">
        <v>7</v>
      </c>
      <c r="E199" s="2444">
        <v>5</v>
      </c>
      <c r="F199" s="2444" t="s">
        <v>1352</v>
      </c>
      <c r="G199" s="2444"/>
      <c r="H199" s="2444">
        <v>221</v>
      </c>
      <c r="I199" s="2400">
        <v>31.7</v>
      </c>
      <c r="J199" s="2546">
        <v>28.5</v>
      </c>
      <c r="K199" s="2357"/>
    </row>
    <row r="200" spans="2:11" ht="15" hidden="1" x14ac:dyDescent="0.2">
      <c r="B200" s="2544" t="s">
        <v>86</v>
      </c>
      <c r="C200" s="2444">
        <v>56</v>
      </c>
      <c r="D200" s="2444">
        <v>7</v>
      </c>
      <c r="E200" s="2444">
        <v>5</v>
      </c>
      <c r="F200" s="2444" t="s">
        <v>1352</v>
      </c>
      <c r="G200" s="2444"/>
      <c r="H200" s="2444">
        <v>222</v>
      </c>
      <c r="I200" s="2400"/>
      <c r="J200" s="2546"/>
      <c r="K200" s="2357"/>
    </row>
    <row r="201" spans="2:11" ht="15" hidden="1" x14ac:dyDescent="0.2">
      <c r="B201" s="2544" t="s">
        <v>87</v>
      </c>
      <c r="C201" s="2444">
        <v>56</v>
      </c>
      <c r="D201" s="2444">
        <v>7</v>
      </c>
      <c r="E201" s="2444">
        <v>5</v>
      </c>
      <c r="F201" s="2444" t="s">
        <v>1352</v>
      </c>
      <c r="G201" s="2444"/>
      <c r="H201" s="2444">
        <v>223</v>
      </c>
      <c r="I201" s="2400"/>
      <c r="J201" s="2546"/>
      <c r="K201" s="2357"/>
    </row>
    <row r="202" spans="2:11" ht="15" hidden="1" x14ac:dyDescent="0.2">
      <c r="B202" s="2544" t="s">
        <v>111</v>
      </c>
      <c r="C202" s="2444">
        <v>56</v>
      </c>
      <c r="D202" s="2444">
        <v>7</v>
      </c>
      <c r="E202" s="2444">
        <v>5</v>
      </c>
      <c r="F202" s="2444" t="s">
        <v>1352</v>
      </c>
      <c r="G202" s="2444"/>
      <c r="H202" s="2444">
        <v>224</v>
      </c>
      <c r="I202" s="2400"/>
      <c r="J202" s="2546"/>
      <c r="K202" s="2357"/>
    </row>
    <row r="203" spans="2:11" ht="15" hidden="1" x14ac:dyDescent="0.2">
      <c r="B203" s="2544" t="s">
        <v>90</v>
      </c>
      <c r="C203" s="2444">
        <v>56</v>
      </c>
      <c r="D203" s="2444">
        <v>7</v>
      </c>
      <c r="E203" s="2444">
        <v>5</v>
      </c>
      <c r="F203" s="2444" t="s">
        <v>1352</v>
      </c>
      <c r="G203" s="2444"/>
      <c r="H203" s="2444">
        <v>225</v>
      </c>
      <c r="I203" s="2400"/>
      <c r="J203" s="2546"/>
      <c r="K203" s="2357"/>
    </row>
    <row r="204" spans="2:11" ht="15" hidden="1" x14ac:dyDescent="0.2">
      <c r="B204" s="2544" t="s">
        <v>91</v>
      </c>
      <c r="C204" s="2444">
        <v>56</v>
      </c>
      <c r="D204" s="2444">
        <v>7</v>
      </c>
      <c r="E204" s="2444">
        <v>5</v>
      </c>
      <c r="F204" s="2444" t="s">
        <v>1352</v>
      </c>
      <c r="G204" s="2444"/>
      <c r="H204" s="2444">
        <v>226</v>
      </c>
      <c r="I204" s="1255">
        <v>140.19999999999999</v>
      </c>
      <c r="J204" s="2561">
        <v>140.19999999999999</v>
      </c>
      <c r="K204" s="2357"/>
    </row>
    <row r="205" spans="2:11" ht="15" hidden="1" x14ac:dyDescent="0.2">
      <c r="B205" s="2544" t="s">
        <v>94</v>
      </c>
      <c r="C205" s="2444">
        <v>56</v>
      </c>
      <c r="D205" s="2444">
        <v>7</v>
      </c>
      <c r="E205" s="2444">
        <v>5</v>
      </c>
      <c r="F205" s="2444" t="s">
        <v>1352</v>
      </c>
      <c r="G205" s="2444"/>
      <c r="H205" s="2444">
        <v>290</v>
      </c>
      <c r="I205" s="2400">
        <v>8.6999999999999993</v>
      </c>
      <c r="J205" s="2546">
        <v>8.6999999999999993</v>
      </c>
      <c r="K205" s="2357"/>
    </row>
    <row r="206" spans="2:11" ht="15" hidden="1" x14ac:dyDescent="0.2">
      <c r="B206" s="2544" t="s">
        <v>94</v>
      </c>
      <c r="C206" s="2444">
        <v>56</v>
      </c>
      <c r="D206" s="2444">
        <v>7</v>
      </c>
      <c r="E206" s="2444">
        <v>5</v>
      </c>
      <c r="F206" s="2444" t="s">
        <v>1352</v>
      </c>
      <c r="G206" s="2444"/>
      <c r="H206" s="2444">
        <v>290</v>
      </c>
      <c r="I206" s="2400"/>
      <c r="J206" s="2546"/>
      <c r="K206" s="2357"/>
    </row>
    <row r="207" spans="2:11" ht="15" hidden="1" x14ac:dyDescent="0.2">
      <c r="B207" s="2544" t="s">
        <v>96</v>
      </c>
      <c r="C207" s="2444">
        <v>56</v>
      </c>
      <c r="D207" s="2444">
        <v>7</v>
      </c>
      <c r="E207" s="2444">
        <v>5</v>
      </c>
      <c r="F207" s="2444" t="s">
        <v>1352</v>
      </c>
      <c r="G207" s="2444"/>
      <c r="H207" s="2444">
        <v>310</v>
      </c>
      <c r="I207" s="1256"/>
      <c r="J207" s="2562"/>
      <c r="K207" s="2357"/>
    </row>
    <row r="208" spans="2:11" ht="15" hidden="1" x14ac:dyDescent="0.2">
      <c r="B208" s="2544" t="s">
        <v>97</v>
      </c>
      <c r="C208" s="2444">
        <v>56</v>
      </c>
      <c r="D208" s="2444">
        <v>7</v>
      </c>
      <c r="E208" s="2444">
        <v>5</v>
      </c>
      <c r="F208" s="2444" t="s">
        <v>1352</v>
      </c>
      <c r="G208" s="2444"/>
      <c r="H208" s="2444">
        <v>340</v>
      </c>
      <c r="I208" s="1255">
        <v>14.6</v>
      </c>
      <c r="J208" s="2561">
        <v>14.6</v>
      </c>
      <c r="K208" s="2357"/>
    </row>
    <row r="209" spans="2:11" ht="16" thickBot="1" x14ac:dyDescent="0.25">
      <c r="B209" s="2564" t="s">
        <v>767</v>
      </c>
      <c r="C209" s="2565">
        <v>56</v>
      </c>
      <c r="D209" s="2565">
        <v>7</v>
      </c>
      <c r="E209" s="2565">
        <v>5</v>
      </c>
      <c r="F209" s="2554" t="s">
        <v>1352</v>
      </c>
      <c r="G209" s="2565">
        <v>1</v>
      </c>
      <c r="H209" s="2565">
        <v>241</v>
      </c>
      <c r="I209" s="2566">
        <v>0</v>
      </c>
      <c r="J209" s="2567">
        <v>0</v>
      </c>
      <c r="K209" s="2357"/>
    </row>
    <row r="210" spans="2:11" ht="27" x14ac:dyDescent="0.2">
      <c r="B210" s="2575" t="s">
        <v>1830</v>
      </c>
      <c r="C210" s="2576">
        <v>56</v>
      </c>
      <c r="D210" s="2576">
        <v>7</v>
      </c>
      <c r="E210" s="2576">
        <v>3</v>
      </c>
      <c r="F210" s="2577">
        <v>9996162</v>
      </c>
      <c r="G210" s="2577">
        <v>350</v>
      </c>
      <c r="H210" s="2577">
        <v>290</v>
      </c>
      <c r="I210" s="2578">
        <v>0</v>
      </c>
      <c r="J210" s="2579">
        <v>350</v>
      </c>
      <c r="K210" s="2357"/>
    </row>
    <row r="211" spans="2:11" ht="16" thickBot="1" x14ac:dyDescent="0.25">
      <c r="B211" s="2547" t="s">
        <v>1831</v>
      </c>
      <c r="C211" s="2548">
        <v>56</v>
      </c>
      <c r="D211" s="2548">
        <v>7</v>
      </c>
      <c r="E211" s="2548">
        <v>9</v>
      </c>
      <c r="F211" s="2549">
        <v>9993038</v>
      </c>
      <c r="G211" s="2548">
        <v>340</v>
      </c>
      <c r="H211" s="2548">
        <v>290</v>
      </c>
      <c r="I211" s="2580">
        <v>0</v>
      </c>
      <c r="J211" s="2581">
        <v>1188</v>
      </c>
      <c r="K211" s="2357">
        <f>'2015'!J14</f>
        <v>1188</v>
      </c>
    </row>
    <row r="212" spans="2:11" ht="16" thickBot="1" x14ac:dyDescent="0.25">
      <c r="B212" s="2582" t="s">
        <v>1832</v>
      </c>
      <c r="C212" s="2583">
        <v>56</v>
      </c>
      <c r="D212" s="2584">
        <v>7</v>
      </c>
      <c r="E212" s="2584">
        <v>9</v>
      </c>
      <c r="F212" s="2585">
        <v>9996162</v>
      </c>
      <c r="G212" s="2584">
        <v>350</v>
      </c>
      <c r="H212" s="2584">
        <v>290</v>
      </c>
      <c r="I212" s="2586"/>
      <c r="J212" s="2587">
        <v>1500</v>
      </c>
      <c r="K212" s="2357">
        <f>'2015'!J15</f>
        <v>1500</v>
      </c>
    </row>
    <row r="213" spans="2:11" ht="18" hidden="1" x14ac:dyDescent="0.2">
      <c r="B213" s="2571" t="s">
        <v>1137</v>
      </c>
      <c r="C213" s="2572">
        <v>56</v>
      </c>
      <c r="D213" s="2572">
        <v>8</v>
      </c>
      <c r="E213" s="2569"/>
      <c r="F213" s="2573"/>
      <c r="G213" s="2573"/>
      <c r="H213" s="2573"/>
      <c r="I213" s="2574">
        <v>994219.1</v>
      </c>
      <c r="J213" s="2574">
        <v>1087347.852</v>
      </c>
      <c r="K213" s="2357"/>
    </row>
    <row r="214" spans="2:11" ht="18" hidden="1" x14ac:dyDescent="0.2">
      <c r="B214" s="2185" t="s">
        <v>777</v>
      </c>
      <c r="C214" s="2440">
        <v>56</v>
      </c>
      <c r="D214" s="2440">
        <v>8</v>
      </c>
      <c r="E214" s="2440">
        <v>1</v>
      </c>
      <c r="F214" s="2175"/>
      <c r="G214" s="2175"/>
      <c r="H214" s="2175"/>
      <c r="I214" s="2411">
        <v>962396.7</v>
      </c>
      <c r="J214" s="2411">
        <v>1033302.333</v>
      </c>
      <c r="K214" s="2357"/>
    </row>
    <row r="215" spans="2:11" ht="16" hidden="1" x14ac:dyDescent="0.2">
      <c r="B215" s="2407" t="s">
        <v>1421</v>
      </c>
      <c r="C215" s="2408">
        <v>56</v>
      </c>
      <c r="D215" s="2408">
        <v>8</v>
      </c>
      <c r="E215" s="2408">
        <v>1</v>
      </c>
      <c r="F215" s="2408"/>
      <c r="G215" s="2441"/>
      <c r="H215" s="2441"/>
      <c r="I215" s="2409">
        <v>961381.7</v>
      </c>
      <c r="J215" s="2409">
        <v>1025863.9</v>
      </c>
      <c r="K215" s="2357"/>
    </row>
    <row r="216" spans="2:11" ht="15" hidden="1" x14ac:dyDescent="0.2">
      <c r="B216" s="2219" t="s">
        <v>1125</v>
      </c>
      <c r="C216" s="2220">
        <v>56</v>
      </c>
      <c r="D216" s="2220">
        <v>8</v>
      </c>
      <c r="E216" s="2220">
        <v>1</v>
      </c>
      <c r="F216" s="2220">
        <v>2020000</v>
      </c>
      <c r="G216" s="2220">
        <v>600</v>
      </c>
      <c r="H216" s="2220"/>
      <c r="I216" s="2413">
        <v>947267.2</v>
      </c>
      <c r="J216" s="2413">
        <v>1016183.1</v>
      </c>
      <c r="K216" s="2357"/>
    </row>
    <row r="217" spans="2:11" ht="26" hidden="1" x14ac:dyDescent="0.2">
      <c r="B217" s="2208" t="s">
        <v>764</v>
      </c>
      <c r="C217" s="2206">
        <v>56</v>
      </c>
      <c r="D217" s="2206">
        <v>8</v>
      </c>
      <c r="E217" s="2206">
        <v>1</v>
      </c>
      <c r="F217" s="2220">
        <v>2020000</v>
      </c>
      <c r="G217" s="2206">
        <v>611</v>
      </c>
      <c r="H217" s="2206">
        <v>241</v>
      </c>
      <c r="I217" s="2412">
        <v>782820.7</v>
      </c>
      <c r="J217" s="2412">
        <v>777501.43599999999</v>
      </c>
      <c r="K217" s="2357"/>
    </row>
    <row r="218" spans="2:11" ht="15" hidden="1" x14ac:dyDescent="0.2">
      <c r="B218" s="2219" t="s">
        <v>78</v>
      </c>
      <c r="C218" s="2220">
        <v>56</v>
      </c>
      <c r="D218" s="2220">
        <v>8</v>
      </c>
      <c r="E218" s="2220">
        <v>1</v>
      </c>
      <c r="F218" s="2220">
        <v>2020000</v>
      </c>
      <c r="G218" s="2220"/>
      <c r="H218" s="2220">
        <v>211</v>
      </c>
      <c r="I218" s="2413">
        <v>507668</v>
      </c>
      <c r="J218" s="2413">
        <v>511278.8</v>
      </c>
      <c r="K218" s="2357"/>
    </row>
    <row r="219" spans="2:11" ht="15" hidden="1" x14ac:dyDescent="0.2">
      <c r="B219" s="2219" t="s">
        <v>83</v>
      </c>
      <c r="C219" s="2220">
        <v>56</v>
      </c>
      <c r="D219" s="2220">
        <v>8</v>
      </c>
      <c r="E219" s="2220">
        <v>1</v>
      </c>
      <c r="F219" s="2220">
        <v>2020000</v>
      </c>
      <c r="G219" s="2220"/>
      <c r="H219" s="2220">
        <v>212</v>
      </c>
      <c r="I219" s="2414">
        <v>125</v>
      </c>
      <c r="J219" s="2414">
        <v>2</v>
      </c>
      <c r="K219" s="2357"/>
    </row>
    <row r="220" spans="2:11" ht="15" hidden="1" x14ac:dyDescent="0.2">
      <c r="B220" s="2219" t="s">
        <v>84</v>
      </c>
      <c r="C220" s="2220">
        <v>56</v>
      </c>
      <c r="D220" s="2220">
        <v>8</v>
      </c>
      <c r="E220" s="2220">
        <v>1</v>
      </c>
      <c r="F220" s="2220">
        <v>2020000</v>
      </c>
      <c r="G220" s="2220"/>
      <c r="H220" s="2220">
        <v>213</v>
      </c>
      <c r="I220" s="2413">
        <v>147837.79999999999</v>
      </c>
      <c r="J220" s="2413">
        <v>145190.70000000001</v>
      </c>
      <c r="K220" s="2357"/>
    </row>
    <row r="221" spans="2:11" ht="15" hidden="1" x14ac:dyDescent="0.2">
      <c r="B221" s="2219" t="s">
        <v>85</v>
      </c>
      <c r="C221" s="2220">
        <v>56</v>
      </c>
      <c r="D221" s="2220">
        <v>8</v>
      </c>
      <c r="E221" s="2220">
        <v>1</v>
      </c>
      <c r="F221" s="2220">
        <v>2020000</v>
      </c>
      <c r="G221" s="2220"/>
      <c r="H221" s="2220">
        <v>221</v>
      </c>
      <c r="I221" s="2414">
        <v>687</v>
      </c>
      <c r="J221" s="2414">
        <v>553.46600000000001</v>
      </c>
      <c r="K221" s="2357"/>
    </row>
    <row r="222" spans="2:11" ht="15" hidden="1" x14ac:dyDescent="0.2">
      <c r="B222" s="2219" t="s">
        <v>86</v>
      </c>
      <c r="C222" s="2220">
        <v>56</v>
      </c>
      <c r="D222" s="2220">
        <v>8</v>
      </c>
      <c r="E222" s="2220">
        <v>1</v>
      </c>
      <c r="F222" s="2220">
        <v>2020000</v>
      </c>
      <c r="G222" s="2220"/>
      <c r="H222" s="2220">
        <v>222</v>
      </c>
      <c r="I222" s="2413">
        <v>1946.2</v>
      </c>
      <c r="J222" s="2413">
        <v>1447.7339999999999</v>
      </c>
      <c r="K222" s="2357"/>
    </row>
    <row r="223" spans="2:11" ht="15" hidden="1" x14ac:dyDescent="0.2">
      <c r="B223" s="2219" t="s">
        <v>87</v>
      </c>
      <c r="C223" s="2220">
        <v>56</v>
      </c>
      <c r="D223" s="2220">
        <v>8</v>
      </c>
      <c r="E223" s="2220">
        <v>1</v>
      </c>
      <c r="F223" s="2220">
        <v>2020000</v>
      </c>
      <c r="G223" s="2220"/>
      <c r="H223" s="2220">
        <v>223</v>
      </c>
      <c r="I223" s="2413">
        <v>15355.3</v>
      </c>
      <c r="J223" s="2413">
        <v>13845.7</v>
      </c>
      <c r="K223" s="2357"/>
    </row>
    <row r="224" spans="2:11" ht="15" hidden="1" x14ac:dyDescent="0.2">
      <c r="B224" s="2219" t="s">
        <v>111</v>
      </c>
      <c r="C224" s="2220">
        <v>56</v>
      </c>
      <c r="D224" s="2220">
        <v>8</v>
      </c>
      <c r="E224" s="2220">
        <v>1</v>
      </c>
      <c r="F224" s="2220">
        <v>2020000</v>
      </c>
      <c r="G224" s="2220"/>
      <c r="H224" s="2220">
        <v>224</v>
      </c>
      <c r="I224" s="2413">
        <v>3363</v>
      </c>
      <c r="J224" s="2413">
        <v>2922</v>
      </c>
      <c r="K224" s="2357"/>
    </row>
    <row r="225" spans="2:11" ht="15" hidden="1" x14ac:dyDescent="0.2">
      <c r="B225" s="2219" t="s">
        <v>90</v>
      </c>
      <c r="C225" s="2220">
        <v>56</v>
      </c>
      <c r="D225" s="2220">
        <v>8</v>
      </c>
      <c r="E225" s="2220">
        <v>1</v>
      </c>
      <c r="F225" s="2220">
        <v>2020000</v>
      </c>
      <c r="G225" s="2220"/>
      <c r="H225" s="2220">
        <v>225</v>
      </c>
      <c r="I225" s="2413">
        <v>1177.44</v>
      </c>
      <c r="J225" s="2413">
        <v>1341.74</v>
      </c>
      <c r="K225" s="2357"/>
    </row>
    <row r="226" spans="2:11" ht="15" hidden="1" x14ac:dyDescent="0.2">
      <c r="B226" s="2219" t="s">
        <v>91</v>
      </c>
      <c r="C226" s="2220">
        <v>56</v>
      </c>
      <c r="D226" s="2220">
        <v>8</v>
      </c>
      <c r="E226" s="2220">
        <v>1</v>
      </c>
      <c r="F226" s="2220">
        <v>2020000</v>
      </c>
      <c r="G226" s="2220"/>
      <c r="H226" s="2220">
        <v>226</v>
      </c>
      <c r="I226" s="2413">
        <v>60426</v>
      </c>
      <c r="J226" s="2413">
        <v>59661.235999999997</v>
      </c>
      <c r="K226" s="2357"/>
    </row>
    <row r="227" spans="2:11" ht="15" hidden="1" x14ac:dyDescent="0.2">
      <c r="B227" s="2219" t="s">
        <v>94</v>
      </c>
      <c r="C227" s="2220">
        <v>56</v>
      </c>
      <c r="D227" s="2220">
        <v>8</v>
      </c>
      <c r="E227" s="2220">
        <v>1</v>
      </c>
      <c r="F227" s="2220">
        <v>2020000</v>
      </c>
      <c r="G227" s="2220"/>
      <c r="H227" s="2220">
        <v>290</v>
      </c>
      <c r="I227" s="2413">
        <v>15146.4</v>
      </c>
      <c r="J227" s="2413">
        <v>15273.7</v>
      </c>
      <c r="K227" s="2357"/>
    </row>
    <row r="228" spans="2:11" ht="15" hidden="1" x14ac:dyDescent="0.2">
      <c r="B228" s="2219" t="s">
        <v>94</v>
      </c>
      <c r="C228" s="2220">
        <v>56</v>
      </c>
      <c r="D228" s="2220">
        <v>8</v>
      </c>
      <c r="E228" s="2220">
        <v>1</v>
      </c>
      <c r="F228" s="2220">
        <v>2020000</v>
      </c>
      <c r="G228" s="2220"/>
      <c r="H228" s="2220">
        <v>290</v>
      </c>
      <c r="I228" s="2414">
        <v>0</v>
      </c>
      <c r="J228" s="2414">
        <v>0</v>
      </c>
      <c r="K228" s="2357"/>
    </row>
    <row r="229" spans="2:11" ht="15" hidden="1" x14ac:dyDescent="0.2">
      <c r="B229" s="2219" t="s">
        <v>96</v>
      </c>
      <c r="C229" s="2220">
        <v>56</v>
      </c>
      <c r="D229" s="2220">
        <v>8</v>
      </c>
      <c r="E229" s="2220">
        <v>1</v>
      </c>
      <c r="F229" s="2220">
        <v>2020000</v>
      </c>
      <c r="G229" s="2220"/>
      <c r="H229" s="2220">
        <v>310</v>
      </c>
      <c r="I229" s="2413">
        <v>20938.7</v>
      </c>
      <c r="J229" s="2413">
        <v>16891.400000000001</v>
      </c>
      <c r="K229" s="2357"/>
    </row>
    <row r="230" spans="2:11" ht="15" hidden="1" x14ac:dyDescent="0.2">
      <c r="B230" s="2219" t="s">
        <v>97</v>
      </c>
      <c r="C230" s="2220">
        <v>56</v>
      </c>
      <c r="D230" s="2220">
        <v>8</v>
      </c>
      <c r="E230" s="2220">
        <v>1</v>
      </c>
      <c r="F230" s="2220">
        <v>2020000</v>
      </c>
      <c r="G230" s="2220"/>
      <c r="H230" s="2220">
        <v>340</v>
      </c>
      <c r="I230" s="2413">
        <v>8149.86</v>
      </c>
      <c r="J230" s="2413">
        <v>9092.9599999999991</v>
      </c>
      <c r="K230" s="2357"/>
    </row>
    <row r="231" spans="2:11" ht="15" hidden="1" x14ac:dyDescent="0.2">
      <c r="B231" s="2208" t="s">
        <v>767</v>
      </c>
      <c r="C231" s="2206">
        <v>56</v>
      </c>
      <c r="D231" s="2206">
        <v>8</v>
      </c>
      <c r="E231" s="2206">
        <v>1</v>
      </c>
      <c r="F231" s="2220">
        <v>2020000</v>
      </c>
      <c r="G231" s="2206">
        <v>612</v>
      </c>
      <c r="H231" s="2206">
        <v>241</v>
      </c>
      <c r="I231" s="2412">
        <v>164446.5</v>
      </c>
      <c r="J231" s="2412">
        <v>238681.66399999999</v>
      </c>
      <c r="K231" s="2357"/>
    </row>
    <row r="232" spans="2:11" ht="12.75" customHeight="1" x14ac:dyDescent="0.15">
      <c r="B232" s="2920" t="s">
        <v>1833</v>
      </c>
      <c r="C232" s="2922">
        <v>56</v>
      </c>
      <c r="D232" s="2922">
        <v>8</v>
      </c>
      <c r="E232" s="2922">
        <v>1</v>
      </c>
      <c r="F232" s="2922" t="s">
        <v>1355</v>
      </c>
      <c r="G232" s="2220">
        <v>540</v>
      </c>
      <c r="H232" s="2924">
        <v>251</v>
      </c>
      <c r="I232" s="2926">
        <v>1015</v>
      </c>
      <c r="J232" s="2631">
        <v>913.5</v>
      </c>
      <c r="K232" s="2928">
        <f>'2015'!J17</f>
        <v>913.5</v>
      </c>
    </row>
    <row r="233" spans="2:11" ht="13.5" customHeight="1" thickBot="1" x14ac:dyDescent="0.2">
      <c r="B233" s="2921"/>
      <c r="C233" s="2923"/>
      <c r="D233" s="2923"/>
      <c r="E233" s="2923"/>
      <c r="F233" s="2923"/>
      <c r="G233" s="2554">
        <v>-190</v>
      </c>
      <c r="H233" s="2925"/>
      <c r="I233" s="2927"/>
      <c r="J233" s="2632"/>
      <c r="K233" s="2928"/>
    </row>
    <row r="234" spans="2:11" ht="14" x14ac:dyDescent="0.15">
      <c r="B234" s="2593" t="s">
        <v>1108</v>
      </c>
      <c r="C234" s="2929">
        <v>56</v>
      </c>
      <c r="D234" s="2929">
        <v>8</v>
      </c>
      <c r="E234" s="2929">
        <v>1</v>
      </c>
      <c r="F234" s="2929">
        <v>2020159</v>
      </c>
      <c r="G234" s="2931"/>
      <c r="H234" s="2933"/>
      <c r="I234" s="2935"/>
      <c r="J234" s="2937"/>
      <c r="K234" s="2928"/>
    </row>
    <row r="235" spans="2:11" ht="55" x14ac:dyDescent="0.15">
      <c r="B235" s="2589" t="s">
        <v>1356</v>
      </c>
      <c r="C235" s="2930"/>
      <c r="D235" s="2930"/>
      <c r="E235" s="2930"/>
      <c r="F235" s="2930"/>
      <c r="G235" s="2932"/>
      <c r="H235" s="2934"/>
      <c r="I235" s="2936"/>
      <c r="J235" s="2938"/>
      <c r="K235" s="2928"/>
    </row>
    <row r="236" spans="2:11" ht="28.5" customHeight="1" x14ac:dyDescent="0.2">
      <c r="B236" s="2540" t="s">
        <v>1125</v>
      </c>
      <c r="C236" s="2443">
        <v>56</v>
      </c>
      <c r="D236" s="2443">
        <v>8</v>
      </c>
      <c r="E236" s="2443">
        <v>1</v>
      </c>
      <c r="F236" s="2443">
        <v>2020159</v>
      </c>
      <c r="G236" s="2419">
        <v>600</v>
      </c>
      <c r="H236" s="2419"/>
      <c r="I236" s="2421">
        <v>32231.9</v>
      </c>
      <c r="J236" s="2541">
        <v>32010.5</v>
      </c>
      <c r="K236" s="2357">
        <f>'2015'!J21</f>
        <v>32010.5</v>
      </c>
    </row>
    <row r="237" spans="2:11" ht="41.25" customHeight="1" x14ac:dyDescent="0.2">
      <c r="B237" s="2602" t="s">
        <v>1135</v>
      </c>
      <c r="C237" s="2595">
        <v>56</v>
      </c>
      <c r="D237" s="2595">
        <v>8</v>
      </c>
      <c r="E237" s="2595">
        <v>1</v>
      </c>
      <c r="F237" s="2595">
        <v>2020159</v>
      </c>
      <c r="G237" s="2596">
        <v>611</v>
      </c>
      <c r="H237" s="2596">
        <v>241</v>
      </c>
      <c r="I237" s="2597">
        <v>12231.9</v>
      </c>
      <c r="J237" s="2603">
        <v>12697.5</v>
      </c>
      <c r="K237" s="2357"/>
    </row>
    <row r="238" spans="2:11" ht="0.75" hidden="1" customHeight="1" x14ac:dyDescent="0.2">
      <c r="B238" s="2604" t="s">
        <v>124</v>
      </c>
      <c r="C238" s="2598">
        <v>56</v>
      </c>
      <c r="D238" s="2598">
        <v>8</v>
      </c>
      <c r="E238" s="2598">
        <v>1</v>
      </c>
      <c r="F238" s="2598">
        <v>2020159</v>
      </c>
      <c r="G238" s="1573"/>
      <c r="H238" s="1573">
        <v>211</v>
      </c>
      <c r="I238" s="2599">
        <v>8998.1</v>
      </c>
      <c r="J238" s="2605">
        <v>8998.1</v>
      </c>
      <c r="K238" s="2357"/>
    </row>
    <row r="239" spans="2:11" ht="0.75" hidden="1" customHeight="1" x14ac:dyDescent="0.2">
      <c r="B239" s="2604" t="s">
        <v>83</v>
      </c>
      <c r="C239" s="2598">
        <v>56</v>
      </c>
      <c r="D239" s="2598">
        <v>8</v>
      </c>
      <c r="E239" s="2598">
        <v>1</v>
      </c>
      <c r="F239" s="2598">
        <v>2020159</v>
      </c>
      <c r="G239" s="1573"/>
      <c r="H239" s="1573">
        <v>212</v>
      </c>
      <c r="I239" s="2600"/>
      <c r="J239" s="2606"/>
      <c r="K239" s="2357"/>
    </row>
    <row r="240" spans="2:11" ht="0.75" hidden="1" customHeight="1" x14ac:dyDescent="0.2">
      <c r="B240" s="2604" t="s">
        <v>84</v>
      </c>
      <c r="C240" s="2598">
        <v>56</v>
      </c>
      <c r="D240" s="2598">
        <v>8</v>
      </c>
      <c r="E240" s="2598">
        <v>1</v>
      </c>
      <c r="F240" s="2598">
        <v>2020159</v>
      </c>
      <c r="G240" s="1573"/>
      <c r="H240" s="1573">
        <v>213</v>
      </c>
      <c r="I240" s="2599">
        <v>2622</v>
      </c>
      <c r="J240" s="2605">
        <v>2622</v>
      </c>
      <c r="K240" s="2357"/>
    </row>
    <row r="241" spans="2:11" ht="0.75" hidden="1" customHeight="1" x14ac:dyDescent="0.2">
      <c r="B241" s="2604" t="s">
        <v>85</v>
      </c>
      <c r="C241" s="2598">
        <v>56</v>
      </c>
      <c r="D241" s="2598">
        <v>8</v>
      </c>
      <c r="E241" s="2598">
        <v>1</v>
      </c>
      <c r="F241" s="2598">
        <v>2020159</v>
      </c>
      <c r="G241" s="1573"/>
      <c r="H241" s="1573">
        <v>221</v>
      </c>
      <c r="I241" s="2600">
        <v>14.5</v>
      </c>
      <c r="J241" s="2606">
        <v>0</v>
      </c>
      <c r="K241" s="2357"/>
    </row>
    <row r="242" spans="2:11" ht="0.75" hidden="1" customHeight="1" x14ac:dyDescent="0.2">
      <c r="B242" s="2604" t="s">
        <v>86</v>
      </c>
      <c r="C242" s="2598">
        <v>56</v>
      </c>
      <c r="D242" s="2598">
        <v>8</v>
      </c>
      <c r="E242" s="2598">
        <v>1</v>
      </c>
      <c r="F242" s="2598">
        <v>2020159</v>
      </c>
      <c r="G242" s="1573"/>
      <c r="H242" s="1573">
        <v>222</v>
      </c>
      <c r="I242" s="2600"/>
      <c r="J242" s="2606"/>
      <c r="K242" s="2357"/>
    </row>
    <row r="243" spans="2:11" ht="0.75" hidden="1" customHeight="1" x14ac:dyDescent="0.2">
      <c r="B243" s="2604" t="s">
        <v>87</v>
      </c>
      <c r="C243" s="2598">
        <v>56</v>
      </c>
      <c r="D243" s="2598">
        <v>8</v>
      </c>
      <c r="E243" s="2598">
        <v>1</v>
      </c>
      <c r="F243" s="2598">
        <v>2020159</v>
      </c>
      <c r="G243" s="1573"/>
      <c r="H243" s="1573">
        <v>223</v>
      </c>
      <c r="I243" s="2600">
        <v>271.39999999999998</v>
      </c>
      <c r="J243" s="2606">
        <v>224.3</v>
      </c>
      <c r="K243" s="2357"/>
    </row>
    <row r="244" spans="2:11" ht="0.75" hidden="1" customHeight="1" x14ac:dyDescent="0.2">
      <c r="B244" s="2604" t="s">
        <v>111</v>
      </c>
      <c r="C244" s="2598">
        <v>56</v>
      </c>
      <c r="D244" s="2598">
        <v>8</v>
      </c>
      <c r="E244" s="2598">
        <v>1</v>
      </c>
      <c r="F244" s="2598">
        <v>2020159</v>
      </c>
      <c r="G244" s="1573"/>
      <c r="H244" s="1573">
        <v>224</v>
      </c>
      <c r="I244" s="2600"/>
      <c r="J244" s="2606"/>
      <c r="K244" s="2357"/>
    </row>
    <row r="245" spans="2:11" ht="0.75" hidden="1" customHeight="1" x14ac:dyDescent="0.2">
      <c r="B245" s="2604" t="s">
        <v>90</v>
      </c>
      <c r="C245" s="2598">
        <v>56</v>
      </c>
      <c r="D245" s="2598">
        <v>8</v>
      </c>
      <c r="E245" s="2598">
        <v>1</v>
      </c>
      <c r="F245" s="2598">
        <v>2020159</v>
      </c>
      <c r="G245" s="1573"/>
      <c r="H245" s="1573">
        <v>225</v>
      </c>
      <c r="I245" s="2600"/>
      <c r="J245" s="2606"/>
      <c r="K245" s="2357"/>
    </row>
    <row r="246" spans="2:11" ht="0.75" hidden="1" customHeight="1" x14ac:dyDescent="0.2">
      <c r="B246" s="2604" t="s">
        <v>91</v>
      </c>
      <c r="C246" s="2598">
        <v>56</v>
      </c>
      <c r="D246" s="2598">
        <v>8</v>
      </c>
      <c r="E246" s="2598">
        <v>1</v>
      </c>
      <c r="F246" s="2598">
        <v>2020159</v>
      </c>
      <c r="G246" s="1573"/>
      <c r="H246" s="1573">
        <v>226</v>
      </c>
      <c r="I246" s="2600"/>
      <c r="J246" s="2606"/>
      <c r="K246" s="2357"/>
    </row>
    <row r="247" spans="2:11" ht="0.75" hidden="1" customHeight="1" x14ac:dyDescent="0.2">
      <c r="B247" s="2604" t="s">
        <v>94</v>
      </c>
      <c r="C247" s="2598">
        <v>56</v>
      </c>
      <c r="D247" s="2598">
        <v>8</v>
      </c>
      <c r="E247" s="2598">
        <v>1</v>
      </c>
      <c r="F247" s="2598">
        <v>2020159</v>
      </c>
      <c r="G247" s="1573"/>
      <c r="H247" s="1573">
        <v>290</v>
      </c>
      <c r="I247" s="2600">
        <v>225.8</v>
      </c>
      <c r="J247" s="2606">
        <v>853.1</v>
      </c>
      <c r="K247" s="2357"/>
    </row>
    <row r="248" spans="2:11" ht="0.75" hidden="1" customHeight="1" x14ac:dyDescent="0.2">
      <c r="B248" s="2604" t="s">
        <v>94</v>
      </c>
      <c r="C248" s="2598">
        <v>56</v>
      </c>
      <c r="D248" s="2598">
        <v>8</v>
      </c>
      <c r="E248" s="2598">
        <v>1</v>
      </c>
      <c r="F248" s="2598">
        <v>2020159</v>
      </c>
      <c r="G248" s="1573"/>
      <c r="H248" s="1573">
        <v>290</v>
      </c>
      <c r="I248" s="2601"/>
      <c r="J248" s="2607"/>
      <c r="K248" s="2357"/>
    </row>
    <row r="249" spans="2:11" ht="0.75" hidden="1" customHeight="1" x14ac:dyDescent="0.2">
      <c r="B249" s="2604" t="s">
        <v>96</v>
      </c>
      <c r="C249" s="2598">
        <v>56</v>
      </c>
      <c r="D249" s="2598">
        <v>8</v>
      </c>
      <c r="E249" s="2598">
        <v>1</v>
      </c>
      <c r="F249" s="2598">
        <v>2020159</v>
      </c>
      <c r="G249" s="1573"/>
      <c r="H249" s="1573">
        <v>310</v>
      </c>
      <c r="I249" s="2600">
        <v>70</v>
      </c>
      <c r="J249" s="2606">
        <v>0</v>
      </c>
      <c r="K249" s="2357"/>
    </row>
    <row r="250" spans="2:11" ht="0.75" hidden="1" customHeight="1" x14ac:dyDescent="0.2">
      <c r="B250" s="2604" t="s">
        <v>97</v>
      </c>
      <c r="C250" s="2598">
        <v>56</v>
      </c>
      <c r="D250" s="2598">
        <v>8</v>
      </c>
      <c r="E250" s="2598">
        <v>1</v>
      </c>
      <c r="F250" s="2598">
        <v>2020159</v>
      </c>
      <c r="G250" s="1573"/>
      <c r="H250" s="1573">
        <v>340</v>
      </c>
      <c r="I250" s="2600">
        <v>30.1</v>
      </c>
      <c r="J250" s="2606">
        <v>0</v>
      </c>
      <c r="K250" s="2357"/>
    </row>
    <row r="251" spans="2:11" ht="28.5" customHeight="1" thickBot="1" x14ac:dyDescent="0.25">
      <c r="B251" s="2608" t="s">
        <v>767</v>
      </c>
      <c r="C251" s="2609">
        <v>56</v>
      </c>
      <c r="D251" s="2609">
        <v>8</v>
      </c>
      <c r="E251" s="2609">
        <v>1</v>
      </c>
      <c r="F251" s="2609">
        <v>2020159</v>
      </c>
      <c r="G251" s="2610">
        <v>612</v>
      </c>
      <c r="H251" s="2610">
        <v>241</v>
      </c>
      <c r="I251" s="2611">
        <v>20000</v>
      </c>
      <c r="J251" s="2612">
        <v>19313</v>
      </c>
      <c r="K251" s="2357"/>
    </row>
    <row r="252" spans="2:11" ht="28.5" customHeight="1" x14ac:dyDescent="0.15">
      <c r="B252" s="2588" t="s">
        <v>38</v>
      </c>
      <c r="C252" s="2931">
        <v>56</v>
      </c>
      <c r="D252" s="2931">
        <v>8</v>
      </c>
      <c r="E252" s="2931">
        <v>1</v>
      </c>
      <c r="F252" s="2929">
        <v>2020259</v>
      </c>
      <c r="G252" s="2941"/>
      <c r="H252" s="2931"/>
      <c r="I252" s="2939"/>
      <c r="J252" s="2937"/>
      <c r="K252" s="2928"/>
    </row>
    <row r="253" spans="2:11" ht="55" x14ac:dyDescent="0.15">
      <c r="B253" s="2589" t="s">
        <v>1357</v>
      </c>
      <c r="C253" s="2932"/>
      <c r="D253" s="2932"/>
      <c r="E253" s="2932"/>
      <c r="F253" s="2930"/>
      <c r="G253" s="2942"/>
      <c r="H253" s="2932"/>
      <c r="I253" s="2940"/>
      <c r="J253" s="2938"/>
      <c r="K253" s="2928"/>
    </row>
    <row r="254" spans="2:11" ht="15" x14ac:dyDescent="0.2">
      <c r="B254" s="2540" t="s">
        <v>1125</v>
      </c>
      <c r="C254" s="2444">
        <v>56</v>
      </c>
      <c r="D254" s="2444">
        <v>8</v>
      </c>
      <c r="E254" s="2444">
        <v>1</v>
      </c>
      <c r="F254" s="2443">
        <v>2020259</v>
      </c>
      <c r="G254" s="2419">
        <v>600</v>
      </c>
      <c r="H254" s="2419"/>
      <c r="I254" s="2421">
        <v>76090.3</v>
      </c>
      <c r="J254" s="2541">
        <v>83471.8</v>
      </c>
      <c r="K254" s="2357">
        <f>'2015'!J22</f>
        <v>83471.8</v>
      </c>
    </row>
    <row r="255" spans="2:11" ht="39" x14ac:dyDescent="0.2">
      <c r="B255" s="2542" t="s">
        <v>1135</v>
      </c>
      <c r="C255" s="2444">
        <v>56</v>
      </c>
      <c r="D255" s="2444">
        <v>8</v>
      </c>
      <c r="E255" s="2444">
        <v>1</v>
      </c>
      <c r="F255" s="2443">
        <v>2020259</v>
      </c>
      <c r="G255" s="2442">
        <v>611</v>
      </c>
      <c r="H255" s="2442">
        <v>241</v>
      </c>
      <c r="I255" s="2412">
        <v>60947.3</v>
      </c>
      <c r="J255" s="2543">
        <v>63328.800000000003</v>
      </c>
      <c r="K255" s="2357"/>
    </row>
    <row r="256" spans="2:11" ht="15" hidden="1" x14ac:dyDescent="0.2">
      <c r="B256" s="2544" t="s">
        <v>124</v>
      </c>
      <c r="C256" s="2444">
        <v>56</v>
      </c>
      <c r="D256" s="2444">
        <v>8</v>
      </c>
      <c r="E256" s="2444">
        <v>1</v>
      </c>
      <c r="F256" s="2443">
        <v>2020259</v>
      </c>
      <c r="G256" s="2444"/>
      <c r="H256" s="2444">
        <v>211</v>
      </c>
      <c r="I256" s="1249">
        <v>29777.9</v>
      </c>
      <c r="J256" s="2545">
        <v>31757.9</v>
      </c>
      <c r="K256" s="2357"/>
    </row>
    <row r="257" spans="2:11" ht="15" hidden="1" x14ac:dyDescent="0.2">
      <c r="B257" s="2544" t="s">
        <v>83</v>
      </c>
      <c r="C257" s="2444">
        <v>56</v>
      </c>
      <c r="D257" s="2444">
        <v>8</v>
      </c>
      <c r="E257" s="2444">
        <v>1</v>
      </c>
      <c r="F257" s="2443">
        <v>2020259</v>
      </c>
      <c r="G257" s="2444"/>
      <c r="H257" s="2444">
        <v>212</v>
      </c>
      <c r="I257" s="2400">
        <v>120</v>
      </c>
      <c r="J257" s="2546">
        <v>0</v>
      </c>
      <c r="K257" s="2357"/>
    </row>
    <row r="258" spans="2:11" ht="15" hidden="1" x14ac:dyDescent="0.2">
      <c r="B258" s="2544" t="s">
        <v>84</v>
      </c>
      <c r="C258" s="2444">
        <v>56</v>
      </c>
      <c r="D258" s="2444">
        <v>8</v>
      </c>
      <c r="E258" s="2444">
        <v>1</v>
      </c>
      <c r="F258" s="2443">
        <v>2020259</v>
      </c>
      <c r="G258" s="2444"/>
      <c r="H258" s="2444">
        <v>213</v>
      </c>
      <c r="I258" s="1249">
        <v>8677.2999999999993</v>
      </c>
      <c r="J258" s="2545">
        <v>9275.2999999999993</v>
      </c>
      <c r="K258" s="2357"/>
    </row>
    <row r="259" spans="2:11" ht="15" hidden="1" x14ac:dyDescent="0.2">
      <c r="B259" s="2544" t="s">
        <v>85</v>
      </c>
      <c r="C259" s="2444">
        <v>56</v>
      </c>
      <c r="D259" s="2444">
        <v>8</v>
      </c>
      <c r="E259" s="2444">
        <v>1</v>
      </c>
      <c r="F259" s="2443">
        <v>2020259</v>
      </c>
      <c r="G259" s="2444"/>
      <c r="H259" s="2444">
        <v>221</v>
      </c>
      <c r="I259" s="2400">
        <v>185</v>
      </c>
      <c r="J259" s="2546">
        <v>150.166</v>
      </c>
      <c r="K259" s="2357"/>
    </row>
    <row r="260" spans="2:11" ht="15" hidden="1" x14ac:dyDescent="0.2">
      <c r="B260" s="2544" t="s">
        <v>86</v>
      </c>
      <c r="C260" s="2444">
        <v>56</v>
      </c>
      <c r="D260" s="2444">
        <v>8</v>
      </c>
      <c r="E260" s="2444">
        <v>1</v>
      </c>
      <c r="F260" s="2443">
        <v>2020259</v>
      </c>
      <c r="G260" s="2444"/>
      <c r="H260" s="2444">
        <v>222</v>
      </c>
      <c r="I260" s="2400">
        <v>150</v>
      </c>
      <c r="J260" s="2546">
        <v>126.434</v>
      </c>
      <c r="K260" s="2357"/>
    </row>
    <row r="261" spans="2:11" ht="15" hidden="1" x14ac:dyDescent="0.2">
      <c r="B261" s="2544" t="s">
        <v>87</v>
      </c>
      <c r="C261" s="2444">
        <v>56</v>
      </c>
      <c r="D261" s="2444">
        <v>8</v>
      </c>
      <c r="E261" s="2444">
        <v>1</v>
      </c>
      <c r="F261" s="2443">
        <v>2020259</v>
      </c>
      <c r="G261" s="2444"/>
      <c r="H261" s="2444">
        <v>223</v>
      </c>
      <c r="I261" s="2400">
        <v>180.6</v>
      </c>
      <c r="J261" s="2546">
        <v>162.5</v>
      </c>
      <c r="K261" s="2357"/>
    </row>
    <row r="262" spans="2:11" ht="15" hidden="1" x14ac:dyDescent="0.2">
      <c r="B262" s="2544" t="s">
        <v>111</v>
      </c>
      <c r="C262" s="2444">
        <v>56</v>
      </c>
      <c r="D262" s="2444">
        <v>8</v>
      </c>
      <c r="E262" s="2444">
        <v>1</v>
      </c>
      <c r="F262" s="2443">
        <v>2020259</v>
      </c>
      <c r="G262" s="2444"/>
      <c r="H262" s="2444">
        <v>224</v>
      </c>
      <c r="I262" s="2400"/>
      <c r="J262" s="2546"/>
      <c r="K262" s="2357"/>
    </row>
    <row r="263" spans="2:11" ht="15" hidden="1" x14ac:dyDescent="0.2">
      <c r="B263" s="2544" t="s">
        <v>90</v>
      </c>
      <c r="C263" s="2444">
        <v>56</v>
      </c>
      <c r="D263" s="2444">
        <v>8</v>
      </c>
      <c r="E263" s="2444">
        <v>1</v>
      </c>
      <c r="F263" s="2443">
        <v>2020259</v>
      </c>
      <c r="G263" s="2444"/>
      <c r="H263" s="2444">
        <v>225</v>
      </c>
      <c r="I263" s="2400">
        <v>64.3</v>
      </c>
      <c r="J263" s="2546">
        <v>464.3</v>
      </c>
      <c r="K263" s="2357"/>
    </row>
    <row r="264" spans="2:11" ht="15" hidden="1" x14ac:dyDescent="0.2">
      <c r="B264" s="2544" t="s">
        <v>91</v>
      </c>
      <c r="C264" s="2444">
        <v>56</v>
      </c>
      <c r="D264" s="2444">
        <v>8</v>
      </c>
      <c r="E264" s="2444">
        <v>1</v>
      </c>
      <c r="F264" s="2443">
        <v>2020259</v>
      </c>
      <c r="G264" s="2444"/>
      <c r="H264" s="2444">
        <v>226</v>
      </c>
      <c r="I264" s="1249">
        <v>20214.8</v>
      </c>
      <c r="J264" s="2545">
        <v>19814.8</v>
      </c>
      <c r="K264" s="2357"/>
    </row>
    <row r="265" spans="2:11" ht="15" hidden="1" x14ac:dyDescent="0.2">
      <c r="B265" s="2544" t="s">
        <v>94</v>
      </c>
      <c r="C265" s="2444">
        <v>56</v>
      </c>
      <c r="D265" s="2444">
        <v>8</v>
      </c>
      <c r="E265" s="2444">
        <v>1</v>
      </c>
      <c r="F265" s="2443">
        <v>2020259</v>
      </c>
      <c r="G265" s="2444"/>
      <c r="H265" s="2444">
        <v>290</v>
      </c>
      <c r="I265" s="2400">
        <v>76.7</v>
      </c>
      <c r="J265" s="2546">
        <v>76.7</v>
      </c>
      <c r="K265" s="2357"/>
    </row>
    <row r="266" spans="2:11" ht="15" hidden="1" x14ac:dyDescent="0.2">
      <c r="B266" s="2544" t="s">
        <v>94</v>
      </c>
      <c r="C266" s="2444">
        <v>56</v>
      </c>
      <c r="D266" s="2444">
        <v>8</v>
      </c>
      <c r="E266" s="2444">
        <v>1</v>
      </c>
      <c r="F266" s="2443">
        <v>2020259</v>
      </c>
      <c r="G266" s="2444"/>
      <c r="H266" s="2444">
        <v>290</v>
      </c>
      <c r="I266" s="2400"/>
      <c r="J266" s="2546"/>
      <c r="K266" s="2357"/>
    </row>
    <row r="267" spans="2:11" ht="15" hidden="1" x14ac:dyDescent="0.2">
      <c r="B267" s="2544" t="s">
        <v>96</v>
      </c>
      <c r="C267" s="2444">
        <v>56</v>
      </c>
      <c r="D267" s="2444">
        <v>8</v>
      </c>
      <c r="E267" s="2444">
        <v>1</v>
      </c>
      <c r="F267" s="2443">
        <v>2020259</v>
      </c>
      <c r="G267" s="2444"/>
      <c r="H267" s="2444">
        <v>310</v>
      </c>
      <c r="I267" s="2400">
        <v>512.5</v>
      </c>
      <c r="J267" s="2546">
        <v>512.5</v>
      </c>
      <c r="K267" s="2357"/>
    </row>
    <row r="268" spans="2:11" ht="15" hidden="1" x14ac:dyDescent="0.2">
      <c r="B268" s="2544" t="s">
        <v>97</v>
      </c>
      <c r="C268" s="2444">
        <v>56</v>
      </c>
      <c r="D268" s="2444">
        <v>8</v>
      </c>
      <c r="E268" s="2444">
        <v>1</v>
      </c>
      <c r="F268" s="2443">
        <v>2020259</v>
      </c>
      <c r="G268" s="2444"/>
      <c r="H268" s="2444">
        <v>340</v>
      </c>
      <c r="I268" s="2400">
        <v>988.2</v>
      </c>
      <c r="J268" s="2546">
        <v>988.2</v>
      </c>
      <c r="K268" s="2357"/>
    </row>
    <row r="269" spans="2:11" ht="16" thickBot="1" x14ac:dyDescent="0.25">
      <c r="B269" s="2547" t="s">
        <v>767</v>
      </c>
      <c r="C269" s="2590">
        <v>56</v>
      </c>
      <c r="D269" s="2590">
        <v>8</v>
      </c>
      <c r="E269" s="2590">
        <v>1</v>
      </c>
      <c r="F269" s="2591">
        <v>2020259</v>
      </c>
      <c r="G269" s="2548">
        <v>612</v>
      </c>
      <c r="H269" s="2548">
        <v>241</v>
      </c>
      <c r="I269" s="2592">
        <v>15143</v>
      </c>
      <c r="J269" s="2581">
        <v>20143</v>
      </c>
      <c r="K269" s="2357"/>
    </row>
    <row r="270" spans="2:11" x14ac:dyDescent="0.15">
      <c r="B270" s="2588" t="s">
        <v>43</v>
      </c>
      <c r="C270" s="2931">
        <v>56</v>
      </c>
      <c r="D270" s="2931">
        <v>8</v>
      </c>
      <c r="E270" s="2931">
        <v>1</v>
      </c>
      <c r="F270" s="2929">
        <v>2020359</v>
      </c>
      <c r="G270" s="2941"/>
      <c r="H270" s="2933"/>
      <c r="I270" s="2939"/>
      <c r="J270" s="2937"/>
      <c r="K270" s="2928"/>
    </row>
    <row r="271" spans="2:11" ht="55" x14ac:dyDescent="0.15">
      <c r="B271" s="2589" t="s">
        <v>1358</v>
      </c>
      <c r="C271" s="2932"/>
      <c r="D271" s="2932"/>
      <c r="E271" s="2932"/>
      <c r="F271" s="2930"/>
      <c r="G271" s="2942"/>
      <c r="H271" s="2934"/>
      <c r="I271" s="2940"/>
      <c r="J271" s="2938"/>
      <c r="K271" s="2928"/>
    </row>
    <row r="272" spans="2:11" ht="15" x14ac:dyDescent="0.2">
      <c r="B272" s="2540" t="s">
        <v>1125</v>
      </c>
      <c r="C272" s="2444">
        <v>56</v>
      </c>
      <c r="D272" s="2444">
        <v>8</v>
      </c>
      <c r="E272" s="2444">
        <v>1</v>
      </c>
      <c r="F272" s="2443">
        <v>2020359</v>
      </c>
      <c r="G272" s="2419">
        <v>600</v>
      </c>
      <c r="H272" s="2419"/>
      <c r="I272" s="2421">
        <v>21370.1</v>
      </c>
      <c r="J272" s="2541">
        <v>22152.7</v>
      </c>
      <c r="K272" s="2357">
        <f>'2015'!J23</f>
        <v>22152.7</v>
      </c>
    </row>
    <row r="273" spans="2:11" ht="39" x14ac:dyDescent="0.2">
      <c r="B273" s="2542" t="s">
        <v>1135</v>
      </c>
      <c r="C273" s="2444">
        <v>56</v>
      </c>
      <c r="D273" s="2444">
        <v>8</v>
      </c>
      <c r="E273" s="2444">
        <v>1</v>
      </c>
      <c r="F273" s="2443">
        <v>2020359</v>
      </c>
      <c r="G273" s="2442">
        <v>611</v>
      </c>
      <c r="H273" s="2442">
        <v>241</v>
      </c>
      <c r="I273" s="2412">
        <v>2370.1</v>
      </c>
      <c r="J273" s="2543">
        <v>4340.4359999999997</v>
      </c>
      <c r="K273" s="2357"/>
    </row>
    <row r="274" spans="2:11" ht="0.75" hidden="1" customHeight="1" x14ac:dyDescent="0.2">
      <c r="B274" s="2544" t="s">
        <v>124</v>
      </c>
      <c r="C274" s="2444">
        <v>56</v>
      </c>
      <c r="D274" s="2444">
        <v>8</v>
      </c>
      <c r="E274" s="2444">
        <v>1</v>
      </c>
      <c r="F274" s="2443">
        <v>2020359</v>
      </c>
      <c r="G274" s="2444"/>
      <c r="H274" s="2444">
        <v>211</v>
      </c>
      <c r="I274" s="1249">
        <v>1082.3</v>
      </c>
      <c r="J274" s="2545">
        <v>1312.7</v>
      </c>
      <c r="K274" s="2357"/>
    </row>
    <row r="275" spans="2:11" ht="0.75" hidden="1" customHeight="1" x14ac:dyDescent="0.2">
      <c r="B275" s="2544" t="s">
        <v>83</v>
      </c>
      <c r="C275" s="2444">
        <v>56</v>
      </c>
      <c r="D275" s="2444">
        <v>8</v>
      </c>
      <c r="E275" s="2444">
        <v>1</v>
      </c>
      <c r="F275" s="2443">
        <v>2020359</v>
      </c>
      <c r="G275" s="2444"/>
      <c r="H275" s="2444">
        <v>212</v>
      </c>
      <c r="I275" s="2400"/>
      <c r="J275" s="2546"/>
      <c r="K275" s="2357"/>
    </row>
    <row r="276" spans="2:11" ht="0.75" hidden="1" customHeight="1" x14ac:dyDescent="0.2">
      <c r="B276" s="2544" t="s">
        <v>84</v>
      </c>
      <c r="C276" s="2444">
        <v>56</v>
      </c>
      <c r="D276" s="2444">
        <v>8</v>
      </c>
      <c r="E276" s="2444">
        <v>1</v>
      </c>
      <c r="F276" s="2443">
        <v>2020359</v>
      </c>
      <c r="G276" s="2444"/>
      <c r="H276" s="2444">
        <v>213</v>
      </c>
      <c r="I276" s="2400">
        <v>315.2</v>
      </c>
      <c r="J276" s="2546">
        <v>384.8</v>
      </c>
      <c r="K276" s="2357"/>
    </row>
    <row r="277" spans="2:11" ht="0.75" hidden="1" customHeight="1" x14ac:dyDescent="0.2">
      <c r="B277" s="2544" t="s">
        <v>85</v>
      </c>
      <c r="C277" s="2444">
        <v>56</v>
      </c>
      <c r="D277" s="2444">
        <v>8</v>
      </c>
      <c r="E277" s="2444">
        <v>1</v>
      </c>
      <c r="F277" s="2443">
        <v>2020359</v>
      </c>
      <c r="G277" s="2444"/>
      <c r="H277" s="2444">
        <v>221</v>
      </c>
      <c r="I277" s="2400">
        <v>18.7</v>
      </c>
      <c r="J277" s="2546">
        <v>16.8</v>
      </c>
      <c r="K277" s="2357"/>
    </row>
    <row r="278" spans="2:11" ht="0.75" hidden="1" customHeight="1" x14ac:dyDescent="0.2">
      <c r="B278" s="2544" t="s">
        <v>86</v>
      </c>
      <c r="C278" s="2444">
        <v>56</v>
      </c>
      <c r="D278" s="2444">
        <v>8</v>
      </c>
      <c r="E278" s="2444">
        <v>1</v>
      </c>
      <c r="F278" s="2443">
        <v>2020359</v>
      </c>
      <c r="G278" s="2444"/>
      <c r="H278" s="2444">
        <v>222</v>
      </c>
      <c r="I278" s="2400">
        <v>50</v>
      </c>
      <c r="J278" s="2546">
        <v>27.7</v>
      </c>
      <c r="K278" s="2357"/>
    </row>
    <row r="279" spans="2:11" ht="0.75" hidden="1" customHeight="1" x14ac:dyDescent="0.2">
      <c r="B279" s="2544" t="s">
        <v>87</v>
      </c>
      <c r="C279" s="2444">
        <v>56</v>
      </c>
      <c r="D279" s="2444">
        <v>8</v>
      </c>
      <c r="E279" s="2444">
        <v>1</v>
      </c>
      <c r="F279" s="2443">
        <v>2020359</v>
      </c>
      <c r="G279" s="2444"/>
      <c r="H279" s="2444">
        <v>223</v>
      </c>
      <c r="I279" s="2400"/>
      <c r="J279" s="2546"/>
      <c r="K279" s="2357"/>
    </row>
    <row r="280" spans="2:11" ht="0.75" hidden="1" customHeight="1" x14ac:dyDescent="0.2">
      <c r="B280" s="2544" t="s">
        <v>111</v>
      </c>
      <c r="C280" s="2444">
        <v>56</v>
      </c>
      <c r="D280" s="2444">
        <v>8</v>
      </c>
      <c r="E280" s="2444">
        <v>1</v>
      </c>
      <c r="F280" s="2443">
        <v>2020359</v>
      </c>
      <c r="G280" s="2444"/>
      <c r="H280" s="2444">
        <v>224</v>
      </c>
      <c r="I280" s="2400"/>
      <c r="J280" s="2546"/>
      <c r="K280" s="2357"/>
    </row>
    <row r="281" spans="2:11" ht="0.75" hidden="1" customHeight="1" x14ac:dyDescent="0.2">
      <c r="B281" s="2544" t="s">
        <v>90</v>
      </c>
      <c r="C281" s="2444">
        <v>56</v>
      </c>
      <c r="D281" s="2444">
        <v>8</v>
      </c>
      <c r="E281" s="2444">
        <v>1</v>
      </c>
      <c r="F281" s="2443">
        <v>2020359</v>
      </c>
      <c r="G281" s="2444"/>
      <c r="H281" s="2444">
        <v>225</v>
      </c>
      <c r="I281" s="2400">
        <v>10.1</v>
      </c>
      <c r="J281" s="2546">
        <v>0</v>
      </c>
      <c r="K281" s="2357"/>
    </row>
    <row r="282" spans="2:11" ht="0.75" hidden="1" customHeight="1" x14ac:dyDescent="0.2">
      <c r="B282" s="2544" t="s">
        <v>91</v>
      </c>
      <c r="C282" s="2444">
        <v>56</v>
      </c>
      <c r="D282" s="2444">
        <v>8</v>
      </c>
      <c r="E282" s="2444">
        <v>1</v>
      </c>
      <c r="F282" s="2443">
        <v>2020359</v>
      </c>
      <c r="G282" s="2444"/>
      <c r="H282" s="2444">
        <v>226</v>
      </c>
      <c r="I282" s="2400">
        <v>850</v>
      </c>
      <c r="J282" s="2545">
        <v>2594.636</v>
      </c>
      <c r="K282" s="2357"/>
    </row>
    <row r="283" spans="2:11" ht="0.75" hidden="1" customHeight="1" x14ac:dyDescent="0.2">
      <c r="B283" s="2544" t="s">
        <v>94</v>
      </c>
      <c r="C283" s="2444">
        <v>56</v>
      </c>
      <c r="D283" s="2444">
        <v>8</v>
      </c>
      <c r="E283" s="2444">
        <v>1</v>
      </c>
      <c r="F283" s="2443">
        <v>2020359</v>
      </c>
      <c r="G283" s="2444"/>
      <c r="H283" s="2444">
        <v>290</v>
      </c>
      <c r="I283" s="2400">
        <v>3.8</v>
      </c>
      <c r="J283" s="2546">
        <v>3.8</v>
      </c>
      <c r="K283" s="2357"/>
    </row>
    <row r="284" spans="2:11" ht="0.75" hidden="1" customHeight="1" x14ac:dyDescent="0.2">
      <c r="B284" s="2544" t="s">
        <v>94</v>
      </c>
      <c r="C284" s="2444">
        <v>56</v>
      </c>
      <c r="D284" s="2444">
        <v>8</v>
      </c>
      <c r="E284" s="2444">
        <v>1</v>
      </c>
      <c r="F284" s="2443">
        <v>2020359</v>
      </c>
      <c r="G284" s="2444"/>
      <c r="H284" s="2444">
        <v>290</v>
      </c>
      <c r="I284" s="2400"/>
      <c r="J284" s="2546"/>
      <c r="K284" s="2357"/>
    </row>
    <row r="285" spans="2:11" ht="0.75" hidden="1" customHeight="1" x14ac:dyDescent="0.2">
      <c r="B285" s="2544" t="s">
        <v>96</v>
      </c>
      <c r="C285" s="2444">
        <v>56</v>
      </c>
      <c r="D285" s="2444">
        <v>8</v>
      </c>
      <c r="E285" s="2444">
        <v>1</v>
      </c>
      <c r="F285" s="2443">
        <v>2020359</v>
      </c>
      <c r="G285" s="2444"/>
      <c r="H285" s="2444">
        <v>310</v>
      </c>
      <c r="I285" s="2400">
        <v>10</v>
      </c>
      <c r="J285" s="2546">
        <v>0</v>
      </c>
      <c r="K285" s="2357"/>
    </row>
    <row r="286" spans="2:11" ht="0.75" hidden="1" customHeight="1" x14ac:dyDescent="0.2">
      <c r="B286" s="2544" t="s">
        <v>97</v>
      </c>
      <c r="C286" s="2444">
        <v>56</v>
      </c>
      <c r="D286" s="2444">
        <v>8</v>
      </c>
      <c r="E286" s="2444">
        <v>1</v>
      </c>
      <c r="F286" s="2443">
        <v>2020359</v>
      </c>
      <c r="G286" s="2444"/>
      <c r="H286" s="2444">
        <v>340</v>
      </c>
      <c r="I286" s="2400">
        <v>30</v>
      </c>
      <c r="J286" s="2546">
        <v>0</v>
      </c>
      <c r="K286" s="2357"/>
    </row>
    <row r="287" spans="2:11" ht="16" thickBot="1" x14ac:dyDescent="0.25">
      <c r="B287" s="2547" t="s">
        <v>767</v>
      </c>
      <c r="C287" s="2549">
        <v>56</v>
      </c>
      <c r="D287" s="2549">
        <v>8</v>
      </c>
      <c r="E287" s="2549">
        <v>1</v>
      </c>
      <c r="F287" s="2594">
        <v>2020359</v>
      </c>
      <c r="G287" s="2548">
        <v>612</v>
      </c>
      <c r="H287" s="2548">
        <v>241</v>
      </c>
      <c r="I287" s="2592">
        <v>19000</v>
      </c>
      <c r="J287" s="2581">
        <v>17812.263999999999</v>
      </c>
      <c r="K287" s="2357"/>
    </row>
    <row r="288" spans="2:11" ht="55" x14ac:dyDescent="0.2">
      <c r="B288" s="2614" t="s">
        <v>1834</v>
      </c>
      <c r="C288" s="2536">
        <v>56</v>
      </c>
      <c r="D288" s="2536">
        <v>8</v>
      </c>
      <c r="E288" s="2536">
        <v>1</v>
      </c>
      <c r="F288" s="2615">
        <v>2020459</v>
      </c>
      <c r="G288" s="2616"/>
      <c r="H288" s="2616"/>
      <c r="I288" s="2617"/>
      <c r="J288" s="2618"/>
      <c r="K288" s="2357"/>
    </row>
    <row r="289" spans="2:11" ht="15" x14ac:dyDescent="0.2">
      <c r="B289" s="2540" t="s">
        <v>1125</v>
      </c>
      <c r="C289" s="2444">
        <v>56</v>
      </c>
      <c r="D289" s="2444">
        <v>8</v>
      </c>
      <c r="E289" s="2444">
        <v>1</v>
      </c>
      <c r="F289" s="2443">
        <v>2020459</v>
      </c>
      <c r="G289" s="2419">
        <v>600</v>
      </c>
      <c r="H289" s="2419"/>
      <c r="I289" s="2421">
        <v>198240.5</v>
      </c>
      <c r="J289" s="2541">
        <v>193022.2</v>
      </c>
      <c r="K289" s="2357">
        <f>'2015'!J24</f>
        <v>193022.3</v>
      </c>
    </row>
    <row r="290" spans="2:11" ht="39" x14ac:dyDescent="0.2">
      <c r="B290" s="2542" t="s">
        <v>1135</v>
      </c>
      <c r="C290" s="2444">
        <v>56</v>
      </c>
      <c r="D290" s="2444">
        <v>8</v>
      </c>
      <c r="E290" s="2444">
        <v>1</v>
      </c>
      <c r="F290" s="2443">
        <v>2020459</v>
      </c>
      <c r="G290" s="2442">
        <v>611</v>
      </c>
      <c r="H290" s="2442">
        <v>241</v>
      </c>
      <c r="I290" s="2412">
        <v>114227</v>
      </c>
      <c r="J290" s="2543">
        <v>110259.8</v>
      </c>
      <c r="K290" s="2357"/>
    </row>
    <row r="291" spans="2:11" ht="15" hidden="1" x14ac:dyDescent="0.2">
      <c r="B291" s="2544" t="s">
        <v>124</v>
      </c>
      <c r="C291" s="2444">
        <v>56</v>
      </c>
      <c r="D291" s="2444">
        <v>8</v>
      </c>
      <c r="E291" s="2444">
        <v>1</v>
      </c>
      <c r="F291" s="2443">
        <v>2020459</v>
      </c>
      <c r="G291" s="2444"/>
      <c r="H291" s="2444">
        <v>211</v>
      </c>
      <c r="I291" s="2413">
        <v>77200.800000000003</v>
      </c>
      <c r="J291" s="2545">
        <v>77200.800000000003</v>
      </c>
      <c r="K291" s="2357"/>
    </row>
    <row r="292" spans="2:11" ht="15" hidden="1" x14ac:dyDescent="0.2">
      <c r="B292" s="2544" t="s">
        <v>83</v>
      </c>
      <c r="C292" s="2444">
        <v>56</v>
      </c>
      <c r="D292" s="2444">
        <v>8</v>
      </c>
      <c r="E292" s="2444">
        <v>1</v>
      </c>
      <c r="F292" s="2443">
        <v>2020459</v>
      </c>
      <c r="G292" s="2444"/>
      <c r="H292" s="2444">
        <v>212</v>
      </c>
      <c r="I292" s="2445">
        <v>3</v>
      </c>
      <c r="J292" s="2546">
        <v>0</v>
      </c>
      <c r="K292" s="2357"/>
    </row>
    <row r="293" spans="2:11" ht="15" hidden="1" x14ac:dyDescent="0.2">
      <c r="B293" s="2544" t="s">
        <v>84</v>
      </c>
      <c r="C293" s="2444">
        <v>56</v>
      </c>
      <c r="D293" s="2444">
        <v>8</v>
      </c>
      <c r="E293" s="2444">
        <v>1</v>
      </c>
      <c r="F293" s="2443">
        <v>2020459</v>
      </c>
      <c r="G293" s="2444"/>
      <c r="H293" s="2444">
        <v>213</v>
      </c>
      <c r="I293" s="2413">
        <v>22500.1</v>
      </c>
      <c r="J293" s="2545">
        <v>22500.1</v>
      </c>
      <c r="K293" s="2357"/>
    </row>
    <row r="294" spans="2:11" ht="15" hidden="1" x14ac:dyDescent="0.2">
      <c r="B294" s="2544" t="s">
        <v>85</v>
      </c>
      <c r="C294" s="2444">
        <v>56</v>
      </c>
      <c r="D294" s="2444">
        <v>8</v>
      </c>
      <c r="E294" s="2444">
        <v>1</v>
      </c>
      <c r="F294" s="2443">
        <v>2020459</v>
      </c>
      <c r="G294" s="2444"/>
      <c r="H294" s="2444">
        <v>221</v>
      </c>
      <c r="I294" s="2445">
        <v>183.6</v>
      </c>
      <c r="J294" s="2546">
        <v>134.80000000000001</v>
      </c>
      <c r="K294" s="2357"/>
    </row>
    <row r="295" spans="2:11" ht="15" hidden="1" x14ac:dyDescent="0.2">
      <c r="B295" s="2544" t="s">
        <v>86</v>
      </c>
      <c r="C295" s="2444">
        <v>56</v>
      </c>
      <c r="D295" s="2444">
        <v>8</v>
      </c>
      <c r="E295" s="2444">
        <v>1</v>
      </c>
      <c r="F295" s="2443">
        <v>2020459</v>
      </c>
      <c r="G295" s="2444"/>
      <c r="H295" s="2444">
        <v>222</v>
      </c>
      <c r="I295" s="2445">
        <v>95</v>
      </c>
      <c r="J295" s="2546">
        <v>85.5</v>
      </c>
      <c r="K295" s="2357"/>
    </row>
    <row r="296" spans="2:11" ht="15" hidden="1" x14ac:dyDescent="0.2">
      <c r="B296" s="2544" t="s">
        <v>87</v>
      </c>
      <c r="C296" s="2444">
        <v>56</v>
      </c>
      <c r="D296" s="2444">
        <v>8</v>
      </c>
      <c r="E296" s="2444">
        <v>1</v>
      </c>
      <c r="F296" s="2443">
        <v>2020459</v>
      </c>
      <c r="G296" s="2444"/>
      <c r="H296" s="2444">
        <v>223</v>
      </c>
      <c r="I296" s="2413">
        <v>3400.1</v>
      </c>
      <c r="J296" s="2545">
        <v>3132</v>
      </c>
      <c r="K296" s="2357"/>
    </row>
    <row r="297" spans="2:11" ht="15" hidden="1" x14ac:dyDescent="0.2">
      <c r="B297" s="2544" t="s">
        <v>111</v>
      </c>
      <c r="C297" s="2444">
        <v>56</v>
      </c>
      <c r="D297" s="2444">
        <v>8</v>
      </c>
      <c r="E297" s="2444">
        <v>1</v>
      </c>
      <c r="F297" s="2443">
        <v>2020459</v>
      </c>
      <c r="G297" s="2444"/>
      <c r="H297" s="2444">
        <v>224</v>
      </c>
      <c r="I297" s="2413">
        <v>1800</v>
      </c>
      <c r="J297" s="2545">
        <v>1640</v>
      </c>
      <c r="K297" s="2357"/>
    </row>
    <row r="298" spans="2:11" ht="15" hidden="1" x14ac:dyDescent="0.2">
      <c r="B298" s="2544" t="s">
        <v>90</v>
      </c>
      <c r="C298" s="2444">
        <v>56</v>
      </c>
      <c r="D298" s="2444">
        <v>8</v>
      </c>
      <c r="E298" s="2444">
        <v>1</v>
      </c>
      <c r="F298" s="2443">
        <v>2020459</v>
      </c>
      <c r="G298" s="2444"/>
      <c r="H298" s="2444">
        <v>225</v>
      </c>
      <c r="I298" s="2445">
        <v>85.34</v>
      </c>
      <c r="J298" s="2546">
        <v>65.34</v>
      </c>
      <c r="K298" s="2357"/>
    </row>
    <row r="299" spans="2:11" ht="15" hidden="1" x14ac:dyDescent="0.2">
      <c r="B299" s="2544" t="s">
        <v>91</v>
      </c>
      <c r="C299" s="2444">
        <v>56</v>
      </c>
      <c r="D299" s="2444">
        <v>8</v>
      </c>
      <c r="E299" s="2444">
        <v>1</v>
      </c>
      <c r="F299" s="2443">
        <v>2020459</v>
      </c>
      <c r="G299" s="2444"/>
      <c r="H299" s="2444">
        <v>226</v>
      </c>
      <c r="I299" s="2413">
        <v>6335.3</v>
      </c>
      <c r="J299" s="2545">
        <v>2540.1999999999998</v>
      </c>
      <c r="K299" s="2357"/>
    </row>
    <row r="300" spans="2:11" ht="15" hidden="1" x14ac:dyDescent="0.2">
      <c r="B300" s="2544" t="s">
        <v>94</v>
      </c>
      <c r="C300" s="2444">
        <v>56</v>
      </c>
      <c r="D300" s="2444">
        <v>8</v>
      </c>
      <c r="E300" s="2444">
        <v>1</v>
      </c>
      <c r="F300" s="2443">
        <v>2020459</v>
      </c>
      <c r="G300" s="2444"/>
      <c r="H300" s="2444">
        <v>290</v>
      </c>
      <c r="I300" s="2413">
        <v>1307.7</v>
      </c>
      <c r="J300" s="2546">
        <v>937.8</v>
      </c>
      <c r="K300" s="2357"/>
    </row>
    <row r="301" spans="2:11" ht="15" hidden="1" x14ac:dyDescent="0.2">
      <c r="B301" s="2544" t="s">
        <v>94</v>
      </c>
      <c r="C301" s="2444">
        <v>56</v>
      </c>
      <c r="D301" s="2444">
        <v>8</v>
      </c>
      <c r="E301" s="2444">
        <v>1</v>
      </c>
      <c r="F301" s="2443">
        <v>2020459</v>
      </c>
      <c r="G301" s="2444"/>
      <c r="H301" s="2444">
        <v>290</v>
      </c>
      <c r="I301" s="2445">
        <v>0</v>
      </c>
      <c r="J301" s="2546">
        <v>0</v>
      </c>
      <c r="K301" s="2357"/>
    </row>
    <row r="302" spans="2:11" ht="15" hidden="1" x14ac:dyDescent="0.2">
      <c r="B302" s="2544" t="s">
        <v>96</v>
      </c>
      <c r="C302" s="2444">
        <v>56</v>
      </c>
      <c r="D302" s="2444">
        <v>8</v>
      </c>
      <c r="E302" s="2444">
        <v>1</v>
      </c>
      <c r="F302" s="2443">
        <v>2020459</v>
      </c>
      <c r="G302" s="2444"/>
      <c r="H302" s="2444">
        <v>310</v>
      </c>
      <c r="I302" s="2413">
        <v>1071.5</v>
      </c>
      <c r="J302" s="2545">
        <v>1831.2</v>
      </c>
      <c r="K302" s="2357"/>
    </row>
    <row r="303" spans="2:11" ht="15" hidden="1" x14ac:dyDescent="0.2">
      <c r="B303" s="2544" t="s">
        <v>97</v>
      </c>
      <c r="C303" s="2444">
        <v>56</v>
      </c>
      <c r="D303" s="2444">
        <v>8</v>
      </c>
      <c r="E303" s="2444">
        <v>1</v>
      </c>
      <c r="F303" s="2443">
        <v>2020459</v>
      </c>
      <c r="G303" s="2444"/>
      <c r="H303" s="2444">
        <v>340</v>
      </c>
      <c r="I303" s="2445">
        <v>244.56</v>
      </c>
      <c r="J303" s="2546">
        <v>192.06</v>
      </c>
      <c r="K303" s="2357"/>
    </row>
    <row r="304" spans="2:11" ht="16" thickBot="1" x14ac:dyDescent="0.25">
      <c r="B304" s="2547" t="s">
        <v>767</v>
      </c>
      <c r="C304" s="2549">
        <v>56</v>
      </c>
      <c r="D304" s="2549">
        <v>8</v>
      </c>
      <c r="E304" s="2549">
        <v>1</v>
      </c>
      <c r="F304" s="2594">
        <v>2020459</v>
      </c>
      <c r="G304" s="2548">
        <v>612</v>
      </c>
      <c r="H304" s="2548">
        <v>241</v>
      </c>
      <c r="I304" s="2619">
        <v>84013.5</v>
      </c>
      <c r="J304" s="2620">
        <v>82762.399999999994</v>
      </c>
      <c r="K304" s="2357"/>
    </row>
    <row r="305" spans="2:11" ht="39" hidden="1" x14ac:dyDescent="0.2">
      <c r="B305" s="2530" t="s">
        <v>1143</v>
      </c>
      <c r="C305" s="2532">
        <v>56</v>
      </c>
      <c r="D305" s="2532">
        <v>8</v>
      </c>
      <c r="E305" s="2532">
        <v>1</v>
      </c>
      <c r="F305" s="2570">
        <v>2020459</v>
      </c>
      <c r="G305" s="2613">
        <v>600</v>
      </c>
      <c r="H305" s="2531"/>
      <c r="I305" s="2534">
        <v>127836.4</v>
      </c>
      <c r="J305" s="2534">
        <v>126525.9</v>
      </c>
      <c r="K305" s="2357"/>
    </row>
    <row r="306" spans="2:11" ht="39" hidden="1" x14ac:dyDescent="0.2">
      <c r="B306" s="2208" t="s">
        <v>1135</v>
      </c>
      <c r="C306" s="2220">
        <v>56</v>
      </c>
      <c r="D306" s="2220">
        <v>8</v>
      </c>
      <c r="E306" s="2220">
        <v>1</v>
      </c>
      <c r="F306" s="2416">
        <v>2020459</v>
      </c>
      <c r="G306" s="2206">
        <v>611</v>
      </c>
      <c r="H306" s="2206">
        <v>241</v>
      </c>
      <c r="I306" s="2412">
        <v>57836.4</v>
      </c>
      <c r="J306" s="2412">
        <v>58027</v>
      </c>
      <c r="K306" s="2357"/>
    </row>
    <row r="307" spans="2:11" ht="15" hidden="1" x14ac:dyDescent="0.2">
      <c r="B307" s="2219" t="s">
        <v>124</v>
      </c>
      <c r="C307" s="2220">
        <v>56</v>
      </c>
      <c r="D307" s="2220">
        <v>8</v>
      </c>
      <c r="E307" s="2220">
        <v>1</v>
      </c>
      <c r="F307" s="2416">
        <v>2020459</v>
      </c>
      <c r="G307" s="2220"/>
      <c r="H307" s="2220">
        <v>211</v>
      </c>
      <c r="I307" s="1254">
        <v>41068.6</v>
      </c>
      <c r="J307" s="2427">
        <v>40914.1</v>
      </c>
      <c r="K307" s="2357"/>
    </row>
    <row r="308" spans="2:11" ht="15" hidden="1" x14ac:dyDescent="0.2">
      <c r="B308" s="2219" t="s">
        <v>83</v>
      </c>
      <c r="C308" s="2220">
        <v>56</v>
      </c>
      <c r="D308" s="2220">
        <v>8</v>
      </c>
      <c r="E308" s="2220">
        <v>1</v>
      </c>
      <c r="F308" s="2416">
        <v>2020459</v>
      </c>
      <c r="G308" s="2220"/>
      <c r="H308" s="2220">
        <v>212</v>
      </c>
      <c r="I308" s="1255">
        <v>3</v>
      </c>
      <c r="J308" s="2428">
        <v>0</v>
      </c>
      <c r="K308" s="2357"/>
    </row>
    <row r="309" spans="2:11" ht="15" hidden="1" x14ac:dyDescent="0.2">
      <c r="B309" s="2219" t="s">
        <v>84</v>
      </c>
      <c r="C309" s="2220">
        <v>56</v>
      </c>
      <c r="D309" s="2220">
        <v>8</v>
      </c>
      <c r="E309" s="2220">
        <v>1</v>
      </c>
      <c r="F309" s="2416">
        <v>2020459</v>
      </c>
      <c r="G309" s="2220"/>
      <c r="H309" s="2220">
        <v>213</v>
      </c>
      <c r="I309" s="1254">
        <v>11967.6</v>
      </c>
      <c r="J309" s="2427">
        <v>11920.9</v>
      </c>
      <c r="K309" s="2357"/>
    </row>
    <row r="310" spans="2:11" ht="15" hidden="1" x14ac:dyDescent="0.2">
      <c r="B310" s="2219" t="s">
        <v>85</v>
      </c>
      <c r="C310" s="2220">
        <v>56</v>
      </c>
      <c r="D310" s="2220">
        <v>8</v>
      </c>
      <c r="E310" s="2220">
        <v>1</v>
      </c>
      <c r="F310" s="2416">
        <v>2020459</v>
      </c>
      <c r="G310" s="2220"/>
      <c r="H310" s="2220">
        <v>221</v>
      </c>
      <c r="I310" s="1255">
        <v>67.2</v>
      </c>
      <c r="J310" s="2428">
        <v>60.5</v>
      </c>
      <c r="K310" s="2357"/>
    </row>
    <row r="311" spans="2:11" ht="15" hidden="1" x14ac:dyDescent="0.2">
      <c r="B311" s="2219" t="s">
        <v>86</v>
      </c>
      <c r="C311" s="2220">
        <v>56</v>
      </c>
      <c r="D311" s="2220">
        <v>8</v>
      </c>
      <c r="E311" s="2220">
        <v>1</v>
      </c>
      <c r="F311" s="2416">
        <v>2020459</v>
      </c>
      <c r="G311" s="2220"/>
      <c r="H311" s="2220">
        <v>222</v>
      </c>
      <c r="I311" s="1255">
        <v>84</v>
      </c>
      <c r="J311" s="2428">
        <v>75.599999999999994</v>
      </c>
      <c r="K311" s="2357"/>
    </row>
    <row r="312" spans="2:11" ht="15" hidden="1" x14ac:dyDescent="0.2">
      <c r="B312" s="2448" t="s">
        <v>87</v>
      </c>
      <c r="C312" s="2449">
        <v>56</v>
      </c>
      <c r="D312" s="2449">
        <v>8</v>
      </c>
      <c r="E312" s="2449">
        <v>1</v>
      </c>
      <c r="F312" s="2446">
        <v>2020459</v>
      </c>
      <c r="G312" s="2449"/>
      <c r="H312" s="2449">
        <v>223</v>
      </c>
      <c r="I312" s="2456">
        <v>1953.3</v>
      </c>
      <c r="J312" s="2457">
        <v>1953.3</v>
      </c>
      <c r="K312" s="2357"/>
    </row>
    <row r="313" spans="2:11" ht="15" hidden="1" x14ac:dyDescent="0.2">
      <c r="B313" s="2219" t="s">
        <v>111</v>
      </c>
      <c r="C313" s="2220">
        <v>56</v>
      </c>
      <c r="D313" s="2220">
        <v>8</v>
      </c>
      <c r="E313" s="2220">
        <v>1</v>
      </c>
      <c r="F313" s="2416">
        <v>2020459</v>
      </c>
      <c r="G313" s="2220"/>
      <c r="H313" s="2220">
        <v>224</v>
      </c>
      <c r="I313" s="1255"/>
      <c r="J313" s="2428"/>
      <c r="K313" s="2357"/>
    </row>
    <row r="314" spans="2:11" ht="15" hidden="1" x14ac:dyDescent="0.2">
      <c r="B314" s="2219" t="s">
        <v>90</v>
      </c>
      <c r="C314" s="2220">
        <v>56</v>
      </c>
      <c r="D314" s="2220">
        <v>8</v>
      </c>
      <c r="E314" s="2220">
        <v>1</v>
      </c>
      <c r="F314" s="2416">
        <v>2020459</v>
      </c>
      <c r="G314" s="2220"/>
      <c r="H314" s="2220">
        <v>225</v>
      </c>
      <c r="I314" s="1255">
        <v>20</v>
      </c>
      <c r="J314" s="2428">
        <v>0</v>
      </c>
      <c r="K314" s="2357"/>
    </row>
    <row r="315" spans="2:11" ht="15" hidden="1" x14ac:dyDescent="0.2">
      <c r="B315" s="2219" t="s">
        <v>91</v>
      </c>
      <c r="C315" s="2220">
        <v>56</v>
      </c>
      <c r="D315" s="2220">
        <v>8</v>
      </c>
      <c r="E315" s="2220">
        <v>1</v>
      </c>
      <c r="F315" s="2416">
        <v>2020459</v>
      </c>
      <c r="G315" s="2220"/>
      <c r="H315" s="2220">
        <v>226</v>
      </c>
      <c r="I315" s="1254">
        <v>1043</v>
      </c>
      <c r="J315" s="2428">
        <v>780</v>
      </c>
      <c r="K315" s="2357"/>
    </row>
    <row r="316" spans="2:11" ht="15" hidden="1" x14ac:dyDescent="0.2">
      <c r="B316" s="2219" t="s">
        <v>94</v>
      </c>
      <c r="C316" s="2220">
        <v>56</v>
      </c>
      <c r="D316" s="2220">
        <v>8</v>
      </c>
      <c r="E316" s="2220">
        <v>1</v>
      </c>
      <c r="F316" s="2416">
        <v>2020459</v>
      </c>
      <c r="G316" s="2220"/>
      <c r="H316" s="2220">
        <v>290</v>
      </c>
      <c r="I316" s="1255">
        <v>885.7</v>
      </c>
      <c r="J316" s="2428">
        <v>570.4</v>
      </c>
      <c r="K316" s="2357"/>
    </row>
    <row r="317" spans="2:11" ht="15" hidden="1" x14ac:dyDescent="0.2">
      <c r="B317" s="2219" t="s">
        <v>94</v>
      </c>
      <c r="C317" s="2220">
        <v>56</v>
      </c>
      <c r="D317" s="2220">
        <v>8</v>
      </c>
      <c r="E317" s="2220">
        <v>1</v>
      </c>
      <c r="F317" s="2416">
        <v>2020459</v>
      </c>
      <c r="G317" s="2220"/>
      <c r="H317" s="2220">
        <v>290</v>
      </c>
      <c r="I317" s="1255"/>
      <c r="J317" s="2428"/>
      <c r="K317" s="2357"/>
    </row>
    <row r="318" spans="2:11" ht="15" hidden="1" x14ac:dyDescent="0.2">
      <c r="B318" s="2219" t="s">
        <v>96</v>
      </c>
      <c r="C318" s="2220">
        <v>56</v>
      </c>
      <c r="D318" s="2220">
        <v>8</v>
      </c>
      <c r="E318" s="2220">
        <v>1</v>
      </c>
      <c r="F318" s="2416">
        <v>2020459</v>
      </c>
      <c r="G318" s="2220"/>
      <c r="H318" s="2220">
        <v>310</v>
      </c>
      <c r="I318" s="1255">
        <v>720</v>
      </c>
      <c r="J318" s="2427">
        <v>1752.2</v>
      </c>
      <c r="K318" s="2357"/>
    </row>
    <row r="319" spans="2:11" ht="15" hidden="1" x14ac:dyDescent="0.2">
      <c r="B319" s="2219" t="s">
        <v>97</v>
      </c>
      <c r="C319" s="2220">
        <v>56</v>
      </c>
      <c r="D319" s="2220">
        <v>8</v>
      </c>
      <c r="E319" s="2220">
        <v>1</v>
      </c>
      <c r="F319" s="2416">
        <v>2020459</v>
      </c>
      <c r="G319" s="2220"/>
      <c r="H319" s="2220">
        <v>340</v>
      </c>
      <c r="I319" s="1255">
        <v>24</v>
      </c>
      <c r="J319" s="2428">
        <v>0</v>
      </c>
      <c r="K319" s="2357"/>
    </row>
    <row r="320" spans="2:11" ht="15" hidden="1" x14ac:dyDescent="0.2">
      <c r="B320" s="2208" t="s">
        <v>767</v>
      </c>
      <c r="C320" s="2220">
        <v>56</v>
      </c>
      <c r="D320" s="2220">
        <v>8</v>
      </c>
      <c r="E320" s="2220">
        <v>1</v>
      </c>
      <c r="F320" s="2416">
        <v>2020459</v>
      </c>
      <c r="G320" s="2206">
        <v>612</v>
      </c>
      <c r="H320" s="2206">
        <v>241</v>
      </c>
      <c r="I320" s="1270">
        <v>70000</v>
      </c>
      <c r="J320" s="2438">
        <v>68498.899999999994</v>
      </c>
      <c r="K320" s="2357"/>
    </row>
    <row r="321" spans="2:11" ht="26" hidden="1" x14ac:dyDescent="0.2">
      <c r="B321" s="2422" t="s">
        <v>1144</v>
      </c>
      <c r="C321" s="2220">
        <v>56</v>
      </c>
      <c r="D321" s="2220">
        <v>8</v>
      </c>
      <c r="E321" s="2220">
        <v>1</v>
      </c>
      <c r="F321" s="2416">
        <v>2020459</v>
      </c>
      <c r="G321" s="2419">
        <v>600</v>
      </c>
      <c r="H321" s="2420"/>
      <c r="I321" s="2424">
        <v>15728</v>
      </c>
      <c r="J321" s="2424">
        <v>13214.3</v>
      </c>
      <c r="K321" s="2357"/>
    </row>
    <row r="322" spans="2:11" ht="39" hidden="1" x14ac:dyDescent="0.2">
      <c r="B322" s="2208" t="s">
        <v>1135</v>
      </c>
      <c r="C322" s="2220">
        <v>56</v>
      </c>
      <c r="D322" s="2220">
        <v>8</v>
      </c>
      <c r="E322" s="2220">
        <v>1</v>
      </c>
      <c r="F322" s="2416">
        <v>2020459</v>
      </c>
      <c r="G322" s="2206">
        <v>611</v>
      </c>
      <c r="H322" s="2206">
        <v>241</v>
      </c>
      <c r="I322" s="2412">
        <v>15728</v>
      </c>
      <c r="J322" s="2412">
        <v>13214.3</v>
      </c>
      <c r="K322" s="2357"/>
    </row>
    <row r="323" spans="2:11" ht="15" hidden="1" x14ac:dyDescent="0.2">
      <c r="B323" s="2219" t="s">
        <v>124</v>
      </c>
      <c r="C323" s="2220">
        <v>56</v>
      </c>
      <c r="D323" s="2220">
        <v>8</v>
      </c>
      <c r="E323" s="2220">
        <v>1</v>
      </c>
      <c r="F323" s="2416">
        <v>2020459</v>
      </c>
      <c r="G323" s="2220"/>
      <c r="H323" s="2220">
        <v>211</v>
      </c>
      <c r="I323" s="1254">
        <v>8973.7999999999993</v>
      </c>
      <c r="J323" s="2427">
        <v>8973.7999999999993</v>
      </c>
      <c r="K323" s="2357"/>
    </row>
    <row r="324" spans="2:11" ht="15" hidden="1" x14ac:dyDescent="0.2">
      <c r="B324" s="2219" t="s">
        <v>83</v>
      </c>
      <c r="C324" s="2220">
        <v>56</v>
      </c>
      <c r="D324" s="2220">
        <v>8</v>
      </c>
      <c r="E324" s="2220">
        <v>1</v>
      </c>
      <c r="F324" s="2416">
        <v>2020459</v>
      </c>
      <c r="G324" s="2220"/>
      <c r="H324" s="2220">
        <v>212</v>
      </c>
      <c r="I324" s="1255"/>
      <c r="J324" s="2428">
        <v>0</v>
      </c>
      <c r="K324" s="2357"/>
    </row>
    <row r="325" spans="2:11" ht="15" hidden="1" x14ac:dyDescent="0.2">
      <c r="B325" s="2219" t="s">
        <v>84</v>
      </c>
      <c r="C325" s="2220">
        <v>56</v>
      </c>
      <c r="D325" s="2220">
        <v>8</v>
      </c>
      <c r="E325" s="2220">
        <v>1</v>
      </c>
      <c r="F325" s="2416">
        <v>2020459</v>
      </c>
      <c r="G325" s="2220"/>
      <c r="H325" s="2220">
        <v>213</v>
      </c>
      <c r="I325" s="1254">
        <v>2615</v>
      </c>
      <c r="J325" s="2427">
        <v>2615</v>
      </c>
      <c r="K325" s="2357"/>
    </row>
    <row r="326" spans="2:11" ht="15" hidden="1" x14ac:dyDescent="0.2">
      <c r="B326" s="2219" t="s">
        <v>85</v>
      </c>
      <c r="C326" s="2220">
        <v>56</v>
      </c>
      <c r="D326" s="2220">
        <v>8</v>
      </c>
      <c r="E326" s="2220">
        <v>1</v>
      </c>
      <c r="F326" s="2416">
        <v>2020459</v>
      </c>
      <c r="G326" s="2220"/>
      <c r="H326" s="2220">
        <v>221</v>
      </c>
      <c r="I326" s="1255">
        <v>19.5</v>
      </c>
      <c r="J326" s="2428">
        <v>17.5</v>
      </c>
      <c r="K326" s="2357"/>
    </row>
    <row r="327" spans="2:11" ht="15" hidden="1" x14ac:dyDescent="0.2">
      <c r="B327" s="2219" t="s">
        <v>86</v>
      </c>
      <c r="C327" s="2220">
        <v>56</v>
      </c>
      <c r="D327" s="2220">
        <v>8</v>
      </c>
      <c r="E327" s="2220">
        <v>1</v>
      </c>
      <c r="F327" s="2416">
        <v>2020459</v>
      </c>
      <c r="G327" s="2220"/>
      <c r="H327" s="2220">
        <v>222</v>
      </c>
      <c r="I327" s="1255">
        <v>11</v>
      </c>
      <c r="J327" s="2428">
        <v>9.9</v>
      </c>
      <c r="K327" s="2357"/>
    </row>
    <row r="328" spans="2:11" ht="15" hidden="1" x14ac:dyDescent="0.2">
      <c r="B328" s="2219" t="s">
        <v>87</v>
      </c>
      <c r="C328" s="2220">
        <v>56</v>
      </c>
      <c r="D328" s="2220">
        <v>8</v>
      </c>
      <c r="E328" s="2220">
        <v>1</v>
      </c>
      <c r="F328" s="2416">
        <v>2020459</v>
      </c>
      <c r="G328" s="2220"/>
      <c r="H328" s="2220">
        <v>223</v>
      </c>
      <c r="I328" s="1255">
        <v>504.8</v>
      </c>
      <c r="J328" s="2428">
        <v>454.3</v>
      </c>
      <c r="K328" s="2357"/>
    </row>
    <row r="329" spans="2:11" ht="15" hidden="1" x14ac:dyDescent="0.2">
      <c r="B329" s="2219" t="s">
        <v>111</v>
      </c>
      <c r="C329" s="2220">
        <v>56</v>
      </c>
      <c r="D329" s="2220">
        <v>8</v>
      </c>
      <c r="E329" s="2220">
        <v>1</v>
      </c>
      <c r="F329" s="2416">
        <v>2020459</v>
      </c>
      <c r="G329" s="2220"/>
      <c r="H329" s="2220">
        <v>224</v>
      </c>
      <c r="I329" s="1255"/>
      <c r="J329" s="2428"/>
      <c r="K329" s="2357"/>
    </row>
    <row r="330" spans="2:11" ht="15" hidden="1" x14ac:dyDescent="0.2">
      <c r="B330" s="2219" t="s">
        <v>90</v>
      </c>
      <c r="C330" s="2220">
        <v>56</v>
      </c>
      <c r="D330" s="2220">
        <v>8</v>
      </c>
      <c r="E330" s="2220">
        <v>1</v>
      </c>
      <c r="F330" s="2416">
        <v>2020459</v>
      </c>
      <c r="G330" s="2220"/>
      <c r="H330" s="2220">
        <v>225</v>
      </c>
      <c r="I330" s="1255">
        <v>27.84</v>
      </c>
      <c r="J330" s="2428">
        <v>27.84</v>
      </c>
      <c r="K330" s="2357"/>
    </row>
    <row r="331" spans="2:11" ht="15" hidden="1" x14ac:dyDescent="0.2">
      <c r="B331" s="2219" t="s">
        <v>91</v>
      </c>
      <c r="C331" s="2220">
        <v>56</v>
      </c>
      <c r="D331" s="2220">
        <v>8</v>
      </c>
      <c r="E331" s="2220">
        <v>1</v>
      </c>
      <c r="F331" s="2416">
        <v>2020459</v>
      </c>
      <c r="G331" s="2220"/>
      <c r="H331" s="2220">
        <v>226</v>
      </c>
      <c r="I331" s="1254">
        <v>3150.3</v>
      </c>
      <c r="J331" s="2428">
        <v>791.2</v>
      </c>
      <c r="K331" s="2357"/>
    </row>
    <row r="332" spans="2:11" ht="15" hidden="1" x14ac:dyDescent="0.2">
      <c r="B332" s="2219" t="s">
        <v>94</v>
      </c>
      <c r="C332" s="2220">
        <v>56</v>
      </c>
      <c r="D332" s="2220">
        <v>8</v>
      </c>
      <c r="E332" s="2220">
        <v>1</v>
      </c>
      <c r="F332" s="2416">
        <v>2020459</v>
      </c>
      <c r="G332" s="2220"/>
      <c r="H332" s="2220">
        <v>290</v>
      </c>
      <c r="I332" s="1255">
        <v>153.69999999999999</v>
      </c>
      <c r="J332" s="2428">
        <v>153.69999999999999</v>
      </c>
      <c r="K332" s="2357"/>
    </row>
    <row r="333" spans="2:11" ht="15" hidden="1" x14ac:dyDescent="0.2">
      <c r="B333" s="2219" t="s">
        <v>94</v>
      </c>
      <c r="C333" s="2220">
        <v>56</v>
      </c>
      <c r="D333" s="2220">
        <v>8</v>
      </c>
      <c r="E333" s="2220">
        <v>1</v>
      </c>
      <c r="F333" s="2416">
        <v>2020459</v>
      </c>
      <c r="G333" s="2220"/>
      <c r="H333" s="2220">
        <v>290</v>
      </c>
      <c r="I333" s="1255"/>
      <c r="J333" s="2428"/>
      <c r="K333" s="2357"/>
    </row>
    <row r="334" spans="2:11" ht="15" hidden="1" x14ac:dyDescent="0.2">
      <c r="B334" s="2219" t="s">
        <v>96</v>
      </c>
      <c r="C334" s="2220">
        <v>56</v>
      </c>
      <c r="D334" s="2220">
        <v>8</v>
      </c>
      <c r="E334" s="2220">
        <v>1</v>
      </c>
      <c r="F334" s="2416">
        <v>2020459</v>
      </c>
      <c r="G334" s="2220"/>
      <c r="H334" s="2220">
        <v>310</v>
      </c>
      <c r="I334" s="1255">
        <v>180</v>
      </c>
      <c r="J334" s="2428">
        <v>79</v>
      </c>
      <c r="K334" s="2357"/>
    </row>
    <row r="335" spans="2:11" ht="15" hidden="1" x14ac:dyDescent="0.2">
      <c r="B335" s="2219" t="s">
        <v>97</v>
      </c>
      <c r="C335" s="2220">
        <v>56</v>
      </c>
      <c r="D335" s="2220">
        <v>8</v>
      </c>
      <c r="E335" s="2220">
        <v>1</v>
      </c>
      <c r="F335" s="2416">
        <v>2020459</v>
      </c>
      <c r="G335" s="2220"/>
      <c r="H335" s="2220">
        <v>340</v>
      </c>
      <c r="I335" s="1255">
        <v>92.06</v>
      </c>
      <c r="J335" s="2428">
        <v>92.06</v>
      </c>
      <c r="K335" s="2357"/>
    </row>
    <row r="336" spans="2:11" ht="15" hidden="1" x14ac:dyDescent="0.2">
      <c r="B336" s="2208" t="s">
        <v>767</v>
      </c>
      <c r="C336" s="2220">
        <v>56</v>
      </c>
      <c r="D336" s="2220">
        <v>8</v>
      </c>
      <c r="E336" s="2220">
        <v>1</v>
      </c>
      <c r="F336" s="2416">
        <v>2020459</v>
      </c>
      <c r="G336" s="2206">
        <v>612</v>
      </c>
      <c r="H336" s="2206">
        <v>241</v>
      </c>
      <c r="I336" s="1252">
        <v>0</v>
      </c>
      <c r="J336" s="2425">
        <v>0</v>
      </c>
      <c r="K336" s="2357"/>
    </row>
    <row r="337" spans="2:11" ht="39" hidden="1" x14ac:dyDescent="0.2">
      <c r="B337" s="2422" t="s">
        <v>1145</v>
      </c>
      <c r="C337" s="2220">
        <v>56</v>
      </c>
      <c r="D337" s="2220">
        <v>8</v>
      </c>
      <c r="E337" s="2220">
        <v>1</v>
      </c>
      <c r="F337" s="2416">
        <v>2020459</v>
      </c>
      <c r="G337" s="2419">
        <v>600</v>
      </c>
      <c r="H337" s="2420"/>
      <c r="I337" s="2424">
        <v>22100.3</v>
      </c>
      <c r="J337" s="2424">
        <v>20498.599999999999</v>
      </c>
      <c r="K337" s="2357"/>
    </row>
    <row r="338" spans="2:11" ht="39" hidden="1" x14ac:dyDescent="0.2">
      <c r="B338" s="2208" t="s">
        <v>1135</v>
      </c>
      <c r="C338" s="2220">
        <v>56</v>
      </c>
      <c r="D338" s="2220">
        <v>8</v>
      </c>
      <c r="E338" s="2220">
        <v>1</v>
      </c>
      <c r="F338" s="2416">
        <v>2020459</v>
      </c>
      <c r="G338" s="2206">
        <v>611</v>
      </c>
      <c r="H338" s="2206">
        <v>241</v>
      </c>
      <c r="I338" s="2412">
        <v>22100.3</v>
      </c>
      <c r="J338" s="2412">
        <v>20498.599999999999</v>
      </c>
      <c r="K338" s="2357"/>
    </row>
    <row r="339" spans="2:11" ht="15" hidden="1" x14ac:dyDescent="0.2">
      <c r="B339" s="2219" t="s">
        <v>124</v>
      </c>
      <c r="C339" s="2220">
        <v>56</v>
      </c>
      <c r="D339" s="2220">
        <v>8</v>
      </c>
      <c r="E339" s="2220">
        <v>1</v>
      </c>
      <c r="F339" s="2416">
        <v>2020459</v>
      </c>
      <c r="G339" s="2220"/>
      <c r="H339" s="2220">
        <v>211</v>
      </c>
      <c r="I339" s="1254">
        <v>14973.9</v>
      </c>
      <c r="J339" s="2427">
        <v>15328.4</v>
      </c>
      <c r="K339" s="2357"/>
    </row>
    <row r="340" spans="2:11" ht="15" hidden="1" x14ac:dyDescent="0.2">
      <c r="B340" s="2219" t="s">
        <v>83</v>
      </c>
      <c r="C340" s="2220">
        <v>56</v>
      </c>
      <c r="D340" s="2220">
        <v>8</v>
      </c>
      <c r="E340" s="2220">
        <v>1</v>
      </c>
      <c r="F340" s="2416">
        <v>2020459</v>
      </c>
      <c r="G340" s="2220"/>
      <c r="H340" s="2220">
        <v>212</v>
      </c>
      <c r="I340" s="1255"/>
      <c r="J340" s="2428"/>
      <c r="K340" s="2357"/>
    </row>
    <row r="341" spans="2:11" ht="15" hidden="1" x14ac:dyDescent="0.2">
      <c r="B341" s="2219" t="s">
        <v>84</v>
      </c>
      <c r="C341" s="2220">
        <v>56</v>
      </c>
      <c r="D341" s="2220">
        <v>8</v>
      </c>
      <c r="E341" s="2220">
        <v>1</v>
      </c>
      <c r="F341" s="2416">
        <v>2020459</v>
      </c>
      <c r="G341" s="2220"/>
      <c r="H341" s="2220">
        <v>213</v>
      </c>
      <c r="I341" s="1254">
        <v>4363.3999999999996</v>
      </c>
      <c r="J341" s="2427">
        <v>4470.5</v>
      </c>
      <c r="K341" s="2357"/>
    </row>
    <row r="342" spans="2:11" ht="15" hidden="1" x14ac:dyDescent="0.2">
      <c r="B342" s="2219" t="s">
        <v>85</v>
      </c>
      <c r="C342" s="2220">
        <v>56</v>
      </c>
      <c r="D342" s="2220">
        <v>8</v>
      </c>
      <c r="E342" s="2220">
        <v>1</v>
      </c>
      <c r="F342" s="2416">
        <v>2020459</v>
      </c>
      <c r="G342" s="2220"/>
      <c r="H342" s="2220">
        <v>221</v>
      </c>
      <c r="I342" s="1255">
        <v>50.7</v>
      </c>
      <c r="J342" s="2428">
        <v>45.6</v>
      </c>
      <c r="K342" s="2357"/>
    </row>
    <row r="343" spans="2:11" ht="15" hidden="1" x14ac:dyDescent="0.2">
      <c r="B343" s="2219" t="s">
        <v>86</v>
      </c>
      <c r="C343" s="2220">
        <v>56</v>
      </c>
      <c r="D343" s="2220">
        <v>8</v>
      </c>
      <c r="E343" s="2220">
        <v>1</v>
      </c>
      <c r="F343" s="2416">
        <v>2020459</v>
      </c>
      <c r="G343" s="2220"/>
      <c r="H343" s="2220">
        <v>222</v>
      </c>
      <c r="I343" s="1255"/>
      <c r="J343" s="2428"/>
      <c r="K343" s="2357"/>
    </row>
    <row r="344" spans="2:11" ht="15" hidden="1" x14ac:dyDescent="0.2">
      <c r="B344" s="2219" t="s">
        <v>87</v>
      </c>
      <c r="C344" s="2220">
        <v>56</v>
      </c>
      <c r="D344" s="2220">
        <v>8</v>
      </c>
      <c r="E344" s="2220">
        <v>1</v>
      </c>
      <c r="F344" s="2416">
        <v>2020459</v>
      </c>
      <c r="G344" s="2220"/>
      <c r="H344" s="2220">
        <v>223</v>
      </c>
      <c r="I344" s="1255">
        <v>451.6</v>
      </c>
      <c r="J344" s="2428">
        <v>406.4</v>
      </c>
      <c r="K344" s="2357"/>
    </row>
    <row r="345" spans="2:11" ht="15" hidden="1" x14ac:dyDescent="0.2">
      <c r="B345" s="2219" t="s">
        <v>111</v>
      </c>
      <c r="C345" s="2220">
        <v>56</v>
      </c>
      <c r="D345" s="2220">
        <v>8</v>
      </c>
      <c r="E345" s="2220">
        <v>1</v>
      </c>
      <c r="F345" s="2416">
        <v>2020459</v>
      </c>
      <c r="G345" s="2220"/>
      <c r="H345" s="2220">
        <v>224</v>
      </c>
      <c r="I345" s="1255"/>
      <c r="J345" s="2428"/>
      <c r="K345" s="2357"/>
    </row>
    <row r="346" spans="2:11" ht="15" hidden="1" x14ac:dyDescent="0.2">
      <c r="B346" s="2219" t="s">
        <v>90</v>
      </c>
      <c r="C346" s="2220">
        <v>56</v>
      </c>
      <c r="D346" s="2220">
        <v>8</v>
      </c>
      <c r="E346" s="2220">
        <v>1</v>
      </c>
      <c r="F346" s="2416">
        <v>2020459</v>
      </c>
      <c r="G346" s="2220"/>
      <c r="H346" s="2220">
        <v>225</v>
      </c>
      <c r="I346" s="1255">
        <v>37.5</v>
      </c>
      <c r="J346" s="2428">
        <v>37.5</v>
      </c>
      <c r="K346" s="2357"/>
    </row>
    <row r="347" spans="2:11" ht="15" hidden="1" x14ac:dyDescent="0.2">
      <c r="B347" s="2219" t="s">
        <v>91</v>
      </c>
      <c r="C347" s="2220">
        <v>56</v>
      </c>
      <c r="D347" s="2220">
        <v>8</v>
      </c>
      <c r="E347" s="2220">
        <v>1</v>
      </c>
      <c r="F347" s="2416">
        <v>2020459</v>
      </c>
      <c r="G347" s="2220"/>
      <c r="H347" s="2220">
        <v>226</v>
      </c>
      <c r="I347" s="1254">
        <v>2132</v>
      </c>
      <c r="J347" s="2428">
        <v>119</v>
      </c>
      <c r="K347" s="2357"/>
    </row>
    <row r="348" spans="2:11" ht="15" hidden="1" x14ac:dyDescent="0.2">
      <c r="B348" s="2219" t="s">
        <v>94</v>
      </c>
      <c r="C348" s="2220">
        <v>56</v>
      </c>
      <c r="D348" s="2220">
        <v>8</v>
      </c>
      <c r="E348" s="2220">
        <v>1</v>
      </c>
      <c r="F348" s="2416">
        <v>2020459</v>
      </c>
      <c r="G348" s="2220"/>
      <c r="H348" s="2220">
        <v>290</v>
      </c>
      <c r="I348" s="1255">
        <v>91.2</v>
      </c>
      <c r="J348" s="2428">
        <v>91.2</v>
      </c>
      <c r="K348" s="2357"/>
    </row>
    <row r="349" spans="2:11" ht="15" hidden="1" x14ac:dyDescent="0.2">
      <c r="B349" s="2219" t="s">
        <v>94</v>
      </c>
      <c r="C349" s="2220">
        <v>56</v>
      </c>
      <c r="D349" s="2220">
        <v>8</v>
      </c>
      <c r="E349" s="2220">
        <v>1</v>
      </c>
      <c r="F349" s="2416">
        <v>2020459</v>
      </c>
      <c r="G349" s="2220"/>
      <c r="H349" s="2220">
        <v>290</v>
      </c>
      <c r="I349" s="1255"/>
      <c r="J349" s="2428"/>
      <c r="K349" s="2357"/>
    </row>
    <row r="350" spans="2:11" ht="15" hidden="1" x14ac:dyDescent="0.2">
      <c r="B350" s="2219" t="s">
        <v>96</v>
      </c>
      <c r="C350" s="2220">
        <v>56</v>
      </c>
      <c r="D350" s="2220">
        <v>8</v>
      </c>
      <c r="E350" s="2220">
        <v>1</v>
      </c>
      <c r="F350" s="2416">
        <v>2020459</v>
      </c>
      <c r="G350" s="2220"/>
      <c r="H350" s="2220">
        <v>310</v>
      </c>
      <c r="I350" s="2184"/>
      <c r="J350" s="2434"/>
      <c r="K350" s="2357"/>
    </row>
    <row r="351" spans="2:11" ht="15" hidden="1" x14ac:dyDescent="0.2">
      <c r="B351" s="2219" t="s">
        <v>97</v>
      </c>
      <c r="C351" s="2220">
        <v>56</v>
      </c>
      <c r="D351" s="2220">
        <v>8</v>
      </c>
      <c r="E351" s="2220">
        <v>1</v>
      </c>
      <c r="F351" s="2416">
        <v>2020459</v>
      </c>
      <c r="G351" s="2220"/>
      <c r="H351" s="2220">
        <v>340</v>
      </c>
      <c r="I351" s="1255"/>
      <c r="J351" s="2428"/>
      <c r="K351" s="2357"/>
    </row>
    <row r="352" spans="2:11" ht="15" hidden="1" x14ac:dyDescent="0.2">
      <c r="B352" s="2208" t="s">
        <v>767</v>
      </c>
      <c r="C352" s="2220">
        <v>56</v>
      </c>
      <c r="D352" s="2220">
        <v>8</v>
      </c>
      <c r="E352" s="2220">
        <v>1</v>
      </c>
      <c r="F352" s="2416">
        <v>2020459</v>
      </c>
      <c r="G352" s="2206">
        <v>612</v>
      </c>
      <c r="H352" s="2206">
        <v>241</v>
      </c>
      <c r="I352" s="1252">
        <v>0</v>
      </c>
      <c r="J352" s="2425">
        <v>0</v>
      </c>
      <c r="K352" s="2357"/>
    </row>
    <row r="353" spans="2:11" ht="26" hidden="1" x14ac:dyDescent="0.2">
      <c r="B353" s="2422" t="s">
        <v>1146</v>
      </c>
      <c r="C353" s="2220">
        <v>56</v>
      </c>
      <c r="D353" s="2220">
        <v>8</v>
      </c>
      <c r="E353" s="2220">
        <v>1</v>
      </c>
      <c r="F353" s="2416">
        <v>2020459</v>
      </c>
      <c r="G353" s="2419">
        <v>600</v>
      </c>
      <c r="H353" s="2420"/>
      <c r="I353" s="2424">
        <v>24258</v>
      </c>
      <c r="J353" s="2424">
        <v>23591.3</v>
      </c>
      <c r="K353" s="2357"/>
    </row>
    <row r="354" spans="2:11" ht="39" hidden="1" x14ac:dyDescent="0.2">
      <c r="B354" s="2208" t="s">
        <v>1135</v>
      </c>
      <c r="C354" s="2220">
        <v>56</v>
      </c>
      <c r="D354" s="2220">
        <v>8</v>
      </c>
      <c r="E354" s="2220">
        <v>1</v>
      </c>
      <c r="F354" s="2416">
        <v>2020459</v>
      </c>
      <c r="G354" s="2206">
        <v>611</v>
      </c>
      <c r="H354" s="2206">
        <v>241</v>
      </c>
      <c r="I354" s="2412">
        <v>10244.5</v>
      </c>
      <c r="J354" s="2412">
        <v>9577.7999999999993</v>
      </c>
      <c r="K354" s="2357"/>
    </row>
    <row r="355" spans="2:11" ht="15" hidden="1" x14ac:dyDescent="0.2">
      <c r="B355" s="2219" t="s">
        <v>124</v>
      </c>
      <c r="C355" s="2220">
        <v>56</v>
      </c>
      <c r="D355" s="2220">
        <v>8</v>
      </c>
      <c r="E355" s="2220">
        <v>1</v>
      </c>
      <c r="F355" s="2416">
        <v>2020459</v>
      </c>
      <c r="G355" s="2220"/>
      <c r="H355" s="2220">
        <v>211</v>
      </c>
      <c r="I355" s="1254">
        <v>7002</v>
      </c>
      <c r="J355" s="2427">
        <v>6802</v>
      </c>
      <c r="K355" s="2357"/>
    </row>
    <row r="356" spans="2:11" ht="15" hidden="1" x14ac:dyDescent="0.2">
      <c r="B356" s="2219" t="s">
        <v>83</v>
      </c>
      <c r="C356" s="2220">
        <v>56</v>
      </c>
      <c r="D356" s="2220">
        <v>8</v>
      </c>
      <c r="E356" s="2220">
        <v>1</v>
      </c>
      <c r="F356" s="2416">
        <v>2020459</v>
      </c>
      <c r="G356" s="2220"/>
      <c r="H356" s="2220">
        <v>212</v>
      </c>
      <c r="I356" s="1255"/>
      <c r="J356" s="2428"/>
      <c r="K356" s="2357"/>
    </row>
    <row r="357" spans="2:11" ht="15" hidden="1" x14ac:dyDescent="0.2">
      <c r="B357" s="2219" t="s">
        <v>84</v>
      </c>
      <c r="C357" s="2220">
        <v>56</v>
      </c>
      <c r="D357" s="2220">
        <v>8</v>
      </c>
      <c r="E357" s="2220">
        <v>1</v>
      </c>
      <c r="F357" s="2416">
        <v>2020459</v>
      </c>
      <c r="G357" s="2220"/>
      <c r="H357" s="2220">
        <v>213</v>
      </c>
      <c r="I357" s="1254">
        <v>2040.4</v>
      </c>
      <c r="J357" s="2427">
        <v>1980</v>
      </c>
      <c r="K357" s="2357"/>
    </row>
    <row r="358" spans="2:11" ht="15" hidden="1" x14ac:dyDescent="0.2">
      <c r="B358" s="2219" t="s">
        <v>85</v>
      </c>
      <c r="C358" s="2220">
        <v>56</v>
      </c>
      <c r="D358" s="2220">
        <v>8</v>
      </c>
      <c r="E358" s="2220">
        <v>1</v>
      </c>
      <c r="F358" s="2416">
        <v>2020459</v>
      </c>
      <c r="G358" s="2220"/>
      <c r="H358" s="2220">
        <v>221</v>
      </c>
      <c r="I358" s="1255">
        <v>33.799999999999997</v>
      </c>
      <c r="J358" s="2428">
        <v>0</v>
      </c>
      <c r="K358" s="2357"/>
    </row>
    <row r="359" spans="2:11" ht="15" hidden="1" x14ac:dyDescent="0.2">
      <c r="B359" s="2219" t="s">
        <v>86</v>
      </c>
      <c r="C359" s="2220">
        <v>56</v>
      </c>
      <c r="D359" s="2220">
        <v>8</v>
      </c>
      <c r="E359" s="2220">
        <v>1</v>
      </c>
      <c r="F359" s="2416">
        <v>2020459</v>
      </c>
      <c r="G359" s="2220"/>
      <c r="H359" s="2220">
        <v>222</v>
      </c>
      <c r="I359" s="1255"/>
      <c r="J359" s="2428"/>
      <c r="K359" s="2357"/>
    </row>
    <row r="360" spans="2:11" ht="15" hidden="1" x14ac:dyDescent="0.2">
      <c r="B360" s="2219" t="s">
        <v>87</v>
      </c>
      <c r="C360" s="2220">
        <v>56</v>
      </c>
      <c r="D360" s="2220">
        <v>8</v>
      </c>
      <c r="E360" s="2220">
        <v>1</v>
      </c>
      <c r="F360" s="2416">
        <v>2020459</v>
      </c>
      <c r="G360" s="2220"/>
      <c r="H360" s="2220">
        <v>223</v>
      </c>
      <c r="I360" s="1255">
        <v>245.2</v>
      </c>
      <c r="J360" s="2428">
        <v>147.1</v>
      </c>
      <c r="K360" s="2357"/>
    </row>
    <row r="361" spans="2:11" ht="15" hidden="1" x14ac:dyDescent="0.2">
      <c r="B361" s="2219" t="s">
        <v>111</v>
      </c>
      <c r="C361" s="2220">
        <v>56</v>
      </c>
      <c r="D361" s="2220">
        <v>8</v>
      </c>
      <c r="E361" s="2220">
        <v>1</v>
      </c>
      <c r="F361" s="2416">
        <v>2020459</v>
      </c>
      <c r="G361" s="2220"/>
      <c r="H361" s="2220">
        <v>224</v>
      </c>
      <c r="I361" s="1255">
        <v>600</v>
      </c>
      <c r="J361" s="2428">
        <v>440</v>
      </c>
      <c r="K361" s="2357"/>
    </row>
    <row r="362" spans="2:11" ht="15" hidden="1" x14ac:dyDescent="0.2">
      <c r="B362" s="2219" t="s">
        <v>90</v>
      </c>
      <c r="C362" s="2220">
        <v>56</v>
      </c>
      <c r="D362" s="2220">
        <v>8</v>
      </c>
      <c r="E362" s="2220">
        <v>1</v>
      </c>
      <c r="F362" s="2416">
        <v>2020459</v>
      </c>
      <c r="G362" s="2220"/>
      <c r="H362" s="2220">
        <v>225</v>
      </c>
      <c r="I362" s="1255"/>
      <c r="J362" s="2428"/>
      <c r="K362" s="2357"/>
    </row>
    <row r="363" spans="2:11" ht="15" hidden="1" x14ac:dyDescent="0.2">
      <c r="B363" s="2219" t="s">
        <v>91</v>
      </c>
      <c r="C363" s="2220">
        <v>56</v>
      </c>
      <c r="D363" s="2220">
        <v>8</v>
      </c>
      <c r="E363" s="2220">
        <v>1</v>
      </c>
      <c r="F363" s="2416">
        <v>2020459</v>
      </c>
      <c r="G363" s="2220"/>
      <c r="H363" s="2220">
        <v>226</v>
      </c>
      <c r="I363" s="1255">
        <v>10</v>
      </c>
      <c r="J363" s="2428">
        <v>0</v>
      </c>
      <c r="K363" s="2357"/>
    </row>
    <row r="364" spans="2:11" ht="15" hidden="1" x14ac:dyDescent="0.2">
      <c r="B364" s="2219" t="s">
        <v>94</v>
      </c>
      <c r="C364" s="2220">
        <v>56</v>
      </c>
      <c r="D364" s="2220">
        <v>8</v>
      </c>
      <c r="E364" s="2220">
        <v>1</v>
      </c>
      <c r="F364" s="2416">
        <v>2020459</v>
      </c>
      <c r="G364" s="2220"/>
      <c r="H364" s="2220">
        <v>290</v>
      </c>
      <c r="I364" s="1255">
        <v>163.1</v>
      </c>
      <c r="J364" s="2428">
        <v>108.7</v>
      </c>
      <c r="K364" s="2357"/>
    </row>
    <row r="365" spans="2:11" ht="15" hidden="1" x14ac:dyDescent="0.2">
      <c r="B365" s="2219" t="s">
        <v>94</v>
      </c>
      <c r="C365" s="2220">
        <v>56</v>
      </c>
      <c r="D365" s="2220">
        <v>8</v>
      </c>
      <c r="E365" s="2220">
        <v>1</v>
      </c>
      <c r="F365" s="2416">
        <v>2020459</v>
      </c>
      <c r="G365" s="2220"/>
      <c r="H365" s="2220">
        <v>290</v>
      </c>
      <c r="I365" s="1255"/>
      <c r="J365" s="2428"/>
      <c r="K365" s="2357"/>
    </row>
    <row r="366" spans="2:11" ht="15" hidden="1" x14ac:dyDescent="0.2">
      <c r="B366" s="2219" t="s">
        <v>96</v>
      </c>
      <c r="C366" s="2220">
        <v>56</v>
      </c>
      <c r="D366" s="2220">
        <v>8</v>
      </c>
      <c r="E366" s="2220">
        <v>1</v>
      </c>
      <c r="F366" s="2416">
        <v>2020459</v>
      </c>
      <c r="G366" s="2220"/>
      <c r="H366" s="2220">
        <v>310</v>
      </c>
      <c r="I366" s="1255">
        <v>31.5</v>
      </c>
      <c r="J366" s="2428">
        <v>0</v>
      </c>
      <c r="K366" s="2357"/>
    </row>
    <row r="367" spans="2:11" ht="15" hidden="1" x14ac:dyDescent="0.2">
      <c r="B367" s="2219" t="s">
        <v>97</v>
      </c>
      <c r="C367" s="2220">
        <v>56</v>
      </c>
      <c r="D367" s="2220">
        <v>8</v>
      </c>
      <c r="E367" s="2220">
        <v>1</v>
      </c>
      <c r="F367" s="2416">
        <v>2020459</v>
      </c>
      <c r="G367" s="2220"/>
      <c r="H367" s="2220">
        <v>340</v>
      </c>
      <c r="I367" s="1255">
        <v>118.5</v>
      </c>
      <c r="J367" s="2428">
        <v>100</v>
      </c>
      <c r="K367" s="2357"/>
    </row>
    <row r="368" spans="2:11" ht="15" hidden="1" x14ac:dyDescent="0.2">
      <c r="B368" s="2208" t="s">
        <v>767</v>
      </c>
      <c r="C368" s="2220">
        <v>56</v>
      </c>
      <c r="D368" s="2220">
        <v>8</v>
      </c>
      <c r="E368" s="2220">
        <v>1</v>
      </c>
      <c r="F368" s="2416">
        <v>2020459</v>
      </c>
      <c r="G368" s="2206">
        <v>612</v>
      </c>
      <c r="H368" s="2206">
        <v>241</v>
      </c>
      <c r="I368" s="1270">
        <v>14013.5</v>
      </c>
      <c r="J368" s="2438">
        <v>14013.5</v>
      </c>
      <c r="K368" s="2357"/>
    </row>
    <row r="369" spans="2:11" ht="15" hidden="1" x14ac:dyDescent="0.2">
      <c r="B369" s="2422" t="s">
        <v>1147</v>
      </c>
      <c r="C369" s="2220">
        <v>56</v>
      </c>
      <c r="D369" s="2220">
        <v>8</v>
      </c>
      <c r="E369" s="2220">
        <v>1</v>
      </c>
      <c r="F369" s="2416">
        <v>2020459</v>
      </c>
      <c r="G369" s="2419">
        <v>600</v>
      </c>
      <c r="H369" s="2420"/>
      <c r="I369" s="2424">
        <v>8317.7999999999993</v>
      </c>
      <c r="J369" s="2424">
        <v>9192.1</v>
      </c>
      <c r="K369" s="2357"/>
    </row>
    <row r="370" spans="2:11" ht="39" hidden="1" x14ac:dyDescent="0.2">
      <c r="B370" s="2208" t="s">
        <v>1135</v>
      </c>
      <c r="C370" s="2220">
        <v>56</v>
      </c>
      <c r="D370" s="2220">
        <v>8</v>
      </c>
      <c r="E370" s="2220">
        <v>1</v>
      </c>
      <c r="F370" s="2416">
        <v>2020459</v>
      </c>
      <c r="G370" s="2206">
        <v>611</v>
      </c>
      <c r="H370" s="2206">
        <v>241</v>
      </c>
      <c r="I370" s="2412">
        <v>8317.7999999999993</v>
      </c>
      <c r="J370" s="2412">
        <v>8942.1</v>
      </c>
      <c r="K370" s="2357"/>
    </row>
    <row r="371" spans="2:11" ht="15" hidden="1" x14ac:dyDescent="0.2">
      <c r="B371" s="2219" t="s">
        <v>124</v>
      </c>
      <c r="C371" s="2220">
        <v>56</v>
      </c>
      <c r="D371" s="2220">
        <v>8</v>
      </c>
      <c r="E371" s="2220">
        <v>1</v>
      </c>
      <c r="F371" s="2416">
        <v>2020459</v>
      </c>
      <c r="G371" s="2220"/>
      <c r="H371" s="2220">
        <v>211</v>
      </c>
      <c r="I371" s="1254">
        <v>5182.5</v>
      </c>
      <c r="J371" s="2427">
        <v>5182.5</v>
      </c>
      <c r="K371" s="2357"/>
    </row>
    <row r="372" spans="2:11" ht="15" hidden="1" x14ac:dyDescent="0.2">
      <c r="B372" s="2219" t="s">
        <v>83</v>
      </c>
      <c r="C372" s="2220">
        <v>56</v>
      </c>
      <c r="D372" s="2220">
        <v>8</v>
      </c>
      <c r="E372" s="2220">
        <v>1</v>
      </c>
      <c r="F372" s="2416">
        <v>2020459</v>
      </c>
      <c r="G372" s="2220"/>
      <c r="H372" s="2220">
        <v>212</v>
      </c>
      <c r="I372" s="1255"/>
      <c r="J372" s="2428">
        <v>0</v>
      </c>
      <c r="K372" s="2357"/>
    </row>
    <row r="373" spans="2:11" ht="15" hidden="1" x14ac:dyDescent="0.2">
      <c r="B373" s="2219" t="s">
        <v>84</v>
      </c>
      <c r="C373" s="2220">
        <v>56</v>
      </c>
      <c r="D373" s="2220">
        <v>8</v>
      </c>
      <c r="E373" s="2220">
        <v>1</v>
      </c>
      <c r="F373" s="2416">
        <v>2020459</v>
      </c>
      <c r="G373" s="2220"/>
      <c r="H373" s="2220">
        <v>213</v>
      </c>
      <c r="I373" s="1254">
        <v>1513.7</v>
      </c>
      <c r="J373" s="2427">
        <v>1513.7</v>
      </c>
      <c r="K373" s="2357"/>
    </row>
    <row r="374" spans="2:11" ht="15" hidden="1" x14ac:dyDescent="0.2">
      <c r="B374" s="2219" t="s">
        <v>85</v>
      </c>
      <c r="C374" s="2220">
        <v>56</v>
      </c>
      <c r="D374" s="2220">
        <v>8</v>
      </c>
      <c r="E374" s="2220">
        <v>1</v>
      </c>
      <c r="F374" s="2416">
        <v>2020459</v>
      </c>
      <c r="G374" s="2220"/>
      <c r="H374" s="2220">
        <v>221</v>
      </c>
      <c r="I374" s="1255">
        <v>12.4</v>
      </c>
      <c r="J374" s="2428">
        <v>11.2</v>
      </c>
      <c r="K374" s="2357"/>
    </row>
    <row r="375" spans="2:11" ht="15" hidden="1" x14ac:dyDescent="0.2">
      <c r="B375" s="2219" t="s">
        <v>86</v>
      </c>
      <c r="C375" s="2220">
        <v>56</v>
      </c>
      <c r="D375" s="2220">
        <v>8</v>
      </c>
      <c r="E375" s="2220">
        <v>1</v>
      </c>
      <c r="F375" s="2416">
        <v>2020459</v>
      </c>
      <c r="G375" s="2220"/>
      <c r="H375" s="2220">
        <v>222</v>
      </c>
      <c r="I375" s="1255"/>
      <c r="J375" s="2428"/>
      <c r="K375" s="2357"/>
    </row>
    <row r="376" spans="2:11" ht="15" hidden="1" x14ac:dyDescent="0.2">
      <c r="B376" s="2219" t="s">
        <v>87</v>
      </c>
      <c r="C376" s="2220">
        <v>56</v>
      </c>
      <c r="D376" s="2220">
        <v>8</v>
      </c>
      <c r="E376" s="2220">
        <v>1</v>
      </c>
      <c r="F376" s="2416">
        <v>2020459</v>
      </c>
      <c r="G376" s="2220"/>
      <c r="H376" s="2220">
        <v>223</v>
      </c>
      <c r="I376" s="1255">
        <v>245.2</v>
      </c>
      <c r="J376" s="2428">
        <v>170.9</v>
      </c>
      <c r="K376" s="2357"/>
    </row>
    <row r="377" spans="2:11" ht="15" hidden="1" x14ac:dyDescent="0.2">
      <c r="B377" s="2219" t="s">
        <v>111</v>
      </c>
      <c r="C377" s="2220">
        <v>56</v>
      </c>
      <c r="D377" s="2220">
        <v>8</v>
      </c>
      <c r="E377" s="2220">
        <v>1</v>
      </c>
      <c r="F377" s="2416">
        <v>2020459</v>
      </c>
      <c r="G377" s="2220"/>
      <c r="H377" s="2220">
        <v>224</v>
      </c>
      <c r="I377" s="1254">
        <v>1200</v>
      </c>
      <c r="J377" s="2427">
        <v>1200</v>
      </c>
      <c r="K377" s="2357"/>
    </row>
    <row r="378" spans="2:11" ht="15" hidden="1" x14ac:dyDescent="0.2">
      <c r="B378" s="2219" t="s">
        <v>90</v>
      </c>
      <c r="C378" s="2220">
        <v>56</v>
      </c>
      <c r="D378" s="2220">
        <v>8</v>
      </c>
      <c r="E378" s="2220">
        <v>1</v>
      </c>
      <c r="F378" s="2416">
        <v>2020459</v>
      </c>
      <c r="G378" s="2220"/>
      <c r="H378" s="2220">
        <v>225</v>
      </c>
      <c r="I378" s="1255"/>
      <c r="J378" s="2428"/>
      <c r="K378" s="2357"/>
    </row>
    <row r="379" spans="2:11" ht="15" hidden="1" x14ac:dyDescent="0.2">
      <c r="B379" s="2219" t="s">
        <v>91</v>
      </c>
      <c r="C379" s="2220">
        <v>56</v>
      </c>
      <c r="D379" s="2220">
        <v>8</v>
      </c>
      <c r="E379" s="2220">
        <v>1</v>
      </c>
      <c r="F379" s="2416">
        <v>2020459</v>
      </c>
      <c r="G379" s="2220"/>
      <c r="H379" s="2220">
        <v>226</v>
      </c>
      <c r="I379" s="1256"/>
      <c r="J379" s="2436">
        <v>850</v>
      </c>
      <c r="K379" s="2357"/>
    </row>
    <row r="380" spans="2:11" ht="15" hidden="1" x14ac:dyDescent="0.2">
      <c r="B380" s="2219" t="s">
        <v>94</v>
      </c>
      <c r="C380" s="2220">
        <v>56</v>
      </c>
      <c r="D380" s="2220">
        <v>8</v>
      </c>
      <c r="E380" s="2220">
        <v>1</v>
      </c>
      <c r="F380" s="2416">
        <v>2020459</v>
      </c>
      <c r="G380" s="2220"/>
      <c r="H380" s="2220">
        <v>290</v>
      </c>
      <c r="I380" s="1255">
        <v>14</v>
      </c>
      <c r="J380" s="2428">
        <v>13.8</v>
      </c>
      <c r="K380" s="2357"/>
    </row>
    <row r="381" spans="2:11" ht="15" hidden="1" x14ac:dyDescent="0.2">
      <c r="B381" s="2219" t="s">
        <v>94</v>
      </c>
      <c r="C381" s="2220">
        <v>56</v>
      </c>
      <c r="D381" s="2220">
        <v>8</v>
      </c>
      <c r="E381" s="2220">
        <v>1</v>
      </c>
      <c r="F381" s="2416">
        <v>2020459</v>
      </c>
      <c r="G381" s="2220"/>
      <c r="H381" s="2220">
        <v>290</v>
      </c>
      <c r="I381" s="1255"/>
      <c r="J381" s="2428"/>
      <c r="K381" s="2357"/>
    </row>
    <row r="382" spans="2:11" ht="15" hidden="1" x14ac:dyDescent="0.2">
      <c r="B382" s="2219" t="s">
        <v>96</v>
      </c>
      <c r="C382" s="2220">
        <v>56</v>
      </c>
      <c r="D382" s="2220">
        <v>8</v>
      </c>
      <c r="E382" s="2220">
        <v>1</v>
      </c>
      <c r="F382" s="2416">
        <v>2020459</v>
      </c>
      <c r="G382" s="2220"/>
      <c r="H382" s="2220">
        <v>310</v>
      </c>
      <c r="I382" s="1255">
        <v>140</v>
      </c>
      <c r="J382" s="2428">
        <v>0</v>
      </c>
      <c r="K382" s="2357"/>
    </row>
    <row r="383" spans="2:11" ht="15" hidden="1" x14ac:dyDescent="0.2">
      <c r="B383" s="2219" t="s">
        <v>97</v>
      </c>
      <c r="C383" s="2220">
        <v>56</v>
      </c>
      <c r="D383" s="2220">
        <v>8</v>
      </c>
      <c r="E383" s="2220">
        <v>1</v>
      </c>
      <c r="F383" s="2416">
        <v>2020459</v>
      </c>
      <c r="G383" s="2220"/>
      <c r="H383" s="2220">
        <v>340</v>
      </c>
      <c r="I383" s="1255">
        <v>10</v>
      </c>
      <c r="J383" s="2428">
        <v>0</v>
      </c>
      <c r="K383" s="2357"/>
    </row>
    <row r="384" spans="2:11" ht="15" hidden="1" x14ac:dyDescent="0.2">
      <c r="B384" s="2208" t="s">
        <v>767</v>
      </c>
      <c r="C384" s="2220">
        <v>56</v>
      </c>
      <c r="D384" s="2220">
        <v>8</v>
      </c>
      <c r="E384" s="2220">
        <v>1</v>
      </c>
      <c r="F384" s="2416">
        <v>2020459</v>
      </c>
      <c r="G384" s="2206">
        <v>612</v>
      </c>
      <c r="H384" s="2206">
        <v>241</v>
      </c>
      <c r="I384" s="1252">
        <v>0</v>
      </c>
      <c r="J384" s="2425"/>
      <c r="K384" s="2357"/>
    </row>
    <row r="385" spans="2:11" ht="27" hidden="1" x14ac:dyDescent="0.2">
      <c r="B385" s="2621" t="s">
        <v>1830</v>
      </c>
      <c r="C385" s="2554">
        <v>56</v>
      </c>
      <c r="D385" s="2554">
        <v>8</v>
      </c>
      <c r="E385" s="2554">
        <v>1</v>
      </c>
      <c r="F385" s="2528">
        <v>2020459</v>
      </c>
      <c r="G385" s="2565">
        <v>613</v>
      </c>
      <c r="H385" s="2565">
        <v>241</v>
      </c>
      <c r="I385" s="2566">
        <v>0</v>
      </c>
      <c r="J385" s="2622">
        <v>250</v>
      </c>
      <c r="K385" s="2357"/>
    </row>
    <row r="386" spans="2:11" ht="55" x14ac:dyDescent="0.2">
      <c r="B386" s="2535" t="s">
        <v>1360</v>
      </c>
      <c r="C386" s="2536">
        <v>56</v>
      </c>
      <c r="D386" s="2536">
        <v>8</v>
      </c>
      <c r="E386" s="2536">
        <v>1</v>
      </c>
      <c r="F386" s="2615">
        <v>2020559</v>
      </c>
      <c r="G386" s="2536"/>
      <c r="H386" s="2536"/>
      <c r="I386" s="2617"/>
      <c r="J386" s="2623"/>
      <c r="K386" s="2357"/>
    </row>
    <row r="387" spans="2:11" ht="15" x14ac:dyDescent="0.2">
      <c r="B387" s="2540" t="s">
        <v>1125</v>
      </c>
      <c r="C387" s="2444">
        <v>56</v>
      </c>
      <c r="D387" s="2444">
        <v>8</v>
      </c>
      <c r="E387" s="2444">
        <v>1</v>
      </c>
      <c r="F387" s="2443">
        <v>2020559</v>
      </c>
      <c r="G387" s="2419">
        <v>600</v>
      </c>
      <c r="H387" s="2419"/>
      <c r="I387" s="2421">
        <v>56549.599999999999</v>
      </c>
      <c r="J387" s="2541">
        <v>55329</v>
      </c>
      <c r="K387" s="2357">
        <f>'2015'!J25</f>
        <v>55329</v>
      </c>
    </row>
    <row r="388" spans="2:11" ht="39" x14ac:dyDescent="0.2">
      <c r="B388" s="2542" t="s">
        <v>1135</v>
      </c>
      <c r="C388" s="2444">
        <v>56</v>
      </c>
      <c r="D388" s="2444">
        <v>8</v>
      </c>
      <c r="E388" s="2444">
        <v>1</v>
      </c>
      <c r="F388" s="2443">
        <v>2020559</v>
      </c>
      <c r="G388" s="2442">
        <v>600</v>
      </c>
      <c r="H388" s="2442">
        <v>241</v>
      </c>
      <c r="I388" s="2412">
        <v>56549.599999999999</v>
      </c>
      <c r="J388" s="2543">
        <v>55329</v>
      </c>
      <c r="K388" s="2357"/>
    </row>
    <row r="389" spans="2:11" ht="1.5" hidden="1" customHeight="1" x14ac:dyDescent="0.2">
      <c r="B389" s="2544" t="s">
        <v>78</v>
      </c>
      <c r="C389" s="2444">
        <v>56</v>
      </c>
      <c r="D389" s="2444">
        <v>8</v>
      </c>
      <c r="E389" s="2444">
        <v>1</v>
      </c>
      <c r="F389" s="2443">
        <v>2020559</v>
      </c>
      <c r="G389" s="2444"/>
      <c r="H389" s="2444">
        <v>211</v>
      </c>
      <c r="I389" s="2413">
        <v>36744.1</v>
      </c>
      <c r="J389" s="2545">
        <v>36744.1</v>
      </c>
      <c r="K389" s="2357"/>
    </row>
    <row r="390" spans="2:11" ht="1.5" hidden="1" customHeight="1" x14ac:dyDescent="0.2">
      <c r="B390" s="2544" t="s">
        <v>103</v>
      </c>
      <c r="C390" s="2444">
        <v>56</v>
      </c>
      <c r="D390" s="2444">
        <v>8</v>
      </c>
      <c r="E390" s="2444">
        <v>1</v>
      </c>
      <c r="F390" s="2443">
        <v>2020559</v>
      </c>
      <c r="G390" s="2444"/>
      <c r="H390" s="2444">
        <v>212</v>
      </c>
      <c r="I390" s="2445">
        <v>2</v>
      </c>
      <c r="J390" s="2546">
        <v>2</v>
      </c>
      <c r="K390" s="2357"/>
    </row>
    <row r="391" spans="2:11" ht="1.5" hidden="1" customHeight="1" x14ac:dyDescent="0.2">
      <c r="B391" s="2544" t="s">
        <v>84</v>
      </c>
      <c r="C391" s="2444">
        <v>56</v>
      </c>
      <c r="D391" s="2444">
        <v>8</v>
      </c>
      <c r="E391" s="2444">
        <v>1</v>
      </c>
      <c r="F391" s="2443">
        <v>2020559</v>
      </c>
      <c r="G391" s="2444"/>
      <c r="H391" s="2444">
        <v>213</v>
      </c>
      <c r="I391" s="2413">
        <v>10707.4</v>
      </c>
      <c r="J391" s="2545">
        <v>10707.4</v>
      </c>
      <c r="K391" s="2357"/>
    </row>
    <row r="392" spans="2:11" ht="1.5" hidden="1" customHeight="1" x14ac:dyDescent="0.2">
      <c r="B392" s="2544" t="s">
        <v>85</v>
      </c>
      <c r="C392" s="2444">
        <v>56</v>
      </c>
      <c r="D392" s="2444">
        <v>8</v>
      </c>
      <c r="E392" s="2444">
        <v>1</v>
      </c>
      <c r="F392" s="2443">
        <v>2020559</v>
      </c>
      <c r="G392" s="2444"/>
      <c r="H392" s="2444">
        <v>221</v>
      </c>
      <c r="I392" s="2445">
        <v>191.2</v>
      </c>
      <c r="J392" s="2546">
        <v>167.1</v>
      </c>
      <c r="K392" s="2357"/>
    </row>
    <row r="393" spans="2:11" ht="1.5" hidden="1" customHeight="1" x14ac:dyDescent="0.2">
      <c r="B393" s="2544" t="s">
        <v>86</v>
      </c>
      <c r="C393" s="2444">
        <v>56</v>
      </c>
      <c r="D393" s="2444">
        <v>8</v>
      </c>
      <c r="E393" s="2444">
        <v>1</v>
      </c>
      <c r="F393" s="2443">
        <v>2020559</v>
      </c>
      <c r="G393" s="2444"/>
      <c r="H393" s="2444">
        <v>222</v>
      </c>
      <c r="I393" s="2445">
        <v>11.2</v>
      </c>
      <c r="J393" s="2546">
        <v>10.1</v>
      </c>
      <c r="K393" s="2357"/>
    </row>
    <row r="394" spans="2:11" ht="1.5" hidden="1" customHeight="1" x14ac:dyDescent="0.2">
      <c r="B394" s="2544" t="s">
        <v>87</v>
      </c>
      <c r="C394" s="2444">
        <v>56</v>
      </c>
      <c r="D394" s="2444">
        <v>8</v>
      </c>
      <c r="E394" s="2444">
        <v>1</v>
      </c>
      <c r="F394" s="2443">
        <v>2020559</v>
      </c>
      <c r="G394" s="2444"/>
      <c r="H394" s="2444">
        <v>223</v>
      </c>
      <c r="I394" s="2413">
        <v>2923.2</v>
      </c>
      <c r="J394" s="2545">
        <v>2630.8</v>
      </c>
      <c r="K394" s="2357"/>
    </row>
    <row r="395" spans="2:11" ht="1.5" hidden="1" customHeight="1" x14ac:dyDescent="0.2">
      <c r="B395" s="2544" t="s">
        <v>134</v>
      </c>
      <c r="C395" s="2444">
        <v>56</v>
      </c>
      <c r="D395" s="2444">
        <v>8</v>
      </c>
      <c r="E395" s="2444">
        <v>1</v>
      </c>
      <c r="F395" s="2443">
        <v>2020559</v>
      </c>
      <c r="G395" s="2444"/>
      <c r="H395" s="2444">
        <v>224</v>
      </c>
      <c r="I395" s="2445">
        <v>600</v>
      </c>
      <c r="J395" s="2546">
        <v>540</v>
      </c>
      <c r="K395" s="2357"/>
    </row>
    <row r="396" spans="2:11" ht="1.5" hidden="1" customHeight="1" x14ac:dyDescent="0.2">
      <c r="B396" s="2544" t="s">
        <v>90</v>
      </c>
      <c r="C396" s="2444">
        <v>56</v>
      </c>
      <c r="D396" s="2444">
        <v>8</v>
      </c>
      <c r="E396" s="2444">
        <v>1</v>
      </c>
      <c r="F396" s="2443">
        <v>2020559</v>
      </c>
      <c r="G396" s="2444"/>
      <c r="H396" s="2444">
        <v>225</v>
      </c>
      <c r="I396" s="2445">
        <v>70.400000000000006</v>
      </c>
      <c r="J396" s="2546">
        <v>34.5</v>
      </c>
      <c r="K396" s="2357"/>
    </row>
    <row r="397" spans="2:11" ht="1.5" hidden="1" customHeight="1" x14ac:dyDescent="0.2">
      <c r="B397" s="2544" t="s">
        <v>91</v>
      </c>
      <c r="C397" s="2444">
        <v>56</v>
      </c>
      <c r="D397" s="2444">
        <v>8</v>
      </c>
      <c r="E397" s="2444">
        <v>1</v>
      </c>
      <c r="F397" s="2443">
        <v>2020559</v>
      </c>
      <c r="G397" s="2444"/>
      <c r="H397" s="2444">
        <v>226</v>
      </c>
      <c r="I397" s="2413">
        <v>1726.4</v>
      </c>
      <c r="J397" s="2545">
        <v>1854</v>
      </c>
      <c r="K397" s="2357"/>
    </row>
    <row r="398" spans="2:11" ht="1.5" hidden="1" customHeight="1" x14ac:dyDescent="0.2">
      <c r="B398" s="2544" t="s">
        <v>94</v>
      </c>
      <c r="C398" s="2444">
        <v>56</v>
      </c>
      <c r="D398" s="2444">
        <v>8</v>
      </c>
      <c r="E398" s="2444">
        <v>1</v>
      </c>
      <c r="F398" s="2443">
        <v>2020559</v>
      </c>
      <c r="G398" s="2444"/>
      <c r="H398" s="2444">
        <v>290</v>
      </c>
      <c r="I398" s="2413">
        <v>2137</v>
      </c>
      <c r="J398" s="2545">
        <v>2137</v>
      </c>
      <c r="K398" s="2357"/>
    </row>
    <row r="399" spans="2:11" ht="1.5" hidden="1" customHeight="1" x14ac:dyDescent="0.2">
      <c r="B399" s="2544" t="s">
        <v>94</v>
      </c>
      <c r="C399" s="2444">
        <v>56</v>
      </c>
      <c r="D399" s="2444">
        <v>8</v>
      </c>
      <c r="E399" s="2444">
        <v>1</v>
      </c>
      <c r="F399" s="2443">
        <v>2020559</v>
      </c>
      <c r="G399" s="2444"/>
      <c r="H399" s="2444">
        <v>290</v>
      </c>
      <c r="I399" s="2445">
        <v>0</v>
      </c>
      <c r="J399" s="2546">
        <v>0</v>
      </c>
      <c r="K399" s="2357"/>
    </row>
    <row r="400" spans="2:11" ht="1.5" hidden="1" customHeight="1" x14ac:dyDescent="0.2">
      <c r="B400" s="2544" t="s">
        <v>96</v>
      </c>
      <c r="C400" s="2444">
        <v>56</v>
      </c>
      <c r="D400" s="2444">
        <v>8</v>
      </c>
      <c r="E400" s="2444">
        <v>1</v>
      </c>
      <c r="F400" s="2443">
        <v>2020559</v>
      </c>
      <c r="G400" s="2444"/>
      <c r="H400" s="2444">
        <v>310</v>
      </c>
      <c r="I400" s="2413">
        <v>1228.5</v>
      </c>
      <c r="J400" s="2546">
        <v>340</v>
      </c>
      <c r="K400" s="2357"/>
    </row>
    <row r="401" spans="2:11" ht="1.5" customHeight="1" x14ac:dyDescent="0.2">
      <c r="B401" s="2544" t="s">
        <v>97</v>
      </c>
      <c r="C401" s="2444">
        <v>56</v>
      </c>
      <c r="D401" s="2444">
        <v>8</v>
      </c>
      <c r="E401" s="2444">
        <v>1</v>
      </c>
      <c r="F401" s="2443">
        <v>2020559</v>
      </c>
      <c r="G401" s="2444"/>
      <c r="H401" s="2444">
        <v>340</v>
      </c>
      <c r="I401" s="2445">
        <v>208.2</v>
      </c>
      <c r="J401" s="2546">
        <v>162</v>
      </c>
      <c r="K401" s="2357"/>
    </row>
    <row r="402" spans="2:11" ht="16" thickBot="1" x14ac:dyDescent="0.25">
      <c r="B402" s="2547" t="s">
        <v>767</v>
      </c>
      <c r="C402" s="2549">
        <v>56</v>
      </c>
      <c r="D402" s="2549">
        <v>8</v>
      </c>
      <c r="E402" s="2549">
        <v>1</v>
      </c>
      <c r="F402" s="2594">
        <v>2020559</v>
      </c>
      <c r="G402" s="2548">
        <v>612</v>
      </c>
      <c r="H402" s="2548">
        <v>241</v>
      </c>
      <c r="I402" s="2550">
        <v>0</v>
      </c>
      <c r="J402" s="2563">
        <v>0</v>
      </c>
      <c r="K402" s="2357"/>
    </row>
    <row r="403" spans="2:11" ht="26" hidden="1" x14ac:dyDescent="0.2">
      <c r="B403" s="2530" t="s">
        <v>1148</v>
      </c>
      <c r="C403" s="2532">
        <v>56</v>
      </c>
      <c r="D403" s="2532">
        <v>8</v>
      </c>
      <c r="E403" s="2532">
        <v>1</v>
      </c>
      <c r="F403" s="2570">
        <v>2020559</v>
      </c>
      <c r="G403" s="2613">
        <v>600</v>
      </c>
      <c r="H403" s="2531"/>
      <c r="I403" s="2534">
        <v>37241.300000000003</v>
      </c>
      <c r="J403" s="2534">
        <v>39963.199999999997</v>
      </c>
      <c r="K403" s="2357"/>
    </row>
    <row r="404" spans="2:11" ht="39" hidden="1" x14ac:dyDescent="0.2">
      <c r="B404" s="2208" t="s">
        <v>1135</v>
      </c>
      <c r="C404" s="2220">
        <v>56</v>
      </c>
      <c r="D404" s="2220">
        <v>8</v>
      </c>
      <c r="E404" s="2220">
        <v>1</v>
      </c>
      <c r="F404" s="2416">
        <v>2020559</v>
      </c>
      <c r="G404" s="2206">
        <v>600</v>
      </c>
      <c r="H404" s="2206">
        <v>241</v>
      </c>
      <c r="I404" s="2412">
        <v>37241.300000000003</v>
      </c>
      <c r="J404" s="2412">
        <v>39963.199999999997</v>
      </c>
      <c r="K404" s="2357"/>
    </row>
    <row r="405" spans="2:11" ht="15" hidden="1" x14ac:dyDescent="0.2">
      <c r="B405" s="2219" t="s">
        <v>78</v>
      </c>
      <c r="C405" s="2220">
        <v>56</v>
      </c>
      <c r="D405" s="2220">
        <v>8</v>
      </c>
      <c r="E405" s="2220">
        <v>1</v>
      </c>
      <c r="F405" s="2416">
        <v>2020559</v>
      </c>
      <c r="G405" s="2220"/>
      <c r="H405" s="2220">
        <v>211</v>
      </c>
      <c r="I405" s="1254">
        <v>23236.799999999999</v>
      </c>
      <c r="J405" s="2427">
        <v>25600.6</v>
      </c>
      <c r="K405" s="2357"/>
    </row>
    <row r="406" spans="2:11" ht="15" hidden="1" x14ac:dyDescent="0.2">
      <c r="B406" s="2219" t="s">
        <v>103</v>
      </c>
      <c r="C406" s="2220">
        <v>56</v>
      </c>
      <c r="D406" s="2220">
        <v>8</v>
      </c>
      <c r="E406" s="2220">
        <v>1</v>
      </c>
      <c r="F406" s="2416">
        <v>2020559</v>
      </c>
      <c r="G406" s="2220"/>
      <c r="H406" s="2220">
        <v>212</v>
      </c>
      <c r="I406" s="1255"/>
      <c r="J406" s="2428"/>
      <c r="K406" s="2357"/>
    </row>
    <row r="407" spans="2:11" ht="15" hidden="1" x14ac:dyDescent="0.2">
      <c r="B407" s="2219" t="s">
        <v>84</v>
      </c>
      <c r="C407" s="2220">
        <v>56</v>
      </c>
      <c r="D407" s="2220">
        <v>8</v>
      </c>
      <c r="E407" s="2220">
        <v>1</v>
      </c>
      <c r="F407" s="2416">
        <v>2020559</v>
      </c>
      <c r="G407" s="2220"/>
      <c r="H407" s="2220">
        <v>213</v>
      </c>
      <c r="I407" s="1254">
        <v>6771.2</v>
      </c>
      <c r="J407" s="2427">
        <v>7419.9</v>
      </c>
      <c r="K407" s="2357"/>
    </row>
    <row r="408" spans="2:11" ht="15" hidden="1" x14ac:dyDescent="0.2">
      <c r="B408" s="2219" t="s">
        <v>85</v>
      </c>
      <c r="C408" s="2220">
        <v>56</v>
      </c>
      <c r="D408" s="2220">
        <v>8</v>
      </c>
      <c r="E408" s="2220">
        <v>1</v>
      </c>
      <c r="F408" s="2416">
        <v>2020559</v>
      </c>
      <c r="G408" s="2220"/>
      <c r="H408" s="2220">
        <v>221</v>
      </c>
      <c r="I408" s="1255">
        <v>123.6</v>
      </c>
      <c r="J408" s="2428">
        <v>150.69999999999999</v>
      </c>
      <c r="K408" s="2357"/>
    </row>
    <row r="409" spans="2:11" ht="15" hidden="1" x14ac:dyDescent="0.2">
      <c r="B409" s="2219" t="s">
        <v>86</v>
      </c>
      <c r="C409" s="2220">
        <v>56</v>
      </c>
      <c r="D409" s="2220">
        <v>8</v>
      </c>
      <c r="E409" s="2220">
        <v>1</v>
      </c>
      <c r="F409" s="2416">
        <v>2020559</v>
      </c>
      <c r="G409" s="2220"/>
      <c r="H409" s="2220">
        <v>222</v>
      </c>
      <c r="I409" s="1255"/>
      <c r="J409" s="2428">
        <v>0</v>
      </c>
      <c r="K409" s="2357"/>
    </row>
    <row r="410" spans="2:11" ht="15" hidden="1" x14ac:dyDescent="0.2">
      <c r="B410" s="2219" t="s">
        <v>87</v>
      </c>
      <c r="C410" s="2220">
        <v>56</v>
      </c>
      <c r="D410" s="2220">
        <v>8</v>
      </c>
      <c r="E410" s="2220">
        <v>1</v>
      </c>
      <c r="F410" s="2416">
        <v>2020559</v>
      </c>
      <c r="G410" s="2220"/>
      <c r="H410" s="2220">
        <v>223</v>
      </c>
      <c r="I410" s="1254">
        <v>2473.5</v>
      </c>
      <c r="J410" s="2427">
        <v>2343.3000000000002</v>
      </c>
      <c r="K410" s="2357"/>
    </row>
    <row r="411" spans="2:11" ht="15" hidden="1" x14ac:dyDescent="0.2">
      <c r="B411" s="2219" t="s">
        <v>134</v>
      </c>
      <c r="C411" s="2220">
        <v>56</v>
      </c>
      <c r="D411" s="2220">
        <v>8</v>
      </c>
      <c r="E411" s="2220">
        <v>1</v>
      </c>
      <c r="F411" s="2416">
        <v>2020559</v>
      </c>
      <c r="G411" s="2220"/>
      <c r="H411" s="2220">
        <v>224</v>
      </c>
      <c r="I411" s="1255"/>
      <c r="J411" s="2428"/>
      <c r="K411" s="2357"/>
    </row>
    <row r="412" spans="2:11" ht="15" hidden="1" x14ac:dyDescent="0.2">
      <c r="B412" s="2219" t="s">
        <v>90</v>
      </c>
      <c r="C412" s="2220">
        <v>56</v>
      </c>
      <c r="D412" s="2220">
        <v>8</v>
      </c>
      <c r="E412" s="2220">
        <v>1</v>
      </c>
      <c r="F412" s="2416">
        <v>2020559</v>
      </c>
      <c r="G412" s="2220"/>
      <c r="H412" s="2220">
        <v>225</v>
      </c>
      <c r="I412" s="1255">
        <v>21.2</v>
      </c>
      <c r="J412" s="2428">
        <v>31.8</v>
      </c>
      <c r="K412" s="2357"/>
    </row>
    <row r="413" spans="2:11" ht="15" hidden="1" x14ac:dyDescent="0.2">
      <c r="B413" s="2219" t="s">
        <v>91</v>
      </c>
      <c r="C413" s="2220">
        <v>56</v>
      </c>
      <c r="D413" s="2220">
        <v>8</v>
      </c>
      <c r="E413" s="2220">
        <v>1</v>
      </c>
      <c r="F413" s="2416">
        <v>2020559</v>
      </c>
      <c r="G413" s="2220"/>
      <c r="H413" s="2220">
        <v>226</v>
      </c>
      <c r="I413" s="1254">
        <v>1406</v>
      </c>
      <c r="J413" s="2427">
        <v>1854</v>
      </c>
      <c r="K413" s="2357"/>
    </row>
    <row r="414" spans="2:11" ht="15" hidden="1" x14ac:dyDescent="0.2">
      <c r="B414" s="2219" t="s">
        <v>94</v>
      </c>
      <c r="C414" s="2220">
        <v>56</v>
      </c>
      <c r="D414" s="2220">
        <v>8</v>
      </c>
      <c r="E414" s="2220">
        <v>1</v>
      </c>
      <c r="F414" s="2416">
        <v>2020559</v>
      </c>
      <c r="G414" s="2220"/>
      <c r="H414" s="2220">
        <v>290</v>
      </c>
      <c r="I414" s="1254">
        <v>1951</v>
      </c>
      <c r="J414" s="2427">
        <v>2060.9</v>
      </c>
      <c r="K414" s="2357"/>
    </row>
    <row r="415" spans="2:11" ht="15" hidden="1" x14ac:dyDescent="0.2">
      <c r="B415" s="2219" t="s">
        <v>94</v>
      </c>
      <c r="C415" s="2220">
        <v>56</v>
      </c>
      <c r="D415" s="2220">
        <v>8</v>
      </c>
      <c r="E415" s="2220">
        <v>1</v>
      </c>
      <c r="F415" s="2416">
        <v>2020559</v>
      </c>
      <c r="G415" s="2220"/>
      <c r="H415" s="2220">
        <v>290</v>
      </c>
      <c r="I415" s="1255"/>
      <c r="J415" s="2428"/>
      <c r="K415" s="2357"/>
    </row>
    <row r="416" spans="2:11" ht="15" hidden="1" x14ac:dyDescent="0.2">
      <c r="B416" s="2219" t="s">
        <v>96</v>
      </c>
      <c r="C416" s="2220">
        <v>56</v>
      </c>
      <c r="D416" s="2220">
        <v>8</v>
      </c>
      <c r="E416" s="2220">
        <v>1</v>
      </c>
      <c r="F416" s="2416">
        <v>2020559</v>
      </c>
      <c r="G416" s="2220"/>
      <c r="H416" s="2220">
        <v>310</v>
      </c>
      <c r="I416" s="1254">
        <v>1108</v>
      </c>
      <c r="J416" s="2428">
        <v>340</v>
      </c>
      <c r="K416" s="2357"/>
    </row>
    <row r="417" spans="2:11" ht="15" hidden="1" x14ac:dyDescent="0.2">
      <c r="B417" s="2219" t="s">
        <v>97</v>
      </c>
      <c r="C417" s="2220">
        <v>56</v>
      </c>
      <c r="D417" s="2220">
        <v>8</v>
      </c>
      <c r="E417" s="2220">
        <v>1</v>
      </c>
      <c r="F417" s="2416">
        <v>2020559</v>
      </c>
      <c r="G417" s="2220"/>
      <c r="H417" s="2220">
        <v>340</v>
      </c>
      <c r="I417" s="1255">
        <v>150</v>
      </c>
      <c r="J417" s="2428">
        <v>162</v>
      </c>
      <c r="K417" s="2357"/>
    </row>
    <row r="418" spans="2:11" ht="15" hidden="1" x14ac:dyDescent="0.2">
      <c r="B418" s="2208" t="s">
        <v>767</v>
      </c>
      <c r="C418" s="2220">
        <v>56</v>
      </c>
      <c r="D418" s="2220">
        <v>8</v>
      </c>
      <c r="E418" s="2220">
        <v>1</v>
      </c>
      <c r="F418" s="2416">
        <v>2020559</v>
      </c>
      <c r="G418" s="2206">
        <v>612</v>
      </c>
      <c r="H418" s="2206">
        <v>241</v>
      </c>
      <c r="I418" s="1252">
        <v>0</v>
      </c>
      <c r="J418" s="2425">
        <v>0</v>
      </c>
      <c r="K418" s="2357"/>
    </row>
    <row r="419" spans="2:11" ht="26" hidden="1" x14ac:dyDescent="0.2">
      <c r="B419" s="2458" t="s">
        <v>1149</v>
      </c>
      <c r="C419" s="2449">
        <v>56</v>
      </c>
      <c r="D419" s="2449">
        <v>8</v>
      </c>
      <c r="E419" s="2449">
        <v>1</v>
      </c>
      <c r="F419" s="2446">
        <v>2020559</v>
      </c>
      <c r="G419" s="2459">
        <v>600</v>
      </c>
      <c r="H419" s="2460"/>
      <c r="I419" s="2447">
        <v>8550.6</v>
      </c>
      <c r="J419" s="2447">
        <v>5050.5</v>
      </c>
      <c r="K419" s="2357"/>
    </row>
    <row r="420" spans="2:11" ht="39" hidden="1" x14ac:dyDescent="0.2">
      <c r="B420" s="2450" t="s">
        <v>1135</v>
      </c>
      <c r="C420" s="2449">
        <v>56</v>
      </c>
      <c r="D420" s="2449">
        <v>8</v>
      </c>
      <c r="E420" s="2449">
        <v>1</v>
      </c>
      <c r="F420" s="2446">
        <v>2020559</v>
      </c>
      <c r="G420" s="2451">
        <v>600</v>
      </c>
      <c r="H420" s="2451">
        <v>241</v>
      </c>
      <c r="I420" s="2447">
        <v>8550.6</v>
      </c>
      <c r="J420" s="2447">
        <v>5050.5</v>
      </c>
      <c r="K420" s="2357"/>
    </row>
    <row r="421" spans="2:11" ht="15" hidden="1" x14ac:dyDescent="0.2">
      <c r="B421" s="2448" t="s">
        <v>78</v>
      </c>
      <c r="C421" s="2449">
        <v>56</v>
      </c>
      <c r="D421" s="2449">
        <v>8</v>
      </c>
      <c r="E421" s="2449">
        <v>1</v>
      </c>
      <c r="F421" s="2446">
        <v>2020559</v>
      </c>
      <c r="G421" s="2449"/>
      <c r="H421" s="2449">
        <v>211</v>
      </c>
      <c r="I421" s="1254">
        <v>6124.9</v>
      </c>
      <c r="J421" s="2461">
        <v>3761.1</v>
      </c>
      <c r="K421" s="2357"/>
    </row>
    <row r="422" spans="2:11" ht="15" hidden="1" x14ac:dyDescent="0.2">
      <c r="B422" s="2448" t="s">
        <v>103</v>
      </c>
      <c r="C422" s="2449">
        <v>56</v>
      </c>
      <c r="D422" s="2449">
        <v>8</v>
      </c>
      <c r="E422" s="2449">
        <v>1</v>
      </c>
      <c r="F422" s="2446">
        <v>2020559</v>
      </c>
      <c r="G422" s="2449"/>
      <c r="H422" s="2449">
        <v>212</v>
      </c>
      <c r="I422" s="1255"/>
      <c r="J422" s="2462">
        <v>0</v>
      </c>
      <c r="K422" s="2357"/>
    </row>
    <row r="423" spans="2:11" ht="15" hidden="1" x14ac:dyDescent="0.2">
      <c r="B423" s="2448" t="s">
        <v>84</v>
      </c>
      <c r="C423" s="2449">
        <v>56</v>
      </c>
      <c r="D423" s="2449">
        <v>8</v>
      </c>
      <c r="E423" s="2449">
        <v>1</v>
      </c>
      <c r="F423" s="2446">
        <v>2020559</v>
      </c>
      <c r="G423" s="2449"/>
      <c r="H423" s="2449">
        <v>213</v>
      </c>
      <c r="I423" s="1254">
        <v>1784.8</v>
      </c>
      <c r="J423" s="2461">
        <v>1136.0999999999999</v>
      </c>
      <c r="K423" s="2357"/>
    </row>
    <row r="424" spans="2:11" ht="15" hidden="1" x14ac:dyDescent="0.2">
      <c r="B424" s="2448" t="s">
        <v>85</v>
      </c>
      <c r="C424" s="2449">
        <v>56</v>
      </c>
      <c r="D424" s="2449">
        <v>8</v>
      </c>
      <c r="E424" s="2449">
        <v>1</v>
      </c>
      <c r="F424" s="2446">
        <v>2020559</v>
      </c>
      <c r="G424" s="2449"/>
      <c r="H424" s="2449">
        <v>221</v>
      </c>
      <c r="I424" s="1255">
        <v>43.9</v>
      </c>
      <c r="J424" s="2462">
        <v>0</v>
      </c>
      <c r="K424" s="2357"/>
    </row>
    <row r="425" spans="2:11" ht="15" hidden="1" x14ac:dyDescent="0.2">
      <c r="B425" s="2448" t="s">
        <v>86</v>
      </c>
      <c r="C425" s="2449">
        <v>56</v>
      </c>
      <c r="D425" s="2449">
        <v>8</v>
      </c>
      <c r="E425" s="2449">
        <v>1</v>
      </c>
      <c r="F425" s="2446">
        <v>2020559</v>
      </c>
      <c r="G425" s="2449"/>
      <c r="H425" s="2449">
        <v>222</v>
      </c>
      <c r="I425" s="1255"/>
      <c r="J425" s="2462">
        <v>0</v>
      </c>
      <c r="K425" s="2357"/>
    </row>
    <row r="426" spans="2:11" ht="15" hidden="1" x14ac:dyDescent="0.2">
      <c r="B426" s="2448" t="s">
        <v>87</v>
      </c>
      <c r="C426" s="2449">
        <v>56</v>
      </c>
      <c r="D426" s="2449">
        <v>8</v>
      </c>
      <c r="E426" s="2449">
        <v>1</v>
      </c>
      <c r="F426" s="2446">
        <v>2020559</v>
      </c>
      <c r="G426" s="2449"/>
      <c r="H426" s="2449">
        <v>223</v>
      </c>
      <c r="I426" s="1255">
        <v>259.8</v>
      </c>
      <c r="J426" s="2462">
        <v>116.6</v>
      </c>
      <c r="K426" s="2357"/>
    </row>
    <row r="427" spans="2:11" ht="15" hidden="1" x14ac:dyDescent="0.2">
      <c r="B427" s="2448" t="s">
        <v>134</v>
      </c>
      <c r="C427" s="2449">
        <v>56</v>
      </c>
      <c r="D427" s="2449">
        <v>8</v>
      </c>
      <c r="E427" s="2449">
        <v>1</v>
      </c>
      <c r="F427" s="2446">
        <v>2020559</v>
      </c>
      <c r="G427" s="2449"/>
      <c r="H427" s="2449">
        <v>224</v>
      </c>
      <c r="I427" s="1255"/>
      <c r="J427" s="2462">
        <v>0</v>
      </c>
      <c r="K427" s="2357"/>
    </row>
    <row r="428" spans="2:11" ht="15" hidden="1" x14ac:dyDescent="0.2">
      <c r="B428" s="2448" t="s">
        <v>90</v>
      </c>
      <c r="C428" s="2449">
        <v>56</v>
      </c>
      <c r="D428" s="2449">
        <v>8</v>
      </c>
      <c r="E428" s="2449">
        <v>1</v>
      </c>
      <c r="F428" s="2446">
        <v>2020559</v>
      </c>
      <c r="G428" s="2449"/>
      <c r="H428" s="2449">
        <v>225</v>
      </c>
      <c r="I428" s="1255">
        <v>10.6</v>
      </c>
      <c r="J428" s="2462">
        <v>0</v>
      </c>
      <c r="K428" s="2357"/>
    </row>
    <row r="429" spans="2:11" ht="15" hidden="1" x14ac:dyDescent="0.2">
      <c r="B429" s="2448" t="s">
        <v>91</v>
      </c>
      <c r="C429" s="2449">
        <v>56</v>
      </c>
      <c r="D429" s="2449">
        <v>8</v>
      </c>
      <c r="E429" s="2449">
        <v>1</v>
      </c>
      <c r="F429" s="2446">
        <v>2020559</v>
      </c>
      <c r="G429" s="2449"/>
      <c r="H429" s="2449">
        <v>226</v>
      </c>
      <c r="I429" s="1255">
        <v>148</v>
      </c>
      <c r="J429" s="2462">
        <v>0</v>
      </c>
      <c r="K429" s="2357"/>
    </row>
    <row r="430" spans="2:11" ht="15" hidden="1" x14ac:dyDescent="0.2">
      <c r="B430" s="2448" t="s">
        <v>94</v>
      </c>
      <c r="C430" s="2449">
        <v>56</v>
      </c>
      <c r="D430" s="2449">
        <v>8</v>
      </c>
      <c r="E430" s="2449">
        <v>1</v>
      </c>
      <c r="F430" s="2446">
        <v>2020559</v>
      </c>
      <c r="G430" s="2449"/>
      <c r="H430" s="2449">
        <v>290</v>
      </c>
      <c r="I430" s="1255">
        <v>146.6</v>
      </c>
      <c r="J430" s="2462">
        <v>36.700000000000003</v>
      </c>
      <c r="K430" s="2357"/>
    </row>
    <row r="431" spans="2:11" ht="15" hidden="1" x14ac:dyDescent="0.2">
      <c r="B431" s="2448" t="s">
        <v>94</v>
      </c>
      <c r="C431" s="2449">
        <v>56</v>
      </c>
      <c r="D431" s="2449">
        <v>8</v>
      </c>
      <c r="E431" s="2449">
        <v>1</v>
      </c>
      <c r="F431" s="2446">
        <v>2020559</v>
      </c>
      <c r="G431" s="2449"/>
      <c r="H431" s="2449">
        <v>290</v>
      </c>
      <c r="I431" s="1255"/>
      <c r="J431" s="2462">
        <v>0</v>
      </c>
      <c r="K431" s="2357"/>
    </row>
    <row r="432" spans="2:11" ht="15" hidden="1" x14ac:dyDescent="0.2">
      <c r="B432" s="2448" t="s">
        <v>96</v>
      </c>
      <c r="C432" s="2449">
        <v>56</v>
      </c>
      <c r="D432" s="2449">
        <v>8</v>
      </c>
      <c r="E432" s="2449">
        <v>1</v>
      </c>
      <c r="F432" s="2446">
        <v>2020559</v>
      </c>
      <c r="G432" s="2449"/>
      <c r="H432" s="2449">
        <v>310</v>
      </c>
      <c r="I432" s="1255">
        <v>20</v>
      </c>
      <c r="J432" s="2462">
        <v>0</v>
      </c>
      <c r="K432" s="2357"/>
    </row>
    <row r="433" spans="2:11" ht="15" hidden="1" x14ac:dyDescent="0.2">
      <c r="B433" s="2448" t="s">
        <v>97</v>
      </c>
      <c r="C433" s="2449">
        <v>56</v>
      </c>
      <c r="D433" s="2449">
        <v>8</v>
      </c>
      <c r="E433" s="2449">
        <v>1</v>
      </c>
      <c r="F433" s="2446">
        <v>2020559</v>
      </c>
      <c r="G433" s="2449"/>
      <c r="H433" s="2449">
        <v>340</v>
      </c>
      <c r="I433" s="1255">
        <v>12</v>
      </c>
      <c r="J433" s="2462">
        <v>0</v>
      </c>
      <c r="K433" s="2357"/>
    </row>
    <row r="434" spans="2:11" ht="15" hidden="1" x14ac:dyDescent="0.2">
      <c r="B434" s="2450" t="s">
        <v>767</v>
      </c>
      <c r="C434" s="2449">
        <v>56</v>
      </c>
      <c r="D434" s="2449">
        <v>8</v>
      </c>
      <c r="E434" s="2449">
        <v>1</v>
      </c>
      <c r="F434" s="2446">
        <v>2020559</v>
      </c>
      <c r="G434" s="2451">
        <v>612</v>
      </c>
      <c r="H434" s="2451">
        <v>241</v>
      </c>
      <c r="I434" s="1252">
        <v>0</v>
      </c>
      <c r="J434" s="2463">
        <v>0</v>
      </c>
      <c r="K434" s="2357"/>
    </row>
    <row r="435" spans="2:11" ht="26" hidden="1" x14ac:dyDescent="0.2">
      <c r="B435" s="2422" t="s">
        <v>1150</v>
      </c>
      <c r="C435" s="2220">
        <v>56</v>
      </c>
      <c r="D435" s="2220">
        <v>8</v>
      </c>
      <c r="E435" s="2220">
        <v>1</v>
      </c>
      <c r="F435" s="2416">
        <v>2020559</v>
      </c>
      <c r="G435" s="2419">
        <v>600</v>
      </c>
      <c r="H435" s="2420"/>
      <c r="I435" s="2424">
        <v>7648.9</v>
      </c>
      <c r="J435" s="2424">
        <v>7374.8</v>
      </c>
      <c r="K435" s="2357"/>
    </row>
    <row r="436" spans="2:11" ht="39" hidden="1" x14ac:dyDescent="0.2">
      <c r="B436" s="2208" t="s">
        <v>1135</v>
      </c>
      <c r="C436" s="2220">
        <v>56</v>
      </c>
      <c r="D436" s="2220">
        <v>8</v>
      </c>
      <c r="E436" s="2220">
        <v>1</v>
      </c>
      <c r="F436" s="2416">
        <v>2020559</v>
      </c>
      <c r="G436" s="2206">
        <v>600</v>
      </c>
      <c r="H436" s="2206">
        <v>241</v>
      </c>
      <c r="I436" s="2412">
        <v>7648.9</v>
      </c>
      <c r="J436" s="2412">
        <v>7374.8</v>
      </c>
      <c r="K436" s="2357"/>
    </row>
    <row r="437" spans="2:11" ht="15" hidden="1" x14ac:dyDescent="0.2">
      <c r="B437" s="2219" t="s">
        <v>78</v>
      </c>
      <c r="C437" s="2220">
        <v>56</v>
      </c>
      <c r="D437" s="2220">
        <v>8</v>
      </c>
      <c r="E437" s="2220">
        <v>1</v>
      </c>
      <c r="F437" s="2416">
        <v>2020559</v>
      </c>
      <c r="G437" s="2220"/>
      <c r="H437" s="2220">
        <v>211</v>
      </c>
      <c r="I437" s="1254">
        <v>5180.5</v>
      </c>
      <c r="J437" s="2427">
        <v>5180.5</v>
      </c>
      <c r="K437" s="2357"/>
    </row>
    <row r="438" spans="2:11" ht="15" hidden="1" x14ac:dyDescent="0.2">
      <c r="B438" s="2219" t="s">
        <v>103</v>
      </c>
      <c r="C438" s="2220">
        <v>56</v>
      </c>
      <c r="D438" s="2220">
        <v>8</v>
      </c>
      <c r="E438" s="2220">
        <v>1</v>
      </c>
      <c r="F438" s="2416">
        <v>2020559</v>
      </c>
      <c r="G438" s="2220"/>
      <c r="H438" s="2220">
        <v>212</v>
      </c>
      <c r="I438" s="1255"/>
      <c r="J438" s="2428">
        <v>0</v>
      </c>
      <c r="K438" s="2357"/>
    </row>
    <row r="439" spans="2:11" ht="15" hidden="1" x14ac:dyDescent="0.2">
      <c r="B439" s="2219" t="s">
        <v>84</v>
      </c>
      <c r="C439" s="2220">
        <v>56</v>
      </c>
      <c r="D439" s="2220">
        <v>8</v>
      </c>
      <c r="E439" s="2220">
        <v>1</v>
      </c>
      <c r="F439" s="2416">
        <v>2020559</v>
      </c>
      <c r="G439" s="2220"/>
      <c r="H439" s="2220">
        <v>213</v>
      </c>
      <c r="I439" s="1254">
        <v>1509.7</v>
      </c>
      <c r="J439" s="2427">
        <v>1509.7</v>
      </c>
      <c r="K439" s="2357"/>
    </row>
    <row r="440" spans="2:11" ht="15" hidden="1" x14ac:dyDescent="0.2">
      <c r="B440" s="2219" t="s">
        <v>85</v>
      </c>
      <c r="C440" s="2220">
        <v>56</v>
      </c>
      <c r="D440" s="2220">
        <v>8</v>
      </c>
      <c r="E440" s="2220">
        <v>1</v>
      </c>
      <c r="F440" s="2416">
        <v>2020559</v>
      </c>
      <c r="G440" s="2220"/>
      <c r="H440" s="2220">
        <v>221</v>
      </c>
      <c r="I440" s="1255">
        <v>13.4</v>
      </c>
      <c r="J440" s="2428">
        <v>7.1</v>
      </c>
      <c r="K440" s="2357"/>
    </row>
    <row r="441" spans="2:11" ht="15" hidden="1" x14ac:dyDescent="0.2">
      <c r="B441" s="2219" t="s">
        <v>86</v>
      </c>
      <c r="C441" s="2220">
        <v>56</v>
      </c>
      <c r="D441" s="2220">
        <v>8</v>
      </c>
      <c r="E441" s="2220">
        <v>1</v>
      </c>
      <c r="F441" s="2416">
        <v>2020559</v>
      </c>
      <c r="G441" s="2220"/>
      <c r="H441" s="2220">
        <v>222</v>
      </c>
      <c r="I441" s="1255"/>
      <c r="J441" s="2428"/>
      <c r="K441" s="2357"/>
    </row>
    <row r="442" spans="2:11" ht="15" hidden="1" x14ac:dyDescent="0.2">
      <c r="B442" s="2219" t="s">
        <v>87</v>
      </c>
      <c r="C442" s="2220">
        <v>56</v>
      </c>
      <c r="D442" s="2220">
        <v>8</v>
      </c>
      <c r="E442" s="2220">
        <v>1</v>
      </c>
      <c r="F442" s="2416">
        <v>2020559</v>
      </c>
      <c r="G442" s="2220"/>
      <c r="H442" s="2220">
        <v>223</v>
      </c>
      <c r="I442" s="1255">
        <v>127.7</v>
      </c>
      <c r="J442" s="2428">
        <v>114.9</v>
      </c>
      <c r="K442" s="2357"/>
    </row>
    <row r="443" spans="2:11" ht="15" hidden="1" x14ac:dyDescent="0.2">
      <c r="B443" s="2219" t="s">
        <v>134</v>
      </c>
      <c r="C443" s="2220">
        <v>56</v>
      </c>
      <c r="D443" s="2220">
        <v>8</v>
      </c>
      <c r="E443" s="2220">
        <v>1</v>
      </c>
      <c r="F443" s="2416">
        <v>2020559</v>
      </c>
      <c r="G443" s="2220"/>
      <c r="H443" s="2220">
        <v>224</v>
      </c>
      <c r="I443" s="1255">
        <v>600</v>
      </c>
      <c r="J443" s="2428">
        <v>540</v>
      </c>
      <c r="K443" s="2357"/>
    </row>
    <row r="444" spans="2:11" ht="15" hidden="1" x14ac:dyDescent="0.2">
      <c r="B444" s="2219" t="s">
        <v>90</v>
      </c>
      <c r="C444" s="2220">
        <v>56</v>
      </c>
      <c r="D444" s="2220">
        <v>8</v>
      </c>
      <c r="E444" s="2220">
        <v>1</v>
      </c>
      <c r="F444" s="2416">
        <v>2020559</v>
      </c>
      <c r="G444" s="2220"/>
      <c r="H444" s="2220">
        <v>225</v>
      </c>
      <c r="I444" s="1255">
        <v>10</v>
      </c>
      <c r="J444" s="2428">
        <v>0</v>
      </c>
      <c r="K444" s="2357"/>
    </row>
    <row r="445" spans="2:11" ht="15" hidden="1" x14ac:dyDescent="0.2">
      <c r="B445" s="2219" t="s">
        <v>91</v>
      </c>
      <c r="C445" s="2220">
        <v>56</v>
      </c>
      <c r="D445" s="2220">
        <v>8</v>
      </c>
      <c r="E445" s="2220">
        <v>1</v>
      </c>
      <c r="F445" s="2416">
        <v>2020559</v>
      </c>
      <c r="G445" s="2220"/>
      <c r="H445" s="2220">
        <v>226</v>
      </c>
      <c r="I445" s="1255">
        <v>125</v>
      </c>
      <c r="J445" s="2428">
        <v>0</v>
      </c>
      <c r="K445" s="2357"/>
    </row>
    <row r="446" spans="2:11" ht="15" hidden="1" x14ac:dyDescent="0.2">
      <c r="B446" s="2219" t="s">
        <v>94</v>
      </c>
      <c r="C446" s="2220">
        <v>56</v>
      </c>
      <c r="D446" s="2220">
        <v>8</v>
      </c>
      <c r="E446" s="2220">
        <v>1</v>
      </c>
      <c r="F446" s="2416">
        <v>2020559</v>
      </c>
      <c r="G446" s="2220"/>
      <c r="H446" s="2220">
        <v>290</v>
      </c>
      <c r="I446" s="1255">
        <v>22.6</v>
      </c>
      <c r="J446" s="2428">
        <v>22.6</v>
      </c>
      <c r="K446" s="2357"/>
    </row>
    <row r="447" spans="2:11" ht="15" hidden="1" x14ac:dyDescent="0.2">
      <c r="B447" s="2219" t="s">
        <v>94</v>
      </c>
      <c r="C447" s="2220">
        <v>56</v>
      </c>
      <c r="D447" s="2220">
        <v>8</v>
      </c>
      <c r="E447" s="2220">
        <v>1</v>
      </c>
      <c r="F447" s="2416">
        <v>2020559</v>
      </c>
      <c r="G447" s="2220"/>
      <c r="H447" s="2220">
        <v>290</v>
      </c>
      <c r="I447" s="1255"/>
      <c r="J447" s="2428"/>
      <c r="K447" s="2357"/>
    </row>
    <row r="448" spans="2:11" ht="15" hidden="1" x14ac:dyDescent="0.2">
      <c r="B448" s="2219" t="s">
        <v>96</v>
      </c>
      <c r="C448" s="2220">
        <v>56</v>
      </c>
      <c r="D448" s="2220">
        <v>8</v>
      </c>
      <c r="E448" s="2220">
        <v>1</v>
      </c>
      <c r="F448" s="2416">
        <v>2020559</v>
      </c>
      <c r="G448" s="2220"/>
      <c r="H448" s="2220">
        <v>310</v>
      </c>
      <c r="I448" s="1255">
        <v>40</v>
      </c>
      <c r="J448" s="2428">
        <v>0</v>
      </c>
      <c r="K448" s="2357"/>
    </row>
    <row r="449" spans="2:11" ht="15" hidden="1" x14ac:dyDescent="0.2">
      <c r="B449" s="2219" t="s">
        <v>97</v>
      </c>
      <c r="C449" s="2220">
        <v>56</v>
      </c>
      <c r="D449" s="2220">
        <v>8</v>
      </c>
      <c r="E449" s="2220">
        <v>1</v>
      </c>
      <c r="F449" s="2416">
        <v>2020559</v>
      </c>
      <c r="G449" s="2220"/>
      <c r="H449" s="2220">
        <v>340</v>
      </c>
      <c r="I449" s="1255">
        <v>20</v>
      </c>
      <c r="J449" s="2428">
        <v>0</v>
      </c>
      <c r="K449" s="2357"/>
    </row>
    <row r="450" spans="2:11" ht="15" hidden="1" x14ac:dyDescent="0.2">
      <c r="B450" s="2208" t="s">
        <v>767</v>
      </c>
      <c r="C450" s="2220">
        <v>56</v>
      </c>
      <c r="D450" s="2220">
        <v>8</v>
      </c>
      <c r="E450" s="2220">
        <v>1</v>
      </c>
      <c r="F450" s="2416">
        <v>2020559</v>
      </c>
      <c r="G450" s="2206">
        <v>612</v>
      </c>
      <c r="H450" s="2206">
        <v>241</v>
      </c>
      <c r="I450" s="1252">
        <v>0</v>
      </c>
      <c r="J450" s="2425">
        <v>0</v>
      </c>
      <c r="K450" s="2357"/>
    </row>
    <row r="451" spans="2:11" ht="26" hidden="1" x14ac:dyDescent="0.2">
      <c r="B451" s="2422" t="s">
        <v>1151</v>
      </c>
      <c r="C451" s="2220">
        <v>56</v>
      </c>
      <c r="D451" s="2220">
        <v>8</v>
      </c>
      <c r="E451" s="2220">
        <v>1</v>
      </c>
      <c r="F451" s="2416">
        <v>2020559</v>
      </c>
      <c r="G451" s="2419">
        <v>600</v>
      </c>
      <c r="H451" s="2420"/>
      <c r="I451" s="2424">
        <v>3108.8</v>
      </c>
      <c r="J451" s="2424">
        <v>2940.5</v>
      </c>
      <c r="K451" s="2357"/>
    </row>
    <row r="452" spans="2:11" ht="39" hidden="1" x14ac:dyDescent="0.2">
      <c r="B452" s="2208" t="s">
        <v>1135</v>
      </c>
      <c r="C452" s="2220">
        <v>56</v>
      </c>
      <c r="D452" s="2220">
        <v>8</v>
      </c>
      <c r="E452" s="2220">
        <v>1</v>
      </c>
      <c r="F452" s="2416">
        <v>2020559</v>
      </c>
      <c r="G452" s="2206">
        <v>600</v>
      </c>
      <c r="H452" s="2206">
        <v>241</v>
      </c>
      <c r="I452" s="2412">
        <v>3108.8</v>
      </c>
      <c r="J452" s="2412">
        <v>2940.5</v>
      </c>
      <c r="K452" s="2357"/>
    </row>
    <row r="453" spans="2:11" ht="15" hidden="1" x14ac:dyDescent="0.2">
      <c r="B453" s="2219" t="s">
        <v>78</v>
      </c>
      <c r="C453" s="2220">
        <v>56</v>
      </c>
      <c r="D453" s="2220">
        <v>8</v>
      </c>
      <c r="E453" s="2220">
        <v>1</v>
      </c>
      <c r="F453" s="2416">
        <v>2020559</v>
      </c>
      <c r="G453" s="2220"/>
      <c r="H453" s="2220">
        <v>211</v>
      </c>
      <c r="I453" s="1254">
        <v>2201.9</v>
      </c>
      <c r="J453" s="2427">
        <v>2201.9</v>
      </c>
      <c r="K453" s="2357"/>
    </row>
    <row r="454" spans="2:11" ht="15" hidden="1" x14ac:dyDescent="0.2">
      <c r="B454" s="2219" t="s">
        <v>103</v>
      </c>
      <c r="C454" s="2220">
        <v>56</v>
      </c>
      <c r="D454" s="2220">
        <v>8</v>
      </c>
      <c r="E454" s="2220">
        <v>1</v>
      </c>
      <c r="F454" s="2416">
        <v>2020559</v>
      </c>
      <c r="G454" s="2220"/>
      <c r="H454" s="2220">
        <v>212</v>
      </c>
      <c r="I454" s="1255">
        <v>2</v>
      </c>
      <c r="J454" s="2428">
        <v>2</v>
      </c>
      <c r="K454" s="2357"/>
    </row>
    <row r="455" spans="2:11" ht="15" hidden="1" x14ac:dyDescent="0.2">
      <c r="B455" s="2219" t="s">
        <v>84</v>
      </c>
      <c r="C455" s="2220">
        <v>56</v>
      </c>
      <c r="D455" s="2220">
        <v>8</v>
      </c>
      <c r="E455" s="2220">
        <v>1</v>
      </c>
      <c r="F455" s="2416">
        <v>2020559</v>
      </c>
      <c r="G455" s="2220"/>
      <c r="H455" s="2220">
        <v>213</v>
      </c>
      <c r="I455" s="1255">
        <v>641.70000000000005</v>
      </c>
      <c r="J455" s="2428">
        <v>641.70000000000005</v>
      </c>
      <c r="K455" s="2357"/>
    </row>
    <row r="456" spans="2:11" ht="15" hidden="1" x14ac:dyDescent="0.2">
      <c r="B456" s="2219" t="s">
        <v>85</v>
      </c>
      <c r="C456" s="2220">
        <v>56</v>
      </c>
      <c r="D456" s="2220">
        <v>8</v>
      </c>
      <c r="E456" s="2220">
        <v>1</v>
      </c>
      <c r="F456" s="2416">
        <v>2020559</v>
      </c>
      <c r="G456" s="2220"/>
      <c r="H456" s="2220">
        <v>221</v>
      </c>
      <c r="I456" s="1255">
        <v>10.3</v>
      </c>
      <c r="J456" s="2428">
        <v>9.3000000000000007</v>
      </c>
      <c r="K456" s="2357"/>
    </row>
    <row r="457" spans="2:11" ht="15" hidden="1" x14ac:dyDescent="0.2">
      <c r="B457" s="2219" t="s">
        <v>86</v>
      </c>
      <c r="C457" s="2220">
        <v>56</v>
      </c>
      <c r="D457" s="2220">
        <v>8</v>
      </c>
      <c r="E457" s="2220">
        <v>1</v>
      </c>
      <c r="F457" s="2416">
        <v>2020559</v>
      </c>
      <c r="G457" s="2220"/>
      <c r="H457" s="2220">
        <v>222</v>
      </c>
      <c r="I457" s="1255">
        <v>11.2</v>
      </c>
      <c r="J457" s="2428">
        <v>10.1</v>
      </c>
      <c r="K457" s="2357"/>
    </row>
    <row r="458" spans="2:11" ht="15" hidden="1" x14ac:dyDescent="0.2">
      <c r="B458" s="2219" t="s">
        <v>87</v>
      </c>
      <c r="C458" s="2220">
        <v>56</v>
      </c>
      <c r="D458" s="2220">
        <v>8</v>
      </c>
      <c r="E458" s="2220">
        <v>1</v>
      </c>
      <c r="F458" s="2416">
        <v>2020559</v>
      </c>
      <c r="G458" s="2220"/>
      <c r="H458" s="2220">
        <v>223</v>
      </c>
      <c r="I458" s="1255">
        <v>62.2</v>
      </c>
      <c r="J458" s="2428">
        <v>56</v>
      </c>
      <c r="K458" s="2357"/>
    </row>
    <row r="459" spans="2:11" ht="15" hidden="1" x14ac:dyDescent="0.2">
      <c r="B459" s="2219" t="s">
        <v>134</v>
      </c>
      <c r="C459" s="2220">
        <v>56</v>
      </c>
      <c r="D459" s="2220">
        <v>8</v>
      </c>
      <c r="E459" s="2220">
        <v>1</v>
      </c>
      <c r="F459" s="2416">
        <v>2020559</v>
      </c>
      <c r="G459" s="2220"/>
      <c r="H459" s="2220">
        <v>224</v>
      </c>
      <c r="I459" s="1255"/>
      <c r="J459" s="2428"/>
      <c r="K459" s="2357"/>
    </row>
    <row r="460" spans="2:11" ht="15" hidden="1" x14ac:dyDescent="0.2">
      <c r="B460" s="2219" t="s">
        <v>90</v>
      </c>
      <c r="C460" s="2220">
        <v>56</v>
      </c>
      <c r="D460" s="2220">
        <v>8</v>
      </c>
      <c r="E460" s="2220">
        <v>1</v>
      </c>
      <c r="F460" s="2416">
        <v>2020559</v>
      </c>
      <c r="G460" s="2220"/>
      <c r="H460" s="2220">
        <v>225</v>
      </c>
      <c r="I460" s="1255">
        <v>28.6</v>
      </c>
      <c r="J460" s="2428">
        <v>2.7</v>
      </c>
      <c r="K460" s="2357"/>
    </row>
    <row r="461" spans="2:11" ht="15" hidden="1" x14ac:dyDescent="0.2">
      <c r="B461" s="2219" t="s">
        <v>91</v>
      </c>
      <c r="C461" s="2220">
        <v>56</v>
      </c>
      <c r="D461" s="2220">
        <v>8</v>
      </c>
      <c r="E461" s="2220">
        <v>1</v>
      </c>
      <c r="F461" s="2416">
        <v>2020559</v>
      </c>
      <c r="G461" s="2220"/>
      <c r="H461" s="2220">
        <v>226</v>
      </c>
      <c r="I461" s="1255">
        <v>47.4</v>
      </c>
      <c r="J461" s="2428">
        <v>0</v>
      </c>
      <c r="K461" s="2357"/>
    </row>
    <row r="462" spans="2:11" ht="15" hidden="1" x14ac:dyDescent="0.2">
      <c r="B462" s="2219" t="s">
        <v>94</v>
      </c>
      <c r="C462" s="2220">
        <v>56</v>
      </c>
      <c r="D462" s="2220">
        <v>8</v>
      </c>
      <c r="E462" s="2220">
        <v>1</v>
      </c>
      <c r="F462" s="2416">
        <v>2020559</v>
      </c>
      <c r="G462" s="2220"/>
      <c r="H462" s="2220">
        <v>290</v>
      </c>
      <c r="I462" s="1255">
        <v>16.8</v>
      </c>
      <c r="J462" s="2428">
        <v>16.8</v>
      </c>
      <c r="K462" s="2357"/>
    </row>
    <row r="463" spans="2:11" ht="15" hidden="1" x14ac:dyDescent="0.2">
      <c r="B463" s="2219" t="s">
        <v>94</v>
      </c>
      <c r="C463" s="2220">
        <v>56</v>
      </c>
      <c r="D463" s="2220">
        <v>8</v>
      </c>
      <c r="E463" s="2220">
        <v>1</v>
      </c>
      <c r="F463" s="2416">
        <v>2020559</v>
      </c>
      <c r="G463" s="2220"/>
      <c r="H463" s="2220">
        <v>290</v>
      </c>
      <c r="I463" s="1255"/>
      <c r="J463" s="2428"/>
      <c r="K463" s="2357"/>
    </row>
    <row r="464" spans="2:11" ht="15" hidden="1" x14ac:dyDescent="0.2">
      <c r="B464" s="2219" t="s">
        <v>96</v>
      </c>
      <c r="C464" s="2220">
        <v>56</v>
      </c>
      <c r="D464" s="2220">
        <v>8</v>
      </c>
      <c r="E464" s="2220">
        <v>1</v>
      </c>
      <c r="F464" s="2416">
        <v>2020559</v>
      </c>
      <c r="G464" s="2220"/>
      <c r="H464" s="2220">
        <v>310</v>
      </c>
      <c r="I464" s="1255">
        <v>60.5</v>
      </c>
      <c r="J464" s="2428">
        <v>0</v>
      </c>
      <c r="K464" s="2357"/>
    </row>
    <row r="465" spans="2:11" ht="15" hidden="1" x14ac:dyDescent="0.2">
      <c r="B465" s="2219" t="s">
        <v>97</v>
      </c>
      <c r="C465" s="2220">
        <v>56</v>
      </c>
      <c r="D465" s="2220">
        <v>8</v>
      </c>
      <c r="E465" s="2220">
        <v>1</v>
      </c>
      <c r="F465" s="2416">
        <v>2020559</v>
      </c>
      <c r="G465" s="2220"/>
      <c r="H465" s="2220">
        <v>340</v>
      </c>
      <c r="I465" s="1255">
        <v>26.2</v>
      </c>
      <c r="J465" s="2428">
        <v>0</v>
      </c>
      <c r="K465" s="2357"/>
    </row>
    <row r="466" spans="2:11" ht="15" hidden="1" x14ac:dyDescent="0.2">
      <c r="B466" s="2568" t="s">
        <v>767</v>
      </c>
      <c r="C466" s="2554">
        <v>56</v>
      </c>
      <c r="D466" s="2554">
        <v>8</v>
      </c>
      <c r="E466" s="2554">
        <v>1</v>
      </c>
      <c r="F466" s="2528">
        <v>2020559</v>
      </c>
      <c r="G466" s="2565">
        <v>612</v>
      </c>
      <c r="H466" s="2565">
        <v>241</v>
      </c>
      <c r="I466" s="2566">
        <v>0</v>
      </c>
      <c r="J466" s="2622">
        <v>0</v>
      </c>
      <c r="K466" s="2357"/>
    </row>
    <row r="467" spans="2:11" ht="55" x14ac:dyDescent="0.2">
      <c r="B467" s="2535" t="s">
        <v>1361</v>
      </c>
      <c r="C467" s="2536">
        <v>56</v>
      </c>
      <c r="D467" s="2536">
        <v>8</v>
      </c>
      <c r="E467" s="2536">
        <v>1</v>
      </c>
      <c r="F467" s="2615">
        <v>2020659</v>
      </c>
      <c r="G467" s="2536"/>
      <c r="H467" s="2536"/>
      <c r="I467" s="2624"/>
      <c r="J467" s="2623"/>
      <c r="K467" s="2357"/>
    </row>
    <row r="468" spans="2:11" ht="15" x14ac:dyDescent="0.2">
      <c r="B468" s="2540" t="s">
        <v>1125</v>
      </c>
      <c r="C468" s="2444">
        <v>56</v>
      </c>
      <c r="D468" s="2444">
        <v>8</v>
      </c>
      <c r="E468" s="2444">
        <v>1</v>
      </c>
      <c r="F468" s="2443">
        <v>2020659</v>
      </c>
      <c r="G468" s="2419">
        <v>600</v>
      </c>
      <c r="H468" s="2419"/>
      <c r="I468" s="2421">
        <v>562784.80000000005</v>
      </c>
      <c r="J468" s="2541">
        <v>630196.9</v>
      </c>
      <c r="K468" s="2357">
        <f>'2015'!J26</f>
        <v>630196.9</v>
      </c>
    </row>
    <row r="469" spans="2:11" ht="39" x14ac:dyDescent="0.2">
      <c r="B469" s="2542" t="s">
        <v>1135</v>
      </c>
      <c r="C469" s="2444">
        <v>56</v>
      </c>
      <c r="D469" s="2444">
        <v>8</v>
      </c>
      <c r="E469" s="2444">
        <v>1</v>
      </c>
      <c r="F469" s="2443">
        <v>2020659</v>
      </c>
      <c r="G469" s="2442">
        <v>611</v>
      </c>
      <c r="H469" s="2442">
        <v>241</v>
      </c>
      <c r="I469" s="2412">
        <v>536494.80000000005</v>
      </c>
      <c r="J469" s="2543">
        <v>531545.9</v>
      </c>
      <c r="K469" s="2357"/>
    </row>
    <row r="470" spans="2:11" ht="15" hidden="1" x14ac:dyDescent="0.2">
      <c r="B470" s="2544" t="s">
        <v>78</v>
      </c>
      <c r="C470" s="2444">
        <v>56</v>
      </c>
      <c r="D470" s="2444">
        <v>8</v>
      </c>
      <c r="E470" s="2444">
        <v>1</v>
      </c>
      <c r="F470" s="2443">
        <v>2020659</v>
      </c>
      <c r="G470" s="2444"/>
      <c r="H470" s="2444">
        <v>211</v>
      </c>
      <c r="I470" s="2464">
        <v>353864.8</v>
      </c>
      <c r="J470" s="2625">
        <v>355265.2</v>
      </c>
      <c r="K470" s="2357"/>
    </row>
    <row r="471" spans="2:11" ht="15" hidden="1" x14ac:dyDescent="0.2">
      <c r="B471" s="2544" t="s">
        <v>103</v>
      </c>
      <c r="C471" s="2444">
        <v>56</v>
      </c>
      <c r="D471" s="2444">
        <v>8</v>
      </c>
      <c r="E471" s="2444">
        <v>1</v>
      </c>
      <c r="F471" s="2443">
        <v>2020659</v>
      </c>
      <c r="G471" s="2444"/>
      <c r="H471" s="2444">
        <v>212</v>
      </c>
      <c r="I471" s="2445">
        <v>0</v>
      </c>
      <c r="J471" s="2546">
        <v>0</v>
      </c>
      <c r="K471" s="2357"/>
    </row>
    <row r="472" spans="2:11" ht="15" hidden="1" x14ac:dyDescent="0.2">
      <c r="B472" s="2544" t="s">
        <v>84</v>
      </c>
      <c r="C472" s="2444">
        <v>56</v>
      </c>
      <c r="D472" s="2444">
        <v>8</v>
      </c>
      <c r="E472" s="2444">
        <v>1</v>
      </c>
      <c r="F472" s="2443">
        <v>2020659</v>
      </c>
      <c r="G472" s="2444"/>
      <c r="H472" s="2444">
        <v>213</v>
      </c>
      <c r="I472" s="2413">
        <v>103015.8</v>
      </c>
      <c r="J472" s="2545">
        <v>99701.1</v>
      </c>
      <c r="K472" s="2357"/>
    </row>
    <row r="473" spans="2:11" ht="15" hidden="1" x14ac:dyDescent="0.2">
      <c r="B473" s="2544" t="s">
        <v>85</v>
      </c>
      <c r="C473" s="2444">
        <v>56</v>
      </c>
      <c r="D473" s="2444">
        <v>8</v>
      </c>
      <c r="E473" s="2444">
        <v>1</v>
      </c>
      <c r="F473" s="2443">
        <v>2020659</v>
      </c>
      <c r="G473" s="2444"/>
      <c r="H473" s="2444">
        <v>221</v>
      </c>
      <c r="I473" s="2445">
        <v>94</v>
      </c>
      <c r="J473" s="2546">
        <v>84.6</v>
      </c>
      <c r="K473" s="2357"/>
    </row>
    <row r="474" spans="2:11" ht="15" hidden="1" x14ac:dyDescent="0.2">
      <c r="B474" s="2544" t="s">
        <v>86</v>
      </c>
      <c r="C474" s="2444">
        <v>56</v>
      </c>
      <c r="D474" s="2444">
        <v>8</v>
      </c>
      <c r="E474" s="2444">
        <v>1</v>
      </c>
      <c r="F474" s="2443">
        <v>2020659</v>
      </c>
      <c r="G474" s="2444"/>
      <c r="H474" s="2444">
        <v>222</v>
      </c>
      <c r="I474" s="2413">
        <v>1640</v>
      </c>
      <c r="J474" s="2545">
        <v>1198</v>
      </c>
      <c r="K474" s="2357"/>
    </row>
    <row r="475" spans="2:11" ht="15" hidden="1" x14ac:dyDescent="0.2">
      <c r="B475" s="2544" t="s">
        <v>87</v>
      </c>
      <c r="C475" s="2444">
        <v>56</v>
      </c>
      <c r="D475" s="2444">
        <v>8</v>
      </c>
      <c r="E475" s="2444">
        <v>1</v>
      </c>
      <c r="F475" s="2443">
        <v>2020659</v>
      </c>
      <c r="G475" s="2444"/>
      <c r="H475" s="2444">
        <v>223</v>
      </c>
      <c r="I475" s="2413">
        <v>8580</v>
      </c>
      <c r="J475" s="2545">
        <v>7696.1</v>
      </c>
      <c r="K475" s="2357"/>
    </row>
    <row r="476" spans="2:11" ht="15" hidden="1" x14ac:dyDescent="0.2">
      <c r="B476" s="2544" t="s">
        <v>134</v>
      </c>
      <c r="C476" s="2444">
        <v>56</v>
      </c>
      <c r="D476" s="2444">
        <v>8</v>
      </c>
      <c r="E476" s="2444">
        <v>1</v>
      </c>
      <c r="F476" s="2443">
        <v>2020659</v>
      </c>
      <c r="G476" s="2444"/>
      <c r="H476" s="2444">
        <v>224</v>
      </c>
      <c r="I476" s="2445">
        <v>963</v>
      </c>
      <c r="J476" s="2546">
        <v>742</v>
      </c>
      <c r="K476" s="2357"/>
    </row>
    <row r="477" spans="2:11" ht="15" hidden="1" x14ac:dyDescent="0.2">
      <c r="B477" s="2544" t="s">
        <v>90</v>
      </c>
      <c r="C477" s="2444">
        <v>56</v>
      </c>
      <c r="D477" s="2444">
        <v>8</v>
      </c>
      <c r="E477" s="2444">
        <v>1</v>
      </c>
      <c r="F477" s="2443">
        <v>2020659</v>
      </c>
      <c r="G477" s="2444"/>
      <c r="H477" s="2444">
        <v>225</v>
      </c>
      <c r="I477" s="2445">
        <v>947.3</v>
      </c>
      <c r="J477" s="2546">
        <v>777.6</v>
      </c>
      <c r="K477" s="2357"/>
    </row>
    <row r="478" spans="2:11" ht="15" hidden="1" x14ac:dyDescent="0.2">
      <c r="B478" s="2544" t="s">
        <v>91</v>
      </c>
      <c r="C478" s="2444">
        <v>56</v>
      </c>
      <c r="D478" s="2444">
        <v>8</v>
      </c>
      <c r="E478" s="2444">
        <v>1</v>
      </c>
      <c r="F478" s="2443">
        <v>2020659</v>
      </c>
      <c r="G478" s="2444"/>
      <c r="H478" s="2444">
        <v>226</v>
      </c>
      <c r="I478" s="2413">
        <v>31299.5</v>
      </c>
      <c r="J478" s="2545">
        <v>32857.599999999999</v>
      </c>
      <c r="K478" s="2357"/>
    </row>
    <row r="479" spans="2:11" ht="15" hidden="1" x14ac:dyDescent="0.2">
      <c r="B479" s="2544" t="s">
        <v>94</v>
      </c>
      <c r="C479" s="2444">
        <v>56</v>
      </c>
      <c r="D479" s="2444">
        <v>8</v>
      </c>
      <c r="E479" s="2444">
        <v>1</v>
      </c>
      <c r="F479" s="2443">
        <v>2020659</v>
      </c>
      <c r="G479" s="2444"/>
      <c r="H479" s="2444">
        <v>290</v>
      </c>
      <c r="I479" s="2413">
        <v>11395.4</v>
      </c>
      <c r="J479" s="2545">
        <v>11265.3</v>
      </c>
      <c r="K479" s="2357"/>
    </row>
    <row r="480" spans="2:11" ht="15" hidden="1" x14ac:dyDescent="0.2">
      <c r="B480" s="2544" t="s">
        <v>94</v>
      </c>
      <c r="C480" s="2444">
        <v>56</v>
      </c>
      <c r="D480" s="2444">
        <v>8</v>
      </c>
      <c r="E480" s="2444">
        <v>1</v>
      </c>
      <c r="F480" s="2443">
        <v>2020659</v>
      </c>
      <c r="G480" s="2444"/>
      <c r="H480" s="2444">
        <v>290</v>
      </c>
      <c r="I480" s="2445">
        <v>0</v>
      </c>
      <c r="J480" s="2546">
        <v>0</v>
      </c>
      <c r="K480" s="2357"/>
    </row>
    <row r="481" spans="2:11" ht="15" hidden="1" x14ac:dyDescent="0.2">
      <c r="B481" s="2544" t="s">
        <v>96</v>
      </c>
      <c r="C481" s="2444">
        <v>56</v>
      </c>
      <c r="D481" s="2444">
        <v>8</v>
      </c>
      <c r="E481" s="2444">
        <v>1</v>
      </c>
      <c r="F481" s="2443">
        <v>2020659</v>
      </c>
      <c r="G481" s="2444"/>
      <c r="H481" s="2444">
        <v>310</v>
      </c>
      <c r="I481" s="2413">
        <v>18046.2</v>
      </c>
      <c r="J481" s="2545">
        <v>14207.7</v>
      </c>
      <c r="K481" s="2357"/>
    </row>
    <row r="482" spans="2:11" ht="15" hidden="1" x14ac:dyDescent="0.2">
      <c r="B482" s="2544" t="s">
        <v>97</v>
      </c>
      <c r="C482" s="2444">
        <v>56</v>
      </c>
      <c r="D482" s="2444">
        <v>8</v>
      </c>
      <c r="E482" s="2444">
        <v>1</v>
      </c>
      <c r="F482" s="2443">
        <v>2020659</v>
      </c>
      <c r="G482" s="2444"/>
      <c r="H482" s="2444">
        <v>340</v>
      </c>
      <c r="I482" s="2413">
        <v>6648.8</v>
      </c>
      <c r="J482" s="2545">
        <v>7750.7</v>
      </c>
      <c r="K482" s="2357"/>
    </row>
    <row r="483" spans="2:11" ht="16" thickBot="1" x14ac:dyDescent="0.25">
      <c r="B483" s="2547" t="s">
        <v>767</v>
      </c>
      <c r="C483" s="2549">
        <v>56</v>
      </c>
      <c r="D483" s="2549">
        <v>8</v>
      </c>
      <c r="E483" s="2549">
        <v>1</v>
      </c>
      <c r="F483" s="2594">
        <v>2020659</v>
      </c>
      <c r="G483" s="2548">
        <v>612</v>
      </c>
      <c r="H483" s="2548">
        <v>241</v>
      </c>
      <c r="I483" s="2619">
        <v>26290</v>
      </c>
      <c r="J483" s="2620">
        <v>98651</v>
      </c>
      <c r="K483" s="2357"/>
    </row>
    <row r="484" spans="2:11" ht="26" hidden="1" x14ac:dyDescent="0.15">
      <c r="B484" s="2530" t="s">
        <v>1152</v>
      </c>
      <c r="C484" s="2943">
        <v>56</v>
      </c>
      <c r="D484" s="2943">
        <v>8</v>
      </c>
      <c r="E484" s="2943">
        <v>1</v>
      </c>
      <c r="F484" s="2944">
        <v>2020659</v>
      </c>
      <c r="G484" s="2945">
        <v>600</v>
      </c>
      <c r="H484" s="2945"/>
      <c r="I484" s="2946">
        <v>38020.6</v>
      </c>
      <c r="J484" s="2946">
        <v>40218.699999999997</v>
      </c>
      <c r="K484" s="2928"/>
    </row>
    <row r="485" spans="2:11" hidden="1" x14ac:dyDescent="0.15">
      <c r="B485" s="2422" t="s">
        <v>1153</v>
      </c>
      <c r="C485" s="2932"/>
      <c r="D485" s="2932"/>
      <c r="E485" s="2932"/>
      <c r="F485" s="2930"/>
      <c r="G485" s="2917"/>
      <c r="H485" s="2917"/>
      <c r="I485" s="2947"/>
      <c r="J485" s="2947"/>
      <c r="K485" s="2928"/>
    </row>
    <row r="486" spans="2:11" ht="39" hidden="1" x14ac:dyDescent="0.2">
      <c r="B486" s="2208" t="s">
        <v>1135</v>
      </c>
      <c r="C486" s="2220">
        <v>56</v>
      </c>
      <c r="D486" s="2220">
        <v>8</v>
      </c>
      <c r="E486" s="2220">
        <v>1</v>
      </c>
      <c r="F486" s="2416">
        <v>2020659</v>
      </c>
      <c r="G486" s="2206">
        <v>611</v>
      </c>
      <c r="H486" s="2206">
        <v>241</v>
      </c>
      <c r="I486" s="2412">
        <v>38020.6</v>
      </c>
      <c r="J486" s="2412">
        <v>40218.699999999997</v>
      </c>
      <c r="K486" s="2357"/>
    </row>
    <row r="487" spans="2:11" ht="15" hidden="1" x14ac:dyDescent="0.2">
      <c r="B487" s="2219" t="s">
        <v>78</v>
      </c>
      <c r="C487" s="2220">
        <v>56</v>
      </c>
      <c r="D487" s="2220">
        <v>8</v>
      </c>
      <c r="E487" s="2220">
        <v>1</v>
      </c>
      <c r="F487" s="2416">
        <v>2020659</v>
      </c>
      <c r="G487" s="2220"/>
      <c r="H487" s="2220">
        <v>211</v>
      </c>
      <c r="I487" s="1254">
        <v>23836.400000000001</v>
      </c>
      <c r="J487" s="2427">
        <v>24371.4</v>
      </c>
      <c r="K487" s="2357"/>
    </row>
    <row r="488" spans="2:11" ht="15" hidden="1" x14ac:dyDescent="0.2">
      <c r="B488" s="2219" t="s">
        <v>103</v>
      </c>
      <c r="C488" s="2220">
        <v>56</v>
      </c>
      <c r="D488" s="2220">
        <v>8</v>
      </c>
      <c r="E488" s="2220">
        <v>1</v>
      </c>
      <c r="F488" s="2416">
        <v>2020659</v>
      </c>
      <c r="G488" s="2220"/>
      <c r="H488" s="2220">
        <v>212</v>
      </c>
      <c r="I488" s="1255"/>
      <c r="J488" s="2428"/>
      <c r="K488" s="2357"/>
    </row>
    <row r="489" spans="2:11" ht="15" hidden="1" x14ac:dyDescent="0.2">
      <c r="B489" s="2219" t="s">
        <v>84</v>
      </c>
      <c r="C489" s="2220">
        <v>56</v>
      </c>
      <c r="D489" s="2220">
        <v>8</v>
      </c>
      <c r="E489" s="2220">
        <v>1</v>
      </c>
      <c r="F489" s="2416">
        <v>2020659</v>
      </c>
      <c r="G489" s="2220"/>
      <c r="H489" s="2220">
        <v>213</v>
      </c>
      <c r="I489" s="1254">
        <v>6946</v>
      </c>
      <c r="J489" s="2427">
        <v>7107.6</v>
      </c>
      <c r="K489" s="2357"/>
    </row>
    <row r="490" spans="2:11" ht="15" hidden="1" x14ac:dyDescent="0.2">
      <c r="B490" s="2219" t="s">
        <v>85</v>
      </c>
      <c r="C490" s="2220">
        <v>56</v>
      </c>
      <c r="D490" s="2220">
        <v>8</v>
      </c>
      <c r="E490" s="2220">
        <v>1</v>
      </c>
      <c r="F490" s="2416">
        <v>2020659</v>
      </c>
      <c r="G490" s="2220"/>
      <c r="H490" s="2220">
        <v>221</v>
      </c>
      <c r="I490" s="1255"/>
      <c r="J490" s="2428"/>
      <c r="K490" s="2357"/>
    </row>
    <row r="491" spans="2:11" ht="15" hidden="1" x14ac:dyDescent="0.2">
      <c r="B491" s="2219" t="s">
        <v>86</v>
      </c>
      <c r="C491" s="2220">
        <v>56</v>
      </c>
      <c r="D491" s="2220">
        <v>8</v>
      </c>
      <c r="E491" s="2220">
        <v>1</v>
      </c>
      <c r="F491" s="2416">
        <v>2020659</v>
      </c>
      <c r="G491" s="2220"/>
      <c r="H491" s="2220">
        <v>222</v>
      </c>
      <c r="I491" s="1255"/>
      <c r="J491" s="2428"/>
      <c r="K491" s="2357"/>
    </row>
    <row r="492" spans="2:11" ht="15" hidden="1" x14ac:dyDescent="0.2">
      <c r="B492" s="2219" t="s">
        <v>87</v>
      </c>
      <c r="C492" s="2220">
        <v>56</v>
      </c>
      <c r="D492" s="2220">
        <v>8</v>
      </c>
      <c r="E492" s="2220">
        <v>1</v>
      </c>
      <c r="F492" s="2416">
        <v>2020659</v>
      </c>
      <c r="G492" s="2220"/>
      <c r="H492" s="2220">
        <v>223</v>
      </c>
      <c r="I492" s="1254">
        <v>2378.6</v>
      </c>
      <c r="J492" s="2427">
        <v>2140.6999999999998</v>
      </c>
      <c r="K492" s="2357"/>
    </row>
    <row r="493" spans="2:11" ht="15" hidden="1" x14ac:dyDescent="0.2">
      <c r="B493" s="2219" t="s">
        <v>134</v>
      </c>
      <c r="C493" s="2220">
        <v>56</v>
      </c>
      <c r="D493" s="2220">
        <v>8</v>
      </c>
      <c r="E493" s="2220">
        <v>1</v>
      </c>
      <c r="F493" s="2416">
        <v>2020659</v>
      </c>
      <c r="G493" s="2220"/>
      <c r="H493" s="2220">
        <v>224</v>
      </c>
      <c r="I493" s="1255"/>
      <c r="J493" s="2428"/>
      <c r="K493" s="2357"/>
    </row>
    <row r="494" spans="2:11" ht="15" hidden="1" x14ac:dyDescent="0.2">
      <c r="B494" s="2219" t="s">
        <v>90</v>
      </c>
      <c r="C494" s="2220">
        <v>56</v>
      </c>
      <c r="D494" s="2220">
        <v>8</v>
      </c>
      <c r="E494" s="2220">
        <v>1</v>
      </c>
      <c r="F494" s="2416">
        <v>2020659</v>
      </c>
      <c r="G494" s="2220"/>
      <c r="H494" s="2220">
        <v>225</v>
      </c>
      <c r="I494" s="1255">
        <v>235.1</v>
      </c>
      <c r="J494" s="2428">
        <v>235.1</v>
      </c>
      <c r="K494" s="2357"/>
    </row>
    <row r="495" spans="2:11" ht="15" hidden="1" x14ac:dyDescent="0.2">
      <c r="B495" s="2219" t="s">
        <v>91</v>
      </c>
      <c r="C495" s="2220">
        <v>56</v>
      </c>
      <c r="D495" s="2220">
        <v>8</v>
      </c>
      <c r="E495" s="2220">
        <v>1</v>
      </c>
      <c r="F495" s="2416">
        <v>2020659</v>
      </c>
      <c r="G495" s="2220"/>
      <c r="H495" s="2220">
        <v>226</v>
      </c>
      <c r="I495" s="1255">
        <v>719.6</v>
      </c>
      <c r="J495" s="2428">
        <v>852.6</v>
      </c>
      <c r="K495" s="2357"/>
    </row>
    <row r="496" spans="2:11" ht="15" hidden="1" x14ac:dyDescent="0.2">
      <c r="B496" s="2219" t="s">
        <v>94</v>
      </c>
      <c r="C496" s="2220">
        <v>56</v>
      </c>
      <c r="D496" s="2220">
        <v>8</v>
      </c>
      <c r="E496" s="2220">
        <v>1</v>
      </c>
      <c r="F496" s="2416">
        <v>2020659</v>
      </c>
      <c r="G496" s="2220"/>
      <c r="H496" s="2220">
        <v>290</v>
      </c>
      <c r="I496" s="1254">
        <v>2859.6</v>
      </c>
      <c r="J496" s="2427">
        <v>2859.6</v>
      </c>
      <c r="K496" s="2357"/>
    </row>
    <row r="497" spans="2:11" ht="15" hidden="1" x14ac:dyDescent="0.2">
      <c r="B497" s="2219" t="s">
        <v>94</v>
      </c>
      <c r="C497" s="2220">
        <v>56</v>
      </c>
      <c r="D497" s="2220">
        <v>8</v>
      </c>
      <c r="E497" s="2220">
        <v>1</v>
      </c>
      <c r="F497" s="2416">
        <v>2020659</v>
      </c>
      <c r="G497" s="2220"/>
      <c r="H497" s="2220">
        <v>290</v>
      </c>
      <c r="I497" s="1255"/>
      <c r="J497" s="2428"/>
      <c r="K497" s="2357"/>
    </row>
    <row r="498" spans="2:11" ht="15" hidden="1" x14ac:dyDescent="0.2">
      <c r="B498" s="2219" t="s">
        <v>96</v>
      </c>
      <c r="C498" s="2220">
        <v>56</v>
      </c>
      <c r="D498" s="2220">
        <v>8</v>
      </c>
      <c r="E498" s="2220">
        <v>1</v>
      </c>
      <c r="F498" s="2416">
        <v>2020659</v>
      </c>
      <c r="G498" s="2220"/>
      <c r="H498" s="2220">
        <v>310</v>
      </c>
      <c r="I498" s="1255">
        <v>246</v>
      </c>
      <c r="J498" s="2428">
        <v>146</v>
      </c>
      <c r="K498" s="2357"/>
    </row>
    <row r="499" spans="2:11" ht="15" hidden="1" x14ac:dyDescent="0.2">
      <c r="B499" s="2219" t="s">
        <v>97</v>
      </c>
      <c r="C499" s="2220">
        <v>56</v>
      </c>
      <c r="D499" s="2220">
        <v>8</v>
      </c>
      <c r="E499" s="2220">
        <v>1</v>
      </c>
      <c r="F499" s="2416">
        <v>2020659</v>
      </c>
      <c r="G499" s="2220"/>
      <c r="H499" s="2220">
        <v>340</v>
      </c>
      <c r="I499" s="1255">
        <v>799.3</v>
      </c>
      <c r="J499" s="2427">
        <v>2505.6999999999998</v>
      </c>
      <c r="K499" s="2357"/>
    </row>
    <row r="500" spans="2:11" ht="15" hidden="1" x14ac:dyDescent="0.2">
      <c r="B500" s="2208" t="s">
        <v>767</v>
      </c>
      <c r="C500" s="2220">
        <v>56</v>
      </c>
      <c r="D500" s="2220">
        <v>8</v>
      </c>
      <c r="E500" s="2220">
        <v>1</v>
      </c>
      <c r="F500" s="2416">
        <v>2020659</v>
      </c>
      <c r="G500" s="2206">
        <v>612</v>
      </c>
      <c r="H500" s="2206">
        <v>241</v>
      </c>
      <c r="I500" s="1252">
        <v>0</v>
      </c>
      <c r="J500" s="2425">
        <v>0</v>
      </c>
      <c r="K500" s="2357"/>
    </row>
    <row r="501" spans="2:11" ht="26" hidden="1" x14ac:dyDescent="0.2">
      <c r="B501" s="2422" t="s">
        <v>1154</v>
      </c>
      <c r="C501" s="2220">
        <v>56</v>
      </c>
      <c r="D501" s="2220">
        <v>8</v>
      </c>
      <c r="E501" s="2220">
        <v>1</v>
      </c>
      <c r="F501" s="2416">
        <v>2020659</v>
      </c>
      <c r="G501" s="2420">
        <v>600</v>
      </c>
      <c r="H501" s="2420"/>
      <c r="I501" s="2424">
        <v>35174.199999999997</v>
      </c>
      <c r="J501" s="2424">
        <v>33992.400000000001</v>
      </c>
      <c r="K501" s="2357"/>
    </row>
    <row r="502" spans="2:11" ht="39" hidden="1" x14ac:dyDescent="0.2">
      <c r="B502" s="2208" t="s">
        <v>1135</v>
      </c>
      <c r="C502" s="2220">
        <v>56</v>
      </c>
      <c r="D502" s="2220">
        <v>8</v>
      </c>
      <c r="E502" s="2220">
        <v>1</v>
      </c>
      <c r="F502" s="2416">
        <v>2020659</v>
      </c>
      <c r="G502" s="2206">
        <v>611</v>
      </c>
      <c r="H502" s="2206">
        <v>241</v>
      </c>
      <c r="I502" s="2412">
        <v>35174.199999999997</v>
      </c>
      <c r="J502" s="2412">
        <v>33992.400000000001</v>
      </c>
      <c r="K502" s="2357"/>
    </row>
    <row r="503" spans="2:11" ht="15" hidden="1" x14ac:dyDescent="0.2">
      <c r="B503" s="2219" t="s">
        <v>78</v>
      </c>
      <c r="C503" s="2220">
        <v>56</v>
      </c>
      <c r="D503" s="2220">
        <v>8</v>
      </c>
      <c r="E503" s="2220">
        <v>1</v>
      </c>
      <c r="F503" s="2416">
        <v>2020659</v>
      </c>
      <c r="G503" s="2220"/>
      <c r="H503" s="2220">
        <v>211</v>
      </c>
      <c r="I503" s="1254">
        <v>23931.599999999999</v>
      </c>
      <c r="J503" s="2427">
        <v>23438.7</v>
      </c>
      <c r="K503" s="2357"/>
    </row>
    <row r="504" spans="2:11" ht="15" hidden="1" x14ac:dyDescent="0.2">
      <c r="B504" s="2219" t="s">
        <v>103</v>
      </c>
      <c r="C504" s="2220">
        <v>56</v>
      </c>
      <c r="D504" s="2220">
        <v>8</v>
      </c>
      <c r="E504" s="2220">
        <v>1</v>
      </c>
      <c r="F504" s="2416">
        <v>2020659</v>
      </c>
      <c r="G504" s="2220"/>
      <c r="H504" s="2220">
        <v>212</v>
      </c>
      <c r="I504" s="1255"/>
      <c r="J504" s="2428"/>
      <c r="K504" s="2357"/>
    </row>
    <row r="505" spans="2:11" ht="15" hidden="1" x14ac:dyDescent="0.2">
      <c r="B505" s="2219" t="s">
        <v>84</v>
      </c>
      <c r="C505" s="2220">
        <v>56</v>
      </c>
      <c r="D505" s="2220">
        <v>8</v>
      </c>
      <c r="E505" s="2220">
        <v>1</v>
      </c>
      <c r="F505" s="2416">
        <v>2020659</v>
      </c>
      <c r="G505" s="2220"/>
      <c r="H505" s="2220">
        <v>213</v>
      </c>
      <c r="I505" s="1254">
        <v>6973.7</v>
      </c>
      <c r="J505" s="2427">
        <v>6824.9</v>
      </c>
      <c r="K505" s="2357"/>
    </row>
    <row r="506" spans="2:11" ht="15" hidden="1" x14ac:dyDescent="0.2">
      <c r="B506" s="2219" t="s">
        <v>85</v>
      </c>
      <c r="C506" s="2220">
        <v>56</v>
      </c>
      <c r="D506" s="2220">
        <v>8</v>
      </c>
      <c r="E506" s="2220">
        <v>1</v>
      </c>
      <c r="F506" s="2416">
        <v>2020659</v>
      </c>
      <c r="G506" s="2220"/>
      <c r="H506" s="2220">
        <v>221</v>
      </c>
      <c r="I506" s="1255"/>
      <c r="J506" s="2428"/>
      <c r="K506" s="2357"/>
    </row>
    <row r="507" spans="2:11" ht="15" hidden="1" x14ac:dyDescent="0.2">
      <c r="B507" s="2219" t="s">
        <v>86</v>
      </c>
      <c r="C507" s="2220">
        <v>56</v>
      </c>
      <c r="D507" s="2220">
        <v>8</v>
      </c>
      <c r="E507" s="2220">
        <v>1</v>
      </c>
      <c r="F507" s="2416">
        <v>2020659</v>
      </c>
      <c r="G507" s="2220"/>
      <c r="H507" s="2220">
        <v>222</v>
      </c>
      <c r="I507" s="1255"/>
      <c r="J507" s="2428"/>
      <c r="K507" s="2357"/>
    </row>
    <row r="508" spans="2:11" ht="15" hidden="1" x14ac:dyDescent="0.2">
      <c r="B508" s="2219" t="s">
        <v>87</v>
      </c>
      <c r="C508" s="2220">
        <v>56</v>
      </c>
      <c r="D508" s="2220">
        <v>8</v>
      </c>
      <c r="E508" s="2220">
        <v>1</v>
      </c>
      <c r="F508" s="2416">
        <v>2020659</v>
      </c>
      <c r="G508" s="2220"/>
      <c r="H508" s="2220">
        <v>223</v>
      </c>
      <c r="I508" s="1254">
        <v>1199.7</v>
      </c>
      <c r="J508" s="2427">
        <v>1059.5999999999999</v>
      </c>
      <c r="K508" s="2357"/>
    </row>
    <row r="509" spans="2:11" ht="15" hidden="1" x14ac:dyDescent="0.2">
      <c r="B509" s="2219" t="s">
        <v>134</v>
      </c>
      <c r="C509" s="2220">
        <v>56</v>
      </c>
      <c r="D509" s="2220">
        <v>8</v>
      </c>
      <c r="E509" s="2220">
        <v>1</v>
      </c>
      <c r="F509" s="2416">
        <v>2020659</v>
      </c>
      <c r="G509" s="2220"/>
      <c r="H509" s="2220">
        <v>224</v>
      </c>
      <c r="I509" s="1255"/>
      <c r="J509" s="2428"/>
      <c r="K509" s="2357"/>
    </row>
    <row r="510" spans="2:11" ht="15" hidden="1" x14ac:dyDescent="0.2">
      <c r="B510" s="2219" t="s">
        <v>90</v>
      </c>
      <c r="C510" s="2220">
        <v>56</v>
      </c>
      <c r="D510" s="2220">
        <v>8</v>
      </c>
      <c r="E510" s="2220">
        <v>1</v>
      </c>
      <c r="F510" s="2416">
        <v>2020659</v>
      </c>
      <c r="G510" s="2220"/>
      <c r="H510" s="2220">
        <v>225</v>
      </c>
      <c r="I510" s="1255">
        <v>11</v>
      </c>
      <c r="J510" s="2428">
        <v>11</v>
      </c>
      <c r="K510" s="2357"/>
    </row>
    <row r="511" spans="2:11" ht="15" hidden="1" x14ac:dyDescent="0.2">
      <c r="B511" s="2219" t="s">
        <v>91</v>
      </c>
      <c r="C511" s="2220">
        <v>56</v>
      </c>
      <c r="D511" s="2220">
        <v>8</v>
      </c>
      <c r="E511" s="2220">
        <v>1</v>
      </c>
      <c r="F511" s="2416">
        <v>2020659</v>
      </c>
      <c r="G511" s="2220"/>
      <c r="H511" s="2220">
        <v>226</v>
      </c>
      <c r="I511" s="1255">
        <v>997</v>
      </c>
      <c r="J511" s="2428">
        <v>750</v>
      </c>
      <c r="K511" s="2357"/>
    </row>
    <row r="512" spans="2:11" ht="15" hidden="1" x14ac:dyDescent="0.2">
      <c r="B512" s="2219" t="s">
        <v>94</v>
      </c>
      <c r="C512" s="2220">
        <v>56</v>
      </c>
      <c r="D512" s="2220">
        <v>8</v>
      </c>
      <c r="E512" s="2220">
        <v>1</v>
      </c>
      <c r="F512" s="2416">
        <v>2020659</v>
      </c>
      <c r="G512" s="2220"/>
      <c r="H512" s="2220">
        <v>290</v>
      </c>
      <c r="I512" s="1254">
        <v>1069.2</v>
      </c>
      <c r="J512" s="2427">
        <v>1069.2</v>
      </c>
      <c r="K512" s="2357"/>
    </row>
    <row r="513" spans="2:11" ht="15" hidden="1" x14ac:dyDescent="0.2">
      <c r="B513" s="2219" t="s">
        <v>94</v>
      </c>
      <c r="C513" s="2220">
        <v>56</v>
      </c>
      <c r="D513" s="2220">
        <v>8</v>
      </c>
      <c r="E513" s="2220">
        <v>1</v>
      </c>
      <c r="F513" s="2416">
        <v>2020659</v>
      </c>
      <c r="G513" s="2220"/>
      <c r="H513" s="2220">
        <v>290</v>
      </c>
      <c r="I513" s="1255"/>
      <c r="J513" s="2428"/>
      <c r="K513" s="2357"/>
    </row>
    <row r="514" spans="2:11" ht="15" hidden="1" x14ac:dyDescent="0.2">
      <c r="B514" s="2219" t="s">
        <v>96</v>
      </c>
      <c r="C514" s="2220">
        <v>56</v>
      </c>
      <c r="D514" s="2220">
        <v>8</v>
      </c>
      <c r="E514" s="2220">
        <v>1</v>
      </c>
      <c r="F514" s="2416">
        <v>2020659</v>
      </c>
      <c r="G514" s="2220"/>
      <c r="H514" s="2220">
        <v>310</v>
      </c>
      <c r="I514" s="1255">
        <v>590</v>
      </c>
      <c r="J514" s="2428">
        <v>437</v>
      </c>
      <c r="K514" s="2357"/>
    </row>
    <row r="515" spans="2:11" ht="15" hidden="1" x14ac:dyDescent="0.2">
      <c r="B515" s="2219" t="s">
        <v>97</v>
      </c>
      <c r="C515" s="2220">
        <v>56</v>
      </c>
      <c r="D515" s="2220">
        <v>8</v>
      </c>
      <c r="E515" s="2220">
        <v>1</v>
      </c>
      <c r="F515" s="2416">
        <v>2020659</v>
      </c>
      <c r="G515" s="2220"/>
      <c r="H515" s="2220">
        <v>340</v>
      </c>
      <c r="I515" s="1255">
        <v>402</v>
      </c>
      <c r="J515" s="2428">
        <v>402</v>
      </c>
      <c r="K515" s="2357"/>
    </row>
    <row r="516" spans="2:11" ht="15" hidden="1" x14ac:dyDescent="0.2">
      <c r="B516" s="2208" t="s">
        <v>767</v>
      </c>
      <c r="C516" s="2220">
        <v>56</v>
      </c>
      <c r="D516" s="2220">
        <v>8</v>
      </c>
      <c r="E516" s="2220">
        <v>1</v>
      </c>
      <c r="F516" s="2416">
        <v>2020659</v>
      </c>
      <c r="G516" s="2206">
        <v>612</v>
      </c>
      <c r="H516" s="2206">
        <v>241</v>
      </c>
      <c r="I516" s="1252">
        <v>0</v>
      </c>
      <c r="J516" s="2425">
        <v>0</v>
      </c>
      <c r="K516" s="2357"/>
    </row>
    <row r="517" spans="2:11" ht="39" hidden="1" x14ac:dyDescent="0.2">
      <c r="B517" s="2422" t="s">
        <v>1155</v>
      </c>
      <c r="C517" s="2220">
        <v>56</v>
      </c>
      <c r="D517" s="2220">
        <v>8</v>
      </c>
      <c r="E517" s="2220">
        <v>1</v>
      </c>
      <c r="F517" s="2416">
        <v>2020659</v>
      </c>
      <c r="G517" s="2420">
        <v>600</v>
      </c>
      <c r="H517" s="2420"/>
      <c r="I517" s="2424">
        <v>34700.800000000003</v>
      </c>
      <c r="J517" s="2424">
        <v>34208.5</v>
      </c>
      <c r="K517" s="2357"/>
    </row>
    <row r="518" spans="2:11" ht="39" hidden="1" x14ac:dyDescent="0.2">
      <c r="B518" s="2208" t="s">
        <v>1135</v>
      </c>
      <c r="C518" s="2220">
        <v>56</v>
      </c>
      <c r="D518" s="2220">
        <v>8</v>
      </c>
      <c r="E518" s="2220">
        <v>1</v>
      </c>
      <c r="F518" s="2416">
        <v>2020659</v>
      </c>
      <c r="G518" s="2206">
        <v>611</v>
      </c>
      <c r="H518" s="2206">
        <v>241</v>
      </c>
      <c r="I518" s="2412">
        <v>32050.799999999999</v>
      </c>
      <c r="J518" s="2412">
        <v>31558.5</v>
      </c>
      <c r="K518" s="2357"/>
    </row>
    <row r="519" spans="2:11" ht="15" hidden="1" x14ac:dyDescent="0.2">
      <c r="B519" s="2219" t="s">
        <v>78</v>
      </c>
      <c r="C519" s="2220">
        <v>56</v>
      </c>
      <c r="D519" s="2220">
        <v>8</v>
      </c>
      <c r="E519" s="2220">
        <v>1</v>
      </c>
      <c r="F519" s="2416">
        <v>2020659</v>
      </c>
      <c r="G519" s="2220"/>
      <c r="H519" s="2220">
        <v>211</v>
      </c>
      <c r="I519" s="1254">
        <v>20698.900000000001</v>
      </c>
      <c r="J519" s="2427">
        <v>20698.900000000001</v>
      </c>
      <c r="K519" s="2357"/>
    </row>
    <row r="520" spans="2:11" ht="15" hidden="1" x14ac:dyDescent="0.2">
      <c r="B520" s="2219" t="s">
        <v>103</v>
      </c>
      <c r="C520" s="2220">
        <v>56</v>
      </c>
      <c r="D520" s="2220">
        <v>8</v>
      </c>
      <c r="E520" s="2220">
        <v>1</v>
      </c>
      <c r="F520" s="2416">
        <v>2020659</v>
      </c>
      <c r="G520" s="2220"/>
      <c r="H520" s="2220">
        <v>212</v>
      </c>
      <c r="I520" s="1255"/>
      <c r="J520" s="2428"/>
      <c r="K520" s="2357"/>
    </row>
    <row r="521" spans="2:11" ht="15" hidden="1" x14ac:dyDescent="0.2">
      <c r="B521" s="2219" t="s">
        <v>84</v>
      </c>
      <c r="C521" s="2220">
        <v>56</v>
      </c>
      <c r="D521" s="2220">
        <v>8</v>
      </c>
      <c r="E521" s="2220">
        <v>1</v>
      </c>
      <c r="F521" s="2416">
        <v>2020659</v>
      </c>
      <c r="G521" s="2220"/>
      <c r="H521" s="2220">
        <v>213</v>
      </c>
      <c r="I521" s="1254">
        <v>6031.8</v>
      </c>
      <c r="J521" s="2427">
        <v>6031.8</v>
      </c>
      <c r="K521" s="2357"/>
    </row>
    <row r="522" spans="2:11" ht="15" hidden="1" x14ac:dyDescent="0.2">
      <c r="B522" s="2219" t="s">
        <v>85</v>
      </c>
      <c r="C522" s="2220">
        <v>56</v>
      </c>
      <c r="D522" s="2220">
        <v>8</v>
      </c>
      <c r="E522" s="2220">
        <v>1</v>
      </c>
      <c r="F522" s="2416">
        <v>2020659</v>
      </c>
      <c r="G522" s="2220"/>
      <c r="H522" s="2220">
        <v>221</v>
      </c>
      <c r="I522" s="1255"/>
      <c r="J522" s="2428"/>
      <c r="K522" s="2357"/>
    </row>
    <row r="523" spans="2:11" ht="15" hidden="1" x14ac:dyDescent="0.2">
      <c r="B523" s="2219" t="s">
        <v>86</v>
      </c>
      <c r="C523" s="2220">
        <v>56</v>
      </c>
      <c r="D523" s="2220">
        <v>8</v>
      </c>
      <c r="E523" s="2220">
        <v>1</v>
      </c>
      <c r="F523" s="2416">
        <v>2020659</v>
      </c>
      <c r="G523" s="2220"/>
      <c r="H523" s="2220">
        <v>222</v>
      </c>
      <c r="I523" s="1255"/>
      <c r="J523" s="2428"/>
      <c r="K523" s="2357"/>
    </row>
    <row r="524" spans="2:11" ht="15" hidden="1" x14ac:dyDescent="0.2">
      <c r="B524" s="2219" t="s">
        <v>87</v>
      </c>
      <c r="C524" s="2220">
        <v>56</v>
      </c>
      <c r="D524" s="2220">
        <v>8</v>
      </c>
      <c r="E524" s="2220">
        <v>1</v>
      </c>
      <c r="F524" s="2416">
        <v>2020659</v>
      </c>
      <c r="G524" s="2220"/>
      <c r="H524" s="2220">
        <v>223</v>
      </c>
      <c r="I524" s="1254">
        <v>1424</v>
      </c>
      <c r="J524" s="2427">
        <v>1281.5999999999999</v>
      </c>
      <c r="K524" s="2357"/>
    </row>
    <row r="525" spans="2:11" ht="15" hidden="1" x14ac:dyDescent="0.2">
      <c r="B525" s="2219" t="s">
        <v>134</v>
      </c>
      <c r="C525" s="2220">
        <v>56</v>
      </c>
      <c r="D525" s="2220">
        <v>8</v>
      </c>
      <c r="E525" s="2220">
        <v>1</v>
      </c>
      <c r="F525" s="2416">
        <v>2020659</v>
      </c>
      <c r="G525" s="2220"/>
      <c r="H525" s="2220">
        <v>224</v>
      </c>
      <c r="I525" s="1255"/>
      <c r="J525" s="2428"/>
      <c r="K525" s="2357"/>
    </row>
    <row r="526" spans="2:11" ht="15" hidden="1" x14ac:dyDescent="0.2">
      <c r="B526" s="2219" t="s">
        <v>90</v>
      </c>
      <c r="C526" s="2220">
        <v>56</v>
      </c>
      <c r="D526" s="2220">
        <v>8</v>
      </c>
      <c r="E526" s="2220">
        <v>1</v>
      </c>
      <c r="F526" s="2416">
        <v>2020659</v>
      </c>
      <c r="G526" s="2220"/>
      <c r="H526" s="2220">
        <v>225</v>
      </c>
      <c r="I526" s="1255">
        <v>66.400000000000006</v>
      </c>
      <c r="J526" s="2428">
        <v>0</v>
      </c>
      <c r="K526" s="2357"/>
    </row>
    <row r="527" spans="2:11" ht="15" hidden="1" x14ac:dyDescent="0.2">
      <c r="B527" s="2219" t="s">
        <v>91</v>
      </c>
      <c r="C527" s="2220">
        <v>56</v>
      </c>
      <c r="D527" s="2220">
        <v>8</v>
      </c>
      <c r="E527" s="2220">
        <v>1</v>
      </c>
      <c r="F527" s="2416">
        <v>2020659</v>
      </c>
      <c r="G527" s="2220"/>
      <c r="H527" s="2220">
        <v>226</v>
      </c>
      <c r="I527" s="1255">
        <v>33.6</v>
      </c>
      <c r="J527" s="2428">
        <v>0</v>
      </c>
      <c r="K527" s="2357"/>
    </row>
    <row r="528" spans="2:11" ht="15" hidden="1" x14ac:dyDescent="0.2">
      <c r="B528" s="2219" t="s">
        <v>94</v>
      </c>
      <c r="C528" s="2220">
        <v>56</v>
      </c>
      <c r="D528" s="2220">
        <v>8</v>
      </c>
      <c r="E528" s="2220">
        <v>1</v>
      </c>
      <c r="F528" s="2416">
        <v>2020659</v>
      </c>
      <c r="G528" s="2220"/>
      <c r="H528" s="2220">
        <v>290</v>
      </c>
      <c r="I528" s="1254">
        <v>2896.1</v>
      </c>
      <c r="J528" s="2427">
        <v>2896.1</v>
      </c>
      <c r="K528" s="2357"/>
    </row>
    <row r="529" spans="2:11" ht="15" hidden="1" x14ac:dyDescent="0.2">
      <c r="B529" s="2219" t="s">
        <v>94</v>
      </c>
      <c r="C529" s="2220">
        <v>56</v>
      </c>
      <c r="D529" s="2220">
        <v>8</v>
      </c>
      <c r="E529" s="2220">
        <v>1</v>
      </c>
      <c r="F529" s="2416">
        <v>2020659</v>
      </c>
      <c r="G529" s="2220"/>
      <c r="H529" s="2220">
        <v>290</v>
      </c>
      <c r="I529" s="1255"/>
      <c r="J529" s="2428"/>
      <c r="K529" s="2357"/>
    </row>
    <row r="530" spans="2:11" ht="15" hidden="1" x14ac:dyDescent="0.2">
      <c r="B530" s="2219" t="s">
        <v>96</v>
      </c>
      <c r="C530" s="2220">
        <v>56</v>
      </c>
      <c r="D530" s="2220">
        <v>8</v>
      </c>
      <c r="E530" s="2220">
        <v>1</v>
      </c>
      <c r="F530" s="2416">
        <v>2020659</v>
      </c>
      <c r="G530" s="2220"/>
      <c r="H530" s="2220">
        <v>310</v>
      </c>
      <c r="I530" s="1255">
        <v>400</v>
      </c>
      <c r="J530" s="2428">
        <v>150.1</v>
      </c>
      <c r="K530" s="2357"/>
    </row>
    <row r="531" spans="2:11" ht="15" hidden="1" x14ac:dyDescent="0.2">
      <c r="B531" s="2219" t="s">
        <v>97</v>
      </c>
      <c r="C531" s="2220">
        <v>56</v>
      </c>
      <c r="D531" s="2220">
        <v>8</v>
      </c>
      <c r="E531" s="2220">
        <v>1</v>
      </c>
      <c r="F531" s="2416">
        <v>2020659</v>
      </c>
      <c r="G531" s="2220"/>
      <c r="H531" s="2220">
        <v>340</v>
      </c>
      <c r="I531" s="1255">
        <v>500</v>
      </c>
      <c r="J531" s="2428">
        <v>500</v>
      </c>
      <c r="K531" s="2357"/>
    </row>
    <row r="532" spans="2:11" ht="15" hidden="1" x14ac:dyDescent="0.2">
      <c r="B532" s="2208" t="s">
        <v>767</v>
      </c>
      <c r="C532" s="2220">
        <v>56</v>
      </c>
      <c r="D532" s="2220">
        <v>8</v>
      </c>
      <c r="E532" s="2220">
        <v>1</v>
      </c>
      <c r="F532" s="2416">
        <v>2020659</v>
      </c>
      <c r="G532" s="2206">
        <v>612</v>
      </c>
      <c r="H532" s="2206">
        <v>241</v>
      </c>
      <c r="I532" s="1270">
        <v>2650</v>
      </c>
      <c r="J532" s="2438">
        <v>2650</v>
      </c>
      <c r="K532" s="2357"/>
    </row>
    <row r="533" spans="2:11" ht="26" hidden="1" x14ac:dyDescent="0.15">
      <c r="B533" s="2422" t="s">
        <v>1156</v>
      </c>
      <c r="C533" s="2932">
        <v>56</v>
      </c>
      <c r="D533" s="2932">
        <v>8</v>
      </c>
      <c r="E533" s="2932">
        <v>1</v>
      </c>
      <c r="F533" s="2930">
        <v>2020659</v>
      </c>
      <c r="G533" s="2917"/>
      <c r="H533" s="2917"/>
      <c r="I533" s="2947">
        <v>26910.6</v>
      </c>
      <c r="J533" s="2947">
        <v>26602.5</v>
      </c>
      <c r="K533" s="2928"/>
    </row>
    <row r="534" spans="2:11" hidden="1" x14ac:dyDescent="0.15">
      <c r="B534" s="2422" t="s">
        <v>1157</v>
      </c>
      <c r="C534" s="2932"/>
      <c r="D534" s="2932"/>
      <c r="E534" s="2932"/>
      <c r="F534" s="2930"/>
      <c r="G534" s="2917"/>
      <c r="H534" s="2917"/>
      <c r="I534" s="2947"/>
      <c r="J534" s="2947"/>
      <c r="K534" s="2928"/>
    </row>
    <row r="535" spans="2:11" ht="39" hidden="1" x14ac:dyDescent="0.2">
      <c r="B535" s="2208" t="s">
        <v>1135</v>
      </c>
      <c r="C535" s="2220">
        <v>56</v>
      </c>
      <c r="D535" s="2220">
        <v>8</v>
      </c>
      <c r="E535" s="2220">
        <v>1</v>
      </c>
      <c r="F535" s="2416">
        <v>2020659</v>
      </c>
      <c r="G535" s="2206">
        <v>611</v>
      </c>
      <c r="H535" s="2206">
        <v>241</v>
      </c>
      <c r="I535" s="2412">
        <v>26910.6</v>
      </c>
      <c r="J535" s="2412">
        <v>26486.5</v>
      </c>
      <c r="K535" s="2357"/>
    </row>
    <row r="536" spans="2:11" ht="15" hidden="1" x14ac:dyDescent="0.2">
      <c r="B536" s="2219" t="s">
        <v>78</v>
      </c>
      <c r="C536" s="2220">
        <v>56</v>
      </c>
      <c r="D536" s="2220">
        <v>8</v>
      </c>
      <c r="E536" s="2220">
        <v>1</v>
      </c>
      <c r="F536" s="2416">
        <v>2020659</v>
      </c>
      <c r="G536" s="2220"/>
      <c r="H536" s="2220">
        <v>211</v>
      </c>
      <c r="I536" s="1254">
        <v>18151.900000000001</v>
      </c>
      <c r="J536" s="2427">
        <v>18224.8</v>
      </c>
      <c r="K536" s="2357"/>
    </row>
    <row r="537" spans="2:11" ht="15" hidden="1" x14ac:dyDescent="0.2">
      <c r="B537" s="2219" t="s">
        <v>103</v>
      </c>
      <c r="C537" s="2220">
        <v>56</v>
      </c>
      <c r="D537" s="2220">
        <v>8</v>
      </c>
      <c r="E537" s="2220">
        <v>1</v>
      </c>
      <c r="F537" s="2416">
        <v>2020659</v>
      </c>
      <c r="G537" s="2220"/>
      <c r="H537" s="2220">
        <v>212</v>
      </c>
      <c r="I537" s="1255"/>
      <c r="J537" s="2428">
        <v>0</v>
      </c>
      <c r="K537" s="2357"/>
    </row>
    <row r="538" spans="2:11" ht="15" hidden="1" x14ac:dyDescent="0.2">
      <c r="B538" s="2219" t="s">
        <v>84</v>
      </c>
      <c r="C538" s="2220">
        <v>56</v>
      </c>
      <c r="D538" s="2220">
        <v>8</v>
      </c>
      <c r="E538" s="2220">
        <v>1</v>
      </c>
      <c r="F538" s="2416">
        <v>2020659</v>
      </c>
      <c r="G538" s="2220"/>
      <c r="H538" s="2220">
        <v>213</v>
      </c>
      <c r="I538" s="1254">
        <v>5289.5</v>
      </c>
      <c r="J538" s="2427">
        <v>5311.5</v>
      </c>
      <c r="K538" s="2357"/>
    </row>
    <row r="539" spans="2:11" ht="15" hidden="1" x14ac:dyDescent="0.2">
      <c r="B539" s="2219" t="s">
        <v>85</v>
      </c>
      <c r="C539" s="2220">
        <v>56</v>
      </c>
      <c r="D539" s="2220">
        <v>8</v>
      </c>
      <c r="E539" s="2220">
        <v>1</v>
      </c>
      <c r="F539" s="2416">
        <v>2020659</v>
      </c>
      <c r="G539" s="2220"/>
      <c r="H539" s="2220">
        <v>221</v>
      </c>
      <c r="I539" s="1255"/>
      <c r="J539" s="2428"/>
      <c r="K539" s="2357"/>
    </row>
    <row r="540" spans="2:11" ht="15" hidden="1" x14ac:dyDescent="0.2">
      <c r="B540" s="2219" t="s">
        <v>86</v>
      </c>
      <c r="C540" s="2220">
        <v>56</v>
      </c>
      <c r="D540" s="2220">
        <v>8</v>
      </c>
      <c r="E540" s="2220">
        <v>1</v>
      </c>
      <c r="F540" s="2416">
        <v>2020659</v>
      </c>
      <c r="G540" s="2220"/>
      <c r="H540" s="2220">
        <v>222</v>
      </c>
      <c r="I540" s="1255"/>
      <c r="J540" s="2428"/>
      <c r="K540" s="2357"/>
    </row>
    <row r="541" spans="2:11" ht="15" hidden="1" x14ac:dyDescent="0.2">
      <c r="B541" s="2465" t="s">
        <v>87</v>
      </c>
      <c r="C541" s="2466">
        <v>56</v>
      </c>
      <c r="D541" s="2466">
        <v>8</v>
      </c>
      <c r="E541" s="2466">
        <v>1</v>
      </c>
      <c r="F541" s="2467">
        <v>2020659</v>
      </c>
      <c r="G541" s="2466"/>
      <c r="H541" s="2466">
        <v>223</v>
      </c>
      <c r="I541" s="2468">
        <v>691.4</v>
      </c>
      <c r="J541" s="2428">
        <v>622.4</v>
      </c>
      <c r="K541" s="2357"/>
    </row>
    <row r="542" spans="2:11" ht="15" hidden="1" x14ac:dyDescent="0.2">
      <c r="B542" s="2219" t="s">
        <v>134</v>
      </c>
      <c r="C542" s="2220">
        <v>56</v>
      </c>
      <c r="D542" s="2220">
        <v>8</v>
      </c>
      <c r="E542" s="2220">
        <v>1</v>
      </c>
      <c r="F542" s="2416">
        <v>2020659</v>
      </c>
      <c r="G542" s="2220"/>
      <c r="H542" s="2220">
        <v>224</v>
      </c>
      <c r="I542" s="1255"/>
      <c r="J542" s="2428"/>
      <c r="K542" s="2357"/>
    </row>
    <row r="543" spans="2:11" ht="15" hidden="1" x14ac:dyDescent="0.2">
      <c r="B543" s="2219" t="s">
        <v>90</v>
      </c>
      <c r="C543" s="2220">
        <v>56</v>
      </c>
      <c r="D543" s="2220">
        <v>8</v>
      </c>
      <c r="E543" s="2220">
        <v>1</v>
      </c>
      <c r="F543" s="2416">
        <v>2020659</v>
      </c>
      <c r="G543" s="2220"/>
      <c r="H543" s="2220">
        <v>225</v>
      </c>
      <c r="I543" s="1255">
        <v>17.8</v>
      </c>
      <c r="J543" s="2428">
        <v>17.8</v>
      </c>
      <c r="K543" s="2357"/>
    </row>
    <row r="544" spans="2:11" ht="15" hidden="1" x14ac:dyDescent="0.2">
      <c r="B544" s="2219" t="s">
        <v>91</v>
      </c>
      <c r="C544" s="2220">
        <v>56</v>
      </c>
      <c r="D544" s="2220">
        <v>8</v>
      </c>
      <c r="E544" s="2220">
        <v>1</v>
      </c>
      <c r="F544" s="2416">
        <v>2020659</v>
      </c>
      <c r="G544" s="2220"/>
      <c r="H544" s="2220">
        <v>226</v>
      </c>
      <c r="I544" s="1255">
        <v>54</v>
      </c>
      <c r="J544" s="2428">
        <v>54</v>
      </c>
      <c r="K544" s="2357"/>
    </row>
    <row r="545" spans="2:11" ht="15" hidden="1" x14ac:dyDescent="0.2">
      <c r="B545" s="2219" t="s">
        <v>94</v>
      </c>
      <c r="C545" s="2220">
        <v>56</v>
      </c>
      <c r="D545" s="2220">
        <v>8</v>
      </c>
      <c r="E545" s="2220">
        <v>1</v>
      </c>
      <c r="F545" s="2416">
        <v>2020659</v>
      </c>
      <c r="G545" s="2220"/>
      <c r="H545" s="2220">
        <v>290</v>
      </c>
      <c r="I545" s="1254">
        <v>1777.8</v>
      </c>
      <c r="J545" s="2427">
        <v>1777.8</v>
      </c>
      <c r="K545" s="2357"/>
    </row>
    <row r="546" spans="2:11" ht="15" hidden="1" x14ac:dyDescent="0.2">
      <c r="B546" s="2219" t="s">
        <v>94</v>
      </c>
      <c r="C546" s="2220">
        <v>56</v>
      </c>
      <c r="D546" s="2220">
        <v>8</v>
      </c>
      <c r="E546" s="2220">
        <v>1</v>
      </c>
      <c r="F546" s="2416">
        <v>2020659</v>
      </c>
      <c r="G546" s="2220"/>
      <c r="H546" s="2220">
        <v>290</v>
      </c>
      <c r="I546" s="1255"/>
      <c r="J546" s="2428"/>
      <c r="K546" s="2357"/>
    </row>
    <row r="547" spans="2:11" ht="15" hidden="1" x14ac:dyDescent="0.2">
      <c r="B547" s="2219" t="s">
        <v>96</v>
      </c>
      <c r="C547" s="2220">
        <v>56</v>
      </c>
      <c r="D547" s="2220">
        <v>8</v>
      </c>
      <c r="E547" s="2220">
        <v>1</v>
      </c>
      <c r="F547" s="2416">
        <v>2020659</v>
      </c>
      <c r="G547" s="2220"/>
      <c r="H547" s="2220">
        <v>310</v>
      </c>
      <c r="I547" s="1255">
        <v>280</v>
      </c>
      <c r="J547" s="2428">
        <v>0</v>
      </c>
      <c r="K547" s="2357"/>
    </row>
    <row r="548" spans="2:11" ht="15" hidden="1" x14ac:dyDescent="0.2">
      <c r="B548" s="2219" t="s">
        <v>97</v>
      </c>
      <c r="C548" s="2220">
        <v>56</v>
      </c>
      <c r="D548" s="2220">
        <v>8</v>
      </c>
      <c r="E548" s="2220">
        <v>1</v>
      </c>
      <c r="F548" s="2416">
        <v>2020659</v>
      </c>
      <c r="G548" s="2220"/>
      <c r="H548" s="2220">
        <v>340</v>
      </c>
      <c r="I548" s="1255">
        <v>648.20000000000005</v>
      </c>
      <c r="J548" s="2428">
        <v>478.2</v>
      </c>
      <c r="K548" s="2357"/>
    </row>
    <row r="549" spans="2:11" ht="15" hidden="1" x14ac:dyDescent="0.2">
      <c r="B549" s="2208" t="s">
        <v>767</v>
      </c>
      <c r="C549" s="2220">
        <v>56</v>
      </c>
      <c r="D549" s="2220">
        <v>8</v>
      </c>
      <c r="E549" s="2220">
        <v>1</v>
      </c>
      <c r="F549" s="2416">
        <v>2020659</v>
      </c>
      <c r="G549" s="2206">
        <v>612</v>
      </c>
      <c r="H549" s="2206">
        <v>241</v>
      </c>
      <c r="I549" s="1252">
        <v>0</v>
      </c>
      <c r="J549" s="2425">
        <v>116</v>
      </c>
      <c r="K549" s="2357"/>
    </row>
    <row r="550" spans="2:11" ht="26" hidden="1" x14ac:dyDescent="0.2">
      <c r="B550" s="2422" t="s">
        <v>1158</v>
      </c>
      <c r="C550" s="2220">
        <v>56</v>
      </c>
      <c r="D550" s="2220">
        <v>8</v>
      </c>
      <c r="E550" s="2220">
        <v>1</v>
      </c>
      <c r="F550" s="2416">
        <v>2020659</v>
      </c>
      <c r="G550" s="2420">
        <v>600</v>
      </c>
      <c r="H550" s="2420"/>
      <c r="I550" s="2424">
        <v>19647.8</v>
      </c>
      <c r="J550" s="2424">
        <v>19306.900000000001</v>
      </c>
      <c r="K550" s="2357"/>
    </row>
    <row r="551" spans="2:11" ht="39" hidden="1" x14ac:dyDescent="0.2">
      <c r="B551" s="2208" t="s">
        <v>1135</v>
      </c>
      <c r="C551" s="2220">
        <v>56</v>
      </c>
      <c r="D551" s="2220">
        <v>8</v>
      </c>
      <c r="E551" s="2220">
        <v>1</v>
      </c>
      <c r="F551" s="2416">
        <v>2020659</v>
      </c>
      <c r="G551" s="2206">
        <v>611</v>
      </c>
      <c r="H551" s="2206">
        <v>241</v>
      </c>
      <c r="I551" s="2412">
        <v>19647.8</v>
      </c>
      <c r="J551" s="2412">
        <v>19306.900000000001</v>
      </c>
      <c r="K551" s="2357"/>
    </row>
    <row r="552" spans="2:11" ht="15" hidden="1" x14ac:dyDescent="0.2">
      <c r="B552" s="2219" t="s">
        <v>78</v>
      </c>
      <c r="C552" s="2220">
        <v>56</v>
      </c>
      <c r="D552" s="2220">
        <v>8</v>
      </c>
      <c r="E552" s="2220">
        <v>1</v>
      </c>
      <c r="F552" s="2416">
        <v>2020659</v>
      </c>
      <c r="G552" s="2220"/>
      <c r="H552" s="2220">
        <v>211</v>
      </c>
      <c r="I552" s="1254">
        <v>12921.5</v>
      </c>
      <c r="J552" s="2427">
        <v>13021.5</v>
      </c>
      <c r="K552" s="2357"/>
    </row>
    <row r="553" spans="2:11" ht="15" hidden="1" x14ac:dyDescent="0.2">
      <c r="B553" s="2219" t="s">
        <v>103</v>
      </c>
      <c r="C553" s="2220">
        <v>56</v>
      </c>
      <c r="D553" s="2220">
        <v>8</v>
      </c>
      <c r="E553" s="2220">
        <v>1</v>
      </c>
      <c r="F553" s="2416">
        <v>2020659</v>
      </c>
      <c r="G553" s="2220"/>
      <c r="H553" s="2220">
        <v>212</v>
      </c>
      <c r="I553" s="1255"/>
      <c r="J553" s="2428"/>
      <c r="K553" s="2357"/>
    </row>
    <row r="554" spans="2:11" ht="15" hidden="1" x14ac:dyDescent="0.2">
      <c r="B554" s="2219" t="s">
        <v>84</v>
      </c>
      <c r="C554" s="2220">
        <v>56</v>
      </c>
      <c r="D554" s="2220">
        <v>8</v>
      </c>
      <c r="E554" s="2220">
        <v>1</v>
      </c>
      <c r="F554" s="2416">
        <v>2020659</v>
      </c>
      <c r="G554" s="2220"/>
      <c r="H554" s="2220">
        <v>213</v>
      </c>
      <c r="I554" s="1254">
        <v>3767.5</v>
      </c>
      <c r="J554" s="2427">
        <v>3797.7</v>
      </c>
      <c r="K554" s="2357"/>
    </row>
    <row r="555" spans="2:11" ht="15" hidden="1" x14ac:dyDescent="0.2">
      <c r="B555" s="2219" t="s">
        <v>85</v>
      </c>
      <c r="C555" s="2220">
        <v>56</v>
      </c>
      <c r="D555" s="2220">
        <v>8</v>
      </c>
      <c r="E555" s="2220">
        <v>1</v>
      </c>
      <c r="F555" s="2416">
        <v>2020659</v>
      </c>
      <c r="G555" s="2220"/>
      <c r="H555" s="2220">
        <v>221</v>
      </c>
      <c r="I555" s="1255"/>
      <c r="J555" s="2428"/>
      <c r="K555" s="2357"/>
    </row>
    <row r="556" spans="2:11" ht="15" hidden="1" x14ac:dyDescent="0.2">
      <c r="B556" s="2219" t="s">
        <v>86</v>
      </c>
      <c r="C556" s="2220">
        <v>56</v>
      </c>
      <c r="D556" s="2220">
        <v>8</v>
      </c>
      <c r="E556" s="2220">
        <v>1</v>
      </c>
      <c r="F556" s="2416">
        <v>2020659</v>
      </c>
      <c r="G556" s="2220"/>
      <c r="H556" s="2220">
        <v>222</v>
      </c>
      <c r="I556" s="1255"/>
      <c r="J556" s="2428"/>
      <c r="K556" s="2357"/>
    </row>
    <row r="557" spans="2:11" ht="15" hidden="1" x14ac:dyDescent="0.2">
      <c r="B557" s="2219" t="s">
        <v>87</v>
      </c>
      <c r="C557" s="2220">
        <v>56</v>
      </c>
      <c r="D557" s="2220">
        <v>8</v>
      </c>
      <c r="E557" s="2220">
        <v>1</v>
      </c>
      <c r="F557" s="2416">
        <v>2020659</v>
      </c>
      <c r="G557" s="2220"/>
      <c r="H557" s="2220">
        <v>223</v>
      </c>
      <c r="I557" s="1255">
        <v>711.2</v>
      </c>
      <c r="J557" s="2428">
        <v>640.1</v>
      </c>
      <c r="K557" s="2357"/>
    </row>
    <row r="558" spans="2:11" ht="15" hidden="1" x14ac:dyDescent="0.2">
      <c r="B558" s="2219" t="s">
        <v>134</v>
      </c>
      <c r="C558" s="2220">
        <v>56</v>
      </c>
      <c r="D558" s="2220">
        <v>8</v>
      </c>
      <c r="E558" s="2220">
        <v>1</v>
      </c>
      <c r="F558" s="2416">
        <v>2020659</v>
      </c>
      <c r="G558" s="2220"/>
      <c r="H558" s="2220">
        <v>224</v>
      </c>
      <c r="I558" s="1255"/>
      <c r="J558" s="2428"/>
      <c r="K558" s="2357"/>
    </row>
    <row r="559" spans="2:11" ht="15" hidden="1" x14ac:dyDescent="0.2">
      <c r="B559" s="2219" t="s">
        <v>90</v>
      </c>
      <c r="C559" s="2220">
        <v>56</v>
      </c>
      <c r="D559" s="2220">
        <v>8</v>
      </c>
      <c r="E559" s="2220">
        <v>1</v>
      </c>
      <c r="F559" s="2416">
        <v>2020659</v>
      </c>
      <c r="G559" s="2220"/>
      <c r="H559" s="2220">
        <v>225</v>
      </c>
      <c r="I559" s="1255"/>
      <c r="J559" s="2428"/>
      <c r="K559" s="2357"/>
    </row>
    <row r="560" spans="2:11" ht="15" hidden="1" x14ac:dyDescent="0.2">
      <c r="B560" s="2219" t="s">
        <v>91</v>
      </c>
      <c r="C560" s="2220">
        <v>56</v>
      </c>
      <c r="D560" s="2220">
        <v>8</v>
      </c>
      <c r="E560" s="2220">
        <v>1</v>
      </c>
      <c r="F560" s="2416">
        <v>2020659</v>
      </c>
      <c r="G560" s="2220"/>
      <c r="H560" s="2220">
        <v>226</v>
      </c>
      <c r="I560" s="1255">
        <v>144</v>
      </c>
      <c r="J560" s="2428">
        <v>0</v>
      </c>
      <c r="K560" s="2357"/>
    </row>
    <row r="561" spans="2:11" ht="15" hidden="1" x14ac:dyDescent="0.2">
      <c r="B561" s="2219" t="s">
        <v>94</v>
      </c>
      <c r="C561" s="2220">
        <v>56</v>
      </c>
      <c r="D561" s="2220">
        <v>8</v>
      </c>
      <c r="E561" s="2220">
        <v>1</v>
      </c>
      <c r="F561" s="2416">
        <v>2020659</v>
      </c>
      <c r="G561" s="2220"/>
      <c r="H561" s="2220">
        <v>290</v>
      </c>
      <c r="I561" s="1255">
        <v>247.6</v>
      </c>
      <c r="J561" s="2428">
        <v>247.6</v>
      </c>
      <c r="K561" s="2357"/>
    </row>
    <row r="562" spans="2:11" ht="15" hidden="1" x14ac:dyDescent="0.2">
      <c r="B562" s="2219" t="s">
        <v>94</v>
      </c>
      <c r="C562" s="2220">
        <v>56</v>
      </c>
      <c r="D562" s="2220">
        <v>8</v>
      </c>
      <c r="E562" s="2220">
        <v>1</v>
      </c>
      <c r="F562" s="2416">
        <v>2020659</v>
      </c>
      <c r="G562" s="2220"/>
      <c r="H562" s="2220">
        <v>290</v>
      </c>
      <c r="I562" s="1255"/>
      <c r="J562" s="2428"/>
      <c r="K562" s="2357"/>
    </row>
    <row r="563" spans="2:11" ht="15" hidden="1" x14ac:dyDescent="0.2">
      <c r="B563" s="2219" t="s">
        <v>96</v>
      </c>
      <c r="C563" s="2220">
        <v>56</v>
      </c>
      <c r="D563" s="2220">
        <v>8</v>
      </c>
      <c r="E563" s="2220">
        <v>1</v>
      </c>
      <c r="F563" s="2416">
        <v>2020659</v>
      </c>
      <c r="G563" s="2220"/>
      <c r="H563" s="2220">
        <v>310</v>
      </c>
      <c r="I563" s="1254">
        <v>1056</v>
      </c>
      <c r="J563" s="2428">
        <v>800</v>
      </c>
      <c r="K563" s="2357"/>
    </row>
    <row r="564" spans="2:11" ht="15" hidden="1" x14ac:dyDescent="0.2">
      <c r="B564" s="2219" t="s">
        <v>97</v>
      </c>
      <c r="C564" s="2220">
        <v>56</v>
      </c>
      <c r="D564" s="2220">
        <v>8</v>
      </c>
      <c r="E564" s="2220">
        <v>1</v>
      </c>
      <c r="F564" s="2416">
        <v>2020659</v>
      </c>
      <c r="G564" s="2220"/>
      <c r="H564" s="2220">
        <v>340</v>
      </c>
      <c r="I564" s="1255">
        <v>800</v>
      </c>
      <c r="J564" s="2428">
        <v>800</v>
      </c>
      <c r="K564" s="2357"/>
    </row>
    <row r="565" spans="2:11" ht="15" hidden="1" x14ac:dyDescent="0.2">
      <c r="B565" s="2208" t="s">
        <v>767</v>
      </c>
      <c r="C565" s="2220">
        <v>56</v>
      </c>
      <c r="D565" s="2220">
        <v>8</v>
      </c>
      <c r="E565" s="2220">
        <v>1</v>
      </c>
      <c r="F565" s="2416">
        <v>2020659</v>
      </c>
      <c r="G565" s="2206">
        <v>612</v>
      </c>
      <c r="H565" s="2206">
        <v>241</v>
      </c>
      <c r="I565" s="1252">
        <v>0</v>
      </c>
      <c r="J565" s="2425">
        <v>0</v>
      </c>
      <c r="K565" s="2357"/>
    </row>
    <row r="566" spans="2:11" ht="26" hidden="1" x14ac:dyDescent="0.2">
      <c r="B566" s="2422" t="s">
        <v>1159</v>
      </c>
      <c r="C566" s="2220">
        <v>56</v>
      </c>
      <c r="D566" s="2220">
        <v>8</v>
      </c>
      <c r="E566" s="2220">
        <v>1</v>
      </c>
      <c r="F566" s="2416">
        <v>2020659</v>
      </c>
      <c r="G566" s="2420">
        <v>600</v>
      </c>
      <c r="H566" s="2420"/>
      <c r="I566" s="2424">
        <v>22950.400000000001</v>
      </c>
      <c r="J566" s="2424">
        <v>22650.400000000001</v>
      </c>
      <c r="K566" s="2357"/>
    </row>
    <row r="567" spans="2:11" ht="39" hidden="1" x14ac:dyDescent="0.2">
      <c r="B567" s="2208" t="s">
        <v>1135</v>
      </c>
      <c r="C567" s="2220">
        <v>56</v>
      </c>
      <c r="D567" s="2220">
        <v>8</v>
      </c>
      <c r="E567" s="2220">
        <v>1</v>
      </c>
      <c r="F567" s="2416">
        <v>2020659</v>
      </c>
      <c r="G567" s="2206">
        <v>611</v>
      </c>
      <c r="H567" s="2206">
        <v>241</v>
      </c>
      <c r="I567" s="2412">
        <v>22950.400000000001</v>
      </c>
      <c r="J567" s="2412">
        <v>22650.400000000001</v>
      </c>
      <c r="K567" s="2357"/>
    </row>
    <row r="568" spans="2:11" ht="15" hidden="1" x14ac:dyDescent="0.2">
      <c r="B568" s="2219" t="s">
        <v>78</v>
      </c>
      <c r="C568" s="2220">
        <v>56</v>
      </c>
      <c r="D568" s="2220">
        <v>8</v>
      </c>
      <c r="E568" s="2220">
        <v>1</v>
      </c>
      <c r="F568" s="2416">
        <v>2020659</v>
      </c>
      <c r="G568" s="2220"/>
      <c r="H568" s="2220">
        <v>211</v>
      </c>
      <c r="I568" s="1254">
        <v>16180.8</v>
      </c>
      <c r="J568" s="2427">
        <v>16180.8</v>
      </c>
      <c r="K568" s="2357"/>
    </row>
    <row r="569" spans="2:11" ht="15" hidden="1" x14ac:dyDescent="0.2">
      <c r="B569" s="2219" t="s">
        <v>103</v>
      </c>
      <c r="C569" s="2220">
        <v>56</v>
      </c>
      <c r="D569" s="2220">
        <v>8</v>
      </c>
      <c r="E569" s="2220">
        <v>1</v>
      </c>
      <c r="F569" s="2416">
        <v>2020659</v>
      </c>
      <c r="G569" s="2220"/>
      <c r="H569" s="2220">
        <v>212</v>
      </c>
      <c r="I569" s="1255"/>
      <c r="J569" s="2428">
        <v>0</v>
      </c>
      <c r="K569" s="2357"/>
    </row>
    <row r="570" spans="2:11" ht="15" hidden="1" x14ac:dyDescent="0.2">
      <c r="B570" s="2219" t="s">
        <v>84</v>
      </c>
      <c r="C570" s="2220">
        <v>56</v>
      </c>
      <c r="D570" s="2220">
        <v>8</v>
      </c>
      <c r="E570" s="2220">
        <v>1</v>
      </c>
      <c r="F570" s="2416">
        <v>2020659</v>
      </c>
      <c r="G570" s="2220"/>
      <c r="H570" s="2220">
        <v>213</v>
      </c>
      <c r="I570" s="1254">
        <v>4715.2</v>
      </c>
      <c r="J570" s="2427">
        <v>4715.2</v>
      </c>
      <c r="K570" s="2357"/>
    </row>
    <row r="571" spans="2:11" ht="15" hidden="1" x14ac:dyDescent="0.2">
      <c r="B571" s="2219" t="s">
        <v>85</v>
      </c>
      <c r="C571" s="2220">
        <v>56</v>
      </c>
      <c r="D571" s="2220">
        <v>8</v>
      </c>
      <c r="E571" s="2220">
        <v>1</v>
      </c>
      <c r="F571" s="2416">
        <v>2020659</v>
      </c>
      <c r="G571" s="2220"/>
      <c r="H571" s="2220">
        <v>221</v>
      </c>
      <c r="I571" s="1255"/>
      <c r="J571" s="2428"/>
      <c r="K571" s="2357"/>
    </row>
    <row r="572" spans="2:11" ht="15" hidden="1" x14ac:dyDescent="0.2">
      <c r="B572" s="2219" t="s">
        <v>86</v>
      </c>
      <c r="C572" s="2220">
        <v>56</v>
      </c>
      <c r="D572" s="2220">
        <v>8</v>
      </c>
      <c r="E572" s="2220">
        <v>1</v>
      </c>
      <c r="F572" s="2416">
        <v>2020659</v>
      </c>
      <c r="G572" s="2220"/>
      <c r="H572" s="2220">
        <v>222</v>
      </c>
      <c r="I572" s="1255"/>
      <c r="J572" s="2428"/>
      <c r="K572" s="2357"/>
    </row>
    <row r="573" spans="2:11" ht="15" hidden="1" x14ac:dyDescent="0.2">
      <c r="B573" s="2219" t="s">
        <v>87</v>
      </c>
      <c r="C573" s="2220">
        <v>56</v>
      </c>
      <c r="D573" s="2220">
        <v>8</v>
      </c>
      <c r="E573" s="2220">
        <v>1</v>
      </c>
      <c r="F573" s="2416">
        <v>2020659</v>
      </c>
      <c r="G573" s="2220"/>
      <c r="H573" s="2220">
        <v>223</v>
      </c>
      <c r="I573" s="1255"/>
      <c r="J573" s="2428"/>
      <c r="K573" s="2357"/>
    </row>
    <row r="574" spans="2:11" ht="15" hidden="1" x14ac:dyDescent="0.2">
      <c r="B574" s="2219" t="s">
        <v>134</v>
      </c>
      <c r="C574" s="2220">
        <v>56</v>
      </c>
      <c r="D574" s="2220">
        <v>8</v>
      </c>
      <c r="E574" s="2220">
        <v>1</v>
      </c>
      <c r="F574" s="2416">
        <v>2020659</v>
      </c>
      <c r="G574" s="2220"/>
      <c r="H574" s="2220">
        <v>224</v>
      </c>
      <c r="I574" s="1255"/>
      <c r="J574" s="2428"/>
      <c r="K574" s="2357"/>
    </row>
    <row r="575" spans="2:11" ht="15" hidden="1" x14ac:dyDescent="0.2">
      <c r="B575" s="2219" t="s">
        <v>90</v>
      </c>
      <c r="C575" s="2220">
        <v>56</v>
      </c>
      <c r="D575" s="2220">
        <v>8</v>
      </c>
      <c r="E575" s="2220">
        <v>1</v>
      </c>
      <c r="F575" s="2416">
        <v>2020659</v>
      </c>
      <c r="G575" s="2220"/>
      <c r="H575" s="2220">
        <v>225</v>
      </c>
      <c r="I575" s="1255"/>
      <c r="J575" s="2428"/>
      <c r="K575" s="2357"/>
    </row>
    <row r="576" spans="2:11" ht="15" hidden="1" x14ac:dyDescent="0.2">
      <c r="B576" s="2219" t="s">
        <v>91</v>
      </c>
      <c r="C576" s="2220">
        <v>56</v>
      </c>
      <c r="D576" s="2220">
        <v>8</v>
      </c>
      <c r="E576" s="2220">
        <v>1</v>
      </c>
      <c r="F576" s="2416">
        <v>2020659</v>
      </c>
      <c r="G576" s="2220"/>
      <c r="H576" s="2220">
        <v>226</v>
      </c>
      <c r="I576" s="1254">
        <v>1419.2</v>
      </c>
      <c r="J576" s="2427">
        <v>1119.2</v>
      </c>
      <c r="K576" s="2357"/>
    </row>
    <row r="577" spans="2:11" ht="15" hidden="1" x14ac:dyDescent="0.2">
      <c r="B577" s="2219" t="s">
        <v>94</v>
      </c>
      <c r="C577" s="2220">
        <v>56</v>
      </c>
      <c r="D577" s="2220">
        <v>8</v>
      </c>
      <c r="E577" s="2220">
        <v>1</v>
      </c>
      <c r="F577" s="2416">
        <v>2020659</v>
      </c>
      <c r="G577" s="2220"/>
      <c r="H577" s="2220">
        <v>290</v>
      </c>
      <c r="I577" s="1255">
        <v>54.4</v>
      </c>
      <c r="J577" s="2428">
        <v>54.4</v>
      </c>
      <c r="K577" s="2357"/>
    </row>
    <row r="578" spans="2:11" ht="15" hidden="1" x14ac:dyDescent="0.2">
      <c r="B578" s="2219" t="s">
        <v>94</v>
      </c>
      <c r="C578" s="2220">
        <v>56</v>
      </c>
      <c r="D578" s="2220">
        <v>8</v>
      </c>
      <c r="E578" s="2220">
        <v>1</v>
      </c>
      <c r="F578" s="2416">
        <v>2020659</v>
      </c>
      <c r="G578" s="2220"/>
      <c r="H578" s="2220">
        <v>290</v>
      </c>
      <c r="I578" s="1255"/>
      <c r="J578" s="2428"/>
      <c r="K578" s="2357"/>
    </row>
    <row r="579" spans="2:11" ht="15" hidden="1" x14ac:dyDescent="0.2">
      <c r="B579" s="2219" t="s">
        <v>96</v>
      </c>
      <c r="C579" s="2220">
        <v>56</v>
      </c>
      <c r="D579" s="2220">
        <v>8</v>
      </c>
      <c r="E579" s="2220">
        <v>1</v>
      </c>
      <c r="F579" s="2416">
        <v>2020659</v>
      </c>
      <c r="G579" s="2220"/>
      <c r="H579" s="2220">
        <v>310</v>
      </c>
      <c r="I579" s="1255">
        <v>80</v>
      </c>
      <c r="J579" s="2428">
        <v>80</v>
      </c>
      <c r="K579" s="2357"/>
    </row>
    <row r="580" spans="2:11" ht="15" hidden="1" x14ac:dyDescent="0.2">
      <c r="B580" s="2219" t="s">
        <v>97</v>
      </c>
      <c r="C580" s="2220">
        <v>56</v>
      </c>
      <c r="D580" s="2220">
        <v>8</v>
      </c>
      <c r="E580" s="2220">
        <v>1</v>
      </c>
      <c r="F580" s="2416">
        <v>2020659</v>
      </c>
      <c r="G580" s="2220"/>
      <c r="H580" s="2220">
        <v>340</v>
      </c>
      <c r="I580" s="1255">
        <v>500.8</v>
      </c>
      <c r="J580" s="2428">
        <v>500.8</v>
      </c>
      <c r="K580" s="2357"/>
    </row>
    <row r="581" spans="2:11" ht="15" hidden="1" x14ac:dyDescent="0.2">
      <c r="B581" s="2208" t="s">
        <v>767</v>
      </c>
      <c r="C581" s="2220">
        <v>56</v>
      </c>
      <c r="D581" s="2220">
        <v>8</v>
      </c>
      <c r="E581" s="2220">
        <v>1</v>
      </c>
      <c r="F581" s="2416">
        <v>2020659</v>
      </c>
      <c r="G581" s="2206">
        <v>612</v>
      </c>
      <c r="H581" s="2206">
        <v>241</v>
      </c>
      <c r="I581" s="1252">
        <v>0</v>
      </c>
      <c r="J581" s="2425">
        <v>0</v>
      </c>
      <c r="K581" s="2357"/>
    </row>
    <row r="582" spans="2:11" ht="26" hidden="1" x14ac:dyDescent="0.2">
      <c r="B582" s="2422" t="s">
        <v>1162</v>
      </c>
      <c r="C582" s="2220">
        <v>56</v>
      </c>
      <c r="D582" s="2220">
        <v>8</v>
      </c>
      <c r="E582" s="2220">
        <v>1</v>
      </c>
      <c r="F582" s="2416">
        <v>2020659</v>
      </c>
      <c r="G582" s="2420">
        <v>600</v>
      </c>
      <c r="H582" s="2420"/>
      <c r="I582" s="2424">
        <v>22296</v>
      </c>
      <c r="J582" s="2424">
        <v>22136.799999999999</v>
      </c>
      <c r="K582" s="2357"/>
    </row>
    <row r="583" spans="2:11" ht="39" hidden="1" x14ac:dyDescent="0.2">
      <c r="B583" s="2208" t="s">
        <v>1135</v>
      </c>
      <c r="C583" s="2220">
        <v>56</v>
      </c>
      <c r="D583" s="2220">
        <v>8</v>
      </c>
      <c r="E583" s="2220">
        <v>1</v>
      </c>
      <c r="F583" s="2416">
        <v>2020659</v>
      </c>
      <c r="G583" s="2206">
        <v>611</v>
      </c>
      <c r="H583" s="2206">
        <v>241</v>
      </c>
      <c r="I583" s="2412">
        <v>22296</v>
      </c>
      <c r="J583" s="2412">
        <v>22136.799999999999</v>
      </c>
      <c r="K583" s="2357"/>
    </row>
    <row r="584" spans="2:11" ht="15" hidden="1" x14ac:dyDescent="0.2">
      <c r="B584" s="2219" t="s">
        <v>78</v>
      </c>
      <c r="C584" s="2220">
        <v>56</v>
      </c>
      <c r="D584" s="2220">
        <v>8</v>
      </c>
      <c r="E584" s="2220">
        <v>1</v>
      </c>
      <c r="F584" s="2416">
        <v>2020659</v>
      </c>
      <c r="G584" s="2220"/>
      <c r="H584" s="2220">
        <v>211</v>
      </c>
      <c r="I584" s="1254">
        <v>15011.4</v>
      </c>
      <c r="J584" s="2427">
        <v>15011.4</v>
      </c>
      <c r="K584" s="2357"/>
    </row>
    <row r="585" spans="2:11" ht="15" hidden="1" x14ac:dyDescent="0.2">
      <c r="B585" s="2219" t="s">
        <v>103</v>
      </c>
      <c r="C585" s="2220">
        <v>56</v>
      </c>
      <c r="D585" s="2220">
        <v>8</v>
      </c>
      <c r="E585" s="2220">
        <v>1</v>
      </c>
      <c r="F585" s="2416">
        <v>2020659</v>
      </c>
      <c r="G585" s="2220"/>
      <c r="H585" s="2220">
        <v>212</v>
      </c>
      <c r="I585" s="1255"/>
      <c r="J585" s="2428"/>
      <c r="K585" s="2357"/>
    </row>
    <row r="586" spans="2:11" ht="15" hidden="1" x14ac:dyDescent="0.2">
      <c r="B586" s="2219" t="s">
        <v>84</v>
      </c>
      <c r="C586" s="2220">
        <v>56</v>
      </c>
      <c r="D586" s="2220">
        <v>8</v>
      </c>
      <c r="E586" s="2220">
        <v>1</v>
      </c>
      <c r="F586" s="2416">
        <v>2020659</v>
      </c>
      <c r="G586" s="2220"/>
      <c r="H586" s="2220">
        <v>213</v>
      </c>
      <c r="I586" s="1254">
        <v>4374.3999999999996</v>
      </c>
      <c r="J586" s="2427">
        <v>4374.3999999999996</v>
      </c>
      <c r="K586" s="2357"/>
    </row>
    <row r="587" spans="2:11" ht="15" hidden="1" x14ac:dyDescent="0.2">
      <c r="B587" s="2219" t="s">
        <v>85</v>
      </c>
      <c r="C587" s="2220">
        <v>56</v>
      </c>
      <c r="D587" s="2220">
        <v>8</v>
      </c>
      <c r="E587" s="2220">
        <v>1</v>
      </c>
      <c r="F587" s="2416">
        <v>2020659</v>
      </c>
      <c r="G587" s="2220"/>
      <c r="H587" s="2220">
        <v>221</v>
      </c>
      <c r="I587" s="1255"/>
      <c r="J587" s="2428"/>
      <c r="K587" s="2357"/>
    </row>
    <row r="588" spans="2:11" ht="15" hidden="1" x14ac:dyDescent="0.2">
      <c r="B588" s="2219" t="s">
        <v>86</v>
      </c>
      <c r="C588" s="2220">
        <v>56</v>
      </c>
      <c r="D588" s="2220">
        <v>8</v>
      </c>
      <c r="E588" s="2220">
        <v>1</v>
      </c>
      <c r="F588" s="2416">
        <v>2020659</v>
      </c>
      <c r="G588" s="2220"/>
      <c r="H588" s="2220">
        <v>222</v>
      </c>
      <c r="I588" s="1255"/>
      <c r="J588" s="2428"/>
      <c r="K588" s="2357"/>
    </row>
    <row r="589" spans="2:11" ht="15" hidden="1" x14ac:dyDescent="0.2">
      <c r="B589" s="2219" t="s">
        <v>87</v>
      </c>
      <c r="C589" s="2220">
        <v>56</v>
      </c>
      <c r="D589" s="2220">
        <v>8</v>
      </c>
      <c r="E589" s="2220">
        <v>1</v>
      </c>
      <c r="F589" s="2416">
        <v>2020659</v>
      </c>
      <c r="G589" s="2220"/>
      <c r="H589" s="2220">
        <v>223</v>
      </c>
      <c r="I589" s="1255">
        <v>591.70000000000005</v>
      </c>
      <c r="J589" s="2428">
        <v>532.5</v>
      </c>
      <c r="K589" s="2357"/>
    </row>
    <row r="590" spans="2:11" ht="15" hidden="1" x14ac:dyDescent="0.2">
      <c r="B590" s="2219" t="s">
        <v>134</v>
      </c>
      <c r="C590" s="2220">
        <v>56</v>
      </c>
      <c r="D590" s="2220">
        <v>8</v>
      </c>
      <c r="E590" s="2220">
        <v>1</v>
      </c>
      <c r="F590" s="2416">
        <v>2020659</v>
      </c>
      <c r="G590" s="2220"/>
      <c r="H590" s="2220">
        <v>224</v>
      </c>
      <c r="I590" s="1255"/>
      <c r="J590" s="2428"/>
      <c r="K590" s="2357"/>
    </row>
    <row r="591" spans="2:11" ht="15" hidden="1" x14ac:dyDescent="0.2">
      <c r="B591" s="2219" t="s">
        <v>90</v>
      </c>
      <c r="C591" s="2220">
        <v>56</v>
      </c>
      <c r="D591" s="2220">
        <v>8</v>
      </c>
      <c r="E591" s="2220">
        <v>1</v>
      </c>
      <c r="F591" s="2416">
        <v>2020659</v>
      </c>
      <c r="G591" s="2220"/>
      <c r="H591" s="2220">
        <v>225</v>
      </c>
      <c r="I591" s="1255"/>
      <c r="J591" s="2428"/>
      <c r="K591" s="2357"/>
    </row>
    <row r="592" spans="2:11" ht="15" hidden="1" x14ac:dyDescent="0.2">
      <c r="B592" s="2219" t="s">
        <v>91</v>
      </c>
      <c r="C592" s="2220">
        <v>56</v>
      </c>
      <c r="D592" s="2220">
        <v>8</v>
      </c>
      <c r="E592" s="2220">
        <v>1</v>
      </c>
      <c r="F592" s="2416">
        <v>2020659</v>
      </c>
      <c r="G592" s="2220"/>
      <c r="H592" s="2220">
        <v>226</v>
      </c>
      <c r="I592" s="1255"/>
      <c r="J592" s="2428">
        <v>300</v>
      </c>
      <c r="K592" s="2357"/>
    </row>
    <row r="593" spans="2:11" ht="15" hidden="1" x14ac:dyDescent="0.2">
      <c r="B593" s="2219" t="s">
        <v>94</v>
      </c>
      <c r="C593" s="2220">
        <v>56</v>
      </c>
      <c r="D593" s="2220">
        <v>8</v>
      </c>
      <c r="E593" s="2220">
        <v>1</v>
      </c>
      <c r="F593" s="2416">
        <v>2020659</v>
      </c>
      <c r="G593" s="2220"/>
      <c r="H593" s="2220">
        <v>290</v>
      </c>
      <c r="I593" s="1254">
        <v>1318.5</v>
      </c>
      <c r="J593" s="2427">
        <v>1318.5</v>
      </c>
      <c r="K593" s="2357"/>
    </row>
    <row r="594" spans="2:11" ht="15" hidden="1" x14ac:dyDescent="0.2">
      <c r="B594" s="2219" t="s">
        <v>94</v>
      </c>
      <c r="C594" s="2220">
        <v>56</v>
      </c>
      <c r="D594" s="2220">
        <v>8</v>
      </c>
      <c r="E594" s="2220">
        <v>1</v>
      </c>
      <c r="F594" s="2416">
        <v>2020659</v>
      </c>
      <c r="G594" s="2220"/>
      <c r="H594" s="2220">
        <v>290</v>
      </c>
      <c r="I594" s="1255"/>
      <c r="J594" s="2428"/>
      <c r="K594" s="2357"/>
    </row>
    <row r="595" spans="2:11" ht="15" hidden="1" x14ac:dyDescent="0.2">
      <c r="B595" s="2219" t="s">
        <v>96</v>
      </c>
      <c r="C595" s="2220">
        <v>56</v>
      </c>
      <c r="D595" s="2220">
        <v>8</v>
      </c>
      <c r="E595" s="2220">
        <v>1</v>
      </c>
      <c r="F595" s="2416">
        <v>2020659</v>
      </c>
      <c r="G595" s="2220"/>
      <c r="H595" s="2220">
        <v>310</v>
      </c>
      <c r="I595" s="1255"/>
      <c r="J595" s="2428"/>
      <c r="K595" s="2357"/>
    </row>
    <row r="596" spans="2:11" ht="15" hidden="1" x14ac:dyDescent="0.2">
      <c r="B596" s="2219" t="s">
        <v>97</v>
      </c>
      <c r="C596" s="2220">
        <v>56</v>
      </c>
      <c r="D596" s="2220">
        <v>8</v>
      </c>
      <c r="E596" s="2220">
        <v>1</v>
      </c>
      <c r="F596" s="2416">
        <v>2020659</v>
      </c>
      <c r="G596" s="2220"/>
      <c r="H596" s="2220">
        <v>340</v>
      </c>
      <c r="I596" s="1254">
        <v>1000</v>
      </c>
      <c r="J596" s="2428">
        <v>600</v>
      </c>
      <c r="K596" s="2357"/>
    </row>
    <row r="597" spans="2:11" ht="15" hidden="1" x14ac:dyDescent="0.2">
      <c r="B597" s="2208" t="s">
        <v>767</v>
      </c>
      <c r="C597" s="2220">
        <v>56</v>
      </c>
      <c r="D597" s="2220">
        <v>8</v>
      </c>
      <c r="E597" s="2220">
        <v>1</v>
      </c>
      <c r="F597" s="2416">
        <v>2020659</v>
      </c>
      <c r="G597" s="2206">
        <v>612</v>
      </c>
      <c r="H597" s="2206">
        <v>241</v>
      </c>
      <c r="I597" s="1252">
        <v>0</v>
      </c>
      <c r="J597" s="2425">
        <v>0</v>
      </c>
      <c r="K597" s="2357"/>
    </row>
    <row r="598" spans="2:11" ht="26" hidden="1" x14ac:dyDescent="0.2">
      <c r="B598" s="2422" t="s">
        <v>1163</v>
      </c>
      <c r="C598" s="2220">
        <v>56</v>
      </c>
      <c r="D598" s="2220">
        <v>8</v>
      </c>
      <c r="E598" s="2220">
        <v>1</v>
      </c>
      <c r="F598" s="2416">
        <v>2020659</v>
      </c>
      <c r="G598" s="2420">
        <v>600</v>
      </c>
      <c r="H598" s="2420"/>
      <c r="I598" s="2424">
        <v>53100.1</v>
      </c>
      <c r="J598" s="2424">
        <v>52791.3</v>
      </c>
      <c r="K598" s="2357"/>
    </row>
    <row r="599" spans="2:11" ht="39" hidden="1" x14ac:dyDescent="0.2">
      <c r="B599" s="2208" t="s">
        <v>1135</v>
      </c>
      <c r="C599" s="2220">
        <v>56</v>
      </c>
      <c r="D599" s="2220">
        <v>8</v>
      </c>
      <c r="E599" s="2220">
        <v>1</v>
      </c>
      <c r="F599" s="2416">
        <v>2020659</v>
      </c>
      <c r="G599" s="2206">
        <v>611</v>
      </c>
      <c r="H599" s="2206">
        <v>241</v>
      </c>
      <c r="I599" s="2412">
        <v>53100.1</v>
      </c>
      <c r="J599" s="2412">
        <v>52791.3</v>
      </c>
      <c r="K599" s="2357"/>
    </row>
    <row r="600" spans="2:11" ht="15" hidden="1" x14ac:dyDescent="0.2">
      <c r="B600" s="2219" t="s">
        <v>78</v>
      </c>
      <c r="C600" s="2220">
        <v>56</v>
      </c>
      <c r="D600" s="2220">
        <v>8</v>
      </c>
      <c r="E600" s="2220">
        <v>1</v>
      </c>
      <c r="F600" s="2416">
        <v>2020659</v>
      </c>
      <c r="G600" s="2220"/>
      <c r="H600" s="2220">
        <v>211</v>
      </c>
      <c r="I600" s="1254">
        <v>40261.800000000003</v>
      </c>
      <c r="J600" s="2427">
        <v>40261.800000000003</v>
      </c>
      <c r="K600" s="2357"/>
    </row>
    <row r="601" spans="2:11" ht="15" hidden="1" x14ac:dyDescent="0.2">
      <c r="B601" s="2219" t="s">
        <v>103</v>
      </c>
      <c r="C601" s="2220">
        <v>56</v>
      </c>
      <c r="D601" s="2220">
        <v>8</v>
      </c>
      <c r="E601" s="2220">
        <v>1</v>
      </c>
      <c r="F601" s="2416">
        <v>2020659</v>
      </c>
      <c r="G601" s="2220"/>
      <c r="H601" s="2220">
        <v>212</v>
      </c>
      <c r="I601" s="1255"/>
      <c r="J601" s="2428">
        <v>0</v>
      </c>
      <c r="K601" s="2357"/>
    </row>
    <row r="602" spans="2:11" ht="15" hidden="1" x14ac:dyDescent="0.2">
      <c r="B602" s="2219" t="s">
        <v>84</v>
      </c>
      <c r="C602" s="2220">
        <v>56</v>
      </c>
      <c r="D602" s="2220">
        <v>8</v>
      </c>
      <c r="E602" s="2220">
        <v>1</v>
      </c>
      <c r="F602" s="2416">
        <v>2020659</v>
      </c>
      <c r="G602" s="2220"/>
      <c r="H602" s="2220">
        <v>213</v>
      </c>
      <c r="I602" s="1254">
        <v>11732.4</v>
      </c>
      <c r="J602" s="2427">
        <v>11732.4</v>
      </c>
      <c r="K602" s="2357"/>
    </row>
    <row r="603" spans="2:11" ht="15" hidden="1" x14ac:dyDescent="0.2">
      <c r="B603" s="2219" t="s">
        <v>85</v>
      </c>
      <c r="C603" s="2220">
        <v>56</v>
      </c>
      <c r="D603" s="2220">
        <v>8</v>
      </c>
      <c r="E603" s="2220">
        <v>1</v>
      </c>
      <c r="F603" s="2416">
        <v>2020659</v>
      </c>
      <c r="G603" s="2220"/>
      <c r="H603" s="2220">
        <v>221</v>
      </c>
      <c r="I603" s="1255"/>
      <c r="J603" s="2428"/>
      <c r="K603" s="2357"/>
    </row>
    <row r="604" spans="2:11" ht="15" hidden="1" x14ac:dyDescent="0.2">
      <c r="B604" s="2219" t="s">
        <v>86</v>
      </c>
      <c r="C604" s="2220">
        <v>56</v>
      </c>
      <c r="D604" s="2220">
        <v>8</v>
      </c>
      <c r="E604" s="2220">
        <v>1</v>
      </c>
      <c r="F604" s="2416">
        <v>2020659</v>
      </c>
      <c r="G604" s="2220"/>
      <c r="H604" s="2220">
        <v>222</v>
      </c>
      <c r="I604" s="1255"/>
      <c r="J604" s="2428"/>
      <c r="K604" s="2357"/>
    </row>
    <row r="605" spans="2:11" ht="15" hidden="1" x14ac:dyDescent="0.2">
      <c r="B605" s="2219" t="s">
        <v>87</v>
      </c>
      <c r="C605" s="2220">
        <v>56</v>
      </c>
      <c r="D605" s="2220">
        <v>8</v>
      </c>
      <c r="E605" s="2220">
        <v>1</v>
      </c>
      <c r="F605" s="2416">
        <v>2020659</v>
      </c>
      <c r="G605" s="2220"/>
      <c r="H605" s="2220">
        <v>223</v>
      </c>
      <c r="I605" s="1255"/>
      <c r="J605" s="2428"/>
      <c r="K605" s="2357"/>
    </row>
    <row r="606" spans="2:11" ht="15" hidden="1" x14ac:dyDescent="0.2">
      <c r="B606" s="2219" t="s">
        <v>134</v>
      </c>
      <c r="C606" s="2220">
        <v>56</v>
      </c>
      <c r="D606" s="2220">
        <v>8</v>
      </c>
      <c r="E606" s="2220">
        <v>1</v>
      </c>
      <c r="F606" s="2416">
        <v>2020659</v>
      </c>
      <c r="G606" s="2220"/>
      <c r="H606" s="2220">
        <v>224</v>
      </c>
      <c r="I606" s="1255"/>
      <c r="J606" s="2428"/>
      <c r="K606" s="2357"/>
    </row>
    <row r="607" spans="2:11" ht="15" hidden="1" x14ac:dyDescent="0.2">
      <c r="B607" s="2219" t="s">
        <v>90</v>
      </c>
      <c r="C607" s="2220">
        <v>56</v>
      </c>
      <c r="D607" s="2220">
        <v>8</v>
      </c>
      <c r="E607" s="2220">
        <v>1</v>
      </c>
      <c r="F607" s="2416">
        <v>2020659</v>
      </c>
      <c r="G607" s="2220"/>
      <c r="H607" s="2220">
        <v>225</v>
      </c>
      <c r="I607" s="1255"/>
      <c r="J607" s="2428"/>
      <c r="K607" s="2357"/>
    </row>
    <row r="608" spans="2:11" ht="15" hidden="1" x14ac:dyDescent="0.2">
      <c r="B608" s="2219" t="s">
        <v>91</v>
      </c>
      <c r="C608" s="2220">
        <v>56</v>
      </c>
      <c r="D608" s="2220">
        <v>8</v>
      </c>
      <c r="E608" s="2220">
        <v>1</v>
      </c>
      <c r="F608" s="2416">
        <v>2020659</v>
      </c>
      <c r="G608" s="2220"/>
      <c r="H608" s="2220">
        <v>226</v>
      </c>
      <c r="I608" s="1255">
        <v>135</v>
      </c>
      <c r="J608" s="2428">
        <v>32.1</v>
      </c>
      <c r="K608" s="2357"/>
    </row>
    <row r="609" spans="2:11" ht="15" hidden="1" x14ac:dyDescent="0.2">
      <c r="B609" s="2448" t="s">
        <v>94</v>
      </c>
      <c r="C609" s="2449">
        <v>56</v>
      </c>
      <c r="D609" s="2449">
        <v>8</v>
      </c>
      <c r="E609" s="2449">
        <v>1</v>
      </c>
      <c r="F609" s="2446">
        <v>2020659</v>
      </c>
      <c r="G609" s="2449"/>
      <c r="H609" s="2449">
        <v>290</v>
      </c>
      <c r="I609" s="2204">
        <v>105.9</v>
      </c>
      <c r="J609" s="2428">
        <v>0</v>
      </c>
      <c r="K609" s="2357"/>
    </row>
    <row r="610" spans="2:11" ht="15" hidden="1" x14ac:dyDescent="0.2">
      <c r="B610" s="2219" t="s">
        <v>94</v>
      </c>
      <c r="C610" s="2220">
        <v>56</v>
      </c>
      <c r="D610" s="2220">
        <v>8</v>
      </c>
      <c r="E610" s="2220">
        <v>1</v>
      </c>
      <c r="F610" s="2416">
        <v>2020659</v>
      </c>
      <c r="G610" s="2220"/>
      <c r="H610" s="2220">
        <v>290</v>
      </c>
      <c r="I610" s="1255"/>
      <c r="J610" s="2428"/>
      <c r="K610" s="2357"/>
    </row>
    <row r="611" spans="2:11" ht="15" hidden="1" x14ac:dyDescent="0.2">
      <c r="B611" s="2219" t="s">
        <v>96</v>
      </c>
      <c r="C611" s="2220">
        <v>56</v>
      </c>
      <c r="D611" s="2220">
        <v>8</v>
      </c>
      <c r="E611" s="2220">
        <v>1</v>
      </c>
      <c r="F611" s="2416">
        <v>2020659</v>
      </c>
      <c r="G611" s="2220"/>
      <c r="H611" s="2220">
        <v>310</v>
      </c>
      <c r="I611" s="1255">
        <v>300</v>
      </c>
      <c r="J611" s="2428">
        <v>61.5</v>
      </c>
      <c r="K611" s="2357"/>
    </row>
    <row r="612" spans="2:11" ht="15" hidden="1" x14ac:dyDescent="0.2">
      <c r="B612" s="2219" t="s">
        <v>97</v>
      </c>
      <c r="C612" s="2220">
        <v>56</v>
      </c>
      <c r="D612" s="2220">
        <v>8</v>
      </c>
      <c r="E612" s="2220">
        <v>1</v>
      </c>
      <c r="F612" s="2416">
        <v>2020659</v>
      </c>
      <c r="G612" s="2220"/>
      <c r="H612" s="2220">
        <v>340</v>
      </c>
      <c r="I612" s="1255">
        <v>565</v>
      </c>
      <c r="J612" s="2428">
        <v>703.5</v>
      </c>
      <c r="K612" s="2357"/>
    </row>
    <row r="613" spans="2:11" ht="15" hidden="1" x14ac:dyDescent="0.2">
      <c r="B613" s="2208" t="s">
        <v>767</v>
      </c>
      <c r="C613" s="2220">
        <v>56</v>
      </c>
      <c r="D613" s="2220">
        <v>8</v>
      </c>
      <c r="E613" s="2220">
        <v>1</v>
      </c>
      <c r="F613" s="2416">
        <v>2020659</v>
      </c>
      <c r="G613" s="2206">
        <v>612</v>
      </c>
      <c r="H613" s="2206">
        <v>241</v>
      </c>
      <c r="I613" s="1252">
        <v>0</v>
      </c>
      <c r="J613" s="2425">
        <v>0</v>
      </c>
      <c r="K613" s="2357"/>
    </row>
    <row r="614" spans="2:11" ht="26" hidden="1" x14ac:dyDescent="0.2">
      <c r="B614" s="2469" t="s">
        <v>1164</v>
      </c>
      <c r="C614" s="2470">
        <v>56</v>
      </c>
      <c r="D614" s="2470">
        <v>8</v>
      </c>
      <c r="E614" s="2470">
        <v>1</v>
      </c>
      <c r="F614" s="2471">
        <v>2020659</v>
      </c>
      <c r="G614" s="2472">
        <v>600</v>
      </c>
      <c r="H614" s="2472"/>
      <c r="I614" s="2424">
        <v>15983.7</v>
      </c>
      <c r="J614" s="2473">
        <v>16311.4</v>
      </c>
      <c r="K614" s="2357"/>
    </row>
    <row r="615" spans="2:11" ht="39" hidden="1" x14ac:dyDescent="0.2">
      <c r="B615" s="2474" t="s">
        <v>1135</v>
      </c>
      <c r="C615" s="2470">
        <v>56</v>
      </c>
      <c r="D615" s="2470">
        <v>8</v>
      </c>
      <c r="E615" s="2470">
        <v>1</v>
      </c>
      <c r="F615" s="2471">
        <v>2020659</v>
      </c>
      <c r="G615" s="2475">
        <v>611</v>
      </c>
      <c r="H615" s="2475">
        <v>241</v>
      </c>
      <c r="I615" s="2412">
        <v>15983.7</v>
      </c>
      <c r="J615" s="2476">
        <v>16311.4</v>
      </c>
      <c r="K615" s="2357"/>
    </row>
    <row r="616" spans="2:11" ht="15" hidden="1" x14ac:dyDescent="0.2">
      <c r="B616" s="2448" t="s">
        <v>78</v>
      </c>
      <c r="C616" s="2449">
        <v>56</v>
      </c>
      <c r="D616" s="2449">
        <v>8</v>
      </c>
      <c r="E616" s="2449">
        <v>1</v>
      </c>
      <c r="F616" s="2446">
        <v>2020659</v>
      </c>
      <c r="G616" s="2449"/>
      <c r="H616" s="2449">
        <v>211</v>
      </c>
      <c r="I616" s="1254">
        <v>11400.7</v>
      </c>
      <c r="J616" s="2457">
        <v>11970.7</v>
      </c>
      <c r="K616" s="2357"/>
    </row>
    <row r="617" spans="2:11" ht="15" hidden="1" x14ac:dyDescent="0.2">
      <c r="B617" s="2477" t="s">
        <v>103</v>
      </c>
      <c r="C617" s="2470">
        <v>56</v>
      </c>
      <c r="D617" s="2470">
        <v>8</v>
      </c>
      <c r="E617" s="2470">
        <v>1</v>
      </c>
      <c r="F617" s="2471">
        <v>2020659</v>
      </c>
      <c r="G617" s="2470"/>
      <c r="H617" s="2470">
        <v>212</v>
      </c>
      <c r="I617" s="1255"/>
      <c r="J617" s="2478"/>
      <c r="K617" s="2357"/>
    </row>
    <row r="618" spans="2:11" ht="15" hidden="1" x14ac:dyDescent="0.2">
      <c r="B618" s="2477" t="s">
        <v>84</v>
      </c>
      <c r="C618" s="2470">
        <v>56</v>
      </c>
      <c r="D618" s="2470">
        <v>8</v>
      </c>
      <c r="E618" s="2470">
        <v>1</v>
      </c>
      <c r="F618" s="2471">
        <v>2020659</v>
      </c>
      <c r="G618" s="2470"/>
      <c r="H618" s="2470">
        <v>213</v>
      </c>
      <c r="I618" s="1254">
        <v>3322.2</v>
      </c>
      <c r="J618" s="2479">
        <v>3494.2</v>
      </c>
      <c r="K618" s="2357"/>
    </row>
    <row r="619" spans="2:11" ht="15" hidden="1" x14ac:dyDescent="0.2">
      <c r="B619" s="2219" t="s">
        <v>85</v>
      </c>
      <c r="C619" s="2220">
        <v>56</v>
      </c>
      <c r="D619" s="2220">
        <v>8</v>
      </c>
      <c r="E619" s="2220">
        <v>1</v>
      </c>
      <c r="F619" s="2416">
        <v>2020659</v>
      </c>
      <c r="G619" s="2220"/>
      <c r="H619" s="2220">
        <v>221</v>
      </c>
      <c r="I619" s="1255"/>
      <c r="J619" s="2428"/>
      <c r="K619" s="2357"/>
    </row>
    <row r="620" spans="2:11" ht="15" hidden="1" x14ac:dyDescent="0.2">
      <c r="B620" s="2219" t="s">
        <v>86</v>
      </c>
      <c r="C620" s="2220">
        <v>56</v>
      </c>
      <c r="D620" s="2220">
        <v>8</v>
      </c>
      <c r="E620" s="2220">
        <v>1</v>
      </c>
      <c r="F620" s="2416">
        <v>2020659</v>
      </c>
      <c r="G620" s="2220"/>
      <c r="H620" s="2220">
        <v>222</v>
      </c>
      <c r="I620" s="1255"/>
      <c r="J620" s="2428"/>
      <c r="K620" s="2357"/>
    </row>
    <row r="621" spans="2:11" ht="15" hidden="1" x14ac:dyDescent="0.2">
      <c r="B621" s="2219" t="s">
        <v>87</v>
      </c>
      <c r="C621" s="2220">
        <v>56</v>
      </c>
      <c r="D621" s="2220">
        <v>8</v>
      </c>
      <c r="E621" s="2220">
        <v>1</v>
      </c>
      <c r="F621" s="2416">
        <v>2020659</v>
      </c>
      <c r="G621" s="2220"/>
      <c r="H621" s="2220">
        <v>223</v>
      </c>
      <c r="I621" s="1255">
        <v>142.5</v>
      </c>
      <c r="J621" s="2428">
        <v>128.19999999999999</v>
      </c>
      <c r="K621" s="2357"/>
    </row>
    <row r="622" spans="2:11" ht="15" hidden="1" x14ac:dyDescent="0.2">
      <c r="B622" s="2219" t="s">
        <v>134</v>
      </c>
      <c r="C622" s="2220">
        <v>56</v>
      </c>
      <c r="D622" s="2220">
        <v>8</v>
      </c>
      <c r="E622" s="2220">
        <v>1</v>
      </c>
      <c r="F622" s="2416">
        <v>2020659</v>
      </c>
      <c r="G622" s="2220"/>
      <c r="H622" s="2220">
        <v>224</v>
      </c>
      <c r="I622" s="1255"/>
      <c r="J622" s="2428"/>
      <c r="K622" s="2357"/>
    </row>
    <row r="623" spans="2:11" ht="15" hidden="1" x14ac:dyDescent="0.2">
      <c r="B623" s="2219" t="s">
        <v>90</v>
      </c>
      <c r="C623" s="2220">
        <v>56</v>
      </c>
      <c r="D623" s="2220">
        <v>8</v>
      </c>
      <c r="E623" s="2220">
        <v>1</v>
      </c>
      <c r="F623" s="2416">
        <v>2020659</v>
      </c>
      <c r="G623" s="2220"/>
      <c r="H623" s="2220">
        <v>225</v>
      </c>
      <c r="I623" s="1255"/>
      <c r="J623" s="2428"/>
      <c r="K623" s="2357"/>
    </row>
    <row r="624" spans="2:11" ht="15" hidden="1" x14ac:dyDescent="0.2">
      <c r="B624" s="2219" t="s">
        <v>91</v>
      </c>
      <c r="C624" s="2220">
        <v>56</v>
      </c>
      <c r="D624" s="2220">
        <v>8</v>
      </c>
      <c r="E624" s="2220">
        <v>1</v>
      </c>
      <c r="F624" s="2416">
        <v>2020659</v>
      </c>
      <c r="G624" s="2220"/>
      <c r="H624" s="2220">
        <v>226</v>
      </c>
      <c r="I624" s="1255">
        <v>50</v>
      </c>
      <c r="J624" s="2428">
        <v>50</v>
      </c>
      <c r="K624" s="2357"/>
    </row>
    <row r="625" spans="2:11" ht="15" hidden="1" x14ac:dyDescent="0.2">
      <c r="B625" s="2219" t="s">
        <v>94</v>
      </c>
      <c r="C625" s="2220">
        <v>56</v>
      </c>
      <c r="D625" s="2220">
        <v>8</v>
      </c>
      <c r="E625" s="2220">
        <v>1</v>
      </c>
      <c r="F625" s="2416">
        <v>2020659</v>
      </c>
      <c r="G625" s="2220"/>
      <c r="H625" s="2220">
        <v>290</v>
      </c>
      <c r="I625" s="1255">
        <v>118.3</v>
      </c>
      <c r="J625" s="2428">
        <v>118.3</v>
      </c>
      <c r="K625" s="2357"/>
    </row>
    <row r="626" spans="2:11" ht="15" hidden="1" x14ac:dyDescent="0.2">
      <c r="B626" s="2219" t="s">
        <v>94</v>
      </c>
      <c r="C626" s="2220">
        <v>56</v>
      </c>
      <c r="D626" s="2220">
        <v>8</v>
      </c>
      <c r="E626" s="2220">
        <v>1</v>
      </c>
      <c r="F626" s="2416">
        <v>2020659</v>
      </c>
      <c r="G626" s="2220"/>
      <c r="H626" s="2220">
        <v>290</v>
      </c>
      <c r="I626" s="1255"/>
      <c r="J626" s="2428"/>
      <c r="K626" s="2357"/>
    </row>
    <row r="627" spans="2:11" ht="15" hidden="1" x14ac:dyDescent="0.2">
      <c r="B627" s="2219" t="s">
        <v>96</v>
      </c>
      <c r="C627" s="2220">
        <v>56</v>
      </c>
      <c r="D627" s="2220">
        <v>8</v>
      </c>
      <c r="E627" s="2220">
        <v>1</v>
      </c>
      <c r="F627" s="2416">
        <v>2020659</v>
      </c>
      <c r="G627" s="2220"/>
      <c r="H627" s="2220">
        <v>310</v>
      </c>
      <c r="I627" s="1255">
        <v>815</v>
      </c>
      <c r="J627" s="2428">
        <v>415</v>
      </c>
      <c r="K627" s="2357"/>
    </row>
    <row r="628" spans="2:11" ht="15" hidden="1" x14ac:dyDescent="0.2">
      <c r="B628" s="2219" t="s">
        <v>97</v>
      </c>
      <c r="C628" s="2220">
        <v>56</v>
      </c>
      <c r="D628" s="2220">
        <v>8</v>
      </c>
      <c r="E628" s="2220">
        <v>1</v>
      </c>
      <c r="F628" s="2416">
        <v>2020659</v>
      </c>
      <c r="G628" s="2220"/>
      <c r="H628" s="2220">
        <v>340</v>
      </c>
      <c r="I628" s="1255">
        <v>135</v>
      </c>
      <c r="J628" s="2428">
        <v>135</v>
      </c>
      <c r="K628" s="2357"/>
    </row>
    <row r="629" spans="2:11" ht="15" hidden="1" x14ac:dyDescent="0.2">
      <c r="B629" s="2208" t="s">
        <v>767</v>
      </c>
      <c r="C629" s="2220">
        <v>56</v>
      </c>
      <c r="D629" s="2220">
        <v>8</v>
      </c>
      <c r="E629" s="2220">
        <v>1</v>
      </c>
      <c r="F629" s="2416">
        <v>2020659</v>
      </c>
      <c r="G629" s="2206">
        <v>612</v>
      </c>
      <c r="H629" s="2206">
        <v>241</v>
      </c>
      <c r="I629" s="1252">
        <v>0</v>
      </c>
      <c r="J629" s="2425">
        <v>0</v>
      </c>
      <c r="K629" s="2357"/>
    </row>
    <row r="630" spans="2:11" ht="26" hidden="1" x14ac:dyDescent="0.2">
      <c r="B630" s="2422" t="s">
        <v>1165</v>
      </c>
      <c r="C630" s="2220">
        <v>56</v>
      </c>
      <c r="D630" s="2220">
        <v>8</v>
      </c>
      <c r="E630" s="2220">
        <v>1</v>
      </c>
      <c r="F630" s="2416">
        <v>2020659</v>
      </c>
      <c r="G630" s="2420">
        <v>600</v>
      </c>
      <c r="H630" s="2420"/>
      <c r="I630" s="2424">
        <v>10231.200000000001</v>
      </c>
      <c r="J630" s="2424">
        <v>9581.2000000000007</v>
      </c>
      <c r="K630" s="2357"/>
    </row>
    <row r="631" spans="2:11" ht="39" hidden="1" x14ac:dyDescent="0.2">
      <c r="B631" s="2208" t="s">
        <v>1135</v>
      </c>
      <c r="C631" s="2220">
        <v>56</v>
      </c>
      <c r="D631" s="2220">
        <v>8</v>
      </c>
      <c r="E631" s="2220">
        <v>1</v>
      </c>
      <c r="F631" s="2416">
        <v>2020659</v>
      </c>
      <c r="G631" s="2206">
        <v>611</v>
      </c>
      <c r="H631" s="2206">
        <v>241</v>
      </c>
      <c r="I631" s="2412">
        <v>10231.200000000001</v>
      </c>
      <c r="J631" s="2412">
        <v>9581.2000000000007</v>
      </c>
      <c r="K631" s="2357"/>
    </row>
    <row r="632" spans="2:11" ht="15" hidden="1" x14ac:dyDescent="0.2">
      <c r="B632" s="2219" t="s">
        <v>78</v>
      </c>
      <c r="C632" s="2220">
        <v>56</v>
      </c>
      <c r="D632" s="2220">
        <v>8</v>
      </c>
      <c r="E632" s="2220">
        <v>1</v>
      </c>
      <c r="F632" s="2416">
        <v>2020659</v>
      </c>
      <c r="G632" s="2220"/>
      <c r="H632" s="2220">
        <v>211</v>
      </c>
      <c r="I632" s="1254">
        <v>7132</v>
      </c>
      <c r="J632" s="2427">
        <v>7132</v>
      </c>
      <c r="K632" s="2357"/>
    </row>
    <row r="633" spans="2:11" ht="15" hidden="1" x14ac:dyDescent="0.2">
      <c r="B633" s="2219" t="s">
        <v>103</v>
      </c>
      <c r="C633" s="2220">
        <v>56</v>
      </c>
      <c r="D633" s="2220">
        <v>8</v>
      </c>
      <c r="E633" s="2220">
        <v>1</v>
      </c>
      <c r="F633" s="2416">
        <v>2020659</v>
      </c>
      <c r="G633" s="2220"/>
      <c r="H633" s="2220">
        <v>212</v>
      </c>
      <c r="I633" s="1255"/>
      <c r="J633" s="2428"/>
      <c r="K633" s="2357"/>
    </row>
    <row r="634" spans="2:11" ht="15" hidden="1" x14ac:dyDescent="0.2">
      <c r="B634" s="2219" t="s">
        <v>84</v>
      </c>
      <c r="C634" s="2220">
        <v>56</v>
      </c>
      <c r="D634" s="2220">
        <v>8</v>
      </c>
      <c r="E634" s="2220">
        <v>1</v>
      </c>
      <c r="F634" s="2416">
        <v>2020659</v>
      </c>
      <c r="G634" s="2220"/>
      <c r="H634" s="2220">
        <v>213</v>
      </c>
      <c r="I634" s="1254">
        <v>2078.3000000000002</v>
      </c>
      <c r="J634" s="2427">
        <v>2078.3000000000002</v>
      </c>
      <c r="K634" s="2357"/>
    </row>
    <row r="635" spans="2:11" ht="15" hidden="1" x14ac:dyDescent="0.2">
      <c r="B635" s="2219" t="s">
        <v>85</v>
      </c>
      <c r="C635" s="2220">
        <v>56</v>
      </c>
      <c r="D635" s="2220">
        <v>8</v>
      </c>
      <c r="E635" s="2220">
        <v>1</v>
      </c>
      <c r="F635" s="2416">
        <v>2020659</v>
      </c>
      <c r="G635" s="2220"/>
      <c r="H635" s="2220">
        <v>221</v>
      </c>
      <c r="I635" s="1255"/>
      <c r="J635" s="2428"/>
      <c r="K635" s="2357"/>
    </row>
    <row r="636" spans="2:11" ht="15" hidden="1" x14ac:dyDescent="0.2">
      <c r="B636" s="2219" t="s">
        <v>86</v>
      </c>
      <c r="C636" s="2220">
        <v>56</v>
      </c>
      <c r="D636" s="2220">
        <v>8</v>
      </c>
      <c r="E636" s="2220">
        <v>1</v>
      </c>
      <c r="F636" s="2416">
        <v>2020659</v>
      </c>
      <c r="G636" s="2220"/>
      <c r="H636" s="2220">
        <v>222</v>
      </c>
      <c r="I636" s="1255"/>
      <c r="J636" s="2428"/>
      <c r="K636" s="2357"/>
    </row>
    <row r="637" spans="2:11" ht="15" hidden="1" x14ac:dyDescent="0.2">
      <c r="B637" s="2219" t="s">
        <v>87</v>
      </c>
      <c r="C637" s="2220">
        <v>56</v>
      </c>
      <c r="D637" s="2220">
        <v>8</v>
      </c>
      <c r="E637" s="2220">
        <v>1</v>
      </c>
      <c r="F637" s="2416">
        <v>2020659</v>
      </c>
      <c r="G637" s="2220"/>
      <c r="H637" s="2220">
        <v>223</v>
      </c>
      <c r="I637" s="1255"/>
      <c r="J637" s="2428"/>
      <c r="K637" s="2357"/>
    </row>
    <row r="638" spans="2:11" ht="15" hidden="1" x14ac:dyDescent="0.2">
      <c r="B638" s="2219" t="s">
        <v>134</v>
      </c>
      <c r="C638" s="2220">
        <v>56</v>
      </c>
      <c r="D638" s="2220">
        <v>8</v>
      </c>
      <c r="E638" s="2220">
        <v>1</v>
      </c>
      <c r="F638" s="2416">
        <v>2020659</v>
      </c>
      <c r="G638" s="2220"/>
      <c r="H638" s="2220">
        <v>224</v>
      </c>
      <c r="I638" s="1255"/>
      <c r="J638" s="2428"/>
      <c r="K638" s="2357"/>
    </row>
    <row r="639" spans="2:11" ht="15" hidden="1" x14ac:dyDescent="0.2">
      <c r="B639" s="2219" t="s">
        <v>90</v>
      </c>
      <c r="C639" s="2220">
        <v>56</v>
      </c>
      <c r="D639" s="2220">
        <v>8</v>
      </c>
      <c r="E639" s="2220">
        <v>1</v>
      </c>
      <c r="F639" s="2416">
        <v>2020659</v>
      </c>
      <c r="G639" s="2220"/>
      <c r="H639" s="2220">
        <v>225</v>
      </c>
      <c r="I639" s="1255"/>
      <c r="J639" s="2428"/>
      <c r="K639" s="2357"/>
    </row>
    <row r="640" spans="2:11" ht="15" hidden="1" x14ac:dyDescent="0.2">
      <c r="B640" s="2219" t="s">
        <v>91</v>
      </c>
      <c r="C640" s="2220">
        <v>56</v>
      </c>
      <c r="D640" s="2220">
        <v>8</v>
      </c>
      <c r="E640" s="2220">
        <v>1</v>
      </c>
      <c r="F640" s="2416">
        <v>2020659</v>
      </c>
      <c r="G640" s="2220"/>
      <c r="H640" s="2220">
        <v>226</v>
      </c>
      <c r="I640" s="1255"/>
      <c r="J640" s="2428"/>
      <c r="K640" s="2357"/>
    </row>
    <row r="641" spans="2:11" ht="15" hidden="1" x14ac:dyDescent="0.2">
      <c r="B641" s="2219" t="s">
        <v>94</v>
      </c>
      <c r="C641" s="2220">
        <v>56</v>
      </c>
      <c r="D641" s="2220">
        <v>8</v>
      </c>
      <c r="E641" s="2220">
        <v>1</v>
      </c>
      <c r="F641" s="2416">
        <v>2020659</v>
      </c>
      <c r="G641" s="2220"/>
      <c r="H641" s="2220">
        <v>290</v>
      </c>
      <c r="I641" s="1255">
        <v>20.9</v>
      </c>
      <c r="J641" s="2428">
        <v>20.9</v>
      </c>
      <c r="K641" s="2357"/>
    </row>
    <row r="642" spans="2:11" ht="15" hidden="1" x14ac:dyDescent="0.2">
      <c r="B642" s="2219" t="s">
        <v>94</v>
      </c>
      <c r="C642" s="2220">
        <v>56</v>
      </c>
      <c r="D642" s="2220">
        <v>8</v>
      </c>
      <c r="E642" s="2220">
        <v>1</v>
      </c>
      <c r="F642" s="2416">
        <v>2020659</v>
      </c>
      <c r="G642" s="2220"/>
      <c r="H642" s="2220">
        <v>290</v>
      </c>
      <c r="I642" s="1255"/>
      <c r="J642" s="2428"/>
      <c r="K642" s="2357"/>
    </row>
    <row r="643" spans="2:11" ht="15" hidden="1" x14ac:dyDescent="0.2">
      <c r="B643" s="2219" t="s">
        <v>96</v>
      </c>
      <c r="C643" s="2220">
        <v>56</v>
      </c>
      <c r="D643" s="2220">
        <v>8</v>
      </c>
      <c r="E643" s="2220">
        <v>1</v>
      </c>
      <c r="F643" s="2416">
        <v>2020659</v>
      </c>
      <c r="G643" s="2220"/>
      <c r="H643" s="2220">
        <v>310</v>
      </c>
      <c r="I643" s="1255">
        <v>507</v>
      </c>
      <c r="J643" s="2428">
        <v>0</v>
      </c>
      <c r="K643" s="2357"/>
    </row>
    <row r="644" spans="2:11" ht="15" hidden="1" x14ac:dyDescent="0.2">
      <c r="B644" s="2219" t="s">
        <v>97</v>
      </c>
      <c r="C644" s="2220">
        <v>56</v>
      </c>
      <c r="D644" s="2220">
        <v>8</v>
      </c>
      <c r="E644" s="2220">
        <v>1</v>
      </c>
      <c r="F644" s="2416">
        <v>2020659</v>
      </c>
      <c r="G644" s="2220"/>
      <c r="H644" s="2220">
        <v>340</v>
      </c>
      <c r="I644" s="1255">
        <v>493</v>
      </c>
      <c r="J644" s="2428">
        <v>350</v>
      </c>
      <c r="K644" s="2357"/>
    </row>
    <row r="645" spans="2:11" ht="15" hidden="1" x14ac:dyDescent="0.2">
      <c r="B645" s="2208" t="s">
        <v>767</v>
      </c>
      <c r="C645" s="2220">
        <v>56</v>
      </c>
      <c r="D645" s="2220">
        <v>8</v>
      </c>
      <c r="E645" s="2220">
        <v>1</v>
      </c>
      <c r="F645" s="2416">
        <v>2020659</v>
      </c>
      <c r="G645" s="2206">
        <v>612</v>
      </c>
      <c r="H645" s="2206">
        <v>241</v>
      </c>
      <c r="I645" s="1252">
        <v>0</v>
      </c>
      <c r="J645" s="2425">
        <v>0</v>
      </c>
      <c r="K645" s="2357"/>
    </row>
    <row r="646" spans="2:11" ht="26" hidden="1" x14ac:dyDescent="0.2">
      <c r="B646" s="2469" t="s">
        <v>1166</v>
      </c>
      <c r="C646" s="2470">
        <v>56</v>
      </c>
      <c r="D646" s="2470">
        <v>8</v>
      </c>
      <c r="E646" s="2470">
        <v>1</v>
      </c>
      <c r="F646" s="2471">
        <v>2020659</v>
      </c>
      <c r="G646" s="2472">
        <v>600</v>
      </c>
      <c r="H646" s="2472"/>
      <c r="I646" s="2424">
        <v>12463.6</v>
      </c>
      <c r="J646" s="2473">
        <v>10906</v>
      </c>
      <c r="K646" s="2357"/>
    </row>
    <row r="647" spans="2:11" ht="39" hidden="1" x14ac:dyDescent="0.2">
      <c r="B647" s="2474" t="s">
        <v>1135</v>
      </c>
      <c r="C647" s="2470">
        <v>56</v>
      </c>
      <c r="D647" s="2470">
        <v>8</v>
      </c>
      <c r="E647" s="2470">
        <v>1</v>
      </c>
      <c r="F647" s="2471">
        <v>2020659</v>
      </c>
      <c r="G647" s="2475">
        <v>611</v>
      </c>
      <c r="H647" s="2475">
        <v>241</v>
      </c>
      <c r="I647" s="2412">
        <v>12463.6</v>
      </c>
      <c r="J647" s="2476">
        <v>10906</v>
      </c>
      <c r="K647" s="2357"/>
    </row>
    <row r="648" spans="2:11" ht="15" hidden="1" x14ac:dyDescent="0.2">
      <c r="B648" s="2477" t="s">
        <v>78</v>
      </c>
      <c r="C648" s="2470">
        <v>56</v>
      </c>
      <c r="D648" s="2470">
        <v>8</v>
      </c>
      <c r="E648" s="2470">
        <v>1</v>
      </c>
      <c r="F648" s="2471">
        <v>2020659</v>
      </c>
      <c r="G648" s="2470"/>
      <c r="H648" s="2470">
        <v>211</v>
      </c>
      <c r="I648" s="1254">
        <v>8673.7000000000007</v>
      </c>
      <c r="J648" s="2479">
        <v>7981.9</v>
      </c>
      <c r="K648" s="2357"/>
    </row>
    <row r="649" spans="2:11" ht="15" hidden="1" x14ac:dyDescent="0.2">
      <c r="B649" s="2477" t="s">
        <v>103</v>
      </c>
      <c r="C649" s="2470">
        <v>56</v>
      </c>
      <c r="D649" s="2470">
        <v>8</v>
      </c>
      <c r="E649" s="2470">
        <v>1</v>
      </c>
      <c r="F649" s="2471">
        <v>2020659</v>
      </c>
      <c r="G649" s="2470"/>
      <c r="H649" s="2470">
        <v>212</v>
      </c>
      <c r="I649" s="1255"/>
      <c r="J649" s="2478"/>
      <c r="K649" s="2357"/>
    </row>
    <row r="650" spans="2:11" ht="15" hidden="1" x14ac:dyDescent="0.2">
      <c r="B650" s="2477" t="s">
        <v>84</v>
      </c>
      <c r="C650" s="2470">
        <v>56</v>
      </c>
      <c r="D650" s="2470">
        <v>8</v>
      </c>
      <c r="E650" s="2470">
        <v>1</v>
      </c>
      <c r="F650" s="2471">
        <v>2020659</v>
      </c>
      <c r="G650" s="2470"/>
      <c r="H650" s="2470">
        <v>213</v>
      </c>
      <c r="I650" s="1254">
        <v>2527.5</v>
      </c>
      <c r="J650" s="2479">
        <v>2259.5</v>
      </c>
      <c r="K650" s="2357"/>
    </row>
    <row r="651" spans="2:11" ht="15" hidden="1" x14ac:dyDescent="0.2">
      <c r="B651" s="2219" t="s">
        <v>85</v>
      </c>
      <c r="C651" s="2220">
        <v>56</v>
      </c>
      <c r="D651" s="2220">
        <v>8</v>
      </c>
      <c r="E651" s="2220">
        <v>1</v>
      </c>
      <c r="F651" s="2416">
        <v>2020659</v>
      </c>
      <c r="G651" s="2220"/>
      <c r="H651" s="2220">
        <v>221</v>
      </c>
      <c r="I651" s="1255"/>
      <c r="J651" s="2428"/>
      <c r="K651" s="2357"/>
    </row>
    <row r="652" spans="2:11" ht="15" hidden="1" x14ac:dyDescent="0.2">
      <c r="B652" s="2219" t="s">
        <v>86</v>
      </c>
      <c r="C652" s="2220">
        <v>56</v>
      </c>
      <c r="D652" s="2220">
        <v>8</v>
      </c>
      <c r="E652" s="2220">
        <v>1</v>
      </c>
      <c r="F652" s="2416">
        <v>2020659</v>
      </c>
      <c r="G652" s="2220"/>
      <c r="H652" s="2220">
        <v>222</v>
      </c>
      <c r="I652" s="1255"/>
      <c r="J652" s="2428"/>
      <c r="K652" s="2357"/>
    </row>
    <row r="653" spans="2:11" ht="15" hidden="1" x14ac:dyDescent="0.2">
      <c r="B653" s="2219" t="s">
        <v>87</v>
      </c>
      <c r="C653" s="2220">
        <v>56</v>
      </c>
      <c r="D653" s="2220">
        <v>8</v>
      </c>
      <c r="E653" s="2220">
        <v>1</v>
      </c>
      <c r="F653" s="2416">
        <v>2020659</v>
      </c>
      <c r="G653" s="2220"/>
      <c r="H653" s="2220">
        <v>223</v>
      </c>
      <c r="I653" s="1255">
        <v>195.8</v>
      </c>
      <c r="J653" s="2428">
        <v>176.2</v>
      </c>
      <c r="K653" s="2357"/>
    </row>
    <row r="654" spans="2:11" ht="15" hidden="1" x14ac:dyDescent="0.2">
      <c r="B654" s="2219" t="s">
        <v>134</v>
      </c>
      <c r="C654" s="2220">
        <v>56</v>
      </c>
      <c r="D654" s="2220">
        <v>8</v>
      </c>
      <c r="E654" s="2220">
        <v>1</v>
      </c>
      <c r="F654" s="2416">
        <v>2020659</v>
      </c>
      <c r="G654" s="2220"/>
      <c r="H654" s="2220">
        <v>224</v>
      </c>
      <c r="I654" s="1255"/>
      <c r="J654" s="2428"/>
      <c r="K654" s="2357"/>
    </row>
    <row r="655" spans="2:11" ht="15" hidden="1" x14ac:dyDescent="0.2">
      <c r="B655" s="2219" t="s">
        <v>90</v>
      </c>
      <c r="C655" s="2220">
        <v>56</v>
      </c>
      <c r="D655" s="2220">
        <v>8</v>
      </c>
      <c r="E655" s="2220">
        <v>1</v>
      </c>
      <c r="F655" s="2416">
        <v>2020659</v>
      </c>
      <c r="G655" s="2220"/>
      <c r="H655" s="2220">
        <v>225</v>
      </c>
      <c r="I655" s="1255">
        <v>54.5</v>
      </c>
      <c r="J655" s="2428">
        <v>0</v>
      </c>
      <c r="K655" s="2357"/>
    </row>
    <row r="656" spans="2:11" ht="15" hidden="1" x14ac:dyDescent="0.2">
      <c r="B656" s="2219" t="s">
        <v>91</v>
      </c>
      <c r="C656" s="2220">
        <v>56</v>
      </c>
      <c r="D656" s="2220">
        <v>8</v>
      </c>
      <c r="E656" s="2220">
        <v>1</v>
      </c>
      <c r="F656" s="2416">
        <v>2020659</v>
      </c>
      <c r="G656" s="2220"/>
      <c r="H656" s="2220">
        <v>226</v>
      </c>
      <c r="I656" s="1255">
        <v>47.5</v>
      </c>
      <c r="J656" s="2428">
        <v>0</v>
      </c>
      <c r="K656" s="2357"/>
    </row>
    <row r="657" spans="2:11" ht="15" hidden="1" x14ac:dyDescent="0.2">
      <c r="B657" s="2219" t="s">
        <v>94</v>
      </c>
      <c r="C657" s="2220">
        <v>56</v>
      </c>
      <c r="D657" s="2220">
        <v>8</v>
      </c>
      <c r="E657" s="2220">
        <v>1</v>
      </c>
      <c r="F657" s="2416">
        <v>2020659</v>
      </c>
      <c r="G657" s="2220"/>
      <c r="H657" s="2220">
        <v>290</v>
      </c>
      <c r="I657" s="1255">
        <v>66.599999999999994</v>
      </c>
      <c r="J657" s="2428">
        <v>44.4</v>
      </c>
      <c r="K657" s="2357"/>
    </row>
    <row r="658" spans="2:11" ht="15" hidden="1" x14ac:dyDescent="0.2">
      <c r="B658" s="2219" t="s">
        <v>94</v>
      </c>
      <c r="C658" s="2220">
        <v>56</v>
      </c>
      <c r="D658" s="2220">
        <v>8</v>
      </c>
      <c r="E658" s="2220">
        <v>1</v>
      </c>
      <c r="F658" s="2416">
        <v>2020659</v>
      </c>
      <c r="G658" s="2220"/>
      <c r="H658" s="2220">
        <v>290</v>
      </c>
      <c r="I658" s="1255"/>
      <c r="J658" s="2428"/>
      <c r="K658" s="2357"/>
    </row>
    <row r="659" spans="2:11" ht="15" hidden="1" x14ac:dyDescent="0.2">
      <c r="B659" s="2219" t="s">
        <v>96</v>
      </c>
      <c r="C659" s="2220">
        <v>56</v>
      </c>
      <c r="D659" s="2220">
        <v>8</v>
      </c>
      <c r="E659" s="2220">
        <v>1</v>
      </c>
      <c r="F659" s="2416">
        <v>2020659</v>
      </c>
      <c r="G659" s="2220"/>
      <c r="H659" s="2220">
        <v>310</v>
      </c>
      <c r="I659" s="1255">
        <v>757</v>
      </c>
      <c r="J659" s="2428">
        <v>303</v>
      </c>
      <c r="K659" s="2357"/>
    </row>
    <row r="660" spans="2:11" ht="15" hidden="1" x14ac:dyDescent="0.2">
      <c r="B660" s="2219" t="s">
        <v>97</v>
      </c>
      <c r="C660" s="2220">
        <v>56</v>
      </c>
      <c r="D660" s="2220">
        <v>8</v>
      </c>
      <c r="E660" s="2220">
        <v>1</v>
      </c>
      <c r="F660" s="2416">
        <v>2020659</v>
      </c>
      <c r="G660" s="2220"/>
      <c r="H660" s="2220">
        <v>340</v>
      </c>
      <c r="I660" s="1255">
        <v>141</v>
      </c>
      <c r="J660" s="2428">
        <v>141</v>
      </c>
      <c r="K660" s="2357"/>
    </row>
    <row r="661" spans="2:11" ht="15" hidden="1" x14ac:dyDescent="0.2">
      <c r="B661" s="2208" t="s">
        <v>767</v>
      </c>
      <c r="C661" s="2220">
        <v>56</v>
      </c>
      <c r="D661" s="2220">
        <v>8</v>
      </c>
      <c r="E661" s="2220">
        <v>1</v>
      </c>
      <c r="F661" s="2416">
        <v>2020659</v>
      </c>
      <c r="G661" s="2206">
        <v>612</v>
      </c>
      <c r="H661" s="2206">
        <v>241</v>
      </c>
      <c r="I661" s="1252">
        <v>0</v>
      </c>
      <c r="J661" s="2425">
        <v>0</v>
      </c>
      <c r="K661" s="2357"/>
    </row>
    <row r="662" spans="2:11" ht="15" hidden="1" x14ac:dyDescent="0.2">
      <c r="B662" s="2205" t="s">
        <v>1288</v>
      </c>
      <c r="C662" s="2220">
        <v>56</v>
      </c>
      <c r="D662" s="2220">
        <v>8</v>
      </c>
      <c r="E662" s="2220">
        <v>1</v>
      </c>
      <c r="F662" s="2416">
        <v>2020659</v>
      </c>
      <c r="G662" s="2420">
        <v>600</v>
      </c>
      <c r="H662" s="2206"/>
      <c r="I662" s="2424">
        <v>15372.4</v>
      </c>
      <c r="J662" s="2424">
        <v>74003.8</v>
      </c>
      <c r="K662" s="2357"/>
    </row>
    <row r="663" spans="2:11" ht="39" hidden="1" x14ac:dyDescent="0.2">
      <c r="B663" s="2208" t="s">
        <v>1135</v>
      </c>
      <c r="C663" s="2220" t="s">
        <v>699</v>
      </c>
      <c r="D663" s="2220">
        <v>8</v>
      </c>
      <c r="E663" s="2220">
        <v>1</v>
      </c>
      <c r="F663" s="2416">
        <v>2020659</v>
      </c>
      <c r="G663" s="2206">
        <v>611</v>
      </c>
      <c r="H663" s="2206">
        <v>241</v>
      </c>
      <c r="I663" s="2412">
        <v>15372.4</v>
      </c>
      <c r="J663" s="2412">
        <v>16403.8</v>
      </c>
      <c r="K663" s="2357"/>
    </row>
    <row r="664" spans="2:11" ht="15" hidden="1" x14ac:dyDescent="0.2">
      <c r="B664" s="2219" t="s">
        <v>78</v>
      </c>
      <c r="C664" s="2220">
        <v>56</v>
      </c>
      <c r="D664" s="2220">
        <v>8</v>
      </c>
      <c r="E664" s="2220">
        <v>1</v>
      </c>
      <c r="F664" s="2416">
        <v>2020659</v>
      </c>
      <c r="G664" s="2220"/>
      <c r="H664" s="2220">
        <v>211</v>
      </c>
      <c r="I664" s="2210">
        <v>3843.3</v>
      </c>
      <c r="J664" s="2427">
        <v>3843.3</v>
      </c>
      <c r="K664" s="2357"/>
    </row>
    <row r="665" spans="2:11" ht="15" hidden="1" x14ac:dyDescent="0.2">
      <c r="B665" s="2219" t="s">
        <v>103</v>
      </c>
      <c r="C665" s="2220">
        <v>56</v>
      </c>
      <c r="D665" s="2220">
        <v>8</v>
      </c>
      <c r="E665" s="2220">
        <v>1</v>
      </c>
      <c r="F665" s="2416">
        <v>2020659</v>
      </c>
      <c r="G665" s="2220"/>
      <c r="H665" s="2220">
        <v>212</v>
      </c>
      <c r="I665" s="2211"/>
      <c r="J665" s="2428"/>
      <c r="K665" s="2357"/>
    </row>
    <row r="666" spans="2:11" ht="15" hidden="1" x14ac:dyDescent="0.2">
      <c r="B666" s="2219" t="s">
        <v>84</v>
      </c>
      <c r="C666" s="2220">
        <v>56</v>
      </c>
      <c r="D666" s="2220">
        <v>8</v>
      </c>
      <c r="E666" s="2220">
        <v>1</v>
      </c>
      <c r="F666" s="2416">
        <v>2020659</v>
      </c>
      <c r="G666" s="2220"/>
      <c r="H666" s="2220">
        <v>213</v>
      </c>
      <c r="I666" s="2210">
        <v>1120</v>
      </c>
      <c r="J666" s="2427">
        <v>1120</v>
      </c>
      <c r="K666" s="2357"/>
    </row>
    <row r="667" spans="2:11" ht="15" hidden="1" x14ac:dyDescent="0.2">
      <c r="B667" s="2219" t="s">
        <v>85</v>
      </c>
      <c r="C667" s="2220">
        <v>56</v>
      </c>
      <c r="D667" s="2220">
        <v>8</v>
      </c>
      <c r="E667" s="2220">
        <v>1</v>
      </c>
      <c r="F667" s="2416">
        <v>2020659</v>
      </c>
      <c r="G667" s="2220"/>
      <c r="H667" s="2220">
        <v>221</v>
      </c>
      <c r="I667" s="2211">
        <v>94</v>
      </c>
      <c r="J667" s="2428">
        <v>84.6</v>
      </c>
      <c r="K667" s="2357"/>
    </row>
    <row r="668" spans="2:11" ht="15" hidden="1" x14ac:dyDescent="0.2">
      <c r="B668" s="2219" t="s">
        <v>86</v>
      </c>
      <c r="C668" s="2220">
        <v>56</v>
      </c>
      <c r="D668" s="2220">
        <v>8</v>
      </c>
      <c r="E668" s="2220">
        <v>1</v>
      </c>
      <c r="F668" s="2416">
        <v>2020659</v>
      </c>
      <c r="G668" s="2220"/>
      <c r="H668" s="2220">
        <v>222</v>
      </c>
      <c r="I668" s="2211"/>
      <c r="J668" s="2428"/>
      <c r="K668" s="2357"/>
    </row>
    <row r="669" spans="2:11" ht="15" hidden="1" x14ac:dyDescent="0.2">
      <c r="B669" s="2219" t="s">
        <v>87</v>
      </c>
      <c r="C669" s="2220">
        <v>56</v>
      </c>
      <c r="D669" s="2220">
        <v>8</v>
      </c>
      <c r="E669" s="2220">
        <v>1</v>
      </c>
      <c r="F669" s="2416">
        <v>2020659</v>
      </c>
      <c r="G669" s="2220"/>
      <c r="H669" s="2220">
        <v>223</v>
      </c>
      <c r="I669" s="2211">
        <v>241.7</v>
      </c>
      <c r="J669" s="2428">
        <v>217.5</v>
      </c>
      <c r="K669" s="2357"/>
    </row>
    <row r="670" spans="2:11" ht="15" hidden="1" x14ac:dyDescent="0.2">
      <c r="B670" s="2219" t="s">
        <v>134</v>
      </c>
      <c r="C670" s="2220">
        <v>56</v>
      </c>
      <c r="D670" s="2220">
        <v>8</v>
      </c>
      <c r="E670" s="2220">
        <v>1</v>
      </c>
      <c r="F670" s="2416">
        <v>2020659</v>
      </c>
      <c r="G670" s="2220"/>
      <c r="H670" s="2220">
        <v>224</v>
      </c>
      <c r="I670" s="2211"/>
      <c r="J670" s="2428"/>
      <c r="K670" s="2357"/>
    </row>
    <row r="671" spans="2:11" ht="15" hidden="1" x14ac:dyDescent="0.2">
      <c r="B671" s="2219" t="s">
        <v>90</v>
      </c>
      <c r="C671" s="2220">
        <v>56</v>
      </c>
      <c r="D671" s="2220">
        <v>8</v>
      </c>
      <c r="E671" s="2220">
        <v>1</v>
      </c>
      <c r="F671" s="2416">
        <v>2020659</v>
      </c>
      <c r="G671" s="2220"/>
      <c r="H671" s="2220">
        <v>225</v>
      </c>
      <c r="I671" s="2211">
        <v>503</v>
      </c>
      <c r="J671" s="2428">
        <v>503</v>
      </c>
      <c r="K671" s="2357"/>
    </row>
    <row r="672" spans="2:11" ht="15" hidden="1" x14ac:dyDescent="0.2">
      <c r="B672" s="2219" t="s">
        <v>91</v>
      </c>
      <c r="C672" s="2220">
        <v>56</v>
      </c>
      <c r="D672" s="2220">
        <v>8</v>
      </c>
      <c r="E672" s="2220">
        <v>1</v>
      </c>
      <c r="F672" s="2416">
        <v>2020659</v>
      </c>
      <c r="G672" s="2220"/>
      <c r="H672" s="2220">
        <v>226</v>
      </c>
      <c r="I672" s="2211">
        <v>425</v>
      </c>
      <c r="J672" s="2427">
        <v>1441.1</v>
      </c>
      <c r="K672" s="2357"/>
    </row>
    <row r="673" spans="2:11" ht="15" hidden="1" x14ac:dyDescent="0.2">
      <c r="B673" s="2219" t="s">
        <v>94</v>
      </c>
      <c r="C673" s="2220">
        <v>56</v>
      </c>
      <c r="D673" s="2220">
        <v>8</v>
      </c>
      <c r="E673" s="2220">
        <v>1</v>
      </c>
      <c r="F673" s="2416">
        <v>2020659</v>
      </c>
      <c r="G673" s="2220"/>
      <c r="H673" s="2220">
        <v>290</v>
      </c>
      <c r="I673" s="2211">
        <v>84.4</v>
      </c>
      <c r="J673" s="2428">
        <v>84.4</v>
      </c>
      <c r="K673" s="2357"/>
    </row>
    <row r="674" spans="2:11" ht="15" hidden="1" x14ac:dyDescent="0.2">
      <c r="B674" s="2219" t="s">
        <v>94</v>
      </c>
      <c r="C674" s="2220">
        <v>56</v>
      </c>
      <c r="D674" s="2220">
        <v>8</v>
      </c>
      <c r="E674" s="2220">
        <v>1</v>
      </c>
      <c r="F674" s="2416">
        <v>2020659</v>
      </c>
      <c r="G674" s="2220"/>
      <c r="H674" s="2220">
        <v>290</v>
      </c>
      <c r="I674" s="2211"/>
      <c r="J674" s="2428"/>
      <c r="K674" s="2357"/>
    </row>
    <row r="675" spans="2:11" ht="15" hidden="1" x14ac:dyDescent="0.2">
      <c r="B675" s="2219" t="s">
        <v>96</v>
      </c>
      <c r="C675" s="2220">
        <v>56</v>
      </c>
      <c r="D675" s="2220">
        <v>8</v>
      </c>
      <c r="E675" s="2220">
        <v>1</v>
      </c>
      <c r="F675" s="2416">
        <v>2020659</v>
      </c>
      <c r="G675" s="2220"/>
      <c r="H675" s="2220">
        <v>310</v>
      </c>
      <c r="I675" s="2210">
        <v>8768</v>
      </c>
      <c r="J675" s="2427">
        <v>8816.9</v>
      </c>
      <c r="K675" s="2357"/>
    </row>
    <row r="676" spans="2:11" ht="15" hidden="1" x14ac:dyDescent="0.2">
      <c r="B676" s="2219" t="s">
        <v>97</v>
      </c>
      <c r="C676" s="2220">
        <v>56</v>
      </c>
      <c r="D676" s="2220">
        <v>8</v>
      </c>
      <c r="E676" s="2220">
        <v>1</v>
      </c>
      <c r="F676" s="2416">
        <v>2020659</v>
      </c>
      <c r="G676" s="2220"/>
      <c r="H676" s="2220">
        <v>340</v>
      </c>
      <c r="I676" s="2211">
        <v>293</v>
      </c>
      <c r="J676" s="2428">
        <v>293</v>
      </c>
      <c r="K676" s="2357"/>
    </row>
    <row r="677" spans="2:11" ht="15" hidden="1" x14ac:dyDescent="0.2">
      <c r="B677" s="2208" t="s">
        <v>767</v>
      </c>
      <c r="C677" s="2220">
        <v>56</v>
      </c>
      <c r="D677" s="2220">
        <v>8</v>
      </c>
      <c r="E677" s="2220">
        <v>1</v>
      </c>
      <c r="F677" s="2416">
        <v>2020659</v>
      </c>
      <c r="G677" s="2206">
        <v>612</v>
      </c>
      <c r="H677" s="2206">
        <v>241</v>
      </c>
      <c r="I677" s="2212">
        <v>0</v>
      </c>
      <c r="J677" s="2438">
        <v>57600</v>
      </c>
      <c r="K677" s="2357"/>
    </row>
    <row r="678" spans="2:11" ht="26" hidden="1" x14ac:dyDescent="0.2">
      <c r="B678" s="2422" t="s">
        <v>1167</v>
      </c>
      <c r="C678" s="2220">
        <v>56</v>
      </c>
      <c r="D678" s="2220">
        <v>8</v>
      </c>
      <c r="E678" s="2220">
        <v>1</v>
      </c>
      <c r="F678" s="2416">
        <v>2020659</v>
      </c>
      <c r="G678" s="2420">
        <v>600</v>
      </c>
      <c r="H678" s="2420"/>
      <c r="I678" s="2424">
        <v>54474.400000000001</v>
      </c>
      <c r="J678" s="2424">
        <v>46832.7</v>
      </c>
      <c r="K678" s="2357"/>
    </row>
    <row r="679" spans="2:11" ht="39" hidden="1" x14ac:dyDescent="0.2">
      <c r="B679" s="2208" t="s">
        <v>1135</v>
      </c>
      <c r="C679" s="2220">
        <v>56</v>
      </c>
      <c r="D679" s="2220">
        <v>8</v>
      </c>
      <c r="E679" s="2220">
        <v>1</v>
      </c>
      <c r="F679" s="2416">
        <v>2020659</v>
      </c>
      <c r="G679" s="2206">
        <v>611</v>
      </c>
      <c r="H679" s="2206">
        <v>241</v>
      </c>
      <c r="I679" s="2412">
        <v>51474.400000000001</v>
      </c>
      <c r="J679" s="2412">
        <v>44782.7</v>
      </c>
      <c r="K679" s="2357"/>
    </row>
    <row r="680" spans="2:11" ht="15" hidden="1" x14ac:dyDescent="0.2">
      <c r="B680" s="2219" t="s">
        <v>78</v>
      </c>
      <c r="C680" s="2220">
        <v>56</v>
      </c>
      <c r="D680" s="2220">
        <v>8</v>
      </c>
      <c r="E680" s="2220">
        <v>1</v>
      </c>
      <c r="F680" s="2416">
        <v>2020659</v>
      </c>
      <c r="G680" s="2220"/>
      <c r="H680" s="2220">
        <v>211</v>
      </c>
      <c r="I680" s="1254">
        <v>25497.599999999999</v>
      </c>
      <c r="J680" s="2427">
        <v>26189.4</v>
      </c>
      <c r="K680" s="2357"/>
    </row>
    <row r="681" spans="2:11" ht="15" hidden="1" x14ac:dyDescent="0.2">
      <c r="B681" s="2219" t="s">
        <v>103</v>
      </c>
      <c r="C681" s="2220">
        <v>56</v>
      </c>
      <c r="D681" s="2220">
        <v>8</v>
      </c>
      <c r="E681" s="2220">
        <v>1</v>
      </c>
      <c r="F681" s="2416">
        <v>2020659</v>
      </c>
      <c r="G681" s="2220"/>
      <c r="H681" s="2220">
        <v>212</v>
      </c>
      <c r="I681" s="1255"/>
      <c r="J681" s="2428"/>
      <c r="K681" s="2357"/>
    </row>
    <row r="682" spans="2:11" ht="15" hidden="1" x14ac:dyDescent="0.2">
      <c r="B682" s="2219" t="s">
        <v>84</v>
      </c>
      <c r="C682" s="2220">
        <v>56</v>
      </c>
      <c r="D682" s="2220">
        <v>8</v>
      </c>
      <c r="E682" s="2220">
        <v>1</v>
      </c>
      <c r="F682" s="2416">
        <v>2020659</v>
      </c>
      <c r="G682" s="2220"/>
      <c r="H682" s="2220">
        <v>213</v>
      </c>
      <c r="I682" s="1254">
        <v>7430</v>
      </c>
      <c r="J682" s="2427">
        <v>7795.6</v>
      </c>
      <c r="K682" s="2357"/>
    </row>
    <row r="683" spans="2:11" ht="15" hidden="1" x14ac:dyDescent="0.2">
      <c r="B683" s="2219" t="s">
        <v>85</v>
      </c>
      <c r="C683" s="2220">
        <v>56</v>
      </c>
      <c r="D683" s="2220">
        <v>8</v>
      </c>
      <c r="E683" s="2220">
        <v>1</v>
      </c>
      <c r="F683" s="2416">
        <v>2020659</v>
      </c>
      <c r="G683" s="2220"/>
      <c r="H683" s="2220">
        <v>221</v>
      </c>
      <c r="I683" s="1255"/>
      <c r="J683" s="2428"/>
      <c r="K683" s="2357"/>
    </row>
    <row r="684" spans="2:11" ht="15" hidden="1" x14ac:dyDescent="0.2">
      <c r="B684" s="2219" t="s">
        <v>86</v>
      </c>
      <c r="C684" s="2220">
        <v>56</v>
      </c>
      <c r="D684" s="2220">
        <v>8</v>
      </c>
      <c r="E684" s="2220">
        <v>1</v>
      </c>
      <c r="F684" s="2416">
        <v>2020659</v>
      </c>
      <c r="G684" s="2220"/>
      <c r="H684" s="2220">
        <v>222</v>
      </c>
      <c r="I684" s="1255">
        <v>600</v>
      </c>
      <c r="J684" s="2428">
        <v>0</v>
      </c>
      <c r="K684" s="2357"/>
    </row>
    <row r="685" spans="2:11" ht="15" hidden="1" x14ac:dyDescent="0.2">
      <c r="B685" s="2219" t="s">
        <v>87</v>
      </c>
      <c r="C685" s="2220">
        <v>56</v>
      </c>
      <c r="D685" s="2220">
        <v>8</v>
      </c>
      <c r="E685" s="2220">
        <v>1</v>
      </c>
      <c r="F685" s="2416">
        <v>2020659</v>
      </c>
      <c r="G685" s="2220"/>
      <c r="H685" s="2220">
        <v>223</v>
      </c>
      <c r="I685" s="1255">
        <v>407.7</v>
      </c>
      <c r="J685" s="2428">
        <v>366.9</v>
      </c>
      <c r="K685" s="2357"/>
    </row>
    <row r="686" spans="2:11" ht="15" hidden="1" x14ac:dyDescent="0.2">
      <c r="B686" s="2219" t="s">
        <v>134</v>
      </c>
      <c r="C686" s="2220">
        <v>56</v>
      </c>
      <c r="D686" s="2220">
        <v>8</v>
      </c>
      <c r="E686" s="2220">
        <v>1</v>
      </c>
      <c r="F686" s="2416">
        <v>2020659</v>
      </c>
      <c r="G686" s="2220"/>
      <c r="H686" s="2220">
        <v>224</v>
      </c>
      <c r="I686" s="1255"/>
      <c r="J686" s="2428"/>
      <c r="K686" s="2357"/>
    </row>
    <row r="687" spans="2:11" ht="15" hidden="1" x14ac:dyDescent="0.2">
      <c r="B687" s="2219" t="s">
        <v>90</v>
      </c>
      <c r="C687" s="2220">
        <v>56</v>
      </c>
      <c r="D687" s="2220">
        <v>8</v>
      </c>
      <c r="E687" s="2220">
        <v>1</v>
      </c>
      <c r="F687" s="2416">
        <v>2020659</v>
      </c>
      <c r="G687" s="2220"/>
      <c r="H687" s="2220">
        <v>225</v>
      </c>
      <c r="I687" s="1255">
        <v>15</v>
      </c>
      <c r="J687" s="2428">
        <v>0</v>
      </c>
      <c r="K687" s="2357"/>
    </row>
    <row r="688" spans="2:11" ht="15" hidden="1" x14ac:dyDescent="0.2">
      <c r="B688" s="2219" t="s">
        <v>91</v>
      </c>
      <c r="C688" s="2220">
        <v>56</v>
      </c>
      <c r="D688" s="2220">
        <v>8</v>
      </c>
      <c r="E688" s="2220">
        <v>1</v>
      </c>
      <c r="F688" s="2416">
        <v>2020659</v>
      </c>
      <c r="G688" s="2220"/>
      <c r="H688" s="2220">
        <v>226</v>
      </c>
      <c r="I688" s="1254">
        <v>17215.099999999999</v>
      </c>
      <c r="J688" s="2427">
        <v>10115.1</v>
      </c>
      <c r="K688" s="2357"/>
    </row>
    <row r="689" spans="2:11" ht="15" hidden="1" x14ac:dyDescent="0.2">
      <c r="B689" s="2219" t="s">
        <v>94</v>
      </c>
      <c r="C689" s="2220">
        <v>56</v>
      </c>
      <c r="D689" s="2220">
        <v>8</v>
      </c>
      <c r="E689" s="2220">
        <v>1</v>
      </c>
      <c r="F689" s="2416">
        <v>2020659</v>
      </c>
      <c r="G689" s="2220"/>
      <c r="H689" s="2220">
        <v>290</v>
      </c>
      <c r="I689" s="1255">
        <v>309</v>
      </c>
      <c r="J689" s="2414">
        <v>315.7</v>
      </c>
      <c r="K689" s="2357"/>
    </row>
    <row r="690" spans="2:11" ht="15" hidden="1" x14ac:dyDescent="0.2">
      <c r="B690" s="2219" t="s">
        <v>94</v>
      </c>
      <c r="C690" s="2220">
        <v>56</v>
      </c>
      <c r="D690" s="2220">
        <v>8</v>
      </c>
      <c r="E690" s="2220">
        <v>1</v>
      </c>
      <c r="F690" s="2416">
        <v>2020659</v>
      </c>
      <c r="G690" s="2220"/>
      <c r="H690" s="2220">
        <v>290</v>
      </c>
      <c r="I690" s="1255"/>
      <c r="J690" s="2428"/>
      <c r="K690" s="2357"/>
    </row>
    <row r="691" spans="2:11" ht="15" hidden="1" x14ac:dyDescent="0.2">
      <c r="B691" s="2219" t="s">
        <v>96</v>
      </c>
      <c r="C691" s="2220">
        <v>56</v>
      </c>
      <c r="D691" s="2220">
        <v>8</v>
      </c>
      <c r="E691" s="2220">
        <v>1</v>
      </c>
      <c r="F691" s="2416">
        <v>2020659</v>
      </c>
      <c r="G691" s="2220"/>
      <c r="H691" s="2220">
        <v>310</v>
      </c>
      <c r="I691" s="2184"/>
      <c r="J691" s="2428">
        <v>0</v>
      </c>
      <c r="K691" s="2357"/>
    </row>
    <row r="692" spans="2:11" ht="15" hidden="1" x14ac:dyDescent="0.2">
      <c r="B692" s="2219" t="s">
        <v>97</v>
      </c>
      <c r="C692" s="2220">
        <v>56</v>
      </c>
      <c r="D692" s="2220">
        <v>8</v>
      </c>
      <c r="E692" s="2220">
        <v>1</v>
      </c>
      <c r="F692" s="2416">
        <v>2020659</v>
      </c>
      <c r="G692" s="2220"/>
      <c r="H692" s="2220">
        <v>340</v>
      </c>
      <c r="I692" s="1255"/>
      <c r="J692" s="2428"/>
      <c r="K692" s="2357"/>
    </row>
    <row r="693" spans="2:11" ht="15" hidden="1" x14ac:dyDescent="0.2">
      <c r="B693" s="2208" t="s">
        <v>767</v>
      </c>
      <c r="C693" s="2220">
        <v>56</v>
      </c>
      <c r="D693" s="2220">
        <v>8</v>
      </c>
      <c r="E693" s="2220">
        <v>1</v>
      </c>
      <c r="F693" s="2416">
        <v>2020659</v>
      </c>
      <c r="G693" s="2206">
        <v>612</v>
      </c>
      <c r="H693" s="2206">
        <v>241</v>
      </c>
      <c r="I693" s="1270">
        <v>3000</v>
      </c>
      <c r="J693" s="2438">
        <v>1500</v>
      </c>
      <c r="K693" s="2357"/>
    </row>
    <row r="694" spans="2:11" ht="27" hidden="1" x14ac:dyDescent="0.2">
      <c r="B694" s="1243" t="s">
        <v>1830</v>
      </c>
      <c r="C694" s="2220">
        <v>56</v>
      </c>
      <c r="D694" s="2220">
        <v>8</v>
      </c>
      <c r="E694" s="2220">
        <v>1</v>
      </c>
      <c r="F694" s="2416">
        <v>2020659</v>
      </c>
      <c r="G694" s="2206">
        <v>613</v>
      </c>
      <c r="H694" s="2206">
        <v>241</v>
      </c>
      <c r="I694" s="1252">
        <v>0</v>
      </c>
      <c r="J694" s="2425">
        <v>550</v>
      </c>
      <c r="K694" s="2357"/>
    </row>
    <row r="695" spans="2:11" ht="26" hidden="1" x14ac:dyDescent="0.2">
      <c r="B695" s="2458" t="s">
        <v>1168</v>
      </c>
      <c r="C695" s="2449">
        <v>56</v>
      </c>
      <c r="D695" s="2449">
        <v>8</v>
      </c>
      <c r="E695" s="2449">
        <v>1</v>
      </c>
      <c r="F695" s="2446">
        <v>2020659</v>
      </c>
      <c r="G695" s="2460">
        <v>600</v>
      </c>
      <c r="H695" s="2460"/>
      <c r="I695" s="2424">
        <v>3834.1</v>
      </c>
      <c r="J695" s="2480">
        <v>2602.3000000000002</v>
      </c>
      <c r="K695" s="2357"/>
    </row>
    <row r="696" spans="2:11" ht="39" hidden="1" x14ac:dyDescent="0.2">
      <c r="B696" s="2450" t="s">
        <v>1135</v>
      </c>
      <c r="C696" s="2449">
        <v>56</v>
      </c>
      <c r="D696" s="2449">
        <v>8</v>
      </c>
      <c r="E696" s="2449">
        <v>1</v>
      </c>
      <c r="F696" s="2446">
        <v>2020659</v>
      </c>
      <c r="G696" s="2451">
        <v>611</v>
      </c>
      <c r="H696" s="2451">
        <v>241</v>
      </c>
      <c r="I696" s="2412">
        <v>3834.1</v>
      </c>
      <c r="J696" s="2481">
        <v>2602.3000000000002</v>
      </c>
      <c r="K696" s="2357"/>
    </row>
    <row r="697" spans="2:11" ht="15" hidden="1" x14ac:dyDescent="0.2">
      <c r="B697" s="2448" t="s">
        <v>78</v>
      </c>
      <c r="C697" s="2449">
        <v>56</v>
      </c>
      <c r="D697" s="2449">
        <v>8</v>
      </c>
      <c r="E697" s="2449">
        <v>1</v>
      </c>
      <c r="F697" s="2446">
        <v>2020659</v>
      </c>
      <c r="G697" s="2449"/>
      <c r="H697" s="2449">
        <v>211</v>
      </c>
      <c r="I697" s="1254">
        <v>2845.8</v>
      </c>
      <c r="J697" s="2457">
        <v>1996.8</v>
      </c>
      <c r="K697" s="2357"/>
    </row>
    <row r="698" spans="2:11" ht="15" hidden="1" x14ac:dyDescent="0.2">
      <c r="B698" s="2448" t="s">
        <v>103</v>
      </c>
      <c r="C698" s="2449">
        <v>56</v>
      </c>
      <c r="D698" s="2449">
        <v>8</v>
      </c>
      <c r="E698" s="2449">
        <v>1</v>
      </c>
      <c r="F698" s="2446">
        <v>2020659</v>
      </c>
      <c r="G698" s="2449"/>
      <c r="H698" s="2449">
        <v>212</v>
      </c>
      <c r="I698" s="1255"/>
      <c r="J698" s="2482"/>
      <c r="K698" s="2357"/>
    </row>
    <row r="699" spans="2:11" ht="15" hidden="1" x14ac:dyDescent="0.2">
      <c r="B699" s="2448" t="s">
        <v>84</v>
      </c>
      <c r="C699" s="2449">
        <v>56</v>
      </c>
      <c r="D699" s="2449">
        <v>8</v>
      </c>
      <c r="E699" s="2449">
        <v>1</v>
      </c>
      <c r="F699" s="2446">
        <v>2020659</v>
      </c>
      <c r="G699" s="2449"/>
      <c r="H699" s="2449">
        <v>213</v>
      </c>
      <c r="I699" s="1255">
        <v>829.3</v>
      </c>
      <c r="J699" s="2482">
        <v>603.20000000000005</v>
      </c>
      <c r="K699" s="2357"/>
    </row>
    <row r="700" spans="2:11" ht="15" hidden="1" x14ac:dyDescent="0.2">
      <c r="B700" s="2448" t="s">
        <v>85</v>
      </c>
      <c r="C700" s="2449">
        <v>56</v>
      </c>
      <c r="D700" s="2449">
        <v>8</v>
      </c>
      <c r="E700" s="2449">
        <v>1</v>
      </c>
      <c r="F700" s="2446">
        <v>2020659</v>
      </c>
      <c r="G700" s="2449"/>
      <c r="H700" s="2449">
        <v>221</v>
      </c>
      <c r="I700" s="1255"/>
      <c r="J700" s="2482"/>
      <c r="K700" s="2357"/>
    </row>
    <row r="701" spans="2:11" ht="15" hidden="1" x14ac:dyDescent="0.2">
      <c r="B701" s="2448" t="s">
        <v>86</v>
      </c>
      <c r="C701" s="2449">
        <v>56</v>
      </c>
      <c r="D701" s="2449">
        <v>8</v>
      </c>
      <c r="E701" s="2449">
        <v>1</v>
      </c>
      <c r="F701" s="2446">
        <v>2020659</v>
      </c>
      <c r="G701" s="2449"/>
      <c r="H701" s="2449">
        <v>222</v>
      </c>
      <c r="I701" s="1255"/>
      <c r="J701" s="2482"/>
      <c r="K701" s="2357"/>
    </row>
    <row r="702" spans="2:11" ht="15" hidden="1" x14ac:dyDescent="0.2">
      <c r="B702" s="2448" t="s">
        <v>87</v>
      </c>
      <c r="C702" s="2449">
        <v>56</v>
      </c>
      <c r="D702" s="2449">
        <v>8</v>
      </c>
      <c r="E702" s="2449">
        <v>1</v>
      </c>
      <c r="F702" s="2446">
        <v>2020659</v>
      </c>
      <c r="G702" s="2449"/>
      <c r="H702" s="2449">
        <v>223</v>
      </c>
      <c r="I702" s="1255"/>
      <c r="J702" s="2482"/>
      <c r="K702" s="2357"/>
    </row>
    <row r="703" spans="2:11" ht="15" hidden="1" x14ac:dyDescent="0.2">
      <c r="B703" s="2448" t="s">
        <v>134</v>
      </c>
      <c r="C703" s="2449">
        <v>56</v>
      </c>
      <c r="D703" s="2449">
        <v>8</v>
      </c>
      <c r="E703" s="2449">
        <v>1</v>
      </c>
      <c r="F703" s="2446">
        <v>2020659</v>
      </c>
      <c r="G703" s="2449"/>
      <c r="H703" s="2449">
        <v>224</v>
      </c>
      <c r="I703" s="1255"/>
      <c r="J703" s="2482"/>
      <c r="K703" s="2357"/>
    </row>
    <row r="704" spans="2:11" ht="15" hidden="1" x14ac:dyDescent="0.2">
      <c r="B704" s="2448" t="s">
        <v>90</v>
      </c>
      <c r="C704" s="2449">
        <v>56</v>
      </c>
      <c r="D704" s="2449">
        <v>8</v>
      </c>
      <c r="E704" s="2449">
        <v>1</v>
      </c>
      <c r="F704" s="2446">
        <v>2020659</v>
      </c>
      <c r="G704" s="2449"/>
      <c r="H704" s="2449">
        <v>225</v>
      </c>
      <c r="I704" s="1255">
        <v>33.799999999999997</v>
      </c>
      <c r="J704" s="2482">
        <v>0</v>
      </c>
      <c r="K704" s="2357"/>
    </row>
    <row r="705" spans="2:11" ht="15" hidden="1" x14ac:dyDescent="0.2">
      <c r="B705" s="2448" t="s">
        <v>91</v>
      </c>
      <c r="C705" s="2449">
        <v>56</v>
      </c>
      <c r="D705" s="2449">
        <v>8</v>
      </c>
      <c r="E705" s="2449">
        <v>1</v>
      </c>
      <c r="F705" s="2446">
        <v>2020659</v>
      </c>
      <c r="G705" s="2449"/>
      <c r="H705" s="2449">
        <v>226</v>
      </c>
      <c r="I705" s="1255">
        <v>30</v>
      </c>
      <c r="J705" s="2482">
        <v>0</v>
      </c>
      <c r="K705" s="2357"/>
    </row>
    <row r="706" spans="2:11" ht="15" hidden="1" x14ac:dyDescent="0.2">
      <c r="B706" s="2448" t="s">
        <v>94</v>
      </c>
      <c r="C706" s="2449">
        <v>56</v>
      </c>
      <c r="D706" s="2449">
        <v>8</v>
      </c>
      <c r="E706" s="2449">
        <v>1</v>
      </c>
      <c r="F706" s="2446">
        <v>2020659</v>
      </c>
      <c r="G706" s="2449"/>
      <c r="H706" s="2449">
        <v>290</v>
      </c>
      <c r="I706" s="1255">
        <v>9</v>
      </c>
      <c r="J706" s="2482">
        <v>2.2999999999999998</v>
      </c>
      <c r="K706" s="2357"/>
    </row>
    <row r="707" spans="2:11" ht="15" hidden="1" x14ac:dyDescent="0.2">
      <c r="B707" s="2448" t="s">
        <v>94</v>
      </c>
      <c r="C707" s="2449">
        <v>56</v>
      </c>
      <c r="D707" s="2449">
        <v>8</v>
      </c>
      <c r="E707" s="2449">
        <v>1</v>
      </c>
      <c r="F707" s="2446">
        <v>2020659</v>
      </c>
      <c r="G707" s="2449"/>
      <c r="H707" s="2449">
        <v>290</v>
      </c>
      <c r="I707" s="1255"/>
      <c r="J707" s="2482"/>
      <c r="K707" s="2357"/>
    </row>
    <row r="708" spans="2:11" ht="15" hidden="1" x14ac:dyDescent="0.2">
      <c r="B708" s="2448" t="s">
        <v>96</v>
      </c>
      <c r="C708" s="2449">
        <v>56</v>
      </c>
      <c r="D708" s="2449">
        <v>8</v>
      </c>
      <c r="E708" s="2449">
        <v>1</v>
      </c>
      <c r="F708" s="2446">
        <v>2020659</v>
      </c>
      <c r="G708" s="2449"/>
      <c r="H708" s="2449">
        <v>310</v>
      </c>
      <c r="I708" s="1255">
        <v>56.2</v>
      </c>
      <c r="J708" s="2482">
        <v>0</v>
      </c>
      <c r="K708" s="2357"/>
    </row>
    <row r="709" spans="2:11" ht="15" hidden="1" x14ac:dyDescent="0.2">
      <c r="B709" s="2448" t="s">
        <v>97</v>
      </c>
      <c r="C709" s="2449">
        <v>56</v>
      </c>
      <c r="D709" s="2449">
        <v>8</v>
      </c>
      <c r="E709" s="2449">
        <v>1</v>
      </c>
      <c r="F709" s="2446">
        <v>2020659</v>
      </c>
      <c r="G709" s="2449"/>
      <c r="H709" s="2449">
        <v>340</v>
      </c>
      <c r="I709" s="1255">
        <v>30</v>
      </c>
      <c r="J709" s="2482">
        <v>0</v>
      </c>
      <c r="K709" s="2357"/>
    </row>
    <row r="710" spans="2:11" ht="15" hidden="1" x14ac:dyDescent="0.2">
      <c r="B710" s="2450" t="s">
        <v>767</v>
      </c>
      <c r="C710" s="2449">
        <v>56</v>
      </c>
      <c r="D710" s="2449">
        <v>8</v>
      </c>
      <c r="E710" s="2449">
        <v>1</v>
      </c>
      <c r="F710" s="2446">
        <v>2020659</v>
      </c>
      <c r="G710" s="2451">
        <v>612</v>
      </c>
      <c r="H710" s="2451">
        <v>241</v>
      </c>
      <c r="I710" s="1252">
        <v>0</v>
      </c>
      <c r="J710" s="2483">
        <v>0</v>
      </c>
      <c r="K710" s="2357"/>
    </row>
    <row r="711" spans="2:11" ht="26" hidden="1" x14ac:dyDescent="0.2">
      <c r="B711" s="2422" t="s">
        <v>1169</v>
      </c>
      <c r="C711" s="2220">
        <v>56</v>
      </c>
      <c r="D711" s="2220">
        <v>8</v>
      </c>
      <c r="E711" s="2220">
        <v>1</v>
      </c>
      <c r="F711" s="2416">
        <v>2020659</v>
      </c>
      <c r="G711" s="2420">
        <v>600</v>
      </c>
      <c r="H711" s="2420"/>
      <c r="I711" s="2424">
        <v>23404.2</v>
      </c>
      <c r="J711" s="2424">
        <v>28882.7</v>
      </c>
      <c r="K711" s="2357"/>
    </row>
    <row r="712" spans="2:11" ht="39" hidden="1" x14ac:dyDescent="0.2">
      <c r="B712" s="2208" t="s">
        <v>1135</v>
      </c>
      <c r="C712" s="2220">
        <v>56</v>
      </c>
      <c r="D712" s="2220">
        <v>8</v>
      </c>
      <c r="E712" s="2220">
        <v>1</v>
      </c>
      <c r="F712" s="2416">
        <v>2020659</v>
      </c>
      <c r="G712" s="2206">
        <v>611</v>
      </c>
      <c r="H712" s="2206">
        <v>241</v>
      </c>
      <c r="I712" s="2412">
        <v>23404.2</v>
      </c>
      <c r="J712" s="2412">
        <v>28882.7</v>
      </c>
      <c r="K712" s="2357"/>
    </row>
    <row r="713" spans="2:11" ht="15" hidden="1" x14ac:dyDescent="0.2">
      <c r="B713" s="2219" t="s">
        <v>78</v>
      </c>
      <c r="C713" s="2220">
        <v>56</v>
      </c>
      <c r="D713" s="2220">
        <v>8</v>
      </c>
      <c r="E713" s="2220">
        <v>1</v>
      </c>
      <c r="F713" s="2416">
        <v>2020659</v>
      </c>
      <c r="G713" s="2220"/>
      <c r="H713" s="2220">
        <v>211</v>
      </c>
      <c r="I713" s="1254">
        <v>15204.1</v>
      </c>
      <c r="J713" s="2427">
        <v>14719.8</v>
      </c>
      <c r="K713" s="2357"/>
    </row>
    <row r="714" spans="2:11" ht="15" hidden="1" x14ac:dyDescent="0.2">
      <c r="B714" s="2219" t="s">
        <v>103</v>
      </c>
      <c r="C714" s="2220">
        <v>56</v>
      </c>
      <c r="D714" s="2220">
        <v>8</v>
      </c>
      <c r="E714" s="2220">
        <v>1</v>
      </c>
      <c r="F714" s="2416">
        <v>2020659</v>
      </c>
      <c r="G714" s="2220"/>
      <c r="H714" s="2220">
        <v>212</v>
      </c>
      <c r="I714" s="1255"/>
      <c r="J714" s="2428"/>
      <c r="K714" s="2357"/>
    </row>
    <row r="715" spans="2:11" ht="15" hidden="1" x14ac:dyDescent="0.2">
      <c r="B715" s="2219" t="s">
        <v>84</v>
      </c>
      <c r="C715" s="2220">
        <v>56</v>
      </c>
      <c r="D715" s="2220">
        <v>8</v>
      </c>
      <c r="E715" s="2220">
        <v>1</v>
      </c>
      <c r="F715" s="2416">
        <v>2020659</v>
      </c>
      <c r="G715" s="2220"/>
      <c r="H715" s="2220">
        <v>213</v>
      </c>
      <c r="I715" s="1254">
        <v>4372.2</v>
      </c>
      <c r="J715" s="2427">
        <v>4265</v>
      </c>
      <c r="K715" s="2357"/>
    </row>
    <row r="716" spans="2:11" ht="15" hidden="1" x14ac:dyDescent="0.2">
      <c r="B716" s="2219" t="s">
        <v>85</v>
      </c>
      <c r="C716" s="2220">
        <v>56</v>
      </c>
      <c r="D716" s="2220">
        <v>8</v>
      </c>
      <c r="E716" s="2220">
        <v>1</v>
      </c>
      <c r="F716" s="2416">
        <v>2020659</v>
      </c>
      <c r="G716" s="2220"/>
      <c r="H716" s="2220">
        <v>221</v>
      </c>
      <c r="I716" s="1255"/>
      <c r="J716" s="2428"/>
      <c r="K716" s="2357"/>
    </row>
    <row r="717" spans="2:11" ht="15" hidden="1" x14ac:dyDescent="0.2">
      <c r="B717" s="2219" t="s">
        <v>86</v>
      </c>
      <c r="C717" s="2220">
        <v>56</v>
      </c>
      <c r="D717" s="2220">
        <v>8</v>
      </c>
      <c r="E717" s="2220">
        <v>1</v>
      </c>
      <c r="F717" s="2416">
        <v>2020659</v>
      </c>
      <c r="G717" s="2220"/>
      <c r="H717" s="2220">
        <v>222</v>
      </c>
      <c r="I717" s="1255"/>
      <c r="J717" s="2428"/>
      <c r="K717" s="2357"/>
    </row>
    <row r="718" spans="2:11" ht="15" hidden="1" x14ac:dyDescent="0.2">
      <c r="B718" s="2219" t="s">
        <v>87</v>
      </c>
      <c r="C718" s="2220">
        <v>56</v>
      </c>
      <c r="D718" s="2220">
        <v>8</v>
      </c>
      <c r="E718" s="2220">
        <v>1</v>
      </c>
      <c r="F718" s="2416">
        <v>2020659</v>
      </c>
      <c r="G718" s="2220"/>
      <c r="H718" s="2220">
        <v>223</v>
      </c>
      <c r="I718" s="1255"/>
      <c r="J718" s="2428"/>
      <c r="K718" s="2357"/>
    </row>
    <row r="719" spans="2:11" ht="15" hidden="1" x14ac:dyDescent="0.2">
      <c r="B719" s="2219" t="s">
        <v>134</v>
      </c>
      <c r="C719" s="2220">
        <v>56</v>
      </c>
      <c r="D719" s="2220">
        <v>8</v>
      </c>
      <c r="E719" s="2220">
        <v>1</v>
      </c>
      <c r="F719" s="2416">
        <v>2020659</v>
      </c>
      <c r="G719" s="2220"/>
      <c r="H719" s="2220">
        <v>224</v>
      </c>
      <c r="I719" s="1255"/>
      <c r="J719" s="2428"/>
      <c r="K719" s="2357"/>
    </row>
    <row r="720" spans="2:11" ht="15" hidden="1" x14ac:dyDescent="0.2">
      <c r="B720" s="2219" t="s">
        <v>90</v>
      </c>
      <c r="C720" s="2220">
        <v>56</v>
      </c>
      <c r="D720" s="2220">
        <v>8</v>
      </c>
      <c r="E720" s="2220">
        <v>1</v>
      </c>
      <c r="F720" s="2416">
        <v>2020659</v>
      </c>
      <c r="G720" s="2220"/>
      <c r="H720" s="2220">
        <v>225</v>
      </c>
      <c r="I720" s="1255"/>
      <c r="J720" s="2428"/>
      <c r="K720" s="2357"/>
    </row>
    <row r="721" spans="2:11" ht="15" hidden="1" x14ac:dyDescent="0.2">
      <c r="B721" s="2219" t="s">
        <v>91</v>
      </c>
      <c r="C721" s="2220">
        <v>56</v>
      </c>
      <c r="D721" s="2220">
        <v>8</v>
      </c>
      <c r="E721" s="2220">
        <v>1</v>
      </c>
      <c r="F721" s="2416">
        <v>2020659</v>
      </c>
      <c r="G721" s="2220"/>
      <c r="H721" s="2220">
        <v>226</v>
      </c>
      <c r="I721" s="1254">
        <v>3300</v>
      </c>
      <c r="J721" s="2427">
        <v>9370</v>
      </c>
      <c r="K721" s="2357"/>
    </row>
    <row r="722" spans="2:11" ht="15" hidden="1" x14ac:dyDescent="0.2">
      <c r="B722" s="2219" t="s">
        <v>94</v>
      </c>
      <c r="C722" s="2220">
        <v>56</v>
      </c>
      <c r="D722" s="2220">
        <v>8</v>
      </c>
      <c r="E722" s="2220">
        <v>1</v>
      </c>
      <c r="F722" s="2416">
        <v>2020659</v>
      </c>
      <c r="G722" s="2220"/>
      <c r="H722" s="2220">
        <v>290</v>
      </c>
      <c r="I722" s="1255">
        <v>27.9</v>
      </c>
      <c r="J722" s="2428">
        <v>27.9</v>
      </c>
      <c r="K722" s="2357"/>
    </row>
    <row r="723" spans="2:11" ht="15" hidden="1" x14ac:dyDescent="0.2">
      <c r="B723" s="2219" t="s">
        <v>94</v>
      </c>
      <c r="C723" s="2220">
        <v>56</v>
      </c>
      <c r="D723" s="2220">
        <v>8</v>
      </c>
      <c r="E723" s="2220">
        <v>1</v>
      </c>
      <c r="F723" s="2416">
        <v>2020659</v>
      </c>
      <c r="G723" s="2220"/>
      <c r="H723" s="2220">
        <v>290</v>
      </c>
      <c r="I723" s="1255"/>
      <c r="J723" s="2428"/>
      <c r="K723" s="2357"/>
    </row>
    <row r="724" spans="2:11" ht="15" hidden="1" x14ac:dyDescent="0.2">
      <c r="B724" s="2219" t="s">
        <v>96</v>
      </c>
      <c r="C724" s="2220">
        <v>56</v>
      </c>
      <c r="D724" s="2220">
        <v>8</v>
      </c>
      <c r="E724" s="2220">
        <v>1</v>
      </c>
      <c r="F724" s="2416">
        <v>2020659</v>
      </c>
      <c r="G724" s="2220"/>
      <c r="H724" s="2220">
        <v>310</v>
      </c>
      <c r="I724" s="1255">
        <v>500</v>
      </c>
      <c r="J724" s="2428">
        <v>500</v>
      </c>
      <c r="K724" s="2357"/>
    </row>
    <row r="725" spans="2:11" ht="15" hidden="1" x14ac:dyDescent="0.2">
      <c r="B725" s="2219" t="s">
        <v>97</v>
      </c>
      <c r="C725" s="2220">
        <v>56</v>
      </c>
      <c r="D725" s="2220">
        <v>8</v>
      </c>
      <c r="E725" s="2220">
        <v>1</v>
      </c>
      <c r="F725" s="2416">
        <v>2020659</v>
      </c>
      <c r="G725" s="2220"/>
      <c r="H725" s="2220">
        <v>340</v>
      </c>
      <c r="I725" s="1255"/>
      <c r="J725" s="2428"/>
      <c r="K725" s="2357"/>
    </row>
    <row r="726" spans="2:11" ht="15" hidden="1" x14ac:dyDescent="0.2">
      <c r="B726" s="2208" t="s">
        <v>767</v>
      </c>
      <c r="C726" s="2220">
        <v>56</v>
      </c>
      <c r="D726" s="2220">
        <v>8</v>
      </c>
      <c r="E726" s="2220">
        <v>1</v>
      </c>
      <c r="F726" s="2416">
        <v>2020659</v>
      </c>
      <c r="G726" s="2206">
        <v>612</v>
      </c>
      <c r="H726" s="2206">
        <v>241</v>
      </c>
      <c r="I726" s="1252">
        <v>0</v>
      </c>
      <c r="J726" s="2425">
        <v>0</v>
      </c>
      <c r="K726" s="2357"/>
    </row>
    <row r="727" spans="2:11" ht="26" hidden="1" x14ac:dyDescent="0.2">
      <c r="B727" s="2422" t="s">
        <v>1170</v>
      </c>
      <c r="C727" s="2220">
        <v>56</v>
      </c>
      <c r="D727" s="2220">
        <v>8</v>
      </c>
      <c r="E727" s="2220">
        <v>1</v>
      </c>
      <c r="F727" s="2416">
        <v>2020659</v>
      </c>
      <c r="G727" s="2420">
        <v>600</v>
      </c>
      <c r="H727" s="2420"/>
      <c r="I727" s="2424">
        <v>22213.7</v>
      </c>
      <c r="J727" s="2207">
        <v>22565.3</v>
      </c>
      <c r="K727" s="2357"/>
    </row>
    <row r="728" spans="2:11" ht="39" hidden="1" x14ac:dyDescent="0.2">
      <c r="B728" s="2208" t="s">
        <v>1135</v>
      </c>
      <c r="C728" s="2220">
        <v>56</v>
      </c>
      <c r="D728" s="2220">
        <v>8</v>
      </c>
      <c r="E728" s="2220">
        <v>1</v>
      </c>
      <c r="F728" s="2416">
        <v>2020659</v>
      </c>
      <c r="G728" s="2206">
        <v>611</v>
      </c>
      <c r="H728" s="2206">
        <v>241</v>
      </c>
      <c r="I728" s="2412">
        <v>22213.7</v>
      </c>
      <c r="J728" s="2484">
        <v>22565.3</v>
      </c>
      <c r="K728" s="2357"/>
    </row>
    <row r="729" spans="2:11" ht="15" hidden="1" x14ac:dyDescent="0.2">
      <c r="B729" s="2219" t="s">
        <v>78</v>
      </c>
      <c r="C729" s="2220">
        <v>56</v>
      </c>
      <c r="D729" s="2220">
        <v>8</v>
      </c>
      <c r="E729" s="2220">
        <v>1</v>
      </c>
      <c r="F729" s="2416">
        <v>2020659</v>
      </c>
      <c r="G729" s="2220"/>
      <c r="H729" s="2220">
        <v>211</v>
      </c>
      <c r="I729" s="1254">
        <v>16548.099999999999</v>
      </c>
      <c r="J729" s="2253">
        <v>16548.099999999999</v>
      </c>
      <c r="K729" s="2357"/>
    </row>
    <row r="730" spans="2:11" ht="15" hidden="1" x14ac:dyDescent="0.2">
      <c r="B730" s="2219" t="s">
        <v>103</v>
      </c>
      <c r="C730" s="2220">
        <v>56</v>
      </c>
      <c r="D730" s="2220">
        <v>8</v>
      </c>
      <c r="E730" s="2220">
        <v>1</v>
      </c>
      <c r="F730" s="2416">
        <v>2020659</v>
      </c>
      <c r="G730" s="2220"/>
      <c r="H730" s="2220">
        <v>212</v>
      </c>
      <c r="I730" s="1255"/>
      <c r="J730" s="2429">
        <v>0</v>
      </c>
      <c r="K730" s="2357"/>
    </row>
    <row r="731" spans="2:11" ht="15" hidden="1" x14ac:dyDescent="0.2">
      <c r="B731" s="2219" t="s">
        <v>84</v>
      </c>
      <c r="C731" s="2220">
        <v>56</v>
      </c>
      <c r="D731" s="2220">
        <v>8</v>
      </c>
      <c r="E731" s="2220">
        <v>1</v>
      </c>
      <c r="F731" s="2416">
        <v>2020659</v>
      </c>
      <c r="G731" s="2220"/>
      <c r="H731" s="2220">
        <v>213</v>
      </c>
      <c r="I731" s="1254">
        <v>4778.8</v>
      </c>
      <c r="J731" s="2253">
        <v>4778.8</v>
      </c>
      <c r="K731" s="2357"/>
    </row>
    <row r="732" spans="2:11" ht="15" hidden="1" x14ac:dyDescent="0.2">
      <c r="B732" s="2219" t="s">
        <v>85</v>
      </c>
      <c r="C732" s="2220">
        <v>56</v>
      </c>
      <c r="D732" s="2220">
        <v>8</v>
      </c>
      <c r="E732" s="2220">
        <v>1</v>
      </c>
      <c r="F732" s="2416">
        <v>2020659</v>
      </c>
      <c r="G732" s="2220"/>
      <c r="H732" s="2220">
        <v>221</v>
      </c>
      <c r="I732" s="1255"/>
      <c r="J732" s="2429"/>
      <c r="K732" s="2357"/>
    </row>
    <row r="733" spans="2:11" ht="15" hidden="1" x14ac:dyDescent="0.2">
      <c r="B733" s="2219" t="s">
        <v>86</v>
      </c>
      <c r="C733" s="2220">
        <v>56</v>
      </c>
      <c r="D733" s="2220">
        <v>8</v>
      </c>
      <c r="E733" s="2220">
        <v>1</v>
      </c>
      <c r="F733" s="2416">
        <v>2020659</v>
      </c>
      <c r="G733" s="2220"/>
      <c r="H733" s="2220">
        <v>222</v>
      </c>
      <c r="I733" s="1255"/>
      <c r="J733" s="2429"/>
      <c r="K733" s="2357"/>
    </row>
    <row r="734" spans="2:11" ht="15" hidden="1" x14ac:dyDescent="0.2">
      <c r="B734" s="2219" t="s">
        <v>87</v>
      </c>
      <c r="C734" s="2220">
        <v>56</v>
      </c>
      <c r="D734" s="2220">
        <v>8</v>
      </c>
      <c r="E734" s="2220">
        <v>1</v>
      </c>
      <c r="F734" s="2416">
        <v>2020659</v>
      </c>
      <c r="G734" s="2220"/>
      <c r="H734" s="2220">
        <v>223</v>
      </c>
      <c r="I734" s="1255">
        <v>144</v>
      </c>
      <c r="J734" s="2429">
        <v>129.6</v>
      </c>
      <c r="K734" s="2357"/>
    </row>
    <row r="735" spans="2:11" ht="15" hidden="1" x14ac:dyDescent="0.2">
      <c r="B735" s="2219" t="s">
        <v>134</v>
      </c>
      <c r="C735" s="2220">
        <v>56</v>
      </c>
      <c r="D735" s="2220">
        <v>8</v>
      </c>
      <c r="E735" s="2220">
        <v>1</v>
      </c>
      <c r="F735" s="2416">
        <v>2020659</v>
      </c>
      <c r="G735" s="2220"/>
      <c r="H735" s="2220">
        <v>224</v>
      </c>
      <c r="I735" s="1255">
        <v>214</v>
      </c>
      <c r="J735" s="2429">
        <v>192.6</v>
      </c>
      <c r="K735" s="2357"/>
    </row>
    <row r="736" spans="2:11" ht="15" hidden="1" x14ac:dyDescent="0.2">
      <c r="B736" s="2219" t="s">
        <v>90</v>
      </c>
      <c r="C736" s="2220">
        <v>56</v>
      </c>
      <c r="D736" s="2220">
        <v>8</v>
      </c>
      <c r="E736" s="2220">
        <v>1</v>
      </c>
      <c r="F736" s="2416">
        <v>2020659</v>
      </c>
      <c r="G736" s="2220"/>
      <c r="H736" s="2220">
        <v>225</v>
      </c>
      <c r="I736" s="1255"/>
      <c r="J736" s="2429"/>
      <c r="K736" s="2357"/>
    </row>
    <row r="737" spans="2:11" ht="15" hidden="1" x14ac:dyDescent="0.2">
      <c r="B737" s="2219" t="s">
        <v>91</v>
      </c>
      <c r="C737" s="2220">
        <v>56</v>
      </c>
      <c r="D737" s="2220">
        <v>8</v>
      </c>
      <c r="E737" s="2220">
        <v>1</v>
      </c>
      <c r="F737" s="2416">
        <v>2020659</v>
      </c>
      <c r="G737" s="2220"/>
      <c r="H737" s="2220">
        <v>226</v>
      </c>
      <c r="I737" s="1255">
        <v>100.5</v>
      </c>
      <c r="J737" s="2429">
        <v>100.5</v>
      </c>
      <c r="K737" s="2357"/>
    </row>
    <row r="738" spans="2:11" ht="15" hidden="1" x14ac:dyDescent="0.2">
      <c r="B738" s="2219" t="s">
        <v>94</v>
      </c>
      <c r="C738" s="2220">
        <v>56</v>
      </c>
      <c r="D738" s="2220">
        <v>8</v>
      </c>
      <c r="E738" s="2220">
        <v>1</v>
      </c>
      <c r="F738" s="2416">
        <v>2020659</v>
      </c>
      <c r="G738" s="2220"/>
      <c r="H738" s="2220">
        <v>290</v>
      </c>
      <c r="I738" s="1255">
        <v>28.8</v>
      </c>
      <c r="J738" s="2429">
        <v>28.8</v>
      </c>
      <c r="K738" s="2357"/>
    </row>
    <row r="739" spans="2:11" ht="15" hidden="1" x14ac:dyDescent="0.2">
      <c r="B739" s="2219" t="s">
        <v>94</v>
      </c>
      <c r="C739" s="2220">
        <v>56</v>
      </c>
      <c r="D739" s="2220">
        <v>8</v>
      </c>
      <c r="E739" s="2220">
        <v>1</v>
      </c>
      <c r="F739" s="2416">
        <v>2020659</v>
      </c>
      <c r="G739" s="2220"/>
      <c r="H739" s="2220">
        <v>290</v>
      </c>
      <c r="I739" s="1255"/>
      <c r="J739" s="2429"/>
      <c r="K739" s="2357"/>
    </row>
    <row r="740" spans="2:11" ht="15" hidden="1" x14ac:dyDescent="0.2">
      <c r="B740" s="2219" t="s">
        <v>96</v>
      </c>
      <c r="C740" s="2220">
        <v>56</v>
      </c>
      <c r="D740" s="2220">
        <v>8</v>
      </c>
      <c r="E740" s="2220">
        <v>1</v>
      </c>
      <c r="F740" s="2416">
        <v>2020659</v>
      </c>
      <c r="G740" s="2220"/>
      <c r="H740" s="2220">
        <v>310</v>
      </c>
      <c r="I740" s="1255">
        <v>160</v>
      </c>
      <c r="J740" s="2429">
        <v>547.4</v>
      </c>
      <c r="K740" s="2357"/>
    </row>
    <row r="741" spans="2:11" ht="15" hidden="1" x14ac:dyDescent="0.2">
      <c r="B741" s="2219" t="s">
        <v>97</v>
      </c>
      <c r="C741" s="2220">
        <v>56</v>
      </c>
      <c r="D741" s="2220">
        <v>8</v>
      </c>
      <c r="E741" s="2220">
        <v>1</v>
      </c>
      <c r="F741" s="2416">
        <v>2020659</v>
      </c>
      <c r="G741" s="2220"/>
      <c r="H741" s="2220">
        <v>340</v>
      </c>
      <c r="I741" s="1255">
        <v>239.5</v>
      </c>
      <c r="J741" s="2429">
        <v>239.5</v>
      </c>
      <c r="K741" s="2357"/>
    </row>
    <row r="742" spans="2:11" ht="15" hidden="1" x14ac:dyDescent="0.2">
      <c r="B742" s="2208" t="s">
        <v>767</v>
      </c>
      <c r="C742" s="2220">
        <v>56</v>
      </c>
      <c r="D742" s="2220">
        <v>8</v>
      </c>
      <c r="E742" s="2220">
        <v>1</v>
      </c>
      <c r="F742" s="2416">
        <v>2020659</v>
      </c>
      <c r="G742" s="2206">
        <v>612</v>
      </c>
      <c r="H742" s="2206">
        <v>241</v>
      </c>
      <c r="I742" s="1252">
        <v>0</v>
      </c>
      <c r="J742" s="2485">
        <v>0</v>
      </c>
      <c r="K742" s="2357"/>
    </row>
    <row r="743" spans="2:11" ht="26" hidden="1" x14ac:dyDescent="0.2">
      <c r="B743" s="2422" t="s">
        <v>1171</v>
      </c>
      <c r="C743" s="2220">
        <v>56</v>
      </c>
      <c r="D743" s="2220">
        <v>8</v>
      </c>
      <c r="E743" s="2220">
        <v>1</v>
      </c>
      <c r="F743" s="2416">
        <v>2020659</v>
      </c>
      <c r="G743" s="2420">
        <v>600</v>
      </c>
      <c r="H743" s="2420"/>
      <c r="I743" s="2424">
        <v>7739.9</v>
      </c>
      <c r="J743" s="2424">
        <v>6391.2</v>
      </c>
      <c r="K743" s="2357"/>
    </row>
    <row r="744" spans="2:11" ht="39" hidden="1" x14ac:dyDescent="0.2">
      <c r="B744" s="2208" t="s">
        <v>1135</v>
      </c>
      <c r="C744" s="2220">
        <v>56</v>
      </c>
      <c r="D744" s="2220">
        <v>8</v>
      </c>
      <c r="E744" s="2220">
        <v>1</v>
      </c>
      <c r="F744" s="2416">
        <v>2020659</v>
      </c>
      <c r="G744" s="2206">
        <v>611</v>
      </c>
      <c r="H744" s="2206">
        <v>241</v>
      </c>
      <c r="I744" s="2412">
        <v>7739.9</v>
      </c>
      <c r="J744" s="2412">
        <v>6391.2</v>
      </c>
      <c r="K744" s="2357"/>
    </row>
    <row r="745" spans="2:11" ht="15" hidden="1" x14ac:dyDescent="0.2">
      <c r="B745" s="2219" t="s">
        <v>78</v>
      </c>
      <c r="C745" s="2220">
        <v>56</v>
      </c>
      <c r="D745" s="2220">
        <v>8</v>
      </c>
      <c r="E745" s="2220">
        <v>1</v>
      </c>
      <c r="F745" s="2416">
        <v>2020659</v>
      </c>
      <c r="G745" s="2220"/>
      <c r="H745" s="2220">
        <v>211</v>
      </c>
      <c r="I745" s="2210">
        <v>5766.3</v>
      </c>
      <c r="J745" s="2427">
        <v>4817.6000000000004</v>
      </c>
      <c r="K745" s="2357"/>
    </row>
    <row r="746" spans="2:11" ht="15" hidden="1" x14ac:dyDescent="0.2">
      <c r="B746" s="2219" t="s">
        <v>103</v>
      </c>
      <c r="C746" s="2220">
        <v>56</v>
      </c>
      <c r="D746" s="2220">
        <v>8</v>
      </c>
      <c r="E746" s="2220">
        <v>1</v>
      </c>
      <c r="F746" s="2416">
        <v>2020659</v>
      </c>
      <c r="G746" s="2220"/>
      <c r="H746" s="2220">
        <v>212</v>
      </c>
      <c r="I746" s="2211"/>
      <c r="J746" s="2428"/>
      <c r="K746" s="2357"/>
    </row>
    <row r="747" spans="2:11" ht="15" hidden="1" x14ac:dyDescent="0.2">
      <c r="B747" s="2219" t="s">
        <v>84</v>
      </c>
      <c r="C747" s="2220">
        <v>56</v>
      </c>
      <c r="D747" s="2220">
        <v>8</v>
      </c>
      <c r="E747" s="2220">
        <v>1</v>
      </c>
      <c r="F747" s="2416">
        <v>2020659</v>
      </c>
      <c r="G747" s="2220"/>
      <c r="H747" s="2220">
        <v>213</v>
      </c>
      <c r="I747" s="2210">
        <v>1680.3</v>
      </c>
      <c r="J747" s="2427">
        <v>1393.8</v>
      </c>
      <c r="K747" s="2357"/>
    </row>
    <row r="748" spans="2:11" ht="15" hidden="1" x14ac:dyDescent="0.2">
      <c r="B748" s="2219" t="s">
        <v>85</v>
      </c>
      <c r="C748" s="2220">
        <v>56</v>
      </c>
      <c r="D748" s="2220">
        <v>8</v>
      </c>
      <c r="E748" s="2220">
        <v>1</v>
      </c>
      <c r="F748" s="2416">
        <v>2020659</v>
      </c>
      <c r="G748" s="2220"/>
      <c r="H748" s="2220">
        <v>221</v>
      </c>
      <c r="I748" s="2211"/>
      <c r="J748" s="2428"/>
      <c r="K748" s="2357"/>
    </row>
    <row r="749" spans="2:11" ht="15" hidden="1" x14ac:dyDescent="0.2">
      <c r="B749" s="2219" t="s">
        <v>86</v>
      </c>
      <c r="C749" s="2220">
        <v>56</v>
      </c>
      <c r="D749" s="2220">
        <v>8</v>
      </c>
      <c r="E749" s="2220">
        <v>1</v>
      </c>
      <c r="F749" s="2416">
        <v>2020659</v>
      </c>
      <c r="G749" s="2220"/>
      <c r="H749" s="2220">
        <v>222</v>
      </c>
      <c r="I749" s="2211"/>
      <c r="J749" s="2428"/>
      <c r="K749" s="2357"/>
    </row>
    <row r="750" spans="2:11" ht="15" hidden="1" x14ac:dyDescent="0.2">
      <c r="B750" s="2219" t="s">
        <v>87</v>
      </c>
      <c r="C750" s="2220">
        <v>56</v>
      </c>
      <c r="D750" s="2220">
        <v>8</v>
      </c>
      <c r="E750" s="2220">
        <v>1</v>
      </c>
      <c r="F750" s="2416">
        <v>2020659</v>
      </c>
      <c r="G750" s="2220"/>
      <c r="H750" s="2220">
        <v>223</v>
      </c>
      <c r="I750" s="2211">
        <v>77.5</v>
      </c>
      <c r="J750" s="2428">
        <v>64</v>
      </c>
      <c r="K750" s="2357"/>
    </row>
    <row r="751" spans="2:11" ht="15" hidden="1" x14ac:dyDescent="0.2">
      <c r="B751" s="2219" t="s">
        <v>134</v>
      </c>
      <c r="C751" s="2220">
        <v>56</v>
      </c>
      <c r="D751" s="2220">
        <v>8</v>
      </c>
      <c r="E751" s="2220">
        <v>1</v>
      </c>
      <c r="F751" s="2416">
        <v>2020659</v>
      </c>
      <c r="G751" s="2220"/>
      <c r="H751" s="2220">
        <v>224</v>
      </c>
      <c r="I751" s="2211"/>
      <c r="J751" s="2428"/>
      <c r="K751" s="2357"/>
    </row>
    <row r="752" spans="2:11" ht="15" hidden="1" x14ac:dyDescent="0.2">
      <c r="B752" s="2219" t="s">
        <v>90</v>
      </c>
      <c r="C752" s="2220">
        <v>56</v>
      </c>
      <c r="D752" s="2220">
        <v>8</v>
      </c>
      <c r="E752" s="2220">
        <v>1</v>
      </c>
      <c r="F752" s="2416">
        <v>2020659</v>
      </c>
      <c r="G752" s="2220"/>
      <c r="H752" s="2220">
        <v>225</v>
      </c>
      <c r="I752" s="2211"/>
      <c r="J752" s="2428"/>
      <c r="K752" s="2357"/>
    </row>
    <row r="753" spans="2:11" ht="15" hidden="1" x14ac:dyDescent="0.2">
      <c r="B753" s="2219" t="s">
        <v>91</v>
      </c>
      <c r="C753" s="2220">
        <v>56</v>
      </c>
      <c r="D753" s="2220">
        <v>8</v>
      </c>
      <c r="E753" s="2220">
        <v>1</v>
      </c>
      <c r="F753" s="2416">
        <v>2020659</v>
      </c>
      <c r="G753" s="2220"/>
      <c r="H753" s="2220">
        <v>226</v>
      </c>
      <c r="I753" s="2211"/>
      <c r="J753" s="2428"/>
      <c r="K753" s="2357"/>
    </row>
    <row r="754" spans="2:11" ht="15" hidden="1" x14ac:dyDescent="0.2">
      <c r="B754" s="2219" t="s">
        <v>94</v>
      </c>
      <c r="C754" s="2220">
        <v>56</v>
      </c>
      <c r="D754" s="2220">
        <v>8</v>
      </c>
      <c r="E754" s="2220">
        <v>1</v>
      </c>
      <c r="F754" s="2416">
        <v>2020659</v>
      </c>
      <c r="G754" s="2220"/>
      <c r="H754" s="2220">
        <v>290</v>
      </c>
      <c r="I754" s="2211">
        <v>15.8</v>
      </c>
      <c r="J754" s="2428">
        <v>15.8</v>
      </c>
      <c r="K754" s="2357"/>
    </row>
    <row r="755" spans="2:11" ht="15" hidden="1" x14ac:dyDescent="0.2">
      <c r="B755" s="2219" t="s">
        <v>94</v>
      </c>
      <c r="C755" s="2220">
        <v>56</v>
      </c>
      <c r="D755" s="2220">
        <v>8</v>
      </c>
      <c r="E755" s="2220">
        <v>1</v>
      </c>
      <c r="F755" s="2416">
        <v>2020659</v>
      </c>
      <c r="G755" s="2220"/>
      <c r="H755" s="2220">
        <v>290</v>
      </c>
      <c r="I755" s="2211"/>
      <c r="J755" s="2428"/>
      <c r="K755" s="2357"/>
    </row>
    <row r="756" spans="2:11" ht="15" hidden="1" x14ac:dyDescent="0.2">
      <c r="B756" s="2219" t="s">
        <v>96</v>
      </c>
      <c r="C756" s="2220">
        <v>56</v>
      </c>
      <c r="D756" s="2220">
        <v>8</v>
      </c>
      <c r="E756" s="2220">
        <v>1</v>
      </c>
      <c r="F756" s="2416">
        <v>2020659</v>
      </c>
      <c r="G756" s="2220"/>
      <c r="H756" s="2220">
        <v>310</v>
      </c>
      <c r="I756" s="2211">
        <v>200</v>
      </c>
      <c r="J756" s="2428">
        <v>100</v>
      </c>
      <c r="K756" s="2357"/>
    </row>
    <row r="757" spans="2:11" ht="15" hidden="1" x14ac:dyDescent="0.2">
      <c r="B757" s="2219" t="s">
        <v>97</v>
      </c>
      <c r="C757" s="2220">
        <v>56</v>
      </c>
      <c r="D757" s="2220">
        <v>8</v>
      </c>
      <c r="E757" s="2220">
        <v>1</v>
      </c>
      <c r="F757" s="2416">
        <v>2020659</v>
      </c>
      <c r="G757" s="2220"/>
      <c r="H757" s="2220">
        <v>340</v>
      </c>
      <c r="I757" s="2211"/>
      <c r="J757" s="2428"/>
      <c r="K757" s="2357"/>
    </row>
    <row r="758" spans="2:11" ht="15" hidden="1" x14ac:dyDescent="0.2">
      <c r="B758" s="2208" t="s">
        <v>767</v>
      </c>
      <c r="C758" s="2220">
        <v>56</v>
      </c>
      <c r="D758" s="2220">
        <v>8</v>
      </c>
      <c r="E758" s="2220">
        <v>1</v>
      </c>
      <c r="F758" s="2416">
        <v>2020659</v>
      </c>
      <c r="G758" s="2206">
        <v>612</v>
      </c>
      <c r="H758" s="2206">
        <v>241</v>
      </c>
      <c r="I758" s="1252">
        <v>0</v>
      </c>
      <c r="J758" s="2425">
        <v>0</v>
      </c>
      <c r="K758" s="2357"/>
    </row>
    <row r="759" spans="2:11" ht="26" hidden="1" x14ac:dyDescent="0.2">
      <c r="B759" s="2422" t="s">
        <v>1172</v>
      </c>
      <c r="C759" s="2220">
        <v>56</v>
      </c>
      <c r="D759" s="2220">
        <v>8</v>
      </c>
      <c r="E759" s="2220">
        <v>1</v>
      </c>
      <c r="F759" s="2416">
        <v>2020659</v>
      </c>
      <c r="G759" s="2420">
        <v>600</v>
      </c>
      <c r="H759" s="2420"/>
      <c r="I759" s="2424">
        <v>5256.1</v>
      </c>
      <c r="J759" s="2424">
        <v>5167.8999999999996</v>
      </c>
      <c r="K759" s="2357"/>
    </row>
    <row r="760" spans="2:11" ht="39" hidden="1" x14ac:dyDescent="0.2">
      <c r="B760" s="2208" t="s">
        <v>1135</v>
      </c>
      <c r="C760" s="2220">
        <v>56</v>
      </c>
      <c r="D760" s="2220">
        <v>8</v>
      </c>
      <c r="E760" s="2220">
        <v>1</v>
      </c>
      <c r="F760" s="2416">
        <v>2020659</v>
      </c>
      <c r="G760" s="2206">
        <v>611</v>
      </c>
      <c r="H760" s="2206">
        <v>241</v>
      </c>
      <c r="I760" s="2412">
        <v>5256.1</v>
      </c>
      <c r="J760" s="2412">
        <v>5167.8999999999996</v>
      </c>
      <c r="K760" s="2357"/>
    </row>
    <row r="761" spans="2:11" ht="15" hidden="1" x14ac:dyDescent="0.2">
      <c r="B761" s="2219" t="s">
        <v>78</v>
      </c>
      <c r="C761" s="2220">
        <v>56</v>
      </c>
      <c r="D761" s="2220">
        <v>8</v>
      </c>
      <c r="E761" s="2220">
        <v>1</v>
      </c>
      <c r="F761" s="2416">
        <v>2020659</v>
      </c>
      <c r="G761" s="2220"/>
      <c r="H761" s="2220">
        <v>211</v>
      </c>
      <c r="I761" s="1249">
        <v>3902.2</v>
      </c>
      <c r="J761" s="2413">
        <v>3902.2</v>
      </c>
      <c r="K761" s="2357"/>
    </row>
    <row r="762" spans="2:11" ht="15" hidden="1" x14ac:dyDescent="0.2">
      <c r="B762" s="2219" t="s">
        <v>103</v>
      </c>
      <c r="C762" s="2220">
        <v>56</v>
      </c>
      <c r="D762" s="2220">
        <v>8</v>
      </c>
      <c r="E762" s="2220">
        <v>1</v>
      </c>
      <c r="F762" s="2416">
        <v>2020659</v>
      </c>
      <c r="G762" s="2220"/>
      <c r="H762" s="2220">
        <v>212</v>
      </c>
      <c r="I762" s="2354"/>
      <c r="J762" s="2414">
        <v>0</v>
      </c>
      <c r="K762" s="2357"/>
    </row>
    <row r="763" spans="2:11" ht="15" hidden="1" x14ac:dyDescent="0.2">
      <c r="B763" s="2219" t="s">
        <v>84</v>
      </c>
      <c r="C763" s="2220">
        <v>56</v>
      </c>
      <c r="D763" s="2220">
        <v>8</v>
      </c>
      <c r="E763" s="2220">
        <v>1</v>
      </c>
      <c r="F763" s="2416">
        <v>2020659</v>
      </c>
      <c r="G763" s="2220"/>
      <c r="H763" s="2220">
        <v>213</v>
      </c>
      <c r="I763" s="1249">
        <v>1137.0999999999999</v>
      </c>
      <c r="J763" s="2413">
        <v>1137.0999999999999</v>
      </c>
      <c r="K763" s="2357"/>
    </row>
    <row r="764" spans="2:11" ht="15" hidden="1" x14ac:dyDescent="0.2">
      <c r="B764" s="2219" t="s">
        <v>85</v>
      </c>
      <c r="C764" s="2220">
        <v>56</v>
      </c>
      <c r="D764" s="2220">
        <v>8</v>
      </c>
      <c r="E764" s="2220">
        <v>1</v>
      </c>
      <c r="F764" s="2416">
        <v>2020659</v>
      </c>
      <c r="G764" s="2220"/>
      <c r="H764" s="2220">
        <v>221</v>
      </c>
      <c r="I764" s="2356"/>
      <c r="J764" s="2414"/>
      <c r="K764" s="2357"/>
    </row>
    <row r="765" spans="2:11" ht="15" hidden="1" x14ac:dyDescent="0.2">
      <c r="B765" s="2219" t="s">
        <v>86</v>
      </c>
      <c r="C765" s="2220">
        <v>56</v>
      </c>
      <c r="D765" s="2220">
        <v>8</v>
      </c>
      <c r="E765" s="2220">
        <v>1</v>
      </c>
      <c r="F765" s="2416">
        <v>2020659</v>
      </c>
      <c r="G765" s="2220"/>
      <c r="H765" s="2220">
        <v>222</v>
      </c>
      <c r="I765" s="2356"/>
      <c r="J765" s="2414"/>
      <c r="K765" s="2357"/>
    </row>
    <row r="766" spans="2:11" ht="15" hidden="1" x14ac:dyDescent="0.2">
      <c r="B766" s="2219" t="s">
        <v>87</v>
      </c>
      <c r="C766" s="2220">
        <v>56</v>
      </c>
      <c r="D766" s="2220">
        <v>8</v>
      </c>
      <c r="E766" s="2220">
        <v>1</v>
      </c>
      <c r="F766" s="2416">
        <v>2020659</v>
      </c>
      <c r="G766" s="2220"/>
      <c r="H766" s="2220">
        <v>223</v>
      </c>
      <c r="I766" s="2356"/>
      <c r="J766" s="2414"/>
      <c r="K766" s="2357"/>
    </row>
    <row r="767" spans="2:11" ht="15" hidden="1" x14ac:dyDescent="0.2">
      <c r="B767" s="2219" t="s">
        <v>134</v>
      </c>
      <c r="C767" s="2220">
        <v>56</v>
      </c>
      <c r="D767" s="2220">
        <v>8</v>
      </c>
      <c r="E767" s="2220">
        <v>1</v>
      </c>
      <c r="F767" s="2416">
        <v>2020659</v>
      </c>
      <c r="G767" s="2220"/>
      <c r="H767" s="2220">
        <v>224</v>
      </c>
      <c r="I767" s="2356">
        <v>53</v>
      </c>
      <c r="J767" s="2414">
        <v>31.8</v>
      </c>
      <c r="K767" s="2357"/>
    </row>
    <row r="768" spans="2:11" ht="15" hidden="1" x14ac:dyDescent="0.2">
      <c r="B768" s="2219" t="s">
        <v>90</v>
      </c>
      <c r="C768" s="2220">
        <v>56</v>
      </c>
      <c r="D768" s="2220">
        <v>8</v>
      </c>
      <c r="E768" s="2220">
        <v>1</v>
      </c>
      <c r="F768" s="2416">
        <v>2020659</v>
      </c>
      <c r="G768" s="2220"/>
      <c r="H768" s="2220">
        <v>225</v>
      </c>
      <c r="I768" s="2356"/>
      <c r="J768" s="2414"/>
      <c r="K768" s="2357"/>
    </row>
    <row r="769" spans="2:11" ht="15" hidden="1" x14ac:dyDescent="0.2">
      <c r="B769" s="2219" t="s">
        <v>91</v>
      </c>
      <c r="C769" s="2220">
        <v>56</v>
      </c>
      <c r="D769" s="2220">
        <v>8</v>
      </c>
      <c r="E769" s="2220">
        <v>1</v>
      </c>
      <c r="F769" s="2416">
        <v>2020659</v>
      </c>
      <c r="G769" s="2220"/>
      <c r="H769" s="2220">
        <v>226</v>
      </c>
      <c r="I769" s="2356"/>
      <c r="J769" s="2414"/>
      <c r="K769" s="2357"/>
    </row>
    <row r="770" spans="2:11" ht="15" hidden="1" x14ac:dyDescent="0.2">
      <c r="B770" s="2219" t="s">
        <v>94</v>
      </c>
      <c r="C770" s="2220">
        <v>56</v>
      </c>
      <c r="D770" s="2220">
        <v>8</v>
      </c>
      <c r="E770" s="2220">
        <v>1</v>
      </c>
      <c r="F770" s="2416">
        <v>2020659</v>
      </c>
      <c r="G770" s="2220"/>
      <c r="H770" s="2220">
        <v>290</v>
      </c>
      <c r="I770" s="2356">
        <v>16.8</v>
      </c>
      <c r="J770" s="2414">
        <v>16.8</v>
      </c>
      <c r="K770" s="2357"/>
    </row>
    <row r="771" spans="2:11" ht="15" hidden="1" x14ac:dyDescent="0.2">
      <c r="B771" s="2219" t="s">
        <v>94</v>
      </c>
      <c r="C771" s="2220">
        <v>56</v>
      </c>
      <c r="D771" s="2220">
        <v>8</v>
      </c>
      <c r="E771" s="2220">
        <v>1</v>
      </c>
      <c r="F771" s="2416">
        <v>2020659</v>
      </c>
      <c r="G771" s="2220"/>
      <c r="H771" s="2220">
        <v>290</v>
      </c>
      <c r="I771" s="2356"/>
      <c r="J771" s="2414"/>
      <c r="K771" s="2357"/>
    </row>
    <row r="772" spans="2:11" ht="15" hidden="1" x14ac:dyDescent="0.2">
      <c r="B772" s="2219" t="s">
        <v>96</v>
      </c>
      <c r="C772" s="2220">
        <v>56</v>
      </c>
      <c r="D772" s="2220">
        <v>8</v>
      </c>
      <c r="E772" s="2220">
        <v>1</v>
      </c>
      <c r="F772" s="2416">
        <v>2020659</v>
      </c>
      <c r="G772" s="2220"/>
      <c r="H772" s="2220">
        <v>310</v>
      </c>
      <c r="I772" s="2356">
        <v>147</v>
      </c>
      <c r="J772" s="2414">
        <v>80</v>
      </c>
      <c r="K772" s="2357"/>
    </row>
    <row r="773" spans="2:11" ht="15" hidden="1" x14ac:dyDescent="0.2">
      <c r="B773" s="2219" t="s">
        <v>97</v>
      </c>
      <c r="C773" s="2220">
        <v>56</v>
      </c>
      <c r="D773" s="2220">
        <v>8</v>
      </c>
      <c r="E773" s="2220">
        <v>1</v>
      </c>
      <c r="F773" s="2416">
        <v>2020659</v>
      </c>
      <c r="G773" s="2220"/>
      <c r="H773" s="2220">
        <v>340</v>
      </c>
      <c r="I773" s="2356"/>
      <c r="J773" s="2414"/>
      <c r="K773" s="2357"/>
    </row>
    <row r="774" spans="2:11" ht="15" hidden="1" x14ac:dyDescent="0.2">
      <c r="B774" s="2208" t="s">
        <v>767</v>
      </c>
      <c r="C774" s="2220">
        <v>56</v>
      </c>
      <c r="D774" s="2220">
        <v>8</v>
      </c>
      <c r="E774" s="2220">
        <v>1</v>
      </c>
      <c r="F774" s="2416">
        <v>2020659</v>
      </c>
      <c r="G774" s="2206">
        <v>612</v>
      </c>
      <c r="H774" s="2206">
        <v>241</v>
      </c>
      <c r="I774" s="1252">
        <v>0</v>
      </c>
      <c r="J774" s="2425">
        <v>0</v>
      </c>
      <c r="K774" s="2357"/>
    </row>
    <row r="775" spans="2:11" ht="26" hidden="1" x14ac:dyDescent="0.2">
      <c r="B775" s="2422" t="s">
        <v>1173</v>
      </c>
      <c r="C775" s="2220">
        <v>56</v>
      </c>
      <c r="D775" s="2220">
        <v>8</v>
      </c>
      <c r="E775" s="2220">
        <v>1</v>
      </c>
      <c r="F775" s="2416">
        <v>2020659</v>
      </c>
      <c r="G775" s="2420">
        <v>600</v>
      </c>
      <c r="H775" s="2420"/>
      <c r="I775" s="2424">
        <v>8121.8</v>
      </c>
      <c r="J775" s="2424">
        <v>8151.8</v>
      </c>
      <c r="K775" s="2357"/>
    </row>
    <row r="776" spans="2:11" ht="39" hidden="1" x14ac:dyDescent="0.2">
      <c r="B776" s="2208" t="s">
        <v>1135</v>
      </c>
      <c r="C776" s="2220">
        <v>56</v>
      </c>
      <c r="D776" s="2220">
        <v>8</v>
      </c>
      <c r="E776" s="2220">
        <v>1</v>
      </c>
      <c r="F776" s="2416">
        <v>2020659</v>
      </c>
      <c r="G776" s="2206">
        <v>611</v>
      </c>
      <c r="H776" s="2206">
        <v>241</v>
      </c>
      <c r="I776" s="2412">
        <v>8121.8</v>
      </c>
      <c r="J776" s="2412">
        <v>8151.8</v>
      </c>
      <c r="K776" s="2357"/>
    </row>
    <row r="777" spans="2:11" ht="15" hidden="1" x14ac:dyDescent="0.2">
      <c r="B777" s="2219" t="s">
        <v>78</v>
      </c>
      <c r="C777" s="2220">
        <v>56</v>
      </c>
      <c r="D777" s="2220">
        <v>8</v>
      </c>
      <c r="E777" s="2220">
        <v>1</v>
      </c>
      <c r="F777" s="2416">
        <v>2020659</v>
      </c>
      <c r="G777" s="2220"/>
      <c r="H777" s="2220">
        <v>211</v>
      </c>
      <c r="I777" s="1249">
        <v>6117.4</v>
      </c>
      <c r="J777" s="2413">
        <v>6117.4</v>
      </c>
      <c r="K777" s="2357"/>
    </row>
    <row r="778" spans="2:11" ht="15" hidden="1" x14ac:dyDescent="0.2">
      <c r="B778" s="2219" t="s">
        <v>103</v>
      </c>
      <c r="C778" s="2220">
        <v>56</v>
      </c>
      <c r="D778" s="2220">
        <v>8</v>
      </c>
      <c r="E778" s="2220">
        <v>1</v>
      </c>
      <c r="F778" s="2416">
        <v>2020659</v>
      </c>
      <c r="G778" s="2220"/>
      <c r="H778" s="2220">
        <v>212</v>
      </c>
      <c r="I778" s="2354"/>
      <c r="J778" s="2414">
        <v>0</v>
      </c>
      <c r="K778" s="2357"/>
    </row>
    <row r="779" spans="2:11" ht="15" hidden="1" x14ac:dyDescent="0.2">
      <c r="B779" s="2219" t="s">
        <v>84</v>
      </c>
      <c r="C779" s="2220">
        <v>56</v>
      </c>
      <c r="D779" s="2220">
        <v>8</v>
      </c>
      <c r="E779" s="2220">
        <v>1</v>
      </c>
      <c r="F779" s="2416">
        <v>2020659</v>
      </c>
      <c r="G779" s="2220"/>
      <c r="H779" s="2220">
        <v>213</v>
      </c>
      <c r="I779" s="1249">
        <v>1782.6</v>
      </c>
      <c r="J779" s="2413">
        <v>1782.6</v>
      </c>
      <c r="K779" s="2357"/>
    </row>
    <row r="780" spans="2:11" ht="15" hidden="1" x14ac:dyDescent="0.2">
      <c r="B780" s="2219" t="s">
        <v>85</v>
      </c>
      <c r="C780" s="2220">
        <v>56</v>
      </c>
      <c r="D780" s="2220">
        <v>8</v>
      </c>
      <c r="E780" s="2220">
        <v>1</v>
      </c>
      <c r="F780" s="2416">
        <v>2020659</v>
      </c>
      <c r="G780" s="2220"/>
      <c r="H780" s="2220">
        <v>221</v>
      </c>
      <c r="I780" s="2356"/>
      <c r="J780" s="2414"/>
      <c r="K780" s="2357"/>
    </row>
    <row r="781" spans="2:11" ht="15" hidden="1" x14ac:dyDescent="0.2">
      <c r="B781" s="2219" t="s">
        <v>86</v>
      </c>
      <c r="C781" s="2220">
        <v>56</v>
      </c>
      <c r="D781" s="2220">
        <v>8</v>
      </c>
      <c r="E781" s="2220">
        <v>1</v>
      </c>
      <c r="F781" s="2416">
        <v>2020659</v>
      </c>
      <c r="G781" s="2220"/>
      <c r="H781" s="2220">
        <v>222</v>
      </c>
      <c r="I781" s="2356"/>
      <c r="J781" s="2414"/>
      <c r="K781" s="2357"/>
    </row>
    <row r="782" spans="2:11" ht="15" hidden="1" x14ac:dyDescent="0.2">
      <c r="B782" s="2219" t="s">
        <v>87</v>
      </c>
      <c r="C782" s="2220">
        <v>56</v>
      </c>
      <c r="D782" s="2220">
        <v>8</v>
      </c>
      <c r="E782" s="2220">
        <v>1</v>
      </c>
      <c r="F782" s="2416">
        <v>2020659</v>
      </c>
      <c r="G782" s="2220"/>
      <c r="H782" s="2220">
        <v>223</v>
      </c>
      <c r="I782" s="2356"/>
      <c r="J782" s="2414"/>
      <c r="K782" s="2357"/>
    </row>
    <row r="783" spans="2:11" ht="15" hidden="1" x14ac:dyDescent="0.2">
      <c r="B783" s="2219" t="s">
        <v>134</v>
      </c>
      <c r="C783" s="2220">
        <v>56</v>
      </c>
      <c r="D783" s="2220">
        <v>8</v>
      </c>
      <c r="E783" s="2220">
        <v>1</v>
      </c>
      <c r="F783" s="2416">
        <v>2020659</v>
      </c>
      <c r="G783" s="2220"/>
      <c r="H783" s="2220">
        <v>224</v>
      </c>
      <c r="I783" s="2356"/>
      <c r="J783" s="2414"/>
      <c r="K783" s="2357"/>
    </row>
    <row r="784" spans="2:11" ht="15" hidden="1" x14ac:dyDescent="0.2">
      <c r="B784" s="2219" t="s">
        <v>90</v>
      </c>
      <c r="C784" s="2220">
        <v>56</v>
      </c>
      <c r="D784" s="2220">
        <v>8</v>
      </c>
      <c r="E784" s="2220">
        <v>1</v>
      </c>
      <c r="F784" s="2416">
        <v>2020659</v>
      </c>
      <c r="G784" s="2220"/>
      <c r="H784" s="2220">
        <v>225</v>
      </c>
      <c r="I784" s="2356"/>
      <c r="J784" s="2414"/>
      <c r="K784" s="2357"/>
    </row>
    <row r="785" spans="2:11" ht="15" hidden="1" x14ac:dyDescent="0.2">
      <c r="B785" s="2219" t="s">
        <v>91</v>
      </c>
      <c r="C785" s="2220">
        <v>56</v>
      </c>
      <c r="D785" s="2220">
        <v>8</v>
      </c>
      <c r="E785" s="2220">
        <v>1</v>
      </c>
      <c r="F785" s="2416">
        <v>2020659</v>
      </c>
      <c r="G785" s="2220"/>
      <c r="H785" s="2220">
        <v>226</v>
      </c>
      <c r="I785" s="2356"/>
      <c r="J785" s="2486">
        <v>30</v>
      </c>
      <c r="K785" s="2357"/>
    </row>
    <row r="786" spans="2:11" ht="15" hidden="1" x14ac:dyDescent="0.2">
      <c r="B786" s="2219" t="s">
        <v>94</v>
      </c>
      <c r="C786" s="2220">
        <v>56</v>
      </c>
      <c r="D786" s="2220">
        <v>8</v>
      </c>
      <c r="E786" s="2220">
        <v>1</v>
      </c>
      <c r="F786" s="2416">
        <v>2020659</v>
      </c>
      <c r="G786" s="2220"/>
      <c r="H786" s="2220">
        <v>290</v>
      </c>
      <c r="I786" s="2356">
        <v>21.8</v>
      </c>
      <c r="J786" s="2414">
        <v>21.8</v>
      </c>
      <c r="K786" s="2357"/>
    </row>
    <row r="787" spans="2:11" ht="15" hidden="1" x14ac:dyDescent="0.2">
      <c r="B787" s="2219" t="s">
        <v>94</v>
      </c>
      <c r="C787" s="2220">
        <v>56</v>
      </c>
      <c r="D787" s="2220">
        <v>8</v>
      </c>
      <c r="E787" s="2220">
        <v>1</v>
      </c>
      <c r="F787" s="2416">
        <v>2020659</v>
      </c>
      <c r="G787" s="2220"/>
      <c r="H787" s="2220">
        <v>290</v>
      </c>
      <c r="I787" s="2356"/>
      <c r="J787" s="2414"/>
      <c r="K787" s="2357"/>
    </row>
    <row r="788" spans="2:11" ht="15" hidden="1" x14ac:dyDescent="0.2">
      <c r="B788" s="2219" t="s">
        <v>96</v>
      </c>
      <c r="C788" s="2220">
        <v>56</v>
      </c>
      <c r="D788" s="2220">
        <v>8</v>
      </c>
      <c r="E788" s="2220">
        <v>1</v>
      </c>
      <c r="F788" s="2416">
        <v>2020659</v>
      </c>
      <c r="G788" s="2220"/>
      <c r="H788" s="2220">
        <v>310</v>
      </c>
      <c r="I788" s="2356">
        <v>200</v>
      </c>
      <c r="J788" s="2414">
        <v>200</v>
      </c>
      <c r="K788" s="2357"/>
    </row>
    <row r="789" spans="2:11" ht="15" hidden="1" x14ac:dyDescent="0.2">
      <c r="B789" s="2219" t="s">
        <v>97</v>
      </c>
      <c r="C789" s="2220">
        <v>56</v>
      </c>
      <c r="D789" s="2220">
        <v>8</v>
      </c>
      <c r="E789" s="2220">
        <v>1</v>
      </c>
      <c r="F789" s="2416">
        <v>2020659</v>
      </c>
      <c r="G789" s="2220"/>
      <c r="H789" s="2220">
        <v>340</v>
      </c>
      <c r="I789" s="2356"/>
      <c r="J789" s="2414"/>
      <c r="K789" s="2357"/>
    </row>
    <row r="790" spans="2:11" ht="15" hidden="1" x14ac:dyDescent="0.2">
      <c r="B790" s="2208" t="s">
        <v>767</v>
      </c>
      <c r="C790" s="2220">
        <v>56</v>
      </c>
      <c r="D790" s="2220">
        <v>8</v>
      </c>
      <c r="E790" s="2220">
        <v>1</v>
      </c>
      <c r="F790" s="2416">
        <v>2020659</v>
      </c>
      <c r="G790" s="2206">
        <v>612</v>
      </c>
      <c r="H790" s="2206">
        <v>241</v>
      </c>
      <c r="I790" s="1252">
        <v>0</v>
      </c>
      <c r="J790" s="2425">
        <v>0</v>
      </c>
      <c r="K790" s="2357"/>
    </row>
    <row r="791" spans="2:11" ht="26" hidden="1" x14ac:dyDescent="0.2">
      <c r="B791" s="2422" t="s">
        <v>1174</v>
      </c>
      <c r="C791" s="2220">
        <v>56</v>
      </c>
      <c r="D791" s="2220">
        <v>8</v>
      </c>
      <c r="E791" s="2220">
        <v>1</v>
      </c>
      <c r="F791" s="2416">
        <v>2020659</v>
      </c>
      <c r="G791" s="2420">
        <v>600</v>
      </c>
      <c r="H791" s="2420"/>
      <c r="I791" s="2424">
        <v>10787.4</v>
      </c>
      <c r="J791" s="2424">
        <v>10677.6</v>
      </c>
      <c r="K791" s="2357"/>
    </row>
    <row r="792" spans="2:11" ht="39" hidden="1" x14ac:dyDescent="0.2">
      <c r="B792" s="2208" t="s">
        <v>1135</v>
      </c>
      <c r="C792" s="2220">
        <v>56</v>
      </c>
      <c r="D792" s="2220">
        <v>8</v>
      </c>
      <c r="E792" s="2220">
        <v>1</v>
      </c>
      <c r="F792" s="2416">
        <v>2020659</v>
      </c>
      <c r="G792" s="2206">
        <v>611</v>
      </c>
      <c r="H792" s="2206">
        <v>241</v>
      </c>
      <c r="I792" s="2412">
        <v>10787.4</v>
      </c>
      <c r="J792" s="2412">
        <v>10677.6</v>
      </c>
      <c r="K792" s="2357"/>
    </row>
    <row r="793" spans="2:11" ht="15" hidden="1" x14ac:dyDescent="0.2">
      <c r="B793" s="2219" t="s">
        <v>78</v>
      </c>
      <c r="C793" s="2220">
        <v>56</v>
      </c>
      <c r="D793" s="2220">
        <v>8</v>
      </c>
      <c r="E793" s="2220">
        <v>1</v>
      </c>
      <c r="F793" s="2416">
        <v>2020659</v>
      </c>
      <c r="G793" s="2220"/>
      <c r="H793" s="2220">
        <v>211</v>
      </c>
      <c r="I793" s="1249">
        <v>8181.9</v>
      </c>
      <c r="J793" s="2413">
        <v>8113.7</v>
      </c>
      <c r="K793" s="2357"/>
    </row>
    <row r="794" spans="2:11" ht="15" hidden="1" x14ac:dyDescent="0.2">
      <c r="B794" s="2219" t="s">
        <v>103</v>
      </c>
      <c r="C794" s="2220">
        <v>56</v>
      </c>
      <c r="D794" s="2220">
        <v>8</v>
      </c>
      <c r="E794" s="2220">
        <v>1</v>
      </c>
      <c r="F794" s="2416">
        <v>2020659</v>
      </c>
      <c r="G794" s="2220"/>
      <c r="H794" s="2220">
        <v>212</v>
      </c>
      <c r="I794" s="2354"/>
      <c r="J794" s="2487"/>
      <c r="K794" s="2357"/>
    </row>
    <row r="795" spans="2:11" ht="15" hidden="1" x14ac:dyDescent="0.2">
      <c r="B795" s="2219" t="s">
        <v>84</v>
      </c>
      <c r="C795" s="2220">
        <v>56</v>
      </c>
      <c r="D795" s="2220">
        <v>8</v>
      </c>
      <c r="E795" s="2220">
        <v>1</v>
      </c>
      <c r="F795" s="2416">
        <v>2020659</v>
      </c>
      <c r="G795" s="2220"/>
      <c r="H795" s="2220">
        <v>213</v>
      </c>
      <c r="I795" s="1249">
        <v>2384.3000000000002</v>
      </c>
      <c r="J795" s="2413">
        <v>2363.6999999999998</v>
      </c>
      <c r="K795" s="2357"/>
    </row>
    <row r="796" spans="2:11" ht="15" hidden="1" x14ac:dyDescent="0.2">
      <c r="B796" s="2219" t="s">
        <v>85</v>
      </c>
      <c r="C796" s="2220">
        <v>56</v>
      </c>
      <c r="D796" s="2220">
        <v>8</v>
      </c>
      <c r="E796" s="2220">
        <v>1</v>
      </c>
      <c r="F796" s="2416">
        <v>2020659</v>
      </c>
      <c r="G796" s="2220"/>
      <c r="H796" s="2220">
        <v>221</v>
      </c>
      <c r="I796" s="2356"/>
      <c r="J796" s="2414"/>
      <c r="K796" s="2357"/>
    </row>
    <row r="797" spans="2:11" ht="15" hidden="1" x14ac:dyDescent="0.2">
      <c r="B797" s="2219" t="s">
        <v>86</v>
      </c>
      <c r="C797" s="2220">
        <v>56</v>
      </c>
      <c r="D797" s="2220">
        <v>8</v>
      </c>
      <c r="E797" s="2220">
        <v>1</v>
      </c>
      <c r="F797" s="2416">
        <v>2020659</v>
      </c>
      <c r="G797" s="2220"/>
      <c r="H797" s="2220">
        <v>222</v>
      </c>
      <c r="I797" s="2356"/>
      <c r="J797" s="2414">
        <v>79</v>
      </c>
      <c r="K797" s="2357"/>
    </row>
    <row r="798" spans="2:11" ht="15" hidden="1" x14ac:dyDescent="0.2">
      <c r="B798" s="2219" t="s">
        <v>87</v>
      </c>
      <c r="C798" s="2220">
        <v>56</v>
      </c>
      <c r="D798" s="2220">
        <v>8</v>
      </c>
      <c r="E798" s="2220">
        <v>1</v>
      </c>
      <c r="F798" s="2416">
        <v>2020659</v>
      </c>
      <c r="G798" s="2220"/>
      <c r="H798" s="2220">
        <v>223</v>
      </c>
      <c r="I798" s="2356"/>
      <c r="J798" s="2414"/>
      <c r="K798" s="2357"/>
    </row>
    <row r="799" spans="2:11" ht="15" hidden="1" x14ac:dyDescent="0.2">
      <c r="B799" s="2219" t="s">
        <v>134</v>
      </c>
      <c r="C799" s="2220">
        <v>56</v>
      </c>
      <c r="D799" s="2220">
        <v>8</v>
      </c>
      <c r="E799" s="2220">
        <v>1</v>
      </c>
      <c r="F799" s="2416">
        <v>2020659</v>
      </c>
      <c r="G799" s="2220"/>
      <c r="H799" s="2220">
        <v>224</v>
      </c>
      <c r="I799" s="2356"/>
      <c r="J799" s="2414"/>
      <c r="K799" s="2357"/>
    </row>
    <row r="800" spans="2:11" ht="15" hidden="1" x14ac:dyDescent="0.2">
      <c r="B800" s="2219" t="s">
        <v>90</v>
      </c>
      <c r="C800" s="2220">
        <v>56</v>
      </c>
      <c r="D800" s="2220">
        <v>8</v>
      </c>
      <c r="E800" s="2220">
        <v>1</v>
      </c>
      <c r="F800" s="2416">
        <v>2020659</v>
      </c>
      <c r="G800" s="2220"/>
      <c r="H800" s="2220">
        <v>225</v>
      </c>
      <c r="I800" s="2356"/>
      <c r="J800" s="2414"/>
      <c r="K800" s="2357"/>
    </row>
    <row r="801" spans="2:11" ht="15" hidden="1" x14ac:dyDescent="0.2">
      <c r="B801" s="2219" t="s">
        <v>91</v>
      </c>
      <c r="C801" s="2220">
        <v>56</v>
      </c>
      <c r="D801" s="2220">
        <v>8</v>
      </c>
      <c r="E801" s="2220">
        <v>1</v>
      </c>
      <c r="F801" s="2416">
        <v>2020659</v>
      </c>
      <c r="G801" s="2220"/>
      <c r="H801" s="2220">
        <v>226</v>
      </c>
      <c r="I801" s="2356"/>
      <c r="J801" s="2414"/>
      <c r="K801" s="2357"/>
    </row>
    <row r="802" spans="2:11" ht="15" hidden="1" x14ac:dyDescent="0.2">
      <c r="B802" s="2219" t="s">
        <v>94</v>
      </c>
      <c r="C802" s="2220">
        <v>56</v>
      </c>
      <c r="D802" s="2220">
        <v>8</v>
      </c>
      <c r="E802" s="2220">
        <v>1</v>
      </c>
      <c r="F802" s="2416">
        <v>2020659</v>
      </c>
      <c r="G802" s="2220"/>
      <c r="H802" s="2220">
        <v>290</v>
      </c>
      <c r="I802" s="2356">
        <v>21.2</v>
      </c>
      <c r="J802" s="2414">
        <v>21.2</v>
      </c>
      <c r="K802" s="2357"/>
    </row>
    <row r="803" spans="2:11" ht="15" hidden="1" x14ac:dyDescent="0.2">
      <c r="B803" s="2219" t="s">
        <v>94</v>
      </c>
      <c r="C803" s="2220">
        <v>56</v>
      </c>
      <c r="D803" s="2220">
        <v>8</v>
      </c>
      <c r="E803" s="2220">
        <v>1</v>
      </c>
      <c r="F803" s="2416">
        <v>2020659</v>
      </c>
      <c r="G803" s="2220"/>
      <c r="H803" s="2220">
        <v>290</v>
      </c>
      <c r="I803" s="2356"/>
      <c r="J803" s="2414"/>
      <c r="K803" s="2357"/>
    </row>
    <row r="804" spans="2:11" ht="15" hidden="1" x14ac:dyDescent="0.2">
      <c r="B804" s="2219" t="s">
        <v>96</v>
      </c>
      <c r="C804" s="2220">
        <v>56</v>
      </c>
      <c r="D804" s="2220">
        <v>8</v>
      </c>
      <c r="E804" s="2220">
        <v>1</v>
      </c>
      <c r="F804" s="2416">
        <v>2020659</v>
      </c>
      <c r="G804" s="2220"/>
      <c r="H804" s="2220">
        <v>310</v>
      </c>
      <c r="I804" s="2356">
        <v>193</v>
      </c>
      <c r="J804" s="2414">
        <v>93</v>
      </c>
      <c r="K804" s="2357"/>
    </row>
    <row r="805" spans="2:11" ht="15" hidden="1" x14ac:dyDescent="0.2">
      <c r="B805" s="2219" t="s">
        <v>97</v>
      </c>
      <c r="C805" s="2220">
        <v>56</v>
      </c>
      <c r="D805" s="2220">
        <v>8</v>
      </c>
      <c r="E805" s="2220">
        <v>1</v>
      </c>
      <c r="F805" s="2416">
        <v>2020659</v>
      </c>
      <c r="G805" s="2220"/>
      <c r="H805" s="2220">
        <v>340</v>
      </c>
      <c r="I805" s="2356">
        <v>7</v>
      </c>
      <c r="J805" s="2414">
        <v>7</v>
      </c>
      <c r="K805" s="2357"/>
    </row>
    <row r="806" spans="2:11" ht="15" hidden="1" x14ac:dyDescent="0.2">
      <c r="B806" s="2208" t="s">
        <v>767</v>
      </c>
      <c r="C806" s="2220">
        <v>56</v>
      </c>
      <c r="D806" s="2220">
        <v>8</v>
      </c>
      <c r="E806" s="2220">
        <v>1</v>
      </c>
      <c r="F806" s="2416">
        <v>2020659</v>
      </c>
      <c r="G806" s="2206">
        <v>612</v>
      </c>
      <c r="H806" s="2206">
        <v>241</v>
      </c>
      <c r="I806" s="1252">
        <v>0</v>
      </c>
      <c r="J806" s="2425">
        <v>0</v>
      </c>
      <c r="K806" s="2357"/>
    </row>
    <row r="807" spans="2:11" ht="26" hidden="1" x14ac:dyDescent="0.2">
      <c r="B807" s="2422" t="s">
        <v>1175</v>
      </c>
      <c r="C807" s="2220">
        <v>56</v>
      </c>
      <c r="D807" s="2220">
        <v>8</v>
      </c>
      <c r="E807" s="2220">
        <v>1</v>
      </c>
      <c r="F807" s="2416">
        <v>2020659</v>
      </c>
      <c r="G807" s="2420">
        <v>600</v>
      </c>
      <c r="H807" s="2420"/>
      <c r="I807" s="2424">
        <v>9078.4</v>
      </c>
      <c r="J807" s="2424">
        <v>8978.4</v>
      </c>
      <c r="K807" s="2357"/>
    </row>
    <row r="808" spans="2:11" ht="39" hidden="1" x14ac:dyDescent="0.2">
      <c r="B808" s="2208" t="s">
        <v>1135</v>
      </c>
      <c r="C808" s="2220">
        <v>56</v>
      </c>
      <c r="D808" s="2220">
        <v>8</v>
      </c>
      <c r="E808" s="2220">
        <v>1</v>
      </c>
      <c r="F808" s="2416">
        <v>2020659</v>
      </c>
      <c r="G808" s="2206">
        <v>611</v>
      </c>
      <c r="H808" s="2206">
        <v>241</v>
      </c>
      <c r="I808" s="2412">
        <v>9078.4</v>
      </c>
      <c r="J808" s="2412">
        <v>8978.4</v>
      </c>
      <c r="K808" s="2357"/>
    </row>
    <row r="809" spans="2:11" ht="15" hidden="1" x14ac:dyDescent="0.2">
      <c r="B809" s="2219" t="s">
        <v>78</v>
      </c>
      <c r="C809" s="2220">
        <v>56</v>
      </c>
      <c r="D809" s="2220">
        <v>8</v>
      </c>
      <c r="E809" s="2220">
        <v>1</v>
      </c>
      <c r="F809" s="2416">
        <v>2020659</v>
      </c>
      <c r="G809" s="2220"/>
      <c r="H809" s="2220">
        <v>211</v>
      </c>
      <c r="I809" s="1249">
        <v>6860.4</v>
      </c>
      <c r="J809" s="2413">
        <v>6860.4</v>
      </c>
      <c r="K809" s="2357"/>
    </row>
    <row r="810" spans="2:11" ht="15" hidden="1" x14ac:dyDescent="0.2">
      <c r="B810" s="2219" t="s">
        <v>103</v>
      </c>
      <c r="C810" s="2220">
        <v>56</v>
      </c>
      <c r="D810" s="2220">
        <v>8</v>
      </c>
      <c r="E810" s="2220">
        <v>1</v>
      </c>
      <c r="F810" s="2416">
        <v>2020659</v>
      </c>
      <c r="G810" s="2220"/>
      <c r="H810" s="2220">
        <v>212</v>
      </c>
      <c r="I810" s="2354"/>
      <c r="J810" s="2414">
        <v>0</v>
      </c>
      <c r="K810" s="2357"/>
    </row>
    <row r="811" spans="2:11" ht="15" hidden="1" x14ac:dyDescent="0.2">
      <c r="B811" s="2219" t="s">
        <v>84</v>
      </c>
      <c r="C811" s="2220">
        <v>56</v>
      </c>
      <c r="D811" s="2220">
        <v>8</v>
      </c>
      <c r="E811" s="2220">
        <v>1</v>
      </c>
      <c r="F811" s="2416">
        <v>2020659</v>
      </c>
      <c r="G811" s="2220"/>
      <c r="H811" s="2220">
        <v>213</v>
      </c>
      <c r="I811" s="1249">
        <v>1999.2</v>
      </c>
      <c r="J811" s="2413">
        <v>1999.2</v>
      </c>
      <c r="K811" s="2357"/>
    </row>
    <row r="812" spans="2:11" ht="15" hidden="1" x14ac:dyDescent="0.2">
      <c r="B812" s="2219" t="s">
        <v>85</v>
      </c>
      <c r="C812" s="2220">
        <v>56</v>
      </c>
      <c r="D812" s="2220">
        <v>8</v>
      </c>
      <c r="E812" s="2220">
        <v>1</v>
      </c>
      <c r="F812" s="2416">
        <v>2020659</v>
      </c>
      <c r="G812" s="2220"/>
      <c r="H812" s="2220">
        <v>221</v>
      </c>
      <c r="I812" s="2356"/>
      <c r="J812" s="2414"/>
      <c r="K812" s="2357"/>
    </row>
    <row r="813" spans="2:11" ht="15" hidden="1" x14ac:dyDescent="0.2">
      <c r="B813" s="2219" t="s">
        <v>86</v>
      </c>
      <c r="C813" s="2220">
        <v>56</v>
      </c>
      <c r="D813" s="2220">
        <v>8</v>
      </c>
      <c r="E813" s="2220">
        <v>1</v>
      </c>
      <c r="F813" s="2416">
        <v>2020659</v>
      </c>
      <c r="G813" s="2220"/>
      <c r="H813" s="2220">
        <v>222</v>
      </c>
      <c r="I813" s="2356"/>
      <c r="J813" s="2414"/>
      <c r="K813" s="2357"/>
    </row>
    <row r="814" spans="2:11" ht="15" hidden="1" x14ac:dyDescent="0.2">
      <c r="B814" s="2219" t="s">
        <v>87</v>
      </c>
      <c r="C814" s="2220">
        <v>56</v>
      </c>
      <c r="D814" s="2220">
        <v>8</v>
      </c>
      <c r="E814" s="2220">
        <v>1</v>
      </c>
      <c r="F814" s="2416">
        <v>2020659</v>
      </c>
      <c r="G814" s="2220"/>
      <c r="H814" s="2220">
        <v>223</v>
      </c>
      <c r="I814" s="2356"/>
      <c r="J814" s="2414"/>
      <c r="K814" s="2357"/>
    </row>
    <row r="815" spans="2:11" ht="15" hidden="1" x14ac:dyDescent="0.2">
      <c r="B815" s="2219" t="s">
        <v>134</v>
      </c>
      <c r="C815" s="2220">
        <v>56</v>
      </c>
      <c r="D815" s="2220">
        <v>8</v>
      </c>
      <c r="E815" s="2220">
        <v>1</v>
      </c>
      <c r="F815" s="2416">
        <v>2020659</v>
      </c>
      <c r="G815" s="2220"/>
      <c r="H815" s="2220">
        <v>224</v>
      </c>
      <c r="I815" s="2356"/>
      <c r="J815" s="2414"/>
      <c r="K815" s="2357"/>
    </row>
    <row r="816" spans="2:11" ht="15" hidden="1" x14ac:dyDescent="0.2">
      <c r="B816" s="2219" t="s">
        <v>90</v>
      </c>
      <c r="C816" s="2220">
        <v>56</v>
      </c>
      <c r="D816" s="2220">
        <v>8</v>
      </c>
      <c r="E816" s="2220">
        <v>1</v>
      </c>
      <c r="F816" s="2416">
        <v>2020659</v>
      </c>
      <c r="G816" s="2220"/>
      <c r="H816" s="2220">
        <v>225</v>
      </c>
      <c r="I816" s="2356"/>
      <c r="J816" s="2414"/>
      <c r="K816" s="2357"/>
    </row>
    <row r="817" spans="2:11" ht="15" hidden="1" x14ac:dyDescent="0.2">
      <c r="B817" s="2219" t="s">
        <v>91</v>
      </c>
      <c r="C817" s="2220">
        <v>56</v>
      </c>
      <c r="D817" s="2220">
        <v>8</v>
      </c>
      <c r="E817" s="2220">
        <v>1</v>
      </c>
      <c r="F817" s="2416">
        <v>2020659</v>
      </c>
      <c r="G817" s="2220"/>
      <c r="H817" s="2220">
        <v>226</v>
      </c>
      <c r="I817" s="2356">
        <v>80</v>
      </c>
      <c r="J817" s="2414">
        <v>0</v>
      </c>
      <c r="K817" s="2357"/>
    </row>
    <row r="818" spans="2:11" ht="15" hidden="1" x14ac:dyDescent="0.2">
      <c r="B818" s="2219" t="s">
        <v>94</v>
      </c>
      <c r="C818" s="2220">
        <v>56</v>
      </c>
      <c r="D818" s="2220">
        <v>8</v>
      </c>
      <c r="E818" s="2220">
        <v>1</v>
      </c>
      <c r="F818" s="2416">
        <v>2020659</v>
      </c>
      <c r="G818" s="2220"/>
      <c r="H818" s="2220">
        <v>290</v>
      </c>
      <c r="I818" s="2356">
        <v>18.8</v>
      </c>
      <c r="J818" s="2414">
        <v>18.8</v>
      </c>
      <c r="K818" s="2357"/>
    </row>
    <row r="819" spans="2:11" ht="15" hidden="1" x14ac:dyDescent="0.2">
      <c r="B819" s="2219" t="s">
        <v>94</v>
      </c>
      <c r="C819" s="2220">
        <v>56</v>
      </c>
      <c r="D819" s="2220">
        <v>8</v>
      </c>
      <c r="E819" s="2220">
        <v>1</v>
      </c>
      <c r="F819" s="2416">
        <v>2020659</v>
      </c>
      <c r="G819" s="2220"/>
      <c r="H819" s="2220">
        <v>290</v>
      </c>
      <c r="I819" s="2356"/>
      <c r="J819" s="2414"/>
      <c r="K819" s="2357"/>
    </row>
    <row r="820" spans="2:11" ht="15" hidden="1" x14ac:dyDescent="0.2">
      <c r="B820" s="2219" t="s">
        <v>96</v>
      </c>
      <c r="C820" s="2220">
        <v>56</v>
      </c>
      <c r="D820" s="2220">
        <v>8</v>
      </c>
      <c r="E820" s="2220">
        <v>1</v>
      </c>
      <c r="F820" s="2416">
        <v>2020659</v>
      </c>
      <c r="G820" s="2220"/>
      <c r="H820" s="2220">
        <v>310</v>
      </c>
      <c r="I820" s="2356">
        <v>100</v>
      </c>
      <c r="J820" s="2414">
        <v>80</v>
      </c>
      <c r="K820" s="2357"/>
    </row>
    <row r="821" spans="2:11" ht="15" hidden="1" x14ac:dyDescent="0.2">
      <c r="B821" s="2219" t="s">
        <v>97</v>
      </c>
      <c r="C821" s="2220">
        <v>56</v>
      </c>
      <c r="D821" s="2220">
        <v>8</v>
      </c>
      <c r="E821" s="2220">
        <v>1</v>
      </c>
      <c r="F821" s="2416">
        <v>2020659</v>
      </c>
      <c r="G821" s="2220"/>
      <c r="H821" s="2220">
        <v>340</v>
      </c>
      <c r="I821" s="2356">
        <v>20</v>
      </c>
      <c r="J821" s="2414">
        <v>20</v>
      </c>
      <c r="K821" s="2357"/>
    </row>
    <row r="822" spans="2:11" ht="15" hidden="1" x14ac:dyDescent="0.2">
      <c r="B822" s="2208" t="s">
        <v>767</v>
      </c>
      <c r="C822" s="2220">
        <v>56</v>
      </c>
      <c r="D822" s="2220">
        <v>8</v>
      </c>
      <c r="E822" s="2220">
        <v>1</v>
      </c>
      <c r="F822" s="2416">
        <v>2020659</v>
      </c>
      <c r="G822" s="2206">
        <v>612</v>
      </c>
      <c r="H822" s="2206">
        <v>241</v>
      </c>
      <c r="I822" s="1252">
        <v>0</v>
      </c>
      <c r="J822" s="2425">
        <v>0</v>
      </c>
      <c r="K822" s="2357"/>
    </row>
    <row r="823" spans="2:11" ht="26" hidden="1" x14ac:dyDescent="0.2">
      <c r="B823" s="2422" t="s">
        <v>1176</v>
      </c>
      <c r="C823" s="2220">
        <v>56</v>
      </c>
      <c r="D823" s="2220">
        <v>8</v>
      </c>
      <c r="E823" s="2220">
        <v>1</v>
      </c>
      <c r="F823" s="2416">
        <v>2020659</v>
      </c>
      <c r="G823" s="2420">
        <v>600</v>
      </c>
      <c r="H823" s="2420"/>
      <c r="I823" s="2424">
        <v>8040.6</v>
      </c>
      <c r="J823" s="2424">
        <v>8334.2999999999993</v>
      </c>
      <c r="K823" s="2357"/>
    </row>
    <row r="824" spans="2:11" ht="39" hidden="1" x14ac:dyDescent="0.2">
      <c r="B824" s="2208" t="s">
        <v>1135</v>
      </c>
      <c r="C824" s="2220">
        <v>56</v>
      </c>
      <c r="D824" s="2220">
        <v>8</v>
      </c>
      <c r="E824" s="2220">
        <v>1</v>
      </c>
      <c r="F824" s="2416">
        <v>2020659</v>
      </c>
      <c r="G824" s="2206">
        <v>611</v>
      </c>
      <c r="H824" s="2206">
        <v>241</v>
      </c>
      <c r="I824" s="2412">
        <v>8040.6</v>
      </c>
      <c r="J824" s="2412">
        <v>8334.2999999999993</v>
      </c>
      <c r="K824" s="2357"/>
    </row>
    <row r="825" spans="2:11" ht="15" hidden="1" x14ac:dyDescent="0.2">
      <c r="B825" s="2219" t="s">
        <v>78</v>
      </c>
      <c r="C825" s="2220">
        <v>56</v>
      </c>
      <c r="D825" s="2220">
        <v>8</v>
      </c>
      <c r="E825" s="2220">
        <v>1</v>
      </c>
      <c r="F825" s="2416">
        <v>2020659</v>
      </c>
      <c r="G825" s="2220"/>
      <c r="H825" s="2220">
        <v>211</v>
      </c>
      <c r="I825" s="1249">
        <v>6058</v>
      </c>
      <c r="J825" s="2413">
        <v>6161.2</v>
      </c>
      <c r="K825" s="2357"/>
    </row>
    <row r="826" spans="2:11" ht="15" hidden="1" x14ac:dyDescent="0.2">
      <c r="B826" s="2219" t="s">
        <v>103</v>
      </c>
      <c r="C826" s="2220">
        <v>56</v>
      </c>
      <c r="D826" s="2220">
        <v>8</v>
      </c>
      <c r="E826" s="2220">
        <v>1</v>
      </c>
      <c r="F826" s="2416">
        <v>2020659</v>
      </c>
      <c r="G826" s="2220"/>
      <c r="H826" s="2220">
        <v>212</v>
      </c>
      <c r="I826" s="2354"/>
      <c r="J826" s="2414">
        <v>0</v>
      </c>
      <c r="K826" s="2357"/>
    </row>
    <row r="827" spans="2:11" ht="15" hidden="1" x14ac:dyDescent="0.2">
      <c r="B827" s="2219" t="s">
        <v>84</v>
      </c>
      <c r="C827" s="2220">
        <v>56</v>
      </c>
      <c r="D827" s="2220">
        <v>8</v>
      </c>
      <c r="E827" s="2220">
        <v>1</v>
      </c>
      <c r="F827" s="2416">
        <v>2020659</v>
      </c>
      <c r="G827" s="2220"/>
      <c r="H827" s="2220">
        <v>213</v>
      </c>
      <c r="I827" s="1249">
        <v>1765.3</v>
      </c>
      <c r="J827" s="2413">
        <v>1798</v>
      </c>
      <c r="K827" s="2357"/>
    </row>
    <row r="828" spans="2:11" ht="15" hidden="1" x14ac:dyDescent="0.2">
      <c r="B828" s="2219" t="s">
        <v>85</v>
      </c>
      <c r="C828" s="2220">
        <v>56</v>
      </c>
      <c r="D828" s="2220">
        <v>8</v>
      </c>
      <c r="E828" s="2220">
        <v>1</v>
      </c>
      <c r="F828" s="2416">
        <v>2020659</v>
      </c>
      <c r="G828" s="2220"/>
      <c r="H828" s="2220">
        <v>221</v>
      </c>
      <c r="I828" s="2356"/>
      <c r="J828" s="2414"/>
      <c r="K828" s="2357"/>
    </row>
    <row r="829" spans="2:11" ht="15" hidden="1" x14ac:dyDescent="0.2">
      <c r="B829" s="2219" t="s">
        <v>86</v>
      </c>
      <c r="C829" s="2220">
        <v>56</v>
      </c>
      <c r="D829" s="2220">
        <v>8</v>
      </c>
      <c r="E829" s="2220">
        <v>1</v>
      </c>
      <c r="F829" s="2416">
        <v>2020659</v>
      </c>
      <c r="G829" s="2220"/>
      <c r="H829" s="2220">
        <v>222</v>
      </c>
      <c r="I829" s="2356"/>
      <c r="J829" s="2414"/>
      <c r="K829" s="2357"/>
    </row>
    <row r="830" spans="2:11" ht="15" hidden="1" x14ac:dyDescent="0.2">
      <c r="B830" s="2219" t="s">
        <v>87</v>
      </c>
      <c r="C830" s="2220">
        <v>56</v>
      </c>
      <c r="D830" s="2220">
        <v>8</v>
      </c>
      <c r="E830" s="2220">
        <v>1</v>
      </c>
      <c r="F830" s="2416">
        <v>2020659</v>
      </c>
      <c r="G830" s="2220"/>
      <c r="H830" s="2220">
        <v>223</v>
      </c>
      <c r="I830" s="2356"/>
      <c r="J830" s="2414"/>
      <c r="K830" s="2357"/>
    </row>
    <row r="831" spans="2:11" ht="15" hidden="1" x14ac:dyDescent="0.2">
      <c r="B831" s="2219" t="s">
        <v>134</v>
      </c>
      <c r="C831" s="2220">
        <v>56</v>
      </c>
      <c r="D831" s="2220">
        <v>8</v>
      </c>
      <c r="E831" s="2220">
        <v>1</v>
      </c>
      <c r="F831" s="2416">
        <v>2020659</v>
      </c>
      <c r="G831" s="2220"/>
      <c r="H831" s="2220">
        <v>224</v>
      </c>
      <c r="I831" s="2356"/>
      <c r="J831" s="2414"/>
      <c r="K831" s="2357"/>
    </row>
    <row r="832" spans="2:11" ht="15" hidden="1" x14ac:dyDescent="0.2">
      <c r="B832" s="2219" t="s">
        <v>90</v>
      </c>
      <c r="C832" s="2220">
        <v>56</v>
      </c>
      <c r="D832" s="2220">
        <v>8</v>
      </c>
      <c r="E832" s="2220">
        <v>1</v>
      </c>
      <c r="F832" s="2416">
        <v>2020659</v>
      </c>
      <c r="G832" s="2220"/>
      <c r="H832" s="2220">
        <v>225</v>
      </c>
      <c r="I832" s="2356"/>
      <c r="J832" s="2414"/>
      <c r="K832" s="2357"/>
    </row>
    <row r="833" spans="2:11" ht="15" hidden="1" x14ac:dyDescent="0.2">
      <c r="B833" s="2219" t="s">
        <v>91</v>
      </c>
      <c r="C833" s="2220">
        <v>56</v>
      </c>
      <c r="D833" s="2220">
        <v>8</v>
      </c>
      <c r="E833" s="2220">
        <v>1</v>
      </c>
      <c r="F833" s="2416">
        <v>2020659</v>
      </c>
      <c r="G833" s="2220"/>
      <c r="H833" s="2220">
        <v>226</v>
      </c>
      <c r="I833" s="2356"/>
      <c r="J833" s="2414"/>
      <c r="K833" s="2357"/>
    </row>
    <row r="834" spans="2:11" ht="15" hidden="1" x14ac:dyDescent="0.2">
      <c r="B834" s="2219" t="s">
        <v>94</v>
      </c>
      <c r="C834" s="2220">
        <v>56</v>
      </c>
      <c r="D834" s="2220">
        <v>8</v>
      </c>
      <c r="E834" s="2220">
        <v>1</v>
      </c>
      <c r="F834" s="2416">
        <v>2020659</v>
      </c>
      <c r="G834" s="2220"/>
      <c r="H834" s="2220">
        <v>290</v>
      </c>
      <c r="I834" s="2356">
        <v>17.3</v>
      </c>
      <c r="J834" s="2414">
        <v>17.3</v>
      </c>
      <c r="K834" s="2357"/>
    </row>
    <row r="835" spans="2:11" ht="15" hidden="1" x14ac:dyDescent="0.2">
      <c r="B835" s="2219" t="s">
        <v>94</v>
      </c>
      <c r="C835" s="2220">
        <v>56</v>
      </c>
      <c r="D835" s="2220">
        <v>8</v>
      </c>
      <c r="E835" s="2220">
        <v>1</v>
      </c>
      <c r="F835" s="2416">
        <v>2020659</v>
      </c>
      <c r="G835" s="2220"/>
      <c r="H835" s="2220">
        <v>290</v>
      </c>
      <c r="I835" s="2356"/>
      <c r="J835" s="2414"/>
      <c r="K835" s="2357"/>
    </row>
    <row r="836" spans="2:11" ht="15" hidden="1" x14ac:dyDescent="0.2">
      <c r="B836" s="2219" t="s">
        <v>96</v>
      </c>
      <c r="C836" s="2220">
        <v>56</v>
      </c>
      <c r="D836" s="2220">
        <v>8</v>
      </c>
      <c r="E836" s="2220">
        <v>1</v>
      </c>
      <c r="F836" s="2416">
        <v>2020659</v>
      </c>
      <c r="G836" s="2220"/>
      <c r="H836" s="2220">
        <v>310</v>
      </c>
      <c r="I836" s="2356">
        <v>195</v>
      </c>
      <c r="J836" s="2414">
        <v>352.8</v>
      </c>
      <c r="K836" s="2357"/>
    </row>
    <row r="837" spans="2:11" ht="15" hidden="1" x14ac:dyDescent="0.2">
      <c r="B837" s="2219" t="s">
        <v>97</v>
      </c>
      <c r="C837" s="2220">
        <v>56</v>
      </c>
      <c r="D837" s="2220">
        <v>8</v>
      </c>
      <c r="E837" s="2220">
        <v>1</v>
      </c>
      <c r="F837" s="2416">
        <v>2020659</v>
      </c>
      <c r="G837" s="2220"/>
      <c r="H837" s="2220">
        <v>340</v>
      </c>
      <c r="I837" s="2356">
        <v>5</v>
      </c>
      <c r="J837" s="2414">
        <v>5</v>
      </c>
      <c r="K837" s="2357"/>
    </row>
    <row r="838" spans="2:11" ht="15" hidden="1" x14ac:dyDescent="0.2">
      <c r="B838" s="2208" t="s">
        <v>767</v>
      </c>
      <c r="C838" s="2220">
        <v>56</v>
      </c>
      <c r="D838" s="2220">
        <v>8</v>
      </c>
      <c r="E838" s="2220">
        <v>1</v>
      </c>
      <c r="F838" s="2416">
        <v>2020659</v>
      </c>
      <c r="G838" s="2206">
        <v>612</v>
      </c>
      <c r="H838" s="2206">
        <v>241</v>
      </c>
      <c r="I838" s="1252">
        <v>0</v>
      </c>
      <c r="J838" s="2425">
        <v>0</v>
      </c>
      <c r="K838" s="2357"/>
    </row>
    <row r="839" spans="2:11" ht="15" hidden="1" x14ac:dyDescent="0.2">
      <c r="B839" s="2422" t="s">
        <v>1177</v>
      </c>
      <c r="C839" s="2220">
        <v>56</v>
      </c>
      <c r="D839" s="2220">
        <v>8</v>
      </c>
      <c r="E839" s="2220">
        <v>1</v>
      </c>
      <c r="F839" s="2416">
        <v>2020659</v>
      </c>
      <c r="G839" s="2420">
        <v>600</v>
      </c>
      <c r="H839" s="2420"/>
      <c r="I839" s="2424">
        <v>29610.400000000001</v>
      </c>
      <c r="J839" s="2424">
        <v>47019</v>
      </c>
      <c r="K839" s="2357"/>
    </row>
    <row r="840" spans="2:11" ht="39" hidden="1" x14ac:dyDescent="0.2">
      <c r="B840" s="2208" t="s">
        <v>1135</v>
      </c>
      <c r="C840" s="2220">
        <v>56</v>
      </c>
      <c r="D840" s="2220">
        <v>8</v>
      </c>
      <c r="E840" s="2220">
        <v>1</v>
      </c>
      <c r="F840" s="2416">
        <v>2020659</v>
      </c>
      <c r="G840" s="2206">
        <v>611</v>
      </c>
      <c r="H840" s="2206">
        <v>241</v>
      </c>
      <c r="I840" s="2412">
        <v>8970.4</v>
      </c>
      <c r="J840" s="2412">
        <v>10784</v>
      </c>
      <c r="K840" s="2357"/>
    </row>
    <row r="841" spans="2:11" ht="15" hidden="1" x14ac:dyDescent="0.2">
      <c r="B841" s="2219" t="s">
        <v>78</v>
      </c>
      <c r="C841" s="2220">
        <v>56</v>
      </c>
      <c r="D841" s="2220">
        <v>8</v>
      </c>
      <c r="E841" s="2220">
        <v>1</v>
      </c>
      <c r="F841" s="2416">
        <v>2020659</v>
      </c>
      <c r="G841" s="2220"/>
      <c r="H841" s="2220">
        <v>211</v>
      </c>
      <c r="I841" s="1249">
        <v>1645.9</v>
      </c>
      <c r="J841" s="2413">
        <v>1645.9</v>
      </c>
      <c r="K841" s="2357"/>
    </row>
    <row r="842" spans="2:11" ht="15" hidden="1" x14ac:dyDescent="0.2">
      <c r="B842" s="2219" t="s">
        <v>103</v>
      </c>
      <c r="C842" s="2220">
        <v>56</v>
      </c>
      <c r="D842" s="2220">
        <v>8</v>
      </c>
      <c r="E842" s="2220">
        <v>1</v>
      </c>
      <c r="F842" s="2416">
        <v>2020659</v>
      </c>
      <c r="G842" s="2220"/>
      <c r="H842" s="2220">
        <v>212</v>
      </c>
      <c r="I842" s="2354"/>
      <c r="J842" s="2414">
        <v>0</v>
      </c>
      <c r="K842" s="2357"/>
    </row>
    <row r="843" spans="2:11" ht="15" hidden="1" x14ac:dyDescent="0.2">
      <c r="B843" s="2219" t="s">
        <v>84</v>
      </c>
      <c r="C843" s="2220">
        <v>56</v>
      </c>
      <c r="D843" s="2220">
        <v>8</v>
      </c>
      <c r="E843" s="2220">
        <v>1</v>
      </c>
      <c r="F843" s="2416">
        <v>2020659</v>
      </c>
      <c r="G843" s="2220"/>
      <c r="H843" s="2220">
        <v>213</v>
      </c>
      <c r="I843" s="2356">
        <v>479.6</v>
      </c>
      <c r="J843" s="2414">
        <v>479.6</v>
      </c>
      <c r="K843" s="2357"/>
    </row>
    <row r="844" spans="2:11" ht="15" hidden="1" x14ac:dyDescent="0.2">
      <c r="B844" s="2219" t="s">
        <v>85</v>
      </c>
      <c r="C844" s="2220">
        <v>56</v>
      </c>
      <c r="D844" s="2220">
        <v>8</v>
      </c>
      <c r="E844" s="2220">
        <v>1</v>
      </c>
      <c r="F844" s="2416">
        <v>2020659</v>
      </c>
      <c r="G844" s="2220"/>
      <c r="H844" s="2220">
        <v>221</v>
      </c>
      <c r="I844" s="2356"/>
      <c r="J844" s="2414"/>
      <c r="K844" s="2357"/>
    </row>
    <row r="845" spans="2:11" ht="15" hidden="1" x14ac:dyDescent="0.2">
      <c r="B845" s="2219" t="s">
        <v>86</v>
      </c>
      <c r="C845" s="2220">
        <v>56</v>
      </c>
      <c r="D845" s="2220">
        <v>8</v>
      </c>
      <c r="E845" s="2220">
        <v>1</v>
      </c>
      <c r="F845" s="2416">
        <v>2020659</v>
      </c>
      <c r="G845" s="2220"/>
      <c r="H845" s="2220">
        <v>222</v>
      </c>
      <c r="I845" s="2356"/>
      <c r="J845" s="2414"/>
      <c r="K845" s="2357"/>
    </row>
    <row r="846" spans="2:11" ht="15" hidden="1" x14ac:dyDescent="0.2">
      <c r="B846" s="2219" t="s">
        <v>87</v>
      </c>
      <c r="C846" s="2220">
        <v>56</v>
      </c>
      <c r="D846" s="2220">
        <v>8</v>
      </c>
      <c r="E846" s="2220">
        <v>1</v>
      </c>
      <c r="F846" s="2416">
        <v>2020659</v>
      </c>
      <c r="G846" s="2220"/>
      <c r="H846" s="2220">
        <v>223</v>
      </c>
      <c r="I846" s="2356"/>
      <c r="J846" s="2414"/>
      <c r="K846" s="2357"/>
    </row>
    <row r="847" spans="2:11" ht="15" hidden="1" x14ac:dyDescent="0.2">
      <c r="B847" s="2219" t="s">
        <v>134</v>
      </c>
      <c r="C847" s="2220">
        <v>56</v>
      </c>
      <c r="D847" s="2220">
        <v>8</v>
      </c>
      <c r="E847" s="2220">
        <v>1</v>
      </c>
      <c r="F847" s="2416">
        <v>2020659</v>
      </c>
      <c r="G847" s="2220"/>
      <c r="H847" s="2220">
        <v>224</v>
      </c>
      <c r="I847" s="2356">
        <v>336</v>
      </c>
      <c r="J847" s="2414">
        <v>201.6</v>
      </c>
      <c r="K847" s="2357"/>
    </row>
    <row r="848" spans="2:11" ht="15" hidden="1" x14ac:dyDescent="0.2">
      <c r="B848" s="2219" t="s">
        <v>90</v>
      </c>
      <c r="C848" s="2220">
        <v>56</v>
      </c>
      <c r="D848" s="2220">
        <v>8</v>
      </c>
      <c r="E848" s="2220">
        <v>1</v>
      </c>
      <c r="F848" s="2416">
        <v>2020659</v>
      </c>
      <c r="G848" s="2220"/>
      <c r="H848" s="2220">
        <v>225</v>
      </c>
      <c r="I848" s="2356"/>
      <c r="J848" s="2414"/>
      <c r="K848" s="2357"/>
    </row>
    <row r="849" spans="2:11" ht="15" hidden="1" x14ac:dyDescent="0.2">
      <c r="B849" s="2219" t="s">
        <v>91</v>
      </c>
      <c r="C849" s="2220">
        <v>56</v>
      </c>
      <c r="D849" s="2220">
        <v>8</v>
      </c>
      <c r="E849" s="2220">
        <v>1</v>
      </c>
      <c r="F849" s="2416">
        <v>2020659</v>
      </c>
      <c r="G849" s="2220"/>
      <c r="H849" s="2220">
        <v>226</v>
      </c>
      <c r="I849" s="1249">
        <v>6500</v>
      </c>
      <c r="J849" s="2413">
        <v>8450</v>
      </c>
      <c r="K849" s="2357"/>
    </row>
    <row r="850" spans="2:11" ht="15" hidden="1" x14ac:dyDescent="0.2">
      <c r="B850" s="2219" t="s">
        <v>94</v>
      </c>
      <c r="C850" s="2220">
        <v>56</v>
      </c>
      <c r="D850" s="2220">
        <v>8</v>
      </c>
      <c r="E850" s="2220">
        <v>1</v>
      </c>
      <c r="F850" s="2416">
        <v>2020659</v>
      </c>
      <c r="G850" s="2220"/>
      <c r="H850" s="2220">
        <v>290</v>
      </c>
      <c r="I850" s="2356">
        <v>8.9</v>
      </c>
      <c r="J850" s="2414">
        <v>6.9</v>
      </c>
      <c r="K850" s="2357"/>
    </row>
    <row r="851" spans="2:11" ht="15" hidden="1" x14ac:dyDescent="0.2">
      <c r="B851" s="2219" t="s">
        <v>94</v>
      </c>
      <c r="C851" s="2220">
        <v>56</v>
      </c>
      <c r="D851" s="2220">
        <v>8</v>
      </c>
      <c r="E851" s="2220">
        <v>1</v>
      </c>
      <c r="F851" s="2416">
        <v>2020659</v>
      </c>
      <c r="G851" s="2220"/>
      <c r="H851" s="2220">
        <v>290</v>
      </c>
      <c r="I851" s="2356"/>
      <c r="J851" s="2414"/>
      <c r="K851" s="2357"/>
    </row>
    <row r="852" spans="2:11" ht="15" hidden="1" x14ac:dyDescent="0.2">
      <c r="B852" s="2219" t="s">
        <v>96</v>
      </c>
      <c r="C852" s="2220">
        <v>56</v>
      </c>
      <c r="D852" s="2220">
        <v>8</v>
      </c>
      <c r="E852" s="2220">
        <v>1</v>
      </c>
      <c r="F852" s="2416">
        <v>2020659</v>
      </c>
      <c r="G852" s="2220"/>
      <c r="H852" s="2220">
        <v>310</v>
      </c>
      <c r="I852" s="1251"/>
      <c r="J852" s="2488"/>
      <c r="K852" s="2357"/>
    </row>
    <row r="853" spans="2:11" ht="15" hidden="1" x14ac:dyDescent="0.2">
      <c r="B853" s="2219" t="s">
        <v>97</v>
      </c>
      <c r="C853" s="2220">
        <v>56</v>
      </c>
      <c r="D853" s="2220">
        <v>8</v>
      </c>
      <c r="E853" s="2220">
        <v>1</v>
      </c>
      <c r="F853" s="2416">
        <v>2020659</v>
      </c>
      <c r="G853" s="2220"/>
      <c r="H853" s="2220">
        <v>340</v>
      </c>
      <c r="I853" s="2356"/>
      <c r="J853" s="2414"/>
      <c r="K853" s="2357"/>
    </row>
    <row r="854" spans="2:11" ht="15" hidden="1" x14ac:dyDescent="0.2">
      <c r="B854" s="2208" t="s">
        <v>767</v>
      </c>
      <c r="C854" s="2220">
        <v>56</v>
      </c>
      <c r="D854" s="2220">
        <v>8</v>
      </c>
      <c r="E854" s="2220">
        <v>1</v>
      </c>
      <c r="F854" s="2416">
        <v>2020659</v>
      </c>
      <c r="G854" s="2206">
        <v>612</v>
      </c>
      <c r="H854" s="2206">
        <v>241</v>
      </c>
      <c r="I854" s="1270">
        <v>20640</v>
      </c>
      <c r="J854" s="2438">
        <v>36235</v>
      </c>
      <c r="K854" s="2357"/>
    </row>
    <row r="855" spans="2:11" ht="26" hidden="1" x14ac:dyDescent="0.2">
      <c r="B855" s="2422" t="s">
        <v>1178</v>
      </c>
      <c r="C855" s="2220">
        <v>56</v>
      </c>
      <c r="D855" s="2220">
        <v>8</v>
      </c>
      <c r="E855" s="2220">
        <v>1</v>
      </c>
      <c r="F855" s="2416">
        <v>2020659</v>
      </c>
      <c r="G855" s="2420">
        <v>600</v>
      </c>
      <c r="H855" s="2420"/>
      <c r="I855" s="2424">
        <v>59627.6</v>
      </c>
      <c r="J855" s="2424">
        <v>59619.4</v>
      </c>
      <c r="K855" s="2357"/>
    </row>
    <row r="856" spans="2:11" ht="39" hidden="1" x14ac:dyDescent="0.2">
      <c r="B856" s="2208" t="s">
        <v>1135</v>
      </c>
      <c r="C856" s="2220">
        <v>56</v>
      </c>
      <c r="D856" s="2220">
        <v>8</v>
      </c>
      <c r="E856" s="2220">
        <v>1</v>
      </c>
      <c r="F856" s="2416">
        <v>2020659</v>
      </c>
      <c r="G856" s="2206">
        <v>611</v>
      </c>
      <c r="H856" s="2206">
        <v>241</v>
      </c>
      <c r="I856" s="2412">
        <v>59627.6</v>
      </c>
      <c r="J856" s="2412">
        <v>59619.4</v>
      </c>
      <c r="K856" s="2357"/>
    </row>
    <row r="857" spans="2:11" ht="15" hidden="1" x14ac:dyDescent="0.2">
      <c r="B857" s="2219" t="s">
        <v>78</v>
      </c>
      <c r="C857" s="2220">
        <v>56</v>
      </c>
      <c r="D857" s="2220">
        <v>8</v>
      </c>
      <c r="E857" s="2220">
        <v>1</v>
      </c>
      <c r="F857" s="2416">
        <v>2020659</v>
      </c>
      <c r="G857" s="2220"/>
      <c r="H857" s="2220">
        <v>211</v>
      </c>
      <c r="I857" s="1249">
        <v>44143.3</v>
      </c>
      <c r="J857" s="2413">
        <v>47143.3</v>
      </c>
      <c r="K857" s="2357"/>
    </row>
    <row r="858" spans="2:11" ht="15" hidden="1" x14ac:dyDescent="0.2">
      <c r="B858" s="2219" t="s">
        <v>103</v>
      </c>
      <c r="C858" s="2220">
        <v>56</v>
      </c>
      <c r="D858" s="2220">
        <v>8</v>
      </c>
      <c r="E858" s="2220">
        <v>1</v>
      </c>
      <c r="F858" s="2416">
        <v>2020659</v>
      </c>
      <c r="G858" s="2220"/>
      <c r="H858" s="2220">
        <v>212</v>
      </c>
      <c r="I858" s="2354"/>
      <c r="J858" s="2487"/>
      <c r="K858" s="2357"/>
    </row>
    <row r="859" spans="2:11" ht="15" hidden="1" x14ac:dyDescent="0.2">
      <c r="B859" s="2219" t="s">
        <v>84</v>
      </c>
      <c r="C859" s="2220">
        <v>56</v>
      </c>
      <c r="D859" s="2220">
        <v>8</v>
      </c>
      <c r="E859" s="2220">
        <v>1</v>
      </c>
      <c r="F859" s="2416">
        <v>2020659</v>
      </c>
      <c r="G859" s="2220"/>
      <c r="H859" s="2220">
        <v>213</v>
      </c>
      <c r="I859" s="1249">
        <v>12863.5</v>
      </c>
      <c r="J859" s="2413">
        <v>9863.5</v>
      </c>
      <c r="K859" s="2357"/>
    </row>
    <row r="860" spans="2:11" ht="15" hidden="1" x14ac:dyDescent="0.2">
      <c r="B860" s="2219" t="s">
        <v>85</v>
      </c>
      <c r="C860" s="2220">
        <v>56</v>
      </c>
      <c r="D860" s="2220">
        <v>8</v>
      </c>
      <c r="E860" s="2220">
        <v>1</v>
      </c>
      <c r="F860" s="2416">
        <v>2020659</v>
      </c>
      <c r="G860" s="2220"/>
      <c r="H860" s="2220">
        <v>221</v>
      </c>
      <c r="I860" s="2356"/>
      <c r="J860" s="2414"/>
      <c r="K860" s="2357"/>
    </row>
    <row r="861" spans="2:11" ht="15" hidden="1" x14ac:dyDescent="0.2">
      <c r="B861" s="2219" t="s">
        <v>86</v>
      </c>
      <c r="C861" s="2220">
        <v>56</v>
      </c>
      <c r="D861" s="2220">
        <v>8</v>
      </c>
      <c r="E861" s="2220">
        <v>1</v>
      </c>
      <c r="F861" s="2416">
        <v>2020659</v>
      </c>
      <c r="G861" s="2220"/>
      <c r="H861" s="2220">
        <v>222</v>
      </c>
      <c r="I861" s="1249">
        <v>1000</v>
      </c>
      <c r="J861" s="2413">
        <v>1083</v>
      </c>
      <c r="K861" s="2357"/>
    </row>
    <row r="862" spans="2:11" ht="15" hidden="1" x14ac:dyDescent="0.2">
      <c r="B862" s="2219" t="s">
        <v>87</v>
      </c>
      <c r="C862" s="2220">
        <v>56</v>
      </c>
      <c r="D862" s="2220">
        <v>8</v>
      </c>
      <c r="E862" s="2220">
        <v>1</v>
      </c>
      <c r="F862" s="2416">
        <v>2020659</v>
      </c>
      <c r="G862" s="2220"/>
      <c r="H862" s="2220">
        <v>223</v>
      </c>
      <c r="I862" s="2356">
        <v>352.1</v>
      </c>
      <c r="J862" s="2414">
        <v>316.89999999999998</v>
      </c>
      <c r="K862" s="2357"/>
    </row>
    <row r="863" spans="2:11" ht="15" hidden="1" x14ac:dyDescent="0.2">
      <c r="B863" s="2219" t="s">
        <v>134</v>
      </c>
      <c r="C863" s="2220">
        <v>56</v>
      </c>
      <c r="D863" s="2220">
        <v>8</v>
      </c>
      <c r="E863" s="2220">
        <v>1</v>
      </c>
      <c r="F863" s="2416">
        <v>2020659</v>
      </c>
      <c r="G863" s="2220"/>
      <c r="H863" s="2220">
        <v>224</v>
      </c>
      <c r="I863" s="2356"/>
      <c r="J863" s="2414"/>
      <c r="K863" s="2357"/>
    </row>
    <row r="864" spans="2:11" ht="15" hidden="1" x14ac:dyDescent="0.2">
      <c r="B864" s="2219" t="s">
        <v>90</v>
      </c>
      <c r="C864" s="2220">
        <v>56</v>
      </c>
      <c r="D864" s="2220">
        <v>8</v>
      </c>
      <c r="E864" s="2220">
        <v>1</v>
      </c>
      <c r="F864" s="2416">
        <v>2020659</v>
      </c>
      <c r="G864" s="2220"/>
      <c r="H864" s="2220">
        <v>225</v>
      </c>
      <c r="I864" s="2356">
        <v>10.7</v>
      </c>
      <c r="J864" s="2414">
        <v>10.7</v>
      </c>
      <c r="K864" s="2357"/>
    </row>
    <row r="865" spans="2:11" ht="15" hidden="1" x14ac:dyDescent="0.2">
      <c r="B865" s="2219" t="s">
        <v>91</v>
      </c>
      <c r="C865" s="2220">
        <v>56</v>
      </c>
      <c r="D865" s="2220">
        <v>8</v>
      </c>
      <c r="E865" s="2220">
        <v>1</v>
      </c>
      <c r="F865" s="2416">
        <v>2020659</v>
      </c>
      <c r="G865" s="2220"/>
      <c r="H865" s="2220">
        <v>226</v>
      </c>
      <c r="I865" s="1251"/>
      <c r="J865" s="2488">
        <v>144</v>
      </c>
      <c r="K865" s="2357"/>
    </row>
    <row r="866" spans="2:11" ht="15" hidden="1" x14ac:dyDescent="0.2">
      <c r="B866" s="2219" t="s">
        <v>94</v>
      </c>
      <c r="C866" s="2220">
        <v>56</v>
      </c>
      <c r="D866" s="2220">
        <v>8</v>
      </c>
      <c r="E866" s="2220">
        <v>1</v>
      </c>
      <c r="F866" s="2416">
        <v>2020659</v>
      </c>
      <c r="G866" s="2220"/>
      <c r="H866" s="2220">
        <v>290</v>
      </c>
      <c r="I866" s="2356">
        <v>258</v>
      </c>
      <c r="J866" s="2414">
        <v>258</v>
      </c>
      <c r="K866" s="2357"/>
    </row>
    <row r="867" spans="2:11" ht="15" hidden="1" x14ac:dyDescent="0.2">
      <c r="B867" s="2219" t="s">
        <v>94</v>
      </c>
      <c r="C867" s="2220">
        <v>56</v>
      </c>
      <c r="D867" s="2220">
        <v>8</v>
      </c>
      <c r="E867" s="2220">
        <v>1</v>
      </c>
      <c r="F867" s="2416">
        <v>2020659</v>
      </c>
      <c r="G867" s="2220"/>
      <c r="H867" s="2220">
        <v>290</v>
      </c>
      <c r="I867" s="2356"/>
      <c r="J867" s="2414"/>
      <c r="K867" s="2357"/>
    </row>
    <row r="868" spans="2:11" ht="15" hidden="1" x14ac:dyDescent="0.2">
      <c r="B868" s="2219" t="s">
        <v>96</v>
      </c>
      <c r="C868" s="2220">
        <v>56</v>
      </c>
      <c r="D868" s="2220">
        <v>8</v>
      </c>
      <c r="E868" s="2220">
        <v>1</v>
      </c>
      <c r="F868" s="2416">
        <v>2020659</v>
      </c>
      <c r="G868" s="2220"/>
      <c r="H868" s="2220">
        <v>310</v>
      </c>
      <c r="I868" s="1249">
        <v>1000</v>
      </c>
      <c r="J868" s="2414">
        <v>800</v>
      </c>
      <c r="K868" s="2357"/>
    </row>
    <row r="869" spans="2:11" ht="15" hidden="1" x14ac:dyDescent="0.2">
      <c r="B869" s="2219" t="s">
        <v>97</v>
      </c>
      <c r="C869" s="2220">
        <v>56</v>
      </c>
      <c r="D869" s="2220">
        <v>8</v>
      </c>
      <c r="E869" s="2220">
        <v>1</v>
      </c>
      <c r="F869" s="2416">
        <v>2020659</v>
      </c>
      <c r="G869" s="2220"/>
      <c r="H869" s="2220">
        <v>340</v>
      </c>
      <c r="I869" s="2356"/>
      <c r="J869" s="2414"/>
      <c r="K869" s="2357"/>
    </row>
    <row r="870" spans="2:11" ht="15" hidden="1" x14ac:dyDescent="0.2">
      <c r="B870" s="2208" t="s">
        <v>767</v>
      </c>
      <c r="C870" s="2220">
        <v>56</v>
      </c>
      <c r="D870" s="2220">
        <v>8</v>
      </c>
      <c r="E870" s="2220">
        <v>1</v>
      </c>
      <c r="F870" s="2416">
        <v>2020659</v>
      </c>
      <c r="G870" s="2206">
        <v>612</v>
      </c>
      <c r="H870" s="2206">
        <v>241</v>
      </c>
      <c r="I870" s="1252">
        <v>0</v>
      </c>
      <c r="J870" s="2425">
        <v>0</v>
      </c>
      <c r="K870" s="2357"/>
    </row>
    <row r="871" spans="2:11" ht="15" hidden="1" x14ac:dyDescent="0.2">
      <c r="B871" s="2422" t="s">
        <v>1179</v>
      </c>
      <c r="C871" s="2220">
        <v>56</v>
      </c>
      <c r="D871" s="2220">
        <v>8</v>
      </c>
      <c r="E871" s="2220">
        <v>1</v>
      </c>
      <c r="F871" s="2416">
        <v>2020659</v>
      </c>
      <c r="G871" s="2420">
        <v>600</v>
      </c>
      <c r="H871" s="2420"/>
      <c r="I871" s="2424">
        <v>6679.1</v>
      </c>
      <c r="J871" s="2424">
        <v>6532.9</v>
      </c>
      <c r="K871" s="2357"/>
    </row>
    <row r="872" spans="2:11" ht="39" hidden="1" x14ac:dyDescent="0.2">
      <c r="B872" s="2208" t="s">
        <v>1135</v>
      </c>
      <c r="C872" s="2220">
        <v>56</v>
      </c>
      <c r="D872" s="2220">
        <v>8</v>
      </c>
      <c r="E872" s="2220">
        <v>1</v>
      </c>
      <c r="F872" s="2416">
        <v>2020659</v>
      </c>
      <c r="G872" s="2206">
        <v>611</v>
      </c>
      <c r="H872" s="2206">
        <v>241</v>
      </c>
      <c r="I872" s="2412">
        <v>6679.1</v>
      </c>
      <c r="J872" s="2412">
        <v>6532.9</v>
      </c>
      <c r="K872" s="2357"/>
    </row>
    <row r="873" spans="2:11" ht="15" hidden="1" x14ac:dyDescent="0.2">
      <c r="B873" s="2219" t="s">
        <v>78</v>
      </c>
      <c r="C873" s="2220">
        <v>56</v>
      </c>
      <c r="D873" s="2220">
        <v>8</v>
      </c>
      <c r="E873" s="2220">
        <v>1</v>
      </c>
      <c r="F873" s="2416">
        <v>2020659</v>
      </c>
      <c r="G873" s="2220"/>
      <c r="H873" s="2220">
        <v>211</v>
      </c>
      <c r="I873" s="1249">
        <v>4710.7</v>
      </c>
      <c r="J873" s="2413">
        <v>4710.7</v>
      </c>
      <c r="K873" s="2357"/>
    </row>
    <row r="874" spans="2:11" ht="15" hidden="1" x14ac:dyDescent="0.2">
      <c r="B874" s="2219" t="s">
        <v>103</v>
      </c>
      <c r="C874" s="2220">
        <v>56</v>
      </c>
      <c r="D874" s="2220">
        <v>8</v>
      </c>
      <c r="E874" s="2220">
        <v>1</v>
      </c>
      <c r="F874" s="2416">
        <v>2020659</v>
      </c>
      <c r="G874" s="2220"/>
      <c r="H874" s="2220">
        <v>212</v>
      </c>
      <c r="I874" s="2354"/>
      <c r="J874" s="2414">
        <v>0</v>
      </c>
      <c r="K874" s="2357"/>
    </row>
    <row r="875" spans="2:11" ht="15" hidden="1" x14ac:dyDescent="0.2">
      <c r="B875" s="2219" t="s">
        <v>84</v>
      </c>
      <c r="C875" s="2220">
        <v>56</v>
      </c>
      <c r="D875" s="2220">
        <v>8</v>
      </c>
      <c r="E875" s="2220">
        <v>1</v>
      </c>
      <c r="F875" s="2416">
        <v>2020659</v>
      </c>
      <c r="G875" s="2220"/>
      <c r="H875" s="2220">
        <v>213</v>
      </c>
      <c r="I875" s="1249">
        <v>1370.6</v>
      </c>
      <c r="J875" s="2413">
        <v>1370.6</v>
      </c>
      <c r="K875" s="2357"/>
    </row>
    <row r="876" spans="2:11" ht="15" hidden="1" x14ac:dyDescent="0.2">
      <c r="B876" s="2219" t="s">
        <v>85</v>
      </c>
      <c r="C876" s="2220">
        <v>56</v>
      </c>
      <c r="D876" s="2220">
        <v>8</v>
      </c>
      <c r="E876" s="2220">
        <v>1</v>
      </c>
      <c r="F876" s="2416">
        <v>2020659</v>
      </c>
      <c r="G876" s="2220"/>
      <c r="H876" s="2220">
        <v>221</v>
      </c>
      <c r="I876" s="2356"/>
      <c r="J876" s="2414"/>
      <c r="K876" s="2357"/>
    </row>
    <row r="877" spans="2:11" ht="15" hidden="1" x14ac:dyDescent="0.2">
      <c r="B877" s="2219" t="s">
        <v>86</v>
      </c>
      <c r="C877" s="2220">
        <v>56</v>
      </c>
      <c r="D877" s="2220">
        <v>8</v>
      </c>
      <c r="E877" s="2220">
        <v>1</v>
      </c>
      <c r="F877" s="2416">
        <v>2020659</v>
      </c>
      <c r="G877" s="2220"/>
      <c r="H877" s="2220">
        <v>222</v>
      </c>
      <c r="I877" s="2356"/>
      <c r="J877" s="2414"/>
      <c r="K877" s="2357"/>
    </row>
    <row r="878" spans="2:11" ht="15" hidden="1" x14ac:dyDescent="0.2">
      <c r="B878" s="2219" t="s">
        <v>87</v>
      </c>
      <c r="C878" s="2220">
        <v>56</v>
      </c>
      <c r="D878" s="2220">
        <v>8</v>
      </c>
      <c r="E878" s="2220">
        <v>1</v>
      </c>
      <c r="F878" s="2416">
        <v>2020659</v>
      </c>
      <c r="G878" s="2220"/>
      <c r="H878" s="2220">
        <v>223</v>
      </c>
      <c r="I878" s="2356">
        <v>22.1</v>
      </c>
      <c r="J878" s="2414">
        <v>19.899999999999999</v>
      </c>
      <c r="K878" s="2357"/>
    </row>
    <row r="879" spans="2:11" ht="15" hidden="1" x14ac:dyDescent="0.2">
      <c r="B879" s="2219" t="s">
        <v>134</v>
      </c>
      <c r="C879" s="2220">
        <v>56</v>
      </c>
      <c r="D879" s="2220">
        <v>8</v>
      </c>
      <c r="E879" s="2220">
        <v>1</v>
      </c>
      <c r="F879" s="2416">
        <v>2020659</v>
      </c>
      <c r="G879" s="2220"/>
      <c r="H879" s="2220">
        <v>224</v>
      </c>
      <c r="I879" s="2356">
        <v>360</v>
      </c>
      <c r="J879" s="2414">
        <v>316</v>
      </c>
      <c r="K879" s="2357"/>
    </row>
    <row r="880" spans="2:11" ht="15" hidden="1" x14ac:dyDescent="0.2">
      <c r="B880" s="2219" t="s">
        <v>90</v>
      </c>
      <c r="C880" s="2220">
        <v>56</v>
      </c>
      <c r="D880" s="2220">
        <v>8</v>
      </c>
      <c r="E880" s="2220">
        <v>1</v>
      </c>
      <c r="F880" s="2416">
        <v>2020659</v>
      </c>
      <c r="G880" s="2220"/>
      <c r="H880" s="2220">
        <v>225</v>
      </c>
      <c r="I880" s="2356"/>
      <c r="J880" s="2414"/>
      <c r="K880" s="2357"/>
    </row>
    <row r="881" spans="2:11" ht="15" hidden="1" x14ac:dyDescent="0.2">
      <c r="B881" s="2219" t="s">
        <v>91</v>
      </c>
      <c r="C881" s="2220">
        <v>56</v>
      </c>
      <c r="D881" s="2220">
        <v>8</v>
      </c>
      <c r="E881" s="2220">
        <v>1</v>
      </c>
      <c r="F881" s="2416">
        <v>2020659</v>
      </c>
      <c r="G881" s="2220"/>
      <c r="H881" s="2220">
        <v>226</v>
      </c>
      <c r="I881" s="2356"/>
      <c r="J881" s="2414"/>
      <c r="K881" s="2357"/>
    </row>
    <row r="882" spans="2:11" ht="15" hidden="1" x14ac:dyDescent="0.2">
      <c r="B882" s="2219" t="s">
        <v>94</v>
      </c>
      <c r="C882" s="2220">
        <v>56</v>
      </c>
      <c r="D882" s="2220">
        <v>8</v>
      </c>
      <c r="E882" s="2220">
        <v>1</v>
      </c>
      <c r="F882" s="2416">
        <v>2020659</v>
      </c>
      <c r="G882" s="2220"/>
      <c r="H882" s="2220">
        <v>290</v>
      </c>
      <c r="I882" s="2356">
        <v>15.7</v>
      </c>
      <c r="J882" s="2414">
        <v>15.7</v>
      </c>
      <c r="K882" s="2357"/>
    </row>
    <row r="883" spans="2:11" ht="15" hidden="1" x14ac:dyDescent="0.2">
      <c r="B883" s="2219" t="s">
        <v>94</v>
      </c>
      <c r="C883" s="2220">
        <v>56</v>
      </c>
      <c r="D883" s="2220">
        <v>8</v>
      </c>
      <c r="E883" s="2220">
        <v>1</v>
      </c>
      <c r="F883" s="2416">
        <v>2020659</v>
      </c>
      <c r="G883" s="2220"/>
      <c r="H883" s="2220">
        <v>290</v>
      </c>
      <c r="I883" s="2356"/>
      <c r="J883" s="2414"/>
      <c r="K883" s="2357"/>
    </row>
    <row r="884" spans="2:11" ht="15" hidden="1" x14ac:dyDescent="0.2">
      <c r="B884" s="2219" t="s">
        <v>96</v>
      </c>
      <c r="C884" s="2220">
        <v>56</v>
      </c>
      <c r="D884" s="2220">
        <v>8</v>
      </c>
      <c r="E884" s="2220">
        <v>1</v>
      </c>
      <c r="F884" s="2416">
        <v>2020659</v>
      </c>
      <c r="G884" s="2220"/>
      <c r="H884" s="2220">
        <v>310</v>
      </c>
      <c r="I884" s="2356">
        <v>200</v>
      </c>
      <c r="J884" s="2414">
        <v>100</v>
      </c>
      <c r="K884" s="2357"/>
    </row>
    <row r="885" spans="2:11" ht="15" hidden="1" x14ac:dyDescent="0.2">
      <c r="B885" s="2219" t="s">
        <v>97</v>
      </c>
      <c r="C885" s="2220">
        <v>56</v>
      </c>
      <c r="D885" s="2220">
        <v>8</v>
      </c>
      <c r="E885" s="2220">
        <v>1</v>
      </c>
      <c r="F885" s="2416">
        <v>2020659</v>
      </c>
      <c r="G885" s="2220"/>
      <c r="H885" s="2220">
        <v>340</v>
      </c>
      <c r="I885" s="2356"/>
      <c r="J885" s="2414"/>
      <c r="K885" s="2357"/>
    </row>
    <row r="886" spans="2:11" ht="15" hidden="1" x14ac:dyDescent="0.2">
      <c r="B886" s="2208" t="s">
        <v>767</v>
      </c>
      <c r="C886" s="2220">
        <v>56</v>
      </c>
      <c r="D886" s="2220">
        <v>8</v>
      </c>
      <c r="E886" s="2220">
        <v>1</v>
      </c>
      <c r="F886" s="2416">
        <v>2020659</v>
      </c>
      <c r="G886" s="2206">
        <v>612</v>
      </c>
      <c r="H886" s="2206">
        <v>241</v>
      </c>
      <c r="I886" s="1252">
        <v>0</v>
      </c>
      <c r="J886" s="2425">
        <v>0</v>
      </c>
      <c r="K886" s="2357"/>
    </row>
    <row r="887" spans="2:11" ht="26" hidden="1" x14ac:dyDescent="0.2">
      <c r="B887" s="2422" t="s">
        <v>1362</v>
      </c>
      <c r="C887" s="2220">
        <v>56</v>
      </c>
      <c r="D887" s="2220">
        <v>8</v>
      </c>
      <c r="E887" s="2220">
        <v>1</v>
      </c>
      <c r="F887" s="2416">
        <v>2020659</v>
      </c>
      <c r="G887" s="2420">
        <v>600</v>
      </c>
      <c r="H887" s="2420"/>
      <c r="I887" s="2424">
        <v>7065.7</v>
      </c>
      <c r="J887" s="2424">
        <v>5731.5</v>
      </c>
      <c r="K887" s="2357"/>
    </row>
    <row r="888" spans="2:11" ht="39" hidden="1" x14ac:dyDescent="0.2">
      <c r="B888" s="2208" t="s">
        <v>1135</v>
      </c>
      <c r="C888" s="2220">
        <v>56</v>
      </c>
      <c r="D888" s="2220">
        <v>8</v>
      </c>
      <c r="E888" s="2220">
        <v>1</v>
      </c>
      <c r="F888" s="2416">
        <v>2020659</v>
      </c>
      <c r="G888" s="2206">
        <v>611</v>
      </c>
      <c r="H888" s="2206">
        <v>241</v>
      </c>
      <c r="I888" s="2412">
        <v>7065.7</v>
      </c>
      <c r="J888" s="2412">
        <v>5731.5</v>
      </c>
      <c r="K888" s="2357"/>
    </row>
    <row r="889" spans="2:11" ht="15" hidden="1" x14ac:dyDescent="0.2">
      <c r="B889" s="2219" t="s">
        <v>78</v>
      </c>
      <c r="C889" s="2220">
        <v>56</v>
      </c>
      <c r="D889" s="2220">
        <v>8</v>
      </c>
      <c r="E889" s="2220">
        <v>1</v>
      </c>
      <c r="F889" s="2416">
        <v>2020659</v>
      </c>
      <c r="G889" s="2220"/>
      <c r="H889" s="2220">
        <v>211</v>
      </c>
      <c r="I889" s="1249">
        <v>4339.1000000000004</v>
      </c>
      <c r="J889" s="2413">
        <v>4201.5</v>
      </c>
      <c r="K889" s="2357"/>
    </row>
    <row r="890" spans="2:11" ht="15" hidden="1" x14ac:dyDescent="0.2">
      <c r="B890" s="2219" t="s">
        <v>103</v>
      </c>
      <c r="C890" s="2220">
        <v>56</v>
      </c>
      <c r="D890" s="2220">
        <v>8</v>
      </c>
      <c r="E890" s="2220">
        <v>1</v>
      </c>
      <c r="F890" s="2416">
        <v>2020659</v>
      </c>
      <c r="G890" s="2220"/>
      <c r="H890" s="2220">
        <v>212</v>
      </c>
      <c r="I890" s="2354"/>
      <c r="J890" s="2414">
        <v>0</v>
      </c>
      <c r="K890" s="2357"/>
    </row>
    <row r="891" spans="2:11" ht="15" hidden="1" x14ac:dyDescent="0.2">
      <c r="B891" s="2219" t="s">
        <v>84</v>
      </c>
      <c r="C891" s="2220">
        <v>56</v>
      </c>
      <c r="D891" s="2220">
        <v>8</v>
      </c>
      <c r="E891" s="2220">
        <v>1</v>
      </c>
      <c r="F891" s="2416">
        <v>2020659</v>
      </c>
      <c r="G891" s="2220"/>
      <c r="H891" s="2220">
        <v>213</v>
      </c>
      <c r="I891" s="1249">
        <v>1264.5</v>
      </c>
      <c r="J891" s="2413">
        <v>1222.9000000000001</v>
      </c>
      <c r="K891" s="2357"/>
    </row>
    <row r="892" spans="2:11" ht="15" hidden="1" x14ac:dyDescent="0.2">
      <c r="B892" s="2219" t="s">
        <v>85</v>
      </c>
      <c r="C892" s="2220">
        <v>56</v>
      </c>
      <c r="D892" s="2220">
        <v>8</v>
      </c>
      <c r="E892" s="2220">
        <v>1</v>
      </c>
      <c r="F892" s="2416">
        <v>2020659</v>
      </c>
      <c r="G892" s="2220"/>
      <c r="H892" s="2220">
        <v>221</v>
      </c>
      <c r="I892" s="2356"/>
      <c r="J892" s="2414"/>
      <c r="K892" s="2357"/>
    </row>
    <row r="893" spans="2:11" ht="15" hidden="1" x14ac:dyDescent="0.2">
      <c r="B893" s="2219" t="s">
        <v>86</v>
      </c>
      <c r="C893" s="2220">
        <v>56</v>
      </c>
      <c r="D893" s="2220">
        <v>8</v>
      </c>
      <c r="E893" s="2220">
        <v>1</v>
      </c>
      <c r="F893" s="2416">
        <v>2020659</v>
      </c>
      <c r="G893" s="2220"/>
      <c r="H893" s="2220">
        <v>222</v>
      </c>
      <c r="I893" s="2356">
        <v>40</v>
      </c>
      <c r="J893" s="2414">
        <v>36</v>
      </c>
      <c r="K893" s="2357"/>
    </row>
    <row r="894" spans="2:11" ht="15" hidden="1" x14ac:dyDescent="0.2">
      <c r="B894" s="2219" t="s">
        <v>87</v>
      </c>
      <c r="C894" s="2220">
        <v>56</v>
      </c>
      <c r="D894" s="2220">
        <v>8</v>
      </c>
      <c r="E894" s="2220">
        <v>1</v>
      </c>
      <c r="F894" s="2416">
        <v>2020659</v>
      </c>
      <c r="G894" s="2220"/>
      <c r="H894" s="2220">
        <v>223</v>
      </c>
      <c r="I894" s="2356">
        <v>0</v>
      </c>
      <c r="J894" s="2414">
        <v>0</v>
      </c>
      <c r="K894" s="2357"/>
    </row>
    <row r="895" spans="2:11" ht="15" hidden="1" x14ac:dyDescent="0.2">
      <c r="B895" s="2219" t="s">
        <v>134</v>
      </c>
      <c r="C895" s="2220">
        <v>56</v>
      </c>
      <c r="D895" s="2220">
        <v>8</v>
      </c>
      <c r="E895" s="2220">
        <v>1</v>
      </c>
      <c r="F895" s="2416">
        <v>2020659</v>
      </c>
      <c r="G895" s="2220"/>
      <c r="H895" s="2220">
        <v>224</v>
      </c>
      <c r="I895" s="2356"/>
      <c r="J895" s="2414"/>
      <c r="K895" s="2357"/>
    </row>
    <row r="896" spans="2:11" ht="15" hidden="1" x14ac:dyDescent="0.2">
      <c r="B896" s="2219" t="s">
        <v>90</v>
      </c>
      <c r="C896" s="2220">
        <v>56</v>
      </c>
      <c r="D896" s="2220">
        <v>8</v>
      </c>
      <c r="E896" s="2220">
        <v>1</v>
      </c>
      <c r="F896" s="2416">
        <v>2020659</v>
      </c>
      <c r="G896" s="2220"/>
      <c r="H896" s="2220">
        <v>225</v>
      </c>
      <c r="I896" s="2356"/>
      <c r="J896" s="2414"/>
      <c r="K896" s="2357"/>
    </row>
    <row r="897" spans="2:11" ht="15" hidden="1" x14ac:dyDescent="0.2">
      <c r="B897" s="2219" t="s">
        <v>91</v>
      </c>
      <c r="C897" s="2220">
        <v>56</v>
      </c>
      <c r="D897" s="2220">
        <v>8</v>
      </c>
      <c r="E897" s="2220">
        <v>1</v>
      </c>
      <c r="F897" s="2416">
        <v>2020659</v>
      </c>
      <c r="G897" s="2220"/>
      <c r="H897" s="2220">
        <v>226</v>
      </c>
      <c r="I897" s="2356">
        <v>49</v>
      </c>
      <c r="J897" s="2414">
        <v>49</v>
      </c>
      <c r="K897" s="2357"/>
    </row>
    <row r="898" spans="2:11" ht="15" hidden="1" x14ac:dyDescent="0.2">
      <c r="B898" s="2219" t="s">
        <v>94</v>
      </c>
      <c r="C898" s="2220">
        <v>56</v>
      </c>
      <c r="D898" s="2220">
        <v>8</v>
      </c>
      <c r="E898" s="2220">
        <v>1</v>
      </c>
      <c r="F898" s="2416">
        <v>2020659</v>
      </c>
      <c r="G898" s="2220"/>
      <c r="H898" s="2220">
        <v>290</v>
      </c>
      <c r="I898" s="2356">
        <v>7.1</v>
      </c>
      <c r="J898" s="2414">
        <v>7.1</v>
      </c>
      <c r="K898" s="2357"/>
    </row>
    <row r="899" spans="2:11" ht="15" hidden="1" x14ac:dyDescent="0.2">
      <c r="B899" s="2219" t="s">
        <v>94</v>
      </c>
      <c r="C899" s="2220">
        <v>56</v>
      </c>
      <c r="D899" s="2220">
        <v>8</v>
      </c>
      <c r="E899" s="2220">
        <v>1</v>
      </c>
      <c r="F899" s="2416">
        <v>2020659</v>
      </c>
      <c r="G899" s="2220"/>
      <c r="H899" s="2220">
        <v>290</v>
      </c>
      <c r="I899" s="2356"/>
      <c r="J899" s="2414"/>
      <c r="K899" s="2357"/>
    </row>
    <row r="900" spans="2:11" ht="15" hidden="1" x14ac:dyDescent="0.2">
      <c r="B900" s="2219" t="s">
        <v>96</v>
      </c>
      <c r="C900" s="2220">
        <v>56</v>
      </c>
      <c r="D900" s="2220">
        <v>8</v>
      </c>
      <c r="E900" s="2220">
        <v>1</v>
      </c>
      <c r="F900" s="2416">
        <v>2020659</v>
      </c>
      <c r="G900" s="2220"/>
      <c r="H900" s="2220">
        <v>310</v>
      </c>
      <c r="I900" s="1249">
        <v>1296</v>
      </c>
      <c r="J900" s="2414">
        <v>145</v>
      </c>
      <c r="K900" s="2357"/>
    </row>
    <row r="901" spans="2:11" ht="15" hidden="1" x14ac:dyDescent="0.2">
      <c r="B901" s="2219" t="s">
        <v>97</v>
      </c>
      <c r="C901" s="2220">
        <v>56</v>
      </c>
      <c r="D901" s="2220">
        <v>8</v>
      </c>
      <c r="E901" s="2220">
        <v>1</v>
      </c>
      <c r="F901" s="2416">
        <v>2020659</v>
      </c>
      <c r="G901" s="2220"/>
      <c r="H901" s="2220">
        <v>340</v>
      </c>
      <c r="I901" s="2356">
        <v>70</v>
      </c>
      <c r="J901" s="2414">
        <v>70</v>
      </c>
      <c r="K901" s="2357"/>
    </row>
    <row r="902" spans="2:11" ht="15" hidden="1" x14ac:dyDescent="0.2">
      <c r="B902" s="2208" t="s">
        <v>767</v>
      </c>
      <c r="C902" s="2220">
        <v>56</v>
      </c>
      <c r="D902" s="2220">
        <v>8</v>
      </c>
      <c r="E902" s="2220">
        <v>1</v>
      </c>
      <c r="F902" s="2416">
        <v>2020659</v>
      </c>
      <c r="G902" s="2206">
        <v>612</v>
      </c>
      <c r="H902" s="2206">
        <v>241</v>
      </c>
      <c r="I902" s="1252">
        <v>0</v>
      </c>
      <c r="J902" s="2425">
        <v>0</v>
      </c>
      <c r="K902" s="2357"/>
    </row>
    <row r="903" spans="2:11" ht="44" x14ac:dyDescent="0.2">
      <c r="B903" s="2489" t="s">
        <v>1363</v>
      </c>
      <c r="C903" s="2439">
        <v>56</v>
      </c>
      <c r="D903" s="2439">
        <v>8</v>
      </c>
      <c r="E903" s="2439">
        <v>1</v>
      </c>
      <c r="F903" s="2439">
        <v>2026233</v>
      </c>
      <c r="G903" s="2439"/>
      <c r="H903" s="2439"/>
      <c r="I903" s="2417">
        <v>10614.5</v>
      </c>
      <c r="J903" s="2417">
        <v>8729.7999999999993</v>
      </c>
      <c r="K903" s="2357">
        <f>'2015'!J27</f>
        <v>8729.7000000000007</v>
      </c>
    </row>
    <row r="904" spans="2:11" ht="15" hidden="1" x14ac:dyDescent="0.2">
      <c r="B904" s="2215" t="s">
        <v>181</v>
      </c>
      <c r="C904" s="2416">
        <v>56</v>
      </c>
      <c r="D904" s="2416">
        <v>8</v>
      </c>
      <c r="E904" s="2416">
        <v>1</v>
      </c>
      <c r="F904" s="2416">
        <v>2026233</v>
      </c>
      <c r="G904" s="2416">
        <v>630</v>
      </c>
      <c r="H904" s="2416">
        <v>242</v>
      </c>
      <c r="I904" s="1343">
        <v>5511.8</v>
      </c>
      <c r="J904" s="2427">
        <v>4601.3999999999996</v>
      </c>
      <c r="K904" s="2357"/>
    </row>
    <row r="905" spans="2:11" ht="15" hidden="1" x14ac:dyDescent="0.2">
      <c r="B905" s="2215" t="s">
        <v>185</v>
      </c>
      <c r="C905" s="2416">
        <v>56</v>
      </c>
      <c r="D905" s="2416">
        <v>8</v>
      </c>
      <c r="E905" s="2416">
        <v>1</v>
      </c>
      <c r="F905" s="2416">
        <v>2026233</v>
      </c>
      <c r="G905" s="2416">
        <v>630</v>
      </c>
      <c r="H905" s="2416">
        <v>242</v>
      </c>
      <c r="I905" s="1345">
        <v>895.3</v>
      </c>
      <c r="J905" s="2428">
        <v>806.5</v>
      </c>
      <c r="K905" s="2357"/>
    </row>
    <row r="906" spans="2:11" ht="15" hidden="1" x14ac:dyDescent="0.2">
      <c r="B906" s="2215" t="s">
        <v>186</v>
      </c>
      <c r="C906" s="2416">
        <v>56</v>
      </c>
      <c r="D906" s="2416">
        <v>8</v>
      </c>
      <c r="E906" s="2416">
        <v>1</v>
      </c>
      <c r="F906" s="2416">
        <v>2026233</v>
      </c>
      <c r="G906" s="2416">
        <v>630</v>
      </c>
      <c r="H906" s="2416">
        <v>242</v>
      </c>
      <c r="I906" s="1345">
        <v>689</v>
      </c>
      <c r="J906" s="2428">
        <v>543.6</v>
      </c>
      <c r="K906" s="2357"/>
    </row>
    <row r="907" spans="2:11" ht="15" hidden="1" x14ac:dyDescent="0.2">
      <c r="B907" s="2215" t="s">
        <v>187</v>
      </c>
      <c r="C907" s="2416">
        <v>56</v>
      </c>
      <c r="D907" s="2416">
        <v>8</v>
      </c>
      <c r="E907" s="2416">
        <v>1</v>
      </c>
      <c r="F907" s="2416">
        <v>2026233</v>
      </c>
      <c r="G907" s="2416">
        <v>630</v>
      </c>
      <c r="H907" s="2416">
        <v>242</v>
      </c>
      <c r="I907" s="1345">
        <v>547.4</v>
      </c>
      <c r="J907" s="2428">
        <v>432</v>
      </c>
      <c r="K907" s="2357"/>
    </row>
    <row r="908" spans="2:11" ht="15" hidden="1" x14ac:dyDescent="0.2">
      <c r="B908" s="2215" t="s">
        <v>1182</v>
      </c>
      <c r="C908" s="2416">
        <v>56</v>
      </c>
      <c r="D908" s="2416">
        <v>8</v>
      </c>
      <c r="E908" s="2416">
        <v>1</v>
      </c>
      <c r="F908" s="2416">
        <v>2026233</v>
      </c>
      <c r="G908" s="2416">
        <v>630</v>
      </c>
      <c r="H908" s="2416">
        <v>242</v>
      </c>
      <c r="I908" s="1345">
        <v>358.6</v>
      </c>
      <c r="J908" s="2428">
        <v>283.5</v>
      </c>
      <c r="K908" s="2357"/>
    </row>
    <row r="909" spans="2:11" ht="15" hidden="1" x14ac:dyDescent="0.2">
      <c r="B909" s="2215" t="s">
        <v>189</v>
      </c>
      <c r="C909" s="2416">
        <v>56</v>
      </c>
      <c r="D909" s="2416">
        <v>8</v>
      </c>
      <c r="E909" s="2416">
        <v>1</v>
      </c>
      <c r="F909" s="2416">
        <v>2026233</v>
      </c>
      <c r="G909" s="2416">
        <v>630</v>
      </c>
      <c r="H909" s="2416">
        <v>242</v>
      </c>
      <c r="I909" s="1345">
        <v>289.2</v>
      </c>
      <c r="J909" s="2428">
        <v>228.6</v>
      </c>
      <c r="K909" s="2357"/>
    </row>
    <row r="910" spans="2:11" ht="15" hidden="1" x14ac:dyDescent="0.2">
      <c r="B910" s="2215" t="s">
        <v>190</v>
      </c>
      <c r="C910" s="2416">
        <v>56</v>
      </c>
      <c r="D910" s="2416">
        <v>8</v>
      </c>
      <c r="E910" s="2416">
        <v>1</v>
      </c>
      <c r="F910" s="2416">
        <v>2026233</v>
      </c>
      <c r="G910" s="2416">
        <v>630</v>
      </c>
      <c r="H910" s="2416">
        <v>242</v>
      </c>
      <c r="I910" s="1345">
        <v>800.6</v>
      </c>
      <c r="J910" s="2428">
        <v>631.79999999999995</v>
      </c>
      <c r="K910" s="2357"/>
    </row>
    <row r="911" spans="2:11" ht="15" hidden="1" x14ac:dyDescent="0.2">
      <c r="B911" s="2215" t="s">
        <v>191</v>
      </c>
      <c r="C911" s="2416">
        <v>56</v>
      </c>
      <c r="D911" s="2416">
        <v>8</v>
      </c>
      <c r="E911" s="2416">
        <v>1</v>
      </c>
      <c r="F911" s="2416">
        <v>2026233</v>
      </c>
      <c r="G911" s="2416">
        <v>630</v>
      </c>
      <c r="H911" s="2416">
        <v>242</v>
      </c>
      <c r="I911" s="1345">
        <v>898.9</v>
      </c>
      <c r="J911" s="2428">
        <v>710.1</v>
      </c>
      <c r="K911" s="2357"/>
    </row>
    <row r="912" spans="2:11" ht="15" hidden="1" x14ac:dyDescent="0.2">
      <c r="B912" s="2215" t="s">
        <v>1183</v>
      </c>
      <c r="C912" s="2416">
        <v>56</v>
      </c>
      <c r="D912" s="2416">
        <v>8</v>
      </c>
      <c r="E912" s="2416">
        <v>1</v>
      </c>
      <c r="F912" s="2416">
        <v>2026233</v>
      </c>
      <c r="G912" s="2416">
        <v>630</v>
      </c>
      <c r="H912" s="2416">
        <v>242</v>
      </c>
      <c r="I912" s="1345">
        <v>294.2</v>
      </c>
      <c r="J912" s="2428">
        <v>232.2</v>
      </c>
      <c r="K912" s="2357"/>
    </row>
    <row r="913" spans="2:11" ht="15" hidden="1" x14ac:dyDescent="0.2">
      <c r="B913" s="2215" t="s">
        <v>193</v>
      </c>
      <c r="C913" s="2416">
        <v>56</v>
      </c>
      <c r="D913" s="2416">
        <v>8</v>
      </c>
      <c r="E913" s="2416">
        <v>1</v>
      </c>
      <c r="F913" s="2416">
        <v>2026233</v>
      </c>
      <c r="G913" s="2416">
        <v>630</v>
      </c>
      <c r="H913" s="2416">
        <v>242</v>
      </c>
      <c r="I913" s="1345">
        <v>329.5</v>
      </c>
      <c r="J913" s="2428">
        <v>260.10000000000002</v>
      </c>
      <c r="K913" s="2357"/>
    </row>
    <row r="914" spans="2:11" ht="48" customHeight="1" x14ac:dyDescent="0.2">
      <c r="B914" s="2216" t="s">
        <v>1364</v>
      </c>
      <c r="C914" s="2175">
        <v>56</v>
      </c>
      <c r="D914" s="2175">
        <v>8</v>
      </c>
      <c r="E914" s="2175">
        <v>1</v>
      </c>
      <c r="F914" s="2416">
        <v>2026486</v>
      </c>
      <c r="G914" s="2175"/>
      <c r="H914" s="2175"/>
      <c r="I914" s="2490">
        <v>3500</v>
      </c>
      <c r="J914" s="2487">
        <v>951</v>
      </c>
      <c r="K914" s="2357">
        <f>'2015'!J28</f>
        <v>951</v>
      </c>
    </row>
    <row r="915" spans="2:11" ht="15" hidden="1" x14ac:dyDescent="0.2">
      <c r="B915" s="2219" t="s">
        <v>781</v>
      </c>
      <c r="C915" s="2220">
        <v>56</v>
      </c>
      <c r="D915" s="2220">
        <v>8</v>
      </c>
      <c r="E915" s="2220">
        <v>1</v>
      </c>
      <c r="F915" s="2220">
        <v>2026486</v>
      </c>
      <c r="G915" s="2220">
        <v>244</v>
      </c>
      <c r="H915" s="2175">
        <v>226</v>
      </c>
      <c r="I915" s="2490">
        <v>3500</v>
      </c>
      <c r="J915" s="2487">
        <v>951</v>
      </c>
      <c r="K915" s="2357"/>
    </row>
    <row r="916" spans="2:11" ht="16" x14ac:dyDescent="0.15">
      <c r="B916" s="2407" t="s">
        <v>1835</v>
      </c>
      <c r="C916" s="2951">
        <v>56</v>
      </c>
      <c r="D916" s="2951">
        <v>8</v>
      </c>
      <c r="E916" s="2951">
        <v>4</v>
      </c>
      <c r="F916" s="2951"/>
      <c r="G916" s="2951"/>
      <c r="H916" s="2951"/>
      <c r="I916" s="2948">
        <v>31822.400000000001</v>
      </c>
      <c r="J916" s="2948">
        <v>29945.519</v>
      </c>
      <c r="K916" s="2798"/>
    </row>
    <row r="917" spans="2:11" ht="48" x14ac:dyDescent="0.15">
      <c r="B917" s="2407" t="s">
        <v>1836</v>
      </c>
      <c r="C917" s="2951"/>
      <c r="D917" s="2951"/>
      <c r="E917" s="2951"/>
      <c r="F917" s="2951"/>
      <c r="G917" s="2951"/>
      <c r="H917" s="2951"/>
      <c r="I917" s="2948"/>
      <c r="J917" s="2948"/>
      <c r="K917" s="2798"/>
    </row>
    <row r="918" spans="2:11" ht="48" customHeight="1" x14ac:dyDescent="0.2">
      <c r="B918" s="2491" t="s">
        <v>1184</v>
      </c>
      <c r="C918" s="2492">
        <v>56</v>
      </c>
      <c r="D918" s="2492">
        <v>8</v>
      </c>
      <c r="E918" s="2492">
        <v>4</v>
      </c>
      <c r="F918" s="2492">
        <v>2030000</v>
      </c>
      <c r="G918" s="2492"/>
      <c r="H918" s="2492"/>
      <c r="I918" s="2438">
        <v>27859</v>
      </c>
      <c r="J918" s="2438">
        <v>26378.419000000002</v>
      </c>
      <c r="K918" s="2357"/>
    </row>
    <row r="919" spans="2:11" ht="79.5" customHeight="1" x14ac:dyDescent="0.2">
      <c r="B919" s="2216" t="s">
        <v>1365</v>
      </c>
      <c r="C919" s="2416">
        <v>56</v>
      </c>
      <c r="D919" s="2416">
        <v>8</v>
      </c>
      <c r="E919" s="2416">
        <v>4</v>
      </c>
      <c r="F919" s="2416">
        <v>2030011</v>
      </c>
      <c r="G919" s="2416">
        <v>100</v>
      </c>
      <c r="H919" s="2416"/>
      <c r="I919" s="2427">
        <v>21909</v>
      </c>
      <c r="J919" s="2427">
        <v>21590.777999999998</v>
      </c>
      <c r="K919" s="2357">
        <f>'2015'!J29</f>
        <v>21590.78</v>
      </c>
    </row>
    <row r="920" spans="2:11" ht="15" x14ac:dyDescent="0.2">
      <c r="B920" s="2217"/>
      <c r="C920" s="2416"/>
      <c r="D920" s="2416"/>
      <c r="E920" s="2416"/>
      <c r="F920" s="2416">
        <v>2030019</v>
      </c>
      <c r="G920" s="2416">
        <v>100</v>
      </c>
      <c r="H920" s="2416"/>
      <c r="I920" s="2427">
        <v>1135</v>
      </c>
      <c r="J920" s="2427">
        <v>1495.922</v>
      </c>
      <c r="K920" s="2357">
        <f>'2015'!J30</f>
        <v>1495.92</v>
      </c>
    </row>
    <row r="921" spans="2:11" ht="55" x14ac:dyDescent="0.2">
      <c r="B921" s="2216" t="s">
        <v>1366</v>
      </c>
      <c r="C921" s="2416">
        <v>56</v>
      </c>
      <c r="D921" s="2416">
        <v>8</v>
      </c>
      <c r="E921" s="2416">
        <v>4</v>
      </c>
      <c r="F921" s="2416">
        <v>2030019</v>
      </c>
      <c r="G921" s="2416">
        <v>200</v>
      </c>
      <c r="H921" s="2416"/>
      <c r="I921" s="2427">
        <v>4295</v>
      </c>
      <c r="J921" s="2427">
        <v>2880.0189999999998</v>
      </c>
      <c r="K921" s="2357">
        <f>'2015'!J31</f>
        <v>2880.02</v>
      </c>
    </row>
    <row r="922" spans="2:11" ht="44" x14ac:dyDescent="0.2">
      <c r="B922" s="2216" t="s">
        <v>1367</v>
      </c>
      <c r="C922" s="2416">
        <v>56</v>
      </c>
      <c r="D922" s="2416">
        <v>8</v>
      </c>
      <c r="E922" s="2416">
        <v>4</v>
      </c>
      <c r="F922" s="2416">
        <v>2030019</v>
      </c>
      <c r="G922" s="2416">
        <v>800</v>
      </c>
      <c r="H922" s="2416"/>
      <c r="I922" s="2428">
        <v>520</v>
      </c>
      <c r="J922" s="2428">
        <v>411.7</v>
      </c>
      <c r="K922" s="2357">
        <f>'2015'!J32</f>
        <v>411.7</v>
      </c>
    </row>
    <row r="923" spans="2:11" ht="16" hidden="1" x14ac:dyDescent="0.2">
      <c r="B923" s="2219" t="s">
        <v>78</v>
      </c>
      <c r="C923" s="2220">
        <v>56</v>
      </c>
      <c r="D923" s="2220">
        <v>8</v>
      </c>
      <c r="E923" s="2220">
        <v>4</v>
      </c>
      <c r="F923" s="2220" t="s">
        <v>1368</v>
      </c>
      <c r="G923" s="2220">
        <v>121</v>
      </c>
      <c r="H923" s="2220">
        <v>211</v>
      </c>
      <c r="I923" s="2493">
        <v>16827.2</v>
      </c>
      <c r="J923" s="2494">
        <v>16707.477999999999</v>
      </c>
      <c r="K923" s="2357"/>
    </row>
    <row r="924" spans="2:11" ht="16" hidden="1" x14ac:dyDescent="0.2">
      <c r="B924" s="2219" t="s">
        <v>84</v>
      </c>
      <c r="C924" s="2220">
        <v>56</v>
      </c>
      <c r="D924" s="2220">
        <v>8</v>
      </c>
      <c r="E924" s="2220">
        <v>4</v>
      </c>
      <c r="F924" s="2220" t="s">
        <v>1368</v>
      </c>
      <c r="G924" s="2220">
        <v>121</v>
      </c>
      <c r="H924" s="2220">
        <v>213</v>
      </c>
      <c r="I924" s="2493">
        <v>5081.8</v>
      </c>
      <c r="J924" s="2494">
        <v>4883.3</v>
      </c>
      <c r="K924" s="2357"/>
    </row>
    <row r="925" spans="2:11" ht="16" hidden="1" x14ac:dyDescent="0.2">
      <c r="B925" s="2219" t="s">
        <v>83</v>
      </c>
      <c r="C925" s="2220">
        <v>56</v>
      </c>
      <c r="D925" s="2220">
        <v>8</v>
      </c>
      <c r="E925" s="2220">
        <v>4</v>
      </c>
      <c r="F925" s="2416">
        <v>2030019</v>
      </c>
      <c r="G925" s="2220">
        <v>122</v>
      </c>
      <c r="H925" s="2220">
        <v>212</v>
      </c>
      <c r="I925" s="2495">
        <v>35</v>
      </c>
      <c r="J925" s="2496">
        <v>65</v>
      </c>
      <c r="K925" s="2357"/>
    </row>
    <row r="926" spans="2:11" ht="16" hidden="1" x14ac:dyDescent="0.2">
      <c r="B926" s="2219" t="s">
        <v>86</v>
      </c>
      <c r="C926" s="2220">
        <v>56</v>
      </c>
      <c r="D926" s="2220">
        <v>8</v>
      </c>
      <c r="E926" s="2220">
        <v>4</v>
      </c>
      <c r="F926" s="2416">
        <v>2030019</v>
      </c>
      <c r="G926" s="2220">
        <v>122</v>
      </c>
      <c r="H926" s="2220">
        <v>222</v>
      </c>
      <c r="I926" s="2495">
        <v>600</v>
      </c>
      <c r="J926" s="2496">
        <v>790</v>
      </c>
      <c r="K926" s="2357"/>
    </row>
    <row r="927" spans="2:11" ht="16" hidden="1" x14ac:dyDescent="0.2">
      <c r="B927" s="2219" t="s">
        <v>91</v>
      </c>
      <c r="C927" s="2220">
        <v>56</v>
      </c>
      <c r="D927" s="2220">
        <v>8</v>
      </c>
      <c r="E927" s="2220">
        <v>4</v>
      </c>
      <c r="F927" s="2416">
        <v>2030019</v>
      </c>
      <c r="G927" s="2220">
        <v>122</v>
      </c>
      <c r="H927" s="2220">
        <v>226</v>
      </c>
      <c r="I927" s="2495">
        <v>500</v>
      </c>
      <c r="J927" s="2496">
        <v>450</v>
      </c>
      <c r="K927" s="2357"/>
    </row>
    <row r="928" spans="2:11" ht="16" hidden="1" x14ac:dyDescent="0.2">
      <c r="B928" s="2219" t="s">
        <v>1837</v>
      </c>
      <c r="C928" s="2220">
        <v>56</v>
      </c>
      <c r="D928" s="2220">
        <v>8</v>
      </c>
      <c r="E928" s="2220">
        <v>4</v>
      </c>
      <c r="F928" s="2416">
        <v>2030019</v>
      </c>
      <c r="G928" s="2220">
        <v>122</v>
      </c>
      <c r="H928" s="2220">
        <v>262</v>
      </c>
      <c r="I928" s="2211">
        <v>0</v>
      </c>
      <c r="J928" s="2496">
        <v>190.922</v>
      </c>
      <c r="K928" s="2357"/>
    </row>
    <row r="929" spans="2:11" ht="16" hidden="1" x14ac:dyDescent="0.2">
      <c r="B929" s="2219" t="s">
        <v>85</v>
      </c>
      <c r="C929" s="2220">
        <v>56</v>
      </c>
      <c r="D929" s="2220">
        <v>8</v>
      </c>
      <c r="E929" s="2220">
        <v>4</v>
      </c>
      <c r="F929" s="2416">
        <v>2030019</v>
      </c>
      <c r="G929" s="2220">
        <v>244</v>
      </c>
      <c r="H929" s="2220">
        <v>221</v>
      </c>
      <c r="I929" s="2495">
        <v>463</v>
      </c>
      <c r="J929" s="2496">
        <v>416.7</v>
      </c>
      <c r="K929" s="2357"/>
    </row>
    <row r="930" spans="2:11" ht="16" hidden="1" x14ac:dyDescent="0.2">
      <c r="B930" s="2219" t="s">
        <v>87</v>
      </c>
      <c r="C930" s="2220">
        <v>56</v>
      </c>
      <c r="D930" s="2220">
        <v>8</v>
      </c>
      <c r="E930" s="2220">
        <v>4</v>
      </c>
      <c r="F930" s="2416">
        <v>2030019</v>
      </c>
      <c r="G930" s="2220">
        <v>244</v>
      </c>
      <c r="H930" s="2220">
        <v>223</v>
      </c>
      <c r="I930" s="2495">
        <v>343</v>
      </c>
      <c r="J930" s="2496">
        <v>308.7</v>
      </c>
      <c r="K930" s="2357"/>
    </row>
    <row r="931" spans="2:11" ht="16" hidden="1" x14ac:dyDescent="0.2">
      <c r="B931" s="2219" t="s">
        <v>90</v>
      </c>
      <c r="C931" s="2220">
        <v>56</v>
      </c>
      <c r="D931" s="2220">
        <v>8</v>
      </c>
      <c r="E931" s="2220">
        <v>4</v>
      </c>
      <c r="F931" s="2416">
        <v>2030019</v>
      </c>
      <c r="G931" s="2220">
        <v>244</v>
      </c>
      <c r="H931" s="2220">
        <v>225</v>
      </c>
      <c r="I931" s="2495">
        <v>350</v>
      </c>
      <c r="J931" s="2496">
        <v>140</v>
      </c>
      <c r="K931" s="2357"/>
    </row>
    <row r="932" spans="2:11" ht="16" hidden="1" x14ac:dyDescent="0.2">
      <c r="B932" s="2219" t="s">
        <v>91</v>
      </c>
      <c r="C932" s="2220">
        <v>56</v>
      </c>
      <c r="D932" s="2220">
        <v>8</v>
      </c>
      <c r="E932" s="2220">
        <v>4</v>
      </c>
      <c r="F932" s="2416">
        <v>2030019</v>
      </c>
      <c r="G932" s="2220">
        <v>244</v>
      </c>
      <c r="H932" s="2220">
        <v>226</v>
      </c>
      <c r="I932" s="2493">
        <v>1332.6</v>
      </c>
      <c r="J932" s="2496">
        <v>829.61900000000003</v>
      </c>
      <c r="K932" s="2357"/>
    </row>
    <row r="933" spans="2:11" ht="16" hidden="1" x14ac:dyDescent="0.2">
      <c r="B933" s="2219" t="s">
        <v>96</v>
      </c>
      <c r="C933" s="2220">
        <v>56</v>
      </c>
      <c r="D933" s="2220">
        <v>8</v>
      </c>
      <c r="E933" s="2220">
        <v>4</v>
      </c>
      <c r="F933" s="2416">
        <v>2030019</v>
      </c>
      <c r="G933" s="2220">
        <v>244</v>
      </c>
      <c r="H933" s="2220">
        <v>310</v>
      </c>
      <c r="I933" s="2495">
        <v>900</v>
      </c>
      <c r="J933" s="2496">
        <v>285</v>
      </c>
      <c r="K933" s="2357"/>
    </row>
    <row r="934" spans="2:11" ht="16" hidden="1" x14ac:dyDescent="0.2">
      <c r="B934" s="2219" t="s">
        <v>97</v>
      </c>
      <c r="C934" s="2220">
        <v>56</v>
      </c>
      <c r="D934" s="2220">
        <v>8</v>
      </c>
      <c r="E934" s="2220">
        <v>4</v>
      </c>
      <c r="F934" s="2416">
        <v>2030019</v>
      </c>
      <c r="G934" s="2220">
        <v>244</v>
      </c>
      <c r="H934" s="2220">
        <v>340</v>
      </c>
      <c r="I934" s="2495">
        <v>906.4</v>
      </c>
      <c r="J934" s="2496">
        <v>900</v>
      </c>
      <c r="K934" s="2357"/>
    </row>
    <row r="935" spans="2:11" ht="16" hidden="1" x14ac:dyDescent="0.2">
      <c r="B935" s="2219" t="s">
        <v>94</v>
      </c>
      <c r="C935" s="2220">
        <v>56</v>
      </c>
      <c r="D935" s="2220">
        <v>8</v>
      </c>
      <c r="E935" s="2220">
        <v>4</v>
      </c>
      <c r="F935" s="2416">
        <v>2030019</v>
      </c>
      <c r="G935" s="2220">
        <v>831</v>
      </c>
      <c r="H935" s="2220">
        <v>290</v>
      </c>
      <c r="I935" s="2495">
        <v>0</v>
      </c>
      <c r="J935" s="2496">
        <v>5</v>
      </c>
      <c r="K935" s="2357"/>
    </row>
    <row r="936" spans="2:11" ht="16" hidden="1" x14ac:dyDescent="0.2">
      <c r="B936" s="2219" t="s">
        <v>94</v>
      </c>
      <c r="C936" s="2220">
        <v>56</v>
      </c>
      <c r="D936" s="2220">
        <v>8</v>
      </c>
      <c r="E936" s="2220">
        <v>4</v>
      </c>
      <c r="F936" s="2416">
        <v>2030019</v>
      </c>
      <c r="G936" s="2220">
        <v>851</v>
      </c>
      <c r="H936" s="2220">
        <v>290</v>
      </c>
      <c r="I936" s="2495">
        <v>400</v>
      </c>
      <c r="J936" s="2496">
        <v>357.7</v>
      </c>
      <c r="K936" s="2357"/>
    </row>
    <row r="937" spans="2:11" ht="16" hidden="1" x14ac:dyDescent="0.2">
      <c r="B937" s="2219" t="s">
        <v>94</v>
      </c>
      <c r="C937" s="2220">
        <v>56</v>
      </c>
      <c r="D937" s="2220">
        <v>8</v>
      </c>
      <c r="E937" s="2220">
        <v>4</v>
      </c>
      <c r="F937" s="2416">
        <v>2030019</v>
      </c>
      <c r="G937" s="2220">
        <v>852</v>
      </c>
      <c r="H937" s="2220">
        <v>290</v>
      </c>
      <c r="I937" s="2495">
        <v>120</v>
      </c>
      <c r="J937" s="2496">
        <v>49</v>
      </c>
      <c r="K937" s="2357"/>
    </row>
    <row r="938" spans="2:11" ht="26" x14ac:dyDescent="0.2">
      <c r="B938" s="2497" t="s">
        <v>1838</v>
      </c>
      <c r="C938" s="2452">
        <v>56</v>
      </c>
      <c r="D938" s="2452">
        <v>8</v>
      </c>
      <c r="E938" s="2452">
        <v>4</v>
      </c>
      <c r="F938" s="2452">
        <v>2035950</v>
      </c>
      <c r="G938" s="2206"/>
      <c r="H938" s="2206"/>
      <c r="I938" s="2412">
        <v>3963.4</v>
      </c>
      <c r="J938" s="2412">
        <v>3567.1</v>
      </c>
      <c r="K938" s="2357"/>
    </row>
    <row r="939" spans="2:11" ht="52" x14ac:dyDescent="0.2">
      <c r="B939" s="2219" t="s">
        <v>1839</v>
      </c>
      <c r="C939" s="2220">
        <v>56</v>
      </c>
      <c r="D939" s="2220">
        <v>8</v>
      </c>
      <c r="E939" s="2220">
        <v>4</v>
      </c>
      <c r="F939" s="2220">
        <v>2035950</v>
      </c>
      <c r="G939" s="2175">
        <v>100</v>
      </c>
      <c r="H939" s="2175"/>
      <c r="I939" s="2411">
        <v>3223.9</v>
      </c>
      <c r="J939" s="2411">
        <v>3115.3339999999998</v>
      </c>
      <c r="K939" s="2357">
        <f>'2015'!J33</f>
        <v>3115.33</v>
      </c>
    </row>
    <row r="940" spans="2:11" ht="52" x14ac:dyDescent="0.2">
      <c r="B940" s="2219" t="s">
        <v>1840</v>
      </c>
      <c r="C940" s="2220">
        <v>56</v>
      </c>
      <c r="D940" s="2220">
        <v>8</v>
      </c>
      <c r="E940" s="2220">
        <v>4</v>
      </c>
      <c r="F940" s="2220">
        <v>2035950</v>
      </c>
      <c r="G940" s="2175">
        <v>200</v>
      </c>
      <c r="H940" s="2175"/>
      <c r="I940" s="2487">
        <v>739.5</v>
      </c>
      <c r="J940" s="2487">
        <v>451.76600000000002</v>
      </c>
      <c r="K940" s="2357">
        <f>'2015'!J34</f>
        <v>451.77</v>
      </c>
    </row>
    <row r="941" spans="2:11" hidden="1" x14ac:dyDescent="0.15">
      <c r="B941" s="2949" t="s">
        <v>78</v>
      </c>
      <c r="C941" s="2932">
        <v>56</v>
      </c>
      <c r="D941" s="2932">
        <v>8</v>
      </c>
      <c r="E941" s="2932">
        <v>4</v>
      </c>
      <c r="F941" s="2932">
        <v>2035950</v>
      </c>
      <c r="G941" s="2220">
        <v>121</v>
      </c>
      <c r="H941" s="2932">
        <v>211</v>
      </c>
      <c r="I941" s="2950">
        <v>2354.8000000000002</v>
      </c>
      <c r="J941" s="2952">
        <v>2354.8000000000002</v>
      </c>
      <c r="K941" s="2928"/>
    </row>
    <row r="942" spans="2:11" hidden="1" x14ac:dyDescent="0.15">
      <c r="B942" s="2949"/>
      <c r="C942" s="2932"/>
      <c r="D942" s="2932"/>
      <c r="E942" s="2932"/>
      <c r="F942" s="2932"/>
      <c r="G942" s="2220">
        <v>-783</v>
      </c>
      <c r="H942" s="2932"/>
      <c r="I942" s="2950"/>
      <c r="J942" s="2952"/>
      <c r="K942" s="2928"/>
    </row>
    <row r="943" spans="2:11" ht="15" hidden="1" x14ac:dyDescent="0.2">
      <c r="B943" s="2219" t="s">
        <v>84</v>
      </c>
      <c r="C943" s="2220">
        <v>56</v>
      </c>
      <c r="D943" s="2220">
        <v>8</v>
      </c>
      <c r="E943" s="2220">
        <v>4</v>
      </c>
      <c r="F943" s="2220">
        <v>2035950</v>
      </c>
      <c r="G943" s="2220">
        <v>121</v>
      </c>
      <c r="H943" s="2220">
        <v>213</v>
      </c>
      <c r="I943" s="2224">
        <v>711.1</v>
      </c>
      <c r="J943" s="2498">
        <v>711.1</v>
      </c>
      <c r="K943" s="2357"/>
    </row>
    <row r="944" spans="2:11" ht="15" hidden="1" x14ac:dyDescent="0.2">
      <c r="B944" s="2219" t="s">
        <v>83</v>
      </c>
      <c r="C944" s="2220">
        <v>56</v>
      </c>
      <c r="D944" s="2220">
        <v>8</v>
      </c>
      <c r="E944" s="2220">
        <v>4</v>
      </c>
      <c r="F944" s="2220">
        <v>2035950</v>
      </c>
      <c r="G944" s="2220">
        <v>122</v>
      </c>
      <c r="H944" s="2220">
        <v>212</v>
      </c>
      <c r="I944" s="2224">
        <v>8</v>
      </c>
      <c r="J944" s="2498">
        <v>8</v>
      </c>
      <c r="K944" s="2357"/>
    </row>
    <row r="945" spans="2:11" ht="15" hidden="1" x14ac:dyDescent="0.2">
      <c r="B945" s="2219" t="s">
        <v>86</v>
      </c>
      <c r="C945" s="2220">
        <v>56</v>
      </c>
      <c r="D945" s="2220">
        <v>8</v>
      </c>
      <c r="E945" s="2220">
        <v>4</v>
      </c>
      <c r="F945" s="2220">
        <v>2035950</v>
      </c>
      <c r="G945" s="2220">
        <v>122</v>
      </c>
      <c r="H945" s="2220">
        <v>222</v>
      </c>
      <c r="I945" s="2224">
        <v>60</v>
      </c>
      <c r="J945" s="2498">
        <v>0</v>
      </c>
      <c r="K945" s="2357"/>
    </row>
    <row r="946" spans="2:11" ht="15" hidden="1" x14ac:dyDescent="0.2">
      <c r="B946" s="2219" t="s">
        <v>91</v>
      </c>
      <c r="C946" s="2220">
        <v>56</v>
      </c>
      <c r="D946" s="2220">
        <v>8</v>
      </c>
      <c r="E946" s="2220">
        <v>4</v>
      </c>
      <c r="F946" s="2220">
        <v>2035950</v>
      </c>
      <c r="G946" s="2220">
        <v>122</v>
      </c>
      <c r="H946" s="2220">
        <v>226</v>
      </c>
      <c r="I946" s="2224">
        <v>90</v>
      </c>
      <c r="J946" s="2498">
        <v>41.433999999999997</v>
      </c>
      <c r="K946" s="2357"/>
    </row>
    <row r="947" spans="2:11" ht="15" hidden="1" x14ac:dyDescent="0.2">
      <c r="B947" s="2219" t="s">
        <v>90</v>
      </c>
      <c r="C947" s="2220">
        <v>56</v>
      </c>
      <c r="D947" s="2220">
        <v>8</v>
      </c>
      <c r="E947" s="2220">
        <v>4</v>
      </c>
      <c r="F947" s="2220">
        <v>2035950</v>
      </c>
      <c r="G947" s="2220">
        <v>244</v>
      </c>
      <c r="H947" s="2220">
        <v>222</v>
      </c>
      <c r="I947" s="2224">
        <v>150</v>
      </c>
      <c r="J947" s="2498">
        <v>191</v>
      </c>
      <c r="K947" s="2357"/>
    </row>
    <row r="948" spans="2:11" ht="15" hidden="1" x14ac:dyDescent="0.2">
      <c r="B948" s="2219" t="s">
        <v>90</v>
      </c>
      <c r="C948" s="2220">
        <v>56</v>
      </c>
      <c r="D948" s="2220">
        <v>8</v>
      </c>
      <c r="E948" s="2220">
        <v>4</v>
      </c>
      <c r="F948" s="2220">
        <v>2035950</v>
      </c>
      <c r="G948" s="2220">
        <v>244</v>
      </c>
      <c r="H948" s="2220">
        <v>225</v>
      </c>
      <c r="I948" s="2224">
        <v>40</v>
      </c>
      <c r="J948" s="2498">
        <v>27.7</v>
      </c>
      <c r="K948" s="2357"/>
    </row>
    <row r="949" spans="2:11" ht="15" hidden="1" x14ac:dyDescent="0.2">
      <c r="B949" s="2219" t="s">
        <v>91</v>
      </c>
      <c r="C949" s="2220">
        <v>56</v>
      </c>
      <c r="D949" s="2220">
        <v>8</v>
      </c>
      <c r="E949" s="2220">
        <v>4</v>
      </c>
      <c r="F949" s="2220">
        <v>2035950</v>
      </c>
      <c r="G949" s="2220">
        <v>244</v>
      </c>
      <c r="H949" s="2220">
        <v>226</v>
      </c>
      <c r="I949" s="2224">
        <v>320</v>
      </c>
      <c r="J949" s="2498">
        <v>103.566</v>
      </c>
      <c r="K949" s="2357"/>
    </row>
    <row r="950" spans="2:11" ht="15" hidden="1" x14ac:dyDescent="0.2">
      <c r="B950" s="2219" t="s">
        <v>96</v>
      </c>
      <c r="C950" s="2220">
        <v>56</v>
      </c>
      <c r="D950" s="2220">
        <v>8</v>
      </c>
      <c r="E950" s="2220">
        <v>4</v>
      </c>
      <c r="F950" s="2220">
        <v>2035950</v>
      </c>
      <c r="G950" s="2220">
        <v>244</v>
      </c>
      <c r="H950" s="2220">
        <v>310</v>
      </c>
      <c r="I950" s="2224">
        <v>100</v>
      </c>
      <c r="J950" s="2498">
        <v>0</v>
      </c>
      <c r="K950" s="2357"/>
    </row>
    <row r="951" spans="2:11" ht="15" hidden="1" x14ac:dyDescent="0.2">
      <c r="B951" s="2219" t="s">
        <v>97</v>
      </c>
      <c r="C951" s="2220">
        <v>56</v>
      </c>
      <c r="D951" s="2220">
        <v>8</v>
      </c>
      <c r="E951" s="2220">
        <v>4</v>
      </c>
      <c r="F951" s="2220">
        <v>2035950</v>
      </c>
      <c r="G951" s="2220">
        <v>244</v>
      </c>
      <c r="H951" s="2220">
        <v>340</v>
      </c>
      <c r="I951" s="2224">
        <v>129.5</v>
      </c>
      <c r="J951" s="2498">
        <v>129.5</v>
      </c>
      <c r="K951" s="2357"/>
    </row>
    <row r="952" spans="2:11" ht="104" x14ac:dyDescent="0.2">
      <c r="B952" s="2225" t="s">
        <v>1841</v>
      </c>
      <c r="C952" s="2416">
        <v>56</v>
      </c>
      <c r="D952" s="2416">
        <v>10</v>
      </c>
      <c r="E952" s="2416">
        <v>4</v>
      </c>
      <c r="F952" s="2416">
        <v>2237151</v>
      </c>
      <c r="G952" s="2416">
        <v>313</v>
      </c>
      <c r="H952" s="2416">
        <v>262</v>
      </c>
      <c r="I952" s="2429">
        <v>621</v>
      </c>
      <c r="J952" s="2428">
        <v>576.59699999999998</v>
      </c>
      <c r="K952" s="2357">
        <f>'2015'!J36</f>
        <v>576.59699999999998</v>
      </c>
    </row>
    <row r="953" spans="2:11" ht="39" x14ac:dyDescent="0.2">
      <c r="B953" s="2225" t="s">
        <v>1842</v>
      </c>
      <c r="C953" s="2405">
        <v>56</v>
      </c>
      <c r="D953" s="2405">
        <v>1</v>
      </c>
      <c r="E953" s="2405">
        <v>13</v>
      </c>
      <c r="F953" s="2405">
        <v>539999</v>
      </c>
      <c r="G953" s="2405">
        <v>612</v>
      </c>
      <c r="H953" s="2405">
        <v>241</v>
      </c>
      <c r="I953" s="2429">
        <v>0</v>
      </c>
      <c r="J953" s="2499">
        <v>270</v>
      </c>
      <c r="K953" s="2357">
        <f>'2015'!J5</f>
        <v>270</v>
      </c>
    </row>
    <row r="954" spans="2:11" ht="65" x14ac:dyDescent="0.2">
      <c r="B954" s="2500" t="s">
        <v>1843</v>
      </c>
      <c r="C954" s="2405">
        <v>56</v>
      </c>
      <c r="D954" s="2405">
        <v>1</v>
      </c>
      <c r="E954" s="2405">
        <v>13</v>
      </c>
      <c r="F954" s="2405">
        <v>559999</v>
      </c>
      <c r="G954" s="2405">
        <v>612</v>
      </c>
      <c r="H954" s="2405">
        <v>241</v>
      </c>
      <c r="I954" s="2501">
        <v>0</v>
      </c>
      <c r="J954" s="2499">
        <v>150</v>
      </c>
      <c r="K954" s="2357">
        <f>'2015'!J7</f>
        <v>150</v>
      </c>
    </row>
    <row r="955" spans="2:11" ht="65" x14ac:dyDescent="0.2">
      <c r="B955" s="2500" t="s">
        <v>1844</v>
      </c>
      <c r="C955" s="2405">
        <v>56</v>
      </c>
      <c r="D955" s="2405">
        <v>1</v>
      </c>
      <c r="E955" s="2405">
        <v>13</v>
      </c>
      <c r="F955" s="2405">
        <v>659999</v>
      </c>
      <c r="G955" s="2405">
        <v>612</v>
      </c>
      <c r="H955" s="2405">
        <v>241</v>
      </c>
      <c r="I955" s="2501">
        <v>0</v>
      </c>
      <c r="J955" s="2502">
        <v>34.799999999999997</v>
      </c>
      <c r="K955" s="2357">
        <f>'2015'!J9</f>
        <v>34.799999999999997</v>
      </c>
    </row>
    <row r="956" spans="2:11" ht="27.75" customHeight="1" x14ac:dyDescent="0.15">
      <c r="B956" s="2957" t="s">
        <v>1845</v>
      </c>
      <c r="C956" s="2954">
        <v>56</v>
      </c>
      <c r="D956" s="2954">
        <v>8</v>
      </c>
      <c r="E956" s="2954">
        <v>1</v>
      </c>
      <c r="F956" s="2955">
        <v>1125146</v>
      </c>
      <c r="G956" s="2503">
        <v>540</v>
      </c>
      <c r="H956" s="2955">
        <v>251</v>
      </c>
      <c r="I956" s="2958">
        <v>0</v>
      </c>
      <c r="J956" s="2626">
        <v>2474.9331000000002</v>
      </c>
      <c r="K956" s="2928">
        <f>'2015'!J18</f>
        <v>2474.933</v>
      </c>
    </row>
    <row r="957" spans="2:11" ht="44.25" customHeight="1" x14ac:dyDescent="0.15">
      <c r="B957" s="2957"/>
      <c r="C957" s="2954"/>
      <c r="D957" s="2954"/>
      <c r="E957" s="2954"/>
      <c r="F957" s="2955"/>
      <c r="G957" s="2503">
        <v>-88</v>
      </c>
      <c r="H957" s="2955"/>
      <c r="I957" s="2958"/>
      <c r="J957" s="2627"/>
      <c r="K957" s="2928"/>
    </row>
    <row r="958" spans="2:11" ht="27" customHeight="1" x14ac:dyDescent="0.15">
      <c r="B958" s="2953" t="s">
        <v>1846</v>
      </c>
      <c r="C958" s="2954">
        <v>56</v>
      </c>
      <c r="D958" s="2954">
        <v>8</v>
      </c>
      <c r="E958" s="2954">
        <v>1</v>
      </c>
      <c r="F958" s="2955">
        <v>1125147</v>
      </c>
      <c r="G958" s="2504">
        <v>540</v>
      </c>
      <c r="H958" s="2955">
        <v>251</v>
      </c>
      <c r="I958" s="2956">
        <v>0</v>
      </c>
      <c r="J958" s="2626">
        <v>2900</v>
      </c>
      <c r="K958">
        <f>'2015'!J19</f>
        <v>2900</v>
      </c>
    </row>
    <row r="959" spans="2:11" ht="42" customHeight="1" x14ac:dyDescent="0.15">
      <c r="B959" s="2953"/>
      <c r="C959" s="2954"/>
      <c r="D959" s="2954"/>
      <c r="E959" s="2954"/>
      <c r="F959" s="2955"/>
      <c r="G959" s="2504">
        <v>-91</v>
      </c>
      <c r="H959" s="2955"/>
      <c r="I959" s="2956"/>
      <c r="J959" s="2627"/>
    </row>
    <row r="960" spans="2:11" ht="34.5" customHeight="1" x14ac:dyDescent="0.15">
      <c r="B960" s="2953" t="s">
        <v>1847</v>
      </c>
      <c r="C960" s="2954">
        <v>56</v>
      </c>
      <c r="D960" s="2954">
        <v>8</v>
      </c>
      <c r="E960" s="2954">
        <v>1</v>
      </c>
      <c r="F960" s="2955">
        <v>1125148</v>
      </c>
      <c r="G960" s="2504">
        <v>540</v>
      </c>
      <c r="H960" s="2955">
        <v>251</v>
      </c>
      <c r="I960" s="2956">
        <v>0</v>
      </c>
      <c r="J960" s="2626">
        <v>1150</v>
      </c>
      <c r="K960" s="2928">
        <f>'2015'!J20</f>
        <v>1150</v>
      </c>
    </row>
    <row r="961" spans="2:11" ht="48" customHeight="1" x14ac:dyDescent="0.15">
      <c r="B961" s="2953"/>
      <c r="C961" s="2954"/>
      <c r="D961" s="2954"/>
      <c r="E961" s="2954"/>
      <c r="F961" s="2955"/>
      <c r="G961" s="2504">
        <v>-92</v>
      </c>
      <c r="H961" s="2955"/>
      <c r="I961" s="2956"/>
      <c r="J961" s="2627"/>
      <c r="K961" s="2928"/>
    </row>
    <row r="962" spans="2:11" ht="82.5" customHeight="1" x14ac:dyDescent="0.15">
      <c r="B962" s="2500" t="s">
        <v>1848</v>
      </c>
      <c r="C962" s="2959">
        <v>56</v>
      </c>
      <c r="D962" s="2959">
        <v>8</v>
      </c>
      <c r="E962" s="2959">
        <v>4</v>
      </c>
      <c r="F962" s="2959">
        <v>9994009</v>
      </c>
      <c r="G962" s="2959">
        <v>414</v>
      </c>
      <c r="H962" s="2959">
        <v>226</v>
      </c>
      <c r="I962" s="2956">
        <v>0</v>
      </c>
      <c r="J962" s="2960">
        <v>24100</v>
      </c>
      <c r="K962" s="2928">
        <f>'2015'!J35</f>
        <v>24100</v>
      </c>
    </row>
    <row r="963" spans="2:11" ht="26" x14ac:dyDescent="0.15">
      <c r="B963" s="2500" t="s">
        <v>1849</v>
      </c>
      <c r="C963" s="2959"/>
      <c r="D963" s="2959"/>
      <c r="E963" s="2959"/>
      <c r="F963" s="2959"/>
      <c r="G963" s="2959"/>
      <c r="H963" s="2959"/>
      <c r="I963" s="2956"/>
      <c r="J963" s="2960"/>
      <c r="K963" s="2928"/>
    </row>
    <row r="964" spans="2:11" ht="91" x14ac:dyDescent="0.2">
      <c r="B964" s="2500" t="s">
        <v>1850</v>
      </c>
      <c r="C964" s="2405">
        <v>56</v>
      </c>
      <c r="D964" s="2405">
        <v>3</v>
      </c>
      <c r="E964" s="2405">
        <v>10</v>
      </c>
      <c r="F964" s="2405">
        <v>739999</v>
      </c>
      <c r="G964" s="2405">
        <v>612</v>
      </c>
      <c r="H964" s="2405">
        <v>241</v>
      </c>
      <c r="I964" s="2429">
        <v>0</v>
      </c>
      <c r="J964" s="2502">
        <v>600</v>
      </c>
      <c r="K964" s="2357">
        <f>'2015'!J10</f>
        <v>600</v>
      </c>
    </row>
    <row r="965" spans="2:11" ht="65" x14ac:dyDescent="0.2">
      <c r="B965" s="2500" t="s">
        <v>1851</v>
      </c>
      <c r="C965" s="2439">
        <v>56</v>
      </c>
      <c r="D965" s="2439">
        <v>10</v>
      </c>
      <c r="E965" s="2439">
        <v>6</v>
      </c>
      <c r="F965" s="2439">
        <v>2708027</v>
      </c>
      <c r="G965" s="2439">
        <v>612</v>
      </c>
      <c r="H965" s="2439">
        <v>241</v>
      </c>
      <c r="I965" s="2505">
        <v>0</v>
      </c>
      <c r="J965" s="2499">
        <v>585</v>
      </c>
      <c r="K965" s="2357">
        <f>'2015'!J38</f>
        <v>585</v>
      </c>
    </row>
    <row r="966" spans="2:11" ht="52" x14ac:dyDescent="0.2">
      <c r="B966" s="2506" t="s">
        <v>1852</v>
      </c>
      <c r="C966" s="2439">
        <v>56</v>
      </c>
      <c r="D966" s="2439">
        <v>10</v>
      </c>
      <c r="E966" s="2439">
        <v>6</v>
      </c>
      <c r="F966" s="2416">
        <v>415027</v>
      </c>
      <c r="G966" s="2439">
        <v>612</v>
      </c>
      <c r="H966" s="2439" t="s">
        <v>1853</v>
      </c>
      <c r="I966" s="2429">
        <v>0</v>
      </c>
      <c r="J966" s="2427">
        <v>11100</v>
      </c>
      <c r="K966" s="2357">
        <f>'2015'!J37</f>
        <v>11100</v>
      </c>
    </row>
    <row r="967" spans="2:11" ht="16" x14ac:dyDescent="0.15">
      <c r="B967" s="2961" t="s">
        <v>1854</v>
      </c>
      <c r="C967" s="2962">
        <v>56</v>
      </c>
      <c r="D967" s="2962">
        <v>1</v>
      </c>
      <c r="E967" s="2962">
        <v>13</v>
      </c>
      <c r="F967" s="2963">
        <v>535236</v>
      </c>
      <c r="G967" s="2964">
        <v>612</v>
      </c>
      <c r="H967" s="2507" t="s">
        <v>1855</v>
      </c>
      <c r="I967" s="2962">
        <v>0</v>
      </c>
      <c r="J967" s="2965">
        <v>1500</v>
      </c>
      <c r="K967" s="2928">
        <f>'2015'!J4</f>
        <v>1500</v>
      </c>
    </row>
    <row r="968" spans="2:11" ht="16" x14ac:dyDescent="0.15">
      <c r="B968" s="2961"/>
      <c r="C968" s="2962"/>
      <c r="D968" s="2962"/>
      <c r="E968" s="2962"/>
      <c r="F968" s="2963"/>
      <c r="G968" s="2964"/>
      <c r="H968" s="2507">
        <v>852</v>
      </c>
      <c r="I968" s="2962"/>
      <c r="J968" s="2965"/>
      <c r="K968" s="2928"/>
    </row>
    <row r="969" spans="2:11" ht="16" x14ac:dyDescent="0.15">
      <c r="B969" s="2961"/>
      <c r="C969" s="2962">
        <v>56</v>
      </c>
      <c r="D969" s="2962">
        <v>1</v>
      </c>
      <c r="E969" s="2962">
        <v>13</v>
      </c>
      <c r="F969" s="2963">
        <v>555236</v>
      </c>
      <c r="G969" s="2964">
        <v>612</v>
      </c>
      <c r="H969" s="2507" t="s">
        <v>1855</v>
      </c>
      <c r="I969" s="2966">
        <v>0</v>
      </c>
      <c r="J969" s="2965">
        <v>2218.6999999999998</v>
      </c>
      <c r="K969" s="2928">
        <f>'2015'!J6</f>
        <v>2218.6999999999998</v>
      </c>
    </row>
    <row r="970" spans="2:11" ht="16" x14ac:dyDescent="0.15">
      <c r="B970" s="2961"/>
      <c r="C970" s="2962"/>
      <c r="D970" s="2962"/>
      <c r="E970" s="2962"/>
      <c r="F970" s="2963"/>
      <c r="G970" s="2964"/>
      <c r="H970" s="2507">
        <v>852</v>
      </c>
      <c r="I970" s="2966"/>
      <c r="J970" s="2965"/>
      <c r="K970" s="2928"/>
    </row>
    <row r="971" spans="2:11" ht="16" x14ac:dyDescent="0.15">
      <c r="B971" s="2961"/>
      <c r="C971" s="2962">
        <v>56</v>
      </c>
      <c r="D971" s="2962">
        <v>1</v>
      </c>
      <c r="E971" s="2962">
        <v>13</v>
      </c>
      <c r="F971" s="2963">
        <v>565236</v>
      </c>
      <c r="G971" s="2964">
        <v>612</v>
      </c>
      <c r="H971" s="2507" t="s">
        <v>1855</v>
      </c>
      <c r="I971" s="2966">
        <v>0</v>
      </c>
      <c r="J971" s="2965">
        <v>800</v>
      </c>
      <c r="K971" s="2928">
        <f>'2015'!J8</f>
        <v>800</v>
      </c>
    </row>
    <row r="972" spans="2:11" ht="16" x14ac:dyDescent="0.15">
      <c r="B972" s="2961"/>
      <c r="C972" s="2962"/>
      <c r="D972" s="2962"/>
      <c r="E972" s="2962"/>
      <c r="F972" s="2963"/>
      <c r="G972" s="2964"/>
      <c r="H972" s="2507">
        <v>852</v>
      </c>
      <c r="I972" s="2966"/>
      <c r="J972" s="2965"/>
      <c r="K972" s="2928"/>
    </row>
    <row r="973" spans="2:11" x14ac:dyDescent="0.15">
      <c r="K973">
        <f>SUM(K8:K972)</f>
        <v>1282099.0498999998</v>
      </c>
    </row>
  </sheetData>
  <mergeCells count="140">
    <mergeCell ref="K971:K972"/>
    <mergeCell ref="C971:C972"/>
    <mergeCell ref="D971:D972"/>
    <mergeCell ref="E971:E972"/>
    <mergeCell ref="F971:F972"/>
    <mergeCell ref="G971:G972"/>
    <mergeCell ref="I971:I972"/>
    <mergeCell ref="K967:K968"/>
    <mergeCell ref="C969:C970"/>
    <mergeCell ref="D969:D970"/>
    <mergeCell ref="E969:E970"/>
    <mergeCell ref="F969:F970"/>
    <mergeCell ref="G969:G970"/>
    <mergeCell ref="I969:I970"/>
    <mergeCell ref="J969:J970"/>
    <mergeCell ref="K969:K970"/>
    <mergeCell ref="B967:B972"/>
    <mergeCell ref="C967:C968"/>
    <mergeCell ref="D967:D968"/>
    <mergeCell ref="E967:E968"/>
    <mergeCell ref="F967:F968"/>
    <mergeCell ref="G967:G968"/>
    <mergeCell ref="I967:I968"/>
    <mergeCell ref="J967:J968"/>
    <mergeCell ref="J971:J972"/>
    <mergeCell ref="C962:C963"/>
    <mergeCell ref="D962:D963"/>
    <mergeCell ref="E962:E963"/>
    <mergeCell ref="F962:F963"/>
    <mergeCell ref="G962:G963"/>
    <mergeCell ref="H962:H963"/>
    <mergeCell ref="I962:I963"/>
    <mergeCell ref="J962:J963"/>
    <mergeCell ref="K962:K963"/>
    <mergeCell ref="K956:K957"/>
    <mergeCell ref="B958:B959"/>
    <mergeCell ref="C958:C959"/>
    <mergeCell ref="D958:D959"/>
    <mergeCell ref="E958:E959"/>
    <mergeCell ref="F958:F959"/>
    <mergeCell ref="H958:H959"/>
    <mergeCell ref="I958:I959"/>
    <mergeCell ref="K960:K961"/>
    <mergeCell ref="I960:I961"/>
    <mergeCell ref="B956:B957"/>
    <mergeCell ref="C956:C957"/>
    <mergeCell ref="D956:D957"/>
    <mergeCell ref="E956:E957"/>
    <mergeCell ref="F956:F957"/>
    <mergeCell ref="H956:H957"/>
    <mergeCell ref="I956:I957"/>
    <mergeCell ref="B960:B961"/>
    <mergeCell ref="C960:C961"/>
    <mergeCell ref="D960:D961"/>
    <mergeCell ref="E960:E961"/>
    <mergeCell ref="F960:F961"/>
    <mergeCell ref="H960:H961"/>
    <mergeCell ref="I916:I917"/>
    <mergeCell ref="J916:J917"/>
    <mergeCell ref="K916:K917"/>
    <mergeCell ref="B941:B942"/>
    <mergeCell ref="C941:C942"/>
    <mergeCell ref="D941:D942"/>
    <mergeCell ref="E941:E942"/>
    <mergeCell ref="F941:F942"/>
    <mergeCell ref="H941:H942"/>
    <mergeCell ref="I941:I942"/>
    <mergeCell ref="C916:C917"/>
    <mergeCell ref="D916:D917"/>
    <mergeCell ref="E916:E917"/>
    <mergeCell ref="F916:F917"/>
    <mergeCell ref="G916:G917"/>
    <mergeCell ref="H916:H917"/>
    <mergeCell ref="J941:J942"/>
    <mergeCell ref="K941:K942"/>
    <mergeCell ref="C533:C534"/>
    <mergeCell ref="D533:D534"/>
    <mergeCell ref="E533:E534"/>
    <mergeCell ref="F533:F534"/>
    <mergeCell ref="G533:G534"/>
    <mergeCell ref="H533:H534"/>
    <mergeCell ref="I533:I534"/>
    <mergeCell ref="J533:J534"/>
    <mergeCell ref="K533:K534"/>
    <mergeCell ref="C484:C485"/>
    <mergeCell ref="D484:D485"/>
    <mergeCell ref="E484:E485"/>
    <mergeCell ref="F484:F485"/>
    <mergeCell ref="G484:G485"/>
    <mergeCell ref="H484:H485"/>
    <mergeCell ref="I484:I485"/>
    <mergeCell ref="J484:J485"/>
    <mergeCell ref="K484:K485"/>
    <mergeCell ref="I252:I253"/>
    <mergeCell ref="J252:J253"/>
    <mergeCell ref="K252:K253"/>
    <mergeCell ref="C270:C271"/>
    <mergeCell ref="D270:D271"/>
    <mergeCell ref="E270:E271"/>
    <mergeCell ref="F270:F271"/>
    <mergeCell ref="G270:G271"/>
    <mergeCell ref="H270:H271"/>
    <mergeCell ref="I270:I271"/>
    <mergeCell ref="C252:C253"/>
    <mergeCell ref="D252:D253"/>
    <mergeCell ref="E252:E253"/>
    <mergeCell ref="F252:F253"/>
    <mergeCell ref="G252:G253"/>
    <mergeCell ref="H252:H253"/>
    <mergeCell ref="J270:J271"/>
    <mergeCell ref="K270:K271"/>
    <mergeCell ref="K232:K233"/>
    <mergeCell ref="C234:C235"/>
    <mergeCell ref="D234:D235"/>
    <mergeCell ref="E234:E235"/>
    <mergeCell ref="F234:F235"/>
    <mergeCell ref="G234:G235"/>
    <mergeCell ref="H234:H235"/>
    <mergeCell ref="I234:I235"/>
    <mergeCell ref="J234:J235"/>
    <mergeCell ref="K234:K235"/>
    <mergeCell ref="I6:I7"/>
    <mergeCell ref="J6:J7"/>
    <mergeCell ref="B232:B233"/>
    <mergeCell ref="C232:C233"/>
    <mergeCell ref="D232:D233"/>
    <mergeCell ref="E232:E233"/>
    <mergeCell ref="F232:F233"/>
    <mergeCell ref="H232:H233"/>
    <mergeCell ref="I232:I233"/>
    <mergeCell ref="B2:H2"/>
    <mergeCell ref="B3:H3"/>
    <mergeCell ref="B4:H4"/>
    <mergeCell ref="B6:B7"/>
    <mergeCell ref="C6:C7"/>
    <mergeCell ref="D6:D7"/>
    <mergeCell ref="E6:E7"/>
    <mergeCell ref="F6:F7"/>
    <mergeCell ref="G6:G7"/>
    <mergeCell ref="H6:H7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R73"/>
  <sheetViews>
    <sheetView view="pageBreakPreview" topLeftCell="A21" zoomScale="85" zoomScaleNormal="70" zoomScaleSheetLayoutView="85" zoomScalePageLayoutView="70" workbookViewId="0">
      <selection activeCell="I34" sqref="I34"/>
    </sheetView>
  </sheetViews>
  <sheetFormatPr baseColWidth="10" defaultColWidth="8.83203125" defaultRowHeight="16" x14ac:dyDescent="0.2"/>
  <cols>
    <col min="1" max="1" width="8.83203125" style="610"/>
    <col min="2" max="2" width="58.5" style="610" customWidth="1"/>
    <col min="3" max="5" width="9.33203125" style="610" bestFit="1" customWidth="1"/>
    <col min="6" max="6" width="16.5" style="610" customWidth="1"/>
    <col min="7" max="7" width="9.33203125" style="610" bestFit="1" customWidth="1"/>
    <col min="8" max="8" width="10.1640625" style="610" bestFit="1" customWidth="1"/>
    <col min="9" max="9" width="24.83203125" style="610" customWidth="1"/>
    <col min="10" max="10" width="30.5" style="610" customWidth="1"/>
    <col min="11" max="11" width="43.5" style="610" customWidth="1"/>
    <col min="12" max="16384" width="8.83203125" style="610"/>
  </cols>
  <sheetData>
    <row r="2" spans="2:18" ht="17" thickBot="1" x14ac:dyDescent="0.25"/>
    <row r="3" spans="2:18" ht="17" thickBot="1" x14ac:dyDescent="0.25">
      <c r="B3" s="2346" t="s">
        <v>265</v>
      </c>
      <c r="C3" s="1174">
        <v>56</v>
      </c>
      <c r="D3" s="2346"/>
      <c r="E3" s="2346"/>
      <c r="F3" s="2346"/>
      <c r="G3" s="2346"/>
      <c r="H3" s="1174">
        <v>-17231.900000000001</v>
      </c>
      <c r="I3" s="1174">
        <v>1059078</v>
      </c>
      <c r="K3" s="2682" t="s">
        <v>265</v>
      </c>
      <c r="L3" s="2683">
        <v>56</v>
      </c>
      <c r="M3" s="2684"/>
      <c r="N3" s="2684"/>
      <c r="O3" s="2684"/>
      <c r="P3" s="2684"/>
      <c r="Q3" s="2684"/>
      <c r="R3" s="2683">
        <v>1059078</v>
      </c>
    </row>
    <row r="4" spans="2:18" ht="17" thickBot="1" x14ac:dyDescent="0.25">
      <c r="B4" s="2346" t="s">
        <v>761</v>
      </c>
      <c r="C4" s="1174">
        <v>56</v>
      </c>
      <c r="D4" s="1174">
        <v>7</v>
      </c>
      <c r="E4" s="2346"/>
      <c r="F4" s="2346"/>
      <c r="G4" s="2346"/>
      <c r="H4" s="1174">
        <v>-630</v>
      </c>
      <c r="I4" s="1174">
        <v>178090</v>
      </c>
      <c r="K4" s="2685" t="s">
        <v>761</v>
      </c>
      <c r="L4" s="2686">
        <v>56</v>
      </c>
      <c r="M4" s="2686">
        <v>7</v>
      </c>
      <c r="N4" s="2687"/>
      <c r="O4" s="2687"/>
      <c r="P4" s="2687"/>
      <c r="Q4" s="2687"/>
      <c r="R4" s="2686">
        <v>178090</v>
      </c>
    </row>
    <row r="5" spans="2:18" ht="17" thickBot="1" x14ac:dyDescent="0.25">
      <c r="B5" s="2346" t="s">
        <v>1525</v>
      </c>
      <c r="C5" s="1174">
        <v>56</v>
      </c>
      <c r="D5" s="1174">
        <v>7</v>
      </c>
      <c r="E5" s="1174">
        <v>2</v>
      </c>
      <c r="F5" s="2346"/>
      <c r="G5" s="2346"/>
      <c r="H5" s="1174">
        <v>-210</v>
      </c>
      <c r="I5" s="1174">
        <v>42621.7</v>
      </c>
      <c r="K5" s="2685" t="s">
        <v>1525</v>
      </c>
      <c r="L5" s="2686">
        <v>56</v>
      </c>
      <c r="M5" s="2686">
        <v>7</v>
      </c>
      <c r="N5" s="2686">
        <v>2</v>
      </c>
      <c r="O5" s="2687"/>
      <c r="P5" s="2687"/>
      <c r="Q5" s="2687"/>
      <c r="R5" s="2686">
        <v>42621.7</v>
      </c>
    </row>
    <row r="6" spans="2:18" ht="28" thickBot="1" x14ac:dyDescent="0.25">
      <c r="B6" s="290" t="s">
        <v>1680</v>
      </c>
      <c r="C6" s="1174">
        <v>56</v>
      </c>
      <c r="D6" s="1174">
        <v>7</v>
      </c>
      <c r="E6" s="1174">
        <v>2</v>
      </c>
      <c r="F6" s="1174">
        <v>20</v>
      </c>
      <c r="G6" s="2346"/>
      <c r="H6" s="1174">
        <v>-210</v>
      </c>
      <c r="I6" s="1174">
        <v>42621.7</v>
      </c>
      <c r="K6" s="2688" t="s">
        <v>1680</v>
      </c>
      <c r="L6" s="2686">
        <v>56</v>
      </c>
      <c r="M6" s="2686">
        <v>7</v>
      </c>
      <c r="N6" s="2686">
        <v>2</v>
      </c>
      <c r="O6" s="2686">
        <v>20</v>
      </c>
      <c r="P6" s="2687"/>
      <c r="Q6" s="2687"/>
      <c r="R6" s="2686">
        <v>42621.7</v>
      </c>
    </row>
    <row r="7" spans="2:18" ht="17" thickBot="1" x14ac:dyDescent="0.25">
      <c r="B7" s="290" t="s">
        <v>1681</v>
      </c>
      <c r="C7" s="1174">
        <v>56</v>
      </c>
      <c r="D7" s="1174">
        <v>7</v>
      </c>
      <c r="E7" s="1174">
        <v>2</v>
      </c>
      <c r="F7" s="1174" t="s">
        <v>1682</v>
      </c>
      <c r="G7" s="2346"/>
      <c r="H7" s="1174">
        <v>-210</v>
      </c>
      <c r="I7" s="1174">
        <v>42621.7</v>
      </c>
      <c r="K7" s="2688" t="s">
        <v>1681</v>
      </c>
      <c r="L7" s="2686">
        <v>56</v>
      </c>
      <c r="M7" s="2686">
        <v>7</v>
      </c>
      <c r="N7" s="2686">
        <v>2</v>
      </c>
      <c r="O7" s="2686" t="s">
        <v>1682</v>
      </c>
      <c r="P7" s="2687"/>
      <c r="Q7" s="2687"/>
      <c r="R7" s="2686">
        <v>42621.7</v>
      </c>
    </row>
    <row r="8" spans="2:18" ht="33" thickBot="1" x14ac:dyDescent="0.25">
      <c r="B8" s="2636" t="s">
        <v>1683</v>
      </c>
      <c r="C8" s="1174">
        <v>56</v>
      </c>
      <c r="D8" s="1174">
        <v>7</v>
      </c>
      <c r="E8" s="1174">
        <v>2</v>
      </c>
      <c r="F8" s="1174" t="s">
        <v>1684</v>
      </c>
      <c r="G8" s="2346"/>
      <c r="H8" s="1174">
        <v>-210</v>
      </c>
      <c r="I8" s="1174">
        <v>42621.7</v>
      </c>
      <c r="K8" s="2685" t="s">
        <v>1683</v>
      </c>
      <c r="L8" s="2686">
        <v>56</v>
      </c>
      <c r="M8" s="2686">
        <v>7</v>
      </c>
      <c r="N8" s="2686">
        <v>2</v>
      </c>
      <c r="O8" s="2686" t="s">
        <v>1684</v>
      </c>
      <c r="P8" s="2687"/>
      <c r="Q8" s="2687"/>
      <c r="R8" s="2686">
        <v>42621.7</v>
      </c>
    </row>
    <row r="9" spans="2:18" ht="33" thickBot="1" x14ac:dyDescent="0.25">
      <c r="B9" s="2346" t="s">
        <v>1685</v>
      </c>
      <c r="C9" s="1174">
        <v>56</v>
      </c>
      <c r="D9" s="1174">
        <v>7</v>
      </c>
      <c r="E9" s="1174">
        <v>2</v>
      </c>
      <c r="F9" s="1174" t="s">
        <v>1686</v>
      </c>
      <c r="G9" s="2346"/>
      <c r="H9" s="1174">
        <v>-210</v>
      </c>
      <c r="I9" s="1174">
        <v>42621.7</v>
      </c>
      <c r="K9" s="2685" t="s">
        <v>1685</v>
      </c>
      <c r="L9" s="2686">
        <v>56</v>
      </c>
      <c r="M9" s="2686">
        <v>7</v>
      </c>
      <c r="N9" s="2686">
        <v>2</v>
      </c>
      <c r="O9" s="2686" t="s">
        <v>1686</v>
      </c>
      <c r="P9" s="2687"/>
      <c r="Q9" s="2687"/>
      <c r="R9" s="2686">
        <v>42621.7</v>
      </c>
    </row>
    <row r="10" spans="2:18" ht="46" thickBot="1" x14ac:dyDescent="0.25">
      <c r="B10" s="2346" t="s">
        <v>1094</v>
      </c>
      <c r="C10" s="1174">
        <v>56</v>
      </c>
      <c r="D10" s="1174">
        <v>7</v>
      </c>
      <c r="E10" s="1174">
        <v>2</v>
      </c>
      <c r="F10" s="1174" t="s">
        <v>1686</v>
      </c>
      <c r="G10" s="1174">
        <v>600</v>
      </c>
      <c r="H10" s="1174">
        <v>-210</v>
      </c>
      <c r="I10" s="1174">
        <v>42621.7</v>
      </c>
      <c r="K10" s="2685" t="s">
        <v>1094</v>
      </c>
      <c r="L10" s="2686">
        <v>56</v>
      </c>
      <c r="M10" s="2686">
        <v>7</v>
      </c>
      <c r="N10" s="2686">
        <v>2</v>
      </c>
      <c r="O10" s="2686" t="s">
        <v>1686</v>
      </c>
      <c r="P10" s="2686">
        <v>600</v>
      </c>
      <c r="Q10" s="2687"/>
      <c r="R10" s="2686">
        <v>42621.7</v>
      </c>
    </row>
    <row r="11" spans="2:18" ht="17" thickBot="1" x14ac:dyDescent="0.25">
      <c r="B11" s="2346" t="s">
        <v>1526</v>
      </c>
      <c r="C11" s="1174">
        <v>56</v>
      </c>
      <c r="D11" s="1174">
        <v>7</v>
      </c>
      <c r="E11" s="1174">
        <v>4</v>
      </c>
      <c r="F11" s="2346"/>
      <c r="G11" s="2346"/>
      <c r="H11" s="1174">
        <v>-320</v>
      </c>
      <c r="I11" s="1174">
        <v>130280.4</v>
      </c>
      <c r="K11" s="2685" t="s">
        <v>1526</v>
      </c>
      <c r="L11" s="2686">
        <v>56</v>
      </c>
      <c r="M11" s="2686">
        <v>7</v>
      </c>
      <c r="N11" s="2686">
        <v>4</v>
      </c>
      <c r="O11" s="2687"/>
      <c r="P11" s="2687"/>
      <c r="Q11" s="2687"/>
      <c r="R11" s="2686">
        <v>130280.4</v>
      </c>
    </row>
    <row r="12" spans="2:18" ht="28" thickBot="1" x14ac:dyDescent="0.25">
      <c r="B12" s="290" t="s">
        <v>1680</v>
      </c>
      <c r="C12" s="1174">
        <v>56</v>
      </c>
      <c r="D12" s="1174">
        <v>7</v>
      </c>
      <c r="E12" s="1174">
        <v>4</v>
      </c>
      <c r="F12" s="1174">
        <v>20</v>
      </c>
      <c r="G12" s="2346"/>
      <c r="H12" s="1174">
        <v>-320</v>
      </c>
      <c r="I12" s="1174">
        <v>130280.4</v>
      </c>
      <c r="K12" s="2688" t="s">
        <v>1680</v>
      </c>
      <c r="L12" s="2686">
        <v>56</v>
      </c>
      <c r="M12" s="2686">
        <v>7</v>
      </c>
      <c r="N12" s="2686">
        <v>4</v>
      </c>
      <c r="O12" s="2686">
        <v>20</v>
      </c>
      <c r="P12" s="2687"/>
      <c r="Q12" s="2687"/>
      <c r="R12" s="2686">
        <v>130280.4</v>
      </c>
    </row>
    <row r="13" spans="2:18" ht="17" thickBot="1" x14ac:dyDescent="0.25">
      <c r="B13" s="290" t="s">
        <v>1681</v>
      </c>
      <c r="C13" s="1174">
        <v>56</v>
      </c>
      <c r="D13" s="1174">
        <v>7</v>
      </c>
      <c r="E13" s="1174">
        <v>4</v>
      </c>
      <c r="F13" s="1174" t="s">
        <v>1682</v>
      </c>
      <c r="G13" s="2346"/>
      <c r="H13" s="1174">
        <v>-320</v>
      </c>
      <c r="I13" s="1174">
        <v>130280.4</v>
      </c>
      <c r="K13" s="2688" t="s">
        <v>1681</v>
      </c>
      <c r="L13" s="2686">
        <v>56</v>
      </c>
      <c r="M13" s="2686">
        <v>7</v>
      </c>
      <c r="N13" s="2686">
        <v>4</v>
      </c>
      <c r="O13" s="2686" t="s">
        <v>1682</v>
      </c>
      <c r="P13" s="2687"/>
      <c r="Q13" s="2687"/>
      <c r="R13" s="2686">
        <v>130280.4</v>
      </c>
    </row>
    <row r="14" spans="2:18" ht="33" thickBot="1" x14ac:dyDescent="0.25">
      <c r="B14" s="2636" t="s">
        <v>1687</v>
      </c>
      <c r="C14" s="1174">
        <v>56</v>
      </c>
      <c r="D14" s="1174">
        <v>7</v>
      </c>
      <c r="E14" s="1174">
        <v>4</v>
      </c>
      <c r="F14" s="1174" t="s">
        <v>1688</v>
      </c>
      <c r="G14" s="2346"/>
      <c r="H14" s="1174">
        <v>-320</v>
      </c>
      <c r="I14" s="1174">
        <v>130280.4</v>
      </c>
      <c r="K14" s="2685" t="s">
        <v>1687</v>
      </c>
      <c r="L14" s="2686">
        <v>56</v>
      </c>
      <c r="M14" s="2686">
        <v>7</v>
      </c>
      <c r="N14" s="2686">
        <v>4</v>
      </c>
      <c r="O14" s="2686" t="s">
        <v>1688</v>
      </c>
      <c r="P14" s="2687"/>
      <c r="Q14" s="2687"/>
      <c r="R14" s="2686">
        <v>130280.4</v>
      </c>
    </row>
    <row r="15" spans="2:18" ht="33" thickBot="1" x14ac:dyDescent="0.25">
      <c r="B15" s="2346" t="s">
        <v>1685</v>
      </c>
      <c r="C15" s="1174">
        <v>56</v>
      </c>
      <c r="D15" s="1174">
        <v>7</v>
      </c>
      <c r="E15" s="1174">
        <v>4</v>
      </c>
      <c r="F15" s="1174" t="s">
        <v>1689</v>
      </c>
      <c r="G15" s="2346"/>
      <c r="H15" s="1174">
        <v>-320</v>
      </c>
      <c r="I15" s="1174">
        <v>130280.4</v>
      </c>
      <c r="K15" s="2685" t="s">
        <v>1685</v>
      </c>
      <c r="L15" s="2686">
        <v>56</v>
      </c>
      <c r="M15" s="2686">
        <v>7</v>
      </c>
      <c r="N15" s="2686">
        <v>4</v>
      </c>
      <c r="O15" s="2686" t="s">
        <v>1689</v>
      </c>
      <c r="P15" s="2687"/>
      <c r="Q15" s="2687"/>
      <c r="R15" s="2686">
        <v>130280.4</v>
      </c>
    </row>
    <row r="16" spans="2:18" ht="46" thickBot="1" x14ac:dyDescent="0.25">
      <c r="B16" s="2346" t="s">
        <v>1094</v>
      </c>
      <c r="C16" s="1174">
        <v>56</v>
      </c>
      <c r="D16" s="1174">
        <v>7</v>
      </c>
      <c r="E16" s="1174">
        <v>4</v>
      </c>
      <c r="F16" s="1174" t="s">
        <v>1689</v>
      </c>
      <c r="G16" s="1174">
        <v>600</v>
      </c>
      <c r="H16" s="1174">
        <v>-320</v>
      </c>
      <c r="I16" s="1174">
        <v>130280.4</v>
      </c>
      <c r="K16" s="2685" t="s">
        <v>1094</v>
      </c>
      <c r="L16" s="2686">
        <v>56</v>
      </c>
      <c r="M16" s="2686">
        <v>7</v>
      </c>
      <c r="N16" s="2686">
        <v>4</v>
      </c>
      <c r="O16" s="2686" t="s">
        <v>1689</v>
      </c>
      <c r="P16" s="2686">
        <v>600</v>
      </c>
      <c r="Q16" s="2687"/>
      <c r="R16" s="2686">
        <v>130280.4</v>
      </c>
    </row>
    <row r="17" spans="2:18" ht="17" thickBot="1" x14ac:dyDescent="0.25">
      <c r="B17" s="2346" t="s">
        <v>1527</v>
      </c>
      <c r="C17" s="1174">
        <v>56</v>
      </c>
      <c r="D17" s="1174">
        <v>7</v>
      </c>
      <c r="E17" s="1174">
        <v>5</v>
      </c>
      <c r="F17" s="2346"/>
      <c r="G17" s="2346"/>
      <c r="H17" s="1174">
        <v>-100</v>
      </c>
      <c r="I17" s="1174">
        <v>5187.8999999999996</v>
      </c>
      <c r="K17" s="2685" t="s">
        <v>1527</v>
      </c>
      <c r="L17" s="2686">
        <v>56</v>
      </c>
      <c r="M17" s="2686">
        <v>7</v>
      </c>
      <c r="N17" s="2686">
        <v>5</v>
      </c>
      <c r="O17" s="2687"/>
      <c r="P17" s="2687"/>
      <c r="Q17" s="2687"/>
      <c r="R17" s="2686">
        <v>5187.8999999999996</v>
      </c>
    </row>
    <row r="18" spans="2:18" ht="28" thickBot="1" x14ac:dyDescent="0.25">
      <c r="B18" s="290" t="s">
        <v>1680</v>
      </c>
      <c r="C18" s="1174">
        <v>56</v>
      </c>
      <c r="D18" s="1174">
        <v>7</v>
      </c>
      <c r="E18" s="1174">
        <v>5</v>
      </c>
      <c r="F18" s="1174">
        <v>20</v>
      </c>
      <c r="G18" s="2346"/>
      <c r="H18" s="1174">
        <v>-100</v>
      </c>
      <c r="I18" s="1174">
        <v>5187.8999999999996</v>
      </c>
      <c r="K18" s="2688" t="s">
        <v>1680</v>
      </c>
      <c r="L18" s="2686">
        <v>56</v>
      </c>
      <c r="M18" s="2686">
        <v>7</v>
      </c>
      <c r="N18" s="2686">
        <v>5</v>
      </c>
      <c r="O18" s="2686">
        <v>20</v>
      </c>
      <c r="P18" s="2687"/>
      <c r="Q18" s="2687"/>
      <c r="R18" s="2686">
        <v>5187.8999999999996</v>
      </c>
    </row>
    <row r="19" spans="2:18" ht="17" thickBot="1" x14ac:dyDescent="0.25">
      <c r="B19" s="2349" t="s">
        <v>1681</v>
      </c>
      <c r="C19" s="1174">
        <v>56</v>
      </c>
      <c r="D19" s="1174">
        <v>7</v>
      </c>
      <c r="E19" s="1174">
        <v>5</v>
      </c>
      <c r="F19" s="1174" t="s">
        <v>1682</v>
      </c>
      <c r="G19" s="2346"/>
      <c r="H19" s="1174">
        <v>-100</v>
      </c>
      <c r="I19" s="1174">
        <v>5187.8999999999996</v>
      </c>
      <c r="K19" s="2688" t="s">
        <v>1681</v>
      </c>
      <c r="L19" s="2686">
        <v>56</v>
      </c>
      <c r="M19" s="2686">
        <v>7</v>
      </c>
      <c r="N19" s="2686">
        <v>5</v>
      </c>
      <c r="O19" s="2686" t="s">
        <v>1682</v>
      </c>
      <c r="P19" s="2687"/>
      <c r="Q19" s="2687"/>
      <c r="R19" s="2686">
        <v>5187.8999999999996</v>
      </c>
    </row>
    <row r="20" spans="2:18" ht="65" thickBot="1" x14ac:dyDescent="0.25">
      <c r="B20" s="2636" t="s">
        <v>1690</v>
      </c>
      <c r="C20" s="1174">
        <v>56</v>
      </c>
      <c r="D20" s="1174">
        <v>7</v>
      </c>
      <c r="E20" s="1174">
        <v>5</v>
      </c>
      <c r="F20" s="1174" t="s">
        <v>1691</v>
      </c>
      <c r="G20" s="2346"/>
      <c r="H20" s="1174">
        <v>-100</v>
      </c>
      <c r="I20" s="1174">
        <v>5187.8999999999996</v>
      </c>
      <c r="K20" s="2685" t="s">
        <v>1690</v>
      </c>
      <c r="L20" s="2686">
        <v>56</v>
      </c>
      <c r="M20" s="2686">
        <v>7</v>
      </c>
      <c r="N20" s="2686">
        <v>5</v>
      </c>
      <c r="O20" s="2686" t="s">
        <v>1691</v>
      </c>
      <c r="P20" s="2687"/>
      <c r="Q20" s="2687"/>
      <c r="R20" s="2686">
        <v>5187.8999999999996</v>
      </c>
    </row>
    <row r="21" spans="2:18" ht="33" thickBot="1" x14ac:dyDescent="0.25">
      <c r="B21" s="2346" t="s">
        <v>1685</v>
      </c>
      <c r="C21" s="1174">
        <v>56</v>
      </c>
      <c r="D21" s="1174">
        <v>7</v>
      </c>
      <c r="E21" s="1174">
        <v>5</v>
      </c>
      <c r="F21" s="1174" t="s">
        <v>1692</v>
      </c>
      <c r="G21" s="2346"/>
      <c r="H21" s="1174">
        <v>-100</v>
      </c>
      <c r="I21" s="1174">
        <v>5187.8999999999996</v>
      </c>
      <c r="K21" s="2685" t="s">
        <v>1685</v>
      </c>
      <c r="L21" s="2686">
        <v>56</v>
      </c>
      <c r="M21" s="2686">
        <v>7</v>
      </c>
      <c r="N21" s="2686">
        <v>5</v>
      </c>
      <c r="O21" s="2686" t="s">
        <v>1692</v>
      </c>
      <c r="P21" s="2687"/>
      <c r="Q21" s="2687"/>
      <c r="R21" s="2686">
        <v>5187.8999999999996</v>
      </c>
    </row>
    <row r="22" spans="2:18" ht="46" thickBot="1" x14ac:dyDescent="0.25">
      <c r="B22" s="2346" t="s">
        <v>1094</v>
      </c>
      <c r="C22" s="1174">
        <v>56</v>
      </c>
      <c r="D22" s="1174">
        <v>7</v>
      </c>
      <c r="E22" s="1174">
        <v>5</v>
      </c>
      <c r="F22" s="1174" t="s">
        <v>1692</v>
      </c>
      <c r="G22" s="1174">
        <v>600</v>
      </c>
      <c r="H22" s="1174">
        <v>-100</v>
      </c>
      <c r="I22" s="1174">
        <v>5187.8999999999996</v>
      </c>
      <c r="K22" s="2685" t="s">
        <v>1094</v>
      </c>
      <c r="L22" s="2686">
        <v>56</v>
      </c>
      <c r="M22" s="2686">
        <v>7</v>
      </c>
      <c r="N22" s="2686">
        <v>5</v>
      </c>
      <c r="O22" s="2686" t="s">
        <v>1692</v>
      </c>
      <c r="P22" s="2686">
        <v>600</v>
      </c>
      <c r="Q22" s="2687"/>
      <c r="R22" s="2686">
        <v>5187.8999999999996</v>
      </c>
    </row>
    <row r="23" spans="2:18" ht="17" thickBot="1" x14ac:dyDescent="0.25">
      <c r="B23" s="2346" t="s">
        <v>1693</v>
      </c>
      <c r="C23" s="1174">
        <v>56</v>
      </c>
      <c r="D23" s="1174">
        <v>8</v>
      </c>
      <c r="E23" s="2346"/>
      <c r="F23" s="2346"/>
      <c r="G23" s="2346"/>
      <c r="H23" s="1174">
        <v>-16601.900000000001</v>
      </c>
      <c r="I23" s="1174">
        <v>880367</v>
      </c>
      <c r="K23" s="2685" t="s">
        <v>1693</v>
      </c>
      <c r="L23" s="2686">
        <v>56</v>
      </c>
      <c r="M23" s="2686">
        <v>8</v>
      </c>
      <c r="N23" s="2687"/>
      <c r="O23" s="2687"/>
      <c r="P23" s="2687"/>
      <c r="Q23" s="2687"/>
      <c r="R23" s="2686">
        <v>880367</v>
      </c>
    </row>
    <row r="24" spans="2:18" ht="17" thickBot="1" x14ac:dyDescent="0.25">
      <c r="B24" s="2346" t="s">
        <v>1105</v>
      </c>
      <c r="C24" s="1174">
        <v>56</v>
      </c>
      <c r="D24" s="1174">
        <v>8</v>
      </c>
      <c r="E24" s="1174">
        <v>1</v>
      </c>
      <c r="F24" s="2346"/>
      <c r="G24" s="2346"/>
      <c r="H24" s="1174">
        <v>-16601.900000000001</v>
      </c>
      <c r="I24" s="1174">
        <v>850392.1</v>
      </c>
      <c r="K24" s="2685" t="s">
        <v>1105</v>
      </c>
      <c r="L24" s="2686">
        <v>56</v>
      </c>
      <c r="M24" s="2686">
        <v>8</v>
      </c>
      <c r="N24" s="2686">
        <v>1</v>
      </c>
      <c r="O24" s="2687"/>
      <c r="P24" s="2687"/>
      <c r="Q24" s="2687"/>
      <c r="R24" s="2686">
        <v>850392.1</v>
      </c>
    </row>
    <row r="25" spans="2:18" ht="28" thickBot="1" x14ac:dyDescent="0.25">
      <c r="B25" s="290" t="s">
        <v>1680</v>
      </c>
      <c r="C25" s="1174">
        <v>56</v>
      </c>
      <c r="D25" s="1174">
        <v>8</v>
      </c>
      <c r="E25" s="1174">
        <v>1</v>
      </c>
      <c r="F25" s="1174">
        <v>20</v>
      </c>
      <c r="G25" s="2346"/>
      <c r="H25" s="1174">
        <v>-16601.900000000001</v>
      </c>
      <c r="I25" s="1174">
        <v>850392.1</v>
      </c>
      <c r="K25" s="2688" t="s">
        <v>1680</v>
      </c>
      <c r="L25" s="2686">
        <v>56</v>
      </c>
      <c r="M25" s="2686">
        <v>8</v>
      </c>
      <c r="N25" s="2686">
        <v>1</v>
      </c>
      <c r="O25" s="2686">
        <v>20</v>
      </c>
      <c r="P25" s="2687"/>
      <c r="Q25" s="2687"/>
      <c r="R25" s="2686">
        <v>850392.1</v>
      </c>
    </row>
    <row r="26" spans="2:18" ht="17" thickBot="1" x14ac:dyDescent="0.25">
      <c r="B26" s="2349" t="s">
        <v>1353</v>
      </c>
      <c r="C26" s="1174">
        <v>56</v>
      </c>
      <c r="D26" s="1174">
        <v>8</v>
      </c>
      <c r="E26" s="1174">
        <v>1</v>
      </c>
      <c r="F26" s="1174" t="s">
        <v>1694</v>
      </c>
      <c r="G26" s="2346"/>
      <c r="H26" s="1174">
        <v>-16601.900000000001</v>
      </c>
      <c r="I26" s="1174">
        <v>850392.1</v>
      </c>
      <c r="K26" s="2688" t="s">
        <v>1353</v>
      </c>
      <c r="L26" s="2686">
        <v>56</v>
      </c>
      <c r="M26" s="2686">
        <v>8</v>
      </c>
      <c r="N26" s="2686">
        <v>1</v>
      </c>
      <c r="O26" s="2686" t="s">
        <v>1694</v>
      </c>
      <c r="P26" s="2687"/>
      <c r="Q26" s="2687"/>
      <c r="R26" s="2686">
        <v>850392.1</v>
      </c>
    </row>
    <row r="27" spans="2:18" ht="46" thickBot="1" x14ac:dyDescent="0.25">
      <c r="B27" s="2636" t="s">
        <v>1695</v>
      </c>
      <c r="C27" s="1174">
        <v>56</v>
      </c>
      <c r="D27" s="1174">
        <v>8</v>
      </c>
      <c r="E27" s="1174">
        <v>1</v>
      </c>
      <c r="F27" s="1174" t="s">
        <v>1696</v>
      </c>
      <c r="G27" s="2346"/>
      <c r="H27" s="1174">
        <v>-100</v>
      </c>
      <c r="I27" s="1174">
        <v>51369.599999999999</v>
      </c>
      <c r="K27" s="2685" t="s">
        <v>1695</v>
      </c>
      <c r="L27" s="2686">
        <v>56</v>
      </c>
      <c r="M27" s="2686">
        <v>8</v>
      </c>
      <c r="N27" s="2686">
        <v>1</v>
      </c>
      <c r="O27" s="2686" t="s">
        <v>1696</v>
      </c>
      <c r="P27" s="2687"/>
      <c r="Q27" s="2687"/>
      <c r="R27" s="2686">
        <v>51369.599999999999</v>
      </c>
    </row>
    <row r="28" spans="2:18" ht="33" thickBot="1" x14ac:dyDescent="0.25">
      <c r="B28" s="2346" t="s">
        <v>1697</v>
      </c>
      <c r="C28" s="1174">
        <v>56</v>
      </c>
      <c r="D28" s="1174">
        <v>8</v>
      </c>
      <c r="E28" s="1174">
        <v>1</v>
      </c>
      <c r="F28" s="1174" t="s">
        <v>1698</v>
      </c>
      <c r="G28" s="2346"/>
      <c r="H28" s="1174">
        <v>-100</v>
      </c>
      <c r="I28" s="1174">
        <v>51369.599999999999</v>
      </c>
      <c r="K28" s="2685" t="s">
        <v>1697</v>
      </c>
      <c r="L28" s="2686">
        <v>56</v>
      </c>
      <c r="M28" s="2686">
        <v>8</v>
      </c>
      <c r="N28" s="2686">
        <v>1</v>
      </c>
      <c r="O28" s="2686" t="s">
        <v>1698</v>
      </c>
      <c r="P28" s="2687"/>
      <c r="Q28" s="2687"/>
      <c r="R28" s="2686">
        <v>51369.599999999999</v>
      </c>
    </row>
    <row r="29" spans="2:18" ht="46" thickBot="1" x14ac:dyDescent="0.25">
      <c r="B29" s="2346" t="s">
        <v>1094</v>
      </c>
      <c r="C29" s="1174">
        <v>56</v>
      </c>
      <c r="D29" s="1174">
        <v>8</v>
      </c>
      <c r="E29" s="1174">
        <v>1</v>
      </c>
      <c r="F29" s="1174" t="s">
        <v>1698</v>
      </c>
      <c r="G29" s="1174">
        <v>600</v>
      </c>
      <c r="H29" s="1174">
        <v>-100</v>
      </c>
      <c r="I29" s="1174">
        <v>51369.599999999999</v>
      </c>
      <c r="K29" s="2685" t="s">
        <v>1094</v>
      </c>
      <c r="L29" s="2686">
        <v>56</v>
      </c>
      <c r="M29" s="2686">
        <v>8</v>
      </c>
      <c r="N29" s="2686">
        <v>1</v>
      </c>
      <c r="O29" s="2686" t="s">
        <v>1698</v>
      </c>
      <c r="P29" s="2686">
        <v>600</v>
      </c>
      <c r="Q29" s="2687"/>
      <c r="R29" s="2686">
        <v>51369.599999999999</v>
      </c>
    </row>
    <row r="30" spans="2:18" ht="33" thickBot="1" x14ac:dyDescent="0.25">
      <c r="B30" s="2636" t="s">
        <v>1699</v>
      </c>
      <c r="C30" s="1174">
        <v>56</v>
      </c>
      <c r="D30" s="1174">
        <v>8</v>
      </c>
      <c r="E30" s="1174">
        <v>1</v>
      </c>
      <c r="F30" s="1174" t="s">
        <v>1700</v>
      </c>
      <c r="G30" s="2346"/>
      <c r="H30" s="1174">
        <v>-50</v>
      </c>
      <c r="I30" s="1174">
        <v>1826.4</v>
      </c>
      <c r="K30" s="2685" t="s">
        <v>1699</v>
      </c>
      <c r="L30" s="2686">
        <v>56</v>
      </c>
      <c r="M30" s="2686">
        <v>8</v>
      </c>
      <c r="N30" s="2686">
        <v>1</v>
      </c>
      <c r="O30" s="2686" t="s">
        <v>1700</v>
      </c>
      <c r="P30" s="2687"/>
      <c r="Q30" s="2687"/>
      <c r="R30" s="2686">
        <v>1826.4</v>
      </c>
    </row>
    <row r="31" spans="2:18" ht="33" thickBot="1" x14ac:dyDescent="0.25">
      <c r="B31" s="2346" t="s">
        <v>1697</v>
      </c>
      <c r="C31" s="1174">
        <v>56</v>
      </c>
      <c r="D31" s="1174">
        <v>8</v>
      </c>
      <c r="E31" s="1174">
        <v>1</v>
      </c>
      <c r="F31" s="1174" t="s">
        <v>1701</v>
      </c>
      <c r="G31" s="2346"/>
      <c r="H31" s="1174">
        <v>-50</v>
      </c>
      <c r="I31" s="1174">
        <v>1826.4</v>
      </c>
      <c r="K31" s="2685" t="s">
        <v>1697</v>
      </c>
      <c r="L31" s="2686">
        <v>56</v>
      </c>
      <c r="M31" s="2686">
        <v>8</v>
      </c>
      <c r="N31" s="2686">
        <v>1</v>
      </c>
      <c r="O31" s="2686" t="s">
        <v>1701</v>
      </c>
      <c r="P31" s="2687"/>
      <c r="Q31" s="2687"/>
      <c r="R31" s="2686">
        <v>1826.4</v>
      </c>
    </row>
    <row r="32" spans="2:18" ht="46" thickBot="1" x14ac:dyDescent="0.25">
      <c r="B32" s="2346" t="s">
        <v>1094</v>
      </c>
      <c r="C32" s="1174">
        <v>56</v>
      </c>
      <c r="D32" s="1174">
        <v>8</v>
      </c>
      <c r="E32" s="1174">
        <v>1</v>
      </c>
      <c r="F32" s="1174" t="s">
        <v>1701</v>
      </c>
      <c r="G32" s="1174">
        <v>600</v>
      </c>
      <c r="H32" s="1174">
        <v>-50</v>
      </c>
      <c r="I32" s="1174">
        <v>1826.4</v>
      </c>
      <c r="K32" s="2685" t="s">
        <v>1094</v>
      </c>
      <c r="L32" s="2686">
        <v>56</v>
      </c>
      <c r="M32" s="2686">
        <v>8</v>
      </c>
      <c r="N32" s="2686">
        <v>1</v>
      </c>
      <c r="O32" s="2686" t="s">
        <v>1701</v>
      </c>
      <c r="P32" s="2686">
        <v>600</v>
      </c>
      <c r="Q32" s="2687"/>
      <c r="R32" s="2686">
        <v>1826.4</v>
      </c>
    </row>
    <row r="33" spans="2:18" ht="17" thickBot="1" x14ac:dyDescent="0.25">
      <c r="B33" s="2636" t="s">
        <v>1702</v>
      </c>
      <c r="C33" s="1174">
        <v>56</v>
      </c>
      <c r="D33" s="1174">
        <v>8</v>
      </c>
      <c r="E33" s="1174">
        <v>1</v>
      </c>
      <c r="F33" s="1174" t="s">
        <v>1703</v>
      </c>
      <c r="G33" s="2346"/>
      <c r="H33" s="1174">
        <v>-800</v>
      </c>
      <c r="I33" s="1174">
        <f>J34</f>
        <v>182998.6</v>
      </c>
      <c r="K33" s="2685" t="s">
        <v>1702</v>
      </c>
      <c r="L33" s="2686">
        <v>56</v>
      </c>
      <c r="M33" s="2686">
        <v>8</v>
      </c>
      <c r="N33" s="2686">
        <v>1</v>
      </c>
      <c r="O33" s="2686" t="s">
        <v>1703</v>
      </c>
      <c r="P33" s="2687"/>
      <c r="Q33" s="2687"/>
      <c r="R33" s="2686">
        <v>182998.6</v>
      </c>
    </row>
    <row r="34" spans="2:18" ht="31" thickBot="1" x14ac:dyDescent="0.25">
      <c r="B34" s="2636"/>
      <c r="C34" s="1174"/>
      <c r="D34" s="1174"/>
      <c r="E34" s="1174"/>
      <c r="F34" s="1174"/>
      <c r="G34" s="2346"/>
      <c r="H34" s="1174"/>
      <c r="I34" s="1174">
        <v>69500</v>
      </c>
      <c r="J34" s="1174">
        <v>182998.6</v>
      </c>
      <c r="K34" s="2685" t="s">
        <v>1697</v>
      </c>
      <c r="L34" s="2686">
        <v>56</v>
      </c>
      <c r="M34" s="2686">
        <v>8</v>
      </c>
      <c r="N34" s="2686">
        <v>1</v>
      </c>
      <c r="O34" s="2686" t="s">
        <v>1704</v>
      </c>
      <c r="P34" s="2687"/>
      <c r="Q34" s="2687"/>
      <c r="R34" s="2686">
        <v>182998.6</v>
      </c>
    </row>
    <row r="35" spans="2:18" ht="46" thickBot="1" x14ac:dyDescent="0.25">
      <c r="B35" s="2346" t="s">
        <v>1697</v>
      </c>
      <c r="C35" s="1174">
        <v>56</v>
      </c>
      <c r="D35" s="1174">
        <v>8</v>
      </c>
      <c r="E35" s="1174">
        <v>1</v>
      </c>
      <c r="F35" s="1174" t="s">
        <v>1704</v>
      </c>
      <c r="G35" s="2346"/>
      <c r="H35" s="1174">
        <v>-800</v>
      </c>
      <c r="I35" s="1174">
        <v>182998.6</v>
      </c>
      <c r="K35" s="2685" t="s">
        <v>1094</v>
      </c>
      <c r="L35" s="2686">
        <v>56</v>
      </c>
      <c r="M35" s="2686">
        <v>8</v>
      </c>
      <c r="N35" s="2686">
        <v>1</v>
      </c>
      <c r="O35" s="2686" t="s">
        <v>1704</v>
      </c>
      <c r="P35" s="2686">
        <v>600</v>
      </c>
      <c r="Q35" s="2687"/>
      <c r="R35" s="2686">
        <v>182998.6</v>
      </c>
    </row>
    <row r="36" spans="2:18" ht="33" thickBot="1" x14ac:dyDescent="0.25">
      <c r="B36" s="2346" t="s">
        <v>1094</v>
      </c>
      <c r="C36" s="1174">
        <v>56</v>
      </c>
      <c r="D36" s="1174">
        <v>8</v>
      </c>
      <c r="E36" s="1174">
        <v>1</v>
      </c>
      <c r="F36" s="1174" t="s">
        <v>1704</v>
      </c>
      <c r="G36" s="1174">
        <v>600</v>
      </c>
      <c r="H36" s="1174">
        <v>-800</v>
      </c>
      <c r="I36" s="1174">
        <v>182998.6</v>
      </c>
      <c r="K36" s="2685" t="s">
        <v>1705</v>
      </c>
      <c r="L36" s="2686">
        <v>56</v>
      </c>
      <c r="M36" s="2686">
        <v>8</v>
      </c>
      <c r="N36" s="2686">
        <v>1</v>
      </c>
      <c r="O36" s="2686" t="s">
        <v>1706</v>
      </c>
      <c r="P36" s="2687"/>
      <c r="Q36" s="2687"/>
      <c r="R36" s="2686">
        <v>60404.1</v>
      </c>
    </row>
    <row r="37" spans="2:18" ht="31" thickBot="1" x14ac:dyDescent="0.25">
      <c r="B37" s="2636" t="s">
        <v>1705</v>
      </c>
      <c r="C37" s="1174">
        <v>56</v>
      </c>
      <c r="D37" s="1174">
        <v>8</v>
      </c>
      <c r="E37" s="1174">
        <v>1</v>
      </c>
      <c r="F37" s="1174" t="s">
        <v>1706</v>
      </c>
      <c r="G37" s="2346"/>
      <c r="H37" s="1174">
        <v>-700</v>
      </c>
      <c r="I37" s="1174">
        <v>60404.1</v>
      </c>
      <c r="K37" s="2685" t="s">
        <v>1697</v>
      </c>
      <c r="L37" s="2686">
        <v>56</v>
      </c>
      <c r="M37" s="2686">
        <v>8</v>
      </c>
      <c r="N37" s="2686">
        <v>1</v>
      </c>
      <c r="O37" s="2686" t="s">
        <v>1707</v>
      </c>
      <c r="P37" s="2687"/>
      <c r="Q37" s="2687"/>
      <c r="R37" s="2686">
        <v>56799.1</v>
      </c>
    </row>
    <row r="38" spans="2:18" ht="46" thickBot="1" x14ac:dyDescent="0.25">
      <c r="B38" s="2346" t="s">
        <v>1697</v>
      </c>
      <c r="C38" s="1174">
        <v>56</v>
      </c>
      <c r="D38" s="1174">
        <v>8</v>
      </c>
      <c r="E38" s="1174">
        <v>1</v>
      </c>
      <c r="F38" s="1174" t="s">
        <v>1707</v>
      </c>
      <c r="G38" s="2346"/>
      <c r="H38" s="1174">
        <v>-700</v>
      </c>
      <c r="I38" s="1174">
        <v>56799.1</v>
      </c>
      <c r="K38" s="2685" t="s">
        <v>1094</v>
      </c>
      <c r="L38" s="2686">
        <v>56</v>
      </c>
      <c r="M38" s="2686">
        <v>8</v>
      </c>
      <c r="N38" s="2686">
        <v>1</v>
      </c>
      <c r="O38" s="2686" t="s">
        <v>1707</v>
      </c>
      <c r="P38" s="2686">
        <v>600</v>
      </c>
      <c r="Q38" s="2687"/>
      <c r="R38" s="2686">
        <v>56799.1</v>
      </c>
    </row>
    <row r="39" spans="2:18" ht="61" thickBot="1" x14ac:dyDescent="0.25">
      <c r="B39" s="2346" t="s">
        <v>1094</v>
      </c>
      <c r="C39" s="1174">
        <v>56</v>
      </c>
      <c r="D39" s="1174">
        <v>8</v>
      </c>
      <c r="E39" s="1174">
        <v>1</v>
      </c>
      <c r="F39" s="1174" t="s">
        <v>1707</v>
      </c>
      <c r="G39" s="1174">
        <v>600</v>
      </c>
      <c r="H39" s="1174">
        <v>-700</v>
      </c>
      <c r="I39" s="1174">
        <v>56799.1</v>
      </c>
      <c r="K39" s="2685" t="s">
        <v>1708</v>
      </c>
      <c r="L39" s="2686">
        <v>56</v>
      </c>
      <c r="M39" s="2686">
        <v>8</v>
      </c>
      <c r="N39" s="2686">
        <v>1</v>
      </c>
      <c r="O39" s="2686" t="s">
        <v>1709</v>
      </c>
      <c r="P39" s="2687"/>
      <c r="Q39" s="2687"/>
      <c r="R39" s="2686">
        <v>1022</v>
      </c>
    </row>
    <row r="40" spans="2:18" ht="49" thickBot="1" x14ac:dyDescent="0.25">
      <c r="B40" s="2346" t="s">
        <v>1708</v>
      </c>
      <c r="C40" s="1174">
        <v>56</v>
      </c>
      <c r="D40" s="1174">
        <v>8</v>
      </c>
      <c r="E40" s="1174">
        <v>1</v>
      </c>
      <c r="F40" s="1174" t="s">
        <v>1709</v>
      </c>
      <c r="G40" s="2346"/>
      <c r="H40" s="2346"/>
      <c r="I40" s="1174">
        <v>1022</v>
      </c>
      <c r="K40" s="2685" t="s">
        <v>970</v>
      </c>
      <c r="L40" s="2686">
        <v>56</v>
      </c>
      <c r="M40" s="2686">
        <v>8</v>
      </c>
      <c r="N40" s="2686">
        <v>1</v>
      </c>
      <c r="O40" s="2686" t="s">
        <v>1709</v>
      </c>
      <c r="P40" s="2686">
        <v>500</v>
      </c>
      <c r="Q40" s="2687"/>
      <c r="R40" s="2686">
        <v>1022</v>
      </c>
    </row>
    <row r="41" spans="2:18" ht="91" thickBot="1" x14ac:dyDescent="0.25">
      <c r="B41" s="2346" t="s">
        <v>970</v>
      </c>
      <c r="C41" s="1174">
        <v>56</v>
      </c>
      <c r="D41" s="1174">
        <v>8</v>
      </c>
      <c r="E41" s="1174">
        <v>1</v>
      </c>
      <c r="F41" s="1174" t="s">
        <v>1709</v>
      </c>
      <c r="G41" s="1174">
        <v>500</v>
      </c>
      <c r="H41" s="2346"/>
      <c r="I41" s="1174">
        <v>1022</v>
      </c>
      <c r="K41" s="2685" t="s">
        <v>1872</v>
      </c>
      <c r="L41" s="2686">
        <v>56</v>
      </c>
      <c r="M41" s="2686">
        <v>8</v>
      </c>
      <c r="N41" s="2686">
        <v>1</v>
      </c>
      <c r="O41" s="2686" t="s">
        <v>1711</v>
      </c>
      <c r="P41" s="2687"/>
      <c r="Q41" s="2687"/>
      <c r="R41" s="2686">
        <v>2583</v>
      </c>
    </row>
    <row r="42" spans="2:18" ht="81" thickBot="1" x14ac:dyDescent="0.25">
      <c r="B42" s="2346" t="s">
        <v>1710</v>
      </c>
      <c r="C42" s="1174">
        <v>56</v>
      </c>
      <c r="D42" s="1174">
        <v>8</v>
      </c>
      <c r="E42" s="1174">
        <v>1</v>
      </c>
      <c r="F42" s="1174" t="s">
        <v>1711</v>
      </c>
      <c r="G42" s="2346"/>
      <c r="H42" s="2346"/>
      <c r="I42" s="1174">
        <v>2583</v>
      </c>
      <c r="K42" s="2685" t="s">
        <v>1094</v>
      </c>
      <c r="L42" s="2686">
        <v>56</v>
      </c>
      <c r="M42" s="2686">
        <v>8</v>
      </c>
      <c r="N42" s="2686">
        <v>1</v>
      </c>
      <c r="O42" s="2686" t="s">
        <v>1711</v>
      </c>
      <c r="P42" s="2686">
        <v>600</v>
      </c>
      <c r="Q42" s="2687"/>
      <c r="R42" s="2686">
        <v>2583</v>
      </c>
    </row>
    <row r="43" spans="2:18" ht="33" thickBot="1" x14ac:dyDescent="0.25">
      <c r="B43" s="2346" t="s">
        <v>1094</v>
      </c>
      <c r="C43" s="1174">
        <v>56</v>
      </c>
      <c r="D43" s="1174">
        <v>8</v>
      </c>
      <c r="E43" s="1174">
        <v>1</v>
      </c>
      <c r="F43" s="1174" t="s">
        <v>1711</v>
      </c>
      <c r="G43" s="1174">
        <v>600</v>
      </c>
      <c r="H43" s="2346"/>
      <c r="I43" s="1174">
        <v>2583</v>
      </c>
      <c r="K43" s="2685" t="s">
        <v>1712</v>
      </c>
      <c r="L43" s="2686">
        <v>56</v>
      </c>
      <c r="M43" s="2686">
        <v>8</v>
      </c>
      <c r="N43" s="2686">
        <v>1</v>
      </c>
      <c r="O43" s="2686" t="s">
        <v>1713</v>
      </c>
      <c r="P43" s="2687"/>
      <c r="Q43" s="2687"/>
      <c r="R43" s="2686">
        <v>542099.80000000005</v>
      </c>
    </row>
    <row r="44" spans="2:18" ht="33" thickBot="1" x14ac:dyDescent="0.25">
      <c r="B44" s="2636" t="s">
        <v>1712</v>
      </c>
      <c r="C44" s="1174">
        <v>56</v>
      </c>
      <c r="D44" s="1174">
        <v>8</v>
      </c>
      <c r="E44" s="1174">
        <v>1</v>
      </c>
      <c r="F44" s="1174" t="s">
        <v>1713</v>
      </c>
      <c r="G44" s="2346"/>
      <c r="H44" s="1174">
        <v>-4551</v>
      </c>
      <c r="I44" s="1174">
        <v>542099.80000000005</v>
      </c>
      <c r="K44" s="2685" t="s">
        <v>1697</v>
      </c>
      <c r="L44" s="2686">
        <v>56</v>
      </c>
      <c r="M44" s="2686">
        <v>8</v>
      </c>
      <c r="N44" s="2686">
        <v>1</v>
      </c>
      <c r="O44" s="2686" t="s">
        <v>1714</v>
      </c>
      <c r="P44" s="2687"/>
      <c r="Q44" s="2687"/>
      <c r="R44" s="2686">
        <v>542099.80000000005</v>
      </c>
    </row>
    <row r="45" spans="2:18" ht="46" thickBot="1" x14ac:dyDescent="0.25">
      <c r="B45" s="2346" t="s">
        <v>1697</v>
      </c>
      <c r="C45" s="1174">
        <v>56</v>
      </c>
      <c r="D45" s="1174">
        <v>8</v>
      </c>
      <c r="E45" s="1174">
        <v>1</v>
      </c>
      <c r="F45" s="1174" t="s">
        <v>1714</v>
      </c>
      <c r="G45" s="2346"/>
      <c r="H45" s="1174">
        <v>-4551</v>
      </c>
      <c r="I45" s="1174">
        <v>542099.80000000005</v>
      </c>
      <c r="K45" s="2685" t="s">
        <v>1094</v>
      </c>
      <c r="L45" s="2686">
        <v>56</v>
      </c>
      <c r="M45" s="2686">
        <v>8</v>
      </c>
      <c r="N45" s="2686">
        <v>1</v>
      </c>
      <c r="O45" s="2686" t="s">
        <v>1714</v>
      </c>
      <c r="P45" s="2686">
        <v>600</v>
      </c>
      <c r="Q45" s="2687"/>
      <c r="R45" s="2686">
        <v>542099.80000000005</v>
      </c>
    </row>
    <row r="46" spans="2:18" ht="33" thickBot="1" x14ac:dyDescent="0.25">
      <c r="B46" s="2346" t="s">
        <v>1094</v>
      </c>
      <c r="C46" s="1174">
        <v>56</v>
      </c>
      <c r="D46" s="1174">
        <v>8</v>
      </c>
      <c r="E46" s="1174">
        <v>1</v>
      </c>
      <c r="F46" s="1174" t="s">
        <v>1714</v>
      </c>
      <c r="G46" s="1174">
        <v>600</v>
      </c>
      <c r="H46" s="1174">
        <v>-4551</v>
      </c>
      <c r="I46" s="1174">
        <v>542099.80000000005</v>
      </c>
      <c r="K46" s="2685" t="s">
        <v>1715</v>
      </c>
      <c r="L46" s="2686">
        <v>56</v>
      </c>
      <c r="M46" s="2686">
        <v>8</v>
      </c>
      <c r="N46" s="2686">
        <v>1</v>
      </c>
      <c r="O46" s="2686" t="s">
        <v>1716</v>
      </c>
      <c r="P46" s="2687"/>
      <c r="Q46" s="2687"/>
      <c r="R46" s="2686">
        <v>10613.7</v>
      </c>
    </row>
    <row r="47" spans="2:18" ht="33" thickBot="1" x14ac:dyDescent="0.25">
      <c r="B47" s="2636" t="s">
        <v>1715</v>
      </c>
      <c r="C47" s="1174">
        <v>56</v>
      </c>
      <c r="D47" s="1174">
        <v>8</v>
      </c>
      <c r="E47" s="1174">
        <v>1</v>
      </c>
      <c r="F47" s="1174" t="s">
        <v>1716</v>
      </c>
      <c r="G47" s="2346"/>
      <c r="H47" s="2346"/>
      <c r="I47" s="1174">
        <v>10613.7</v>
      </c>
      <c r="K47" s="2685" t="s">
        <v>783</v>
      </c>
      <c r="L47" s="2686">
        <v>56</v>
      </c>
      <c r="M47" s="2686">
        <v>8</v>
      </c>
      <c r="N47" s="2686">
        <v>1</v>
      </c>
      <c r="O47" s="2686" t="s">
        <v>1717</v>
      </c>
      <c r="P47" s="2687"/>
      <c r="Q47" s="2687"/>
      <c r="R47" s="2686">
        <v>10613.7</v>
      </c>
    </row>
    <row r="48" spans="2:18" ht="46" thickBot="1" x14ac:dyDescent="0.25">
      <c r="B48" s="2346" t="s">
        <v>783</v>
      </c>
      <c r="C48" s="1174">
        <v>56</v>
      </c>
      <c r="D48" s="1174">
        <v>8</v>
      </c>
      <c r="E48" s="1174">
        <v>1</v>
      </c>
      <c r="F48" s="1174" t="s">
        <v>1717</v>
      </c>
      <c r="G48" s="2346"/>
      <c r="H48" s="2346"/>
      <c r="I48" s="1174">
        <v>10613.7</v>
      </c>
      <c r="K48" s="2685" t="s">
        <v>1094</v>
      </c>
      <c r="L48" s="2686">
        <v>56</v>
      </c>
      <c r="M48" s="2686">
        <v>8</v>
      </c>
      <c r="N48" s="2686">
        <v>1</v>
      </c>
      <c r="O48" s="2686" t="s">
        <v>1717</v>
      </c>
      <c r="P48" s="2686">
        <v>600</v>
      </c>
      <c r="Q48" s="2687"/>
      <c r="R48" s="2686">
        <v>10613.7</v>
      </c>
    </row>
    <row r="49" spans="2:18" ht="33" thickBot="1" x14ac:dyDescent="0.25">
      <c r="B49" s="2346" t="s">
        <v>1094</v>
      </c>
      <c r="C49" s="1174">
        <v>56</v>
      </c>
      <c r="D49" s="1174">
        <v>8</v>
      </c>
      <c r="E49" s="1174">
        <v>1</v>
      </c>
      <c r="F49" s="1174" t="s">
        <v>1717</v>
      </c>
      <c r="G49" s="1174">
        <v>600</v>
      </c>
      <c r="H49" s="2346"/>
      <c r="I49" s="1174">
        <v>10613.7</v>
      </c>
      <c r="K49" s="2685" t="s">
        <v>1718</v>
      </c>
      <c r="L49" s="2686">
        <v>56</v>
      </c>
      <c r="M49" s="2686">
        <v>8</v>
      </c>
      <c r="N49" s="2686">
        <v>1</v>
      </c>
      <c r="O49" s="2686" t="s">
        <v>1719</v>
      </c>
      <c r="P49" s="2687"/>
      <c r="Q49" s="2687"/>
      <c r="R49" s="2686">
        <v>1079.9000000000001</v>
      </c>
    </row>
    <row r="50" spans="2:18" ht="33" thickBot="1" x14ac:dyDescent="0.25">
      <c r="B50" s="2636" t="s">
        <v>1718</v>
      </c>
      <c r="C50" s="1174">
        <v>56</v>
      </c>
      <c r="D50" s="1174">
        <v>8</v>
      </c>
      <c r="E50" s="1174">
        <v>1</v>
      </c>
      <c r="F50" s="1174" t="s">
        <v>1719</v>
      </c>
      <c r="G50" s="2346"/>
      <c r="H50" s="1174">
        <v>-10400.9</v>
      </c>
      <c r="I50" s="1174">
        <v>1079.9000000000001</v>
      </c>
      <c r="K50" s="2685" t="s">
        <v>1107</v>
      </c>
      <c r="L50" s="2686">
        <v>56</v>
      </c>
      <c r="M50" s="2686">
        <v>8</v>
      </c>
      <c r="N50" s="2686">
        <v>1</v>
      </c>
      <c r="O50" s="2686" t="s">
        <v>1720</v>
      </c>
      <c r="P50" s="2687"/>
      <c r="Q50" s="2687"/>
      <c r="R50" s="2686">
        <v>1079.9000000000001</v>
      </c>
    </row>
    <row r="51" spans="2:18" ht="31" thickBot="1" x14ac:dyDescent="0.25">
      <c r="B51" s="2346" t="s">
        <v>1107</v>
      </c>
      <c r="C51" s="1174">
        <v>56</v>
      </c>
      <c r="D51" s="1174">
        <v>8</v>
      </c>
      <c r="E51" s="1174">
        <v>1</v>
      </c>
      <c r="F51" s="1174" t="s">
        <v>1720</v>
      </c>
      <c r="G51" s="2346"/>
      <c r="H51" s="1174">
        <v>-10400.9</v>
      </c>
      <c r="I51" s="1174">
        <v>1079.9000000000001</v>
      </c>
      <c r="K51" s="2685" t="s">
        <v>1721</v>
      </c>
      <c r="L51" s="2686">
        <v>56</v>
      </c>
      <c r="M51" s="2686">
        <v>8</v>
      </c>
      <c r="N51" s="2686">
        <v>1</v>
      </c>
      <c r="O51" s="2686" t="s">
        <v>1720</v>
      </c>
      <c r="P51" s="2686">
        <v>200</v>
      </c>
      <c r="Q51" s="2687"/>
      <c r="R51" s="2686">
        <v>1079.9000000000001</v>
      </c>
    </row>
    <row r="52" spans="2:18" ht="33" thickBot="1" x14ac:dyDescent="0.25">
      <c r="B52" s="2346" t="s">
        <v>1721</v>
      </c>
      <c r="C52" s="1174">
        <v>56</v>
      </c>
      <c r="D52" s="1174">
        <v>8</v>
      </c>
      <c r="E52" s="1174">
        <v>1</v>
      </c>
      <c r="F52" s="1174" t="s">
        <v>1720</v>
      </c>
      <c r="G52" s="1174">
        <v>200</v>
      </c>
      <c r="H52" s="1174">
        <v>-10400.9</v>
      </c>
      <c r="I52" s="1174">
        <v>1079.9000000000001</v>
      </c>
      <c r="K52" s="2685" t="s">
        <v>1112</v>
      </c>
      <c r="L52" s="2686">
        <v>56</v>
      </c>
      <c r="M52" s="2686">
        <v>8</v>
      </c>
      <c r="N52" s="2686">
        <v>4</v>
      </c>
      <c r="O52" s="2687"/>
      <c r="P52" s="2687"/>
      <c r="Q52" s="2687"/>
      <c r="R52" s="2686">
        <v>29974.9</v>
      </c>
    </row>
    <row r="53" spans="2:18" ht="17" thickBot="1" x14ac:dyDescent="0.25">
      <c r="B53" s="2346" t="s">
        <v>1112</v>
      </c>
      <c r="C53" s="1174">
        <v>56</v>
      </c>
      <c r="D53" s="1174">
        <v>8</v>
      </c>
      <c r="E53" s="1174">
        <v>4</v>
      </c>
      <c r="F53" s="2346"/>
      <c r="G53" s="2346"/>
      <c r="H53" s="2346"/>
      <c r="I53" s="1174">
        <v>29974.9</v>
      </c>
      <c r="K53" s="2688" t="s">
        <v>1680</v>
      </c>
      <c r="L53" s="2686">
        <v>56</v>
      </c>
      <c r="M53" s="2686">
        <v>8</v>
      </c>
      <c r="N53" s="2686">
        <v>4</v>
      </c>
      <c r="O53" s="2686">
        <v>20</v>
      </c>
      <c r="P53" s="2687"/>
      <c r="Q53" s="2687"/>
      <c r="R53" s="2686">
        <v>29974.9</v>
      </c>
    </row>
    <row r="54" spans="2:18" ht="33" thickBot="1" x14ac:dyDescent="0.25">
      <c r="B54" s="2349" t="s">
        <v>1680</v>
      </c>
      <c r="C54" s="1174">
        <v>56</v>
      </c>
      <c r="D54" s="1174">
        <v>8</v>
      </c>
      <c r="E54" s="1174">
        <v>4</v>
      </c>
      <c r="F54" s="1174">
        <v>20</v>
      </c>
      <c r="G54" s="2346"/>
      <c r="H54" s="2346"/>
      <c r="I54" s="1174">
        <v>29974.9</v>
      </c>
      <c r="K54" s="2688" t="s">
        <v>1722</v>
      </c>
      <c r="L54" s="2686">
        <v>56</v>
      </c>
      <c r="M54" s="2686">
        <v>8</v>
      </c>
      <c r="N54" s="2686">
        <v>4</v>
      </c>
      <c r="O54" s="2686" t="s">
        <v>1723</v>
      </c>
      <c r="P54" s="2687"/>
      <c r="Q54" s="2687"/>
      <c r="R54" s="2686">
        <v>29974.9</v>
      </c>
    </row>
    <row r="55" spans="2:18" ht="46" thickBot="1" x14ac:dyDescent="0.25">
      <c r="B55" s="2349" t="s">
        <v>1722</v>
      </c>
      <c r="C55" s="1174">
        <v>56</v>
      </c>
      <c r="D55" s="1174">
        <v>8</v>
      </c>
      <c r="E55" s="1174">
        <v>4</v>
      </c>
      <c r="F55" s="1174" t="s">
        <v>1723</v>
      </c>
      <c r="G55" s="2346"/>
      <c r="H55" s="2346"/>
      <c r="I55" s="1174">
        <v>29974.9</v>
      </c>
      <c r="K55" s="2685" t="s">
        <v>1724</v>
      </c>
      <c r="L55" s="2686">
        <v>56</v>
      </c>
      <c r="M55" s="2686">
        <v>8</v>
      </c>
      <c r="N55" s="2686">
        <v>4</v>
      </c>
      <c r="O55" s="2686" t="s">
        <v>1725</v>
      </c>
      <c r="P55" s="2687"/>
      <c r="Q55" s="2687"/>
      <c r="R55" s="2686">
        <v>26435</v>
      </c>
    </row>
    <row r="56" spans="2:18" ht="33" thickBot="1" x14ac:dyDescent="0.25">
      <c r="B56" s="2636" t="s">
        <v>1724</v>
      </c>
      <c r="C56" s="1174">
        <v>56</v>
      </c>
      <c r="D56" s="1174">
        <v>8</v>
      </c>
      <c r="E56" s="1174">
        <v>4</v>
      </c>
      <c r="F56" s="1174" t="s">
        <v>1725</v>
      </c>
      <c r="G56" s="2346"/>
      <c r="H56" s="2346"/>
      <c r="I56" s="1174">
        <v>26435</v>
      </c>
      <c r="K56" s="2685" t="s">
        <v>1726</v>
      </c>
      <c r="L56" s="2686">
        <v>56</v>
      </c>
      <c r="M56" s="2686">
        <v>8</v>
      </c>
      <c r="N56" s="2686">
        <v>4</v>
      </c>
      <c r="O56" s="2686" t="s">
        <v>1727</v>
      </c>
      <c r="P56" s="2687"/>
      <c r="Q56" s="2687"/>
      <c r="R56" s="2686">
        <v>26435</v>
      </c>
    </row>
    <row r="57" spans="2:18" ht="76" thickBot="1" x14ac:dyDescent="0.25">
      <c r="B57" s="2346" t="s">
        <v>1726</v>
      </c>
      <c r="C57" s="1174">
        <v>56</v>
      </c>
      <c r="D57" s="1174">
        <v>8</v>
      </c>
      <c r="E57" s="1174">
        <v>4</v>
      </c>
      <c r="F57" s="1174" t="s">
        <v>1727</v>
      </c>
      <c r="G57" s="2346"/>
      <c r="H57" s="2346"/>
      <c r="I57" s="1174">
        <v>26435</v>
      </c>
      <c r="K57" s="2685" t="s">
        <v>1728</v>
      </c>
      <c r="L57" s="2686">
        <v>56</v>
      </c>
      <c r="M57" s="2686">
        <v>8</v>
      </c>
      <c r="N57" s="2686">
        <v>4</v>
      </c>
      <c r="O57" s="2686" t="s">
        <v>1727</v>
      </c>
      <c r="P57" s="2686">
        <v>100</v>
      </c>
      <c r="Q57" s="2687"/>
      <c r="R57" s="2686">
        <v>22261</v>
      </c>
    </row>
    <row r="58" spans="2:18" ht="65" thickBot="1" x14ac:dyDescent="0.25">
      <c r="B58" s="2346" t="s">
        <v>1728</v>
      </c>
      <c r="C58" s="1174">
        <v>56</v>
      </c>
      <c r="D58" s="1174">
        <v>8</v>
      </c>
      <c r="E58" s="1174">
        <v>4</v>
      </c>
      <c r="F58" s="1174" t="s">
        <v>1727</v>
      </c>
      <c r="G58" s="1174">
        <v>100</v>
      </c>
      <c r="H58" s="2346"/>
      <c r="I58" s="1174">
        <v>22261</v>
      </c>
      <c r="K58" s="2685" t="s">
        <v>1721</v>
      </c>
      <c r="L58" s="2686">
        <v>56</v>
      </c>
      <c r="M58" s="2686">
        <v>8</v>
      </c>
      <c r="N58" s="2686">
        <v>4</v>
      </c>
      <c r="O58" s="2686" t="s">
        <v>1727</v>
      </c>
      <c r="P58" s="2686">
        <v>200</v>
      </c>
      <c r="Q58" s="2687"/>
      <c r="R58" s="2686">
        <v>3597</v>
      </c>
    </row>
    <row r="59" spans="2:18" ht="33" thickBot="1" x14ac:dyDescent="0.25">
      <c r="B59" s="2346" t="s">
        <v>1721</v>
      </c>
      <c r="C59" s="1174">
        <v>56</v>
      </c>
      <c r="D59" s="1174">
        <v>8</v>
      </c>
      <c r="E59" s="1174">
        <v>4</v>
      </c>
      <c r="F59" s="1174" t="s">
        <v>1727</v>
      </c>
      <c r="G59" s="1174">
        <v>200</v>
      </c>
      <c r="H59" s="2346"/>
      <c r="I59" s="1174">
        <v>3597</v>
      </c>
      <c r="K59" s="2685" t="s">
        <v>1114</v>
      </c>
      <c r="L59" s="2686">
        <v>56</v>
      </c>
      <c r="M59" s="2686">
        <v>8</v>
      </c>
      <c r="N59" s="2686">
        <v>4</v>
      </c>
      <c r="O59" s="2686" t="s">
        <v>1727</v>
      </c>
      <c r="P59" s="2686">
        <v>800</v>
      </c>
      <c r="Q59" s="2687"/>
      <c r="R59" s="2686">
        <v>577</v>
      </c>
    </row>
    <row r="60" spans="2:18" ht="46" thickBot="1" x14ac:dyDescent="0.25">
      <c r="B60" s="2346" t="s">
        <v>1114</v>
      </c>
      <c r="C60" s="1174">
        <v>56</v>
      </c>
      <c r="D60" s="1174">
        <v>8</v>
      </c>
      <c r="E60" s="1174">
        <v>4</v>
      </c>
      <c r="F60" s="1174" t="s">
        <v>1727</v>
      </c>
      <c r="G60" s="1174">
        <v>800</v>
      </c>
      <c r="H60" s="2346"/>
      <c r="I60" s="1174">
        <v>577</v>
      </c>
      <c r="K60" s="2685" t="s">
        <v>1729</v>
      </c>
      <c r="L60" s="2686">
        <v>56</v>
      </c>
      <c r="M60" s="2686">
        <v>8</v>
      </c>
      <c r="N60" s="2686">
        <v>4</v>
      </c>
      <c r="O60" s="2686" t="s">
        <v>1730</v>
      </c>
      <c r="P60" s="2687"/>
      <c r="Q60" s="2687"/>
      <c r="R60" s="2686">
        <v>3539.9</v>
      </c>
    </row>
    <row r="61" spans="2:18" ht="49" thickBot="1" x14ac:dyDescent="0.25">
      <c r="B61" s="2636" t="s">
        <v>1729</v>
      </c>
      <c r="C61" s="1174">
        <v>56</v>
      </c>
      <c r="D61" s="1174">
        <v>8</v>
      </c>
      <c r="E61" s="1174">
        <v>4</v>
      </c>
      <c r="F61" s="1174" t="s">
        <v>1730</v>
      </c>
      <c r="G61" s="2346"/>
      <c r="H61" s="2346"/>
      <c r="I61" s="1174">
        <v>3539.9</v>
      </c>
      <c r="K61" s="2688" t="s">
        <v>1731</v>
      </c>
      <c r="L61" s="2686">
        <v>56</v>
      </c>
      <c r="M61" s="2686">
        <v>8</v>
      </c>
      <c r="N61" s="2686">
        <v>4</v>
      </c>
      <c r="O61" s="2686" t="s">
        <v>1732</v>
      </c>
      <c r="P61" s="2687"/>
      <c r="Q61" s="2687"/>
      <c r="R61" s="2686">
        <v>3539.9</v>
      </c>
    </row>
    <row r="62" spans="2:18" ht="97" thickBot="1" x14ac:dyDescent="0.25">
      <c r="B62" s="2349" t="s">
        <v>1731</v>
      </c>
      <c r="C62" s="1174">
        <v>56</v>
      </c>
      <c r="D62" s="1174">
        <v>8</v>
      </c>
      <c r="E62" s="1174">
        <v>4</v>
      </c>
      <c r="F62" s="1174" t="s">
        <v>1732</v>
      </c>
      <c r="G62" s="2346"/>
      <c r="H62" s="2346"/>
      <c r="I62" s="1174">
        <v>3539.9</v>
      </c>
      <c r="K62" s="2685" t="s">
        <v>1728</v>
      </c>
      <c r="L62" s="2686">
        <v>56</v>
      </c>
      <c r="M62" s="2686">
        <v>8</v>
      </c>
      <c r="N62" s="2686">
        <v>4</v>
      </c>
      <c r="O62" s="2686" t="s">
        <v>1732</v>
      </c>
      <c r="P62" s="2686">
        <v>100</v>
      </c>
      <c r="Q62" s="2687"/>
      <c r="R62" s="2686">
        <v>3223.9</v>
      </c>
    </row>
    <row r="63" spans="2:18" ht="65" thickBot="1" x14ac:dyDescent="0.25">
      <c r="B63" s="2346" t="s">
        <v>1728</v>
      </c>
      <c r="C63" s="1174">
        <v>56</v>
      </c>
      <c r="D63" s="1174">
        <v>8</v>
      </c>
      <c r="E63" s="1174">
        <v>4</v>
      </c>
      <c r="F63" s="1174" t="s">
        <v>1732</v>
      </c>
      <c r="G63" s="1174">
        <v>100</v>
      </c>
      <c r="H63" s="2346"/>
      <c r="I63" s="1174">
        <v>3223.9</v>
      </c>
      <c r="K63" s="2685" t="s">
        <v>1721</v>
      </c>
      <c r="L63" s="2686">
        <v>56</v>
      </c>
      <c r="M63" s="2686">
        <v>8</v>
      </c>
      <c r="N63" s="2686">
        <v>4</v>
      </c>
      <c r="O63" s="2686" t="s">
        <v>1732</v>
      </c>
      <c r="P63" s="2686">
        <v>200</v>
      </c>
      <c r="Q63" s="2687"/>
      <c r="R63" s="2686">
        <v>316</v>
      </c>
    </row>
    <row r="64" spans="2:18" ht="33" thickBot="1" x14ac:dyDescent="0.25">
      <c r="B64" s="2346" t="s">
        <v>1721</v>
      </c>
      <c r="C64" s="1174">
        <v>56</v>
      </c>
      <c r="D64" s="1174">
        <v>8</v>
      </c>
      <c r="E64" s="1174">
        <v>4</v>
      </c>
      <c r="F64" s="1174" t="s">
        <v>1732</v>
      </c>
      <c r="G64" s="1174">
        <v>200</v>
      </c>
      <c r="H64" s="2346"/>
      <c r="I64" s="1174">
        <v>316</v>
      </c>
      <c r="K64" s="2685" t="s">
        <v>1116</v>
      </c>
      <c r="L64" s="2686">
        <v>56</v>
      </c>
      <c r="M64" s="2686">
        <v>10</v>
      </c>
      <c r="N64" s="2687"/>
      <c r="O64" s="2687"/>
      <c r="P64" s="2687"/>
      <c r="Q64" s="2687"/>
      <c r="R64" s="2686">
        <v>621</v>
      </c>
    </row>
    <row r="65" spans="2:18" ht="17" thickBot="1" x14ac:dyDescent="0.25">
      <c r="B65" s="2346" t="s">
        <v>1116</v>
      </c>
      <c r="C65" s="1174">
        <v>56</v>
      </c>
      <c r="D65" s="1174">
        <v>10</v>
      </c>
      <c r="E65" s="2346"/>
      <c r="F65" s="2346"/>
      <c r="G65" s="2346"/>
      <c r="H65" s="2346"/>
      <c r="I65" s="1174">
        <v>621</v>
      </c>
      <c r="K65" s="2685" t="s">
        <v>1117</v>
      </c>
      <c r="L65" s="2686">
        <v>56</v>
      </c>
      <c r="M65" s="2686">
        <v>10</v>
      </c>
      <c r="N65" s="2686">
        <v>4</v>
      </c>
      <c r="O65" s="2687"/>
      <c r="P65" s="2687"/>
      <c r="Q65" s="2687"/>
      <c r="R65" s="2686">
        <v>621</v>
      </c>
    </row>
    <row r="66" spans="2:18" ht="17" thickBot="1" x14ac:dyDescent="0.25">
      <c r="B66" s="2346" t="s">
        <v>1117</v>
      </c>
      <c r="C66" s="1174">
        <v>56</v>
      </c>
      <c r="D66" s="1174">
        <v>10</v>
      </c>
      <c r="E66" s="1174">
        <v>4</v>
      </c>
      <c r="F66" s="2346"/>
      <c r="G66" s="2346"/>
      <c r="H66" s="2346"/>
      <c r="I66" s="1174">
        <v>621</v>
      </c>
      <c r="K66" s="2688" t="s">
        <v>1109</v>
      </c>
      <c r="L66" s="2686">
        <v>56</v>
      </c>
      <c r="M66" s="2686">
        <v>10</v>
      </c>
      <c r="N66" s="2686">
        <v>4</v>
      </c>
      <c r="O66" s="2686">
        <v>22</v>
      </c>
      <c r="P66" s="2687"/>
      <c r="Q66" s="2687"/>
      <c r="R66" s="2686">
        <v>621</v>
      </c>
    </row>
    <row r="67" spans="2:18" ht="33" thickBot="1" x14ac:dyDescent="0.25">
      <c r="B67" s="2637" t="s">
        <v>1109</v>
      </c>
      <c r="C67" s="1174">
        <v>56</v>
      </c>
      <c r="D67" s="1174">
        <v>10</v>
      </c>
      <c r="E67" s="1174">
        <v>4</v>
      </c>
      <c r="F67" s="1174">
        <v>22</v>
      </c>
      <c r="G67" s="2346"/>
      <c r="H67" s="2346"/>
      <c r="I67" s="1174">
        <v>621</v>
      </c>
      <c r="K67" s="2688" t="s">
        <v>1733</v>
      </c>
      <c r="L67" s="2686">
        <v>56</v>
      </c>
      <c r="M67" s="2686">
        <v>10</v>
      </c>
      <c r="N67" s="2686">
        <v>4</v>
      </c>
      <c r="O67" s="2686" t="s">
        <v>1734</v>
      </c>
      <c r="P67" s="2687"/>
      <c r="Q67" s="2687"/>
      <c r="R67" s="2686">
        <v>621</v>
      </c>
    </row>
    <row r="68" spans="2:18" ht="76" thickBot="1" x14ac:dyDescent="0.25">
      <c r="B68" s="2349" t="s">
        <v>1733</v>
      </c>
      <c r="C68" s="1174">
        <v>56</v>
      </c>
      <c r="D68" s="1174">
        <v>10</v>
      </c>
      <c r="E68" s="1174">
        <v>4</v>
      </c>
      <c r="F68" s="1174" t="s">
        <v>1734</v>
      </c>
      <c r="G68" s="2346"/>
      <c r="H68" s="2346"/>
      <c r="I68" s="1174">
        <v>621</v>
      </c>
      <c r="K68" s="2685" t="s">
        <v>1735</v>
      </c>
      <c r="L68" s="2686">
        <v>56</v>
      </c>
      <c r="M68" s="2686">
        <v>10</v>
      </c>
      <c r="N68" s="2686">
        <v>4</v>
      </c>
      <c r="O68" s="2686" t="s">
        <v>1736</v>
      </c>
      <c r="P68" s="2687"/>
      <c r="Q68" s="2687"/>
      <c r="R68" s="2686">
        <v>621</v>
      </c>
    </row>
    <row r="69" spans="2:18" ht="121" thickBot="1" x14ac:dyDescent="0.25">
      <c r="B69" s="2346" t="s">
        <v>1735</v>
      </c>
      <c r="C69" s="1174">
        <v>56</v>
      </c>
      <c r="D69" s="1174">
        <v>10</v>
      </c>
      <c r="E69" s="1174">
        <v>4</v>
      </c>
      <c r="F69" s="1174" t="s">
        <v>1736</v>
      </c>
      <c r="G69" s="2346"/>
      <c r="H69" s="2346"/>
      <c r="I69" s="1174">
        <v>621</v>
      </c>
      <c r="K69" s="2685" t="s">
        <v>1737</v>
      </c>
      <c r="L69" s="2686">
        <v>56</v>
      </c>
      <c r="M69" s="2686">
        <v>10</v>
      </c>
      <c r="N69" s="2686">
        <v>4</v>
      </c>
      <c r="O69" s="2686" t="s">
        <v>1738</v>
      </c>
      <c r="P69" s="2687"/>
      <c r="Q69" s="2687"/>
      <c r="R69" s="2686">
        <v>507</v>
      </c>
    </row>
    <row r="70" spans="2:18" ht="97" thickBot="1" x14ac:dyDescent="0.25">
      <c r="B70" s="2346" t="s">
        <v>1737</v>
      </c>
      <c r="C70" s="1174">
        <v>56</v>
      </c>
      <c r="D70" s="1174">
        <v>10</v>
      </c>
      <c r="E70" s="1174">
        <v>4</v>
      </c>
      <c r="F70" s="1174" t="s">
        <v>1738</v>
      </c>
      <c r="G70" s="2346"/>
      <c r="H70" s="2346"/>
      <c r="I70" s="1174">
        <v>507</v>
      </c>
      <c r="K70" s="2685" t="s">
        <v>1544</v>
      </c>
      <c r="L70" s="2686">
        <v>56</v>
      </c>
      <c r="M70" s="2686">
        <v>10</v>
      </c>
      <c r="N70" s="2686">
        <v>4</v>
      </c>
      <c r="O70" s="2686" t="s">
        <v>1738</v>
      </c>
      <c r="P70" s="2686">
        <v>300</v>
      </c>
      <c r="Q70" s="2687"/>
      <c r="R70" s="2686">
        <v>507</v>
      </c>
    </row>
    <row r="71" spans="2:18" ht="286" thickBot="1" x14ac:dyDescent="0.25">
      <c r="B71" s="2346" t="s">
        <v>1544</v>
      </c>
      <c r="C71" s="1174">
        <v>56</v>
      </c>
      <c r="D71" s="1174">
        <v>10</v>
      </c>
      <c r="E71" s="1174">
        <v>4</v>
      </c>
      <c r="F71" s="1174" t="s">
        <v>1738</v>
      </c>
      <c r="G71" s="1174">
        <v>300</v>
      </c>
      <c r="H71" s="2346"/>
      <c r="I71" s="1174">
        <v>507</v>
      </c>
      <c r="K71" s="2685" t="s">
        <v>1739</v>
      </c>
      <c r="L71" s="2686">
        <v>56</v>
      </c>
      <c r="M71" s="2686">
        <v>10</v>
      </c>
      <c r="N71" s="2686">
        <v>4</v>
      </c>
      <c r="O71" s="2686" t="s">
        <v>1740</v>
      </c>
      <c r="P71" s="2687"/>
      <c r="Q71" s="2687"/>
      <c r="R71" s="2686">
        <v>114</v>
      </c>
    </row>
    <row r="72" spans="2:18" ht="241" thickBot="1" x14ac:dyDescent="0.25">
      <c r="B72" s="2346" t="s">
        <v>1739</v>
      </c>
      <c r="C72" s="1174">
        <v>56</v>
      </c>
      <c r="D72" s="1174">
        <v>10</v>
      </c>
      <c r="E72" s="1174">
        <v>4</v>
      </c>
      <c r="F72" s="1174" t="s">
        <v>1740</v>
      </c>
      <c r="G72" s="2346"/>
      <c r="H72" s="2346"/>
      <c r="I72" s="1174">
        <v>114</v>
      </c>
      <c r="K72" s="2685" t="s">
        <v>1544</v>
      </c>
      <c r="L72" s="2686">
        <v>56</v>
      </c>
      <c r="M72" s="2686">
        <v>10</v>
      </c>
      <c r="N72" s="2686">
        <v>4</v>
      </c>
      <c r="O72" s="2686" t="s">
        <v>1740</v>
      </c>
      <c r="P72" s="2686">
        <v>300</v>
      </c>
      <c r="Q72" s="2687"/>
      <c r="R72" s="2686">
        <v>114</v>
      </c>
    </row>
    <row r="73" spans="2:18" x14ac:dyDescent="0.2">
      <c r="B73" s="2346" t="s">
        <v>1544</v>
      </c>
      <c r="C73" s="1174">
        <v>56</v>
      </c>
      <c r="D73" s="1174">
        <v>10</v>
      </c>
      <c r="E73" s="1174">
        <v>4</v>
      </c>
      <c r="F73" s="1174" t="s">
        <v>1740</v>
      </c>
      <c r="G73" s="1174">
        <v>300</v>
      </c>
      <c r="H73" s="2346"/>
      <c r="I73" s="1174">
        <v>114</v>
      </c>
    </row>
  </sheetData>
  <hyperlinks>
    <hyperlink ref="B19" r:id="rId1" display="consultantplus://offline/ref=70394CBEEEC41CA054351E9EA80BF381B21E85C7E3251988A981B86B3E212D2B7F143B37B3DB2BB5C33D35c9j8O"/>
    <hyperlink ref="B26" r:id="rId2" display="consultantplus://offline/ref=70394CBEEEC41CA054351E9EA80BF381B21E85C7E3251988A981B86B3E212D2B7F143B37B3DB2BB5C33E34c9j3O"/>
    <hyperlink ref="B54" r:id="rId3" display="consultantplus://offline/ref=70394CBEEEC41CA054351E9EA80BF381B21E85C7E3251988A981B86B3E212D2B7F143B37B3DB2BB5C33C33c9j9O"/>
    <hyperlink ref="B55" r:id="rId4" display="consultantplus://offline/ref=70394CBEEEC41CA054351E9EA80BF381B21E85C7E3251988A981B86B3E212D2B7F143B37B3DB2BB5C33836c9j9O"/>
    <hyperlink ref="B62" r:id="rId5" display="consultantplus://offline/ref=70394CBEEEC41CA054350093BE67AE88B51CDFC3E72A13D8F0DEE3366928277C385B6275F5cDj7O"/>
    <hyperlink ref="B67" r:id="rId6" display="consultantplus://offline/ref=70394CBEEEC41CA054351E9EA80BF381B21E85C7E328198BAA81B86B3E212D2B7F143B37B3DB2BB5C33C32c9j6O"/>
    <hyperlink ref="B68" r:id="rId7" display="consultantplus://offline/ref=70394CBEEEC41CA054351E9EA80BF381B21E85C7E328198BAA81B86B3E212D2B7F143B37B3DB2BB5C33934c9j9O"/>
    <hyperlink ref="K6" r:id="rId8" display="consultantplus://offline/ref=D1F91A7CF0132C82736304EE071E37B6E915D98F8AA261EF9914AAABCE5A0159D2CDF7E993776C3CE5CDC3kAZBM"/>
    <hyperlink ref="K7" r:id="rId9" display="consultantplus://offline/ref=D1F91A7CF0132C82736304EE071E37B6E915D98F8AA261EF9914AAABCE5A0159D2CDF7E993776C3CE5CCC5kAZAM"/>
    <hyperlink ref="K12" r:id="rId10" display="consultantplus://offline/ref=D1F91A7CF0132C82736304EE071E37B6E915D98F8AA261EF9914AAABCE5A0159D2CDF7E993776C3CE5CDC3kAZBM"/>
    <hyperlink ref="K13" r:id="rId11" display="consultantplus://offline/ref=D1F91A7CF0132C82736304EE071E37B6E915D98F8AA261EF9914AAABCE5A0159D2CDF7E993776C3CE5CCC5kAZAM"/>
    <hyperlink ref="K18" r:id="rId12" display="consultantplus://offline/ref=D1F91A7CF0132C82736304EE071E37B6E915D98F8AA261EF9914AAABCE5A0159D2CDF7E993776C3CE5CDC3kAZBM"/>
    <hyperlink ref="K19" r:id="rId13" display="consultantplus://offline/ref=D1F91A7CF0132C82736304EE071E37B6E915D98F8AA261EF9914AAABCE5A0159D2CDF7E993776C3CE5CCC5kAZAM"/>
    <hyperlink ref="K25" r:id="rId14" display="consultantplus://offline/ref=D1F91A7CF0132C82736304EE071E37B6E915D98F8AA261EF9914AAABCE5A0159D2CDF7E993776C3CE5CDC3kAZBM"/>
    <hyperlink ref="K26" r:id="rId15" display="consultantplus://offline/ref=D1F91A7CF0132C82736304EE071E37B6E915D98F8AA261EF9914AAABCE5A0159D2CDF7E993776C3CE5CFC4kAZ1M"/>
    <hyperlink ref="K53" r:id="rId16" display="consultantplus://offline/ref=D1F91A7CF0132C82736304EE071E37B6E915D98F8AA261EF9914AAABCE5A0159D2CDF7E993776C3CE5CDC3kAZBM"/>
    <hyperlink ref="K54" r:id="rId17" display="consultantplus://offline/ref=D1F91A7CF0132C82736304EE071E37B6E915D98F8AA261EF9914AAABCE5A0159D2CDF7E993776C3CE5C9C6kAZBM"/>
    <hyperlink ref="K61" r:id="rId18" display="consultantplus://offline/ref=D1F91A7CF0132C8273631AE311726ABFEE17838B8EAD6BBFC04BF1F699530B0E9582AEABD5k7ZBM"/>
    <hyperlink ref="K66" r:id="rId19" display="consultantplus://offline/ref=D1F91A7CF0132C82736304EE071E37B6E915D98F8AAF61EC9A14AAABCE5A0159D2CDF7E993776C3CE5CDC2kAZ4M"/>
    <hyperlink ref="K67" r:id="rId20" display="consultantplus://offline/ref=D1F91A7CF0132C82736304EE071E37B6E915D98F8AAF61EC9A14AAABCE5A0159D2CDF7E993776C3CE5C8C4kAZBM"/>
  </hyperlinks>
  <pageMargins left="0.7" right="0.7" top="0.75" bottom="0.75" header="0.3" footer="0.3"/>
  <pageSetup paperSize="9" scale="60" orientation="portrait" verticalDpi="0" r:id="rId21"/>
  <colBreaks count="1" manualBreakCount="1">
    <brk id="9" min="1" max="7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3:M47"/>
  <sheetViews>
    <sheetView view="pageBreakPreview" zoomScale="60" workbookViewId="0">
      <pane ySplit="8" topLeftCell="A9" activePane="bottomLeft" state="frozen"/>
      <selection pane="bottomLeft" activeCell="I27" sqref="I27"/>
    </sheetView>
  </sheetViews>
  <sheetFormatPr baseColWidth="10" defaultColWidth="8.83203125" defaultRowHeight="16" x14ac:dyDescent="0.2"/>
  <cols>
    <col min="1" max="1" width="8.83203125" style="2370"/>
    <col min="2" max="2" width="1.1640625" style="2370" customWidth="1"/>
    <col min="3" max="3" width="53.6640625" style="2371" customWidth="1"/>
    <col min="4" max="4" width="16.33203125" style="2370" customWidth="1"/>
    <col min="5" max="5" width="14.6640625" style="2370" customWidth="1"/>
    <col min="6" max="6" width="17.1640625" style="2370" customWidth="1"/>
    <col min="7" max="7" width="16" style="2370" customWidth="1"/>
    <col min="8" max="8" width="12.5" style="2713" customWidth="1"/>
    <col min="9" max="9" width="13" style="2713" customWidth="1"/>
  </cols>
  <sheetData>
    <row r="3" spans="1:9" ht="20" x14ac:dyDescent="0.2">
      <c r="A3" s="2369"/>
      <c r="B3" s="2369"/>
      <c r="C3" s="2967" t="s">
        <v>1777</v>
      </c>
      <c r="D3" s="2967"/>
      <c r="E3" s="2967"/>
      <c r="F3" s="2967"/>
      <c r="G3" s="2967"/>
    </row>
    <row r="4" spans="1:9" ht="20" x14ac:dyDescent="0.2">
      <c r="A4" s="2369"/>
      <c r="B4" s="2369"/>
      <c r="C4" s="2968" t="s">
        <v>265</v>
      </c>
      <c r="D4" s="2968"/>
      <c r="E4" s="2968"/>
      <c r="F4" s="2968"/>
      <c r="G4" s="2968"/>
    </row>
    <row r="6" spans="1:9" x14ac:dyDescent="0.15">
      <c r="A6" s="2372"/>
      <c r="B6" s="2372"/>
      <c r="C6" s="2969" t="s">
        <v>1778</v>
      </c>
      <c r="D6" s="2970">
        <v>2015</v>
      </c>
      <c r="E6" s="2970"/>
      <c r="F6" s="2970">
        <v>2016</v>
      </c>
      <c r="G6" s="2970"/>
    </row>
    <row r="7" spans="1:9" x14ac:dyDescent="0.15">
      <c r="A7" s="2372"/>
      <c r="B7" s="2372"/>
      <c r="C7" s="2969"/>
      <c r="D7" s="2969" t="s">
        <v>1779</v>
      </c>
      <c r="E7" s="2969"/>
      <c r="F7" s="2969" t="s">
        <v>1779</v>
      </c>
      <c r="G7" s="2969"/>
      <c r="H7" s="2714">
        <v>2017</v>
      </c>
      <c r="I7" s="2714">
        <v>2018</v>
      </c>
    </row>
    <row r="8" spans="1:9" ht="41.25" customHeight="1" x14ac:dyDescent="0.15">
      <c r="A8" s="2372"/>
      <c r="B8" s="2372"/>
      <c r="C8" s="2969"/>
      <c r="D8" s="2373" t="s">
        <v>1780</v>
      </c>
      <c r="E8" s="2373" t="s">
        <v>1781</v>
      </c>
      <c r="F8" s="2374" t="s">
        <v>1782</v>
      </c>
      <c r="G8" s="2374" t="s">
        <v>1783</v>
      </c>
      <c r="H8" s="2714"/>
      <c r="I8" s="2714"/>
    </row>
    <row r="9" spans="1:9" ht="32" x14ac:dyDescent="0.2">
      <c r="C9" s="2375" t="s">
        <v>1784</v>
      </c>
      <c r="D9" s="2376">
        <v>1200</v>
      </c>
      <c r="E9" s="2377">
        <v>1564.1</v>
      </c>
      <c r="F9" s="2378">
        <v>1500</v>
      </c>
      <c r="G9" s="2377">
        <v>729.5</v>
      </c>
      <c r="H9" s="2715">
        <v>1650</v>
      </c>
      <c r="I9" s="2715">
        <v>1800</v>
      </c>
    </row>
    <row r="10" spans="1:9" ht="32" x14ac:dyDescent="0.2">
      <c r="C10" s="2375" t="s">
        <v>1785</v>
      </c>
      <c r="D10" s="2376">
        <v>100</v>
      </c>
      <c r="E10" s="2377">
        <v>132</v>
      </c>
      <c r="F10" s="2378">
        <v>100</v>
      </c>
      <c r="G10" s="2377">
        <v>22</v>
      </c>
      <c r="H10" s="2715">
        <v>110</v>
      </c>
      <c r="I10" s="2715">
        <v>120</v>
      </c>
    </row>
    <row r="11" spans="1:9" ht="32" x14ac:dyDescent="0.2">
      <c r="C11" s="2379" t="s">
        <v>1786</v>
      </c>
      <c r="D11" s="2380">
        <v>55</v>
      </c>
      <c r="E11" s="2381">
        <v>31</v>
      </c>
      <c r="F11" s="2382">
        <v>266</v>
      </c>
      <c r="G11" s="2381">
        <v>0</v>
      </c>
      <c r="H11" s="2714">
        <v>266</v>
      </c>
      <c r="I11" s="2714">
        <v>266</v>
      </c>
    </row>
    <row r="12" spans="1:9" ht="32" x14ac:dyDescent="0.2">
      <c r="C12" s="2379" t="s">
        <v>1787</v>
      </c>
      <c r="D12" s="2380">
        <v>190</v>
      </c>
      <c r="E12" s="2381">
        <v>1693.6759999999999</v>
      </c>
      <c r="F12" s="2382">
        <v>370</v>
      </c>
      <c r="G12" s="2381">
        <v>280.7</v>
      </c>
      <c r="H12" s="2714">
        <v>370</v>
      </c>
      <c r="I12" s="2714">
        <v>390</v>
      </c>
    </row>
    <row r="13" spans="1:9" ht="32" x14ac:dyDescent="0.2">
      <c r="C13" s="2379" t="s">
        <v>1788</v>
      </c>
      <c r="D13" s="2380">
        <v>1230</v>
      </c>
      <c r="E13" s="2381">
        <v>1235.49</v>
      </c>
      <c r="F13" s="2382">
        <v>1353</v>
      </c>
      <c r="G13" s="2381">
        <v>81.3</v>
      </c>
      <c r="H13" s="2714">
        <v>1488.3</v>
      </c>
      <c r="I13" s="2714">
        <v>1637.13</v>
      </c>
    </row>
    <row r="14" spans="1:9" ht="32" x14ac:dyDescent="0.2">
      <c r="C14" s="2379" t="s">
        <v>1789</v>
      </c>
      <c r="D14" s="2380">
        <v>33</v>
      </c>
      <c r="E14" s="2381">
        <v>0</v>
      </c>
      <c r="F14" s="2382">
        <v>33</v>
      </c>
      <c r="G14" s="2381">
        <v>0</v>
      </c>
      <c r="H14" s="2714">
        <v>79</v>
      </c>
      <c r="I14" s="2714">
        <v>79</v>
      </c>
    </row>
    <row r="15" spans="1:9" x14ac:dyDescent="0.2">
      <c r="C15" s="2379" t="s">
        <v>1790</v>
      </c>
      <c r="D15" s="2380">
        <v>30</v>
      </c>
      <c r="E15" s="2381">
        <v>0</v>
      </c>
      <c r="F15" s="2382">
        <v>70</v>
      </c>
      <c r="G15" s="2381">
        <v>0</v>
      </c>
      <c r="H15" s="2714">
        <v>100</v>
      </c>
      <c r="I15" s="2714">
        <v>130</v>
      </c>
    </row>
    <row r="16" spans="1:9" x14ac:dyDescent="0.2">
      <c r="A16" s="2383"/>
      <c r="B16" s="2383"/>
      <c r="C16" s="2375" t="s">
        <v>1791</v>
      </c>
      <c r="D16" s="2376">
        <f>SUM(D11:D15)</f>
        <v>1538</v>
      </c>
      <c r="E16" s="2376">
        <f t="shared" ref="E16:I16" si="0">SUM(E11:E15)</f>
        <v>2960.1660000000002</v>
      </c>
      <c r="F16" s="2376">
        <f>SUM(F11:F15)</f>
        <v>2092</v>
      </c>
      <c r="G16" s="2376">
        <f t="shared" si="0"/>
        <v>362</v>
      </c>
      <c r="H16" s="2378">
        <f t="shared" si="0"/>
        <v>2303.3000000000002</v>
      </c>
      <c r="I16" s="2378">
        <f t="shared" si="0"/>
        <v>2502.13</v>
      </c>
    </row>
    <row r="17" spans="1:9" ht="32" x14ac:dyDescent="0.2">
      <c r="C17" s="2379" t="s">
        <v>1792</v>
      </c>
      <c r="D17" s="2380">
        <v>800</v>
      </c>
      <c r="E17" s="2381">
        <v>984.9</v>
      </c>
      <c r="F17" s="2382">
        <v>824</v>
      </c>
      <c r="G17" s="2381">
        <v>308.39</v>
      </c>
      <c r="H17" s="2714">
        <v>840</v>
      </c>
      <c r="I17" s="2714">
        <v>860</v>
      </c>
    </row>
    <row r="18" spans="1:9" ht="32" x14ac:dyDescent="0.2">
      <c r="C18" s="2379" t="s">
        <v>1793</v>
      </c>
      <c r="D18" s="2380">
        <v>0</v>
      </c>
      <c r="E18" s="2381">
        <v>0</v>
      </c>
      <c r="F18" s="2382"/>
      <c r="G18" s="2381">
        <v>0</v>
      </c>
      <c r="H18" s="2714"/>
      <c r="I18" s="2714"/>
    </row>
    <row r="19" spans="1:9" x14ac:dyDescent="0.2">
      <c r="C19" s="2379" t="s">
        <v>1794</v>
      </c>
      <c r="D19" s="2380">
        <v>0</v>
      </c>
      <c r="E19" s="2381">
        <v>0</v>
      </c>
      <c r="F19" s="2382"/>
      <c r="G19" s="2381">
        <v>0</v>
      </c>
      <c r="H19" s="2714"/>
      <c r="I19" s="2714"/>
    </row>
    <row r="20" spans="1:9" x14ac:dyDescent="0.2">
      <c r="A20" s="2383"/>
      <c r="B20" s="2383"/>
      <c r="C20" s="2375" t="s">
        <v>1795</v>
      </c>
      <c r="D20" s="2376">
        <f>SUM(D17:D19)</f>
        <v>800</v>
      </c>
      <c r="E20" s="2376">
        <f t="shared" ref="E20:I20" si="1">SUM(E17:E19)</f>
        <v>984.9</v>
      </c>
      <c r="F20" s="2376">
        <f t="shared" si="1"/>
        <v>824</v>
      </c>
      <c r="G20" s="2376">
        <f t="shared" si="1"/>
        <v>308.39</v>
      </c>
      <c r="H20" s="2378">
        <f t="shared" si="1"/>
        <v>840</v>
      </c>
      <c r="I20" s="2378">
        <f t="shared" si="1"/>
        <v>860</v>
      </c>
    </row>
    <row r="21" spans="1:9" ht="32" x14ac:dyDescent="0.2">
      <c r="C21" s="2379" t="s">
        <v>1796</v>
      </c>
      <c r="D21" s="2381">
        <v>5700</v>
      </c>
      <c r="E21" s="2381">
        <v>9769.9</v>
      </c>
      <c r="F21" s="2710">
        <v>6300</v>
      </c>
      <c r="G21" s="2381">
        <v>3296.9</v>
      </c>
      <c r="H21" s="2712">
        <v>6900</v>
      </c>
      <c r="I21" s="2712">
        <v>7500</v>
      </c>
    </row>
    <row r="22" spans="1:9" ht="32" x14ac:dyDescent="0.2">
      <c r="C22" s="2379" t="s">
        <v>1797</v>
      </c>
      <c r="D22" s="2381">
        <v>2387</v>
      </c>
      <c r="E22" s="2381">
        <v>2927.5</v>
      </c>
      <c r="F22" s="2710">
        <v>2650</v>
      </c>
      <c r="G22" s="2381">
        <v>451.9</v>
      </c>
      <c r="H22" s="2712">
        <v>2900</v>
      </c>
      <c r="I22" s="2712">
        <v>3200</v>
      </c>
    </row>
    <row r="23" spans="1:9" ht="32" x14ac:dyDescent="0.2">
      <c r="C23" s="2379" t="s">
        <v>1798</v>
      </c>
      <c r="D23" s="2381">
        <v>1584</v>
      </c>
      <c r="E23" s="2381">
        <v>3596.0079999999998</v>
      </c>
      <c r="F23" s="2710">
        <v>1800</v>
      </c>
      <c r="G23" s="2381">
        <v>848.5</v>
      </c>
      <c r="H23" s="2712">
        <v>1950</v>
      </c>
      <c r="I23" s="2712">
        <v>2100</v>
      </c>
    </row>
    <row r="24" spans="1:9" ht="32" x14ac:dyDescent="0.2">
      <c r="C24" s="2379" t="s">
        <v>1799</v>
      </c>
      <c r="D24" s="2381">
        <v>998</v>
      </c>
      <c r="E24" s="2381">
        <v>1166</v>
      </c>
      <c r="F24" s="2710">
        <v>1000</v>
      </c>
      <c r="G24" s="2381">
        <v>230.1</v>
      </c>
      <c r="H24" s="2712">
        <v>1100</v>
      </c>
      <c r="I24" s="2712">
        <v>1200</v>
      </c>
    </row>
    <row r="25" spans="1:9" ht="32" x14ac:dyDescent="0.2">
      <c r="C25" s="2379" t="s">
        <v>1800</v>
      </c>
      <c r="D25" s="2381">
        <v>1000</v>
      </c>
      <c r="E25" s="2381">
        <v>966</v>
      </c>
      <c r="F25" s="2710">
        <v>1100</v>
      </c>
      <c r="G25" s="2381">
        <v>301.10000000000002</v>
      </c>
      <c r="H25" s="2712">
        <v>1210</v>
      </c>
      <c r="I25" s="2712">
        <v>1331</v>
      </c>
    </row>
    <row r="26" spans="1:9" ht="32" x14ac:dyDescent="0.2">
      <c r="C26" s="2379" t="s">
        <v>1801</v>
      </c>
      <c r="D26" s="2381">
        <v>1320</v>
      </c>
      <c r="E26" s="2381">
        <v>1550.2</v>
      </c>
      <c r="F26" s="2710">
        <v>1400</v>
      </c>
      <c r="G26" s="2381">
        <v>730.3</v>
      </c>
      <c r="H26" s="2712">
        <v>1550</v>
      </c>
      <c r="I26" s="2712">
        <v>1700</v>
      </c>
    </row>
    <row r="27" spans="1:9" x14ac:dyDescent="0.2">
      <c r="C27" s="2379" t="s">
        <v>1802</v>
      </c>
      <c r="D27" s="2381">
        <v>3800</v>
      </c>
      <c r="E27" s="2381">
        <v>6808.4</v>
      </c>
      <c r="F27" s="2710">
        <v>4200</v>
      </c>
      <c r="G27" s="2381">
        <v>2295.4</v>
      </c>
      <c r="H27" s="2712">
        <v>4500</v>
      </c>
      <c r="I27" s="2712">
        <v>5000</v>
      </c>
    </row>
    <row r="28" spans="1:9" x14ac:dyDescent="0.2">
      <c r="C28" s="2379" t="s">
        <v>1803</v>
      </c>
      <c r="D28" s="2382">
        <v>1400</v>
      </c>
      <c r="E28" s="2381">
        <v>1813.3</v>
      </c>
      <c r="F28" s="2711">
        <v>1600</v>
      </c>
      <c r="G28" s="2381">
        <v>704.1</v>
      </c>
      <c r="H28" s="2712">
        <v>1760</v>
      </c>
      <c r="I28" s="2712">
        <v>1900</v>
      </c>
    </row>
    <row r="29" spans="1:9" ht="32" x14ac:dyDescent="0.2">
      <c r="C29" s="2379" t="s">
        <v>1804</v>
      </c>
      <c r="D29" s="2381">
        <v>500</v>
      </c>
      <c r="E29" s="2381">
        <v>501.45</v>
      </c>
      <c r="F29" s="2710">
        <v>550</v>
      </c>
      <c r="G29" s="2381">
        <v>34.200000000000003</v>
      </c>
      <c r="H29" s="2712">
        <v>600</v>
      </c>
      <c r="I29" s="2712">
        <v>650</v>
      </c>
    </row>
    <row r="30" spans="1:9" x14ac:dyDescent="0.2">
      <c r="C30" s="2379" t="s">
        <v>1805</v>
      </c>
      <c r="D30" s="2381">
        <v>877</v>
      </c>
      <c r="E30" s="2381">
        <v>880</v>
      </c>
      <c r="F30" s="2710">
        <v>900</v>
      </c>
      <c r="G30" s="2381">
        <v>350.4</v>
      </c>
      <c r="H30" s="2712">
        <v>1000</v>
      </c>
      <c r="I30" s="2712">
        <v>1100</v>
      </c>
    </row>
    <row r="31" spans="1:9" x14ac:dyDescent="0.2">
      <c r="C31" s="2379" t="s">
        <v>1806</v>
      </c>
      <c r="D31" s="2381">
        <v>330</v>
      </c>
      <c r="E31" s="2381">
        <v>455.92</v>
      </c>
      <c r="F31" s="2710">
        <v>500</v>
      </c>
      <c r="G31" s="2381">
        <v>144.9</v>
      </c>
      <c r="H31" s="2712">
        <v>550</v>
      </c>
      <c r="I31" s="2712">
        <v>600</v>
      </c>
    </row>
    <row r="32" spans="1:9" x14ac:dyDescent="0.2">
      <c r="C32" s="2379" t="s">
        <v>1807</v>
      </c>
      <c r="D32" s="2381">
        <v>100</v>
      </c>
      <c r="E32" s="2381">
        <v>60</v>
      </c>
      <c r="F32" s="2710">
        <v>150</v>
      </c>
      <c r="G32" s="2381">
        <v>0</v>
      </c>
      <c r="H32" s="2712">
        <v>170</v>
      </c>
      <c r="I32" s="2712">
        <v>200</v>
      </c>
    </row>
    <row r="33" spans="1:13" ht="32" x14ac:dyDescent="0.2">
      <c r="C33" s="2379" t="s">
        <v>1808</v>
      </c>
      <c r="D33" s="2381">
        <v>1860</v>
      </c>
      <c r="E33" s="2381">
        <v>2404</v>
      </c>
      <c r="F33" s="2710">
        <v>2200</v>
      </c>
      <c r="G33" s="2381">
        <v>342.4</v>
      </c>
      <c r="H33" s="2712">
        <v>2420</v>
      </c>
      <c r="I33" s="2712">
        <v>2662</v>
      </c>
    </row>
    <row r="34" spans="1:13" ht="32" x14ac:dyDescent="0.2">
      <c r="C34" s="2379" t="s">
        <v>1809</v>
      </c>
      <c r="D34" s="2381">
        <v>1010</v>
      </c>
      <c r="E34" s="2381">
        <v>1313.001</v>
      </c>
      <c r="F34" s="2710">
        <v>1200</v>
      </c>
      <c r="G34" s="2381">
        <v>300</v>
      </c>
      <c r="H34" s="2712">
        <v>1320</v>
      </c>
      <c r="I34" s="2712">
        <v>1452</v>
      </c>
    </row>
    <row r="35" spans="1:13" ht="32" x14ac:dyDescent="0.2">
      <c r="C35" s="2379" t="s">
        <v>1810</v>
      </c>
      <c r="D35" s="2381">
        <v>880</v>
      </c>
      <c r="E35" s="2381">
        <v>881.8</v>
      </c>
      <c r="F35" s="2710">
        <v>900</v>
      </c>
      <c r="G35" s="2381">
        <v>64</v>
      </c>
      <c r="H35" s="2712">
        <v>990</v>
      </c>
      <c r="I35" s="2712">
        <v>1089</v>
      </c>
    </row>
    <row r="36" spans="1:13" ht="32" x14ac:dyDescent="0.2">
      <c r="C36" s="2379" t="s">
        <v>1811</v>
      </c>
      <c r="D36" s="2381">
        <v>252.6</v>
      </c>
      <c r="E36" s="2381">
        <v>315.10000000000002</v>
      </c>
      <c r="F36" s="2710">
        <v>300</v>
      </c>
      <c r="G36" s="2381">
        <v>75</v>
      </c>
      <c r="H36" s="2712">
        <v>330</v>
      </c>
      <c r="I36" s="2712">
        <v>363</v>
      </c>
    </row>
    <row r="37" spans="1:13" ht="32" x14ac:dyDescent="0.2">
      <c r="C37" s="2379" t="s">
        <v>1812</v>
      </c>
      <c r="D37" s="2381">
        <v>350</v>
      </c>
      <c r="E37" s="2381">
        <v>381.8</v>
      </c>
      <c r="F37" s="2710">
        <v>440</v>
      </c>
      <c r="G37" s="2381">
        <v>122</v>
      </c>
      <c r="H37" s="2712">
        <v>484</v>
      </c>
      <c r="I37" s="2712">
        <v>532.4</v>
      </c>
    </row>
    <row r="38" spans="1:13" ht="32" x14ac:dyDescent="0.2">
      <c r="C38" s="2379" t="s">
        <v>1813</v>
      </c>
      <c r="D38" s="2381">
        <v>150</v>
      </c>
      <c r="E38" s="2381">
        <v>75</v>
      </c>
      <c r="F38" s="2710">
        <v>180</v>
      </c>
      <c r="G38" s="2381">
        <v>20</v>
      </c>
      <c r="H38" s="2712">
        <v>198</v>
      </c>
      <c r="I38" s="2712">
        <v>217.8</v>
      </c>
    </row>
    <row r="39" spans="1:13" ht="32" x14ac:dyDescent="0.2">
      <c r="C39" s="2379" t="s">
        <v>1814</v>
      </c>
      <c r="D39" s="2381">
        <v>150</v>
      </c>
      <c r="E39" s="2381">
        <v>111.2</v>
      </c>
      <c r="F39" s="2711">
        <v>180</v>
      </c>
      <c r="G39" s="2381">
        <v>27</v>
      </c>
      <c r="H39" s="2712">
        <v>198</v>
      </c>
      <c r="I39" s="2712">
        <v>217.8</v>
      </c>
    </row>
    <row r="40" spans="1:13" x14ac:dyDescent="0.2">
      <c r="C40" s="2379" t="s">
        <v>1815</v>
      </c>
      <c r="D40" s="2381">
        <v>150</v>
      </c>
      <c r="E40" s="2381">
        <v>195</v>
      </c>
      <c r="F40" s="2711">
        <v>180</v>
      </c>
      <c r="G40" s="2381">
        <v>46</v>
      </c>
      <c r="H40" s="2712">
        <v>198</v>
      </c>
      <c r="I40" s="2712">
        <v>217.8</v>
      </c>
    </row>
    <row r="41" spans="1:13" ht="32" x14ac:dyDescent="0.2">
      <c r="C41" s="2379" t="s">
        <v>1816</v>
      </c>
      <c r="D41" s="2381">
        <v>200</v>
      </c>
      <c r="E41" s="2381">
        <v>288.2</v>
      </c>
      <c r="F41" s="2710">
        <v>220</v>
      </c>
      <c r="G41" s="2381">
        <v>46.5</v>
      </c>
      <c r="H41" s="2712">
        <v>242</v>
      </c>
      <c r="I41" s="2712">
        <v>266.2</v>
      </c>
    </row>
    <row r="42" spans="1:13" x14ac:dyDescent="0.2">
      <c r="C42" s="2379" t="s">
        <v>1817</v>
      </c>
      <c r="D42" s="2381">
        <v>200</v>
      </c>
      <c r="E42" s="2381">
        <v>200</v>
      </c>
      <c r="F42" s="2710">
        <v>220</v>
      </c>
      <c r="G42" s="2381">
        <v>0</v>
      </c>
      <c r="H42" s="2712">
        <v>242</v>
      </c>
      <c r="I42" s="2712">
        <v>266.2</v>
      </c>
    </row>
    <row r="43" spans="1:13" ht="32" x14ac:dyDescent="0.2">
      <c r="C43" s="2379" t="s">
        <v>1818</v>
      </c>
      <c r="D43" s="2381">
        <v>3300</v>
      </c>
      <c r="E43" s="2381">
        <v>8102.1</v>
      </c>
      <c r="F43" s="2710">
        <v>10000</v>
      </c>
      <c r="G43" s="2381">
        <v>1630</v>
      </c>
      <c r="H43" s="2712">
        <v>11000</v>
      </c>
      <c r="I43" s="2712">
        <v>12100</v>
      </c>
    </row>
    <row r="44" spans="1:13" ht="32" x14ac:dyDescent="0.2">
      <c r="C44" s="2379" t="s">
        <v>1819</v>
      </c>
      <c r="D44" s="2381">
        <v>200</v>
      </c>
      <c r="E44" s="2381">
        <v>30</v>
      </c>
      <c r="F44" s="2710">
        <v>220</v>
      </c>
      <c r="G44" s="2381">
        <v>0</v>
      </c>
      <c r="H44" s="2712">
        <v>242</v>
      </c>
      <c r="I44" s="2712">
        <v>266.2</v>
      </c>
    </row>
    <row r="45" spans="1:13" ht="32" x14ac:dyDescent="0.2">
      <c r="C45" s="2379" t="s">
        <v>1820</v>
      </c>
      <c r="D45" s="2381">
        <v>150</v>
      </c>
      <c r="E45" s="2381">
        <v>222.35</v>
      </c>
      <c r="F45" s="2710">
        <v>180</v>
      </c>
      <c r="G45" s="2381">
        <v>23.7</v>
      </c>
      <c r="H45" s="2712">
        <v>198</v>
      </c>
      <c r="I45" s="2712">
        <v>217.8</v>
      </c>
      <c r="M45" s="2226">
        <f>43103.35-F47</f>
        <v>17.349999999998545</v>
      </c>
    </row>
    <row r="46" spans="1:13" s="1030" customFormat="1" x14ac:dyDescent="0.2">
      <c r="A46" s="2383"/>
      <c r="B46" s="2383"/>
      <c r="C46" s="2375"/>
      <c r="D46" s="2377">
        <f>SUM(D21:D45)</f>
        <v>28848.6</v>
      </c>
      <c r="E46" s="2377">
        <f>SUM(E21:E45)</f>
        <v>45014.228999999992</v>
      </c>
      <c r="F46" s="2377">
        <f t="shared" ref="F46:I46" si="2">SUM(F21:F45)</f>
        <v>38570</v>
      </c>
      <c r="G46" s="2377">
        <f t="shared" si="2"/>
        <v>12084.400000000001</v>
      </c>
      <c r="H46" s="2377">
        <f t="shared" si="2"/>
        <v>42252</v>
      </c>
      <c r="I46" s="2377">
        <f t="shared" si="2"/>
        <v>46349.200000000004</v>
      </c>
    </row>
    <row r="47" spans="1:13" x14ac:dyDescent="0.2">
      <c r="A47" s="2383"/>
      <c r="B47" s="2383"/>
      <c r="C47" s="2384" t="s">
        <v>194</v>
      </c>
      <c r="D47" s="2385">
        <f>D46+D20+D16+D10+D9</f>
        <v>32486.6</v>
      </c>
      <c r="E47" s="2385">
        <f t="shared" ref="E47:I47" si="3">E46+E20+E16+E10+E9</f>
        <v>50655.39499999999</v>
      </c>
      <c r="F47" s="2385">
        <f>F46+F20+F16+F10+F9</f>
        <v>43086</v>
      </c>
      <c r="G47" s="2385">
        <f t="shared" si="3"/>
        <v>13506.29</v>
      </c>
      <c r="H47" s="2385">
        <f t="shared" si="3"/>
        <v>47155.3</v>
      </c>
      <c r="I47" s="2385">
        <f t="shared" si="3"/>
        <v>51631.33</v>
      </c>
    </row>
  </sheetData>
  <mergeCells count="7">
    <mergeCell ref="C3:G3"/>
    <mergeCell ref="C4:G4"/>
    <mergeCell ref="C6:C8"/>
    <mergeCell ref="D6:E6"/>
    <mergeCell ref="F6:G6"/>
    <mergeCell ref="D7:E7"/>
    <mergeCell ref="F7:G7"/>
  </mergeCells>
  <pageMargins left="0.7" right="0.7" top="0.75" bottom="0.75" header="0.3" footer="0.3"/>
  <pageSetup paperSize="9" scale="58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59999389629810485"/>
  </sheetPr>
  <dimension ref="B3:H102"/>
  <sheetViews>
    <sheetView workbookViewId="0">
      <selection activeCell="H19" sqref="H19"/>
    </sheetView>
  </sheetViews>
  <sheetFormatPr baseColWidth="10" defaultColWidth="8.83203125" defaultRowHeight="13" x14ac:dyDescent="0.15"/>
  <cols>
    <col min="2" max="2" width="71" customWidth="1"/>
  </cols>
  <sheetData>
    <row r="3" spans="2:8" ht="15" x14ac:dyDescent="0.15">
      <c r="B3" s="2291" t="s">
        <v>1556</v>
      </c>
    </row>
    <row r="4" spans="2:8" ht="15" x14ac:dyDescent="0.15">
      <c r="B4" s="2291" t="s">
        <v>1557</v>
      </c>
    </row>
    <row r="5" spans="2:8" ht="15" x14ac:dyDescent="0.15">
      <c r="B5" s="2292"/>
    </row>
    <row r="6" spans="2:8" ht="30" x14ac:dyDescent="0.15">
      <c r="B6" s="2292" t="s">
        <v>1558</v>
      </c>
    </row>
    <row r="7" spans="2:8" ht="15" x14ac:dyDescent="0.15">
      <c r="B7" s="2292" t="s">
        <v>1559</v>
      </c>
    </row>
    <row r="8" spans="2:8" ht="15" x14ac:dyDescent="0.15">
      <c r="B8" s="2292"/>
    </row>
    <row r="9" spans="2:8" ht="16" thickBot="1" x14ac:dyDescent="0.2">
      <c r="B9" s="2293" t="s">
        <v>1560</v>
      </c>
    </row>
    <row r="10" spans="2:8" ht="16" thickBot="1" x14ac:dyDescent="0.2">
      <c r="B10" s="2294" t="s">
        <v>5</v>
      </c>
      <c r="C10" s="2272" t="s">
        <v>17</v>
      </c>
      <c r="D10" s="2272" t="s">
        <v>57</v>
      </c>
      <c r="E10" s="2272" t="s">
        <v>67</v>
      </c>
      <c r="F10" s="2272" t="s">
        <v>632</v>
      </c>
      <c r="G10" s="2272" t="s">
        <v>633</v>
      </c>
      <c r="H10" s="2272" t="s">
        <v>634</v>
      </c>
    </row>
    <row r="11" spans="2:8" ht="16" thickBot="1" x14ac:dyDescent="0.2">
      <c r="B11" s="2295">
        <v>464.9</v>
      </c>
      <c r="C11" s="2273">
        <v>479.7</v>
      </c>
      <c r="D11" s="2273">
        <v>497</v>
      </c>
      <c r="E11" s="2273">
        <v>517.9</v>
      </c>
      <c r="F11" s="2273">
        <v>542.20000000000005</v>
      </c>
      <c r="G11" s="2273">
        <v>571</v>
      </c>
      <c r="H11" s="2273">
        <v>604.4</v>
      </c>
    </row>
    <row r="12" spans="2:8" ht="15" x14ac:dyDescent="0.15">
      <c r="B12" s="2292"/>
    </row>
    <row r="13" spans="2:8" x14ac:dyDescent="0.15">
      <c r="B13" s="2296" t="s">
        <v>1561</v>
      </c>
    </row>
    <row r="14" spans="2:8" ht="15" x14ac:dyDescent="0.15">
      <c r="B14" s="2292"/>
    </row>
    <row r="15" spans="2:8" ht="15" x14ac:dyDescent="0.15">
      <c r="B15" s="2292" t="s">
        <v>1562</v>
      </c>
    </row>
    <row r="16" spans="2:8" ht="15" x14ac:dyDescent="0.15">
      <c r="B16" s="2292"/>
    </row>
    <row r="17" spans="2:8" ht="16" thickBot="1" x14ac:dyDescent="0.2">
      <c r="B17" s="2293" t="s">
        <v>1563</v>
      </c>
    </row>
    <row r="18" spans="2:8" ht="16" thickBot="1" x14ac:dyDescent="0.2">
      <c r="B18" s="2294" t="s">
        <v>5</v>
      </c>
      <c r="C18" s="2272" t="s">
        <v>17</v>
      </c>
      <c r="D18" s="2272" t="s">
        <v>57</v>
      </c>
      <c r="E18" s="2272" t="s">
        <v>67</v>
      </c>
      <c r="F18" s="2272" t="s">
        <v>632</v>
      </c>
      <c r="G18" s="2272" t="s">
        <v>633</v>
      </c>
      <c r="H18" s="2272" t="s">
        <v>634</v>
      </c>
    </row>
    <row r="19" spans="2:8" ht="16" thickBot="1" x14ac:dyDescent="0.2">
      <c r="B19" s="2295">
        <v>9.6999999999999993</v>
      </c>
      <c r="C19" s="2273">
        <v>17.5</v>
      </c>
      <c r="D19" s="2273">
        <v>33.299999999999997</v>
      </c>
      <c r="E19" s="2273">
        <v>66.599999999999994</v>
      </c>
      <c r="F19" s="2273">
        <v>139.9</v>
      </c>
      <c r="G19" s="2273">
        <v>307.8</v>
      </c>
      <c r="H19" s="2273">
        <v>708</v>
      </c>
    </row>
    <row r="20" spans="2:8" ht="15" x14ac:dyDescent="0.15">
      <c r="B20" s="2292"/>
    </row>
    <row r="21" spans="2:8" ht="60" x14ac:dyDescent="0.15">
      <c r="B21" s="2292" t="s">
        <v>1564</v>
      </c>
    </row>
    <row r="22" spans="2:8" ht="15" x14ac:dyDescent="0.15">
      <c r="B22" s="2292"/>
    </row>
    <row r="23" spans="2:8" ht="16" thickBot="1" x14ac:dyDescent="0.2">
      <c r="B23" s="2293" t="s">
        <v>291</v>
      </c>
    </row>
    <row r="24" spans="2:8" ht="16" thickBot="1" x14ac:dyDescent="0.2">
      <c r="B24" s="2294" t="s">
        <v>5</v>
      </c>
      <c r="C24" s="2272" t="s">
        <v>17</v>
      </c>
      <c r="D24" s="2272" t="s">
        <v>57</v>
      </c>
      <c r="E24" s="2272" t="s">
        <v>67</v>
      </c>
      <c r="F24" s="2272" t="s">
        <v>632</v>
      </c>
      <c r="G24" s="2272" t="s">
        <v>633</v>
      </c>
      <c r="H24" s="2272" t="s">
        <v>634</v>
      </c>
    </row>
    <row r="25" spans="2:8" ht="16" thickBot="1" x14ac:dyDescent="0.2">
      <c r="B25" s="2295" t="s">
        <v>973</v>
      </c>
      <c r="C25" s="2273">
        <v>80</v>
      </c>
      <c r="D25" s="2273">
        <v>540</v>
      </c>
      <c r="E25" s="2273">
        <v>1015</v>
      </c>
      <c r="F25" s="2273">
        <v>1489</v>
      </c>
      <c r="G25" s="2273">
        <v>1619</v>
      </c>
      <c r="H25" s="2273">
        <v>1683</v>
      </c>
    </row>
    <row r="26" spans="2:8" ht="15" x14ac:dyDescent="0.15">
      <c r="B26" s="2292"/>
    </row>
    <row r="27" spans="2:8" ht="30" x14ac:dyDescent="0.15">
      <c r="B27" s="2292" t="s">
        <v>1565</v>
      </c>
    </row>
    <row r="28" spans="2:8" ht="15" x14ac:dyDescent="0.15">
      <c r="B28" s="2292"/>
    </row>
    <row r="29" spans="2:8" ht="16" thickBot="1" x14ac:dyDescent="0.2">
      <c r="B29" s="2293" t="s">
        <v>1566</v>
      </c>
    </row>
    <row r="30" spans="2:8" ht="16" thickBot="1" x14ac:dyDescent="0.2">
      <c r="B30" s="2294" t="s">
        <v>5</v>
      </c>
      <c r="C30" s="2272" t="s">
        <v>17</v>
      </c>
      <c r="D30" s="2272" t="s">
        <v>57</v>
      </c>
      <c r="E30" s="2272" t="s">
        <v>67</v>
      </c>
      <c r="F30" s="2272" t="s">
        <v>632</v>
      </c>
      <c r="G30" s="2272" t="s">
        <v>633</v>
      </c>
      <c r="H30" s="2272" t="s">
        <v>634</v>
      </c>
    </row>
    <row r="31" spans="2:8" ht="16" thickBot="1" x14ac:dyDescent="0.2">
      <c r="B31" s="2295">
        <v>22</v>
      </c>
      <c r="C31" s="2273">
        <v>24</v>
      </c>
      <c r="D31" s="2273">
        <v>26</v>
      </c>
      <c r="E31" s="2273">
        <v>28</v>
      </c>
      <c r="F31" s="2273">
        <v>31</v>
      </c>
      <c r="G31" s="2273">
        <v>33</v>
      </c>
      <c r="H31" s="2273">
        <v>34</v>
      </c>
    </row>
    <row r="32" spans="2:8" ht="15" x14ac:dyDescent="0.15">
      <c r="B32" s="2292"/>
    </row>
    <row r="33" spans="2:8" ht="15" x14ac:dyDescent="0.15">
      <c r="B33" s="2292" t="s">
        <v>1567</v>
      </c>
    </row>
    <row r="34" spans="2:8" ht="15" x14ac:dyDescent="0.15">
      <c r="B34" s="2292"/>
    </row>
    <row r="35" spans="2:8" ht="16" thickBot="1" x14ac:dyDescent="0.2">
      <c r="B35" s="2293" t="s">
        <v>1560</v>
      </c>
    </row>
    <row r="36" spans="2:8" ht="16" thickBot="1" x14ac:dyDescent="0.2">
      <c r="B36" s="2294" t="s">
        <v>5</v>
      </c>
      <c r="C36" s="2272" t="s">
        <v>17</v>
      </c>
      <c r="D36" s="2272" t="s">
        <v>57</v>
      </c>
      <c r="E36" s="2272" t="s">
        <v>67</v>
      </c>
      <c r="F36" s="2272" t="s">
        <v>632</v>
      </c>
      <c r="G36" s="2272" t="s">
        <v>633</v>
      </c>
      <c r="H36" s="2272" t="s">
        <v>634</v>
      </c>
    </row>
    <row r="37" spans="2:8" ht="16" thickBot="1" x14ac:dyDescent="0.2">
      <c r="B37" s="2295">
        <v>352</v>
      </c>
      <c r="C37" s="2273">
        <v>371.3</v>
      </c>
      <c r="D37" s="2273">
        <v>386.2</v>
      </c>
      <c r="E37" s="2273">
        <v>402.4</v>
      </c>
      <c r="F37" s="2273">
        <v>419.5</v>
      </c>
      <c r="G37" s="2273">
        <v>437.7</v>
      </c>
      <c r="H37" s="2273">
        <v>457.6</v>
      </c>
    </row>
    <row r="38" spans="2:8" ht="15" x14ac:dyDescent="0.15">
      <c r="B38" s="2292"/>
    </row>
    <row r="39" spans="2:8" x14ac:dyDescent="0.15">
      <c r="B39" s="2296" t="s">
        <v>1561</v>
      </c>
    </row>
    <row r="40" spans="2:8" ht="15" x14ac:dyDescent="0.15">
      <c r="B40" s="2292"/>
    </row>
    <row r="41" spans="2:8" ht="15" x14ac:dyDescent="0.15">
      <c r="B41" s="2292" t="s">
        <v>1568</v>
      </c>
    </row>
    <row r="42" spans="2:8" ht="15" x14ac:dyDescent="0.15">
      <c r="B42" s="2292"/>
    </row>
    <row r="43" spans="2:8" ht="16" thickBot="1" x14ac:dyDescent="0.2">
      <c r="B43" s="2293" t="s">
        <v>1560</v>
      </c>
    </row>
    <row r="44" spans="2:8" ht="16" thickBot="1" x14ac:dyDescent="0.2">
      <c r="B44" s="2294" t="s">
        <v>5</v>
      </c>
      <c r="C44" s="2272" t="s">
        <v>17</v>
      </c>
      <c r="D44" s="2272" t="s">
        <v>57</v>
      </c>
      <c r="E44" s="2272" t="s">
        <v>67</v>
      </c>
      <c r="F44" s="2272" t="s">
        <v>632</v>
      </c>
      <c r="G44" s="2272" t="s">
        <v>633</v>
      </c>
      <c r="H44" s="2272" t="s">
        <v>634</v>
      </c>
    </row>
    <row r="45" spans="2:8" ht="16" thickBot="1" x14ac:dyDescent="0.2">
      <c r="B45" s="2295">
        <v>34.1</v>
      </c>
      <c r="C45" s="2273">
        <v>36.299999999999997</v>
      </c>
      <c r="D45" s="2273">
        <v>38.799999999999997</v>
      </c>
      <c r="E45" s="2273">
        <v>41.4</v>
      </c>
      <c r="F45" s="2273">
        <v>44.3</v>
      </c>
      <c r="G45" s="2273">
        <v>47.4</v>
      </c>
      <c r="H45" s="2273">
        <v>50.9</v>
      </c>
    </row>
    <row r="46" spans="2:8" ht="15" x14ac:dyDescent="0.15">
      <c r="B46" s="2292"/>
    </row>
    <row r="47" spans="2:8" ht="30" x14ac:dyDescent="0.15">
      <c r="B47" s="2292" t="s">
        <v>1569</v>
      </c>
    </row>
    <row r="48" spans="2:8" ht="15" x14ac:dyDescent="0.15">
      <c r="B48" s="2292"/>
    </row>
    <row r="49" spans="2:8" ht="16" thickBot="1" x14ac:dyDescent="0.2">
      <c r="B49" s="2293" t="s">
        <v>1566</v>
      </c>
    </row>
    <row r="50" spans="2:8" ht="16" thickBot="1" x14ac:dyDescent="0.2">
      <c r="B50" s="2294" t="s">
        <v>5</v>
      </c>
      <c r="C50" s="2272" t="s">
        <v>17</v>
      </c>
      <c r="D50" s="2272" t="s">
        <v>57</v>
      </c>
      <c r="E50" s="2272" t="s">
        <v>67</v>
      </c>
      <c r="F50" s="2272" t="s">
        <v>632</v>
      </c>
      <c r="G50" s="2272" t="s">
        <v>633</v>
      </c>
      <c r="H50" s="2272" t="s">
        <v>634</v>
      </c>
    </row>
    <row r="51" spans="2:8" ht="16" thickBot="1" x14ac:dyDescent="0.2">
      <c r="B51" s="2295">
        <v>70</v>
      </c>
      <c r="C51" s="2273">
        <v>71</v>
      </c>
      <c r="D51" s="2273">
        <v>74</v>
      </c>
      <c r="E51" s="2273">
        <v>78</v>
      </c>
      <c r="F51" s="2273">
        <v>83</v>
      </c>
      <c r="G51" s="2273">
        <v>88</v>
      </c>
      <c r="H51" s="2273">
        <v>90</v>
      </c>
    </row>
    <row r="52" spans="2:8" ht="15" x14ac:dyDescent="0.15">
      <c r="B52" s="2292"/>
    </row>
    <row r="53" spans="2:8" ht="45" x14ac:dyDescent="0.15">
      <c r="B53" s="2292" t="s">
        <v>1570</v>
      </c>
    </row>
    <row r="54" spans="2:8" ht="15" x14ac:dyDescent="0.15">
      <c r="B54" s="2292"/>
    </row>
    <row r="55" spans="2:8" ht="16" thickBot="1" x14ac:dyDescent="0.2">
      <c r="B55" s="2293" t="s">
        <v>1566</v>
      </c>
    </row>
    <row r="56" spans="2:8" ht="16" thickBot="1" x14ac:dyDescent="0.2">
      <c r="B56" s="2294" t="s">
        <v>5</v>
      </c>
      <c r="C56" s="2272" t="s">
        <v>17</v>
      </c>
      <c r="D56" s="2272" t="s">
        <v>57</v>
      </c>
      <c r="E56" s="2272" t="s">
        <v>67</v>
      </c>
      <c r="F56" s="2272" t="s">
        <v>632</v>
      </c>
      <c r="G56" s="2272" t="s">
        <v>633</v>
      </c>
      <c r="H56" s="2272" t="s">
        <v>634</v>
      </c>
    </row>
    <row r="57" spans="2:8" ht="16" thickBot="1" x14ac:dyDescent="0.2">
      <c r="B57" s="2295">
        <v>30.5</v>
      </c>
      <c r="C57" s="2273">
        <v>31.24</v>
      </c>
      <c r="D57" s="2273">
        <v>32.01</v>
      </c>
      <c r="E57" s="2273">
        <v>32.79</v>
      </c>
      <c r="F57" s="2273">
        <v>33.590000000000003</v>
      </c>
      <c r="G57" s="2273">
        <v>34.409999999999997</v>
      </c>
      <c r="H57" s="2273">
        <v>35.25</v>
      </c>
    </row>
    <row r="58" spans="2:8" ht="15" x14ac:dyDescent="0.15">
      <c r="B58" s="2292"/>
    </row>
    <row r="59" spans="2:8" ht="30" x14ac:dyDescent="0.15">
      <c r="B59" s="2292" t="s">
        <v>1571</v>
      </c>
    </row>
    <row r="60" spans="2:8" ht="15" x14ac:dyDescent="0.15">
      <c r="B60" s="2292"/>
    </row>
    <row r="61" spans="2:8" ht="16" thickBot="1" x14ac:dyDescent="0.2">
      <c r="B61" s="2293" t="s">
        <v>1566</v>
      </c>
    </row>
    <row r="62" spans="2:8" ht="16" thickBot="1" x14ac:dyDescent="0.2">
      <c r="B62" s="2294" t="s">
        <v>5</v>
      </c>
      <c r="C62" s="2272" t="s">
        <v>17</v>
      </c>
      <c r="D62" s="2272" t="s">
        <v>57</v>
      </c>
      <c r="E62" s="2272" t="s">
        <v>67</v>
      </c>
      <c r="F62" s="2272" t="s">
        <v>632</v>
      </c>
      <c r="G62" s="2272" t="s">
        <v>633</v>
      </c>
      <c r="H62" s="2272" t="s">
        <v>634</v>
      </c>
    </row>
    <row r="63" spans="2:8" ht="16" thickBot="1" x14ac:dyDescent="0.2">
      <c r="B63" s="2295">
        <v>27.6</v>
      </c>
      <c r="C63" s="2273">
        <v>36.700000000000003</v>
      </c>
      <c r="D63" s="2273">
        <v>45.8</v>
      </c>
      <c r="E63" s="2273">
        <v>54.9</v>
      </c>
      <c r="F63" s="2273">
        <v>64</v>
      </c>
      <c r="G63" s="2273">
        <v>73.099999999999994</v>
      </c>
      <c r="H63" s="2273">
        <v>82.2</v>
      </c>
    </row>
    <row r="64" spans="2:8" ht="15" x14ac:dyDescent="0.15">
      <c r="B64" s="2292"/>
    </row>
    <row r="65" spans="2:8" ht="30" x14ac:dyDescent="0.15">
      <c r="B65" s="2292" t="s">
        <v>1572</v>
      </c>
    </row>
    <row r="66" spans="2:8" ht="15" x14ac:dyDescent="0.15">
      <c r="B66" s="2292"/>
    </row>
    <row r="67" spans="2:8" ht="16" thickBot="1" x14ac:dyDescent="0.2">
      <c r="B67" s="2293" t="s">
        <v>1566</v>
      </c>
    </row>
    <row r="68" spans="2:8" ht="16" thickBot="1" x14ac:dyDescent="0.2">
      <c r="B68" s="2294" t="s">
        <v>5</v>
      </c>
      <c r="C68" s="2272" t="s">
        <v>17</v>
      </c>
      <c r="D68" s="2272" t="s">
        <v>57</v>
      </c>
      <c r="E68" s="2272" t="s">
        <v>67</v>
      </c>
      <c r="F68" s="2272" t="s">
        <v>632</v>
      </c>
      <c r="G68" s="2272" t="s">
        <v>633</v>
      </c>
      <c r="H68" s="2272" t="s">
        <v>634</v>
      </c>
    </row>
    <row r="69" spans="2:8" ht="16" thickBot="1" x14ac:dyDescent="0.2">
      <c r="B69" s="2295">
        <v>41</v>
      </c>
      <c r="C69" s="2273">
        <v>49</v>
      </c>
      <c r="D69" s="2273">
        <v>57</v>
      </c>
      <c r="E69" s="2273">
        <v>61</v>
      </c>
      <c r="F69" s="2273">
        <v>69</v>
      </c>
      <c r="G69" s="2273">
        <v>77</v>
      </c>
      <c r="H69" s="2273">
        <v>85</v>
      </c>
    </row>
    <row r="70" spans="2:8" ht="15" x14ac:dyDescent="0.15">
      <c r="B70" s="2292"/>
    </row>
    <row r="71" spans="2:8" ht="30" x14ac:dyDescent="0.15">
      <c r="B71" s="2292" t="s">
        <v>1573</v>
      </c>
    </row>
    <row r="72" spans="2:8" ht="15" x14ac:dyDescent="0.15">
      <c r="B72" s="2292"/>
    </row>
    <row r="73" spans="2:8" ht="16" thickBot="1" x14ac:dyDescent="0.2">
      <c r="B73" s="2293" t="s">
        <v>1566</v>
      </c>
    </row>
    <row r="74" spans="2:8" ht="16" thickBot="1" x14ac:dyDescent="0.2">
      <c r="B74" s="2294" t="s">
        <v>5</v>
      </c>
      <c r="C74" s="2272" t="s">
        <v>17</v>
      </c>
      <c r="D74" s="2272" t="s">
        <v>57</v>
      </c>
      <c r="E74" s="2272" t="s">
        <v>67</v>
      </c>
      <c r="F74" s="2272" t="s">
        <v>632</v>
      </c>
      <c r="G74" s="2272" t="s">
        <v>633</v>
      </c>
      <c r="H74" s="2272" t="s">
        <v>634</v>
      </c>
    </row>
    <row r="75" spans="2:8" ht="16" thickBot="1" x14ac:dyDescent="0.2">
      <c r="B75" s="2295">
        <v>87</v>
      </c>
      <c r="C75" s="2273">
        <v>91</v>
      </c>
      <c r="D75" s="2273">
        <v>93</v>
      </c>
      <c r="E75" s="2273">
        <v>95</v>
      </c>
      <c r="F75" s="2273">
        <v>97</v>
      </c>
      <c r="G75" s="2273">
        <v>99</v>
      </c>
      <c r="H75" s="2273">
        <v>100</v>
      </c>
    </row>
    <row r="76" spans="2:8" ht="15" x14ac:dyDescent="0.15">
      <c r="B76" s="2292"/>
    </row>
    <row r="77" spans="2:8" ht="30" x14ac:dyDescent="0.15">
      <c r="B77" s="2292" t="s">
        <v>1574</v>
      </c>
    </row>
    <row r="78" spans="2:8" ht="15" x14ac:dyDescent="0.15">
      <c r="B78" s="2292"/>
    </row>
    <row r="79" spans="2:8" ht="16" thickBot="1" x14ac:dyDescent="0.2">
      <c r="B79" s="2293" t="s">
        <v>1575</v>
      </c>
    </row>
    <row r="80" spans="2:8" ht="16" thickBot="1" x14ac:dyDescent="0.2">
      <c r="B80" s="2294" t="s">
        <v>5</v>
      </c>
      <c r="C80" s="2272" t="s">
        <v>17</v>
      </c>
      <c r="D80" s="2272" t="s">
        <v>57</v>
      </c>
      <c r="E80" s="2272" t="s">
        <v>67</v>
      </c>
      <c r="F80" s="2272" t="s">
        <v>632</v>
      </c>
      <c r="G80" s="2272" t="s">
        <v>633</v>
      </c>
      <c r="H80" s="2272" t="s">
        <v>634</v>
      </c>
    </row>
    <row r="81" spans="2:8" ht="16" thickBot="1" x14ac:dyDescent="0.2">
      <c r="B81" s="2295" t="s">
        <v>973</v>
      </c>
      <c r="C81" s="2273">
        <v>13</v>
      </c>
      <c r="D81" s="2273">
        <v>25</v>
      </c>
      <c r="E81" s="2273">
        <v>50</v>
      </c>
      <c r="F81" s="2273">
        <v>63</v>
      </c>
      <c r="G81" s="2273">
        <v>88</v>
      </c>
      <c r="H81" s="2273">
        <v>100</v>
      </c>
    </row>
    <row r="82" spans="2:8" ht="15" x14ac:dyDescent="0.15">
      <c r="B82" s="2292"/>
    </row>
    <row r="83" spans="2:8" ht="30" x14ac:dyDescent="0.15">
      <c r="B83" s="2292" t="s">
        <v>1576</v>
      </c>
    </row>
    <row r="84" spans="2:8" ht="15" x14ac:dyDescent="0.15">
      <c r="B84" s="2292"/>
    </row>
    <row r="85" spans="2:8" ht="16" thickBot="1" x14ac:dyDescent="0.2">
      <c r="B85" s="2293" t="s">
        <v>1566</v>
      </c>
    </row>
    <row r="86" spans="2:8" ht="16" thickBot="1" x14ac:dyDescent="0.2">
      <c r="B86" s="2294" t="s">
        <v>17</v>
      </c>
      <c r="C86" s="2272" t="s">
        <v>57</v>
      </c>
      <c r="D86" s="2272" t="s">
        <v>67</v>
      </c>
      <c r="E86" s="2272" t="s">
        <v>632</v>
      </c>
      <c r="F86" s="2272" t="s">
        <v>633</v>
      </c>
      <c r="G86" s="2272" t="s">
        <v>634</v>
      </c>
    </row>
    <row r="87" spans="2:8" ht="16" thickBot="1" x14ac:dyDescent="0.2">
      <c r="B87" s="2295">
        <v>2</v>
      </c>
      <c r="C87" s="2273">
        <v>3</v>
      </c>
      <c r="D87" s="2273">
        <v>5</v>
      </c>
      <c r="E87" s="2273">
        <v>6</v>
      </c>
      <c r="F87" s="2273">
        <v>7</v>
      </c>
      <c r="G87" s="2273">
        <v>8</v>
      </c>
    </row>
    <row r="89" spans="2:8" ht="15" x14ac:dyDescent="0.15">
      <c r="B89" s="2292"/>
    </row>
    <row r="90" spans="2:8" ht="15" x14ac:dyDescent="0.15">
      <c r="B90" s="2292" t="s">
        <v>1577</v>
      </c>
    </row>
    <row r="91" spans="2:8" ht="15" x14ac:dyDescent="0.15">
      <c r="B91" s="2292"/>
    </row>
    <row r="92" spans="2:8" ht="16" thickBot="1" x14ac:dyDescent="0.2">
      <c r="B92" s="2293" t="s">
        <v>1566</v>
      </c>
    </row>
    <row r="93" spans="2:8" ht="16" thickBot="1" x14ac:dyDescent="0.2">
      <c r="B93" s="2294" t="s">
        <v>5</v>
      </c>
      <c r="C93" s="2272" t="s">
        <v>17</v>
      </c>
      <c r="D93" s="2272" t="s">
        <v>57</v>
      </c>
      <c r="E93" s="2272" t="s">
        <v>67</v>
      </c>
      <c r="F93" s="2272" t="s">
        <v>632</v>
      </c>
      <c r="G93" s="2272" t="s">
        <v>633</v>
      </c>
      <c r="H93" s="2272" t="s">
        <v>634</v>
      </c>
    </row>
    <row r="94" spans="2:8" ht="16" thickBot="1" x14ac:dyDescent="0.2">
      <c r="B94" s="2295" t="s">
        <v>973</v>
      </c>
      <c r="C94" s="2273">
        <v>5</v>
      </c>
      <c r="D94" s="2273">
        <v>10</v>
      </c>
      <c r="E94" s="2273">
        <v>15</v>
      </c>
      <c r="F94" s="2273">
        <v>20</v>
      </c>
      <c r="G94" s="2273">
        <v>25</v>
      </c>
      <c r="H94" s="2273">
        <v>30</v>
      </c>
    </row>
    <row r="95" spans="2:8" ht="15" x14ac:dyDescent="0.15">
      <c r="B95" s="2292"/>
    </row>
    <row r="96" spans="2:8" x14ac:dyDescent="0.15">
      <c r="B96" s="2296" t="s">
        <v>1578</v>
      </c>
    </row>
    <row r="97" spans="2:8" ht="15" x14ac:dyDescent="0.15">
      <c r="B97" s="2292"/>
    </row>
    <row r="98" spans="2:8" ht="30" x14ac:dyDescent="0.15">
      <c r="B98" s="2292" t="s">
        <v>1579</v>
      </c>
    </row>
    <row r="99" spans="2:8" ht="15" x14ac:dyDescent="0.15">
      <c r="B99" s="2292"/>
    </row>
    <row r="100" spans="2:8" ht="16" thickBot="1" x14ac:dyDescent="0.2">
      <c r="B100" s="2293" t="s">
        <v>1566</v>
      </c>
    </row>
    <row r="101" spans="2:8" ht="16" thickBot="1" x14ac:dyDescent="0.2">
      <c r="B101" s="2294" t="s">
        <v>5</v>
      </c>
      <c r="C101" s="2272" t="s">
        <v>17</v>
      </c>
      <c r="D101" s="2272" t="s">
        <v>57</v>
      </c>
      <c r="E101" s="2272" t="s">
        <v>67</v>
      </c>
      <c r="F101" s="2272" t="s">
        <v>632</v>
      </c>
      <c r="G101" s="2272" t="s">
        <v>633</v>
      </c>
      <c r="H101" s="2272" t="s">
        <v>634</v>
      </c>
    </row>
    <row r="102" spans="2:8" ht="16" thickBot="1" x14ac:dyDescent="0.2">
      <c r="B102" s="2295" t="s">
        <v>973</v>
      </c>
      <c r="C102" s="2273">
        <v>5</v>
      </c>
      <c r="D102" s="2273">
        <v>10</v>
      </c>
      <c r="E102" s="2273">
        <v>15</v>
      </c>
      <c r="F102" s="2273">
        <v>20</v>
      </c>
      <c r="G102" s="2273">
        <v>25</v>
      </c>
      <c r="H102" s="2273">
        <v>30</v>
      </c>
    </row>
  </sheetData>
  <hyperlinks>
    <hyperlink ref="B13" r:id="rId1" display="consultantplus://offline/ref=9AC55110DA42731B3463B7C6AAFBFA4ACD423E9304EDCDDCC367D5CC492652C3C2DED79CB5B51205C42AF3N1a1I"/>
    <hyperlink ref="B39" r:id="rId2" display="consultantplus://offline/ref=9AC55110DA42731B3463B7C6AAFBFA4ACD423E9304EDCDDCC367D5CC492652C3C2DED79CB5B51205C42AF3N1a0I"/>
    <hyperlink ref="B96" r:id="rId3" display="consultantplus://offline/ref=9AC55110DA42731B3463B7C6AAFBFA4ACD423E9304EDCDDCC367D5CC492652C3C2DED79CB5B51205C42AF3N1aFI"/>
  </hyperlinks>
  <pageMargins left="0.7" right="0.7" top="0.75" bottom="0.75" header="0.3" footer="0.3"/>
  <pageSetup paperSize="9" orientation="portrait" verticalDpi="0"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59999389629810485"/>
  </sheetPr>
  <dimension ref="B3:I99"/>
  <sheetViews>
    <sheetView view="pageBreakPreview" zoomScale="115" zoomScaleSheetLayoutView="115" workbookViewId="0">
      <selection activeCell="N1001" sqref="N1001"/>
    </sheetView>
  </sheetViews>
  <sheetFormatPr baseColWidth="10" defaultColWidth="8.83203125" defaultRowHeight="13" x14ac:dyDescent="0.15"/>
  <cols>
    <col min="1" max="1" width="8.83203125" style="2247"/>
    <col min="2" max="2" width="54.33203125" style="2247" customWidth="1"/>
    <col min="3" max="5" width="4.1640625" style="2247" customWidth="1"/>
    <col min="6" max="6" width="9.83203125" style="2247" bestFit="1" customWidth="1"/>
    <col min="7" max="7" width="4.33203125" style="2247" customWidth="1"/>
    <col min="8" max="8" width="10.83203125" style="2248" bestFit="1" customWidth="1"/>
    <col min="9" max="9" width="14.1640625" style="2248" customWidth="1"/>
    <col min="10" max="16384" width="8.83203125" style="2247"/>
  </cols>
  <sheetData>
    <row r="3" spans="2:9" s="2250" customFormat="1" ht="14" x14ac:dyDescent="0.15">
      <c r="B3" s="1200" t="s">
        <v>265</v>
      </c>
      <c r="C3" s="2249">
        <v>56</v>
      </c>
      <c r="D3" s="1200"/>
      <c r="E3" s="1200"/>
      <c r="F3" s="1200"/>
      <c r="G3" s="1200"/>
      <c r="H3" s="2190">
        <v>10481.321</v>
      </c>
      <c r="I3" s="2190">
        <v>1100089.0090000001</v>
      </c>
    </row>
    <row r="4" spans="2:9" ht="14" x14ac:dyDescent="0.15">
      <c r="B4" s="2251" t="s">
        <v>1096</v>
      </c>
      <c r="C4" s="2252">
        <v>56</v>
      </c>
      <c r="D4" s="2252">
        <v>3</v>
      </c>
      <c r="E4" s="2251"/>
      <c r="F4" s="2251"/>
      <c r="G4" s="2251"/>
      <c r="H4" s="2253">
        <v>0</v>
      </c>
      <c r="I4" s="2253">
        <v>8834</v>
      </c>
    </row>
    <row r="5" spans="2:9" ht="14" x14ac:dyDescent="0.15">
      <c r="B5" s="2251" t="s">
        <v>1097</v>
      </c>
      <c r="C5" s="2252">
        <v>56</v>
      </c>
      <c r="D5" s="2252">
        <v>3</v>
      </c>
      <c r="E5" s="2252">
        <v>10</v>
      </c>
      <c r="F5" s="2251"/>
      <c r="G5" s="2251"/>
      <c r="H5" s="2253">
        <v>0</v>
      </c>
      <c r="I5" s="2253">
        <v>8834</v>
      </c>
    </row>
    <row r="6" spans="2:9" ht="14" x14ac:dyDescent="0.15">
      <c r="B6" s="2252" t="s">
        <v>1516</v>
      </c>
      <c r="C6" s="2252">
        <v>56</v>
      </c>
      <c r="D6" s="2252">
        <v>3</v>
      </c>
      <c r="E6" s="2252">
        <v>10</v>
      </c>
      <c r="F6" s="2252">
        <v>5220000</v>
      </c>
      <c r="G6" s="2251"/>
      <c r="H6" s="2253">
        <v>0</v>
      </c>
      <c r="I6" s="2253">
        <v>8834</v>
      </c>
    </row>
    <row r="7" spans="2:9" ht="24" x14ac:dyDescent="0.15">
      <c r="B7" s="2254" t="s">
        <v>1517</v>
      </c>
      <c r="C7" s="2252">
        <v>56</v>
      </c>
      <c r="D7" s="2252">
        <v>3</v>
      </c>
      <c r="E7" s="2252">
        <v>10</v>
      </c>
      <c r="F7" s="2252">
        <v>5220900</v>
      </c>
      <c r="G7" s="2251"/>
      <c r="H7" s="2253">
        <v>0</v>
      </c>
      <c r="I7" s="2253">
        <v>8834</v>
      </c>
    </row>
    <row r="8" spans="2:9" ht="14" x14ac:dyDescent="0.15">
      <c r="B8" s="2251" t="s">
        <v>1518</v>
      </c>
      <c r="C8" s="2252">
        <v>56</v>
      </c>
      <c r="D8" s="2252">
        <v>3</v>
      </c>
      <c r="E8" s="2252">
        <v>10</v>
      </c>
      <c r="F8" s="2252">
        <v>5220900</v>
      </c>
      <c r="G8" s="2252">
        <v>12</v>
      </c>
      <c r="H8" s="2253">
        <v>0</v>
      </c>
      <c r="I8" s="2253">
        <v>149.6</v>
      </c>
    </row>
    <row r="9" spans="2:9" ht="14" x14ac:dyDescent="0.15">
      <c r="B9" s="2251" t="s">
        <v>1519</v>
      </c>
      <c r="C9" s="2252">
        <v>56</v>
      </c>
      <c r="D9" s="2252">
        <v>3</v>
      </c>
      <c r="E9" s="2252">
        <v>10</v>
      </c>
      <c r="F9" s="2252">
        <v>5220900</v>
      </c>
      <c r="G9" s="2252">
        <v>612</v>
      </c>
      <c r="H9" s="2253">
        <v>0</v>
      </c>
      <c r="I9" s="2253">
        <v>8684.4</v>
      </c>
    </row>
    <row r="10" spans="2:9" ht="14" x14ac:dyDescent="0.15">
      <c r="B10" s="2251" t="s">
        <v>1520</v>
      </c>
      <c r="C10" s="2252">
        <v>56</v>
      </c>
      <c r="D10" s="2252">
        <v>4</v>
      </c>
      <c r="E10" s="2251"/>
      <c r="F10" s="2251"/>
      <c r="G10" s="2251"/>
      <c r="H10" s="2253">
        <v>62.89</v>
      </c>
      <c r="I10" s="2253">
        <v>62.89</v>
      </c>
    </row>
    <row r="11" spans="2:9" ht="14" x14ac:dyDescent="0.15">
      <c r="B11" s="2251" t="s">
        <v>1521</v>
      </c>
      <c r="C11" s="2252">
        <v>56</v>
      </c>
      <c r="D11" s="2252">
        <v>4</v>
      </c>
      <c r="E11" s="2252">
        <v>1</v>
      </c>
      <c r="F11" s="2251"/>
      <c r="G11" s="2251"/>
      <c r="H11" s="2253">
        <v>62.89</v>
      </c>
      <c r="I11" s="2253">
        <v>62.89</v>
      </c>
    </row>
    <row r="12" spans="2:9" ht="14" x14ac:dyDescent="0.15">
      <c r="B12" s="2251" t="s">
        <v>1522</v>
      </c>
      <c r="C12" s="2252">
        <v>56</v>
      </c>
      <c r="D12" s="2252">
        <v>4</v>
      </c>
      <c r="E12" s="2252">
        <v>1</v>
      </c>
      <c r="F12" s="2252">
        <v>5100000</v>
      </c>
      <c r="G12" s="2251"/>
      <c r="H12" s="2253">
        <v>62.89</v>
      </c>
      <c r="I12" s="2253">
        <v>62.89</v>
      </c>
    </row>
    <row r="13" spans="2:9" ht="42" x14ac:dyDescent="0.15">
      <c r="B13" s="2251" t="s">
        <v>1523</v>
      </c>
      <c r="C13" s="2252">
        <v>56</v>
      </c>
      <c r="D13" s="2252">
        <v>4</v>
      </c>
      <c r="E13" s="2252">
        <v>1</v>
      </c>
      <c r="F13" s="2252">
        <v>5100300</v>
      </c>
      <c r="G13" s="2251"/>
      <c r="H13" s="2253">
        <v>62.89</v>
      </c>
      <c r="I13" s="2253">
        <v>62.89</v>
      </c>
    </row>
    <row r="14" spans="2:9" ht="28" x14ac:dyDescent="0.15">
      <c r="B14" s="2251" t="s">
        <v>1094</v>
      </c>
      <c r="C14" s="2252">
        <v>56</v>
      </c>
      <c r="D14" s="2252">
        <v>4</v>
      </c>
      <c r="E14" s="2252">
        <v>1</v>
      </c>
      <c r="F14" s="2252">
        <v>5100300</v>
      </c>
      <c r="G14" s="2252">
        <v>600</v>
      </c>
      <c r="H14" s="2253">
        <v>62.89</v>
      </c>
      <c r="I14" s="2253">
        <v>62.89</v>
      </c>
    </row>
    <row r="15" spans="2:9" ht="14" x14ac:dyDescent="0.15">
      <c r="B15" s="2252" t="s">
        <v>762</v>
      </c>
      <c r="C15" s="2252">
        <v>56</v>
      </c>
      <c r="D15" s="2252">
        <v>4</v>
      </c>
      <c r="E15" s="2252">
        <v>1</v>
      </c>
      <c r="F15" s="2252">
        <v>5100300</v>
      </c>
      <c r="G15" s="2252">
        <v>610</v>
      </c>
      <c r="H15" s="2253">
        <v>62.89</v>
      </c>
      <c r="I15" s="2253">
        <v>62.89</v>
      </c>
    </row>
    <row r="16" spans="2:9" ht="42" x14ac:dyDescent="0.15">
      <c r="B16" s="2251" t="s">
        <v>1524</v>
      </c>
      <c r="C16" s="2252">
        <v>56</v>
      </c>
      <c r="D16" s="2252">
        <v>4</v>
      </c>
      <c r="E16" s="2252">
        <v>1</v>
      </c>
      <c r="F16" s="2252">
        <v>5100300</v>
      </c>
      <c r="G16" s="2252">
        <v>612</v>
      </c>
      <c r="H16" s="2253">
        <v>62.89</v>
      </c>
      <c r="I16" s="2253">
        <v>62.89</v>
      </c>
    </row>
    <row r="17" spans="2:9" ht="14" x14ac:dyDescent="0.15">
      <c r="B17" s="2251" t="s">
        <v>761</v>
      </c>
      <c r="C17" s="2252">
        <v>56</v>
      </c>
      <c r="D17" s="2252">
        <v>7</v>
      </c>
      <c r="E17" s="2251"/>
      <c r="F17" s="2251"/>
      <c r="G17" s="2251"/>
      <c r="H17" s="2253">
        <v>80</v>
      </c>
      <c r="I17" s="2253">
        <v>157698.5</v>
      </c>
    </row>
    <row r="18" spans="2:9" ht="14" x14ac:dyDescent="0.15">
      <c r="B18" s="2251" t="s">
        <v>1525</v>
      </c>
      <c r="C18" s="2252">
        <v>56</v>
      </c>
      <c r="D18" s="2252">
        <v>7</v>
      </c>
      <c r="E18" s="2252">
        <v>2</v>
      </c>
      <c r="F18" s="2251"/>
      <c r="G18" s="2251"/>
      <c r="H18" s="2253">
        <v>0</v>
      </c>
      <c r="I18" s="2253">
        <v>43606.1</v>
      </c>
    </row>
    <row r="19" spans="2:9" ht="14" x14ac:dyDescent="0.15">
      <c r="B19" s="2251" t="s">
        <v>769</v>
      </c>
      <c r="C19" s="2252">
        <v>56</v>
      </c>
      <c r="D19" s="2252">
        <v>7</v>
      </c>
      <c r="E19" s="2252">
        <v>2</v>
      </c>
      <c r="F19" s="2252">
        <v>4230000</v>
      </c>
      <c r="G19" s="2251"/>
      <c r="H19" s="2253">
        <v>0</v>
      </c>
      <c r="I19" s="2253">
        <v>43606.1</v>
      </c>
    </row>
    <row r="20" spans="2:9" ht="28" x14ac:dyDescent="0.15">
      <c r="B20" s="2251" t="s">
        <v>770</v>
      </c>
      <c r="C20" s="2252">
        <v>56</v>
      </c>
      <c r="D20" s="2252">
        <v>7</v>
      </c>
      <c r="E20" s="2252">
        <v>2</v>
      </c>
      <c r="F20" s="2252">
        <v>4239902</v>
      </c>
      <c r="G20" s="2251"/>
      <c r="H20" s="2253">
        <v>0</v>
      </c>
      <c r="I20" s="2253">
        <v>43606.1</v>
      </c>
    </row>
    <row r="21" spans="2:9" ht="28" x14ac:dyDescent="0.15">
      <c r="B21" s="2251" t="s">
        <v>1094</v>
      </c>
      <c r="C21" s="2252">
        <v>56</v>
      </c>
      <c r="D21" s="2252">
        <v>7</v>
      </c>
      <c r="E21" s="2252">
        <v>2</v>
      </c>
      <c r="F21" s="2252">
        <v>4239902</v>
      </c>
      <c r="G21" s="2252">
        <v>600</v>
      </c>
      <c r="H21" s="2253">
        <v>0</v>
      </c>
      <c r="I21" s="2253">
        <v>43606.1</v>
      </c>
    </row>
    <row r="22" spans="2:9" ht="14" x14ac:dyDescent="0.15">
      <c r="B22" s="2252" t="s">
        <v>762</v>
      </c>
      <c r="C22" s="2252">
        <v>56</v>
      </c>
      <c r="D22" s="2252">
        <v>7</v>
      </c>
      <c r="E22" s="2252">
        <v>2</v>
      </c>
      <c r="F22" s="2252">
        <v>4239902</v>
      </c>
      <c r="G22" s="2252">
        <v>610</v>
      </c>
      <c r="H22" s="2253">
        <v>0</v>
      </c>
      <c r="I22" s="2253">
        <v>43606.1</v>
      </c>
    </row>
    <row r="23" spans="2:9" ht="42" x14ac:dyDescent="0.15">
      <c r="B23" s="2251" t="s">
        <v>1524</v>
      </c>
      <c r="C23" s="2252">
        <v>56</v>
      </c>
      <c r="D23" s="2252">
        <v>7</v>
      </c>
      <c r="E23" s="2252">
        <v>2</v>
      </c>
      <c r="F23" s="2252">
        <v>4239902</v>
      </c>
      <c r="G23" s="2252">
        <v>611</v>
      </c>
      <c r="H23" s="2253">
        <v>0</v>
      </c>
      <c r="I23" s="2253">
        <v>43606.1</v>
      </c>
    </row>
    <row r="24" spans="2:9" ht="14" x14ac:dyDescent="0.15">
      <c r="B24" s="2251" t="s">
        <v>1526</v>
      </c>
      <c r="C24" s="2252">
        <v>56</v>
      </c>
      <c r="D24" s="2252">
        <v>7</v>
      </c>
      <c r="E24" s="2252">
        <v>4</v>
      </c>
      <c r="F24" s="2251"/>
      <c r="G24" s="2251"/>
      <c r="H24" s="2253">
        <v>80</v>
      </c>
      <c r="I24" s="2253">
        <v>109738.2</v>
      </c>
    </row>
    <row r="25" spans="2:9" ht="14" x14ac:dyDescent="0.15">
      <c r="B25" s="2251" t="s">
        <v>1100</v>
      </c>
      <c r="C25" s="2252">
        <v>56</v>
      </c>
      <c r="D25" s="2252">
        <v>7</v>
      </c>
      <c r="E25" s="2252">
        <v>4</v>
      </c>
      <c r="F25" s="2252">
        <v>4270000</v>
      </c>
      <c r="G25" s="2251"/>
      <c r="H25" s="2253">
        <v>80</v>
      </c>
      <c r="I25" s="2253">
        <v>109738.2</v>
      </c>
    </row>
    <row r="26" spans="2:9" ht="42" x14ac:dyDescent="0.15">
      <c r="B26" s="2251" t="s">
        <v>1101</v>
      </c>
      <c r="C26" s="2252">
        <v>56</v>
      </c>
      <c r="D26" s="2252">
        <v>7</v>
      </c>
      <c r="E26" s="2252">
        <v>4</v>
      </c>
      <c r="F26" s="2252">
        <v>4279902</v>
      </c>
      <c r="G26" s="2251"/>
      <c r="H26" s="2253">
        <v>80</v>
      </c>
      <c r="I26" s="2253">
        <v>109738.2</v>
      </c>
    </row>
    <row r="27" spans="2:9" ht="28" x14ac:dyDescent="0.15">
      <c r="B27" s="2251" t="s">
        <v>1094</v>
      </c>
      <c r="C27" s="2252">
        <v>56</v>
      </c>
      <c r="D27" s="2252">
        <v>7</v>
      </c>
      <c r="E27" s="2252">
        <v>4</v>
      </c>
      <c r="F27" s="2252">
        <v>4279902</v>
      </c>
      <c r="G27" s="2252">
        <v>600</v>
      </c>
      <c r="H27" s="2253">
        <v>80</v>
      </c>
      <c r="I27" s="2253">
        <v>109738.2</v>
      </c>
    </row>
    <row r="28" spans="2:9" ht="14" x14ac:dyDescent="0.15">
      <c r="B28" s="2252" t="s">
        <v>762</v>
      </c>
      <c r="C28" s="2252">
        <v>56</v>
      </c>
      <c r="D28" s="2252">
        <v>7</v>
      </c>
      <c r="E28" s="2252">
        <v>4</v>
      </c>
      <c r="F28" s="2252">
        <v>4279902</v>
      </c>
      <c r="G28" s="2252">
        <v>610</v>
      </c>
      <c r="H28" s="2253">
        <v>80</v>
      </c>
      <c r="I28" s="2253">
        <v>109738.2</v>
      </c>
    </row>
    <row r="29" spans="2:9" ht="42" x14ac:dyDescent="0.15">
      <c r="B29" s="2251" t="s">
        <v>1524</v>
      </c>
      <c r="C29" s="2252">
        <v>56</v>
      </c>
      <c r="D29" s="2252">
        <v>7</v>
      </c>
      <c r="E29" s="2252">
        <v>4</v>
      </c>
      <c r="F29" s="2252">
        <v>4279902</v>
      </c>
      <c r="G29" s="2252">
        <v>611</v>
      </c>
      <c r="H29" s="2253">
        <v>0</v>
      </c>
      <c r="I29" s="2253">
        <v>109658.2</v>
      </c>
    </row>
    <row r="30" spans="2:9" ht="14" x14ac:dyDescent="0.15">
      <c r="B30" s="2251" t="s">
        <v>1519</v>
      </c>
      <c r="C30" s="2252">
        <v>56</v>
      </c>
      <c r="D30" s="2252">
        <v>7</v>
      </c>
      <c r="E30" s="2252">
        <v>4</v>
      </c>
      <c r="F30" s="2252">
        <v>4279902</v>
      </c>
      <c r="G30" s="2252">
        <v>612</v>
      </c>
      <c r="H30" s="2253">
        <v>80</v>
      </c>
      <c r="I30" s="2253">
        <v>80</v>
      </c>
    </row>
    <row r="31" spans="2:9" ht="14" x14ac:dyDescent="0.15">
      <c r="B31" s="2251" t="s">
        <v>1527</v>
      </c>
      <c r="C31" s="2252">
        <v>56</v>
      </c>
      <c r="D31" s="2252">
        <v>7</v>
      </c>
      <c r="E31" s="2252">
        <v>5</v>
      </c>
      <c r="F31" s="2251"/>
      <c r="G31" s="2251"/>
      <c r="H31" s="2253">
        <v>0</v>
      </c>
      <c r="I31" s="2253">
        <v>3766.2</v>
      </c>
    </row>
    <row r="32" spans="2:9" ht="14" x14ac:dyDescent="0.15">
      <c r="B32" s="2251" t="s">
        <v>1102</v>
      </c>
      <c r="C32" s="2252">
        <v>56</v>
      </c>
      <c r="D32" s="2252">
        <v>7</v>
      </c>
      <c r="E32" s="2252">
        <v>5</v>
      </c>
      <c r="F32" s="2252">
        <v>4290000</v>
      </c>
      <c r="G32" s="2251"/>
      <c r="H32" s="2253">
        <v>0</v>
      </c>
      <c r="I32" s="2253">
        <v>3766.2</v>
      </c>
    </row>
    <row r="33" spans="2:9" ht="42" x14ac:dyDescent="0.15">
      <c r="B33" s="2251" t="s">
        <v>774</v>
      </c>
      <c r="C33" s="2252">
        <v>56</v>
      </c>
      <c r="D33" s="2252">
        <v>7</v>
      </c>
      <c r="E33" s="2252">
        <v>5</v>
      </c>
      <c r="F33" s="2252">
        <v>4299901</v>
      </c>
      <c r="G33" s="2251"/>
      <c r="H33" s="2253">
        <v>0</v>
      </c>
      <c r="I33" s="2253">
        <v>3766.2</v>
      </c>
    </row>
    <row r="34" spans="2:9" ht="28" x14ac:dyDescent="0.15">
      <c r="B34" s="2251" t="s">
        <v>1094</v>
      </c>
      <c r="C34" s="2252">
        <v>56</v>
      </c>
      <c r="D34" s="2252">
        <v>7</v>
      </c>
      <c r="E34" s="2252">
        <v>5</v>
      </c>
      <c r="F34" s="2252">
        <v>4299901</v>
      </c>
      <c r="G34" s="2252">
        <v>600</v>
      </c>
      <c r="H34" s="2253">
        <v>0</v>
      </c>
      <c r="I34" s="2253">
        <v>3766.2</v>
      </c>
    </row>
    <row r="35" spans="2:9" ht="14" x14ac:dyDescent="0.15">
      <c r="B35" s="2252" t="s">
        <v>762</v>
      </c>
      <c r="C35" s="2252">
        <v>56</v>
      </c>
      <c r="D35" s="2252">
        <v>7</v>
      </c>
      <c r="E35" s="2252">
        <v>5</v>
      </c>
      <c r="F35" s="2252">
        <v>4299901</v>
      </c>
      <c r="G35" s="2252">
        <v>610</v>
      </c>
      <c r="H35" s="2253">
        <v>0</v>
      </c>
      <c r="I35" s="2253">
        <v>3766.2</v>
      </c>
    </row>
    <row r="36" spans="2:9" ht="42" x14ac:dyDescent="0.15">
      <c r="B36" s="2251" t="s">
        <v>1524</v>
      </c>
      <c r="C36" s="2252">
        <v>56</v>
      </c>
      <c r="D36" s="2252">
        <v>7</v>
      </c>
      <c r="E36" s="2252">
        <v>5</v>
      </c>
      <c r="F36" s="2252">
        <v>4299901</v>
      </c>
      <c r="G36" s="2252">
        <v>611</v>
      </c>
      <c r="H36" s="2253">
        <v>0</v>
      </c>
      <c r="I36" s="2253">
        <v>3766.2</v>
      </c>
    </row>
    <row r="37" spans="2:9" ht="14" x14ac:dyDescent="0.15">
      <c r="B37" s="2251" t="s">
        <v>1528</v>
      </c>
      <c r="C37" s="2252">
        <v>56</v>
      </c>
      <c r="D37" s="2252">
        <v>7</v>
      </c>
      <c r="E37" s="2252">
        <v>9</v>
      </c>
      <c r="F37" s="2251"/>
      <c r="G37" s="2251"/>
      <c r="H37" s="2253">
        <v>0</v>
      </c>
      <c r="I37" s="2253">
        <v>588</v>
      </c>
    </row>
    <row r="38" spans="2:9" ht="14" x14ac:dyDescent="0.15">
      <c r="B38" s="2251" t="s">
        <v>1529</v>
      </c>
      <c r="C38" s="2252">
        <v>56</v>
      </c>
      <c r="D38" s="2252">
        <v>7</v>
      </c>
      <c r="E38" s="2252">
        <v>9</v>
      </c>
      <c r="F38" s="2252">
        <v>4360000</v>
      </c>
      <c r="G38" s="2251"/>
      <c r="H38" s="2253">
        <v>0</v>
      </c>
      <c r="I38" s="2253">
        <v>588</v>
      </c>
    </row>
    <row r="39" spans="2:9" ht="14" x14ac:dyDescent="0.15">
      <c r="B39" s="2251" t="s">
        <v>1103</v>
      </c>
      <c r="C39" s="2252">
        <v>56</v>
      </c>
      <c r="D39" s="2252">
        <v>7</v>
      </c>
      <c r="E39" s="2252">
        <v>9</v>
      </c>
      <c r="F39" s="2252">
        <v>4360400</v>
      </c>
      <c r="G39" s="2251"/>
      <c r="H39" s="2253">
        <v>0</v>
      </c>
      <c r="I39" s="2253">
        <v>540</v>
      </c>
    </row>
    <row r="40" spans="2:9" ht="14" x14ac:dyDescent="0.15">
      <c r="B40" s="2251" t="s">
        <v>1530</v>
      </c>
      <c r="C40" s="2252">
        <v>56</v>
      </c>
      <c r="D40" s="2252">
        <v>7</v>
      </c>
      <c r="E40" s="2252">
        <v>9</v>
      </c>
      <c r="F40" s="2252">
        <v>4360400</v>
      </c>
      <c r="G40" s="2252">
        <v>340</v>
      </c>
      <c r="H40" s="2253">
        <v>0</v>
      </c>
      <c r="I40" s="2253">
        <v>540</v>
      </c>
    </row>
    <row r="41" spans="2:9" ht="42" x14ac:dyDescent="0.15">
      <c r="B41" s="2251" t="s">
        <v>1531</v>
      </c>
      <c r="C41" s="2252">
        <v>56</v>
      </c>
      <c r="D41" s="2252">
        <v>7</v>
      </c>
      <c r="E41" s="2252">
        <v>9</v>
      </c>
      <c r="F41" s="2252">
        <v>4369300</v>
      </c>
      <c r="G41" s="2251"/>
      <c r="H41" s="2253">
        <v>0</v>
      </c>
      <c r="I41" s="2253">
        <v>48</v>
      </c>
    </row>
    <row r="42" spans="2:9" ht="14" x14ac:dyDescent="0.15">
      <c r="B42" s="2251" t="s">
        <v>1532</v>
      </c>
      <c r="C42" s="2252">
        <v>56</v>
      </c>
      <c r="D42" s="2252">
        <v>7</v>
      </c>
      <c r="E42" s="2252">
        <v>9</v>
      </c>
      <c r="F42" s="2252">
        <v>4369300</v>
      </c>
      <c r="G42" s="2252">
        <v>350</v>
      </c>
      <c r="H42" s="2253">
        <v>0</v>
      </c>
      <c r="I42" s="2253">
        <v>48</v>
      </c>
    </row>
    <row r="43" spans="2:9" ht="14" x14ac:dyDescent="0.15">
      <c r="B43" s="2251" t="s">
        <v>1104</v>
      </c>
      <c r="C43" s="2252">
        <v>56</v>
      </c>
      <c r="D43" s="2252">
        <v>8</v>
      </c>
      <c r="E43" s="2251"/>
      <c r="F43" s="2251"/>
      <c r="G43" s="2251"/>
      <c r="H43" s="2253">
        <v>10238.431</v>
      </c>
      <c r="I43" s="2253">
        <v>933182.61899999995</v>
      </c>
    </row>
    <row r="44" spans="2:9" ht="14" x14ac:dyDescent="0.15">
      <c r="B44" s="2251" t="s">
        <v>1105</v>
      </c>
      <c r="C44" s="2252">
        <v>56</v>
      </c>
      <c r="D44" s="2252">
        <v>8</v>
      </c>
      <c r="E44" s="2252">
        <v>1</v>
      </c>
      <c r="F44" s="2251"/>
      <c r="G44" s="2251"/>
      <c r="H44" s="2253">
        <v>9688.4310000000005</v>
      </c>
      <c r="I44" s="2253">
        <v>896972.61899999995</v>
      </c>
    </row>
    <row r="45" spans="2:9" ht="42" x14ac:dyDescent="0.15">
      <c r="B45" s="2251" t="s">
        <v>509</v>
      </c>
      <c r="C45" s="2252">
        <v>56</v>
      </c>
      <c r="D45" s="2252">
        <v>8</v>
      </c>
      <c r="E45" s="2252">
        <v>1</v>
      </c>
      <c r="F45" s="2252">
        <v>15300</v>
      </c>
      <c r="G45" s="2251"/>
      <c r="H45" s="2253">
        <v>0</v>
      </c>
      <c r="I45" s="2253">
        <v>3946.5</v>
      </c>
    </row>
    <row r="46" spans="2:9" ht="14" x14ac:dyDescent="0.15">
      <c r="B46" s="2251" t="s">
        <v>1518</v>
      </c>
      <c r="C46" s="2252">
        <v>56</v>
      </c>
      <c r="D46" s="2252">
        <v>8</v>
      </c>
      <c r="E46" s="2252">
        <v>1</v>
      </c>
      <c r="F46" s="2252">
        <v>15300</v>
      </c>
      <c r="G46" s="2252">
        <v>12</v>
      </c>
      <c r="H46" s="2253">
        <v>0</v>
      </c>
      <c r="I46" s="2253">
        <v>3946.5</v>
      </c>
    </row>
    <row r="47" spans="2:9" ht="28" x14ac:dyDescent="0.15">
      <c r="B47" s="2251" t="s">
        <v>1533</v>
      </c>
      <c r="C47" s="2252">
        <v>56</v>
      </c>
      <c r="D47" s="2252">
        <v>8</v>
      </c>
      <c r="E47" s="2252">
        <v>1</v>
      </c>
      <c r="F47" s="2252">
        <v>4400000</v>
      </c>
      <c r="G47" s="2251"/>
      <c r="H47" s="2253">
        <v>-14342.119000000001</v>
      </c>
      <c r="I47" s="2253">
        <v>148962.927</v>
      </c>
    </row>
    <row r="48" spans="2:9" ht="14" x14ac:dyDescent="0.15">
      <c r="B48" s="2251" t="s">
        <v>1107</v>
      </c>
      <c r="C48" s="2252">
        <v>56</v>
      </c>
      <c r="D48" s="2252">
        <v>8</v>
      </c>
      <c r="E48" s="2252">
        <v>1</v>
      </c>
      <c r="F48" s="2252">
        <v>4400100</v>
      </c>
      <c r="G48" s="2251"/>
      <c r="H48" s="2253">
        <v>-15783.269</v>
      </c>
      <c r="I48" s="2253">
        <v>23218.719000000001</v>
      </c>
    </row>
    <row r="49" spans="2:9" ht="14" x14ac:dyDescent="0.15">
      <c r="B49" s="2251" t="s">
        <v>1114</v>
      </c>
      <c r="C49" s="2252">
        <v>56</v>
      </c>
      <c r="D49" s="2252">
        <v>8</v>
      </c>
      <c r="E49" s="2252">
        <v>1</v>
      </c>
      <c r="F49" s="2252">
        <v>4400100</v>
      </c>
      <c r="G49" s="2252">
        <v>800</v>
      </c>
      <c r="H49" s="2253">
        <v>-15783.269</v>
      </c>
      <c r="I49" s="2253">
        <v>23218.719000000001</v>
      </c>
    </row>
    <row r="50" spans="2:9" ht="14" x14ac:dyDescent="0.15">
      <c r="B50" s="2251" t="s">
        <v>781</v>
      </c>
      <c r="C50" s="2252">
        <v>56</v>
      </c>
      <c r="D50" s="2252">
        <v>8</v>
      </c>
      <c r="E50" s="2252">
        <v>1</v>
      </c>
      <c r="F50" s="2252">
        <v>4400100</v>
      </c>
      <c r="G50" s="2252">
        <v>880</v>
      </c>
      <c r="H50" s="2253">
        <v>-15783.269</v>
      </c>
      <c r="I50" s="2253">
        <v>23218.719000000001</v>
      </c>
    </row>
    <row r="51" spans="2:9" ht="14" x14ac:dyDescent="0.15">
      <c r="B51" s="2251" t="s">
        <v>783</v>
      </c>
      <c r="C51" s="2252">
        <v>56</v>
      </c>
      <c r="D51" s="2252">
        <v>8</v>
      </c>
      <c r="E51" s="2252">
        <v>1</v>
      </c>
      <c r="F51" s="2252">
        <v>4400500</v>
      </c>
      <c r="G51" s="2251"/>
      <c r="H51" s="2253">
        <v>0</v>
      </c>
      <c r="I51" s="2253">
        <v>9342.7999999999993</v>
      </c>
    </row>
    <row r="52" spans="2:9" ht="28" x14ac:dyDescent="0.15">
      <c r="B52" s="2251" t="s">
        <v>1094</v>
      </c>
      <c r="C52" s="2252">
        <v>56</v>
      </c>
      <c r="D52" s="2252">
        <v>8</v>
      </c>
      <c r="E52" s="2252">
        <v>1</v>
      </c>
      <c r="F52" s="2252">
        <v>4400500</v>
      </c>
      <c r="G52" s="2252">
        <v>600</v>
      </c>
      <c r="H52" s="2253">
        <v>0</v>
      </c>
      <c r="I52" s="2253">
        <v>9342.7999999999993</v>
      </c>
    </row>
    <row r="53" spans="2:9" ht="28" x14ac:dyDescent="0.15">
      <c r="B53" s="2251" t="s">
        <v>785</v>
      </c>
      <c r="C53" s="2252">
        <v>56</v>
      </c>
      <c r="D53" s="2252">
        <v>8</v>
      </c>
      <c r="E53" s="2252">
        <v>1</v>
      </c>
      <c r="F53" s="2252">
        <v>4400500</v>
      </c>
      <c r="G53" s="2252">
        <v>630</v>
      </c>
      <c r="H53" s="2253">
        <v>0</v>
      </c>
      <c r="I53" s="2253">
        <v>9342.7999999999993</v>
      </c>
    </row>
    <row r="54" spans="2:9" ht="14" x14ac:dyDescent="0.15">
      <c r="B54" s="2251" t="s">
        <v>1108</v>
      </c>
      <c r="C54" s="2252">
        <v>56</v>
      </c>
      <c r="D54" s="2252">
        <v>8</v>
      </c>
      <c r="E54" s="2252">
        <v>1</v>
      </c>
      <c r="F54" s="2252">
        <v>4409900</v>
      </c>
      <c r="G54" s="2251"/>
      <c r="H54" s="2253">
        <v>385.85</v>
      </c>
      <c r="I54" s="2253">
        <v>37614.949999999997</v>
      </c>
    </row>
    <row r="55" spans="2:9" ht="28" x14ac:dyDescent="0.15">
      <c r="B55" s="2251" t="s">
        <v>1094</v>
      </c>
      <c r="C55" s="2252">
        <v>56</v>
      </c>
      <c r="D55" s="2252">
        <v>8</v>
      </c>
      <c r="E55" s="2252">
        <v>1</v>
      </c>
      <c r="F55" s="2252">
        <v>4409900</v>
      </c>
      <c r="G55" s="2252">
        <v>600</v>
      </c>
      <c r="H55" s="2253">
        <v>385.85</v>
      </c>
      <c r="I55" s="2253">
        <v>37614.949999999997</v>
      </c>
    </row>
    <row r="56" spans="2:9" ht="14" x14ac:dyDescent="0.15">
      <c r="B56" s="2252" t="s">
        <v>762</v>
      </c>
      <c r="C56" s="2252">
        <v>56</v>
      </c>
      <c r="D56" s="2252">
        <v>8</v>
      </c>
      <c r="E56" s="2252">
        <v>1</v>
      </c>
      <c r="F56" s="2252">
        <v>4409900</v>
      </c>
      <c r="G56" s="2252">
        <v>610</v>
      </c>
      <c r="H56" s="2253">
        <v>385.85</v>
      </c>
      <c r="I56" s="2253">
        <v>37614.949999999997</v>
      </c>
    </row>
    <row r="57" spans="2:9" ht="42" x14ac:dyDescent="0.15">
      <c r="B57" s="2251" t="s">
        <v>1524</v>
      </c>
      <c r="C57" s="2252">
        <v>56</v>
      </c>
      <c r="D57" s="2252">
        <v>8</v>
      </c>
      <c r="E57" s="2252">
        <v>1</v>
      </c>
      <c r="F57" s="2252">
        <v>4409900</v>
      </c>
      <c r="G57" s="2252">
        <v>611</v>
      </c>
      <c r="H57" s="2253">
        <v>0</v>
      </c>
      <c r="I57" s="2253">
        <v>13251.8</v>
      </c>
    </row>
    <row r="58" spans="2:9" ht="14" x14ac:dyDescent="0.15">
      <c r="B58" s="2251" t="s">
        <v>1519</v>
      </c>
      <c r="C58" s="2252">
        <v>56</v>
      </c>
      <c r="D58" s="2252">
        <v>8</v>
      </c>
      <c r="E58" s="2252">
        <v>1</v>
      </c>
      <c r="F58" s="2252">
        <v>4409900</v>
      </c>
      <c r="G58" s="2252">
        <v>612</v>
      </c>
      <c r="H58" s="2253">
        <v>385.85</v>
      </c>
      <c r="I58" s="2253">
        <v>24363.15</v>
      </c>
    </row>
    <row r="59" spans="2:9" ht="56" x14ac:dyDescent="0.15">
      <c r="B59" s="2251" t="s">
        <v>788</v>
      </c>
      <c r="C59" s="2252">
        <v>56</v>
      </c>
      <c r="D59" s="2252">
        <v>8</v>
      </c>
      <c r="E59" s="2252">
        <v>1</v>
      </c>
      <c r="F59" s="2252">
        <v>4409901</v>
      </c>
      <c r="G59" s="2251"/>
      <c r="H59" s="2253">
        <v>1055.3</v>
      </c>
      <c r="I59" s="2253">
        <v>63227.158000000003</v>
      </c>
    </row>
    <row r="60" spans="2:9" ht="28" x14ac:dyDescent="0.15">
      <c r="B60" s="2251" t="s">
        <v>1094</v>
      </c>
      <c r="C60" s="2252">
        <v>56</v>
      </c>
      <c r="D60" s="2252">
        <v>8</v>
      </c>
      <c r="E60" s="2252">
        <v>1</v>
      </c>
      <c r="F60" s="2252">
        <v>4409901</v>
      </c>
      <c r="G60" s="2252">
        <v>600</v>
      </c>
      <c r="H60" s="2253">
        <v>1055.3</v>
      </c>
      <c r="I60" s="2253">
        <v>63227.158000000003</v>
      </c>
    </row>
    <row r="61" spans="2:9" ht="14" x14ac:dyDescent="0.15">
      <c r="B61" s="2252" t="s">
        <v>762</v>
      </c>
      <c r="C61" s="2252">
        <v>56</v>
      </c>
      <c r="D61" s="2252">
        <v>8</v>
      </c>
      <c r="E61" s="2252">
        <v>1</v>
      </c>
      <c r="F61" s="2252">
        <v>4409901</v>
      </c>
      <c r="G61" s="2252">
        <v>610</v>
      </c>
      <c r="H61" s="2253">
        <v>1055.3</v>
      </c>
      <c r="I61" s="2253">
        <v>63227.158000000003</v>
      </c>
    </row>
    <row r="62" spans="2:9" ht="42" x14ac:dyDescent="0.15">
      <c r="B62" s="2251" t="s">
        <v>1524</v>
      </c>
      <c r="C62" s="2252">
        <v>56</v>
      </c>
      <c r="D62" s="2252">
        <v>8</v>
      </c>
      <c r="E62" s="2252">
        <v>1</v>
      </c>
      <c r="F62" s="2252">
        <v>4409901</v>
      </c>
      <c r="G62" s="2252">
        <v>611</v>
      </c>
      <c r="H62" s="2253">
        <v>0</v>
      </c>
      <c r="I62" s="2253">
        <v>62171.858</v>
      </c>
    </row>
    <row r="63" spans="2:9" ht="14" x14ac:dyDescent="0.15">
      <c r="B63" s="2251" t="s">
        <v>1519</v>
      </c>
      <c r="C63" s="2252">
        <v>56</v>
      </c>
      <c r="D63" s="2252">
        <v>8</v>
      </c>
      <c r="E63" s="2252">
        <v>1</v>
      </c>
      <c r="F63" s="2252">
        <v>4409901</v>
      </c>
      <c r="G63" s="2252">
        <v>612</v>
      </c>
      <c r="H63" s="2253">
        <v>1055.3</v>
      </c>
      <c r="I63" s="2253">
        <v>1055.3</v>
      </c>
    </row>
    <row r="64" spans="2:9" ht="28" x14ac:dyDescent="0.15">
      <c r="B64" s="2251" t="s">
        <v>789</v>
      </c>
      <c r="C64" s="2252">
        <v>56</v>
      </c>
      <c r="D64" s="2252">
        <v>8</v>
      </c>
      <c r="E64" s="2252">
        <v>1</v>
      </c>
      <c r="F64" s="2252">
        <v>4409902</v>
      </c>
      <c r="G64" s="2251"/>
      <c r="H64" s="2253">
        <v>0</v>
      </c>
      <c r="I64" s="2253">
        <v>15559.3</v>
      </c>
    </row>
    <row r="65" spans="2:9" ht="28" x14ac:dyDescent="0.15">
      <c r="B65" s="2251" t="s">
        <v>1094</v>
      </c>
      <c r="C65" s="2252">
        <v>56</v>
      </c>
      <c r="D65" s="2252">
        <v>8</v>
      </c>
      <c r="E65" s="2252">
        <v>1</v>
      </c>
      <c r="F65" s="2252">
        <v>4409902</v>
      </c>
      <c r="G65" s="2252">
        <v>600</v>
      </c>
      <c r="H65" s="2253">
        <v>0</v>
      </c>
      <c r="I65" s="2253">
        <v>15559.3</v>
      </c>
    </row>
    <row r="66" spans="2:9" ht="14" x14ac:dyDescent="0.15">
      <c r="B66" s="2252" t="s">
        <v>762</v>
      </c>
      <c r="C66" s="2252">
        <v>56</v>
      </c>
      <c r="D66" s="2252">
        <v>8</v>
      </c>
      <c r="E66" s="2252">
        <v>1</v>
      </c>
      <c r="F66" s="2252">
        <v>4409902</v>
      </c>
      <c r="G66" s="2252">
        <v>610</v>
      </c>
      <c r="H66" s="2253">
        <v>0</v>
      </c>
      <c r="I66" s="2253">
        <v>15559.3</v>
      </c>
    </row>
    <row r="67" spans="2:9" ht="42" x14ac:dyDescent="0.15">
      <c r="B67" s="2251" t="s">
        <v>1524</v>
      </c>
      <c r="C67" s="2252">
        <v>56</v>
      </c>
      <c r="D67" s="2252">
        <v>8</v>
      </c>
      <c r="E67" s="2252">
        <v>1</v>
      </c>
      <c r="F67" s="2252">
        <v>4409902</v>
      </c>
      <c r="G67" s="2252">
        <v>611</v>
      </c>
      <c r="H67" s="2253">
        <v>0</v>
      </c>
      <c r="I67" s="2253">
        <v>13845.3</v>
      </c>
    </row>
    <row r="68" spans="2:9" ht="14" x14ac:dyDescent="0.15">
      <c r="B68" s="2251" t="s">
        <v>1519</v>
      </c>
      <c r="C68" s="2252">
        <v>56</v>
      </c>
      <c r="D68" s="2252">
        <v>8</v>
      </c>
      <c r="E68" s="2252">
        <v>1</v>
      </c>
      <c r="F68" s="2252">
        <v>4409902</v>
      </c>
      <c r="G68" s="2252">
        <v>612</v>
      </c>
      <c r="H68" s="2253">
        <v>0</v>
      </c>
      <c r="I68" s="2253">
        <v>1714</v>
      </c>
    </row>
    <row r="69" spans="2:9" ht="14" x14ac:dyDescent="0.15">
      <c r="B69" s="2251" t="s">
        <v>791</v>
      </c>
      <c r="C69" s="2252">
        <v>56</v>
      </c>
      <c r="D69" s="2252">
        <v>8</v>
      </c>
      <c r="E69" s="2252">
        <v>1</v>
      </c>
      <c r="F69" s="2252">
        <v>4410000</v>
      </c>
      <c r="G69" s="2251"/>
      <c r="H69" s="2253">
        <v>2150</v>
      </c>
      <c r="I69" s="2253">
        <v>144918.79999999999</v>
      </c>
    </row>
    <row r="70" spans="2:9" ht="28" x14ac:dyDescent="0.15">
      <c r="B70" s="2251" t="s">
        <v>792</v>
      </c>
      <c r="C70" s="2252">
        <v>56</v>
      </c>
      <c r="D70" s="2252">
        <v>8</v>
      </c>
      <c r="E70" s="2252">
        <v>1</v>
      </c>
      <c r="F70" s="2252">
        <v>4419900</v>
      </c>
      <c r="G70" s="2251"/>
      <c r="H70" s="2253">
        <v>2150</v>
      </c>
      <c r="I70" s="2253">
        <v>144918.79999999999</v>
      </c>
    </row>
    <row r="71" spans="2:9" ht="28" x14ac:dyDescent="0.15">
      <c r="B71" s="2251" t="s">
        <v>1094</v>
      </c>
      <c r="C71" s="2252">
        <v>56</v>
      </c>
      <c r="D71" s="2252">
        <v>8</v>
      </c>
      <c r="E71" s="2252">
        <v>1</v>
      </c>
      <c r="F71" s="2252">
        <v>4419900</v>
      </c>
      <c r="G71" s="2252">
        <v>600</v>
      </c>
      <c r="H71" s="2253">
        <v>2150</v>
      </c>
      <c r="I71" s="2253">
        <v>144918.79999999999</v>
      </c>
    </row>
    <row r="72" spans="2:9" ht="14" x14ac:dyDescent="0.15">
      <c r="B72" s="2252" t="s">
        <v>762</v>
      </c>
      <c r="C72" s="2252">
        <v>56</v>
      </c>
      <c r="D72" s="2252">
        <v>8</v>
      </c>
      <c r="E72" s="2252">
        <v>1</v>
      </c>
      <c r="F72" s="2252">
        <v>4419900</v>
      </c>
      <c r="G72" s="2252">
        <v>610</v>
      </c>
      <c r="H72" s="2253">
        <v>2150</v>
      </c>
      <c r="I72" s="2253">
        <v>144918.79999999999</v>
      </c>
    </row>
    <row r="73" spans="2:9" ht="42" x14ac:dyDescent="0.15">
      <c r="B73" s="2251" t="s">
        <v>1524</v>
      </c>
      <c r="C73" s="2252">
        <v>56</v>
      </c>
      <c r="D73" s="2252">
        <v>8</v>
      </c>
      <c r="E73" s="2252">
        <v>1</v>
      </c>
      <c r="F73" s="2252">
        <v>4419900</v>
      </c>
      <c r="G73" s="2252">
        <v>611</v>
      </c>
      <c r="H73" s="2253">
        <v>1100</v>
      </c>
      <c r="I73" s="2253">
        <v>103198.8</v>
      </c>
    </row>
    <row r="74" spans="2:9" ht="14" x14ac:dyDescent="0.15">
      <c r="B74" s="2251" t="s">
        <v>1519</v>
      </c>
      <c r="C74" s="2252">
        <v>56</v>
      </c>
      <c r="D74" s="2252">
        <v>8</v>
      </c>
      <c r="E74" s="2252">
        <v>1</v>
      </c>
      <c r="F74" s="2252">
        <v>4419900</v>
      </c>
      <c r="G74" s="2252">
        <v>612</v>
      </c>
      <c r="H74" s="2253">
        <v>1050</v>
      </c>
      <c r="I74" s="2253">
        <v>41720</v>
      </c>
    </row>
    <row r="75" spans="2:9" ht="14" x14ac:dyDescent="0.15">
      <c r="B75" s="2251" t="s">
        <v>793</v>
      </c>
      <c r="C75" s="2252">
        <v>56</v>
      </c>
      <c r="D75" s="2252">
        <v>8</v>
      </c>
      <c r="E75" s="2252">
        <v>1</v>
      </c>
      <c r="F75" s="2252">
        <v>4420000</v>
      </c>
      <c r="G75" s="2251"/>
      <c r="H75" s="2253">
        <v>-700</v>
      </c>
      <c r="I75" s="2253">
        <v>57689</v>
      </c>
    </row>
    <row r="76" spans="2:9" ht="28" x14ac:dyDescent="0.15">
      <c r="B76" s="2251" t="s">
        <v>794</v>
      </c>
      <c r="C76" s="2252">
        <v>56</v>
      </c>
      <c r="D76" s="2252">
        <v>8</v>
      </c>
      <c r="E76" s="2252">
        <v>1</v>
      </c>
      <c r="F76" s="2252">
        <v>4429900</v>
      </c>
      <c r="G76" s="2251"/>
      <c r="H76" s="2253">
        <v>-700</v>
      </c>
      <c r="I76" s="2253">
        <v>57689</v>
      </c>
    </row>
    <row r="77" spans="2:9" ht="28" x14ac:dyDescent="0.15">
      <c r="B77" s="2251" t="s">
        <v>1094</v>
      </c>
      <c r="C77" s="2252">
        <v>56</v>
      </c>
      <c r="D77" s="2252">
        <v>8</v>
      </c>
      <c r="E77" s="2252">
        <v>1</v>
      </c>
      <c r="F77" s="2252">
        <v>4429900</v>
      </c>
      <c r="G77" s="2252">
        <v>600</v>
      </c>
      <c r="H77" s="2253">
        <v>-700</v>
      </c>
      <c r="I77" s="2253">
        <v>57689</v>
      </c>
    </row>
    <row r="78" spans="2:9" ht="14" x14ac:dyDescent="0.15">
      <c r="B78" s="2252" t="s">
        <v>762</v>
      </c>
      <c r="C78" s="2252">
        <v>56</v>
      </c>
      <c r="D78" s="2252">
        <v>8</v>
      </c>
      <c r="E78" s="2252">
        <v>1</v>
      </c>
      <c r="F78" s="2252">
        <v>4429900</v>
      </c>
      <c r="G78" s="2252">
        <v>610</v>
      </c>
      <c r="H78" s="2253">
        <v>-700</v>
      </c>
      <c r="I78" s="2253">
        <v>57689</v>
      </c>
    </row>
    <row r="79" spans="2:9" ht="42" x14ac:dyDescent="0.15">
      <c r="B79" s="2251" t="s">
        <v>1524</v>
      </c>
      <c r="C79" s="2252">
        <v>56</v>
      </c>
      <c r="D79" s="2252">
        <v>8</v>
      </c>
      <c r="E79" s="2252">
        <v>1</v>
      </c>
      <c r="F79" s="2252">
        <v>4429900</v>
      </c>
      <c r="G79" s="2252">
        <v>611</v>
      </c>
      <c r="H79" s="2253">
        <v>-1000</v>
      </c>
      <c r="I79" s="2253">
        <v>57389</v>
      </c>
    </row>
    <row r="80" spans="2:9" ht="14" x14ac:dyDescent="0.15">
      <c r="B80" s="2251" t="s">
        <v>1519</v>
      </c>
      <c r="C80" s="2252">
        <v>56</v>
      </c>
      <c r="D80" s="2252">
        <v>8</v>
      </c>
      <c r="E80" s="2252">
        <v>1</v>
      </c>
      <c r="F80" s="2252">
        <v>4429900</v>
      </c>
      <c r="G80" s="2252">
        <v>612</v>
      </c>
      <c r="H80" s="2253">
        <v>300</v>
      </c>
      <c r="I80" s="2253">
        <v>300</v>
      </c>
    </row>
    <row r="81" spans="2:9" ht="28" x14ac:dyDescent="0.15">
      <c r="B81" s="2251" t="s">
        <v>795</v>
      </c>
      <c r="C81" s="2252">
        <v>56</v>
      </c>
      <c r="D81" s="2252">
        <v>8</v>
      </c>
      <c r="E81" s="2252">
        <v>1</v>
      </c>
      <c r="F81" s="2252">
        <v>4430000</v>
      </c>
      <c r="G81" s="2251"/>
      <c r="H81" s="2253">
        <v>22580.55</v>
      </c>
      <c r="I81" s="2253">
        <v>541455.39199999999</v>
      </c>
    </row>
    <row r="82" spans="2:9" ht="42" x14ac:dyDescent="0.15">
      <c r="B82" s="2251" t="s">
        <v>796</v>
      </c>
      <c r="C82" s="2252">
        <v>56</v>
      </c>
      <c r="D82" s="2252">
        <v>8</v>
      </c>
      <c r="E82" s="2252">
        <v>1</v>
      </c>
      <c r="F82" s="2252">
        <v>4439900</v>
      </c>
      <c r="G82" s="2251"/>
      <c r="H82" s="2253">
        <v>22580.55</v>
      </c>
      <c r="I82" s="2253">
        <v>541455.39199999999</v>
      </c>
    </row>
    <row r="83" spans="2:9" ht="28" x14ac:dyDescent="0.15">
      <c r="B83" s="2251" t="s">
        <v>1094</v>
      </c>
      <c r="C83" s="2252">
        <v>56</v>
      </c>
      <c r="D83" s="2252">
        <v>8</v>
      </c>
      <c r="E83" s="2252">
        <v>1</v>
      </c>
      <c r="F83" s="2252">
        <v>4439900</v>
      </c>
      <c r="G83" s="2252">
        <v>600</v>
      </c>
      <c r="H83" s="2253">
        <v>22580.55</v>
      </c>
      <c r="I83" s="2253">
        <v>541455.39199999999</v>
      </c>
    </row>
    <row r="84" spans="2:9" ht="14" x14ac:dyDescent="0.15">
      <c r="B84" s="2252" t="s">
        <v>762</v>
      </c>
      <c r="C84" s="2252">
        <v>56</v>
      </c>
      <c r="D84" s="2252">
        <v>8</v>
      </c>
      <c r="E84" s="2252">
        <v>1</v>
      </c>
      <c r="F84" s="2252">
        <v>4439900</v>
      </c>
      <c r="G84" s="2252">
        <v>610</v>
      </c>
      <c r="H84" s="2253">
        <v>22580.55</v>
      </c>
      <c r="I84" s="2253">
        <v>541455.39199999999</v>
      </c>
    </row>
    <row r="85" spans="2:9" ht="42" x14ac:dyDescent="0.15">
      <c r="B85" s="2251" t="s">
        <v>1524</v>
      </c>
      <c r="C85" s="2252">
        <v>56</v>
      </c>
      <c r="D85" s="2252">
        <v>8</v>
      </c>
      <c r="E85" s="2252">
        <v>1</v>
      </c>
      <c r="F85" s="2252">
        <v>4439900</v>
      </c>
      <c r="G85" s="2252">
        <v>611</v>
      </c>
      <c r="H85" s="2253">
        <v>-200</v>
      </c>
      <c r="I85" s="2253">
        <v>507106.74200000003</v>
      </c>
    </row>
    <row r="86" spans="2:9" ht="14" x14ac:dyDescent="0.15">
      <c r="B86" s="2251" t="s">
        <v>1519</v>
      </c>
      <c r="C86" s="2252">
        <v>56</v>
      </c>
      <c r="D86" s="2252">
        <v>8</v>
      </c>
      <c r="E86" s="2252">
        <v>1</v>
      </c>
      <c r="F86" s="2252">
        <v>4439900</v>
      </c>
      <c r="G86" s="2252">
        <v>612</v>
      </c>
      <c r="H86" s="2253">
        <v>22780.55</v>
      </c>
      <c r="I86" s="2253">
        <v>34348.65</v>
      </c>
    </row>
    <row r="87" spans="2:9" ht="14" x14ac:dyDescent="0.15">
      <c r="B87" s="2251" t="s">
        <v>1112</v>
      </c>
      <c r="C87" s="2252">
        <v>56</v>
      </c>
      <c r="D87" s="2252">
        <v>8</v>
      </c>
      <c r="E87" s="2252">
        <v>4</v>
      </c>
      <c r="F87" s="2251"/>
      <c r="G87" s="2251"/>
      <c r="H87" s="2253">
        <v>550</v>
      </c>
      <c r="I87" s="2253">
        <v>36210</v>
      </c>
    </row>
    <row r="88" spans="2:9" ht="42" x14ac:dyDescent="0.15">
      <c r="B88" s="2251" t="s">
        <v>1534</v>
      </c>
      <c r="C88" s="2252">
        <v>56</v>
      </c>
      <c r="D88" s="2252">
        <v>8</v>
      </c>
      <c r="E88" s="2252">
        <v>4</v>
      </c>
      <c r="F88" s="2252">
        <v>20000</v>
      </c>
      <c r="G88" s="2251"/>
      <c r="H88" s="2253">
        <v>550</v>
      </c>
      <c r="I88" s="2253">
        <v>36210</v>
      </c>
    </row>
    <row r="89" spans="2:9" ht="14" x14ac:dyDescent="0.15">
      <c r="B89" s="2251" t="s">
        <v>1113</v>
      </c>
      <c r="C89" s="2252">
        <v>56</v>
      </c>
      <c r="D89" s="2252">
        <v>8</v>
      </c>
      <c r="E89" s="2252">
        <v>4</v>
      </c>
      <c r="F89" s="2252">
        <v>20400</v>
      </c>
      <c r="G89" s="2251"/>
      <c r="H89" s="2253">
        <v>550</v>
      </c>
      <c r="I89" s="2253">
        <v>36210</v>
      </c>
    </row>
    <row r="90" spans="2:9" ht="14" x14ac:dyDescent="0.15">
      <c r="B90" s="2251" t="s">
        <v>1518</v>
      </c>
      <c r="C90" s="2252">
        <v>56</v>
      </c>
      <c r="D90" s="2252">
        <v>8</v>
      </c>
      <c r="E90" s="2252">
        <v>4</v>
      </c>
      <c r="F90" s="2252">
        <v>20400</v>
      </c>
      <c r="G90" s="2252">
        <v>12</v>
      </c>
      <c r="H90" s="2253">
        <v>550</v>
      </c>
      <c r="I90" s="2253">
        <v>36210</v>
      </c>
    </row>
    <row r="91" spans="2:9" ht="14" x14ac:dyDescent="0.15">
      <c r="B91" s="2251" t="s">
        <v>1116</v>
      </c>
      <c r="C91" s="2252">
        <v>56</v>
      </c>
      <c r="D91" s="2252">
        <v>10</v>
      </c>
      <c r="E91" s="2251"/>
      <c r="F91" s="2251"/>
      <c r="G91" s="2251"/>
      <c r="H91" s="2253">
        <v>100</v>
      </c>
      <c r="I91" s="2253">
        <v>311</v>
      </c>
    </row>
    <row r="92" spans="2:9" ht="14" x14ac:dyDescent="0.15">
      <c r="B92" s="2251" t="s">
        <v>1535</v>
      </c>
      <c r="C92" s="2252">
        <v>56</v>
      </c>
      <c r="D92" s="2252">
        <v>10</v>
      </c>
      <c r="E92" s="2252">
        <v>3</v>
      </c>
      <c r="F92" s="2251"/>
      <c r="G92" s="2251"/>
      <c r="H92" s="2253">
        <v>100</v>
      </c>
      <c r="I92" s="2253">
        <v>100</v>
      </c>
    </row>
    <row r="93" spans="2:9" ht="14" x14ac:dyDescent="0.15">
      <c r="B93" s="2251" t="s">
        <v>1536</v>
      </c>
      <c r="C93" s="2252">
        <v>56</v>
      </c>
      <c r="D93" s="2252">
        <v>10</v>
      </c>
      <c r="E93" s="2252">
        <v>3</v>
      </c>
      <c r="F93" s="2252">
        <v>5058600</v>
      </c>
      <c r="G93" s="2251"/>
      <c r="H93" s="2253">
        <v>100</v>
      </c>
      <c r="I93" s="2253">
        <v>100</v>
      </c>
    </row>
    <row r="94" spans="2:9" ht="14" x14ac:dyDescent="0.15">
      <c r="B94" s="2251" t="s">
        <v>35</v>
      </c>
      <c r="C94" s="2252">
        <v>56</v>
      </c>
      <c r="D94" s="2252">
        <v>10</v>
      </c>
      <c r="E94" s="2252">
        <v>3</v>
      </c>
      <c r="F94" s="2252">
        <v>5058600</v>
      </c>
      <c r="G94" s="2252">
        <v>323</v>
      </c>
      <c r="H94" s="2253">
        <v>100</v>
      </c>
      <c r="I94" s="2253">
        <v>100</v>
      </c>
    </row>
    <row r="95" spans="2:9" ht="14" x14ac:dyDescent="0.15">
      <c r="B95" s="2251" t="s">
        <v>1117</v>
      </c>
      <c r="C95" s="2252">
        <v>56</v>
      </c>
      <c r="D95" s="2252">
        <v>10</v>
      </c>
      <c r="E95" s="2252">
        <v>4</v>
      </c>
      <c r="F95" s="2251"/>
      <c r="G95" s="2251"/>
      <c r="H95" s="2253">
        <v>0</v>
      </c>
      <c r="I95" s="2253">
        <v>211</v>
      </c>
    </row>
    <row r="96" spans="2:9" ht="14" x14ac:dyDescent="0.15">
      <c r="B96" s="2251" t="s">
        <v>1118</v>
      </c>
      <c r="C96" s="2252">
        <v>56</v>
      </c>
      <c r="D96" s="2252">
        <v>10</v>
      </c>
      <c r="E96" s="2252">
        <v>4</v>
      </c>
      <c r="F96" s="2252">
        <v>5200000</v>
      </c>
      <c r="G96" s="2251"/>
      <c r="H96" s="2253">
        <v>0</v>
      </c>
      <c r="I96" s="2253">
        <v>211</v>
      </c>
    </row>
    <row r="97" spans="2:9" ht="39" x14ac:dyDescent="0.15">
      <c r="B97" s="1266" t="s">
        <v>1119</v>
      </c>
      <c r="C97" s="2252">
        <v>56</v>
      </c>
      <c r="D97" s="2252">
        <v>10</v>
      </c>
      <c r="E97" s="2252">
        <v>4</v>
      </c>
      <c r="F97" s="2252">
        <v>5205500</v>
      </c>
      <c r="G97" s="2251"/>
      <c r="H97" s="2253">
        <v>0</v>
      </c>
      <c r="I97" s="2253">
        <v>211</v>
      </c>
    </row>
    <row r="98" spans="2:9" ht="14" x14ac:dyDescent="0.15">
      <c r="B98" s="2251" t="s">
        <v>36</v>
      </c>
      <c r="C98" s="2252">
        <v>56</v>
      </c>
      <c r="D98" s="2252">
        <v>10</v>
      </c>
      <c r="E98" s="2252">
        <v>4</v>
      </c>
      <c r="F98" s="2252">
        <v>5205501</v>
      </c>
      <c r="G98" s="2251"/>
      <c r="H98" s="2253">
        <v>0</v>
      </c>
      <c r="I98" s="2253">
        <v>211</v>
      </c>
    </row>
    <row r="99" spans="2:9" ht="28" x14ac:dyDescent="0.15">
      <c r="B99" s="2251" t="s">
        <v>1537</v>
      </c>
      <c r="C99" s="2252">
        <v>56</v>
      </c>
      <c r="D99" s="2252">
        <v>10</v>
      </c>
      <c r="E99" s="2252">
        <v>4</v>
      </c>
      <c r="F99" s="2252">
        <v>5205501</v>
      </c>
      <c r="G99" s="2252">
        <v>314</v>
      </c>
      <c r="H99" s="2253">
        <v>0</v>
      </c>
      <c r="I99" s="2253">
        <v>211</v>
      </c>
    </row>
  </sheetData>
  <hyperlinks>
    <hyperlink ref="B7" r:id="rId1" display="consultantplus://offline/ref=C8939803C73ED29C2926F7C931923AE8DFE8239D76CC76F3B4FE45C696B323BEBD45CCE5F35FA8052BEEC6Y5kEL"/>
  </hyperlinks>
  <pageMargins left="0.7" right="0.7" top="0.75" bottom="0.75" header="0.3" footer="0.3"/>
  <pageSetup paperSize="9" scale="84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59999389629810485"/>
  </sheetPr>
  <dimension ref="B3:I105"/>
  <sheetViews>
    <sheetView workbookViewId="0">
      <selection activeCell="L8" sqref="L8"/>
    </sheetView>
  </sheetViews>
  <sheetFormatPr baseColWidth="10" defaultColWidth="8.83203125" defaultRowHeight="13" x14ac:dyDescent="0.15"/>
  <cols>
    <col min="1" max="1" width="8.83203125" style="288"/>
    <col min="2" max="2" width="69.83203125" style="288" customWidth="1"/>
    <col min="3" max="7" width="8.83203125" style="288"/>
    <col min="8" max="8" width="11.5" style="2277" customWidth="1"/>
    <col min="9" max="9" width="13.1640625" style="2277" customWidth="1"/>
    <col min="10" max="16384" width="8.83203125" style="288"/>
  </cols>
  <sheetData>
    <row r="3" spans="2:9" s="291" customFormat="1" ht="15" x14ac:dyDescent="0.15">
      <c r="B3" s="2279" t="s">
        <v>265</v>
      </c>
      <c r="C3" s="2280">
        <v>56</v>
      </c>
      <c r="D3" s="2279"/>
      <c r="E3" s="2279"/>
      <c r="F3" s="2279"/>
      <c r="G3" s="2279"/>
      <c r="H3" s="2281">
        <v>44904.271999999997</v>
      </c>
      <c r="I3" s="2281">
        <v>1507206.0919999999</v>
      </c>
    </row>
    <row r="4" spans="2:9" ht="15" x14ac:dyDescent="0.15">
      <c r="B4" s="2275" t="s">
        <v>1539</v>
      </c>
      <c r="C4" s="2276">
        <v>56</v>
      </c>
      <c r="D4" s="2276">
        <v>1</v>
      </c>
      <c r="E4" s="2275"/>
      <c r="F4" s="2275"/>
      <c r="G4" s="2275"/>
      <c r="H4" s="2278">
        <v>0</v>
      </c>
      <c r="I4" s="2278">
        <v>1453</v>
      </c>
    </row>
    <row r="5" spans="2:9" ht="15" x14ac:dyDescent="0.15">
      <c r="B5" s="2275" t="s">
        <v>1540</v>
      </c>
      <c r="C5" s="2276">
        <v>56</v>
      </c>
      <c r="D5" s="2276">
        <v>1</v>
      </c>
      <c r="E5" s="2276">
        <v>13</v>
      </c>
      <c r="F5" s="2275"/>
      <c r="G5" s="2275"/>
      <c r="H5" s="2278">
        <v>0</v>
      </c>
      <c r="I5" s="2278">
        <v>1453</v>
      </c>
    </row>
    <row r="6" spans="2:9" ht="26" x14ac:dyDescent="0.15">
      <c r="B6" s="290" t="s">
        <v>1541</v>
      </c>
      <c r="C6" s="2276">
        <v>56</v>
      </c>
      <c r="D6" s="2276">
        <v>1</v>
      </c>
      <c r="E6" s="2276">
        <v>13</v>
      </c>
      <c r="F6" s="2276">
        <v>5220600</v>
      </c>
      <c r="G6" s="2275"/>
      <c r="H6" s="2278">
        <v>-1000</v>
      </c>
      <c r="I6" s="2278">
        <v>0</v>
      </c>
    </row>
    <row r="7" spans="2:9" ht="15" x14ac:dyDescent="0.15">
      <c r="B7" s="2275" t="s">
        <v>1099</v>
      </c>
      <c r="C7" s="2276">
        <v>56</v>
      </c>
      <c r="D7" s="2276">
        <v>1</v>
      </c>
      <c r="E7" s="2276">
        <v>13</v>
      </c>
      <c r="F7" s="2276">
        <v>5220600</v>
      </c>
      <c r="G7" s="2276">
        <v>200</v>
      </c>
      <c r="H7" s="2278">
        <v>-1000</v>
      </c>
      <c r="I7" s="2278">
        <v>0</v>
      </c>
    </row>
    <row r="8" spans="2:9" ht="39" x14ac:dyDescent="0.15">
      <c r="B8" s="290" t="s">
        <v>1542</v>
      </c>
      <c r="C8" s="2276">
        <v>56</v>
      </c>
      <c r="D8" s="2276">
        <v>1</v>
      </c>
      <c r="E8" s="2276">
        <v>13</v>
      </c>
      <c r="F8" s="2276">
        <v>5222400</v>
      </c>
      <c r="G8" s="2275"/>
      <c r="H8" s="2278">
        <v>1000</v>
      </c>
      <c r="I8" s="2282">
        <v>1000</v>
      </c>
    </row>
    <row r="9" spans="2:9" ht="30" x14ac:dyDescent="0.15">
      <c r="B9" s="2275" t="s">
        <v>1094</v>
      </c>
      <c r="C9" s="2276">
        <v>56</v>
      </c>
      <c r="D9" s="2276">
        <v>1</v>
      </c>
      <c r="E9" s="2276">
        <v>13</v>
      </c>
      <c r="F9" s="2276">
        <v>5222400</v>
      </c>
      <c r="G9" s="2276">
        <v>600</v>
      </c>
      <c r="H9" s="2278">
        <v>1000</v>
      </c>
      <c r="I9" s="2278">
        <v>1000</v>
      </c>
    </row>
    <row r="10" spans="2:9" ht="26" x14ac:dyDescent="0.15">
      <c r="B10" s="290" t="s">
        <v>1194</v>
      </c>
      <c r="C10" s="2276">
        <v>56</v>
      </c>
      <c r="D10" s="2276">
        <v>1</v>
      </c>
      <c r="E10" s="2276">
        <v>13</v>
      </c>
      <c r="F10" s="2276">
        <v>5240300</v>
      </c>
      <c r="G10" s="2275"/>
      <c r="H10" s="2278">
        <v>0</v>
      </c>
      <c r="I10" s="2282">
        <v>120</v>
      </c>
    </row>
    <row r="11" spans="2:9" ht="30" x14ac:dyDescent="0.15">
      <c r="B11" s="2275" t="s">
        <v>1094</v>
      </c>
      <c r="C11" s="2276">
        <v>56</v>
      </c>
      <c r="D11" s="2276">
        <v>1</v>
      </c>
      <c r="E11" s="2276">
        <v>13</v>
      </c>
      <c r="F11" s="2276">
        <v>5240300</v>
      </c>
      <c r="G11" s="2276">
        <v>600</v>
      </c>
      <c r="H11" s="2278">
        <v>0</v>
      </c>
      <c r="I11" s="2278">
        <v>120</v>
      </c>
    </row>
    <row r="12" spans="2:9" ht="26" x14ac:dyDescent="0.15">
      <c r="B12" s="290" t="s">
        <v>1093</v>
      </c>
      <c r="C12" s="2276">
        <v>56</v>
      </c>
      <c r="D12" s="2276">
        <v>1</v>
      </c>
      <c r="E12" s="2276">
        <v>13</v>
      </c>
      <c r="F12" s="2276">
        <v>5240500</v>
      </c>
      <c r="G12" s="2275"/>
      <c r="H12" s="2278">
        <v>0</v>
      </c>
      <c r="I12" s="2282">
        <v>63</v>
      </c>
    </row>
    <row r="13" spans="2:9" ht="30" x14ac:dyDescent="0.15">
      <c r="B13" s="2275" t="s">
        <v>1094</v>
      </c>
      <c r="C13" s="2276">
        <v>56</v>
      </c>
      <c r="D13" s="2276">
        <v>1</v>
      </c>
      <c r="E13" s="2276">
        <v>13</v>
      </c>
      <c r="F13" s="2276">
        <v>5240500</v>
      </c>
      <c r="G13" s="2276">
        <v>600</v>
      </c>
      <c r="H13" s="2278">
        <v>0</v>
      </c>
      <c r="I13" s="2278">
        <v>63</v>
      </c>
    </row>
    <row r="14" spans="2:9" ht="30" x14ac:dyDescent="0.15">
      <c r="B14" s="2275" t="s">
        <v>1095</v>
      </c>
      <c r="C14" s="2276">
        <v>56</v>
      </c>
      <c r="D14" s="2276">
        <v>1</v>
      </c>
      <c r="E14" s="2276">
        <v>13</v>
      </c>
      <c r="F14" s="2276">
        <v>5240600</v>
      </c>
      <c r="G14" s="2275"/>
      <c r="H14" s="2278">
        <v>0</v>
      </c>
      <c r="I14" s="2282">
        <v>270</v>
      </c>
    </row>
    <row r="15" spans="2:9" ht="30" x14ac:dyDescent="0.15">
      <c r="B15" s="2275" t="s">
        <v>1094</v>
      </c>
      <c r="C15" s="2276">
        <v>56</v>
      </c>
      <c r="D15" s="2276">
        <v>1</v>
      </c>
      <c r="E15" s="2276">
        <v>13</v>
      </c>
      <c r="F15" s="2276">
        <v>5240600</v>
      </c>
      <c r="G15" s="2276">
        <v>600</v>
      </c>
      <c r="H15" s="2278">
        <v>0</v>
      </c>
      <c r="I15" s="2278">
        <v>270</v>
      </c>
    </row>
    <row r="16" spans="2:9" ht="15" x14ac:dyDescent="0.15">
      <c r="B16" s="2275" t="s">
        <v>1096</v>
      </c>
      <c r="C16" s="2276">
        <v>56</v>
      </c>
      <c r="D16" s="2276">
        <v>3</v>
      </c>
      <c r="E16" s="2275"/>
      <c r="F16" s="2275"/>
      <c r="G16" s="2275"/>
      <c r="H16" s="2278">
        <v>0</v>
      </c>
      <c r="I16" s="2278">
        <v>15302</v>
      </c>
    </row>
    <row r="17" spans="2:9" ht="15" x14ac:dyDescent="0.15">
      <c r="B17" s="2275" t="s">
        <v>1097</v>
      </c>
      <c r="C17" s="2276">
        <v>56</v>
      </c>
      <c r="D17" s="2276">
        <v>3</v>
      </c>
      <c r="E17" s="2276">
        <v>10</v>
      </c>
      <c r="F17" s="2275"/>
      <c r="G17" s="2275"/>
      <c r="H17" s="2278">
        <v>0</v>
      </c>
      <c r="I17" s="2278">
        <v>15302</v>
      </c>
    </row>
    <row r="18" spans="2:9" ht="39" x14ac:dyDescent="0.15">
      <c r="B18" s="290" t="s">
        <v>1098</v>
      </c>
      <c r="C18" s="2276">
        <v>56</v>
      </c>
      <c r="D18" s="2276">
        <v>3</v>
      </c>
      <c r="E18" s="2276">
        <v>10</v>
      </c>
      <c r="F18" s="2276">
        <v>5220800</v>
      </c>
      <c r="G18" s="2275"/>
      <c r="H18" s="2278">
        <v>0</v>
      </c>
      <c r="I18" s="2282">
        <v>15302</v>
      </c>
    </row>
    <row r="19" spans="2:9" ht="26" x14ac:dyDescent="0.15">
      <c r="B19" s="290" t="s">
        <v>1543</v>
      </c>
      <c r="C19" s="2276">
        <v>56</v>
      </c>
      <c r="D19" s="2276">
        <v>3</v>
      </c>
      <c r="E19" s="2276">
        <v>10</v>
      </c>
      <c r="F19" s="2276">
        <v>5220830</v>
      </c>
      <c r="G19" s="2275"/>
      <c r="H19" s="2278">
        <v>0</v>
      </c>
      <c r="I19" s="2278">
        <v>15302</v>
      </c>
    </row>
    <row r="20" spans="2:9" ht="15" x14ac:dyDescent="0.15">
      <c r="B20" s="2275" t="s">
        <v>1099</v>
      </c>
      <c r="C20" s="2276">
        <v>56</v>
      </c>
      <c r="D20" s="2276">
        <v>3</v>
      </c>
      <c r="E20" s="2276">
        <v>10</v>
      </c>
      <c r="F20" s="2276">
        <v>5220830</v>
      </c>
      <c r="G20" s="2276">
        <v>200</v>
      </c>
      <c r="H20" s="2278">
        <v>0</v>
      </c>
      <c r="I20" s="2278">
        <v>149.6</v>
      </c>
    </row>
    <row r="21" spans="2:9" ht="30" x14ac:dyDescent="0.15">
      <c r="B21" s="2275" t="s">
        <v>1094</v>
      </c>
      <c r="C21" s="2276">
        <v>56</v>
      </c>
      <c r="D21" s="2276">
        <v>3</v>
      </c>
      <c r="E21" s="2276">
        <v>10</v>
      </c>
      <c r="F21" s="2276">
        <v>5220830</v>
      </c>
      <c r="G21" s="2276">
        <v>600</v>
      </c>
      <c r="H21" s="2278">
        <v>0</v>
      </c>
      <c r="I21" s="2278">
        <v>15152.4</v>
      </c>
    </row>
    <row r="22" spans="2:9" ht="15" x14ac:dyDescent="0.15">
      <c r="B22" s="2275" t="s">
        <v>761</v>
      </c>
      <c r="C22" s="2276">
        <v>56</v>
      </c>
      <c r="D22" s="2276">
        <v>7</v>
      </c>
      <c r="E22" s="2275"/>
      <c r="F22" s="2275"/>
      <c r="G22" s="2275"/>
      <c r="H22" s="2278">
        <v>58</v>
      </c>
      <c r="I22" s="2278">
        <v>190883.22</v>
      </c>
    </row>
    <row r="23" spans="2:9" ht="15" x14ac:dyDescent="0.15">
      <c r="B23" s="2275" t="s">
        <v>1525</v>
      </c>
      <c r="C23" s="2276">
        <v>56</v>
      </c>
      <c r="D23" s="2276">
        <v>7</v>
      </c>
      <c r="E23" s="2276">
        <v>2</v>
      </c>
      <c r="F23" s="2275"/>
      <c r="G23" s="2275"/>
      <c r="H23" s="2278">
        <v>0</v>
      </c>
      <c r="I23" s="2278">
        <v>45598.8</v>
      </c>
    </row>
    <row r="24" spans="2:9" ht="15" x14ac:dyDescent="0.15">
      <c r="B24" s="2275" t="s">
        <v>769</v>
      </c>
      <c r="C24" s="2276">
        <v>56</v>
      </c>
      <c r="D24" s="2276">
        <v>7</v>
      </c>
      <c r="E24" s="2276">
        <v>2</v>
      </c>
      <c r="F24" s="2276">
        <v>4230000</v>
      </c>
      <c r="G24" s="2275"/>
      <c r="H24" s="2278">
        <v>0</v>
      </c>
      <c r="I24" s="2278">
        <v>45598.8</v>
      </c>
    </row>
    <row r="25" spans="2:9" ht="30" x14ac:dyDescent="0.15">
      <c r="B25" s="2275" t="s">
        <v>770</v>
      </c>
      <c r="C25" s="2276">
        <v>56</v>
      </c>
      <c r="D25" s="2276">
        <v>7</v>
      </c>
      <c r="E25" s="2276">
        <v>2</v>
      </c>
      <c r="F25" s="2276">
        <v>4239902</v>
      </c>
      <c r="G25" s="2275"/>
      <c r="H25" s="2278">
        <v>0</v>
      </c>
      <c r="I25" s="2278">
        <v>45598.8</v>
      </c>
    </row>
    <row r="26" spans="2:9" ht="30" x14ac:dyDescent="0.15">
      <c r="B26" s="2275" t="s">
        <v>1094</v>
      </c>
      <c r="C26" s="2276">
        <v>56</v>
      </c>
      <c r="D26" s="2276">
        <v>7</v>
      </c>
      <c r="E26" s="2276">
        <v>2</v>
      </c>
      <c r="F26" s="2276">
        <v>4239902</v>
      </c>
      <c r="G26" s="2276">
        <v>600</v>
      </c>
      <c r="H26" s="2278">
        <v>0</v>
      </c>
      <c r="I26" s="2278">
        <v>45598.8</v>
      </c>
    </row>
    <row r="27" spans="2:9" ht="15" x14ac:dyDescent="0.15">
      <c r="B27" s="2275" t="s">
        <v>1526</v>
      </c>
      <c r="C27" s="2276">
        <v>56</v>
      </c>
      <c r="D27" s="2276">
        <v>7</v>
      </c>
      <c r="E27" s="2276">
        <v>4</v>
      </c>
      <c r="F27" s="2275"/>
      <c r="G27" s="2275"/>
      <c r="H27" s="2278">
        <v>58</v>
      </c>
      <c r="I27" s="2278">
        <v>137500.51999999999</v>
      </c>
    </row>
    <row r="28" spans="2:9" ht="15" x14ac:dyDescent="0.15">
      <c r="B28" s="2275" t="s">
        <v>1100</v>
      </c>
      <c r="C28" s="2276">
        <v>56</v>
      </c>
      <c r="D28" s="2276">
        <v>7</v>
      </c>
      <c r="E28" s="2276">
        <v>4</v>
      </c>
      <c r="F28" s="2276">
        <v>4270000</v>
      </c>
      <c r="G28" s="2275"/>
      <c r="H28" s="2278">
        <v>58</v>
      </c>
      <c r="I28" s="2278">
        <v>137500.51999999999</v>
      </c>
    </row>
    <row r="29" spans="2:9" ht="45" x14ac:dyDescent="0.15">
      <c r="B29" s="2275" t="s">
        <v>1101</v>
      </c>
      <c r="C29" s="2276">
        <v>56</v>
      </c>
      <c r="D29" s="2276">
        <v>7</v>
      </c>
      <c r="E29" s="2276">
        <v>4</v>
      </c>
      <c r="F29" s="2276">
        <v>4279902</v>
      </c>
      <c r="G29" s="2275"/>
      <c r="H29" s="2278">
        <v>58</v>
      </c>
      <c r="I29" s="2278">
        <v>137500.51999999999</v>
      </c>
    </row>
    <row r="30" spans="2:9" ht="30" x14ac:dyDescent="0.15">
      <c r="B30" s="2275" t="s">
        <v>1094</v>
      </c>
      <c r="C30" s="2276">
        <v>56</v>
      </c>
      <c r="D30" s="2276">
        <v>7</v>
      </c>
      <c r="E30" s="2276">
        <v>4</v>
      </c>
      <c r="F30" s="2276">
        <v>4279902</v>
      </c>
      <c r="G30" s="2276">
        <v>600</v>
      </c>
      <c r="H30" s="2278">
        <v>58</v>
      </c>
      <c r="I30" s="2278">
        <v>137500.51999999999</v>
      </c>
    </row>
    <row r="31" spans="2:9" ht="15" x14ac:dyDescent="0.15">
      <c r="B31" s="2275" t="s">
        <v>1527</v>
      </c>
      <c r="C31" s="2276">
        <v>56</v>
      </c>
      <c r="D31" s="2276">
        <v>7</v>
      </c>
      <c r="E31" s="2276">
        <v>5</v>
      </c>
      <c r="F31" s="2275"/>
      <c r="G31" s="2275"/>
      <c r="H31" s="2278">
        <v>0</v>
      </c>
      <c r="I31" s="2278">
        <v>6747.9</v>
      </c>
    </row>
    <row r="32" spans="2:9" ht="15" x14ac:dyDescent="0.15">
      <c r="B32" s="2275" t="s">
        <v>1102</v>
      </c>
      <c r="C32" s="2276">
        <v>56</v>
      </c>
      <c r="D32" s="2276">
        <v>7</v>
      </c>
      <c r="E32" s="2276">
        <v>5</v>
      </c>
      <c r="F32" s="2276">
        <v>4290000</v>
      </c>
      <c r="G32" s="2275"/>
      <c r="H32" s="2278">
        <v>0</v>
      </c>
      <c r="I32" s="2278">
        <v>6747.9</v>
      </c>
    </row>
    <row r="33" spans="2:9" ht="30" x14ac:dyDescent="0.15">
      <c r="B33" s="2275" t="s">
        <v>774</v>
      </c>
      <c r="C33" s="2276">
        <v>56</v>
      </c>
      <c r="D33" s="2276">
        <v>7</v>
      </c>
      <c r="E33" s="2276">
        <v>5</v>
      </c>
      <c r="F33" s="2276">
        <v>4299901</v>
      </c>
      <c r="G33" s="2275"/>
      <c r="H33" s="2278">
        <v>0</v>
      </c>
      <c r="I33" s="2278">
        <v>6747.9</v>
      </c>
    </row>
    <row r="34" spans="2:9" ht="30" x14ac:dyDescent="0.15">
      <c r="B34" s="2275" t="s">
        <v>1094</v>
      </c>
      <c r="C34" s="2276">
        <v>56</v>
      </c>
      <c r="D34" s="2276">
        <v>7</v>
      </c>
      <c r="E34" s="2276">
        <v>5</v>
      </c>
      <c r="F34" s="2276">
        <v>4299901</v>
      </c>
      <c r="G34" s="2276">
        <v>600</v>
      </c>
      <c r="H34" s="2278">
        <v>0</v>
      </c>
      <c r="I34" s="2278">
        <v>6747.9</v>
      </c>
    </row>
    <row r="35" spans="2:9" ht="15" x14ac:dyDescent="0.15">
      <c r="B35" s="2275" t="s">
        <v>1528</v>
      </c>
      <c r="C35" s="2276">
        <v>56</v>
      </c>
      <c r="D35" s="2276">
        <v>7</v>
      </c>
      <c r="E35" s="2276">
        <v>9</v>
      </c>
      <c r="F35" s="2275"/>
      <c r="G35" s="2275"/>
      <c r="H35" s="2278">
        <v>0</v>
      </c>
      <c r="I35" s="2278">
        <v>1036</v>
      </c>
    </row>
    <row r="36" spans="2:9" ht="15" x14ac:dyDescent="0.15">
      <c r="B36" s="2275" t="s">
        <v>1529</v>
      </c>
      <c r="C36" s="2276">
        <v>56</v>
      </c>
      <c r="D36" s="2276">
        <v>7</v>
      </c>
      <c r="E36" s="2276">
        <v>9</v>
      </c>
      <c r="F36" s="2276">
        <v>4360000</v>
      </c>
      <c r="G36" s="2275"/>
      <c r="H36" s="2278">
        <v>0</v>
      </c>
      <c r="I36" s="2278">
        <v>1036</v>
      </c>
    </row>
    <row r="37" spans="2:9" ht="15" x14ac:dyDescent="0.15">
      <c r="B37" s="2275" t="s">
        <v>1103</v>
      </c>
      <c r="C37" s="2276">
        <v>56</v>
      </c>
      <c r="D37" s="2276">
        <v>7</v>
      </c>
      <c r="E37" s="2276">
        <v>9</v>
      </c>
      <c r="F37" s="2276">
        <v>4360400</v>
      </c>
      <c r="G37" s="2275"/>
      <c r="H37" s="2278">
        <v>0</v>
      </c>
      <c r="I37" s="2278">
        <v>536</v>
      </c>
    </row>
    <row r="38" spans="2:9" ht="15" x14ac:dyDescent="0.15">
      <c r="B38" s="2275" t="s">
        <v>1544</v>
      </c>
      <c r="C38" s="2276">
        <v>56</v>
      </c>
      <c r="D38" s="2276">
        <v>7</v>
      </c>
      <c r="E38" s="2276">
        <v>9</v>
      </c>
      <c r="F38" s="2276">
        <v>4360400</v>
      </c>
      <c r="G38" s="2276">
        <v>300</v>
      </c>
      <c r="H38" s="2278">
        <v>0</v>
      </c>
      <c r="I38" s="2278">
        <v>536</v>
      </c>
    </row>
    <row r="39" spans="2:9" ht="45" x14ac:dyDescent="0.15">
      <c r="B39" s="2275" t="s">
        <v>1531</v>
      </c>
      <c r="C39" s="2276">
        <v>56</v>
      </c>
      <c r="D39" s="2276">
        <v>7</v>
      </c>
      <c r="E39" s="2276">
        <v>9</v>
      </c>
      <c r="F39" s="2276">
        <v>4369300</v>
      </c>
      <c r="G39" s="2275"/>
      <c r="H39" s="2278">
        <v>0</v>
      </c>
      <c r="I39" s="2278">
        <v>500</v>
      </c>
    </row>
    <row r="40" spans="2:9" ht="15" x14ac:dyDescent="0.15">
      <c r="B40" s="2275" t="s">
        <v>1544</v>
      </c>
      <c r="C40" s="2276">
        <v>56</v>
      </c>
      <c r="D40" s="2276">
        <v>7</v>
      </c>
      <c r="E40" s="2276">
        <v>9</v>
      </c>
      <c r="F40" s="2276">
        <v>4369300</v>
      </c>
      <c r="G40" s="2276">
        <v>300</v>
      </c>
      <c r="H40" s="2278">
        <v>0</v>
      </c>
      <c r="I40" s="2278">
        <v>500</v>
      </c>
    </row>
    <row r="41" spans="2:9" ht="15" x14ac:dyDescent="0.15">
      <c r="B41" s="2275" t="s">
        <v>1104</v>
      </c>
      <c r="C41" s="2276">
        <v>56</v>
      </c>
      <c r="D41" s="2276">
        <v>8</v>
      </c>
      <c r="E41" s="2275"/>
      <c r="F41" s="2275"/>
      <c r="G41" s="2275"/>
      <c r="H41" s="2278">
        <v>44756.671999999999</v>
      </c>
      <c r="I41" s="2278">
        <v>1281577.3119999999</v>
      </c>
    </row>
    <row r="42" spans="2:9" ht="15" x14ac:dyDescent="0.15">
      <c r="B42" s="2275" t="s">
        <v>1105</v>
      </c>
      <c r="C42" s="2276">
        <v>56</v>
      </c>
      <c r="D42" s="2276">
        <v>8</v>
      </c>
      <c r="E42" s="2276">
        <v>1</v>
      </c>
      <c r="F42" s="2275"/>
      <c r="G42" s="2275"/>
      <c r="H42" s="2278">
        <v>44386.442000000003</v>
      </c>
      <c r="I42" s="2278">
        <v>1247348.2420000001</v>
      </c>
    </row>
    <row r="43" spans="2:9" ht="65" x14ac:dyDescent="0.15">
      <c r="B43" s="290" t="s">
        <v>1545</v>
      </c>
      <c r="C43" s="2276">
        <v>56</v>
      </c>
      <c r="D43" s="2276">
        <v>8</v>
      </c>
      <c r="E43" s="2276">
        <v>1</v>
      </c>
      <c r="F43" s="2276">
        <v>1125146</v>
      </c>
      <c r="G43" s="2275"/>
      <c r="H43" s="2278">
        <v>4096.7150000000001</v>
      </c>
      <c r="I43" s="2283">
        <v>4096.7150000000001</v>
      </c>
    </row>
    <row r="44" spans="2:9" ht="15" x14ac:dyDescent="0.15">
      <c r="B44" s="2275" t="s">
        <v>970</v>
      </c>
      <c r="C44" s="2276">
        <v>56</v>
      </c>
      <c r="D44" s="2276">
        <v>8</v>
      </c>
      <c r="E44" s="2276">
        <v>1</v>
      </c>
      <c r="F44" s="2276">
        <v>1125146</v>
      </c>
      <c r="G44" s="2276">
        <v>500</v>
      </c>
      <c r="H44" s="2278">
        <v>3968</v>
      </c>
      <c r="I44" s="2278">
        <v>3968</v>
      </c>
    </row>
    <row r="45" spans="2:9" ht="30" x14ac:dyDescent="0.15">
      <c r="B45" s="2275" t="s">
        <v>1094</v>
      </c>
      <c r="C45" s="2276">
        <v>56</v>
      </c>
      <c r="D45" s="2276">
        <v>8</v>
      </c>
      <c r="E45" s="2276">
        <v>1</v>
      </c>
      <c r="F45" s="2276">
        <v>1125146</v>
      </c>
      <c r="G45" s="2276">
        <v>600</v>
      </c>
      <c r="H45" s="2278">
        <v>128.715</v>
      </c>
      <c r="I45" s="2278">
        <v>128.715</v>
      </c>
    </row>
    <row r="46" spans="2:9" ht="30" x14ac:dyDescent="0.15">
      <c r="B46" s="2275" t="s">
        <v>1546</v>
      </c>
      <c r="C46" s="2276">
        <v>56</v>
      </c>
      <c r="D46" s="2276">
        <v>8</v>
      </c>
      <c r="E46" s="2276">
        <v>1</v>
      </c>
      <c r="F46" s="2276">
        <v>1125147</v>
      </c>
      <c r="G46" s="2275"/>
      <c r="H46" s="2278">
        <v>0</v>
      </c>
      <c r="I46" s="2283">
        <v>2900</v>
      </c>
    </row>
    <row r="47" spans="2:9" ht="15" x14ac:dyDescent="0.15">
      <c r="B47" s="2275" t="s">
        <v>970</v>
      </c>
      <c r="C47" s="2276">
        <v>56</v>
      </c>
      <c r="D47" s="2276">
        <v>8</v>
      </c>
      <c r="E47" s="2276">
        <v>1</v>
      </c>
      <c r="F47" s="2276">
        <v>1125147</v>
      </c>
      <c r="G47" s="2276">
        <v>500</v>
      </c>
      <c r="H47" s="2278">
        <v>0</v>
      </c>
      <c r="I47" s="2278">
        <v>2900</v>
      </c>
    </row>
    <row r="48" spans="2:9" ht="45" x14ac:dyDescent="0.15">
      <c r="B48" s="2275" t="s">
        <v>1547</v>
      </c>
      <c r="C48" s="2276">
        <v>56</v>
      </c>
      <c r="D48" s="2276">
        <v>8</v>
      </c>
      <c r="E48" s="2276">
        <v>1</v>
      </c>
      <c r="F48" s="2276">
        <v>1125148</v>
      </c>
      <c r="G48" s="2275"/>
      <c r="H48" s="2278">
        <v>0</v>
      </c>
      <c r="I48" s="2283">
        <v>1050</v>
      </c>
    </row>
    <row r="49" spans="2:9" ht="15" x14ac:dyDescent="0.15">
      <c r="B49" s="2275" t="s">
        <v>970</v>
      </c>
      <c r="C49" s="2276">
        <v>56</v>
      </c>
      <c r="D49" s="2276">
        <v>8</v>
      </c>
      <c r="E49" s="2276">
        <v>1</v>
      </c>
      <c r="F49" s="2276">
        <v>1125148</v>
      </c>
      <c r="G49" s="2276">
        <v>500</v>
      </c>
      <c r="H49" s="2278">
        <v>0</v>
      </c>
      <c r="I49" s="2278">
        <v>1050</v>
      </c>
    </row>
    <row r="50" spans="2:9" ht="65" x14ac:dyDescent="0.15">
      <c r="B50" s="290" t="s">
        <v>1106</v>
      </c>
      <c r="C50" s="2276">
        <v>56</v>
      </c>
      <c r="D50" s="2276">
        <v>8</v>
      </c>
      <c r="E50" s="2276">
        <v>1</v>
      </c>
      <c r="F50" s="2276">
        <v>1125151</v>
      </c>
      <c r="G50" s="2275"/>
      <c r="H50" s="2278">
        <v>0</v>
      </c>
      <c r="I50" s="2283">
        <v>100</v>
      </c>
    </row>
    <row r="51" spans="2:9" ht="30" x14ac:dyDescent="0.15">
      <c r="B51" s="2275" t="s">
        <v>1094</v>
      </c>
      <c r="C51" s="2276">
        <v>56</v>
      </c>
      <c r="D51" s="2276">
        <v>8</v>
      </c>
      <c r="E51" s="2276">
        <v>1</v>
      </c>
      <c r="F51" s="2276">
        <v>1125151</v>
      </c>
      <c r="G51" s="2276">
        <v>600</v>
      </c>
      <c r="H51" s="2278">
        <v>0</v>
      </c>
      <c r="I51" s="2278">
        <v>100</v>
      </c>
    </row>
    <row r="52" spans="2:9" ht="52" x14ac:dyDescent="0.15">
      <c r="B52" s="290" t="s">
        <v>1548</v>
      </c>
      <c r="C52" s="2276">
        <v>56</v>
      </c>
      <c r="D52" s="2276">
        <v>8</v>
      </c>
      <c r="E52" s="2276">
        <v>1</v>
      </c>
      <c r="F52" s="2276">
        <v>1125190</v>
      </c>
      <c r="G52" s="2275"/>
      <c r="H52" s="2278">
        <v>19400</v>
      </c>
      <c r="I52" s="2283">
        <v>19400</v>
      </c>
    </row>
    <row r="53" spans="2:9" ht="15" x14ac:dyDescent="0.15">
      <c r="B53" s="2275" t="s">
        <v>970</v>
      </c>
      <c r="C53" s="2276">
        <v>56</v>
      </c>
      <c r="D53" s="2276">
        <v>8</v>
      </c>
      <c r="E53" s="2276">
        <v>1</v>
      </c>
      <c r="F53" s="2276">
        <v>1125190</v>
      </c>
      <c r="G53" s="2276">
        <v>500</v>
      </c>
      <c r="H53" s="2278">
        <v>10152.754000000001</v>
      </c>
      <c r="I53" s="2278">
        <v>10152.754000000001</v>
      </c>
    </row>
    <row r="54" spans="2:9" ht="30" x14ac:dyDescent="0.15">
      <c r="B54" s="2275" t="s">
        <v>1094</v>
      </c>
      <c r="C54" s="2276">
        <v>56</v>
      </c>
      <c r="D54" s="2276">
        <v>8</v>
      </c>
      <c r="E54" s="2276">
        <v>1</v>
      </c>
      <c r="F54" s="2276">
        <v>1125190</v>
      </c>
      <c r="G54" s="2276">
        <v>600</v>
      </c>
      <c r="H54" s="2278">
        <v>9247.2459999999992</v>
      </c>
      <c r="I54" s="2278">
        <v>9247.2459999999992</v>
      </c>
    </row>
    <row r="55" spans="2:9" ht="52" x14ac:dyDescent="0.15">
      <c r="B55" s="290" t="s">
        <v>1549</v>
      </c>
      <c r="C55" s="2276">
        <v>56</v>
      </c>
      <c r="D55" s="2276">
        <v>8</v>
      </c>
      <c r="E55" s="2276">
        <v>1</v>
      </c>
      <c r="F55" s="2276">
        <v>1125191</v>
      </c>
      <c r="G55" s="2275"/>
      <c r="H55" s="2278">
        <v>16700</v>
      </c>
      <c r="I55" s="2283">
        <v>16700</v>
      </c>
    </row>
    <row r="56" spans="2:9" ht="15" x14ac:dyDescent="0.15">
      <c r="B56" s="2275" t="s">
        <v>970</v>
      </c>
      <c r="C56" s="2276">
        <v>56</v>
      </c>
      <c r="D56" s="2276">
        <v>8</v>
      </c>
      <c r="E56" s="2276">
        <v>1</v>
      </c>
      <c r="F56" s="2276">
        <v>1125191</v>
      </c>
      <c r="G56" s="2276">
        <v>500</v>
      </c>
      <c r="H56" s="2278">
        <v>16700</v>
      </c>
      <c r="I56" s="2278">
        <v>16700</v>
      </c>
    </row>
    <row r="57" spans="2:9" ht="52" x14ac:dyDescent="0.15">
      <c r="B57" s="290" t="s">
        <v>1550</v>
      </c>
      <c r="C57" s="2276">
        <v>56</v>
      </c>
      <c r="D57" s="2276">
        <v>8</v>
      </c>
      <c r="E57" s="2276">
        <v>1</v>
      </c>
      <c r="F57" s="2276">
        <v>1135192</v>
      </c>
      <c r="G57" s="2275"/>
      <c r="H57" s="2278">
        <v>3300</v>
      </c>
      <c r="I57" s="2283">
        <v>3300</v>
      </c>
    </row>
    <row r="58" spans="2:9" ht="30" x14ac:dyDescent="0.15">
      <c r="B58" s="2275" t="s">
        <v>1094</v>
      </c>
      <c r="C58" s="2276">
        <v>56</v>
      </c>
      <c r="D58" s="2276">
        <v>8</v>
      </c>
      <c r="E58" s="2276">
        <v>1</v>
      </c>
      <c r="F58" s="2276">
        <v>1135192</v>
      </c>
      <c r="G58" s="2276">
        <v>600</v>
      </c>
      <c r="H58" s="2278">
        <v>3300</v>
      </c>
      <c r="I58" s="2278">
        <v>3300</v>
      </c>
    </row>
    <row r="59" spans="2:9" ht="15" x14ac:dyDescent="0.15">
      <c r="B59" s="2275" t="s">
        <v>1533</v>
      </c>
      <c r="C59" s="2276">
        <v>56</v>
      </c>
      <c r="D59" s="2276">
        <v>8</v>
      </c>
      <c r="E59" s="2276">
        <v>1</v>
      </c>
      <c r="F59" s="2276">
        <v>4400000</v>
      </c>
      <c r="G59" s="2275"/>
      <c r="H59" s="2278">
        <v>1187.7</v>
      </c>
      <c r="I59" s="2278">
        <v>168064.1</v>
      </c>
    </row>
    <row r="60" spans="2:9" ht="15" x14ac:dyDescent="0.15">
      <c r="B60" s="2275" t="s">
        <v>1107</v>
      </c>
      <c r="C60" s="2276">
        <v>56</v>
      </c>
      <c r="D60" s="2276">
        <v>8</v>
      </c>
      <c r="E60" s="2276">
        <v>1</v>
      </c>
      <c r="F60" s="2276">
        <v>4400100</v>
      </c>
      <c r="G60" s="2275"/>
      <c r="H60" s="2278">
        <v>-200</v>
      </c>
      <c r="I60" s="2278">
        <v>15485.4</v>
      </c>
    </row>
    <row r="61" spans="2:9" ht="15" x14ac:dyDescent="0.15">
      <c r="B61" s="2275" t="s">
        <v>1099</v>
      </c>
      <c r="C61" s="2276">
        <v>56</v>
      </c>
      <c r="D61" s="2276">
        <v>8</v>
      </c>
      <c r="E61" s="2276">
        <v>1</v>
      </c>
      <c r="F61" s="2276">
        <v>4400100</v>
      </c>
      <c r="G61" s="2276">
        <v>200</v>
      </c>
      <c r="H61" s="2278">
        <v>-200</v>
      </c>
      <c r="I61" s="2278">
        <v>15485.4</v>
      </c>
    </row>
    <row r="62" spans="2:9" ht="15" x14ac:dyDescent="0.15">
      <c r="B62" s="2275" t="s">
        <v>783</v>
      </c>
      <c r="C62" s="2276">
        <v>56</v>
      </c>
      <c r="D62" s="2276">
        <v>8</v>
      </c>
      <c r="E62" s="2276">
        <v>1</v>
      </c>
      <c r="F62" s="2276">
        <v>4400500</v>
      </c>
      <c r="G62" s="2275"/>
      <c r="H62" s="2278">
        <v>0</v>
      </c>
      <c r="I62" s="2278">
        <v>9097.5</v>
      </c>
    </row>
    <row r="63" spans="2:9" ht="30" x14ac:dyDescent="0.15">
      <c r="B63" s="2275" t="s">
        <v>1094</v>
      </c>
      <c r="C63" s="2276">
        <v>56</v>
      </c>
      <c r="D63" s="2276">
        <v>8</v>
      </c>
      <c r="E63" s="2276">
        <v>1</v>
      </c>
      <c r="F63" s="2276">
        <v>4400500</v>
      </c>
      <c r="G63" s="2276">
        <v>600</v>
      </c>
      <c r="H63" s="2278">
        <v>0</v>
      </c>
      <c r="I63" s="2278">
        <v>9097.5</v>
      </c>
    </row>
    <row r="64" spans="2:9" ht="15" x14ac:dyDescent="0.15">
      <c r="B64" s="2275" t="s">
        <v>1108</v>
      </c>
      <c r="C64" s="2276">
        <v>56</v>
      </c>
      <c r="D64" s="2276">
        <v>8</v>
      </c>
      <c r="E64" s="2276">
        <v>1</v>
      </c>
      <c r="F64" s="2276">
        <v>4409900</v>
      </c>
      <c r="G64" s="2275"/>
      <c r="H64" s="2278">
        <v>50.2</v>
      </c>
      <c r="I64" s="2278">
        <v>43234.6</v>
      </c>
    </row>
    <row r="65" spans="2:9" ht="30" x14ac:dyDescent="0.15">
      <c r="B65" s="2275" t="s">
        <v>1094</v>
      </c>
      <c r="C65" s="2276">
        <v>56</v>
      </c>
      <c r="D65" s="2276">
        <v>8</v>
      </c>
      <c r="E65" s="2276">
        <v>1</v>
      </c>
      <c r="F65" s="2276">
        <v>4409900</v>
      </c>
      <c r="G65" s="2276">
        <v>600</v>
      </c>
      <c r="H65" s="2278">
        <v>50.2</v>
      </c>
      <c r="I65" s="2278">
        <v>43234.6</v>
      </c>
    </row>
    <row r="66" spans="2:9" ht="45" x14ac:dyDescent="0.15">
      <c r="B66" s="2275" t="s">
        <v>788</v>
      </c>
      <c r="C66" s="2276">
        <v>56</v>
      </c>
      <c r="D66" s="2276">
        <v>8</v>
      </c>
      <c r="E66" s="2276">
        <v>1</v>
      </c>
      <c r="F66" s="2276">
        <v>4409901</v>
      </c>
      <c r="G66" s="2275"/>
      <c r="H66" s="2278">
        <v>1337.5</v>
      </c>
      <c r="I66" s="2278">
        <v>66786.5</v>
      </c>
    </row>
    <row r="67" spans="2:9" ht="30" x14ac:dyDescent="0.15">
      <c r="B67" s="2275" t="s">
        <v>1094</v>
      </c>
      <c r="C67" s="2276">
        <v>56</v>
      </c>
      <c r="D67" s="2276">
        <v>8</v>
      </c>
      <c r="E67" s="2276">
        <v>1</v>
      </c>
      <c r="F67" s="2276">
        <v>4409901</v>
      </c>
      <c r="G67" s="2276">
        <v>600</v>
      </c>
      <c r="H67" s="2278">
        <v>1337.5</v>
      </c>
      <c r="I67" s="2278">
        <v>66786.5</v>
      </c>
    </row>
    <row r="68" spans="2:9" ht="15" x14ac:dyDescent="0.15">
      <c r="B68" s="2275" t="s">
        <v>789</v>
      </c>
      <c r="C68" s="2276">
        <v>56</v>
      </c>
      <c r="D68" s="2276">
        <v>8</v>
      </c>
      <c r="E68" s="2276">
        <v>1</v>
      </c>
      <c r="F68" s="2276">
        <v>4409902</v>
      </c>
      <c r="G68" s="2275"/>
      <c r="H68" s="2278">
        <v>0</v>
      </c>
      <c r="I68" s="2278">
        <v>33460.1</v>
      </c>
    </row>
    <row r="69" spans="2:9" ht="30" x14ac:dyDescent="0.15">
      <c r="B69" s="2275" t="s">
        <v>1094</v>
      </c>
      <c r="C69" s="2276">
        <v>56</v>
      </c>
      <c r="D69" s="2276">
        <v>8</v>
      </c>
      <c r="E69" s="2276">
        <v>1</v>
      </c>
      <c r="F69" s="2276">
        <v>4409902</v>
      </c>
      <c r="G69" s="2276">
        <v>600</v>
      </c>
      <c r="H69" s="2278">
        <v>0</v>
      </c>
      <c r="I69" s="2278">
        <v>33460.1</v>
      </c>
    </row>
    <row r="70" spans="2:9" ht="15" x14ac:dyDescent="0.15">
      <c r="B70" s="2275" t="s">
        <v>791</v>
      </c>
      <c r="C70" s="2276">
        <v>56</v>
      </c>
      <c r="D70" s="2276">
        <v>8</v>
      </c>
      <c r="E70" s="2276">
        <v>1</v>
      </c>
      <c r="F70" s="2276">
        <v>4410000</v>
      </c>
      <c r="G70" s="2275"/>
      <c r="H70" s="2278">
        <v>-2337.5</v>
      </c>
      <c r="I70" s="2278">
        <v>213372.7</v>
      </c>
    </row>
    <row r="71" spans="2:9" ht="30" x14ac:dyDescent="0.15">
      <c r="B71" s="2275" t="s">
        <v>792</v>
      </c>
      <c r="C71" s="2276">
        <v>56</v>
      </c>
      <c r="D71" s="2276">
        <v>8</v>
      </c>
      <c r="E71" s="2276">
        <v>1</v>
      </c>
      <c r="F71" s="2276">
        <v>4419900</v>
      </c>
      <c r="G71" s="2275"/>
      <c r="H71" s="2278">
        <v>-2337.5</v>
      </c>
      <c r="I71" s="2278">
        <v>213372.7</v>
      </c>
    </row>
    <row r="72" spans="2:9" ht="30" x14ac:dyDescent="0.15">
      <c r="B72" s="2275" t="s">
        <v>1094</v>
      </c>
      <c r="C72" s="2276">
        <v>56</v>
      </c>
      <c r="D72" s="2276">
        <v>8</v>
      </c>
      <c r="E72" s="2276">
        <v>1</v>
      </c>
      <c r="F72" s="2276">
        <v>4419900</v>
      </c>
      <c r="G72" s="2276">
        <v>600</v>
      </c>
      <c r="H72" s="2278">
        <v>-2337.5</v>
      </c>
      <c r="I72" s="2278">
        <v>213372.7</v>
      </c>
    </row>
    <row r="73" spans="2:9" ht="15" x14ac:dyDescent="0.15">
      <c r="B73" s="2275" t="s">
        <v>793</v>
      </c>
      <c r="C73" s="2276">
        <v>56</v>
      </c>
      <c r="D73" s="2276">
        <v>8</v>
      </c>
      <c r="E73" s="2276">
        <v>1</v>
      </c>
      <c r="F73" s="2276">
        <v>4420000</v>
      </c>
      <c r="G73" s="2275"/>
      <c r="H73" s="2278">
        <v>0</v>
      </c>
      <c r="I73" s="2278">
        <v>80776.28</v>
      </c>
    </row>
    <row r="74" spans="2:9" ht="30" x14ac:dyDescent="0.15">
      <c r="B74" s="2275" t="s">
        <v>794</v>
      </c>
      <c r="C74" s="2276">
        <v>56</v>
      </c>
      <c r="D74" s="2276">
        <v>8</v>
      </c>
      <c r="E74" s="2276">
        <v>1</v>
      </c>
      <c r="F74" s="2276">
        <v>4429900</v>
      </c>
      <c r="G74" s="2275"/>
      <c r="H74" s="2278">
        <v>0</v>
      </c>
      <c r="I74" s="2278">
        <v>80776.28</v>
      </c>
    </row>
    <row r="75" spans="2:9" ht="30" x14ac:dyDescent="0.15">
      <c r="B75" s="2275" t="s">
        <v>1094</v>
      </c>
      <c r="C75" s="2276">
        <v>56</v>
      </c>
      <c r="D75" s="2276">
        <v>8</v>
      </c>
      <c r="E75" s="2276">
        <v>1</v>
      </c>
      <c r="F75" s="2276">
        <v>4429900</v>
      </c>
      <c r="G75" s="2276">
        <v>600</v>
      </c>
      <c r="H75" s="2278">
        <v>0</v>
      </c>
      <c r="I75" s="2278">
        <v>80776.28</v>
      </c>
    </row>
    <row r="76" spans="2:9" ht="30" x14ac:dyDescent="0.15">
      <c r="B76" s="2275" t="s">
        <v>795</v>
      </c>
      <c r="C76" s="2276">
        <v>56</v>
      </c>
      <c r="D76" s="2276">
        <v>8</v>
      </c>
      <c r="E76" s="2276">
        <v>1</v>
      </c>
      <c r="F76" s="2276">
        <v>4430000</v>
      </c>
      <c r="G76" s="2275"/>
      <c r="H76" s="2278">
        <v>7039.527</v>
      </c>
      <c r="I76" s="2278">
        <v>709588.44700000004</v>
      </c>
    </row>
    <row r="77" spans="2:9" ht="30" x14ac:dyDescent="0.15">
      <c r="B77" s="2275" t="s">
        <v>796</v>
      </c>
      <c r="C77" s="2276">
        <v>56</v>
      </c>
      <c r="D77" s="2276">
        <v>8</v>
      </c>
      <c r="E77" s="2276">
        <v>1</v>
      </c>
      <c r="F77" s="2276">
        <v>4439900</v>
      </c>
      <c r="G77" s="2275"/>
      <c r="H77" s="2278">
        <v>7039.527</v>
      </c>
      <c r="I77" s="2278">
        <v>709588.44700000004</v>
      </c>
    </row>
    <row r="78" spans="2:9" ht="30" x14ac:dyDescent="0.15">
      <c r="B78" s="2275" t="s">
        <v>1094</v>
      </c>
      <c r="C78" s="2276">
        <v>56</v>
      </c>
      <c r="D78" s="2276">
        <v>8</v>
      </c>
      <c r="E78" s="2276">
        <v>1</v>
      </c>
      <c r="F78" s="2276">
        <v>4439900</v>
      </c>
      <c r="G78" s="2276">
        <v>600</v>
      </c>
      <c r="H78" s="2278">
        <v>7039.527</v>
      </c>
      <c r="I78" s="2278">
        <v>709588.44700000004</v>
      </c>
    </row>
    <row r="79" spans="2:9" ht="26" x14ac:dyDescent="0.15">
      <c r="B79" s="290" t="s">
        <v>1111</v>
      </c>
      <c r="C79" s="2276">
        <v>56</v>
      </c>
      <c r="D79" s="2276">
        <v>8</v>
      </c>
      <c r="E79" s="2276">
        <v>1</v>
      </c>
      <c r="F79" s="2276">
        <v>5241100</v>
      </c>
      <c r="G79" s="2275"/>
      <c r="H79" s="2278">
        <v>-5000</v>
      </c>
      <c r="I79" s="2278">
        <v>28000</v>
      </c>
    </row>
    <row r="80" spans="2:9" ht="30" x14ac:dyDescent="0.15">
      <c r="B80" s="2275" t="s">
        <v>1094</v>
      </c>
      <c r="C80" s="2276">
        <v>56</v>
      </c>
      <c r="D80" s="2276">
        <v>8</v>
      </c>
      <c r="E80" s="2276">
        <v>1</v>
      </c>
      <c r="F80" s="2276">
        <v>5241100</v>
      </c>
      <c r="G80" s="2276">
        <v>600</v>
      </c>
      <c r="H80" s="2278">
        <v>-5000</v>
      </c>
      <c r="I80" s="2278">
        <v>28000</v>
      </c>
    </row>
    <row r="81" spans="2:9" ht="15" x14ac:dyDescent="0.15">
      <c r="B81" s="2275" t="s">
        <v>1112</v>
      </c>
      <c r="C81" s="2276">
        <v>56</v>
      </c>
      <c r="D81" s="2276">
        <v>8</v>
      </c>
      <c r="E81" s="2276">
        <v>4</v>
      </c>
      <c r="F81" s="2275"/>
      <c r="G81" s="2275"/>
      <c r="H81" s="2278">
        <v>370.23</v>
      </c>
      <c r="I81" s="2278">
        <v>34229.07</v>
      </c>
    </row>
    <row r="82" spans="2:9" ht="30" x14ac:dyDescent="0.15">
      <c r="B82" s="2275" t="s">
        <v>1534</v>
      </c>
      <c r="C82" s="2276">
        <v>56</v>
      </c>
      <c r="D82" s="2276">
        <v>8</v>
      </c>
      <c r="E82" s="2276">
        <v>4</v>
      </c>
      <c r="F82" s="2276">
        <v>20000</v>
      </c>
      <c r="G82" s="2275"/>
      <c r="H82" s="2278">
        <v>370.23</v>
      </c>
      <c r="I82" s="2278">
        <v>30141.57</v>
      </c>
    </row>
    <row r="83" spans="2:9" ht="15" x14ac:dyDescent="0.15">
      <c r="B83" s="2275" t="s">
        <v>1113</v>
      </c>
      <c r="C83" s="2276">
        <v>56</v>
      </c>
      <c r="D83" s="2276">
        <v>8</v>
      </c>
      <c r="E83" s="2276">
        <v>4</v>
      </c>
      <c r="F83" s="2276">
        <v>20400</v>
      </c>
      <c r="G83" s="2275"/>
      <c r="H83" s="2278">
        <v>370.23</v>
      </c>
      <c r="I83" s="2278">
        <v>30141.57</v>
      </c>
    </row>
    <row r="84" spans="2:9" ht="45" x14ac:dyDescent="0.15">
      <c r="B84" s="2275" t="s">
        <v>1139</v>
      </c>
      <c r="C84" s="2276">
        <v>56</v>
      </c>
      <c r="D84" s="2276">
        <v>8</v>
      </c>
      <c r="E84" s="2276">
        <v>4</v>
      </c>
      <c r="F84" s="2276">
        <v>20400</v>
      </c>
      <c r="G84" s="2276">
        <v>100</v>
      </c>
      <c r="H84" s="2278">
        <v>-84.77</v>
      </c>
      <c r="I84" s="2278">
        <v>24973.17</v>
      </c>
    </row>
    <row r="85" spans="2:9" ht="15" x14ac:dyDescent="0.15">
      <c r="B85" s="2275" t="s">
        <v>1099</v>
      </c>
      <c r="C85" s="2276">
        <v>56</v>
      </c>
      <c r="D85" s="2276">
        <v>8</v>
      </c>
      <c r="E85" s="2276">
        <v>4</v>
      </c>
      <c r="F85" s="2276">
        <v>20400</v>
      </c>
      <c r="G85" s="2276">
        <v>200</v>
      </c>
      <c r="H85" s="2278">
        <v>614.20000000000005</v>
      </c>
      <c r="I85" s="2278">
        <v>4670.6000000000004</v>
      </c>
    </row>
    <row r="86" spans="2:9" ht="15" x14ac:dyDescent="0.15">
      <c r="B86" s="2275" t="s">
        <v>1114</v>
      </c>
      <c r="C86" s="2276">
        <v>56</v>
      </c>
      <c r="D86" s="2276">
        <v>8</v>
      </c>
      <c r="E86" s="2276">
        <v>4</v>
      </c>
      <c r="F86" s="2276">
        <v>20400</v>
      </c>
      <c r="G86" s="2276">
        <v>800</v>
      </c>
      <c r="H86" s="2278">
        <v>-159.19999999999999</v>
      </c>
      <c r="I86" s="2278">
        <v>497.8</v>
      </c>
    </row>
    <row r="87" spans="2:9" ht="65" x14ac:dyDescent="0.15">
      <c r="B87" s="290" t="s">
        <v>1115</v>
      </c>
      <c r="C87" s="2276">
        <v>56</v>
      </c>
      <c r="D87" s="2276">
        <v>8</v>
      </c>
      <c r="E87" s="2276">
        <v>4</v>
      </c>
      <c r="F87" s="2276">
        <v>3315950</v>
      </c>
      <c r="G87" s="2275"/>
      <c r="H87" s="2278">
        <v>0</v>
      </c>
      <c r="I87" s="2278">
        <v>4087.5</v>
      </c>
    </row>
    <row r="88" spans="2:9" ht="45" x14ac:dyDescent="0.15">
      <c r="B88" s="2275" t="s">
        <v>1139</v>
      </c>
      <c r="C88" s="2276">
        <v>56</v>
      </c>
      <c r="D88" s="2276">
        <v>8</v>
      </c>
      <c r="E88" s="2276">
        <v>4</v>
      </c>
      <c r="F88" s="2276">
        <v>3315950</v>
      </c>
      <c r="G88" s="2276">
        <v>100</v>
      </c>
      <c r="H88" s="2278">
        <v>52</v>
      </c>
      <c r="I88" s="2278">
        <v>3243.9</v>
      </c>
    </row>
    <row r="89" spans="2:9" ht="15" x14ac:dyDescent="0.15">
      <c r="B89" s="2275" t="s">
        <v>1099</v>
      </c>
      <c r="C89" s="2276">
        <v>56</v>
      </c>
      <c r="D89" s="2276">
        <v>8</v>
      </c>
      <c r="E89" s="2276">
        <v>4</v>
      </c>
      <c r="F89" s="2276">
        <v>3315950</v>
      </c>
      <c r="G89" s="2276">
        <v>200</v>
      </c>
      <c r="H89" s="2278">
        <v>-52</v>
      </c>
      <c r="I89" s="2278">
        <v>843.6</v>
      </c>
    </row>
    <row r="90" spans="2:9" ht="15" x14ac:dyDescent="0.15">
      <c r="B90" s="2275" t="s">
        <v>1116</v>
      </c>
      <c r="C90" s="2276">
        <v>56</v>
      </c>
      <c r="D90" s="2276">
        <v>10</v>
      </c>
      <c r="E90" s="2275"/>
      <c r="F90" s="2275"/>
      <c r="G90" s="2275"/>
      <c r="H90" s="2278">
        <v>89.6</v>
      </c>
      <c r="I90" s="2278">
        <v>17990.560000000001</v>
      </c>
    </row>
    <row r="91" spans="2:9" ht="15" x14ac:dyDescent="0.15">
      <c r="B91" s="2275" t="s">
        <v>1117</v>
      </c>
      <c r="C91" s="2276">
        <v>56</v>
      </c>
      <c r="D91" s="2276">
        <v>10</v>
      </c>
      <c r="E91" s="2276">
        <v>4</v>
      </c>
      <c r="F91" s="2275"/>
      <c r="G91" s="2275"/>
      <c r="H91" s="2278">
        <v>89.6</v>
      </c>
      <c r="I91" s="2278">
        <v>367.6</v>
      </c>
    </row>
    <row r="92" spans="2:9" ht="15" x14ac:dyDescent="0.15">
      <c r="B92" s="2275" t="s">
        <v>1118</v>
      </c>
      <c r="C92" s="2276">
        <v>56</v>
      </c>
      <c r="D92" s="2276">
        <v>10</v>
      </c>
      <c r="E92" s="2276">
        <v>4</v>
      </c>
      <c r="F92" s="2276">
        <v>5200000</v>
      </c>
      <c r="G92" s="2275"/>
      <c r="H92" s="2278">
        <v>89.6</v>
      </c>
      <c r="I92" s="2278">
        <v>367.6</v>
      </c>
    </row>
    <row r="93" spans="2:9" ht="39" x14ac:dyDescent="0.15">
      <c r="B93" s="290" t="s">
        <v>1119</v>
      </c>
      <c r="C93" s="2276">
        <v>56</v>
      </c>
      <c r="D93" s="2276">
        <v>10</v>
      </c>
      <c r="E93" s="2276">
        <v>4</v>
      </c>
      <c r="F93" s="2276">
        <v>5205500</v>
      </c>
      <c r="G93" s="2275"/>
      <c r="H93" s="2278">
        <v>89.6</v>
      </c>
      <c r="I93" s="2278">
        <v>367.6</v>
      </c>
    </row>
    <row r="94" spans="2:9" ht="15" x14ac:dyDescent="0.15">
      <c r="B94" s="2275" t="s">
        <v>36</v>
      </c>
      <c r="C94" s="2276">
        <v>56</v>
      </c>
      <c r="D94" s="2276">
        <v>10</v>
      </c>
      <c r="E94" s="2276">
        <v>4</v>
      </c>
      <c r="F94" s="2276">
        <v>5205501</v>
      </c>
      <c r="G94" s="2275"/>
      <c r="H94" s="2278">
        <v>89.6</v>
      </c>
      <c r="I94" s="2278">
        <v>367.6</v>
      </c>
    </row>
    <row r="95" spans="2:9" ht="15" x14ac:dyDescent="0.15">
      <c r="B95" s="2275" t="s">
        <v>1544</v>
      </c>
      <c r="C95" s="2276">
        <v>56</v>
      </c>
      <c r="D95" s="2276">
        <v>10</v>
      </c>
      <c r="E95" s="2276">
        <v>4</v>
      </c>
      <c r="F95" s="2276">
        <v>5205501</v>
      </c>
      <c r="G95" s="2276">
        <v>300</v>
      </c>
      <c r="H95" s="2278">
        <v>89.6</v>
      </c>
      <c r="I95" s="2278">
        <v>367.6</v>
      </c>
    </row>
    <row r="96" spans="2:9" ht="15" x14ac:dyDescent="0.15">
      <c r="B96" s="2275" t="s">
        <v>1551</v>
      </c>
      <c r="C96" s="2276">
        <v>56</v>
      </c>
      <c r="D96" s="2276">
        <v>10</v>
      </c>
      <c r="E96" s="2276">
        <v>6</v>
      </c>
      <c r="F96" s="2275"/>
      <c r="G96" s="2275"/>
      <c r="H96" s="2278">
        <v>0</v>
      </c>
      <c r="I96" s="2278">
        <v>17622.96</v>
      </c>
    </row>
    <row r="97" spans="2:9" ht="60" x14ac:dyDescent="0.15">
      <c r="B97" s="2275" t="s">
        <v>1552</v>
      </c>
      <c r="C97" s="2276">
        <v>56</v>
      </c>
      <c r="D97" s="2276">
        <v>10</v>
      </c>
      <c r="E97" s="2276">
        <v>6</v>
      </c>
      <c r="F97" s="2276">
        <v>415027</v>
      </c>
      <c r="G97" s="2275"/>
      <c r="H97" s="2278">
        <v>0</v>
      </c>
      <c r="I97" s="2284">
        <v>8811.48</v>
      </c>
    </row>
    <row r="98" spans="2:9" ht="30" x14ac:dyDescent="0.15">
      <c r="B98" s="2275" t="s">
        <v>1094</v>
      </c>
      <c r="C98" s="2276">
        <v>56</v>
      </c>
      <c r="D98" s="2276">
        <v>10</v>
      </c>
      <c r="E98" s="2276">
        <v>6</v>
      </c>
      <c r="F98" s="2276">
        <v>415027</v>
      </c>
      <c r="G98" s="2276">
        <v>600</v>
      </c>
      <c r="H98" s="2278">
        <v>0</v>
      </c>
      <c r="I98" s="2278">
        <v>8811.48</v>
      </c>
    </row>
    <row r="99" spans="2:9" ht="26" x14ac:dyDescent="0.15">
      <c r="B99" s="290" t="s">
        <v>1553</v>
      </c>
      <c r="C99" s="2276">
        <v>56</v>
      </c>
      <c r="D99" s="2276">
        <v>10</v>
      </c>
      <c r="E99" s="2276">
        <v>6</v>
      </c>
      <c r="F99" s="2276">
        <v>5221200</v>
      </c>
      <c r="G99" s="2275"/>
      <c r="H99" s="2278">
        <v>0</v>
      </c>
      <c r="I99" s="2278">
        <v>8811.48</v>
      </c>
    </row>
    <row r="100" spans="2:9" ht="30" x14ac:dyDescent="0.15">
      <c r="B100" s="2275" t="s">
        <v>1094</v>
      </c>
      <c r="C100" s="2276">
        <v>56</v>
      </c>
      <c r="D100" s="2276">
        <v>10</v>
      </c>
      <c r="E100" s="2276">
        <v>6</v>
      </c>
      <c r="F100" s="2276">
        <v>5221200</v>
      </c>
      <c r="G100" s="2276">
        <v>600</v>
      </c>
      <c r="H100" s="2278">
        <v>0</v>
      </c>
      <c r="I100" s="2278">
        <v>8811.48</v>
      </c>
    </row>
    <row r="104" spans="2:9" x14ac:dyDescent="0.15">
      <c r="I104" s="2277">
        <f>I97+I18+I14+I12+I10+I8+I98</f>
        <v>34377.96</v>
      </c>
    </row>
    <row r="105" spans="2:9" x14ac:dyDescent="0.15">
      <c r="I105" s="2277">
        <f>I3-I104</f>
        <v>1472828.132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L92"/>
  <sheetViews>
    <sheetView topLeftCell="A27" workbookViewId="0">
      <selection activeCell="Q27" sqref="Q27"/>
    </sheetView>
  </sheetViews>
  <sheetFormatPr baseColWidth="10" defaultColWidth="8.83203125" defaultRowHeight="13" x14ac:dyDescent="0.15"/>
  <cols>
    <col min="1" max="1" width="8.83203125" style="2353"/>
    <col min="2" max="2" width="54" style="2353" customWidth="1"/>
    <col min="3" max="8" width="8.83203125" style="2353"/>
    <col min="9" max="10" width="15.5" style="2353" customWidth="1"/>
    <col min="11" max="11" width="24" style="2353" customWidth="1"/>
    <col min="12" max="16384" width="8.83203125" style="2353"/>
  </cols>
  <sheetData>
    <row r="2" spans="2:12" ht="15" x14ac:dyDescent="0.2">
      <c r="B2" s="2916" t="s">
        <v>68</v>
      </c>
      <c r="C2" s="2916"/>
      <c r="D2" s="2916"/>
      <c r="E2" s="2916"/>
      <c r="F2" s="2916"/>
      <c r="G2" s="2916"/>
      <c r="H2" s="2916"/>
      <c r="I2" s="2401"/>
      <c r="J2" s="2402"/>
      <c r="K2" s="2357"/>
    </row>
    <row r="3" spans="2:12" ht="15" x14ac:dyDescent="0.2">
      <c r="B3" s="2916" t="s">
        <v>1341</v>
      </c>
      <c r="C3" s="2916"/>
      <c r="D3" s="2916"/>
      <c r="E3" s="2916"/>
      <c r="F3" s="2916"/>
      <c r="G3" s="2916"/>
      <c r="H3" s="2916"/>
      <c r="I3" s="2401"/>
      <c r="J3" s="2403">
        <v>1229687.5190000001</v>
      </c>
      <c r="K3" s="2357"/>
    </row>
    <row r="4" spans="2:12" ht="15" x14ac:dyDescent="0.2">
      <c r="B4" s="2916" t="s">
        <v>69</v>
      </c>
      <c r="C4" s="2916"/>
      <c r="D4" s="2916"/>
      <c r="E4" s="2916"/>
      <c r="F4" s="2916"/>
      <c r="G4" s="2916"/>
      <c r="H4" s="2916"/>
      <c r="I4" s="2401"/>
      <c r="J4" s="2404"/>
      <c r="K4" s="2357"/>
    </row>
    <row r="5" spans="2:12" ht="15" x14ac:dyDescent="0.2">
      <c r="B5" s="2401"/>
      <c r="C5" s="2401"/>
      <c r="D5" s="2401"/>
      <c r="E5" s="2401"/>
      <c r="F5" s="2401"/>
      <c r="G5" s="2401"/>
      <c r="H5" s="2401"/>
      <c r="I5" s="2401"/>
      <c r="J5" s="2404"/>
      <c r="K5" s="2357"/>
    </row>
    <row r="6" spans="2:12" ht="15" x14ac:dyDescent="0.2">
      <c r="B6" s="2917" t="s">
        <v>70</v>
      </c>
      <c r="C6" s="2917" t="s">
        <v>71</v>
      </c>
      <c r="D6" s="2917" t="s">
        <v>72</v>
      </c>
      <c r="E6" s="2917" t="s">
        <v>73</v>
      </c>
      <c r="F6" s="2917" t="s">
        <v>74</v>
      </c>
      <c r="G6" s="2917" t="s">
        <v>75</v>
      </c>
      <c r="H6" s="2917" t="s">
        <v>76</v>
      </c>
      <c r="I6" s="2918" t="s">
        <v>1829</v>
      </c>
      <c r="J6" s="2919" t="s">
        <v>67</v>
      </c>
      <c r="K6" s="2357"/>
    </row>
    <row r="7" spans="2:12" ht="15" x14ac:dyDescent="0.2">
      <c r="B7" s="2917"/>
      <c r="C7" s="2917"/>
      <c r="D7" s="2917"/>
      <c r="E7" s="2917"/>
      <c r="F7" s="2917"/>
      <c r="G7" s="2917"/>
      <c r="H7" s="2917"/>
      <c r="I7" s="2918"/>
      <c r="J7" s="2919"/>
      <c r="K7" s="2357"/>
    </row>
    <row r="8" spans="2:12" ht="16" x14ac:dyDescent="0.2">
      <c r="B8" s="2185" t="s">
        <v>265</v>
      </c>
      <c r="C8" s="2405">
        <v>56</v>
      </c>
      <c r="D8" s="2405"/>
      <c r="E8" s="2405"/>
      <c r="F8" s="2405"/>
      <c r="G8" s="2405"/>
      <c r="H8" s="2405"/>
      <c r="I8" s="2406">
        <v>1168997.3999999999</v>
      </c>
      <c r="J8" s="2406">
        <v>1282099.0490000001</v>
      </c>
      <c r="K8" s="2357"/>
    </row>
    <row r="9" spans="2:12" ht="55" x14ac:dyDescent="0.15">
      <c r="B9" s="2217" t="s">
        <v>1343</v>
      </c>
      <c r="C9" s="2220">
        <v>56</v>
      </c>
      <c r="D9" s="2220">
        <v>7</v>
      </c>
      <c r="E9" s="2220">
        <v>2</v>
      </c>
      <c r="F9" s="2220" t="s">
        <v>1344</v>
      </c>
      <c r="G9" s="2175"/>
      <c r="H9" s="2175"/>
      <c r="I9" s="2411">
        <v>40251</v>
      </c>
      <c r="J9" s="2411">
        <v>40464.6</v>
      </c>
      <c r="K9" s="2508">
        <f>'2015'!J11</f>
        <v>40464.6</v>
      </c>
    </row>
    <row r="10" spans="2:12" ht="66" x14ac:dyDescent="0.2">
      <c r="B10" s="2217" t="s">
        <v>1348</v>
      </c>
      <c r="C10" s="2220">
        <v>56</v>
      </c>
      <c r="D10" s="2220">
        <v>7</v>
      </c>
      <c r="E10" s="2220">
        <v>4</v>
      </c>
      <c r="F10" s="2220" t="s">
        <v>1349</v>
      </c>
      <c r="G10" s="2220"/>
      <c r="H10" s="2175"/>
      <c r="I10" s="2411">
        <v>127399.6</v>
      </c>
      <c r="J10" s="2411">
        <v>126910</v>
      </c>
      <c r="K10" s="2357">
        <f>'2015'!J12</f>
        <v>126910</v>
      </c>
      <c r="L10" s="999">
        <f>J10-K10</f>
        <v>0</v>
      </c>
    </row>
    <row r="11" spans="2:12" ht="77" x14ac:dyDescent="0.2">
      <c r="B11" s="2217" t="s">
        <v>1351</v>
      </c>
      <c r="C11" s="2220">
        <v>56</v>
      </c>
      <c r="D11" s="2220">
        <v>7</v>
      </c>
      <c r="E11" s="2220">
        <v>5</v>
      </c>
      <c r="F11" s="2220" t="s">
        <v>1352</v>
      </c>
      <c r="G11" s="2176"/>
      <c r="H11" s="2176"/>
      <c r="I11" s="2413">
        <v>6506.7</v>
      </c>
      <c r="J11" s="2413">
        <v>6503.5</v>
      </c>
      <c r="K11" s="2357">
        <f>'2015'!J13</f>
        <v>6503.5</v>
      </c>
    </row>
    <row r="12" spans="2:12" ht="27" x14ac:dyDescent="0.2">
      <c r="B12" s="1243" t="s">
        <v>1830</v>
      </c>
      <c r="C12" s="1245">
        <v>56</v>
      </c>
      <c r="D12" s="1245">
        <v>7</v>
      </c>
      <c r="E12" s="1245">
        <v>3</v>
      </c>
      <c r="F12" s="2355">
        <v>9996162</v>
      </c>
      <c r="G12" s="2355">
        <v>350</v>
      </c>
      <c r="H12" s="2355">
        <v>290</v>
      </c>
      <c r="I12" s="1255">
        <v>0</v>
      </c>
      <c r="J12" s="2437">
        <v>350</v>
      </c>
      <c r="K12" s="2357"/>
    </row>
    <row r="13" spans="2:12" ht="15" x14ac:dyDescent="0.2">
      <c r="B13" s="2208" t="s">
        <v>1831</v>
      </c>
      <c r="C13" s="2206">
        <v>56</v>
      </c>
      <c r="D13" s="2206">
        <v>7</v>
      </c>
      <c r="E13" s="2206">
        <v>9</v>
      </c>
      <c r="F13" s="2220">
        <v>9993038</v>
      </c>
      <c r="G13" s="2206">
        <v>340</v>
      </c>
      <c r="H13" s="2206">
        <v>290</v>
      </c>
      <c r="I13" s="2354">
        <v>0</v>
      </c>
      <c r="J13" s="2438">
        <v>1188</v>
      </c>
      <c r="K13" s="2357">
        <f>'2015'!J14</f>
        <v>1188</v>
      </c>
    </row>
    <row r="14" spans="2:12" ht="15" x14ac:dyDescent="0.2">
      <c r="B14" s="2208" t="s">
        <v>1832</v>
      </c>
      <c r="C14" s="2206">
        <v>56</v>
      </c>
      <c r="D14" s="2439">
        <v>7</v>
      </c>
      <c r="E14" s="2439">
        <v>9</v>
      </c>
      <c r="F14" s="2416">
        <v>9996162</v>
      </c>
      <c r="G14" s="2439">
        <v>350</v>
      </c>
      <c r="H14" s="2439">
        <v>290</v>
      </c>
      <c r="I14" s="2354"/>
      <c r="J14" s="2438">
        <v>1500</v>
      </c>
      <c r="K14" s="2357">
        <f>'2015'!J15</f>
        <v>1500</v>
      </c>
    </row>
    <row r="15" spans="2:12" x14ac:dyDescent="0.15">
      <c r="B15" s="2920" t="s">
        <v>1833</v>
      </c>
      <c r="C15" s="2922">
        <v>56</v>
      </c>
      <c r="D15" s="2922">
        <v>8</v>
      </c>
      <c r="E15" s="2922">
        <v>1</v>
      </c>
      <c r="F15" s="2922" t="s">
        <v>1355</v>
      </c>
      <c r="G15" s="2220">
        <v>540</v>
      </c>
      <c r="H15" s="2924">
        <v>251</v>
      </c>
      <c r="I15" s="2926">
        <v>1015</v>
      </c>
      <c r="J15" s="2971">
        <v>913.5</v>
      </c>
      <c r="K15" s="2928">
        <f>'2015'!J17</f>
        <v>913.5</v>
      </c>
    </row>
    <row r="16" spans="2:12" x14ac:dyDescent="0.15">
      <c r="B16" s="2920"/>
      <c r="C16" s="2922"/>
      <c r="D16" s="2922"/>
      <c r="E16" s="2922"/>
      <c r="F16" s="2922"/>
      <c r="G16" s="2220">
        <v>-190</v>
      </c>
      <c r="H16" s="2924"/>
      <c r="I16" s="2926"/>
      <c r="J16" s="2971"/>
      <c r="K16" s="2928"/>
    </row>
    <row r="17" spans="2:11" ht="14" x14ac:dyDescent="0.15">
      <c r="B17" s="1200" t="s">
        <v>1108</v>
      </c>
      <c r="C17" s="2930">
        <v>56</v>
      </c>
      <c r="D17" s="2930">
        <v>8</v>
      </c>
      <c r="E17" s="2930">
        <v>1</v>
      </c>
      <c r="F17" s="2930">
        <v>2020159</v>
      </c>
      <c r="G17" s="2932"/>
      <c r="H17" s="2934"/>
      <c r="I17" s="2936"/>
      <c r="J17" s="2972"/>
      <c r="K17" s="2928"/>
    </row>
    <row r="18" spans="2:11" ht="55" x14ac:dyDescent="0.15">
      <c r="B18" s="2217" t="s">
        <v>1356</v>
      </c>
      <c r="C18" s="2930"/>
      <c r="D18" s="2930"/>
      <c r="E18" s="2930"/>
      <c r="F18" s="2930"/>
      <c r="G18" s="2932"/>
      <c r="H18" s="2934"/>
      <c r="I18" s="2936"/>
      <c r="J18" s="2972"/>
      <c r="K18" s="2928"/>
    </row>
    <row r="19" spans="2:11" ht="15" x14ac:dyDescent="0.2">
      <c r="B19" s="2418" t="s">
        <v>1125</v>
      </c>
      <c r="C19" s="2416">
        <v>56</v>
      </c>
      <c r="D19" s="2416">
        <v>8</v>
      </c>
      <c r="E19" s="2416">
        <v>1</v>
      </c>
      <c r="F19" s="2416">
        <v>2020159</v>
      </c>
      <c r="G19" s="2419">
        <v>600</v>
      </c>
      <c r="H19" s="2419"/>
      <c r="I19" s="2421">
        <v>32231.9</v>
      </c>
      <c r="J19" s="2421">
        <v>32010.5</v>
      </c>
      <c r="K19" s="2357">
        <f>'2015'!J21</f>
        <v>32010.5</v>
      </c>
    </row>
    <row r="20" spans="2:11" x14ac:dyDescent="0.15">
      <c r="B20" s="2176" t="s">
        <v>38</v>
      </c>
      <c r="C20" s="2932">
        <v>56</v>
      </c>
      <c r="D20" s="2932">
        <v>8</v>
      </c>
      <c r="E20" s="2932">
        <v>1</v>
      </c>
      <c r="F20" s="2930">
        <v>2020259</v>
      </c>
      <c r="G20" s="2942"/>
      <c r="H20" s="2932"/>
      <c r="I20" s="2940"/>
      <c r="J20" s="2972"/>
      <c r="K20" s="2928"/>
    </row>
    <row r="21" spans="2:11" ht="55" x14ac:dyDescent="0.15">
      <c r="B21" s="2217" t="s">
        <v>1357</v>
      </c>
      <c r="C21" s="2932"/>
      <c r="D21" s="2932"/>
      <c r="E21" s="2932"/>
      <c r="F21" s="2930"/>
      <c r="G21" s="2942"/>
      <c r="H21" s="2932"/>
      <c r="I21" s="2940"/>
      <c r="J21" s="2972"/>
      <c r="K21" s="2928"/>
    </row>
    <row r="22" spans="2:11" ht="15" x14ac:dyDescent="0.2">
      <c r="B22" s="2418" t="s">
        <v>1125</v>
      </c>
      <c r="C22" s="2220">
        <v>56</v>
      </c>
      <c r="D22" s="2220">
        <v>8</v>
      </c>
      <c r="E22" s="2220">
        <v>1</v>
      </c>
      <c r="F22" s="2416">
        <v>2020259</v>
      </c>
      <c r="G22" s="2419">
        <v>600</v>
      </c>
      <c r="H22" s="2419"/>
      <c r="I22" s="2421">
        <v>76090.3</v>
      </c>
      <c r="J22" s="2421">
        <v>83471.8</v>
      </c>
      <c r="K22" s="2357">
        <f>'2015'!J22</f>
        <v>83471.8</v>
      </c>
    </row>
    <row r="23" spans="2:11" x14ac:dyDescent="0.15">
      <c r="B23" s="2176" t="s">
        <v>43</v>
      </c>
      <c r="C23" s="2932">
        <v>56</v>
      </c>
      <c r="D23" s="2932">
        <v>8</v>
      </c>
      <c r="E23" s="2932">
        <v>1</v>
      </c>
      <c r="F23" s="2930">
        <v>2020359</v>
      </c>
      <c r="G23" s="2942"/>
      <c r="H23" s="2934"/>
      <c r="I23" s="2940"/>
      <c r="J23" s="2972"/>
      <c r="K23" s="2928"/>
    </row>
    <row r="24" spans="2:11" ht="55" x14ac:dyDescent="0.15">
      <c r="B24" s="2217" t="s">
        <v>1358</v>
      </c>
      <c r="C24" s="2932"/>
      <c r="D24" s="2932"/>
      <c r="E24" s="2932"/>
      <c r="F24" s="2930"/>
      <c r="G24" s="2942"/>
      <c r="H24" s="2934"/>
      <c r="I24" s="2940"/>
      <c r="J24" s="2972"/>
      <c r="K24" s="2928"/>
    </row>
    <row r="25" spans="2:11" ht="15" x14ac:dyDescent="0.2">
      <c r="B25" s="2418" t="s">
        <v>1125</v>
      </c>
      <c r="C25" s="2220">
        <v>56</v>
      </c>
      <c r="D25" s="2220">
        <v>8</v>
      </c>
      <c r="E25" s="2220">
        <v>1</v>
      </c>
      <c r="F25" s="2416">
        <v>2020359</v>
      </c>
      <c r="G25" s="2419">
        <v>600</v>
      </c>
      <c r="H25" s="2419"/>
      <c r="I25" s="2421">
        <v>21370.1</v>
      </c>
      <c r="J25" s="2421">
        <v>22152.7</v>
      </c>
      <c r="K25" s="2357">
        <f>'2015'!J23</f>
        <v>22152.7</v>
      </c>
    </row>
    <row r="26" spans="2:11" ht="55" x14ac:dyDescent="0.2">
      <c r="B26" s="2453" t="s">
        <v>1834</v>
      </c>
      <c r="C26" s="2220">
        <v>56</v>
      </c>
      <c r="D26" s="2220">
        <v>8</v>
      </c>
      <c r="E26" s="2220">
        <v>1</v>
      </c>
      <c r="F26" s="2416">
        <v>2020459</v>
      </c>
      <c r="G26" s="2454"/>
      <c r="H26" s="2454"/>
      <c r="I26" s="1289"/>
      <c r="J26" s="2455"/>
      <c r="K26" s="2357"/>
    </row>
    <row r="27" spans="2:11" ht="15" x14ac:dyDescent="0.2">
      <c r="B27" s="2418" t="s">
        <v>1125</v>
      </c>
      <c r="C27" s="2220">
        <v>56</v>
      </c>
      <c r="D27" s="2220">
        <v>8</v>
      </c>
      <c r="E27" s="2220">
        <v>1</v>
      </c>
      <c r="F27" s="2416">
        <v>2020459</v>
      </c>
      <c r="G27" s="2419">
        <v>600</v>
      </c>
      <c r="H27" s="2419"/>
      <c r="I27" s="2421">
        <v>198240.5</v>
      </c>
      <c r="J27" s="2421">
        <v>193022.2</v>
      </c>
      <c r="K27" s="2357">
        <f>'2015'!J24</f>
        <v>193022.3</v>
      </c>
    </row>
    <row r="28" spans="2:11" ht="55" x14ac:dyDescent="0.2">
      <c r="B28" s="2217" t="s">
        <v>1360</v>
      </c>
      <c r="C28" s="2220">
        <v>56</v>
      </c>
      <c r="D28" s="2220">
        <v>8</v>
      </c>
      <c r="E28" s="2220">
        <v>1</v>
      </c>
      <c r="F28" s="2416">
        <v>2020559</v>
      </c>
      <c r="G28" s="2220"/>
      <c r="H28" s="2220"/>
      <c r="I28" s="1289"/>
      <c r="J28" s="2414"/>
      <c r="K28" s="2357"/>
    </row>
    <row r="29" spans="2:11" ht="15" x14ac:dyDescent="0.2">
      <c r="B29" s="2418" t="s">
        <v>1125</v>
      </c>
      <c r="C29" s="2220">
        <v>56</v>
      </c>
      <c r="D29" s="2220">
        <v>8</v>
      </c>
      <c r="E29" s="2220">
        <v>1</v>
      </c>
      <c r="F29" s="2416">
        <v>2020559</v>
      </c>
      <c r="G29" s="2419">
        <v>600</v>
      </c>
      <c r="H29" s="2419"/>
      <c r="I29" s="2421">
        <v>56549.599999999999</v>
      </c>
      <c r="J29" s="2421">
        <v>55329</v>
      </c>
      <c r="K29" s="2357">
        <f>'2015'!J25</f>
        <v>55329</v>
      </c>
    </row>
    <row r="30" spans="2:11" ht="55" x14ac:dyDescent="0.2">
      <c r="B30" s="2217" t="s">
        <v>1361</v>
      </c>
      <c r="C30" s="2220">
        <v>56</v>
      </c>
      <c r="D30" s="2220">
        <v>8</v>
      </c>
      <c r="E30" s="2220">
        <v>1</v>
      </c>
      <c r="F30" s="2416">
        <v>2020659</v>
      </c>
      <c r="G30" s="2220"/>
      <c r="H30" s="2220"/>
      <c r="I30" s="2414"/>
      <c r="J30" s="2414"/>
      <c r="K30" s="2357"/>
    </row>
    <row r="31" spans="2:11" ht="15" x14ac:dyDescent="0.2">
      <c r="B31" s="2418" t="s">
        <v>1125</v>
      </c>
      <c r="C31" s="2220">
        <v>56</v>
      </c>
      <c r="D31" s="2220">
        <v>8</v>
      </c>
      <c r="E31" s="2220">
        <v>1</v>
      </c>
      <c r="F31" s="2416">
        <v>2020659</v>
      </c>
      <c r="G31" s="2419">
        <v>600</v>
      </c>
      <c r="H31" s="2419"/>
      <c r="I31" s="2421">
        <v>562784.80000000005</v>
      </c>
      <c r="J31" s="2421">
        <v>630196.9</v>
      </c>
      <c r="K31" s="2357">
        <f>'2015'!J26</f>
        <v>630196.9</v>
      </c>
    </row>
    <row r="32" spans="2:11" ht="44" x14ac:dyDescent="0.2">
      <c r="B32" s="2489" t="s">
        <v>1363</v>
      </c>
      <c r="C32" s="2439">
        <v>56</v>
      </c>
      <c r="D32" s="2439">
        <v>8</v>
      </c>
      <c r="E32" s="2439">
        <v>1</v>
      </c>
      <c r="F32" s="2439">
        <v>2026233</v>
      </c>
      <c r="G32" s="2439"/>
      <c r="H32" s="2439"/>
      <c r="I32" s="2417">
        <v>10614.5</v>
      </c>
      <c r="J32" s="2417">
        <v>8729.7999999999993</v>
      </c>
      <c r="K32" s="2357">
        <f>'2015'!J27</f>
        <v>8729.7000000000007</v>
      </c>
    </row>
    <row r="33" spans="2:11" ht="33" x14ac:dyDescent="0.2">
      <c r="B33" s="2216" t="s">
        <v>1364</v>
      </c>
      <c r="C33" s="2175">
        <v>56</v>
      </c>
      <c r="D33" s="2175">
        <v>8</v>
      </c>
      <c r="E33" s="2175">
        <v>1</v>
      </c>
      <c r="F33" s="2416">
        <v>2026486</v>
      </c>
      <c r="G33" s="2175"/>
      <c r="H33" s="2175"/>
      <c r="I33" s="2490">
        <v>3500</v>
      </c>
      <c r="J33" s="2487">
        <v>951</v>
      </c>
      <c r="K33" s="2357">
        <f>'2015'!J28</f>
        <v>951</v>
      </c>
    </row>
    <row r="34" spans="2:11" ht="15" x14ac:dyDescent="0.2">
      <c r="B34" s="2219" t="s">
        <v>781</v>
      </c>
      <c r="C34" s="2220">
        <v>56</v>
      </c>
      <c r="D34" s="2220">
        <v>8</v>
      </c>
      <c r="E34" s="2220">
        <v>1</v>
      </c>
      <c r="F34" s="2220">
        <v>2026486</v>
      </c>
      <c r="G34" s="2220">
        <v>244</v>
      </c>
      <c r="H34" s="2175">
        <v>226</v>
      </c>
      <c r="I34" s="2490">
        <v>3500</v>
      </c>
      <c r="J34" s="2487">
        <v>951</v>
      </c>
      <c r="K34" s="2357"/>
    </row>
    <row r="35" spans="2:11" ht="16" x14ac:dyDescent="0.15">
      <c r="B35" s="2407" t="s">
        <v>1835</v>
      </c>
      <c r="C35" s="2951">
        <v>56</v>
      </c>
      <c r="D35" s="2951">
        <v>8</v>
      </c>
      <c r="E35" s="2951">
        <v>4</v>
      </c>
      <c r="F35" s="2951"/>
      <c r="G35" s="2951"/>
      <c r="H35" s="2951"/>
      <c r="I35" s="2948">
        <v>31822.400000000001</v>
      </c>
      <c r="J35" s="2948">
        <v>29945.519</v>
      </c>
      <c r="K35" s="2798"/>
    </row>
    <row r="36" spans="2:11" ht="48" x14ac:dyDescent="0.15">
      <c r="B36" s="2407" t="s">
        <v>1836</v>
      </c>
      <c r="C36" s="2951"/>
      <c r="D36" s="2951"/>
      <c r="E36" s="2951"/>
      <c r="F36" s="2951"/>
      <c r="G36" s="2951"/>
      <c r="H36" s="2951"/>
      <c r="I36" s="2948"/>
      <c r="J36" s="2948"/>
      <c r="K36" s="2798"/>
    </row>
    <row r="37" spans="2:11" ht="42" x14ac:dyDescent="0.2">
      <c r="B37" s="2491" t="s">
        <v>1184</v>
      </c>
      <c r="C37" s="2492">
        <v>56</v>
      </c>
      <c r="D37" s="2492">
        <v>8</v>
      </c>
      <c r="E37" s="2492">
        <v>4</v>
      </c>
      <c r="F37" s="2492">
        <v>2030000</v>
      </c>
      <c r="G37" s="2492"/>
      <c r="H37" s="2492"/>
      <c r="I37" s="2438">
        <v>27859</v>
      </c>
      <c r="J37" s="2438">
        <v>26378.419000000002</v>
      </c>
      <c r="K37" s="2357"/>
    </row>
    <row r="38" spans="2:11" ht="66" x14ac:dyDescent="0.2">
      <c r="B38" s="2216" t="s">
        <v>1365</v>
      </c>
      <c r="C38" s="2416">
        <v>56</v>
      </c>
      <c r="D38" s="2416">
        <v>8</v>
      </c>
      <c r="E38" s="2416">
        <v>4</v>
      </c>
      <c r="F38" s="2416">
        <v>2030011</v>
      </c>
      <c r="G38" s="2416">
        <v>100</v>
      </c>
      <c r="H38" s="2416"/>
      <c r="I38" s="2427">
        <v>21909</v>
      </c>
      <c r="J38" s="2427">
        <v>21590.777999999998</v>
      </c>
      <c r="K38" s="2357">
        <f>'2015'!J29</f>
        <v>21590.78</v>
      </c>
    </row>
    <row r="39" spans="2:11" ht="15" x14ac:dyDescent="0.2">
      <c r="B39" s="2217"/>
      <c r="C39" s="2416"/>
      <c r="D39" s="2416"/>
      <c r="E39" s="2416"/>
      <c r="F39" s="2416">
        <v>2030019</v>
      </c>
      <c r="G39" s="2416">
        <v>100</v>
      </c>
      <c r="H39" s="2416"/>
      <c r="I39" s="2427">
        <v>1135</v>
      </c>
      <c r="J39" s="2427">
        <v>1495.922</v>
      </c>
      <c r="K39" s="2357">
        <f>'2015'!J30</f>
        <v>1495.92</v>
      </c>
    </row>
    <row r="40" spans="2:11" ht="55" x14ac:dyDescent="0.2">
      <c r="B40" s="2216" t="s">
        <v>1366</v>
      </c>
      <c r="C40" s="2416">
        <v>56</v>
      </c>
      <c r="D40" s="2416">
        <v>8</v>
      </c>
      <c r="E40" s="2416">
        <v>4</v>
      </c>
      <c r="F40" s="2416">
        <v>2030019</v>
      </c>
      <c r="G40" s="2416">
        <v>200</v>
      </c>
      <c r="H40" s="2416"/>
      <c r="I40" s="2427">
        <v>4295</v>
      </c>
      <c r="J40" s="2427">
        <v>2880.0189999999998</v>
      </c>
      <c r="K40" s="2357">
        <f>'2015'!J31</f>
        <v>2880.02</v>
      </c>
    </row>
    <row r="41" spans="2:11" ht="44" x14ac:dyDescent="0.2">
      <c r="B41" s="2216" t="s">
        <v>1367</v>
      </c>
      <c r="C41" s="2416">
        <v>56</v>
      </c>
      <c r="D41" s="2416">
        <v>8</v>
      </c>
      <c r="E41" s="2416">
        <v>4</v>
      </c>
      <c r="F41" s="2416">
        <v>2030019</v>
      </c>
      <c r="G41" s="2416">
        <v>800</v>
      </c>
      <c r="H41" s="2416"/>
      <c r="I41" s="2428">
        <v>520</v>
      </c>
      <c r="J41" s="2428">
        <v>411.7</v>
      </c>
      <c r="K41" s="2357">
        <f>'2015'!J32</f>
        <v>411.7</v>
      </c>
    </row>
    <row r="42" spans="2:11" ht="16" x14ac:dyDescent="0.2">
      <c r="B42" s="2219" t="s">
        <v>78</v>
      </c>
      <c r="C42" s="2220">
        <v>56</v>
      </c>
      <c r="D42" s="2220">
        <v>8</v>
      </c>
      <c r="E42" s="2220">
        <v>4</v>
      </c>
      <c r="F42" s="2220" t="s">
        <v>1368</v>
      </c>
      <c r="G42" s="2220">
        <v>121</v>
      </c>
      <c r="H42" s="2220">
        <v>211</v>
      </c>
      <c r="I42" s="2493">
        <v>16827.2</v>
      </c>
      <c r="J42" s="2494">
        <v>16707.477999999999</v>
      </c>
      <c r="K42" s="2357"/>
    </row>
    <row r="43" spans="2:11" ht="16" x14ac:dyDescent="0.2">
      <c r="B43" s="2219" t="s">
        <v>84</v>
      </c>
      <c r="C43" s="2220">
        <v>56</v>
      </c>
      <c r="D43" s="2220">
        <v>8</v>
      </c>
      <c r="E43" s="2220">
        <v>4</v>
      </c>
      <c r="F43" s="2220" t="s">
        <v>1368</v>
      </c>
      <c r="G43" s="2220">
        <v>121</v>
      </c>
      <c r="H43" s="2220">
        <v>213</v>
      </c>
      <c r="I43" s="2493">
        <v>5081.8</v>
      </c>
      <c r="J43" s="2494">
        <v>4883.3</v>
      </c>
      <c r="K43" s="2357"/>
    </row>
    <row r="44" spans="2:11" ht="16" x14ac:dyDescent="0.2">
      <c r="B44" s="2219" t="s">
        <v>83</v>
      </c>
      <c r="C44" s="2220">
        <v>56</v>
      </c>
      <c r="D44" s="2220">
        <v>8</v>
      </c>
      <c r="E44" s="2220">
        <v>4</v>
      </c>
      <c r="F44" s="2416">
        <v>2030019</v>
      </c>
      <c r="G44" s="2220">
        <v>122</v>
      </c>
      <c r="H44" s="2220">
        <v>212</v>
      </c>
      <c r="I44" s="2495">
        <v>35</v>
      </c>
      <c r="J44" s="2496">
        <v>65</v>
      </c>
      <c r="K44" s="2357"/>
    </row>
    <row r="45" spans="2:11" ht="16" x14ac:dyDescent="0.2">
      <c r="B45" s="2219" t="s">
        <v>86</v>
      </c>
      <c r="C45" s="2220">
        <v>56</v>
      </c>
      <c r="D45" s="2220">
        <v>8</v>
      </c>
      <c r="E45" s="2220">
        <v>4</v>
      </c>
      <c r="F45" s="2416">
        <v>2030019</v>
      </c>
      <c r="G45" s="2220">
        <v>122</v>
      </c>
      <c r="H45" s="2220">
        <v>222</v>
      </c>
      <c r="I45" s="2495">
        <v>600</v>
      </c>
      <c r="J45" s="2496">
        <v>790</v>
      </c>
      <c r="K45" s="2357"/>
    </row>
    <row r="46" spans="2:11" ht="16" x14ac:dyDescent="0.2">
      <c r="B46" s="2219" t="s">
        <v>91</v>
      </c>
      <c r="C46" s="2220">
        <v>56</v>
      </c>
      <c r="D46" s="2220">
        <v>8</v>
      </c>
      <c r="E46" s="2220">
        <v>4</v>
      </c>
      <c r="F46" s="2416">
        <v>2030019</v>
      </c>
      <c r="G46" s="2220">
        <v>122</v>
      </c>
      <c r="H46" s="2220">
        <v>226</v>
      </c>
      <c r="I46" s="2495">
        <v>500</v>
      </c>
      <c r="J46" s="2496">
        <v>450</v>
      </c>
      <c r="K46" s="2357"/>
    </row>
    <row r="47" spans="2:11" ht="16" x14ac:dyDescent="0.2">
      <c r="B47" s="2219" t="s">
        <v>1837</v>
      </c>
      <c r="C47" s="2220">
        <v>56</v>
      </c>
      <c r="D47" s="2220">
        <v>8</v>
      </c>
      <c r="E47" s="2220">
        <v>4</v>
      </c>
      <c r="F47" s="2416">
        <v>2030019</v>
      </c>
      <c r="G47" s="2220">
        <v>122</v>
      </c>
      <c r="H47" s="2220">
        <v>262</v>
      </c>
      <c r="I47" s="2211">
        <v>0</v>
      </c>
      <c r="J47" s="2496">
        <v>190.922</v>
      </c>
      <c r="K47" s="2357"/>
    </row>
    <row r="48" spans="2:11" ht="16" x14ac:dyDescent="0.2">
      <c r="B48" s="2219" t="s">
        <v>85</v>
      </c>
      <c r="C48" s="2220">
        <v>56</v>
      </c>
      <c r="D48" s="2220">
        <v>8</v>
      </c>
      <c r="E48" s="2220">
        <v>4</v>
      </c>
      <c r="F48" s="2416">
        <v>2030019</v>
      </c>
      <c r="G48" s="2220">
        <v>244</v>
      </c>
      <c r="H48" s="2220">
        <v>221</v>
      </c>
      <c r="I48" s="2495">
        <v>463</v>
      </c>
      <c r="J48" s="2496">
        <v>416.7</v>
      </c>
      <c r="K48" s="2357"/>
    </row>
    <row r="49" spans="2:11" ht="16" x14ac:dyDescent="0.2">
      <c r="B49" s="2219" t="s">
        <v>87</v>
      </c>
      <c r="C49" s="2220">
        <v>56</v>
      </c>
      <c r="D49" s="2220">
        <v>8</v>
      </c>
      <c r="E49" s="2220">
        <v>4</v>
      </c>
      <c r="F49" s="2416">
        <v>2030019</v>
      </c>
      <c r="G49" s="2220">
        <v>244</v>
      </c>
      <c r="H49" s="2220">
        <v>223</v>
      </c>
      <c r="I49" s="2495">
        <v>343</v>
      </c>
      <c r="J49" s="2496">
        <v>308.7</v>
      </c>
      <c r="K49" s="2357"/>
    </row>
    <row r="50" spans="2:11" ht="16" x14ac:dyDescent="0.2">
      <c r="B50" s="2219" t="s">
        <v>90</v>
      </c>
      <c r="C50" s="2220">
        <v>56</v>
      </c>
      <c r="D50" s="2220">
        <v>8</v>
      </c>
      <c r="E50" s="2220">
        <v>4</v>
      </c>
      <c r="F50" s="2416">
        <v>2030019</v>
      </c>
      <c r="G50" s="2220">
        <v>244</v>
      </c>
      <c r="H50" s="2220">
        <v>225</v>
      </c>
      <c r="I50" s="2495">
        <v>350</v>
      </c>
      <c r="J50" s="2496">
        <v>140</v>
      </c>
      <c r="K50" s="2357"/>
    </row>
    <row r="51" spans="2:11" ht="16" x14ac:dyDescent="0.2">
      <c r="B51" s="2219" t="s">
        <v>91</v>
      </c>
      <c r="C51" s="2220">
        <v>56</v>
      </c>
      <c r="D51" s="2220">
        <v>8</v>
      </c>
      <c r="E51" s="2220">
        <v>4</v>
      </c>
      <c r="F51" s="2416">
        <v>2030019</v>
      </c>
      <c r="G51" s="2220">
        <v>244</v>
      </c>
      <c r="H51" s="2220">
        <v>226</v>
      </c>
      <c r="I51" s="2493">
        <v>1332.6</v>
      </c>
      <c r="J51" s="2496">
        <v>829.61900000000003</v>
      </c>
      <c r="K51" s="2357"/>
    </row>
    <row r="52" spans="2:11" ht="16" x14ac:dyDescent="0.2">
      <c r="B52" s="2219" t="s">
        <v>96</v>
      </c>
      <c r="C52" s="2220">
        <v>56</v>
      </c>
      <c r="D52" s="2220">
        <v>8</v>
      </c>
      <c r="E52" s="2220">
        <v>4</v>
      </c>
      <c r="F52" s="2416">
        <v>2030019</v>
      </c>
      <c r="G52" s="2220">
        <v>244</v>
      </c>
      <c r="H52" s="2220">
        <v>310</v>
      </c>
      <c r="I52" s="2495">
        <v>900</v>
      </c>
      <c r="J52" s="2496">
        <v>285</v>
      </c>
      <c r="K52" s="2357"/>
    </row>
    <row r="53" spans="2:11" ht="16" x14ac:dyDescent="0.2">
      <c r="B53" s="2219" t="s">
        <v>97</v>
      </c>
      <c r="C53" s="2220">
        <v>56</v>
      </c>
      <c r="D53" s="2220">
        <v>8</v>
      </c>
      <c r="E53" s="2220">
        <v>4</v>
      </c>
      <c r="F53" s="2416">
        <v>2030019</v>
      </c>
      <c r="G53" s="2220">
        <v>244</v>
      </c>
      <c r="H53" s="2220">
        <v>340</v>
      </c>
      <c r="I53" s="2495">
        <v>906.4</v>
      </c>
      <c r="J53" s="2496">
        <v>900</v>
      </c>
      <c r="K53" s="2357"/>
    </row>
    <row r="54" spans="2:11" ht="16" x14ac:dyDescent="0.2">
      <c r="B54" s="2219" t="s">
        <v>94</v>
      </c>
      <c r="C54" s="2220">
        <v>56</v>
      </c>
      <c r="D54" s="2220">
        <v>8</v>
      </c>
      <c r="E54" s="2220">
        <v>4</v>
      </c>
      <c r="F54" s="2416">
        <v>2030019</v>
      </c>
      <c r="G54" s="2220">
        <v>831</v>
      </c>
      <c r="H54" s="2220">
        <v>290</v>
      </c>
      <c r="I54" s="2495">
        <v>0</v>
      </c>
      <c r="J54" s="2496">
        <v>5</v>
      </c>
      <c r="K54" s="2357"/>
    </row>
    <row r="55" spans="2:11" ht="16" x14ac:dyDescent="0.2">
      <c r="B55" s="2219" t="s">
        <v>94</v>
      </c>
      <c r="C55" s="2220">
        <v>56</v>
      </c>
      <c r="D55" s="2220">
        <v>8</v>
      </c>
      <c r="E55" s="2220">
        <v>4</v>
      </c>
      <c r="F55" s="2416">
        <v>2030019</v>
      </c>
      <c r="G55" s="2220">
        <v>851</v>
      </c>
      <c r="H55" s="2220">
        <v>290</v>
      </c>
      <c r="I55" s="2495">
        <v>400</v>
      </c>
      <c r="J55" s="2496">
        <v>357.7</v>
      </c>
      <c r="K55" s="2357"/>
    </row>
    <row r="56" spans="2:11" ht="16" x14ac:dyDescent="0.2">
      <c r="B56" s="2219" t="s">
        <v>94</v>
      </c>
      <c r="C56" s="2220">
        <v>56</v>
      </c>
      <c r="D56" s="2220">
        <v>8</v>
      </c>
      <c r="E56" s="2220">
        <v>4</v>
      </c>
      <c r="F56" s="2416">
        <v>2030019</v>
      </c>
      <c r="G56" s="2220">
        <v>852</v>
      </c>
      <c r="H56" s="2220">
        <v>290</v>
      </c>
      <c r="I56" s="2495">
        <v>120</v>
      </c>
      <c r="J56" s="2496">
        <v>49</v>
      </c>
      <c r="K56" s="2357"/>
    </row>
    <row r="57" spans="2:11" ht="26" x14ac:dyDescent="0.2">
      <c r="B57" s="2497" t="s">
        <v>1838</v>
      </c>
      <c r="C57" s="2452">
        <v>56</v>
      </c>
      <c r="D57" s="2452">
        <v>8</v>
      </c>
      <c r="E57" s="2452">
        <v>4</v>
      </c>
      <c r="F57" s="2452">
        <v>2035950</v>
      </c>
      <c r="G57" s="2206"/>
      <c r="H57" s="2206"/>
      <c r="I57" s="2412">
        <v>3963.4</v>
      </c>
      <c r="J57" s="2412">
        <v>3567.1</v>
      </c>
      <c r="K57" s="2357"/>
    </row>
    <row r="58" spans="2:11" ht="52" x14ac:dyDescent="0.2">
      <c r="B58" s="2219" t="s">
        <v>1839</v>
      </c>
      <c r="C58" s="2220">
        <v>56</v>
      </c>
      <c r="D58" s="2220">
        <v>8</v>
      </c>
      <c r="E58" s="2220">
        <v>4</v>
      </c>
      <c r="F58" s="2220">
        <v>2035950</v>
      </c>
      <c r="G58" s="2175">
        <v>100</v>
      </c>
      <c r="H58" s="2175"/>
      <c r="I58" s="2411">
        <v>3223.9</v>
      </c>
      <c r="J58" s="2411">
        <v>3115.3339999999998</v>
      </c>
      <c r="K58" s="2357">
        <f>'2015'!J33</f>
        <v>3115.33</v>
      </c>
    </row>
    <row r="59" spans="2:11" ht="52" x14ac:dyDescent="0.2">
      <c r="B59" s="2219" t="s">
        <v>1840</v>
      </c>
      <c r="C59" s="2220">
        <v>56</v>
      </c>
      <c r="D59" s="2220">
        <v>8</v>
      </c>
      <c r="E59" s="2220">
        <v>4</v>
      </c>
      <c r="F59" s="2220">
        <v>2035950</v>
      </c>
      <c r="G59" s="2175">
        <v>200</v>
      </c>
      <c r="H59" s="2175"/>
      <c r="I59" s="2487">
        <v>739.5</v>
      </c>
      <c r="J59" s="2487">
        <v>451.76600000000002</v>
      </c>
      <c r="K59" s="2357">
        <f>'2015'!J34</f>
        <v>451.77</v>
      </c>
    </row>
    <row r="60" spans="2:11" x14ac:dyDescent="0.15">
      <c r="B60" s="2949" t="s">
        <v>78</v>
      </c>
      <c r="C60" s="2932">
        <v>56</v>
      </c>
      <c r="D60" s="2932">
        <v>8</v>
      </c>
      <c r="E60" s="2932">
        <v>4</v>
      </c>
      <c r="F60" s="2932">
        <v>2035950</v>
      </c>
      <c r="G60" s="2220">
        <v>121</v>
      </c>
      <c r="H60" s="2932">
        <v>211</v>
      </c>
      <c r="I60" s="2950">
        <v>2354.8000000000002</v>
      </c>
      <c r="J60" s="2952">
        <v>2354.8000000000002</v>
      </c>
      <c r="K60" s="2928"/>
    </row>
    <row r="61" spans="2:11" x14ac:dyDescent="0.15">
      <c r="B61" s="2949"/>
      <c r="C61" s="2932"/>
      <c r="D61" s="2932"/>
      <c r="E61" s="2932"/>
      <c r="F61" s="2932"/>
      <c r="G61" s="2220">
        <v>-783</v>
      </c>
      <c r="H61" s="2932"/>
      <c r="I61" s="2950"/>
      <c r="J61" s="2952"/>
      <c r="K61" s="2928"/>
    </row>
    <row r="62" spans="2:11" ht="15" x14ac:dyDescent="0.2">
      <c r="B62" s="2219" t="s">
        <v>84</v>
      </c>
      <c r="C62" s="2220">
        <v>56</v>
      </c>
      <c r="D62" s="2220">
        <v>8</v>
      </c>
      <c r="E62" s="2220">
        <v>4</v>
      </c>
      <c r="F62" s="2220">
        <v>2035950</v>
      </c>
      <c r="G62" s="2220">
        <v>121</v>
      </c>
      <c r="H62" s="2220">
        <v>213</v>
      </c>
      <c r="I62" s="2224">
        <v>711.1</v>
      </c>
      <c r="J62" s="2498">
        <v>711.1</v>
      </c>
      <c r="K62" s="2357"/>
    </row>
    <row r="63" spans="2:11" ht="15" x14ac:dyDescent="0.2">
      <c r="B63" s="2219" t="s">
        <v>83</v>
      </c>
      <c r="C63" s="2220">
        <v>56</v>
      </c>
      <c r="D63" s="2220">
        <v>8</v>
      </c>
      <c r="E63" s="2220">
        <v>4</v>
      </c>
      <c r="F63" s="2220">
        <v>2035950</v>
      </c>
      <c r="G63" s="2220">
        <v>122</v>
      </c>
      <c r="H63" s="2220">
        <v>212</v>
      </c>
      <c r="I63" s="2224">
        <v>8</v>
      </c>
      <c r="J63" s="2498">
        <v>8</v>
      </c>
      <c r="K63" s="2357"/>
    </row>
    <row r="64" spans="2:11" ht="15" x14ac:dyDescent="0.2">
      <c r="B64" s="2219" t="s">
        <v>86</v>
      </c>
      <c r="C64" s="2220">
        <v>56</v>
      </c>
      <c r="D64" s="2220">
        <v>8</v>
      </c>
      <c r="E64" s="2220">
        <v>4</v>
      </c>
      <c r="F64" s="2220">
        <v>2035950</v>
      </c>
      <c r="G64" s="2220">
        <v>122</v>
      </c>
      <c r="H64" s="2220">
        <v>222</v>
      </c>
      <c r="I64" s="2224">
        <v>60</v>
      </c>
      <c r="J64" s="2498">
        <v>0</v>
      </c>
      <c r="K64" s="2357"/>
    </row>
    <row r="65" spans="2:11" ht="15" x14ac:dyDescent="0.2">
      <c r="B65" s="2219" t="s">
        <v>91</v>
      </c>
      <c r="C65" s="2220">
        <v>56</v>
      </c>
      <c r="D65" s="2220">
        <v>8</v>
      </c>
      <c r="E65" s="2220">
        <v>4</v>
      </c>
      <c r="F65" s="2220">
        <v>2035950</v>
      </c>
      <c r="G65" s="2220">
        <v>122</v>
      </c>
      <c r="H65" s="2220">
        <v>226</v>
      </c>
      <c r="I65" s="2224">
        <v>90</v>
      </c>
      <c r="J65" s="2498">
        <v>41.433999999999997</v>
      </c>
      <c r="K65" s="2357"/>
    </row>
    <row r="66" spans="2:11" ht="15" x14ac:dyDescent="0.2">
      <c r="B66" s="2219" t="s">
        <v>90</v>
      </c>
      <c r="C66" s="2220">
        <v>56</v>
      </c>
      <c r="D66" s="2220">
        <v>8</v>
      </c>
      <c r="E66" s="2220">
        <v>4</v>
      </c>
      <c r="F66" s="2220">
        <v>2035950</v>
      </c>
      <c r="G66" s="2220">
        <v>244</v>
      </c>
      <c r="H66" s="2220">
        <v>222</v>
      </c>
      <c r="I66" s="2224">
        <v>150</v>
      </c>
      <c r="J66" s="2498">
        <v>191</v>
      </c>
      <c r="K66" s="2357"/>
    </row>
    <row r="67" spans="2:11" ht="15" x14ac:dyDescent="0.2">
      <c r="B67" s="2219" t="s">
        <v>90</v>
      </c>
      <c r="C67" s="2220">
        <v>56</v>
      </c>
      <c r="D67" s="2220">
        <v>8</v>
      </c>
      <c r="E67" s="2220">
        <v>4</v>
      </c>
      <c r="F67" s="2220">
        <v>2035950</v>
      </c>
      <c r="G67" s="2220">
        <v>244</v>
      </c>
      <c r="H67" s="2220">
        <v>225</v>
      </c>
      <c r="I67" s="2224">
        <v>40</v>
      </c>
      <c r="J67" s="2498">
        <v>27.7</v>
      </c>
      <c r="K67" s="2357"/>
    </row>
    <row r="68" spans="2:11" ht="15" x14ac:dyDescent="0.2">
      <c r="B68" s="2219" t="s">
        <v>91</v>
      </c>
      <c r="C68" s="2220">
        <v>56</v>
      </c>
      <c r="D68" s="2220">
        <v>8</v>
      </c>
      <c r="E68" s="2220">
        <v>4</v>
      </c>
      <c r="F68" s="2220">
        <v>2035950</v>
      </c>
      <c r="G68" s="2220">
        <v>244</v>
      </c>
      <c r="H68" s="2220">
        <v>226</v>
      </c>
      <c r="I68" s="2224">
        <v>320</v>
      </c>
      <c r="J68" s="2498">
        <v>103.566</v>
      </c>
      <c r="K68" s="2357"/>
    </row>
    <row r="69" spans="2:11" ht="15" x14ac:dyDescent="0.2">
      <c r="B69" s="2219" t="s">
        <v>96</v>
      </c>
      <c r="C69" s="2220">
        <v>56</v>
      </c>
      <c r="D69" s="2220">
        <v>8</v>
      </c>
      <c r="E69" s="2220">
        <v>4</v>
      </c>
      <c r="F69" s="2220">
        <v>2035950</v>
      </c>
      <c r="G69" s="2220">
        <v>244</v>
      </c>
      <c r="H69" s="2220">
        <v>310</v>
      </c>
      <c r="I69" s="2224">
        <v>100</v>
      </c>
      <c r="J69" s="2498">
        <v>0</v>
      </c>
      <c r="K69" s="2357"/>
    </row>
    <row r="70" spans="2:11" ht="15" x14ac:dyDescent="0.2">
      <c r="B70" s="2219" t="s">
        <v>97</v>
      </c>
      <c r="C70" s="2220">
        <v>56</v>
      </c>
      <c r="D70" s="2220">
        <v>8</v>
      </c>
      <c r="E70" s="2220">
        <v>4</v>
      </c>
      <c r="F70" s="2220">
        <v>2035950</v>
      </c>
      <c r="G70" s="2220">
        <v>244</v>
      </c>
      <c r="H70" s="2220">
        <v>340</v>
      </c>
      <c r="I70" s="2224">
        <v>129.5</v>
      </c>
      <c r="J70" s="2498">
        <v>129.5</v>
      </c>
      <c r="K70" s="2357"/>
    </row>
    <row r="71" spans="2:11" ht="104" x14ac:dyDescent="0.2">
      <c r="B71" s="2225" t="s">
        <v>1841</v>
      </c>
      <c r="C71" s="2416">
        <v>56</v>
      </c>
      <c r="D71" s="2416">
        <v>10</v>
      </c>
      <c r="E71" s="2416">
        <v>4</v>
      </c>
      <c r="F71" s="2416">
        <v>2237151</v>
      </c>
      <c r="G71" s="2416">
        <v>313</v>
      </c>
      <c r="H71" s="2416">
        <v>262</v>
      </c>
      <c r="I71" s="2429">
        <v>621</v>
      </c>
      <c r="J71" s="2428">
        <v>576.59699999999998</v>
      </c>
      <c r="K71" s="2357">
        <f>'2015'!J36</f>
        <v>576.59699999999998</v>
      </c>
    </row>
    <row r="72" spans="2:11" ht="39" x14ac:dyDescent="0.2">
      <c r="B72" s="2225" t="s">
        <v>1842</v>
      </c>
      <c r="C72" s="2405">
        <v>56</v>
      </c>
      <c r="D72" s="2405">
        <v>1</v>
      </c>
      <c r="E72" s="2405">
        <v>13</v>
      </c>
      <c r="F72" s="2405">
        <v>539999</v>
      </c>
      <c r="G72" s="2405">
        <v>612</v>
      </c>
      <c r="H72" s="2405">
        <v>241</v>
      </c>
      <c r="I72" s="2429">
        <v>0</v>
      </c>
      <c r="J72" s="2499">
        <v>270</v>
      </c>
      <c r="K72" s="2357">
        <f>'2015'!J5</f>
        <v>270</v>
      </c>
    </row>
    <row r="73" spans="2:11" ht="65" x14ac:dyDescent="0.2">
      <c r="B73" s="2500" t="s">
        <v>1843</v>
      </c>
      <c r="C73" s="2405">
        <v>56</v>
      </c>
      <c r="D73" s="2405">
        <v>1</v>
      </c>
      <c r="E73" s="2405">
        <v>13</v>
      </c>
      <c r="F73" s="2405">
        <v>559999</v>
      </c>
      <c r="G73" s="2405">
        <v>612</v>
      </c>
      <c r="H73" s="2405">
        <v>241</v>
      </c>
      <c r="I73" s="2501">
        <v>0</v>
      </c>
      <c r="J73" s="2499">
        <v>150</v>
      </c>
      <c r="K73" s="2357">
        <f>'2015'!J7</f>
        <v>150</v>
      </c>
    </row>
    <row r="74" spans="2:11" ht="65" x14ac:dyDescent="0.2">
      <c r="B74" s="2500" t="s">
        <v>1844</v>
      </c>
      <c r="C74" s="2405">
        <v>56</v>
      </c>
      <c r="D74" s="2405">
        <v>1</v>
      </c>
      <c r="E74" s="2405">
        <v>13</v>
      </c>
      <c r="F74" s="2405">
        <v>659999</v>
      </c>
      <c r="G74" s="2405">
        <v>612</v>
      </c>
      <c r="H74" s="2405">
        <v>241</v>
      </c>
      <c r="I74" s="2501">
        <v>0</v>
      </c>
      <c r="J74" s="2502">
        <v>34.799999999999997</v>
      </c>
      <c r="K74" s="2357">
        <f>'2015'!J9</f>
        <v>34.799999999999997</v>
      </c>
    </row>
    <row r="75" spans="2:11" x14ac:dyDescent="0.15">
      <c r="B75" s="2957" t="s">
        <v>1845</v>
      </c>
      <c r="C75" s="2954">
        <v>56</v>
      </c>
      <c r="D75" s="2954">
        <v>8</v>
      </c>
      <c r="E75" s="2954">
        <v>1</v>
      </c>
      <c r="F75" s="2955">
        <v>1125146</v>
      </c>
      <c r="G75" s="2503">
        <v>540</v>
      </c>
      <c r="H75" s="2955">
        <v>251</v>
      </c>
      <c r="I75" s="2958">
        <v>0</v>
      </c>
      <c r="J75" s="2960">
        <v>2474.9331000000002</v>
      </c>
      <c r="K75" s="2928">
        <f>'2015'!J18</f>
        <v>2474.933</v>
      </c>
    </row>
    <row r="76" spans="2:11" x14ac:dyDescent="0.15">
      <c r="B76" s="2957"/>
      <c r="C76" s="2954"/>
      <c r="D76" s="2954"/>
      <c r="E76" s="2954"/>
      <c r="F76" s="2955"/>
      <c r="G76" s="2503">
        <v>-88</v>
      </c>
      <c r="H76" s="2955"/>
      <c r="I76" s="2958"/>
      <c r="J76" s="2960"/>
      <c r="K76" s="2928"/>
    </row>
    <row r="77" spans="2:11" x14ac:dyDescent="0.15">
      <c r="B77" s="2953" t="s">
        <v>1846</v>
      </c>
      <c r="C77" s="2954">
        <v>56</v>
      </c>
      <c r="D77" s="2954">
        <v>8</v>
      </c>
      <c r="E77" s="2954">
        <v>1</v>
      </c>
      <c r="F77" s="2955">
        <v>1125147</v>
      </c>
      <c r="G77" s="2504">
        <v>540</v>
      </c>
      <c r="H77" s="2955">
        <v>251</v>
      </c>
      <c r="I77" s="2956">
        <v>0</v>
      </c>
      <c r="J77" s="2960">
        <v>2900</v>
      </c>
      <c r="K77" s="2353">
        <f>'2015'!J19</f>
        <v>2900</v>
      </c>
    </row>
    <row r="78" spans="2:11" x14ac:dyDescent="0.15">
      <c r="B78" s="2953"/>
      <c r="C78" s="2954"/>
      <c r="D78" s="2954"/>
      <c r="E78" s="2954"/>
      <c r="F78" s="2955"/>
      <c r="G78" s="2504">
        <v>-91</v>
      </c>
      <c r="H78" s="2955"/>
      <c r="I78" s="2956"/>
      <c r="J78" s="2960"/>
    </row>
    <row r="79" spans="2:11" ht="12.75" customHeight="1" x14ac:dyDescent="0.15">
      <c r="B79" s="2953" t="s">
        <v>1847</v>
      </c>
      <c r="C79" s="2954">
        <v>56</v>
      </c>
      <c r="D79" s="2954">
        <v>8</v>
      </c>
      <c r="E79" s="2954">
        <v>1</v>
      </c>
      <c r="F79" s="2955">
        <v>1125148</v>
      </c>
      <c r="G79" s="2504">
        <v>540</v>
      </c>
      <c r="H79" s="2955">
        <v>251</v>
      </c>
      <c r="I79" s="2956">
        <v>0</v>
      </c>
      <c r="J79" s="2960">
        <v>1150</v>
      </c>
      <c r="K79" s="2928">
        <f>'2015'!J20</f>
        <v>1150</v>
      </c>
    </row>
    <row r="80" spans="2:11" ht="12.75" customHeight="1" x14ac:dyDescent="0.15">
      <c r="B80" s="2953"/>
      <c r="C80" s="2954"/>
      <c r="D80" s="2954"/>
      <c r="E80" s="2954"/>
      <c r="F80" s="2955"/>
      <c r="G80" s="2504">
        <v>-92</v>
      </c>
      <c r="H80" s="2955"/>
      <c r="I80" s="2956"/>
      <c r="J80" s="2960"/>
      <c r="K80" s="2928"/>
    </row>
    <row r="81" spans="2:11" ht="65" x14ac:dyDescent="0.15">
      <c r="B81" s="2500" t="s">
        <v>1848</v>
      </c>
      <c r="C81" s="2959">
        <v>56</v>
      </c>
      <c r="D81" s="2959">
        <v>8</v>
      </c>
      <c r="E81" s="2959">
        <v>4</v>
      </c>
      <c r="F81" s="2959">
        <v>9994009</v>
      </c>
      <c r="G81" s="2959">
        <v>414</v>
      </c>
      <c r="H81" s="2959">
        <v>226</v>
      </c>
      <c r="I81" s="2956">
        <v>0</v>
      </c>
      <c r="J81" s="2960">
        <v>24100</v>
      </c>
      <c r="K81" s="2928">
        <f>'2015'!J35</f>
        <v>24100</v>
      </c>
    </row>
    <row r="82" spans="2:11" ht="26" x14ac:dyDescent="0.15">
      <c r="B82" s="2500" t="s">
        <v>1849</v>
      </c>
      <c r="C82" s="2959"/>
      <c r="D82" s="2959"/>
      <c r="E82" s="2959"/>
      <c r="F82" s="2959"/>
      <c r="G82" s="2959"/>
      <c r="H82" s="2959"/>
      <c r="I82" s="2956"/>
      <c r="J82" s="2960"/>
      <c r="K82" s="2928"/>
    </row>
    <row r="83" spans="2:11" ht="91" x14ac:dyDescent="0.2">
      <c r="B83" s="2500" t="s">
        <v>1850</v>
      </c>
      <c r="C83" s="2405">
        <v>56</v>
      </c>
      <c r="D83" s="2405">
        <v>3</v>
      </c>
      <c r="E83" s="2405">
        <v>10</v>
      </c>
      <c r="F83" s="2405">
        <v>739999</v>
      </c>
      <c r="G83" s="2405">
        <v>612</v>
      </c>
      <c r="H83" s="2405">
        <v>241</v>
      </c>
      <c r="I83" s="2429">
        <v>0</v>
      </c>
      <c r="J83" s="2502">
        <v>600</v>
      </c>
      <c r="K83" s="2357">
        <f>'2015'!J10</f>
        <v>600</v>
      </c>
    </row>
    <row r="84" spans="2:11" ht="65" x14ac:dyDescent="0.2">
      <c r="B84" s="2500" t="s">
        <v>1851</v>
      </c>
      <c r="C84" s="2439">
        <v>56</v>
      </c>
      <c r="D84" s="2439">
        <v>10</v>
      </c>
      <c r="E84" s="2439">
        <v>6</v>
      </c>
      <c r="F84" s="2439">
        <v>2708027</v>
      </c>
      <c r="G84" s="2439">
        <v>612</v>
      </c>
      <c r="H84" s="2439">
        <v>241</v>
      </c>
      <c r="I84" s="2505">
        <v>0</v>
      </c>
      <c r="J84" s="2499">
        <v>585</v>
      </c>
      <c r="K84" s="2357">
        <f>'2015'!J38</f>
        <v>585</v>
      </c>
    </row>
    <row r="85" spans="2:11" ht="52" x14ac:dyDescent="0.2">
      <c r="B85" s="2506" t="s">
        <v>1852</v>
      </c>
      <c r="C85" s="2439">
        <v>56</v>
      </c>
      <c r="D85" s="2439">
        <v>10</v>
      </c>
      <c r="E85" s="2439">
        <v>6</v>
      </c>
      <c r="F85" s="2416">
        <v>415027</v>
      </c>
      <c r="G85" s="2439">
        <v>612</v>
      </c>
      <c r="H85" s="2439" t="s">
        <v>1853</v>
      </c>
      <c r="I85" s="2429">
        <v>0</v>
      </c>
      <c r="J85" s="2427">
        <v>11100</v>
      </c>
      <c r="K85" s="2357">
        <f>'2015'!J37</f>
        <v>11100</v>
      </c>
    </row>
    <row r="86" spans="2:11" ht="16" x14ac:dyDescent="0.15">
      <c r="B86" s="2961" t="s">
        <v>1854</v>
      </c>
      <c r="C86" s="2962">
        <v>56</v>
      </c>
      <c r="D86" s="2962">
        <v>1</v>
      </c>
      <c r="E86" s="2962">
        <v>13</v>
      </c>
      <c r="F86" s="2963">
        <v>535236</v>
      </c>
      <c r="G86" s="2964">
        <v>612</v>
      </c>
      <c r="H86" s="2507" t="s">
        <v>1855</v>
      </c>
      <c r="I86" s="2962">
        <v>0</v>
      </c>
      <c r="J86" s="2965">
        <v>1500</v>
      </c>
      <c r="K86" s="2928">
        <f>'2015'!J4</f>
        <v>1500</v>
      </c>
    </row>
    <row r="87" spans="2:11" ht="16" x14ac:dyDescent="0.15">
      <c r="B87" s="2961"/>
      <c r="C87" s="2962"/>
      <c r="D87" s="2962"/>
      <c r="E87" s="2962"/>
      <c r="F87" s="2963"/>
      <c r="G87" s="2964"/>
      <c r="H87" s="2507">
        <v>852</v>
      </c>
      <c r="I87" s="2962"/>
      <c r="J87" s="2965"/>
      <c r="K87" s="2928"/>
    </row>
    <row r="88" spans="2:11" ht="16" x14ac:dyDescent="0.15">
      <c r="B88" s="2961"/>
      <c r="C88" s="2962">
        <v>56</v>
      </c>
      <c r="D88" s="2962">
        <v>1</v>
      </c>
      <c r="E88" s="2962">
        <v>13</v>
      </c>
      <c r="F88" s="2963">
        <v>555236</v>
      </c>
      <c r="G88" s="2964">
        <v>612</v>
      </c>
      <c r="H88" s="2507" t="s">
        <v>1855</v>
      </c>
      <c r="I88" s="2966">
        <v>0</v>
      </c>
      <c r="J88" s="2965">
        <v>2218.6999999999998</v>
      </c>
      <c r="K88" s="2928">
        <f>'2015'!J6</f>
        <v>2218.6999999999998</v>
      </c>
    </row>
    <row r="89" spans="2:11" ht="16" x14ac:dyDescent="0.15">
      <c r="B89" s="2961"/>
      <c r="C89" s="2962"/>
      <c r="D89" s="2962"/>
      <c r="E89" s="2962"/>
      <c r="F89" s="2963"/>
      <c r="G89" s="2964"/>
      <c r="H89" s="2507">
        <v>852</v>
      </c>
      <c r="I89" s="2966"/>
      <c r="J89" s="2965"/>
      <c r="K89" s="2928"/>
    </row>
    <row r="90" spans="2:11" ht="16" x14ac:dyDescent="0.15">
      <c r="B90" s="2961"/>
      <c r="C90" s="2962">
        <v>56</v>
      </c>
      <c r="D90" s="2962">
        <v>1</v>
      </c>
      <c r="E90" s="2962">
        <v>13</v>
      </c>
      <c r="F90" s="2963">
        <v>565236</v>
      </c>
      <c r="G90" s="2964">
        <v>612</v>
      </c>
      <c r="H90" s="2507" t="s">
        <v>1855</v>
      </c>
      <c r="I90" s="2966">
        <v>0</v>
      </c>
      <c r="J90" s="2965">
        <v>800</v>
      </c>
      <c r="K90" s="2928">
        <f>'2015'!J8</f>
        <v>800</v>
      </c>
    </row>
    <row r="91" spans="2:11" ht="16" x14ac:dyDescent="0.15">
      <c r="B91" s="2961"/>
      <c r="C91" s="2962"/>
      <c r="D91" s="2962"/>
      <c r="E91" s="2962"/>
      <c r="F91" s="2963"/>
      <c r="G91" s="2964"/>
      <c r="H91" s="2507">
        <v>852</v>
      </c>
      <c r="I91" s="2966"/>
      <c r="J91" s="2965"/>
      <c r="K91" s="2928"/>
    </row>
    <row r="92" spans="2:11" x14ac:dyDescent="0.15">
      <c r="K92" s="2353">
        <f>SUM(K8:K91)</f>
        <v>1281749.05</v>
      </c>
    </row>
  </sheetData>
  <mergeCells count="126">
    <mergeCell ref="K90:K91"/>
    <mergeCell ref="C90:C91"/>
    <mergeCell ref="D90:D91"/>
    <mergeCell ref="E90:E91"/>
    <mergeCell ref="F90:F91"/>
    <mergeCell ref="G90:G91"/>
    <mergeCell ref="I90:I91"/>
    <mergeCell ref="K86:K87"/>
    <mergeCell ref="C88:C89"/>
    <mergeCell ref="D88:D89"/>
    <mergeCell ref="E88:E89"/>
    <mergeCell ref="F88:F89"/>
    <mergeCell ref="G88:G89"/>
    <mergeCell ref="I88:I89"/>
    <mergeCell ref="J88:J89"/>
    <mergeCell ref="K88:K89"/>
    <mergeCell ref="B86:B91"/>
    <mergeCell ref="C86:C87"/>
    <mergeCell ref="D86:D87"/>
    <mergeCell ref="E86:E87"/>
    <mergeCell ref="F86:F87"/>
    <mergeCell ref="G86:G87"/>
    <mergeCell ref="I86:I87"/>
    <mergeCell ref="J86:J87"/>
    <mergeCell ref="J90:J91"/>
    <mergeCell ref="K79:K80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K75:K76"/>
    <mergeCell ref="B77:B78"/>
    <mergeCell ref="C77:C78"/>
    <mergeCell ref="D77:D78"/>
    <mergeCell ref="E77:E78"/>
    <mergeCell ref="F77:F78"/>
    <mergeCell ref="H77:H78"/>
    <mergeCell ref="I77:I78"/>
    <mergeCell ref="J77:J78"/>
    <mergeCell ref="B75:B76"/>
    <mergeCell ref="C75:C76"/>
    <mergeCell ref="D75:D76"/>
    <mergeCell ref="E75:E76"/>
    <mergeCell ref="F75:F76"/>
    <mergeCell ref="H75:H76"/>
    <mergeCell ref="I75:I76"/>
    <mergeCell ref="J75:J76"/>
    <mergeCell ref="B79:B80"/>
    <mergeCell ref="C79:C80"/>
    <mergeCell ref="D79:D80"/>
    <mergeCell ref="E79:E80"/>
    <mergeCell ref="F79:F80"/>
    <mergeCell ref="H79:H80"/>
    <mergeCell ref="I79:I80"/>
    <mergeCell ref="J79:J80"/>
    <mergeCell ref="I35:I36"/>
    <mergeCell ref="J35:J36"/>
    <mergeCell ref="K35:K36"/>
    <mergeCell ref="B60:B61"/>
    <mergeCell ref="C60:C61"/>
    <mergeCell ref="D60:D61"/>
    <mergeCell ref="E60:E61"/>
    <mergeCell ref="F60:F61"/>
    <mergeCell ref="H60:H61"/>
    <mergeCell ref="I60:I61"/>
    <mergeCell ref="C35:C36"/>
    <mergeCell ref="D35:D36"/>
    <mergeCell ref="E35:E36"/>
    <mergeCell ref="F35:F36"/>
    <mergeCell ref="G35:G36"/>
    <mergeCell ref="H35:H36"/>
    <mergeCell ref="J60:J61"/>
    <mergeCell ref="K60:K61"/>
    <mergeCell ref="J23:J24"/>
    <mergeCell ref="K23:K24"/>
    <mergeCell ref="I20:I21"/>
    <mergeCell ref="J20:J21"/>
    <mergeCell ref="K20:K21"/>
    <mergeCell ref="C23:C24"/>
    <mergeCell ref="D23:D24"/>
    <mergeCell ref="E23:E24"/>
    <mergeCell ref="F23:F24"/>
    <mergeCell ref="G23:G24"/>
    <mergeCell ref="H23:H24"/>
    <mergeCell ref="I23:I24"/>
    <mergeCell ref="C20:C21"/>
    <mergeCell ref="D20:D21"/>
    <mergeCell ref="E20:E21"/>
    <mergeCell ref="F20:F21"/>
    <mergeCell ref="G20:G21"/>
    <mergeCell ref="H20:H21"/>
    <mergeCell ref="K15:K16"/>
    <mergeCell ref="C17:C18"/>
    <mergeCell ref="D17:D18"/>
    <mergeCell ref="E17:E18"/>
    <mergeCell ref="F17:F18"/>
    <mergeCell ref="G17:G18"/>
    <mergeCell ref="H17:H18"/>
    <mergeCell ref="I17:I18"/>
    <mergeCell ref="J17:J18"/>
    <mergeCell ref="K17:K18"/>
    <mergeCell ref="I6:I7"/>
    <mergeCell ref="J6:J7"/>
    <mergeCell ref="B15:B16"/>
    <mergeCell ref="C15:C16"/>
    <mergeCell ref="D15:D16"/>
    <mergeCell ref="E15:E16"/>
    <mergeCell ref="F15:F16"/>
    <mergeCell ref="H15:H16"/>
    <mergeCell ref="I15:I16"/>
    <mergeCell ref="J15:J16"/>
    <mergeCell ref="B2:H2"/>
    <mergeCell ref="B3:H3"/>
    <mergeCell ref="B4:H4"/>
    <mergeCell ref="B6:B7"/>
    <mergeCell ref="C6:C7"/>
    <mergeCell ref="D6:D7"/>
    <mergeCell ref="E6:E7"/>
    <mergeCell ref="F6:F7"/>
    <mergeCell ref="G6:G7"/>
    <mergeCell ref="H6:H7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K14"/>
  <sheetViews>
    <sheetView view="pageBreakPreview" zoomScale="60" workbookViewId="0">
      <selection activeCell="Q27" sqref="Q27"/>
    </sheetView>
  </sheetViews>
  <sheetFormatPr baseColWidth="10" defaultColWidth="8.83203125" defaultRowHeight="13" x14ac:dyDescent="0.15"/>
  <cols>
    <col min="1" max="1" width="4.5" style="805" customWidth="1"/>
    <col min="2" max="2" width="54" style="805" customWidth="1"/>
    <col min="3" max="8" width="8.83203125" style="805"/>
    <col min="9" max="10" width="15.5" style="805" customWidth="1"/>
    <col min="11" max="11" width="8.83203125" style="805"/>
    <col min="12" max="12" width="9.1640625" style="805" customWidth="1"/>
    <col min="13" max="16384" width="8.83203125" style="805"/>
  </cols>
  <sheetData>
    <row r="2" spans="2:11" ht="15" x14ac:dyDescent="0.2">
      <c r="B2" s="2974" t="s">
        <v>68</v>
      </c>
      <c r="C2" s="2974"/>
      <c r="D2" s="2974"/>
      <c r="E2" s="2974"/>
      <c r="F2" s="2974"/>
      <c r="G2" s="2974"/>
      <c r="H2" s="2974"/>
      <c r="I2" s="2512"/>
      <c r="J2" s="2513"/>
    </row>
    <row r="3" spans="2:11" ht="15" x14ac:dyDescent="0.2">
      <c r="B3" s="2974" t="s">
        <v>1341</v>
      </c>
      <c r="C3" s="2974"/>
      <c r="D3" s="2974"/>
      <c r="E3" s="2974"/>
      <c r="F3" s="2974"/>
      <c r="G3" s="2974"/>
      <c r="H3" s="2974"/>
      <c r="I3" s="2514">
        <v>1229687.5190000001</v>
      </c>
      <c r="J3" s="2513"/>
    </row>
    <row r="4" spans="2:11" ht="15" x14ac:dyDescent="0.2">
      <c r="B4" s="2974" t="s">
        <v>69</v>
      </c>
      <c r="C4" s="2974"/>
      <c r="D4" s="2974"/>
      <c r="E4" s="2974"/>
      <c r="F4" s="2974"/>
      <c r="G4" s="2974"/>
      <c r="H4" s="2974"/>
      <c r="I4" s="2515"/>
      <c r="J4" s="2513"/>
    </row>
    <row r="5" spans="2:11" ht="15" x14ac:dyDescent="0.2">
      <c r="B5" s="2516"/>
      <c r="C5" s="2516"/>
      <c r="D5" s="2516"/>
      <c r="E5" s="2516"/>
      <c r="F5" s="2516"/>
      <c r="G5" s="2516"/>
      <c r="H5" s="2516"/>
      <c r="I5" s="2515"/>
      <c r="J5" s="2513"/>
    </row>
    <row r="6" spans="2:11" x14ac:dyDescent="0.15">
      <c r="B6" s="2973" t="s">
        <v>70</v>
      </c>
      <c r="C6" s="2973" t="s">
        <v>71</v>
      </c>
      <c r="D6" s="2973" t="s">
        <v>72</v>
      </c>
      <c r="E6" s="2973" t="s">
        <v>73</v>
      </c>
      <c r="F6" s="2973" t="s">
        <v>74</v>
      </c>
      <c r="G6" s="2973" t="s">
        <v>75</v>
      </c>
      <c r="H6" s="2973" t="s">
        <v>76</v>
      </c>
      <c r="I6" s="2973" t="s">
        <v>67</v>
      </c>
      <c r="J6" s="2973"/>
      <c r="K6" s="2973"/>
    </row>
    <row r="7" spans="2:11" x14ac:dyDescent="0.15">
      <c r="B7" s="2973"/>
      <c r="C7" s="2973"/>
      <c r="D7" s="2973"/>
      <c r="E7" s="2973"/>
      <c r="F7" s="2973"/>
      <c r="G7" s="2973"/>
      <c r="H7" s="2973"/>
      <c r="I7" s="1650" t="s">
        <v>1856</v>
      </c>
      <c r="J7" s="2523" t="s">
        <v>1857</v>
      </c>
      <c r="K7" s="2525" t="s">
        <v>1858</v>
      </c>
    </row>
    <row r="8" spans="2:11" s="2520" customFormat="1" x14ac:dyDescent="0.15">
      <c r="B8" s="1650" t="s">
        <v>265</v>
      </c>
      <c r="C8" s="1560">
        <v>56</v>
      </c>
      <c r="D8" s="1560"/>
      <c r="E8" s="1560"/>
      <c r="F8" s="1560"/>
      <c r="G8" s="1560"/>
      <c r="H8" s="1560"/>
      <c r="I8" s="2518">
        <v>1282099.0490000001</v>
      </c>
      <c r="J8" s="2518">
        <f>'2015'!J3</f>
        <v>1279380.05</v>
      </c>
      <c r="K8" s="2519">
        <f>I8-J8</f>
        <v>2718.9990000000689</v>
      </c>
    </row>
    <row r="9" spans="2:11" ht="91" x14ac:dyDescent="0.15">
      <c r="B9" s="1571" t="s">
        <v>1343</v>
      </c>
      <c r="C9" s="2524">
        <v>56</v>
      </c>
      <c r="D9" s="2524">
        <v>7</v>
      </c>
      <c r="E9" s="2524">
        <v>2</v>
      </c>
      <c r="F9" s="2524" t="s">
        <v>1344</v>
      </c>
      <c r="G9" s="2524"/>
      <c r="H9" s="2524"/>
      <c r="I9" s="2521">
        <v>40464.6</v>
      </c>
      <c r="J9" s="2521">
        <f>'2015'!J11</f>
        <v>40464.6</v>
      </c>
      <c r="K9" s="2522">
        <f>I9-J9</f>
        <v>0</v>
      </c>
    </row>
    <row r="10" spans="2:11" ht="91" x14ac:dyDescent="0.15">
      <c r="B10" s="1571" t="s">
        <v>1348</v>
      </c>
      <c r="C10" s="2524">
        <v>56</v>
      </c>
      <c r="D10" s="2524">
        <v>7</v>
      </c>
      <c r="E10" s="2524">
        <v>4</v>
      </c>
      <c r="F10" s="2524" t="s">
        <v>1349</v>
      </c>
      <c r="G10" s="2524"/>
      <c r="H10" s="2524"/>
      <c r="I10" s="2521">
        <v>126910</v>
      </c>
      <c r="J10" s="2521">
        <f>'2015'!J12</f>
        <v>126910</v>
      </c>
      <c r="K10" s="2522">
        <f>I10-J10</f>
        <v>0</v>
      </c>
    </row>
    <row r="11" spans="2:11" x14ac:dyDescent="0.15">
      <c r="B11" s="1571" t="s">
        <v>1831</v>
      </c>
      <c r="C11" s="2524">
        <v>56</v>
      </c>
      <c r="D11" s="2524">
        <v>7</v>
      </c>
      <c r="E11" s="2524">
        <v>9</v>
      </c>
      <c r="F11" s="2524">
        <v>9993038</v>
      </c>
      <c r="G11" s="2524">
        <v>340</v>
      </c>
      <c r="H11" s="2524">
        <v>290</v>
      </c>
      <c r="I11" s="2521">
        <v>1188</v>
      </c>
      <c r="J11" s="2521">
        <f>'2015'!J14</f>
        <v>1188</v>
      </c>
      <c r="K11" s="2522">
        <f t="shared" ref="K11:K14" si="0">I11-J11</f>
        <v>0</v>
      </c>
    </row>
    <row r="12" spans="2:11" ht="78" x14ac:dyDescent="0.15">
      <c r="B12" s="2517" t="s">
        <v>1859</v>
      </c>
      <c r="C12" s="2524">
        <v>56</v>
      </c>
      <c r="D12" s="2524">
        <v>8</v>
      </c>
      <c r="E12" s="2524">
        <v>1</v>
      </c>
      <c r="F12" s="2524">
        <v>2020459</v>
      </c>
      <c r="G12" s="2524">
        <v>600</v>
      </c>
      <c r="H12" s="2524"/>
      <c r="I12" s="2521">
        <v>193022.2</v>
      </c>
      <c r="J12" s="2521">
        <f>'2015'!J24</f>
        <v>193022.3</v>
      </c>
      <c r="K12" s="2522">
        <f t="shared" si="0"/>
        <v>-9.9999999976716936E-2</v>
      </c>
    </row>
    <row r="13" spans="2:11" ht="78" x14ac:dyDescent="0.15">
      <c r="B13" s="1571" t="s">
        <v>1860</v>
      </c>
      <c r="C13" s="2524">
        <v>56</v>
      </c>
      <c r="D13" s="2524">
        <v>8</v>
      </c>
      <c r="E13" s="2524">
        <v>1</v>
      </c>
      <c r="F13" s="2524">
        <v>2020659</v>
      </c>
      <c r="G13" s="2524">
        <v>600</v>
      </c>
      <c r="H13" s="2524"/>
      <c r="I13" s="2521">
        <v>630196.9</v>
      </c>
      <c r="J13" s="2521">
        <f>'2015'!J26</f>
        <v>630196.9</v>
      </c>
      <c r="K13" s="2522">
        <f t="shared" si="0"/>
        <v>0</v>
      </c>
    </row>
    <row r="14" spans="2:11" ht="59.25" customHeight="1" x14ac:dyDescent="0.15">
      <c r="B14" s="2517" t="s">
        <v>1830</v>
      </c>
      <c r="C14" s="2524">
        <v>56</v>
      </c>
      <c r="D14" s="2524">
        <v>7</v>
      </c>
      <c r="E14" s="2524">
        <v>3</v>
      </c>
      <c r="F14" s="2524">
        <v>9996162</v>
      </c>
      <c r="G14" s="2524">
        <v>350</v>
      </c>
      <c r="H14" s="2524">
        <v>290</v>
      </c>
      <c r="I14" s="2521">
        <v>350</v>
      </c>
      <c r="J14" s="2521">
        <v>0</v>
      </c>
      <c r="K14" s="2522">
        <f t="shared" si="0"/>
        <v>350</v>
      </c>
    </row>
  </sheetData>
  <mergeCells count="11">
    <mergeCell ref="I6:K6"/>
    <mergeCell ref="B2:H2"/>
    <mergeCell ref="B3:H3"/>
    <mergeCell ref="B4:H4"/>
    <mergeCell ref="B6:B7"/>
    <mergeCell ref="C6:C7"/>
    <mergeCell ref="D6:D7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59999389629810485"/>
  </sheetPr>
  <dimension ref="B2:M78"/>
  <sheetViews>
    <sheetView zoomScale="85" zoomScaleNormal="85" zoomScalePageLayoutView="85" workbookViewId="0">
      <pane ySplit="4" topLeftCell="A23" activePane="bottomLeft" state="frozen"/>
      <selection activeCell="N1001" sqref="N1001"/>
      <selection pane="bottomLeft" activeCell="N1001" sqref="N1001"/>
    </sheetView>
  </sheetViews>
  <sheetFormatPr baseColWidth="10" defaultColWidth="8.83203125" defaultRowHeight="13" x14ac:dyDescent="0.15"/>
  <cols>
    <col min="2" max="2" width="31.1640625" customWidth="1"/>
    <col min="3" max="3" width="39" customWidth="1"/>
    <col min="4" max="4" width="12" customWidth="1"/>
    <col min="5" max="5" width="20" customWidth="1"/>
    <col min="6" max="12" width="10.6640625" style="2226" customWidth="1"/>
    <col min="13" max="13" width="24.5" customWidth="1"/>
  </cols>
  <sheetData>
    <row r="2" spans="2:13" ht="15" x14ac:dyDescent="0.15">
      <c r="B2" s="2975" t="s">
        <v>1392</v>
      </c>
      <c r="C2" s="2975" t="s">
        <v>1393</v>
      </c>
      <c r="D2" s="2975" t="s">
        <v>1394</v>
      </c>
      <c r="E2" s="2975" t="s">
        <v>1395</v>
      </c>
      <c r="F2" s="2978" t="s">
        <v>1396</v>
      </c>
      <c r="G2" s="2978"/>
      <c r="H2" s="2978"/>
      <c r="I2" s="2978"/>
      <c r="J2" s="2978"/>
      <c r="K2" s="2978"/>
      <c r="L2" s="2978"/>
      <c r="M2" s="2975" t="s">
        <v>1397</v>
      </c>
    </row>
    <row r="3" spans="2:13" ht="15" x14ac:dyDescent="0.15">
      <c r="B3" s="2975"/>
      <c r="C3" s="2975"/>
      <c r="D3" s="2975"/>
      <c r="E3" s="2975"/>
      <c r="F3" s="2234" t="s">
        <v>194</v>
      </c>
      <c r="G3" s="2234" t="s">
        <v>67</v>
      </c>
      <c r="H3" s="2234" t="s">
        <v>632</v>
      </c>
      <c r="I3" s="2234" t="s">
        <v>633</v>
      </c>
      <c r="J3" s="2234" t="s">
        <v>634</v>
      </c>
      <c r="K3" s="2234" t="s">
        <v>1398</v>
      </c>
      <c r="L3" s="2234" t="s">
        <v>1399</v>
      </c>
      <c r="M3" s="2975"/>
    </row>
    <row r="4" spans="2:13" ht="15" x14ac:dyDescent="0.15">
      <c r="B4" s="2232">
        <v>1</v>
      </c>
      <c r="C4" s="2232">
        <v>2</v>
      </c>
      <c r="D4" s="2232">
        <v>3</v>
      </c>
      <c r="E4" s="2232">
        <v>4</v>
      </c>
      <c r="F4" s="2234">
        <v>5</v>
      </c>
      <c r="G4" s="2234">
        <v>6</v>
      </c>
      <c r="H4" s="2234">
        <v>7</v>
      </c>
      <c r="I4" s="2234">
        <v>8</v>
      </c>
      <c r="J4" s="2234">
        <v>9</v>
      </c>
      <c r="K4" s="2234">
        <v>10</v>
      </c>
      <c r="L4" s="2234">
        <v>11</v>
      </c>
      <c r="M4" s="2232">
        <v>12</v>
      </c>
    </row>
    <row r="5" spans="2:13" x14ac:dyDescent="0.15">
      <c r="B5" s="2976" t="s">
        <v>1400</v>
      </c>
      <c r="C5" s="2976"/>
      <c r="D5" s="2976"/>
      <c r="E5" s="2976"/>
      <c r="F5" s="2976"/>
      <c r="G5" s="2976"/>
      <c r="H5" s="2976"/>
      <c r="I5" s="2976"/>
      <c r="J5" s="2976"/>
      <c r="K5" s="2976"/>
      <c r="L5" s="2976"/>
      <c r="M5" s="2976"/>
    </row>
    <row r="6" spans="2:13" ht="75" x14ac:dyDescent="0.15">
      <c r="B6" s="2977" t="s">
        <v>1210</v>
      </c>
      <c r="C6" s="2233" t="s">
        <v>1401</v>
      </c>
      <c r="D6" s="2232" t="s">
        <v>1402</v>
      </c>
      <c r="E6" s="2233" t="s">
        <v>1403</v>
      </c>
      <c r="F6" s="2234">
        <v>267973</v>
      </c>
      <c r="G6" s="2234">
        <v>40251</v>
      </c>
      <c r="H6" s="2234">
        <v>45544.4</v>
      </c>
      <c r="I6" s="2234">
        <v>45544.4</v>
      </c>
      <c r="J6" s="2234">
        <v>45544.4</v>
      </c>
      <c r="K6" s="2234">
        <v>45544.4</v>
      </c>
      <c r="L6" s="2234">
        <v>45544.4</v>
      </c>
      <c r="M6" s="2233" t="s">
        <v>1404</v>
      </c>
    </row>
    <row r="7" spans="2:13" ht="75" x14ac:dyDescent="0.15">
      <c r="B7" s="2977"/>
      <c r="C7" s="2233" t="s">
        <v>1405</v>
      </c>
      <c r="D7" s="2232" t="s">
        <v>1402</v>
      </c>
      <c r="E7" s="2233" t="s">
        <v>1403</v>
      </c>
      <c r="F7" s="2234">
        <v>0</v>
      </c>
      <c r="G7" s="2234">
        <v>0</v>
      </c>
      <c r="H7" s="2234">
        <v>0</v>
      </c>
      <c r="I7" s="2234">
        <v>0</v>
      </c>
      <c r="J7" s="2234">
        <v>0</v>
      </c>
      <c r="K7" s="2234">
        <v>0</v>
      </c>
      <c r="L7" s="2234">
        <v>0</v>
      </c>
      <c r="M7" s="2233" t="s">
        <v>265</v>
      </c>
    </row>
    <row r="8" spans="2:13" ht="60" x14ac:dyDescent="0.15">
      <c r="B8" s="2977"/>
      <c r="C8" s="2233" t="s">
        <v>1406</v>
      </c>
      <c r="D8" s="2232" t="s">
        <v>1402</v>
      </c>
      <c r="E8" s="2233" t="s">
        <v>1403</v>
      </c>
      <c r="F8" s="2234">
        <v>0</v>
      </c>
      <c r="G8" s="2234">
        <v>0</v>
      </c>
      <c r="H8" s="2234">
        <v>0</v>
      </c>
      <c r="I8" s="2234">
        <v>0</v>
      </c>
      <c r="J8" s="2234">
        <v>0</v>
      </c>
      <c r="K8" s="2234">
        <v>0</v>
      </c>
      <c r="L8" s="2234">
        <v>0</v>
      </c>
      <c r="M8" s="2233" t="s">
        <v>265</v>
      </c>
    </row>
    <row r="9" spans="2:13" ht="60" x14ac:dyDescent="0.15">
      <c r="B9" s="2977"/>
      <c r="C9" s="2233" t="s">
        <v>1407</v>
      </c>
      <c r="D9" s="2232" t="s">
        <v>1402</v>
      </c>
      <c r="E9" s="2233" t="s">
        <v>1403</v>
      </c>
      <c r="F9" s="2234">
        <v>0</v>
      </c>
      <c r="G9" s="2234">
        <v>0</v>
      </c>
      <c r="H9" s="2234">
        <v>0</v>
      </c>
      <c r="I9" s="2234">
        <v>0</v>
      </c>
      <c r="J9" s="2234">
        <v>0</v>
      </c>
      <c r="K9" s="2234">
        <v>0</v>
      </c>
      <c r="L9" s="2234">
        <v>0</v>
      </c>
      <c r="M9" s="2233" t="s">
        <v>265</v>
      </c>
    </row>
    <row r="10" spans="2:13" ht="30" x14ac:dyDescent="0.15">
      <c r="B10" s="2977"/>
      <c r="C10" s="2233" t="s">
        <v>1408</v>
      </c>
      <c r="D10" s="2232" t="s">
        <v>1402</v>
      </c>
      <c r="E10" s="2233" t="s">
        <v>1403</v>
      </c>
      <c r="F10" s="2234">
        <v>0</v>
      </c>
      <c r="G10" s="2234">
        <v>0</v>
      </c>
      <c r="H10" s="2234">
        <v>0</v>
      </c>
      <c r="I10" s="2234">
        <v>0</v>
      </c>
      <c r="J10" s="2234">
        <v>0</v>
      </c>
      <c r="K10" s="2234">
        <v>0</v>
      </c>
      <c r="L10" s="2234">
        <v>0</v>
      </c>
      <c r="M10" s="2233" t="s">
        <v>265</v>
      </c>
    </row>
    <row r="11" spans="2:13" ht="75" x14ac:dyDescent="0.15">
      <c r="B11" s="2977"/>
      <c r="C11" s="2233" t="s">
        <v>1409</v>
      </c>
      <c r="D11" s="2232" t="s">
        <v>1402</v>
      </c>
      <c r="E11" s="2233" t="s">
        <v>1403</v>
      </c>
      <c r="F11" s="2234">
        <v>0</v>
      </c>
      <c r="G11" s="2234">
        <v>0</v>
      </c>
      <c r="H11" s="2234">
        <v>0</v>
      </c>
      <c r="I11" s="2234">
        <v>0</v>
      </c>
      <c r="J11" s="2234">
        <v>0</v>
      </c>
      <c r="K11" s="2234">
        <v>0</v>
      </c>
      <c r="L11" s="2234">
        <v>0</v>
      </c>
      <c r="M11" s="2233" t="s">
        <v>265</v>
      </c>
    </row>
    <row r="12" spans="2:13" ht="30" x14ac:dyDescent="0.15">
      <c r="B12" s="2977"/>
      <c r="C12" s="2233" t="s">
        <v>1410</v>
      </c>
      <c r="D12" s="2232" t="s">
        <v>1402</v>
      </c>
      <c r="E12" s="2233" t="s">
        <v>1403</v>
      </c>
      <c r="F12" s="2234">
        <v>0</v>
      </c>
      <c r="G12" s="2234">
        <v>0</v>
      </c>
      <c r="H12" s="2234">
        <v>0</v>
      </c>
      <c r="I12" s="2234">
        <v>0</v>
      </c>
      <c r="J12" s="2234">
        <v>0</v>
      </c>
      <c r="K12" s="2234">
        <v>0</v>
      </c>
      <c r="L12" s="2234">
        <v>0</v>
      </c>
      <c r="M12" s="2233" t="s">
        <v>265</v>
      </c>
    </row>
    <row r="13" spans="2:13" ht="60" x14ac:dyDescent="0.15">
      <c r="B13" s="2977" t="s">
        <v>1211</v>
      </c>
      <c r="C13" s="2233" t="s">
        <v>1411</v>
      </c>
      <c r="D13" s="2232" t="s">
        <v>1402</v>
      </c>
      <c r="E13" s="2233" t="s">
        <v>1403</v>
      </c>
      <c r="F13" s="2234">
        <v>780096.6</v>
      </c>
      <c r="G13" s="2234">
        <v>127399.6</v>
      </c>
      <c r="H13" s="2234">
        <v>130539.4</v>
      </c>
      <c r="I13" s="2234">
        <v>130539.4</v>
      </c>
      <c r="J13" s="2234">
        <v>130539.4</v>
      </c>
      <c r="K13" s="2234">
        <v>130539.4</v>
      </c>
      <c r="L13" s="2234">
        <v>130539.4</v>
      </c>
      <c r="M13" s="2233" t="s">
        <v>265</v>
      </c>
    </row>
    <row r="14" spans="2:13" ht="75" x14ac:dyDescent="0.15">
      <c r="B14" s="2977"/>
      <c r="C14" s="2233" t="s">
        <v>1412</v>
      </c>
      <c r="D14" s="2232" t="s">
        <v>1402</v>
      </c>
      <c r="E14" s="2233" t="s">
        <v>1403</v>
      </c>
      <c r="F14" s="2234">
        <v>0</v>
      </c>
      <c r="G14" s="2234">
        <v>0</v>
      </c>
      <c r="H14" s="2234">
        <v>0</v>
      </c>
      <c r="I14" s="2234">
        <v>0</v>
      </c>
      <c r="J14" s="2234">
        <v>0</v>
      </c>
      <c r="K14" s="2234">
        <v>0</v>
      </c>
      <c r="L14" s="2234">
        <v>0</v>
      </c>
      <c r="M14" s="2233" t="s">
        <v>265</v>
      </c>
    </row>
    <row r="15" spans="2:13" ht="60" x14ac:dyDescent="0.15">
      <c r="B15" s="2977"/>
      <c r="C15" s="2233" t="s">
        <v>1413</v>
      </c>
      <c r="D15" s="2232" t="s">
        <v>1402</v>
      </c>
      <c r="E15" s="2233" t="s">
        <v>1403</v>
      </c>
      <c r="F15" s="2234">
        <v>0</v>
      </c>
      <c r="G15" s="2234">
        <v>0</v>
      </c>
      <c r="H15" s="2234">
        <v>0</v>
      </c>
      <c r="I15" s="2234">
        <v>0</v>
      </c>
      <c r="J15" s="2234">
        <v>0</v>
      </c>
      <c r="K15" s="2234">
        <v>0</v>
      </c>
      <c r="L15" s="2234">
        <v>0</v>
      </c>
      <c r="M15" s="2233" t="s">
        <v>265</v>
      </c>
    </row>
    <row r="16" spans="2:13" ht="60" x14ac:dyDescent="0.15">
      <c r="B16" s="2977"/>
      <c r="C16" s="2233" t="s">
        <v>1414</v>
      </c>
      <c r="D16" s="2232" t="s">
        <v>1402</v>
      </c>
      <c r="E16" s="2233" t="s">
        <v>1403</v>
      </c>
      <c r="F16" s="2234">
        <v>0</v>
      </c>
      <c r="G16" s="2234">
        <v>0</v>
      </c>
      <c r="H16" s="2234">
        <v>0</v>
      </c>
      <c r="I16" s="2234">
        <v>0</v>
      </c>
      <c r="J16" s="2234">
        <v>0</v>
      </c>
      <c r="K16" s="2234">
        <v>0</v>
      </c>
      <c r="L16" s="2234">
        <v>0</v>
      </c>
      <c r="M16" s="2233" t="s">
        <v>265</v>
      </c>
    </row>
    <row r="17" spans="2:13" ht="30" x14ac:dyDescent="0.15">
      <c r="B17" s="2977"/>
      <c r="C17" s="2233" t="s">
        <v>1408</v>
      </c>
      <c r="D17" s="2232" t="s">
        <v>1402</v>
      </c>
      <c r="E17" s="2233" t="s">
        <v>1403</v>
      </c>
      <c r="F17" s="2234">
        <v>0</v>
      </c>
      <c r="G17" s="2234">
        <v>0</v>
      </c>
      <c r="H17" s="2234">
        <v>0</v>
      </c>
      <c r="I17" s="2234">
        <v>0</v>
      </c>
      <c r="J17" s="2234">
        <v>0</v>
      </c>
      <c r="K17" s="2234">
        <v>0</v>
      </c>
      <c r="L17" s="2234">
        <v>0</v>
      </c>
      <c r="M17" s="2233" t="s">
        <v>265</v>
      </c>
    </row>
    <row r="18" spans="2:13" ht="75" x14ac:dyDescent="0.15">
      <c r="B18" s="2977"/>
      <c r="C18" s="2233" t="s">
        <v>1415</v>
      </c>
      <c r="D18" s="2232" t="s">
        <v>1402</v>
      </c>
      <c r="E18" s="2233" t="s">
        <v>1403</v>
      </c>
      <c r="F18" s="2234">
        <v>0</v>
      </c>
      <c r="G18" s="2234">
        <v>0</v>
      </c>
      <c r="H18" s="2234">
        <v>0</v>
      </c>
      <c r="I18" s="2234">
        <v>0</v>
      </c>
      <c r="J18" s="2234">
        <v>0</v>
      </c>
      <c r="K18" s="2234">
        <v>0</v>
      </c>
      <c r="L18" s="2234">
        <v>0</v>
      </c>
      <c r="M18" s="2233" t="s">
        <v>265</v>
      </c>
    </row>
    <row r="19" spans="2:13" ht="30" x14ac:dyDescent="0.15">
      <c r="B19" s="2977"/>
      <c r="C19" s="2233" t="s">
        <v>1410</v>
      </c>
      <c r="D19" s="2232" t="s">
        <v>1402</v>
      </c>
      <c r="E19" s="2233" t="s">
        <v>1403</v>
      </c>
      <c r="F19" s="2234">
        <v>0</v>
      </c>
      <c r="G19" s="2234">
        <v>0</v>
      </c>
      <c r="H19" s="2234">
        <v>0</v>
      </c>
      <c r="I19" s="2234">
        <v>0</v>
      </c>
      <c r="J19" s="2234">
        <v>0</v>
      </c>
      <c r="K19" s="2234">
        <v>0</v>
      </c>
      <c r="L19" s="2234">
        <v>0</v>
      </c>
      <c r="M19" s="2233" t="s">
        <v>265</v>
      </c>
    </row>
    <row r="20" spans="2:13" ht="75" x14ac:dyDescent="0.15">
      <c r="B20" s="2977"/>
      <c r="C20" s="2233" t="s">
        <v>1416</v>
      </c>
      <c r="D20" s="2232" t="s">
        <v>1402</v>
      </c>
      <c r="E20" s="2233" t="s">
        <v>1403</v>
      </c>
      <c r="F20" s="2234">
        <v>0</v>
      </c>
      <c r="G20" s="2234">
        <v>0</v>
      </c>
      <c r="H20" s="2234">
        <v>0</v>
      </c>
      <c r="I20" s="2234">
        <v>0</v>
      </c>
      <c r="J20" s="2234">
        <v>0</v>
      </c>
      <c r="K20" s="2234">
        <v>0</v>
      </c>
      <c r="L20" s="2234">
        <v>0</v>
      </c>
      <c r="M20" s="2233" t="s">
        <v>265</v>
      </c>
    </row>
    <row r="21" spans="2:13" ht="75" x14ac:dyDescent="0.15">
      <c r="B21" s="2977" t="s">
        <v>1417</v>
      </c>
      <c r="C21" s="2233" t="s">
        <v>1418</v>
      </c>
      <c r="D21" s="2232" t="s">
        <v>1402</v>
      </c>
      <c r="E21" s="2233" t="s">
        <v>1403</v>
      </c>
      <c r="F21" s="2234">
        <v>40654.199999999997</v>
      </c>
      <c r="G21" s="2234">
        <v>6506.7</v>
      </c>
      <c r="H21" s="2234">
        <v>6829.5</v>
      </c>
      <c r="I21" s="2234">
        <v>6829.5</v>
      </c>
      <c r="J21" s="2234">
        <v>6829.5</v>
      </c>
      <c r="K21" s="2234">
        <v>6829.5</v>
      </c>
      <c r="L21" s="2234">
        <v>6829.5</v>
      </c>
      <c r="M21" s="2233" t="s">
        <v>265</v>
      </c>
    </row>
    <row r="22" spans="2:13" ht="75" x14ac:dyDescent="0.15">
      <c r="B22" s="2977"/>
      <c r="C22" s="2233" t="s">
        <v>1419</v>
      </c>
      <c r="D22" s="2232" t="s">
        <v>1402</v>
      </c>
      <c r="E22" s="2233" t="s">
        <v>1403</v>
      </c>
      <c r="F22" s="2234">
        <v>0</v>
      </c>
      <c r="G22" s="2234">
        <v>0</v>
      </c>
      <c r="H22" s="2234">
        <v>0</v>
      </c>
      <c r="I22" s="2234">
        <v>0</v>
      </c>
      <c r="J22" s="2234">
        <v>0</v>
      </c>
      <c r="K22" s="2234">
        <v>0</v>
      </c>
      <c r="L22" s="2234">
        <v>0</v>
      </c>
      <c r="M22" s="2233" t="s">
        <v>265</v>
      </c>
    </row>
    <row r="23" spans="2:13" ht="30" x14ac:dyDescent="0.15">
      <c r="B23" s="2977"/>
      <c r="C23" s="2233" t="s">
        <v>1408</v>
      </c>
      <c r="D23" s="2232" t="s">
        <v>1402</v>
      </c>
      <c r="E23" s="2233" t="s">
        <v>1403</v>
      </c>
      <c r="F23" s="2234">
        <v>0</v>
      </c>
      <c r="G23" s="2234">
        <v>0</v>
      </c>
      <c r="H23" s="2234">
        <v>0</v>
      </c>
      <c r="I23" s="2234">
        <v>0</v>
      </c>
      <c r="J23" s="2234">
        <v>0</v>
      </c>
      <c r="K23" s="2234">
        <v>0</v>
      </c>
      <c r="L23" s="2234">
        <v>0</v>
      </c>
      <c r="M23" s="2233" t="s">
        <v>265</v>
      </c>
    </row>
    <row r="24" spans="2:13" ht="90" x14ac:dyDescent="0.15">
      <c r="B24" s="2977"/>
      <c r="C24" s="2233" t="s">
        <v>1420</v>
      </c>
      <c r="D24" s="2232" t="s">
        <v>1402</v>
      </c>
      <c r="E24" s="2233" t="s">
        <v>1403</v>
      </c>
      <c r="F24" s="2234">
        <v>0</v>
      </c>
      <c r="G24" s="2234">
        <v>0</v>
      </c>
      <c r="H24" s="2234">
        <v>0</v>
      </c>
      <c r="I24" s="2234">
        <v>0</v>
      </c>
      <c r="J24" s="2234">
        <v>0</v>
      </c>
      <c r="K24" s="2234">
        <v>0</v>
      </c>
      <c r="L24" s="2234">
        <v>0</v>
      </c>
      <c r="M24" s="2233" t="s">
        <v>265</v>
      </c>
    </row>
    <row r="25" spans="2:13" ht="30" x14ac:dyDescent="0.15">
      <c r="B25" s="2977"/>
      <c r="C25" s="2233" t="s">
        <v>1410</v>
      </c>
      <c r="D25" s="2232" t="s">
        <v>1402</v>
      </c>
      <c r="E25" s="2233" t="s">
        <v>1403</v>
      </c>
      <c r="F25" s="2234">
        <v>0</v>
      </c>
      <c r="G25" s="2234">
        <v>0</v>
      </c>
      <c r="H25" s="2234">
        <v>0</v>
      </c>
      <c r="I25" s="2234">
        <v>0</v>
      </c>
      <c r="J25" s="2234">
        <v>0</v>
      </c>
      <c r="K25" s="2234">
        <v>0</v>
      </c>
      <c r="L25" s="2234">
        <v>0</v>
      </c>
      <c r="M25" s="2233" t="s">
        <v>265</v>
      </c>
    </row>
    <row r="26" spans="2:13" x14ac:dyDescent="0.15">
      <c r="B26" s="2976" t="s">
        <v>1421</v>
      </c>
      <c r="C26" s="2976"/>
      <c r="D26" s="2976"/>
      <c r="E26" s="2976"/>
      <c r="F26" s="2976"/>
      <c r="G26" s="2976"/>
      <c r="H26" s="2976"/>
      <c r="I26" s="2976"/>
      <c r="J26" s="2976"/>
      <c r="K26" s="2976"/>
      <c r="L26" s="2976"/>
      <c r="M26" s="2976"/>
    </row>
    <row r="27" spans="2:13" ht="60" x14ac:dyDescent="0.15">
      <c r="B27" s="2977" t="s">
        <v>1212</v>
      </c>
      <c r="C27" s="2233" t="s">
        <v>1422</v>
      </c>
      <c r="D27" s="2232" t="s">
        <v>1402</v>
      </c>
      <c r="E27" s="2233" t="s">
        <v>1403</v>
      </c>
      <c r="F27" s="2234">
        <v>76314.899999999994</v>
      </c>
      <c r="G27" s="2234">
        <v>12231.9</v>
      </c>
      <c r="H27" s="2234">
        <v>12816.6</v>
      </c>
      <c r="I27" s="2234">
        <v>12816.6</v>
      </c>
      <c r="J27" s="2234">
        <v>12816.6</v>
      </c>
      <c r="K27" s="2234">
        <v>12816.6</v>
      </c>
      <c r="L27" s="2234">
        <v>12816.6</v>
      </c>
      <c r="M27" s="2233" t="s">
        <v>265</v>
      </c>
    </row>
    <row r="28" spans="2:13" ht="30" x14ac:dyDescent="0.15">
      <c r="B28" s="2977"/>
      <c r="C28" s="2977" t="s">
        <v>1423</v>
      </c>
      <c r="D28" s="2975" t="s">
        <v>1402</v>
      </c>
      <c r="E28" s="2977" t="s">
        <v>1403</v>
      </c>
      <c r="F28" s="2978">
        <v>20000</v>
      </c>
      <c r="G28" s="2978">
        <v>20000</v>
      </c>
      <c r="H28" s="2978">
        <v>0</v>
      </c>
      <c r="I28" s="2978">
        <v>0</v>
      </c>
      <c r="J28" s="2978">
        <v>0</v>
      </c>
      <c r="K28" s="2978">
        <v>0</v>
      </c>
      <c r="L28" s="2978">
        <v>0</v>
      </c>
      <c r="M28" s="2233" t="s">
        <v>1424</v>
      </c>
    </row>
    <row r="29" spans="2:13" ht="45" x14ac:dyDescent="0.15">
      <c r="B29" s="2977"/>
      <c r="C29" s="2977"/>
      <c r="D29" s="2975"/>
      <c r="E29" s="2977"/>
      <c r="F29" s="2978"/>
      <c r="G29" s="2978"/>
      <c r="H29" s="2978"/>
      <c r="I29" s="2978"/>
      <c r="J29" s="2978"/>
      <c r="K29" s="2978"/>
      <c r="L29" s="2978"/>
      <c r="M29" s="2233" t="s">
        <v>1425</v>
      </c>
    </row>
    <row r="30" spans="2:13" ht="45" x14ac:dyDescent="0.15">
      <c r="B30" s="2977"/>
      <c r="C30" s="2977"/>
      <c r="D30" s="2975"/>
      <c r="E30" s="2977"/>
      <c r="F30" s="2978"/>
      <c r="G30" s="2978"/>
      <c r="H30" s="2978"/>
      <c r="I30" s="2978"/>
      <c r="J30" s="2978"/>
      <c r="K30" s="2978"/>
      <c r="L30" s="2978"/>
      <c r="M30" s="2233" t="s">
        <v>1426</v>
      </c>
    </row>
    <row r="31" spans="2:13" ht="30" x14ac:dyDescent="0.15">
      <c r="B31" s="2977"/>
      <c r="C31" s="2977" t="s">
        <v>1427</v>
      </c>
      <c r="D31" s="2975" t="s">
        <v>1402</v>
      </c>
      <c r="E31" s="2977" t="s">
        <v>1403</v>
      </c>
      <c r="F31" s="2978">
        <v>92178.2</v>
      </c>
      <c r="G31" s="2978">
        <v>26344.7</v>
      </c>
      <c r="H31" s="2978">
        <v>13166.7</v>
      </c>
      <c r="I31" s="2978">
        <v>13166.7</v>
      </c>
      <c r="J31" s="2978">
        <v>13166.7</v>
      </c>
      <c r="K31" s="2978">
        <v>13166.7</v>
      </c>
      <c r="L31" s="2978">
        <v>13166.7</v>
      </c>
      <c r="M31" s="2233" t="s">
        <v>1424</v>
      </c>
    </row>
    <row r="32" spans="2:13" ht="45" x14ac:dyDescent="0.15">
      <c r="B32" s="2977"/>
      <c r="C32" s="2977"/>
      <c r="D32" s="2975"/>
      <c r="E32" s="2977"/>
      <c r="F32" s="2978"/>
      <c r="G32" s="2978"/>
      <c r="H32" s="2978"/>
      <c r="I32" s="2978"/>
      <c r="J32" s="2978"/>
      <c r="K32" s="2978"/>
      <c r="L32" s="2978"/>
      <c r="M32" s="2233" t="s">
        <v>1209</v>
      </c>
    </row>
    <row r="33" spans="2:13" ht="30" x14ac:dyDescent="0.15">
      <c r="B33" s="2977" t="s">
        <v>1428</v>
      </c>
      <c r="C33" s="2977" t="s">
        <v>1429</v>
      </c>
      <c r="D33" s="2975" t="s">
        <v>1402</v>
      </c>
      <c r="E33" s="2977" t="s">
        <v>1403</v>
      </c>
      <c r="F33" s="2978">
        <v>267224.8</v>
      </c>
      <c r="G33" s="2978">
        <v>60947.3</v>
      </c>
      <c r="H33" s="2978">
        <v>41255.5</v>
      </c>
      <c r="I33" s="2978">
        <v>41255.5</v>
      </c>
      <c r="J33" s="2978">
        <v>41255.5</v>
      </c>
      <c r="K33" s="2978">
        <v>41255.5</v>
      </c>
      <c r="L33" s="2978">
        <v>41255.5</v>
      </c>
      <c r="M33" s="2233" t="s">
        <v>1424</v>
      </c>
    </row>
    <row r="34" spans="2:13" ht="45" x14ac:dyDescent="0.15">
      <c r="B34" s="2977"/>
      <c r="C34" s="2977"/>
      <c r="D34" s="2975"/>
      <c r="E34" s="2977"/>
      <c r="F34" s="2978"/>
      <c r="G34" s="2978"/>
      <c r="H34" s="2978"/>
      <c r="I34" s="2978"/>
      <c r="J34" s="2978"/>
      <c r="K34" s="2978"/>
      <c r="L34" s="2978"/>
      <c r="M34" s="2233" t="s">
        <v>1425</v>
      </c>
    </row>
    <row r="35" spans="2:13" ht="45" x14ac:dyDescent="0.15">
      <c r="B35" s="2977"/>
      <c r="C35" s="2977"/>
      <c r="D35" s="2975"/>
      <c r="E35" s="2977"/>
      <c r="F35" s="2978"/>
      <c r="G35" s="2978"/>
      <c r="H35" s="2978"/>
      <c r="I35" s="2978"/>
      <c r="J35" s="2978"/>
      <c r="K35" s="2978"/>
      <c r="L35" s="2978"/>
      <c r="M35" s="2233" t="s">
        <v>1426</v>
      </c>
    </row>
    <row r="36" spans="2:13" ht="30" x14ac:dyDescent="0.15">
      <c r="B36" s="2977"/>
      <c r="C36" s="2977" t="s">
        <v>1423</v>
      </c>
      <c r="D36" s="2975" t="s">
        <v>1402</v>
      </c>
      <c r="E36" s="2977" t="s">
        <v>1403</v>
      </c>
      <c r="F36" s="2978">
        <v>0</v>
      </c>
      <c r="G36" s="2978">
        <v>0</v>
      </c>
      <c r="H36" s="2978">
        <v>0</v>
      </c>
      <c r="I36" s="2978">
        <v>0</v>
      </c>
      <c r="J36" s="2978">
        <v>0</v>
      </c>
      <c r="K36" s="2978">
        <v>0</v>
      </c>
      <c r="L36" s="2978">
        <v>0</v>
      </c>
      <c r="M36" s="2233" t="s">
        <v>1424</v>
      </c>
    </row>
    <row r="37" spans="2:13" ht="45" x14ac:dyDescent="0.15">
      <c r="B37" s="2977"/>
      <c r="C37" s="2977"/>
      <c r="D37" s="2975"/>
      <c r="E37" s="2977"/>
      <c r="F37" s="2978"/>
      <c r="G37" s="2978"/>
      <c r="H37" s="2978"/>
      <c r="I37" s="2978"/>
      <c r="J37" s="2978"/>
      <c r="K37" s="2978"/>
      <c r="L37" s="2978"/>
      <c r="M37" s="2233" t="s">
        <v>1209</v>
      </c>
    </row>
    <row r="38" spans="2:13" ht="30" x14ac:dyDescent="0.15">
      <c r="B38" s="2977"/>
      <c r="C38" s="2977" t="s">
        <v>1430</v>
      </c>
      <c r="D38" s="2975" t="s">
        <v>1402</v>
      </c>
      <c r="E38" s="2977" t="s">
        <v>1403</v>
      </c>
      <c r="F38" s="2978">
        <v>0</v>
      </c>
      <c r="G38" s="2978">
        <v>0</v>
      </c>
      <c r="H38" s="2978">
        <v>0</v>
      </c>
      <c r="I38" s="2978">
        <v>0</v>
      </c>
      <c r="J38" s="2978">
        <v>0</v>
      </c>
      <c r="K38" s="2978">
        <v>0</v>
      </c>
      <c r="L38" s="2978">
        <v>0</v>
      </c>
      <c r="M38" s="2233" t="s">
        <v>1424</v>
      </c>
    </row>
    <row r="39" spans="2:13" ht="45" x14ac:dyDescent="0.15">
      <c r="B39" s="2977"/>
      <c r="C39" s="2977"/>
      <c r="D39" s="2975"/>
      <c r="E39" s="2977"/>
      <c r="F39" s="2978"/>
      <c r="G39" s="2978"/>
      <c r="H39" s="2978"/>
      <c r="I39" s="2978"/>
      <c r="J39" s="2978"/>
      <c r="K39" s="2978"/>
      <c r="L39" s="2978"/>
      <c r="M39" s="2233" t="s">
        <v>1425</v>
      </c>
    </row>
    <row r="40" spans="2:13" ht="45" x14ac:dyDescent="0.15">
      <c r="B40" s="2977"/>
      <c r="C40" s="2977"/>
      <c r="D40" s="2975"/>
      <c r="E40" s="2977"/>
      <c r="F40" s="2978"/>
      <c r="G40" s="2978"/>
      <c r="H40" s="2978"/>
      <c r="I40" s="2978"/>
      <c r="J40" s="2978"/>
      <c r="K40" s="2978"/>
      <c r="L40" s="2978"/>
      <c r="M40" s="2233" t="s">
        <v>1426</v>
      </c>
    </row>
    <row r="41" spans="2:13" ht="90" x14ac:dyDescent="0.15">
      <c r="B41" s="2977"/>
      <c r="C41" s="2233" t="s">
        <v>1431</v>
      </c>
      <c r="D41" s="2232" t="s">
        <v>1402</v>
      </c>
      <c r="E41" s="2233" t="s">
        <v>1403</v>
      </c>
      <c r="F41" s="2234">
        <v>0</v>
      </c>
      <c r="G41" s="2234">
        <v>0</v>
      </c>
      <c r="H41" s="2234">
        <v>0</v>
      </c>
      <c r="I41" s="2234">
        <v>0</v>
      </c>
      <c r="J41" s="2234">
        <v>0</v>
      </c>
      <c r="K41" s="2234">
        <v>0</v>
      </c>
      <c r="L41" s="2234">
        <v>0</v>
      </c>
      <c r="M41" s="2233" t="s">
        <v>265</v>
      </c>
    </row>
    <row r="42" spans="2:13" ht="75" x14ac:dyDescent="0.15">
      <c r="B42" s="2977"/>
      <c r="C42" s="2233" t="s">
        <v>1432</v>
      </c>
      <c r="D42" s="2232" t="s">
        <v>1402</v>
      </c>
      <c r="E42" s="2233" t="s">
        <v>1403</v>
      </c>
      <c r="F42" s="2234">
        <v>0</v>
      </c>
      <c r="G42" s="2234">
        <v>0</v>
      </c>
      <c r="H42" s="2234">
        <v>0</v>
      </c>
      <c r="I42" s="2234">
        <v>0</v>
      </c>
      <c r="J42" s="2234">
        <v>0</v>
      </c>
      <c r="K42" s="2234">
        <v>0</v>
      </c>
      <c r="L42" s="2234">
        <v>0</v>
      </c>
      <c r="M42" s="2233" t="s">
        <v>265</v>
      </c>
    </row>
    <row r="43" spans="2:13" ht="30" x14ac:dyDescent="0.15">
      <c r="B43" s="2977"/>
      <c r="C43" s="2977" t="s">
        <v>1433</v>
      </c>
      <c r="D43" s="2975" t="s">
        <v>1402</v>
      </c>
      <c r="E43" s="2977" t="s">
        <v>1403</v>
      </c>
      <c r="F43" s="2978">
        <v>13000</v>
      </c>
      <c r="G43" s="2978">
        <v>13000</v>
      </c>
      <c r="H43" s="2978">
        <v>0</v>
      </c>
      <c r="I43" s="2978">
        <v>0</v>
      </c>
      <c r="J43" s="2978">
        <v>0</v>
      </c>
      <c r="K43" s="2978">
        <v>0</v>
      </c>
      <c r="L43" s="2978">
        <v>0</v>
      </c>
      <c r="M43" s="2233" t="s">
        <v>1424</v>
      </c>
    </row>
    <row r="44" spans="2:13" ht="45" x14ac:dyDescent="0.15">
      <c r="B44" s="2977"/>
      <c r="C44" s="2977"/>
      <c r="D44" s="2975"/>
      <c r="E44" s="2977"/>
      <c r="F44" s="2978"/>
      <c r="G44" s="2978"/>
      <c r="H44" s="2978"/>
      <c r="I44" s="2978"/>
      <c r="J44" s="2978"/>
      <c r="K44" s="2978"/>
      <c r="L44" s="2978"/>
      <c r="M44" s="2233" t="s">
        <v>1209</v>
      </c>
    </row>
    <row r="45" spans="2:13" ht="30" x14ac:dyDescent="0.15">
      <c r="B45" s="2977"/>
      <c r="C45" s="2977" t="s">
        <v>1434</v>
      </c>
      <c r="D45" s="2975" t="s">
        <v>1402</v>
      </c>
      <c r="E45" s="2977" t="s">
        <v>1403</v>
      </c>
      <c r="F45" s="2978">
        <v>2143</v>
      </c>
      <c r="G45" s="2978">
        <v>2143</v>
      </c>
      <c r="H45" s="2978">
        <v>0</v>
      </c>
      <c r="I45" s="2978">
        <v>0</v>
      </c>
      <c r="J45" s="2978">
        <v>0</v>
      </c>
      <c r="K45" s="2978">
        <v>0</v>
      </c>
      <c r="L45" s="2978">
        <v>0</v>
      </c>
      <c r="M45" s="2233" t="s">
        <v>1424</v>
      </c>
    </row>
    <row r="46" spans="2:13" ht="45" x14ac:dyDescent="0.15">
      <c r="B46" s="2977"/>
      <c r="C46" s="2977"/>
      <c r="D46" s="2975"/>
      <c r="E46" s="2977"/>
      <c r="F46" s="2978"/>
      <c r="G46" s="2978"/>
      <c r="H46" s="2978"/>
      <c r="I46" s="2978"/>
      <c r="J46" s="2978"/>
      <c r="K46" s="2978"/>
      <c r="L46" s="2978"/>
      <c r="M46" s="2233" t="s">
        <v>1209</v>
      </c>
    </row>
    <row r="47" spans="2:13" ht="30" x14ac:dyDescent="0.15">
      <c r="B47" s="2977"/>
      <c r="C47" s="2233" t="s">
        <v>1435</v>
      </c>
      <c r="D47" s="2232" t="s">
        <v>1402</v>
      </c>
      <c r="E47" s="2233" t="s">
        <v>1403</v>
      </c>
      <c r="F47" s="2234">
        <v>0</v>
      </c>
      <c r="G47" s="2234">
        <v>0</v>
      </c>
      <c r="H47" s="2234">
        <v>0</v>
      </c>
      <c r="I47" s="2234">
        <v>0</v>
      </c>
      <c r="J47" s="2234">
        <v>0</v>
      </c>
      <c r="K47" s="2234">
        <v>0</v>
      </c>
      <c r="L47" s="2234">
        <v>0</v>
      </c>
      <c r="M47" s="2233" t="s">
        <v>265</v>
      </c>
    </row>
    <row r="48" spans="2:13" ht="90" x14ac:dyDescent="0.15">
      <c r="B48" s="2977" t="s">
        <v>1213</v>
      </c>
      <c r="C48" s="2233" t="s">
        <v>1436</v>
      </c>
      <c r="D48" s="2232" t="s">
        <v>1402</v>
      </c>
      <c r="E48" s="2233" t="s">
        <v>1403</v>
      </c>
      <c r="F48" s="2234">
        <v>25395.599999999999</v>
      </c>
      <c r="G48" s="2234">
        <v>2370.1</v>
      </c>
      <c r="H48" s="2234">
        <v>4605.1000000000004</v>
      </c>
      <c r="I48" s="2234">
        <v>4605.1000000000004</v>
      </c>
      <c r="J48" s="2234">
        <v>4605.1000000000004</v>
      </c>
      <c r="K48" s="2234">
        <v>4605.1000000000004</v>
      </c>
      <c r="L48" s="2234">
        <v>4605.1000000000004</v>
      </c>
      <c r="M48" s="2233" t="s">
        <v>265</v>
      </c>
    </row>
    <row r="49" spans="2:13" ht="105" x14ac:dyDescent="0.15">
      <c r="B49" s="2977"/>
      <c r="C49" s="2233" t="s">
        <v>1437</v>
      </c>
      <c r="D49" s="2232" t="s">
        <v>1402</v>
      </c>
      <c r="E49" s="2233" t="s">
        <v>1403</v>
      </c>
      <c r="F49" s="2234">
        <v>0</v>
      </c>
      <c r="G49" s="2234">
        <v>0</v>
      </c>
      <c r="H49" s="2234">
        <v>0</v>
      </c>
      <c r="I49" s="2234">
        <v>0</v>
      </c>
      <c r="J49" s="2234">
        <v>0</v>
      </c>
      <c r="K49" s="2234">
        <v>0</v>
      </c>
      <c r="L49" s="2234">
        <v>0</v>
      </c>
      <c r="M49" s="2233" t="s">
        <v>265</v>
      </c>
    </row>
    <row r="50" spans="2:13" ht="45" x14ac:dyDescent="0.15">
      <c r="B50" s="2977"/>
      <c r="C50" s="2233" t="s">
        <v>1438</v>
      </c>
      <c r="D50" s="2232" t="s">
        <v>1402</v>
      </c>
      <c r="E50" s="2233" t="s">
        <v>1403</v>
      </c>
      <c r="F50" s="2234">
        <v>19000</v>
      </c>
      <c r="G50" s="2234">
        <v>19000</v>
      </c>
      <c r="H50" s="2234">
        <v>0</v>
      </c>
      <c r="I50" s="2234">
        <v>0</v>
      </c>
      <c r="J50" s="2234">
        <v>0</v>
      </c>
      <c r="K50" s="2234">
        <v>0</v>
      </c>
      <c r="L50" s="2234">
        <v>0</v>
      </c>
      <c r="M50" s="2233" t="s">
        <v>265</v>
      </c>
    </row>
    <row r="51" spans="2:13" ht="45" x14ac:dyDescent="0.15">
      <c r="B51" s="2977"/>
      <c r="C51" s="2233" t="s">
        <v>1439</v>
      </c>
      <c r="D51" s="2232" t="s">
        <v>1402</v>
      </c>
      <c r="E51" s="2233" t="s">
        <v>1403</v>
      </c>
      <c r="F51" s="2234">
        <v>0</v>
      </c>
      <c r="G51" s="2234">
        <v>0</v>
      </c>
      <c r="H51" s="2234">
        <v>0</v>
      </c>
      <c r="I51" s="2234">
        <v>0</v>
      </c>
      <c r="J51" s="2234">
        <v>0</v>
      </c>
      <c r="K51" s="2234">
        <v>0</v>
      </c>
      <c r="L51" s="2234">
        <v>0</v>
      </c>
      <c r="M51" s="2233" t="s">
        <v>265</v>
      </c>
    </row>
    <row r="52" spans="2:13" ht="45" x14ac:dyDescent="0.15">
      <c r="B52" s="2977"/>
      <c r="C52" s="2233" t="s">
        <v>1440</v>
      </c>
      <c r="D52" s="2232" t="s">
        <v>1402</v>
      </c>
      <c r="E52" s="2233" t="s">
        <v>1403</v>
      </c>
      <c r="F52" s="2234">
        <v>0</v>
      </c>
      <c r="G52" s="2234">
        <v>0</v>
      </c>
      <c r="H52" s="2234">
        <v>0</v>
      </c>
      <c r="I52" s="2234">
        <v>0</v>
      </c>
      <c r="J52" s="2234">
        <v>0</v>
      </c>
      <c r="K52" s="2234">
        <v>0</v>
      </c>
      <c r="L52" s="2234">
        <v>0</v>
      </c>
      <c r="M52" s="2233" t="s">
        <v>265</v>
      </c>
    </row>
    <row r="53" spans="2:13" ht="45" x14ac:dyDescent="0.15">
      <c r="B53" s="2977"/>
      <c r="C53" s="2233" t="s">
        <v>1441</v>
      </c>
      <c r="D53" s="2232" t="s">
        <v>1402</v>
      </c>
      <c r="E53" s="2233" t="s">
        <v>1403</v>
      </c>
      <c r="F53" s="2234">
        <v>0</v>
      </c>
      <c r="G53" s="2234">
        <v>0</v>
      </c>
      <c r="H53" s="2234">
        <v>0</v>
      </c>
      <c r="I53" s="2234">
        <v>0</v>
      </c>
      <c r="J53" s="2234">
        <v>0</v>
      </c>
      <c r="K53" s="2234">
        <v>0</v>
      </c>
      <c r="L53" s="2234">
        <v>0</v>
      </c>
      <c r="M53" s="2233" t="s">
        <v>265</v>
      </c>
    </row>
    <row r="54" spans="2:13" ht="45" x14ac:dyDescent="0.15">
      <c r="B54" s="2977" t="s">
        <v>1214</v>
      </c>
      <c r="C54" s="2233" t="s">
        <v>1442</v>
      </c>
      <c r="D54" s="2232" t="s">
        <v>1402</v>
      </c>
      <c r="E54" s="2233" t="s">
        <v>1403</v>
      </c>
      <c r="F54" s="2234">
        <v>658735.5</v>
      </c>
      <c r="G54" s="2234">
        <v>114227</v>
      </c>
      <c r="H54" s="2234">
        <v>108901.7</v>
      </c>
      <c r="I54" s="2234">
        <v>108901.7</v>
      </c>
      <c r="J54" s="2234">
        <v>108901.7</v>
      </c>
      <c r="K54" s="2234">
        <v>108901.7</v>
      </c>
      <c r="L54" s="2234">
        <v>108901.7</v>
      </c>
      <c r="M54" s="2233" t="s">
        <v>265</v>
      </c>
    </row>
    <row r="55" spans="2:13" ht="60" x14ac:dyDescent="0.15">
      <c r="B55" s="2977"/>
      <c r="C55" s="2233" t="s">
        <v>1443</v>
      </c>
      <c r="D55" s="2232" t="s">
        <v>1402</v>
      </c>
      <c r="E55" s="2233" t="s">
        <v>1403</v>
      </c>
      <c r="F55" s="2234">
        <v>14013.5</v>
      </c>
      <c r="G55" s="2234">
        <v>14013.5</v>
      </c>
      <c r="H55" s="2234">
        <v>0</v>
      </c>
      <c r="I55" s="2234">
        <v>0</v>
      </c>
      <c r="J55" s="2234">
        <v>0</v>
      </c>
      <c r="K55" s="2234">
        <v>0</v>
      </c>
      <c r="L55" s="2234">
        <v>0</v>
      </c>
      <c r="M55" s="2233" t="s">
        <v>265</v>
      </c>
    </row>
    <row r="56" spans="2:13" ht="30" x14ac:dyDescent="0.15">
      <c r="B56" s="2977"/>
      <c r="C56" s="2233" t="s">
        <v>1444</v>
      </c>
      <c r="D56" s="2232" t="s">
        <v>1402</v>
      </c>
      <c r="E56" s="2233" t="s">
        <v>1403</v>
      </c>
      <c r="F56" s="2234">
        <v>70000</v>
      </c>
      <c r="G56" s="2234">
        <v>70000</v>
      </c>
      <c r="H56" s="2234">
        <v>0</v>
      </c>
      <c r="I56" s="2234">
        <v>0</v>
      </c>
      <c r="J56" s="2234">
        <v>0</v>
      </c>
      <c r="K56" s="2234">
        <v>0</v>
      </c>
      <c r="L56" s="2234">
        <v>0</v>
      </c>
      <c r="M56" s="2233" t="s">
        <v>265</v>
      </c>
    </row>
    <row r="57" spans="2:13" ht="30" x14ac:dyDescent="0.15">
      <c r="B57" s="2977"/>
      <c r="C57" s="2233" t="s">
        <v>1445</v>
      </c>
      <c r="D57" s="2232" t="s">
        <v>1402</v>
      </c>
      <c r="E57" s="2233" t="s">
        <v>1403</v>
      </c>
      <c r="F57" s="2234">
        <v>0</v>
      </c>
      <c r="G57" s="2234">
        <v>0</v>
      </c>
      <c r="H57" s="2234">
        <v>0</v>
      </c>
      <c r="I57" s="2234">
        <v>0</v>
      </c>
      <c r="J57" s="2234">
        <v>0</v>
      </c>
      <c r="K57" s="2234">
        <v>0</v>
      </c>
      <c r="L57" s="2234">
        <v>0</v>
      </c>
      <c r="M57" s="2233" t="s">
        <v>265</v>
      </c>
    </row>
    <row r="58" spans="2:13" ht="30" x14ac:dyDescent="0.15">
      <c r="B58" s="2977"/>
      <c r="C58" s="2233" t="s">
        <v>1446</v>
      </c>
      <c r="D58" s="2232" t="s">
        <v>1402</v>
      </c>
      <c r="E58" s="2233" t="s">
        <v>1403</v>
      </c>
      <c r="F58" s="2234">
        <v>0</v>
      </c>
      <c r="G58" s="2234">
        <v>0</v>
      </c>
      <c r="H58" s="2234">
        <v>0</v>
      </c>
      <c r="I58" s="2234">
        <v>0</v>
      </c>
      <c r="J58" s="2234">
        <v>0</v>
      </c>
      <c r="K58" s="2234">
        <v>0</v>
      </c>
      <c r="L58" s="2234">
        <v>0</v>
      </c>
      <c r="M58" s="2233" t="s">
        <v>265</v>
      </c>
    </row>
    <row r="59" spans="2:13" ht="30" x14ac:dyDescent="0.15">
      <c r="B59" s="2977"/>
      <c r="C59" s="2233" t="s">
        <v>1447</v>
      </c>
      <c r="D59" s="2232" t="s">
        <v>1402</v>
      </c>
      <c r="E59" s="2233" t="s">
        <v>1403</v>
      </c>
      <c r="F59" s="2234">
        <v>0</v>
      </c>
      <c r="G59" s="2234">
        <v>0</v>
      </c>
      <c r="H59" s="2234">
        <v>0</v>
      </c>
      <c r="I59" s="2234">
        <v>0</v>
      </c>
      <c r="J59" s="2234">
        <v>0</v>
      </c>
      <c r="K59" s="2234">
        <v>0</v>
      </c>
      <c r="L59" s="2234">
        <v>0</v>
      </c>
      <c r="M59" s="2233" t="s">
        <v>265</v>
      </c>
    </row>
    <row r="60" spans="2:13" ht="45" x14ac:dyDescent="0.15">
      <c r="B60" s="2977" t="s">
        <v>1215</v>
      </c>
      <c r="C60" s="2233" t="s">
        <v>1448</v>
      </c>
      <c r="D60" s="2232" t="s">
        <v>1402</v>
      </c>
      <c r="E60" s="2233" t="s">
        <v>1403</v>
      </c>
      <c r="F60" s="2234">
        <v>336078.6</v>
      </c>
      <c r="G60" s="2234">
        <v>56549.599999999999</v>
      </c>
      <c r="H60" s="2234">
        <v>55905.8</v>
      </c>
      <c r="I60" s="2234">
        <v>55905.8</v>
      </c>
      <c r="J60" s="2234">
        <v>55905.8</v>
      </c>
      <c r="K60" s="2234">
        <v>55905.8</v>
      </c>
      <c r="L60" s="2234">
        <v>55905.8</v>
      </c>
      <c r="M60" s="2233" t="s">
        <v>265</v>
      </c>
    </row>
    <row r="61" spans="2:13" ht="60" x14ac:dyDescent="0.15">
      <c r="B61" s="2977"/>
      <c r="C61" s="2233" t="s">
        <v>1449</v>
      </c>
      <c r="D61" s="2232" t="s">
        <v>1402</v>
      </c>
      <c r="E61" s="2233" t="s">
        <v>1403</v>
      </c>
      <c r="F61" s="2234">
        <v>0</v>
      </c>
      <c r="G61" s="2234">
        <v>0</v>
      </c>
      <c r="H61" s="2234">
        <v>0</v>
      </c>
      <c r="I61" s="2234">
        <v>0</v>
      </c>
      <c r="J61" s="2234">
        <v>0</v>
      </c>
      <c r="K61" s="2234">
        <v>0</v>
      </c>
      <c r="L61" s="2234">
        <v>0</v>
      </c>
      <c r="M61" s="2233" t="s">
        <v>265</v>
      </c>
    </row>
    <row r="62" spans="2:13" ht="45" x14ac:dyDescent="0.15">
      <c r="B62" s="2977"/>
      <c r="C62" s="2233" t="s">
        <v>1450</v>
      </c>
      <c r="D62" s="2232" t="s">
        <v>1402</v>
      </c>
      <c r="E62" s="2233" t="s">
        <v>1403</v>
      </c>
      <c r="F62" s="2234">
        <v>0</v>
      </c>
      <c r="G62" s="2234">
        <v>0</v>
      </c>
      <c r="H62" s="2234">
        <v>0</v>
      </c>
      <c r="I62" s="2234">
        <v>0</v>
      </c>
      <c r="J62" s="2234">
        <v>0</v>
      </c>
      <c r="K62" s="2234">
        <v>0</v>
      </c>
      <c r="L62" s="2234">
        <v>0</v>
      </c>
      <c r="M62" s="2233" t="s">
        <v>265</v>
      </c>
    </row>
    <row r="63" spans="2:13" ht="45" x14ac:dyDescent="0.15">
      <c r="B63" s="2977"/>
      <c r="C63" s="2233" t="s">
        <v>1451</v>
      </c>
      <c r="D63" s="2232" t="s">
        <v>1402</v>
      </c>
      <c r="E63" s="2233" t="s">
        <v>1403</v>
      </c>
      <c r="F63" s="2234">
        <v>0</v>
      </c>
      <c r="G63" s="2234">
        <v>0</v>
      </c>
      <c r="H63" s="2234">
        <v>0</v>
      </c>
      <c r="I63" s="2234">
        <v>0</v>
      </c>
      <c r="J63" s="2234">
        <v>0</v>
      </c>
      <c r="K63" s="2234">
        <v>0</v>
      </c>
      <c r="L63" s="2234">
        <v>0</v>
      </c>
      <c r="M63" s="2233" t="s">
        <v>265</v>
      </c>
    </row>
    <row r="64" spans="2:13" ht="45" x14ac:dyDescent="0.15">
      <c r="B64" s="2977" t="s">
        <v>1452</v>
      </c>
      <c r="C64" s="2233" t="s">
        <v>1453</v>
      </c>
      <c r="D64" s="2232" t="s">
        <v>1402</v>
      </c>
      <c r="E64" s="2233" t="s">
        <v>1403</v>
      </c>
      <c r="F64" s="2234">
        <v>3027067.8</v>
      </c>
      <c r="G64" s="2234">
        <v>536494.80000000005</v>
      </c>
      <c r="H64" s="2234">
        <v>498114.6</v>
      </c>
      <c r="I64" s="2234">
        <v>498114.6</v>
      </c>
      <c r="J64" s="2234">
        <v>498114.6</v>
      </c>
      <c r="K64" s="2234">
        <v>498114.6</v>
      </c>
      <c r="L64" s="2234">
        <v>498114.6</v>
      </c>
      <c r="M64" s="2233" t="s">
        <v>265</v>
      </c>
    </row>
    <row r="65" spans="2:13" ht="60" x14ac:dyDescent="0.15">
      <c r="B65" s="2977"/>
      <c r="C65" s="2233" t="s">
        <v>1454</v>
      </c>
      <c r="D65" s="2232" t="s">
        <v>1402</v>
      </c>
      <c r="E65" s="2233" t="s">
        <v>1403</v>
      </c>
      <c r="F65" s="2234">
        <v>0</v>
      </c>
      <c r="G65" s="2234">
        <v>500</v>
      </c>
      <c r="H65" s="2234">
        <v>0</v>
      </c>
      <c r="I65" s="2234">
        <v>0</v>
      </c>
      <c r="J65" s="2234">
        <v>0</v>
      </c>
      <c r="K65" s="2234">
        <v>0</v>
      </c>
      <c r="L65" s="2234">
        <v>0</v>
      </c>
      <c r="M65" s="2233" t="s">
        <v>265</v>
      </c>
    </row>
    <row r="66" spans="2:13" ht="45" x14ac:dyDescent="0.15">
      <c r="B66" s="2977"/>
      <c r="C66" s="2233" t="s">
        <v>1455</v>
      </c>
      <c r="D66" s="2232" t="s">
        <v>1402</v>
      </c>
      <c r="E66" s="2233" t="s">
        <v>1403</v>
      </c>
      <c r="F66" s="2234">
        <v>2650</v>
      </c>
      <c r="G66" s="2234">
        <v>2650</v>
      </c>
      <c r="H66" s="2234">
        <v>0</v>
      </c>
      <c r="I66" s="2234">
        <v>0</v>
      </c>
      <c r="J66" s="2234">
        <v>0</v>
      </c>
      <c r="K66" s="2234">
        <v>0</v>
      </c>
      <c r="L66" s="2234">
        <v>0</v>
      </c>
      <c r="M66" s="2233" t="s">
        <v>265</v>
      </c>
    </row>
    <row r="67" spans="2:13" ht="30" x14ac:dyDescent="0.15">
      <c r="B67" s="2977"/>
      <c r="C67" s="2233" t="s">
        <v>1456</v>
      </c>
      <c r="D67" s="2232" t="s">
        <v>1402</v>
      </c>
      <c r="E67" s="2233" t="s">
        <v>1403</v>
      </c>
      <c r="F67" s="2234">
        <v>0</v>
      </c>
      <c r="G67" s="2234">
        <v>0</v>
      </c>
      <c r="H67" s="2234">
        <v>0</v>
      </c>
      <c r="I67" s="2234">
        <v>0</v>
      </c>
      <c r="J67" s="2234">
        <v>0</v>
      </c>
      <c r="K67" s="2234">
        <v>0</v>
      </c>
      <c r="L67" s="2234">
        <v>0</v>
      </c>
      <c r="M67" s="2233" t="s">
        <v>265</v>
      </c>
    </row>
    <row r="68" spans="2:13" ht="75" x14ac:dyDescent="0.15">
      <c r="B68" s="2977"/>
      <c r="C68" s="2233" t="s">
        <v>1457</v>
      </c>
      <c r="D68" s="2232" t="s">
        <v>1402</v>
      </c>
      <c r="E68" s="2233" t="s">
        <v>1403</v>
      </c>
      <c r="F68" s="2234">
        <v>20140</v>
      </c>
      <c r="G68" s="2234">
        <v>20140</v>
      </c>
      <c r="H68" s="2234">
        <v>0</v>
      </c>
      <c r="I68" s="2234">
        <v>0</v>
      </c>
      <c r="J68" s="2234">
        <v>0</v>
      </c>
      <c r="K68" s="2234">
        <v>0</v>
      </c>
      <c r="L68" s="2234">
        <v>0</v>
      </c>
      <c r="M68" s="2233" t="s">
        <v>265</v>
      </c>
    </row>
    <row r="69" spans="2:13" ht="30" x14ac:dyDescent="0.15">
      <c r="B69" s="2977"/>
      <c r="C69" s="2977" t="s">
        <v>1458</v>
      </c>
      <c r="D69" s="2975" t="s">
        <v>1402</v>
      </c>
      <c r="E69" s="2977" t="s">
        <v>1403</v>
      </c>
      <c r="F69" s="2978">
        <v>3500</v>
      </c>
      <c r="G69" s="2978">
        <v>3500</v>
      </c>
      <c r="H69" s="2978">
        <v>0</v>
      </c>
      <c r="I69" s="2978">
        <v>0</v>
      </c>
      <c r="J69" s="2978">
        <v>0</v>
      </c>
      <c r="K69" s="2978">
        <v>0</v>
      </c>
      <c r="L69" s="2978">
        <v>0</v>
      </c>
      <c r="M69" s="2233" t="s">
        <v>1424</v>
      </c>
    </row>
    <row r="70" spans="2:13" ht="45" x14ac:dyDescent="0.15">
      <c r="B70" s="2977"/>
      <c r="C70" s="2977"/>
      <c r="D70" s="2975"/>
      <c r="E70" s="2977"/>
      <c r="F70" s="2978"/>
      <c r="G70" s="2978"/>
      <c r="H70" s="2978"/>
      <c r="I70" s="2978"/>
      <c r="J70" s="2978"/>
      <c r="K70" s="2978"/>
      <c r="L70" s="2978"/>
      <c r="M70" s="2233" t="s">
        <v>1209</v>
      </c>
    </row>
    <row r="71" spans="2:13" ht="30" x14ac:dyDescent="0.15">
      <c r="B71" s="2977"/>
      <c r="C71" s="2233" t="s">
        <v>1459</v>
      </c>
      <c r="D71" s="2232" t="s">
        <v>1402</v>
      </c>
      <c r="E71" s="2233" t="s">
        <v>1403</v>
      </c>
      <c r="F71" s="2234">
        <v>0</v>
      </c>
      <c r="G71" s="2234">
        <v>0</v>
      </c>
      <c r="H71" s="2234">
        <v>0</v>
      </c>
      <c r="I71" s="2234">
        <v>0</v>
      </c>
      <c r="J71" s="2234">
        <v>0</v>
      </c>
      <c r="K71" s="2234">
        <v>0</v>
      </c>
      <c r="L71" s="2234">
        <v>0</v>
      </c>
      <c r="M71" s="2233" t="s">
        <v>265</v>
      </c>
    </row>
    <row r="72" spans="2:13" ht="30" x14ac:dyDescent="0.15">
      <c r="B72" s="2233" t="s">
        <v>1460</v>
      </c>
      <c r="C72" s="2233" t="s">
        <v>1461</v>
      </c>
      <c r="D72" s="2232" t="s">
        <v>1402</v>
      </c>
      <c r="E72" s="2233" t="s">
        <v>1403</v>
      </c>
      <c r="F72" s="2234">
        <v>56102</v>
      </c>
      <c r="G72" s="2234">
        <v>10614.5</v>
      </c>
      <c r="H72" s="2234">
        <v>9097.5</v>
      </c>
      <c r="I72" s="2234">
        <v>9097.5</v>
      </c>
      <c r="J72" s="2234">
        <v>9097.5</v>
      </c>
      <c r="K72" s="2234">
        <v>9097.5</v>
      </c>
      <c r="L72" s="2234">
        <v>9097.5</v>
      </c>
      <c r="M72" s="2233" t="s">
        <v>265</v>
      </c>
    </row>
    <row r="73" spans="2:13" ht="45" x14ac:dyDescent="0.15">
      <c r="B73" s="2233" t="s">
        <v>1107</v>
      </c>
      <c r="C73" s="2233" t="s">
        <v>1462</v>
      </c>
      <c r="D73" s="2232" t="s">
        <v>1402</v>
      </c>
      <c r="E73" s="2233" t="s">
        <v>1403</v>
      </c>
      <c r="F73" s="2234">
        <v>148994.5</v>
      </c>
      <c r="G73" s="2234">
        <v>3500</v>
      </c>
      <c r="H73" s="2234">
        <v>29098.9</v>
      </c>
      <c r="I73" s="2234">
        <v>29098.9</v>
      </c>
      <c r="J73" s="2234">
        <v>29098.9</v>
      </c>
      <c r="K73" s="2234">
        <v>29098.9</v>
      </c>
      <c r="L73" s="2234">
        <v>29098.9</v>
      </c>
      <c r="M73" s="2233" t="s">
        <v>265</v>
      </c>
    </row>
    <row r="74" spans="2:13" x14ac:dyDescent="0.15">
      <c r="B74" s="2976" t="s">
        <v>1463</v>
      </c>
      <c r="C74" s="2976"/>
      <c r="D74" s="2976"/>
      <c r="E74" s="2976"/>
      <c r="F74" s="2976"/>
      <c r="G74" s="2976"/>
      <c r="H74" s="2976"/>
      <c r="I74" s="2976"/>
      <c r="J74" s="2976"/>
      <c r="K74" s="2976"/>
      <c r="L74" s="2976"/>
      <c r="M74" s="2976"/>
    </row>
    <row r="75" spans="2:13" ht="30" x14ac:dyDescent="0.15">
      <c r="B75" s="2977" t="s">
        <v>1464</v>
      </c>
      <c r="C75" s="2233" t="s">
        <v>1465</v>
      </c>
      <c r="D75" s="2232" t="s">
        <v>1402</v>
      </c>
      <c r="E75" s="2233" t="s">
        <v>1403</v>
      </c>
      <c r="F75" s="2234">
        <v>175579</v>
      </c>
      <c r="G75" s="2234">
        <v>27859</v>
      </c>
      <c r="H75" s="2234">
        <v>29544</v>
      </c>
      <c r="I75" s="2234">
        <v>29544</v>
      </c>
      <c r="J75" s="2234">
        <v>29544</v>
      </c>
      <c r="K75" s="2234">
        <v>29544</v>
      </c>
      <c r="L75" s="2234">
        <v>29544</v>
      </c>
      <c r="M75" s="2233" t="s">
        <v>265</v>
      </c>
    </row>
    <row r="76" spans="2:13" ht="182" x14ac:dyDescent="0.15">
      <c r="B76" s="2977"/>
      <c r="C76" s="288" t="s">
        <v>1466</v>
      </c>
      <c r="D76" s="2232" t="s">
        <v>1402</v>
      </c>
      <c r="E76" s="2233" t="s">
        <v>1467</v>
      </c>
      <c r="F76" s="2234">
        <v>20204</v>
      </c>
      <c r="G76" s="2234">
        <v>3223.9</v>
      </c>
      <c r="H76" s="2234">
        <v>3192.1</v>
      </c>
      <c r="I76" s="2234">
        <v>3447</v>
      </c>
      <c r="J76" s="2234">
        <v>3447</v>
      </c>
      <c r="K76" s="2234">
        <v>3447</v>
      </c>
      <c r="L76" s="2234">
        <v>3447</v>
      </c>
      <c r="M76" s="2233" t="s">
        <v>265</v>
      </c>
    </row>
    <row r="77" spans="2:13" ht="130" x14ac:dyDescent="0.15">
      <c r="B77" s="2977"/>
      <c r="C77" s="288" t="s">
        <v>1468</v>
      </c>
      <c r="D77" s="2232" t="s">
        <v>1402</v>
      </c>
      <c r="E77" s="2233" t="s">
        <v>1467</v>
      </c>
      <c r="F77" s="2234">
        <v>4423.8</v>
      </c>
      <c r="G77" s="2234">
        <v>739.5</v>
      </c>
      <c r="H77" s="2234">
        <v>687.9</v>
      </c>
      <c r="I77" s="2234">
        <v>749.1</v>
      </c>
      <c r="J77" s="2234">
        <v>749.1</v>
      </c>
      <c r="K77" s="2234">
        <v>749.1</v>
      </c>
      <c r="L77" s="2234">
        <v>749.1</v>
      </c>
      <c r="M77" s="2233" t="s">
        <v>265</v>
      </c>
    </row>
    <row r="78" spans="2:13" ht="15" x14ac:dyDescent="0.15">
      <c r="B78" s="2233"/>
      <c r="C78" s="2233" t="s">
        <v>37</v>
      </c>
      <c r="D78" s="2233"/>
      <c r="E78" s="2233"/>
      <c r="F78" s="2234">
        <v>6141469</v>
      </c>
      <c r="G78" s="2234">
        <v>1193706.1000000001</v>
      </c>
      <c r="H78" s="2234">
        <v>989299.7</v>
      </c>
      <c r="I78" s="2234">
        <v>989615.8</v>
      </c>
      <c r="J78" s="2234">
        <v>989615.8</v>
      </c>
      <c r="K78" s="2234">
        <v>989615.8</v>
      </c>
      <c r="L78" s="2234">
        <v>989615.8</v>
      </c>
      <c r="M78" s="2233"/>
    </row>
  </sheetData>
  <mergeCells count="99">
    <mergeCell ref="D69:D70"/>
    <mergeCell ref="E69:E70"/>
    <mergeCell ref="L69:L70"/>
    <mergeCell ref="B74:M74"/>
    <mergeCell ref="B75:B77"/>
    <mergeCell ref="F69:F70"/>
    <mergeCell ref="G69:G70"/>
    <mergeCell ref="H69:H70"/>
    <mergeCell ref="I69:I70"/>
    <mergeCell ref="J69:J70"/>
    <mergeCell ref="K69:K70"/>
    <mergeCell ref="B48:B53"/>
    <mergeCell ref="B54:B59"/>
    <mergeCell ref="B60:B63"/>
    <mergeCell ref="B64:B71"/>
    <mergeCell ref="C69:C70"/>
    <mergeCell ref="H45:H46"/>
    <mergeCell ref="I45:I46"/>
    <mergeCell ref="J45:J46"/>
    <mergeCell ref="K45:K46"/>
    <mergeCell ref="L45:L46"/>
    <mergeCell ref="C45:C46"/>
    <mergeCell ref="D45:D46"/>
    <mergeCell ref="E45:E46"/>
    <mergeCell ref="F45:F46"/>
    <mergeCell ref="G45:G46"/>
    <mergeCell ref="H43:H44"/>
    <mergeCell ref="I43:I44"/>
    <mergeCell ref="J43:J44"/>
    <mergeCell ref="K43:K44"/>
    <mergeCell ref="L43:L44"/>
    <mergeCell ref="C43:C44"/>
    <mergeCell ref="D43:D44"/>
    <mergeCell ref="E43:E44"/>
    <mergeCell ref="F43:F44"/>
    <mergeCell ref="G43:G44"/>
    <mergeCell ref="L36:L37"/>
    <mergeCell ref="C38:C40"/>
    <mergeCell ref="D38:D40"/>
    <mergeCell ref="E38:E40"/>
    <mergeCell ref="F38:F40"/>
    <mergeCell ref="G38:G40"/>
    <mergeCell ref="H38:H40"/>
    <mergeCell ref="I38:I40"/>
    <mergeCell ref="J38:J40"/>
    <mergeCell ref="K38:K40"/>
    <mergeCell ref="L38:L40"/>
    <mergeCell ref="G36:G37"/>
    <mergeCell ref="H36:H37"/>
    <mergeCell ref="I36:I37"/>
    <mergeCell ref="J36:J37"/>
    <mergeCell ref="K36:K37"/>
    <mergeCell ref="L31:L32"/>
    <mergeCell ref="B33:B47"/>
    <mergeCell ref="C33:C35"/>
    <mergeCell ref="D33:D35"/>
    <mergeCell ref="E33:E35"/>
    <mergeCell ref="F33:F35"/>
    <mergeCell ref="G33:G35"/>
    <mergeCell ref="H33:H35"/>
    <mergeCell ref="I33:I35"/>
    <mergeCell ref="J33:J35"/>
    <mergeCell ref="K33:K35"/>
    <mergeCell ref="L33:L35"/>
    <mergeCell ref="C36:C37"/>
    <mergeCell ref="D36:D37"/>
    <mergeCell ref="E36:E37"/>
    <mergeCell ref="F36:F37"/>
    <mergeCell ref="G31:G32"/>
    <mergeCell ref="H31:H32"/>
    <mergeCell ref="I31:I32"/>
    <mergeCell ref="J31:J32"/>
    <mergeCell ref="K31:K32"/>
    <mergeCell ref="B26:M26"/>
    <mergeCell ref="B27:B32"/>
    <mergeCell ref="C28:C30"/>
    <mergeCell ref="D28:D30"/>
    <mergeCell ref="E28:E30"/>
    <mergeCell ref="F28:F30"/>
    <mergeCell ref="G28:G30"/>
    <mergeCell ref="H28:H30"/>
    <mergeCell ref="I28:I30"/>
    <mergeCell ref="J28:J30"/>
    <mergeCell ref="K28:K30"/>
    <mergeCell ref="L28:L30"/>
    <mergeCell ref="C31:C32"/>
    <mergeCell ref="D31:D32"/>
    <mergeCell ref="E31:E32"/>
    <mergeCell ref="F31:F32"/>
    <mergeCell ref="M2:M3"/>
    <mergeCell ref="B5:M5"/>
    <mergeCell ref="B6:B12"/>
    <mergeCell ref="B13:B20"/>
    <mergeCell ref="B21:B25"/>
    <mergeCell ref="B2:B3"/>
    <mergeCell ref="C2:C3"/>
    <mergeCell ref="D2:D3"/>
    <mergeCell ref="E2:E3"/>
    <mergeCell ref="F2:L2"/>
  </mergeCells>
  <hyperlinks>
    <hyperlink ref="B5" location="Par317" display="Par317"/>
    <hyperlink ref="B26" location="Par492" display="Par492"/>
    <hyperlink ref="B74" location="Par789" display="Par789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P59"/>
  <sheetViews>
    <sheetView topLeftCell="A46" workbookViewId="0">
      <selection activeCell="F57" sqref="F57:O59"/>
    </sheetView>
  </sheetViews>
  <sheetFormatPr baseColWidth="10" defaultColWidth="8.83203125" defaultRowHeight="13" x14ac:dyDescent="0.15"/>
  <cols>
    <col min="1" max="1" width="8.83203125" style="2708"/>
    <col min="2" max="2" width="15.83203125" customWidth="1"/>
    <col min="3" max="3" width="20.83203125" customWidth="1"/>
    <col min="4" max="4" width="61.33203125" customWidth="1"/>
  </cols>
  <sheetData>
    <row r="1" spans="2:16" ht="15" x14ac:dyDescent="0.2">
      <c r="B1" s="2707"/>
      <c r="C1" s="2707"/>
      <c r="D1" s="2707"/>
      <c r="E1" s="2707"/>
      <c r="F1" s="2707"/>
      <c r="G1" s="2707"/>
      <c r="H1" s="2707"/>
      <c r="I1" s="2707"/>
      <c r="J1" s="2707"/>
      <c r="K1" s="2707"/>
      <c r="L1" s="2707"/>
      <c r="M1" s="2707"/>
      <c r="N1" s="2707"/>
      <c r="O1" s="2707"/>
      <c r="P1" s="2707"/>
    </row>
    <row r="2" spans="2:16" ht="15.75" customHeight="1" x14ac:dyDescent="0.2">
      <c r="B2" s="2798"/>
      <c r="C2" s="2798"/>
      <c r="D2" s="2798"/>
      <c r="E2" s="2798"/>
      <c r="F2" s="2798"/>
      <c r="G2" s="2798"/>
      <c r="H2" s="2798"/>
      <c r="I2" s="2798"/>
      <c r="J2" s="2799" t="s">
        <v>1877</v>
      </c>
      <c r="K2" s="2799"/>
      <c r="L2" s="2799"/>
      <c r="M2" s="2799"/>
      <c r="N2" s="2799"/>
      <c r="O2" s="2799"/>
      <c r="P2" s="2798"/>
    </row>
    <row r="3" spans="2:16" ht="63" customHeight="1" x14ac:dyDescent="0.2">
      <c r="B3" s="2798"/>
      <c r="C3" s="2798"/>
      <c r="D3" s="2798"/>
      <c r="E3" s="2798"/>
      <c r="F3" s="2798"/>
      <c r="G3" s="2798"/>
      <c r="H3" s="2798"/>
      <c r="I3" s="2798"/>
      <c r="J3" s="2799" t="s">
        <v>1823</v>
      </c>
      <c r="K3" s="2799"/>
      <c r="L3" s="2799"/>
      <c r="M3" s="2799"/>
      <c r="N3" s="2799"/>
      <c r="O3" s="2799"/>
      <c r="P3" s="2798"/>
    </row>
    <row r="4" spans="2:16" ht="17" thickBot="1" x14ac:dyDescent="0.25">
      <c r="B4" s="2707"/>
      <c r="C4" s="2707"/>
      <c r="D4" s="2707"/>
      <c r="E4" s="2707"/>
      <c r="F4" s="2707"/>
      <c r="G4" s="2707"/>
      <c r="H4" s="2707"/>
      <c r="I4" s="2707"/>
      <c r="J4" s="2707"/>
      <c r="K4" s="2707"/>
      <c r="L4" s="2707"/>
      <c r="M4" s="2716"/>
      <c r="N4" s="2716"/>
      <c r="O4" s="2707"/>
      <c r="P4" s="2707"/>
    </row>
    <row r="5" spans="2:16" ht="62.25" customHeight="1" thickBot="1" x14ac:dyDescent="0.25">
      <c r="B5" s="2800" t="s">
        <v>352</v>
      </c>
      <c r="C5" s="2801"/>
      <c r="D5" s="2795" t="s">
        <v>353</v>
      </c>
      <c r="E5" s="2795" t="s">
        <v>354</v>
      </c>
      <c r="F5" s="2788" t="s">
        <v>1878</v>
      </c>
      <c r="G5" s="2789"/>
      <c r="H5" s="2788" t="s">
        <v>1879</v>
      </c>
      <c r="I5" s="2789"/>
      <c r="J5" s="2788" t="s">
        <v>1880</v>
      </c>
      <c r="K5" s="2789"/>
      <c r="L5" s="2792" t="s">
        <v>1</v>
      </c>
      <c r="M5" s="2793"/>
      <c r="N5" s="2794"/>
      <c r="O5" s="2795" t="s">
        <v>356</v>
      </c>
      <c r="P5" s="2707"/>
    </row>
    <row r="6" spans="2:16" ht="16" thickBot="1" x14ac:dyDescent="0.25">
      <c r="B6" s="2802"/>
      <c r="C6" s="2803"/>
      <c r="D6" s="2796"/>
      <c r="E6" s="2796"/>
      <c r="F6" s="2790"/>
      <c r="G6" s="2791"/>
      <c r="H6" s="2790"/>
      <c r="I6" s="2791"/>
      <c r="J6" s="2790"/>
      <c r="K6" s="2791"/>
      <c r="L6" s="2795" t="s">
        <v>1881</v>
      </c>
      <c r="M6" s="2795" t="s">
        <v>1882</v>
      </c>
      <c r="N6" s="2795" t="s">
        <v>1883</v>
      </c>
      <c r="O6" s="2796"/>
      <c r="P6" s="2707"/>
    </row>
    <row r="7" spans="2:16" ht="17" thickBot="1" x14ac:dyDescent="0.25">
      <c r="B7" s="2804"/>
      <c r="C7" s="2805"/>
      <c r="D7" s="2797"/>
      <c r="E7" s="2797"/>
      <c r="F7" s="2717" t="s">
        <v>357</v>
      </c>
      <c r="G7" s="2717" t="s">
        <v>358</v>
      </c>
      <c r="H7" s="2717" t="s">
        <v>357</v>
      </c>
      <c r="I7" s="2717" t="s">
        <v>358</v>
      </c>
      <c r="J7" s="2717" t="s">
        <v>357</v>
      </c>
      <c r="K7" s="2717" t="s">
        <v>359</v>
      </c>
      <c r="L7" s="2797"/>
      <c r="M7" s="2797"/>
      <c r="N7" s="2797"/>
      <c r="O7" s="2797"/>
      <c r="P7" s="2707"/>
    </row>
    <row r="8" spans="2:16" ht="31.5" customHeight="1" thickBot="1" x14ac:dyDescent="0.25">
      <c r="B8" s="2770" t="s">
        <v>698</v>
      </c>
      <c r="C8" s="2771"/>
      <c r="D8" s="2772" t="s">
        <v>360</v>
      </c>
      <c r="E8" s="2773"/>
      <c r="F8" s="2773"/>
      <c r="G8" s="2773"/>
      <c r="H8" s="2773"/>
      <c r="I8" s="2773"/>
      <c r="J8" s="2773"/>
      <c r="K8" s="2773"/>
      <c r="L8" s="2773"/>
      <c r="M8" s="2773"/>
      <c r="N8" s="2773"/>
      <c r="O8" s="2774"/>
      <c r="P8" s="2707"/>
    </row>
    <row r="9" spans="2:16" ht="33" thickBot="1" x14ac:dyDescent="0.25">
      <c r="B9" s="2775" t="s">
        <v>361</v>
      </c>
      <c r="C9" s="2776"/>
      <c r="D9" s="1109" t="s">
        <v>362</v>
      </c>
      <c r="E9" s="1023" t="s">
        <v>3</v>
      </c>
      <c r="F9" s="1023">
        <v>70</v>
      </c>
      <c r="G9" s="1023">
        <v>70</v>
      </c>
      <c r="H9" s="1023">
        <v>78</v>
      </c>
      <c r="I9" s="1023">
        <v>78</v>
      </c>
      <c r="J9" s="1023">
        <v>83</v>
      </c>
      <c r="K9" s="1023">
        <v>83</v>
      </c>
      <c r="L9" s="1023">
        <v>88</v>
      </c>
      <c r="M9" s="1023">
        <v>90</v>
      </c>
      <c r="N9" s="1023">
        <v>95</v>
      </c>
      <c r="O9" s="1023">
        <v>99</v>
      </c>
      <c r="P9" s="2707"/>
    </row>
    <row r="10" spans="2:16" ht="31.5" customHeight="1" thickBot="1" x14ac:dyDescent="0.25">
      <c r="B10" s="2763" t="s">
        <v>363</v>
      </c>
      <c r="C10" s="2764"/>
      <c r="D10" s="2765" t="s">
        <v>1884</v>
      </c>
      <c r="E10" s="2766"/>
      <c r="F10" s="2766"/>
      <c r="G10" s="2766"/>
      <c r="H10" s="2766"/>
      <c r="I10" s="2766"/>
      <c r="J10" s="2766"/>
      <c r="K10" s="2766"/>
      <c r="L10" s="2766"/>
      <c r="M10" s="2766"/>
      <c r="N10" s="2766"/>
      <c r="O10" s="2767"/>
      <c r="P10" s="2707"/>
    </row>
    <row r="11" spans="2:16" ht="33" thickBot="1" x14ac:dyDescent="0.25">
      <c r="B11" s="2780" t="s">
        <v>364</v>
      </c>
      <c r="C11" s="1109" t="s">
        <v>706</v>
      </c>
      <c r="D11" s="1109" t="s">
        <v>365</v>
      </c>
      <c r="E11" s="1023" t="s">
        <v>366</v>
      </c>
      <c r="F11" s="1023">
        <v>32</v>
      </c>
      <c r="G11" s="1023">
        <v>28</v>
      </c>
      <c r="H11" s="1023">
        <v>32</v>
      </c>
      <c r="I11" s="1023">
        <v>41</v>
      </c>
      <c r="J11" s="1023">
        <v>30</v>
      </c>
      <c r="K11" s="1023">
        <v>30</v>
      </c>
      <c r="L11" s="1023">
        <v>32</v>
      </c>
      <c r="M11" s="1023">
        <v>32</v>
      </c>
      <c r="N11" s="1023">
        <v>33</v>
      </c>
      <c r="O11" s="1023">
        <v>35</v>
      </c>
      <c r="P11" s="2707"/>
    </row>
    <row r="12" spans="2:16" ht="33" thickBot="1" x14ac:dyDescent="0.25">
      <c r="B12" s="2781"/>
      <c r="C12" s="1109" t="s">
        <v>707</v>
      </c>
      <c r="D12" s="1109" t="s">
        <v>371</v>
      </c>
      <c r="E12" s="1023" t="s">
        <v>306</v>
      </c>
      <c r="F12" s="1023">
        <v>305</v>
      </c>
      <c r="G12" s="1023">
        <v>298.14999999999998</v>
      </c>
      <c r="H12" s="1023">
        <v>317.27</v>
      </c>
      <c r="I12" s="1023">
        <v>339.7</v>
      </c>
      <c r="J12" s="1023">
        <v>358.26</v>
      </c>
      <c r="K12" s="1023">
        <v>358.26</v>
      </c>
      <c r="L12" s="1023">
        <v>372.15</v>
      </c>
      <c r="M12" s="1023">
        <v>391.19</v>
      </c>
      <c r="N12" s="1023">
        <v>395</v>
      </c>
      <c r="O12" s="1023">
        <v>400</v>
      </c>
      <c r="P12" s="2707"/>
    </row>
    <row r="13" spans="2:16" ht="33" thickBot="1" x14ac:dyDescent="0.25">
      <c r="B13" s="2782"/>
      <c r="C13" s="1109" t="s">
        <v>368</v>
      </c>
      <c r="D13" s="1109" t="s">
        <v>372</v>
      </c>
      <c r="E13" s="1023" t="s">
        <v>306</v>
      </c>
      <c r="F13" s="1023">
        <v>192</v>
      </c>
      <c r="G13" s="1023">
        <v>222.38</v>
      </c>
      <c r="H13" s="1023">
        <v>199.73</v>
      </c>
      <c r="I13" s="1023">
        <v>325.18</v>
      </c>
      <c r="J13" s="1023">
        <v>201.18</v>
      </c>
      <c r="K13" s="1023">
        <v>201.82</v>
      </c>
      <c r="L13" s="1023">
        <v>209.33</v>
      </c>
      <c r="M13" s="1023">
        <v>217.09</v>
      </c>
      <c r="N13" s="1023">
        <v>218</v>
      </c>
      <c r="O13" s="1023">
        <v>220</v>
      </c>
      <c r="P13" s="2707"/>
    </row>
    <row r="14" spans="2:16" ht="33" thickBot="1" x14ac:dyDescent="0.25">
      <c r="B14" s="2780" t="s">
        <v>398</v>
      </c>
      <c r="C14" s="1109" t="s">
        <v>705</v>
      </c>
      <c r="D14" s="1109" t="s">
        <v>367</v>
      </c>
      <c r="E14" s="1023" t="s">
        <v>366</v>
      </c>
      <c r="F14" s="2718">
        <v>1795</v>
      </c>
      <c r="G14" s="2718">
        <v>1866</v>
      </c>
      <c r="H14" s="2718">
        <v>1813</v>
      </c>
      <c r="I14" s="2718">
        <v>2031</v>
      </c>
      <c r="J14" s="2718">
        <v>1813</v>
      </c>
      <c r="K14" s="2718">
        <v>1813</v>
      </c>
      <c r="L14" s="2718">
        <v>1813</v>
      </c>
      <c r="M14" s="2718">
        <v>1813</v>
      </c>
      <c r="N14" s="2718">
        <v>1813</v>
      </c>
      <c r="O14" s="2718">
        <v>1850</v>
      </c>
      <c r="P14" s="2707"/>
    </row>
    <row r="15" spans="2:16" ht="33" thickBot="1" x14ac:dyDescent="0.25">
      <c r="B15" s="2781"/>
      <c r="C15" s="1109" t="s">
        <v>704</v>
      </c>
      <c r="D15" s="1109" t="s">
        <v>369</v>
      </c>
      <c r="E15" s="1023" t="s">
        <v>366</v>
      </c>
      <c r="F15" s="1023">
        <v>688</v>
      </c>
      <c r="G15" s="1023">
        <v>733</v>
      </c>
      <c r="H15" s="1023">
        <v>804</v>
      </c>
      <c r="I15" s="1023">
        <v>867</v>
      </c>
      <c r="J15" s="1023">
        <v>838</v>
      </c>
      <c r="K15" s="1023">
        <v>838</v>
      </c>
      <c r="L15" s="1023">
        <v>838</v>
      </c>
      <c r="M15" s="1023">
        <v>838</v>
      </c>
      <c r="N15" s="1023">
        <v>838</v>
      </c>
      <c r="O15" s="1023">
        <v>850</v>
      </c>
      <c r="P15" s="2707"/>
    </row>
    <row r="16" spans="2:16" ht="49" thickBot="1" x14ac:dyDescent="0.25">
      <c r="B16" s="2782"/>
      <c r="C16" s="1109" t="s">
        <v>708</v>
      </c>
      <c r="D16" s="1109" t="s">
        <v>1885</v>
      </c>
      <c r="E16" s="1023" t="s">
        <v>3</v>
      </c>
      <c r="F16" s="1023">
        <v>80</v>
      </c>
      <c r="G16" s="1023">
        <v>80</v>
      </c>
      <c r="H16" s="1023">
        <v>83</v>
      </c>
      <c r="I16" s="1023">
        <v>83</v>
      </c>
      <c r="J16" s="1023">
        <v>100</v>
      </c>
      <c r="K16" s="1023">
        <v>100</v>
      </c>
      <c r="L16" s="1023">
        <v>100</v>
      </c>
      <c r="M16" s="1023">
        <v>100</v>
      </c>
      <c r="N16" s="1023">
        <v>100</v>
      </c>
      <c r="O16" s="1023">
        <v>100</v>
      </c>
      <c r="P16" s="2707"/>
    </row>
    <row r="17" spans="2:16" ht="31.5" customHeight="1" thickBot="1" x14ac:dyDescent="0.25">
      <c r="B17" s="2763" t="s">
        <v>373</v>
      </c>
      <c r="C17" s="2764"/>
      <c r="D17" s="2765" t="s">
        <v>23</v>
      </c>
      <c r="E17" s="2766"/>
      <c r="F17" s="2766"/>
      <c r="G17" s="2766"/>
      <c r="H17" s="2766"/>
      <c r="I17" s="2766"/>
      <c r="J17" s="2766"/>
      <c r="K17" s="2766"/>
      <c r="L17" s="2766"/>
      <c r="M17" s="2766"/>
      <c r="N17" s="2766"/>
      <c r="O17" s="2767"/>
      <c r="P17" s="2707"/>
    </row>
    <row r="18" spans="2:16" ht="49" thickBot="1" x14ac:dyDescent="0.25">
      <c r="B18" s="2768" t="s">
        <v>709</v>
      </c>
      <c r="C18" s="2769"/>
      <c r="D18" s="1109" t="s">
        <v>374</v>
      </c>
      <c r="E18" s="1023" t="s">
        <v>366</v>
      </c>
      <c r="F18" s="1023">
        <v>63</v>
      </c>
      <c r="G18" s="1023">
        <v>80</v>
      </c>
      <c r="H18" s="1023">
        <v>80</v>
      </c>
      <c r="I18" s="1023">
        <v>80</v>
      </c>
      <c r="J18" s="1023">
        <v>80</v>
      </c>
      <c r="K18" s="1023">
        <v>80</v>
      </c>
      <c r="L18" s="1023">
        <v>80</v>
      </c>
      <c r="M18" s="1023">
        <v>80</v>
      </c>
      <c r="N18" s="1023">
        <v>95</v>
      </c>
      <c r="O18" s="1023">
        <v>100</v>
      </c>
      <c r="P18" s="2707"/>
    </row>
    <row r="19" spans="2:16" ht="49" thickBot="1" x14ac:dyDescent="0.25">
      <c r="B19" s="2768" t="s">
        <v>710</v>
      </c>
      <c r="C19" s="2769"/>
      <c r="D19" s="1109" t="s">
        <v>1886</v>
      </c>
      <c r="E19" s="1023" t="s">
        <v>702</v>
      </c>
      <c r="F19" s="1023">
        <v>38.799999999999997</v>
      </c>
      <c r="G19" s="1023">
        <v>50</v>
      </c>
      <c r="H19" s="1023">
        <v>41.4</v>
      </c>
      <c r="I19" s="1023">
        <v>41.4</v>
      </c>
      <c r="J19" s="1023">
        <v>44.3</v>
      </c>
      <c r="K19" s="1023">
        <v>44.3</v>
      </c>
      <c r="L19" s="1023">
        <v>47.4</v>
      </c>
      <c r="M19" s="1023">
        <v>50.9</v>
      </c>
      <c r="N19" s="1023">
        <v>52</v>
      </c>
      <c r="O19" s="1023">
        <v>60</v>
      </c>
      <c r="P19" s="2707"/>
    </row>
    <row r="20" spans="2:16" ht="33" thickBot="1" x14ac:dyDescent="0.25">
      <c r="B20" s="2768" t="s">
        <v>377</v>
      </c>
      <c r="C20" s="2769"/>
      <c r="D20" s="1109" t="s">
        <v>378</v>
      </c>
      <c r="E20" s="1023" t="s">
        <v>366</v>
      </c>
      <c r="F20" s="1023">
        <v>15</v>
      </c>
      <c r="G20" s="1023">
        <v>15</v>
      </c>
      <c r="H20" s="1023">
        <v>15</v>
      </c>
      <c r="I20" s="1023">
        <v>15</v>
      </c>
      <c r="J20" s="1023">
        <v>16</v>
      </c>
      <c r="K20" s="1023">
        <v>16</v>
      </c>
      <c r="L20" s="1023">
        <v>17</v>
      </c>
      <c r="M20" s="1023">
        <v>17</v>
      </c>
      <c r="N20" s="1023">
        <v>18</v>
      </c>
      <c r="O20" s="1023">
        <v>20</v>
      </c>
      <c r="P20" s="2707"/>
    </row>
    <row r="21" spans="2:16" ht="31.5" customHeight="1" thickBot="1" x14ac:dyDescent="0.25">
      <c r="B21" s="2763" t="s">
        <v>379</v>
      </c>
      <c r="C21" s="2764"/>
      <c r="D21" s="2765" t="s">
        <v>380</v>
      </c>
      <c r="E21" s="2766"/>
      <c r="F21" s="2766"/>
      <c r="G21" s="2766"/>
      <c r="H21" s="2766"/>
      <c r="I21" s="2766"/>
      <c r="J21" s="2766"/>
      <c r="K21" s="2766"/>
      <c r="L21" s="2766"/>
      <c r="M21" s="2766"/>
      <c r="N21" s="2766"/>
      <c r="O21" s="2767"/>
      <c r="P21" s="2707"/>
    </row>
    <row r="22" spans="2:16" ht="33" thickBot="1" x14ac:dyDescent="0.25">
      <c r="B22" s="2768" t="s">
        <v>381</v>
      </c>
      <c r="C22" s="2769"/>
      <c r="D22" s="1109" t="s">
        <v>382</v>
      </c>
      <c r="E22" s="1023" t="s">
        <v>3</v>
      </c>
      <c r="F22" s="1023">
        <v>4</v>
      </c>
      <c r="G22" s="1023">
        <v>4</v>
      </c>
      <c r="H22" s="1023">
        <v>4.5</v>
      </c>
      <c r="I22" s="1023">
        <v>4.5</v>
      </c>
      <c r="J22" s="1023">
        <v>4</v>
      </c>
      <c r="K22" s="1023">
        <v>4</v>
      </c>
      <c r="L22" s="1023">
        <v>4</v>
      </c>
      <c r="M22" s="1023">
        <v>4.5</v>
      </c>
      <c r="N22" s="1023">
        <v>4.5</v>
      </c>
      <c r="O22" s="1023">
        <v>6</v>
      </c>
      <c r="P22" s="2707"/>
    </row>
    <row r="23" spans="2:16" ht="33" thickBot="1" x14ac:dyDescent="0.25">
      <c r="B23" s="2768" t="s">
        <v>384</v>
      </c>
      <c r="C23" s="2769"/>
      <c r="D23" s="1109" t="s">
        <v>385</v>
      </c>
      <c r="E23" s="1023" t="s">
        <v>386</v>
      </c>
      <c r="F23" s="1023">
        <v>3</v>
      </c>
      <c r="G23" s="1023">
        <v>2.93</v>
      </c>
      <c r="H23" s="1023">
        <v>7</v>
      </c>
      <c r="I23" s="1023">
        <v>6.35</v>
      </c>
      <c r="J23" s="1023">
        <v>1.84</v>
      </c>
      <c r="K23" s="1023">
        <v>1.84</v>
      </c>
      <c r="L23" s="1023">
        <v>1.85</v>
      </c>
      <c r="M23" s="1023">
        <v>1.85</v>
      </c>
      <c r="N23" s="1023">
        <v>2</v>
      </c>
      <c r="O23" s="1023">
        <v>3</v>
      </c>
      <c r="P23" s="2707"/>
    </row>
    <row r="24" spans="2:16" ht="31.5" customHeight="1" thickBot="1" x14ac:dyDescent="0.25">
      <c r="B24" s="2783" t="s">
        <v>387</v>
      </c>
      <c r="C24" s="2784"/>
      <c r="D24" s="2785" t="s">
        <v>24</v>
      </c>
      <c r="E24" s="2786"/>
      <c r="F24" s="2786"/>
      <c r="G24" s="2786"/>
      <c r="H24" s="2786"/>
      <c r="I24" s="2786"/>
      <c r="J24" s="2786"/>
      <c r="K24" s="2786"/>
      <c r="L24" s="2786"/>
      <c r="M24" s="2786"/>
      <c r="N24" s="2786"/>
      <c r="O24" s="2787"/>
      <c r="P24" s="2707"/>
    </row>
    <row r="25" spans="2:16" ht="33" thickBot="1" x14ac:dyDescent="0.25">
      <c r="B25" s="2775" t="s">
        <v>388</v>
      </c>
      <c r="C25" s="2776"/>
      <c r="D25" s="1109" t="s">
        <v>389</v>
      </c>
      <c r="E25" s="1023" t="s">
        <v>3</v>
      </c>
      <c r="F25" s="1023">
        <v>70</v>
      </c>
      <c r="G25" s="1023">
        <v>70</v>
      </c>
      <c r="H25" s="1023">
        <v>78</v>
      </c>
      <c r="I25" s="1023">
        <v>78</v>
      </c>
      <c r="J25" s="1023">
        <v>83</v>
      </c>
      <c r="K25" s="1023">
        <v>83</v>
      </c>
      <c r="L25" s="1023">
        <v>88</v>
      </c>
      <c r="M25" s="1023">
        <v>90</v>
      </c>
      <c r="N25" s="1023">
        <v>95</v>
      </c>
      <c r="O25" s="1023">
        <v>99</v>
      </c>
      <c r="P25" s="2707"/>
    </row>
    <row r="26" spans="2:16" ht="33" thickBot="1" x14ac:dyDescent="0.25">
      <c r="B26" s="2775" t="s">
        <v>390</v>
      </c>
      <c r="C26" s="2776"/>
      <c r="D26" s="1109" t="s">
        <v>391</v>
      </c>
      <c r="E26" s="1023" t="s">
        <v>3</v>
      </c>
      <c r="F26" s="1023">
        <v>70</v>
      </c>
      <c r="G26" s="1023">
        <v>70</v>
      </c>
      <c r="H26" s="1023">
        <v>78</v>
      </c>
      <c r="I26" s="1023">
        <v>78</v>
      </c>
      <c r="J26" s="1023">
        <v>83</v>
      </c>
      <c r="K26" s="1023">
        <v>83</v>
      </c>
      <c r="L26" s="1023">
        <v>88</v>
      </c>
      <c r="M26" s="1023">
        <v>90</v>
      </c>
      <c r="N26" s="1023">
        <v>95</v>
      </c>
      <c r="O26" s="1023">
        <v>99</v>
      </c>
      <c r="P26" s="2707"/>
    </row>
    <row r="27" spans="2:16" ht="17" thickBot="1" x14ac:dyDescent="0.25">
      <c r="B27" s="2763" t="s">
        <v>392</v>
      </c>
      <c r="C27" s="2764"/>
      <c r="D27" s="2765" t="s">
        <v>25</v>
      </c>
      <c r="E27" s="2766"/>
      <c r="F27" s="2766"/>
      <c r="G27" s="2766"/>
      <c r="H27" s="2766"/>
      <c r="I27" s="2766"/>
      <c r="J27" s="2766"/>
      <c r="K27" s="2766"/>
      <c r="L27" s="2766"/>
      <c r="M27" s="2766"/>
      <c r="N27" s="2766"/>
      <c r="O27" s="2767"/>
      <c r="P27" s="2707"/>
    </row>
    <row r="28" spans="2:16" ht="33" thickBot="1" x14ac:dyDescent="0.25">
      <c r="B28" s="2780" t="s">
        <v>364</v>
      </c>
      <c r="C28" s="1109" t="s">
        <v>393</v>
      </c>
      <c r="D28" s="1109" t="s">
        <v>1887</v>
      </c>
      <c r="E28" s="1023" t="s">
        <v>926</v>
      </c>
      <c r="F28" s="1023">
        <v>386.2</v>
      </c>
      <c r="G28" s="1023">
        <v>234</v>
      </c>
      <c r="H28" s="1023">
        <v>431.41</v>
      </c>
      <c r="I28" s="1023">
        <v>406.5</v>
      </c>
      <c r="J28" s="1023">
        <v>419.65</v>
      </c>
      <c r="K28" s="1023">
        <v>419.65</v>
      </c>
      <c r="L28" s="1023">
        <v>441.35</v>
      </c>
      <c r="M28" s="1023">
        <v>467.95</v>
      </c>
      <c r="N28" s="1023">
        <v>470</v>
      </c>
      <c r="O28" s="1023">
        <v>490</v>
      </c>
      <c r="P28" s="2707"/>
    </row>
    <row r="29" spans="2:16" ht="33" thickBot="1" x14ac:dyDescent="0.25">
      <c r="B29" s="2781"/>
      <c r="C29" s="1109" t="s">
        <v>578</v>
      </c>
      <c r="D29" s="1109" t="s">
        <v>1888</v>
      </c>
      <c r="E29" s="1023" t="s">
        <v>3</v>
      </c>
      <c r="F29" s="1023">
        <v>57</v>
      </c>
      <c r="G29" s="1023">
        <v>57</v>
      </c>
      <c r="H29" s="1023">
        <v>61</v>
      </c>
      <c r="I29" s="1023">
        <v>100</v>
      </c>
      <c r="J29" s="1023">
        <v>100</v>
      </c>
      <c r="K29" s="1023">
        <v>100</v>
      </c>
      <c r="L29" s="1023">
        <v>100</v>
      </c>
      <c r="M29" s="1023">
        <v>100</v>
      </c>
      <c r="N29" s="1023">
        <v>100</v>
      </c>
      <c r="O29" s="1023">
        <v>100</v>
      </c>
      <c r="P29" s="2707"/>
    </row>
    <row r="30" spans="2:16" ht="33" thickBot="1" x14ac:dyDescent="0.25">
      <c r="B30" s="2782"/>
      <c r="C30" s="1109" t="s">
        <v>693</v>
      </c>
      <c r="D30" s="1109" t="s">
        <v>558</v>
      </c>
      <c r="E30" s="1023" t="s">
        <v>1889</v>
      </c>
      <c r="F30" s="1023">
        <v>380</v>
      </c>
      <c r="G30" s="1023">
        <v>389.4</v>
      </c>
      <c r="H30" s="1023">
        <v>346.51</v>
      </c>
      <c r="I30" s="1023">
        <v>367.3</v>
      </c>
      <c r="J30" s="1023">
        <v>394.62</v>
      </c>
      <c r="K30" s="1023">
        <v>394.62</v>
      </c>
      <c r="L30" s="1023">
        <v>395.44</v>
      </c>
      <c r="M30" s="1023">
        <v>395.59</v>
      </c>
      <c r="N30" s="1023">
        <v>397</v>
      </c>
      <c r="O30" s="1023">
        <v>400</v>
      </c>
      <c r="P30" s="2707"/>
    </row>
    <row r="31" spans="2:16" ht="33" thickBot="1" x14ac:dyDescent="0.25">
      <c r="B31" s="2780" t="s">
        <v>398</v>
      </c>
      <c r="C31" s="1109" t="s">
        <v>399</v>
      </c>
      <c r="D31" s="1109" t="s">
        <v>1636</v>
      </c>
      <c r="E31" s="1023" t="s">
        <v>366</v>
      </c>
      <c r="F31" s="1023">
        <v>190</v>
      </c>
      <c r="G31" s="1023">
        <v>67</v>
      </c>
      <c r="H31" s="1023">
        <v>226</v>
      </c>
      <c r="I31" s="1023">
        <v>257</v>
      </c>
      <c r="J31" s="1023">
        <v>279</v>
      </c>
      <c r="K31" s="1023">
        <v>294</v>
      </c>
      <c r="L31" s="1023">
        <v>294</v>
      </c>
      <c r="M31" s="1023">
        <v>314</v>
      </c>
      <c r="N31" s="1023">
        <v>320</v>
      </c>
      <c r="O31" s="1023">
        <v>420</v>
      </c>
      <c r="P31" s="2707"/>
    </row>
    <row r="32" spans="2:16" ht="33" thickBot="1" x14ac:dyDescent="0.25">
      <c r="B32" s="2782"/>
      <c r="C32" s="1109" t="s">
        <v>711</v>
      </c>
      <c r="D32" s="1109" t="s">
        <v>1196</v>
      </c>
      <c r="E32" s="1023" t="s">
        <v>1197</v>
      </c>
      <c r="F32" s="1023">
        <v>33.299999999999997</v>
      </c>
      <c r="G32" s="1023">
        <v>33.299999999999997</v>
      </c>
      <c r="H32" s="1023">
        <v>66.599999999999994</v>
      </c>
      <c r="I32" s="1023">
        <v>100.53</v>
      </c>
      <c r="J32" s="1023">
        <v>139.9</v>
      </c>
      <c r="K32" s="1023">
        <v>139.9</v>
      </c>
      <c r="L32" s="1023">
        <v>307.8</v>
      </c>
      <c r="M32" s="1023">
        <v>708</v>
      </c>
      <c r="N32" s="1023">
        <v>800</v>
      </c>
      <c r="O32" s="1023">
        <v>900</v>
      </c>
      <c r="P32" s="2707"/>
    </row>
    <row r="33" spans="2:16" ht="31.5" customHeight="1" thickBot="1" x14ac:dyDescent="0.25">
      <c r="B33" s="2763" t="s">
        <v>401</v>
      </c>
      <c r="C33" s="2764"/>
      <c r="D33" s="2765" t="s">
        <v>26</v>
      </c>
      <c r="E33" s="2766"/>
      <c r="F33" s="2766"/>
      <c r="G33" s="2766"/>
      <c r="H33" s="2766"/>
      <c r="I33" s="2766"/>
      <c r="J33" s="2766"/>
      <c r="K33" s="2766"/>
      <c r="L33" s="2766"/>
      <c r="M33" s="2766"/>
      <c r="N33" s="2766"/>
      <c r="O33" s="2767"/>
      <c r="P33" s="2707"/>
    </row>
    <row r="34" spans="2:16" ht="65" thickBot="1" x14ac:dyDescent="0.25">
      <c r="B34" s="2768" t="s">
        <v>402</v>
      </c>
      <c r="C34" s="2769"/>
      <c r="D34" s="1109" t="s">
        <v>690</v>
      </c>
      <c r="E34" s="1023" t="s">
        <v>3</v>
      </c>
      <c r="F34" s="1023">
        <v>32.01</v>
      </c>
      <c r="G34" s="1023">
        <v>32.01</v>
      </c>
      <c r="H34" s="1023">
        <v>32.799999999999997</v>
      </c>
      <c r="I34" s="1023">
        <v>34.43</v>
      </c>
      <c r="J34" s="1023">
        <v>33.590000000000003</v>
      </c>
      <c r="K34" s="1023">
        <v>33.590000000000003</v>
      </c>
      <c r="L34" s="1023">
        <v>34.409999999999997</v>
      </c>
      <c r="M34" s="1023">
        <v>35.25</v>
      </c>
      <c r="N34" s="1023">
        <v>38</v>
      </c>
      <c r="O34" s="1023">
        <v>50</v>
      </c>
      <c r="P34" s="2707"/>
    </row>
    <row r="35" spans="2:16" ht="33" thickBot="1" x14ac:dyDescent="0.25">
      <c r="B35" s="2768" t="s">
        <v>403</v>
      </c>
      <c r="C35" s="2769"/>
      <c r="D35" s="1109" t="s">
        <v>1890</v>
      </c>
      <c r="E35" s="1023" t="s">
        <v>366</v>
      </c>
      <c r="F35" s="1023">
        <v>80</v>
      </c>
      <c r="G35" s="1023">
        <v>80</v>
      </c>
      <c r="H35" s="1023">
        <v>106</v>
      </c>
      <c r="I35" s="1023">
        <v>106</v>
      </c>
      <c r="J35" s="1023">
        <v>0</v>
      </c>
      <c r="K35" s="1023">
        <v>0</v>
      </c>
      <c r="L35" s="1023">
        <v>130</v>
      </c>
      <c r="M35" s="1023">
        <v>140</v>
      </c>
      <c r="N35" s="1023">
        <v>150</v>
      </c>
      <c r="O35" s="1023">
        <v>250</v>
      </c>
      <c r="P35" s="2707"/>
    </row>
    <row r="36" spans="2:16" ht="81" thickBot="1" x14ac:dyDescent="0.25">
      <c r="B36" s="2768" t="s">
        <v>1891</v>
      </c>
      <c r="C36" s="2769"/>
      <c r="D36" s="1109" t="s">
        <v>700</v>
      </c>
      <c r="E36" s="1023" t="s">
        <v>366</v>
      </c>
      <c r="F36" s="1023">
        <v>540</v>
      </c>
      <c r="G36" s="1023">
        <v>240</v>
      </c>
      <c r="H36" s="1023">
        <v>1015</v>
      </c>
      <c r="I36" s="1023">
        <v>257</v>
      </c>
      <c r="J36" s="1023">
        <v>1489</v>
      </c>
      <c r="K36" s="1023">
        <v>1489</v>
      </c>
      <c r="L36" s="2718">
        <v>1619</v>
      </c>
      <c r="M36" s="2718">
        <v>1683</v>
      </c>
      <c r="N36" s="1023">
        <v>1700</v>
      </c>
      <c r="O36" s="2718">
        <v>2000</v>
      </c>
      <c r="P36" s="2707"/>
    </row>
    <row r="37" spans="2:16" ht="31.5" customHeight="1" thickBot="1" x14ac:dyDescent="0.25">
      <c r="B37" s="2763" t="s">
        <v>406</v>
      </c>
      <c r="C37" s="2764"/>
      <c r="D37" s="2765" t="s">
        <v>27</v>
      </c>
      <c r="E37" s="2766"/>
      <c r="F37" s="2766"/>
      <c r="G37" s="2766"/>
      <c r="H37" s="2766"/>
      <c r="I37" s="2766"/>
      <c r="J37" s="2766"/>
      <c r="K37" s="2766"/>
      <c r="L37" s="2766"/>
      <c r="M37" s="2766"/>
      <c r="N37" s="2766"/>
      <c r="O37" s="2767"/>
      <c r="P37" s="2707"/>
    </row>
    <row r="38" spans="2:16" ht="49" thickBot="1" x14ac:dyDescent="0.25">
      <c r="B38" s="2768" t="s">
        <v>407</v>
      </c>
      <c r="C38" s="2769"/>
      <c r="D38" s="1109" t="s">
        <v>652</v>
      </c>
      <c r="E38" s="1023" t="s">
        <v>3</v>
      </c>
      <c r="F38" s="1024">
        <v>26</v>
      </c>
      <c r="G38" s="1023">
        <v>26</v>
      </c>
      <c r="H38" s="1023">
        <v>28</v>
      </c>
      <c r="I38" s="1023">
        <v>28</v>
      </c>
      <c r="J38" s="1023">
        <v>31</v>
      </c>
      <c r="K38" s="1023">
        <v>31</v>
      </c>
      <c r="L38" s="1023">
        <v>33</v>
      </c>
      <c r="M38" s="1023">
        <v>34</v>
      </c>
      <c r="N38" s="1023">
        <v>35</v>
      </c>
      <c r="O38" s="1023">
        <v>45</v>
      </c>
      <c r="P38" s="2707"/>
    </row>
    <row r="39" spans="2:16" ht="17" thickBot="1" x14ac:dyDescent="0.25">
      <c r="B39" s="2768" t="s">
        <v>396</v>
      </c>
      <c r="C39" s="2769"/>
      <c r="D39" s="1109" t="s">
        <v>972</v>
      </c>
      <c r="E39" s="1023" t="s">
        <v>555</v>
      </c>
      <c r="F39" s="1023">
        <v>500</v>
      </c>
      <c r="G39" s="1023">
        <v>605</v>
      </c>
      <c r="H39" s="1023">
        <v>500</v>
      </c>
      <c r="I39" s="1023">
        <v>449</v>
      </c>
      <c r="J39" s="1023">
        <v>450</v>
      </c>
      <c r="K39" s="1023">
        <v>450</v>
      </c>
      <c r="L39" s="1023">
        <v>450</v>
      </c>
      <c r="M39" s="1023">
        <v>450</v>
      </c>
      <c r="N39" s="1023">
        <v>470</v>
      </c>
      <c r="O39" s="1023">
        <v>500</v>
      </c>
      <c r="P39" s="2707"/>
    </row>
    <row r="40" spans="2:16" ht="33" thickBot="1" x14ac:dyDescent="0.25">
      <c r="B40" s="2768" t="s">
        <v>651</v>
      </c>
      <c r="C40" s="2769"/>
      <c r="D40" s="1109" t="s">
        <v>1205</v>
      </c>
      <c r="E40" s="1023" t="s">
        <v>3</v>
      </c>
      <c r="F40" s="1023">
        <v>0.75</v>
      </c>
      <c r="G40" s="1023">
        <v>2.4700000000000002</v>
      </c>
      <c r="H40" s="1023">
        <v>1.39</v>
      </c>
      <c r="I40" s="1023">
        <v>1.39</v>
      </c>
      <c r="J40" s="1023">
        <v>1.5</v>
      </c>
      <c r="K40" s="1023">
        <v>1.5</v>
      </c>
      <c r="L40" s="1023">
        <v>1.6</v>
      </c>
      <c r="M40" s="1023">
        <v>1.6</v>
      </c>
      <c r="N40" s="1023">
        <v>1.6</v>
      </c>
      <c r="O40" s="1023">
        <v>1.8</v>
      </c>
      <c r="P40" s="2707"/>
    </row>
    <row r="41" spans="2:16" ht="31.5" customHeight="1" thickBot="1" x14ac:dyDescent="0.25">
      <c r="B41" s="2763" t="s">
        <v>410</v>
      </c>
      <c r="C41" s="2777"/>
      <c r="D41" s="2778" t="s">
        <v>29</v>
      </c>
      <c r="E41" s="2766"/>
      <c r="F41" s="2766"/>
      <c r="G41" s="2766"/>
      <c r="H41" s="2766"/>
      <c r="I41" s="2766"/>
      <c r="J41" s="2766"/>
      <c r="K41" s="2766"/>
      <c r="L41" s="2766"/>
      <c r="M41" s="2766"/>
      <c r="N41" s="2766"/>
      <c r="O41" s="2779"/>
      <c r="P41" s="2707"/>
    </row>
    <row r="42" spans="2:16" ht="33" thickBot="1" x14ac:dyDescent="0.25">
      <c r="B42" s="2780" t="s">
        <v>364</v>
      </c>
      <c r="C42" s="1109" t="s">
        <v>411</v>
      </c>
      <c r="D42" s="1109" t="s">
        <v>412</v>
      </c>
      <c r="E42" s="1023" t="s">
        <v>366</v>
      </c>
      <c r="F42" s="2718">
        <v>1080</v>
      </c>
      <c r="G42" s="2718">
        <v>1063</v>
      </c>
      <c r="H42" s="1023">
        <v>1065</v>
      </c>
      <c r="I42" s="1023">
        <v>1037</v>
      </c>
      <c r="J42" s="1023">
        <v>1037</v>
      </c>
      <c r="K42" s="1023">
        <v>1037</v>
      </c>
      <c r="L42" s="1023">
        <v>1037</v>
      </c>
      <c r="M42" s="1023">
        <v>1037</v>
      </c>
      <c r="N42" s="1023">
        <v>1037</v>
      </c>
      <c r="O42" s="1023">
        <v>1037</v>
      </c>
      <c r="P42" s="2707"/>
    </row>
    <row r="43" spans="2:16" ht="33" thickBot="1" x14ac:dyDescent="0.25">
      <c r="B43" s="2781"/>
      <c r="C43" s="1109" t="s">
        <v>413</v>
      </c>
      <c r="D43" s="1109" t="s">
        <v>657</v>
      </c>
      <c r="E43" s="1023" t="s">
        <v>3</v>
      </c>
      <c r="F43" s="1023">
        <v>1.2</v>
      </c>
      <c r="G43" s="1023">
        <v>1.39</v>
      </c>
      <c r="H43" s="1023">
        <v>1.36</v>
      </c>
      <c r="I43" s="1023">
        <v>1.36</v>
      </c>
      <c r="J43" s="1023">
        <v>1.2</v>
      </c>
      <c r="K43" s="1023">
        <v>1.2</v>
      </c>
      <c r="L43" s="1023">
        <v>1.3</v>
      </c>
      <c r="M43" s="1023">
        <v>1.3</v>
      </c>
      <c r="N43" s="1023">
        <v>1.3</v>
      </c>
      <c r="O43" s="1023">
        <v>2</v>
      </c>
      <c r="P43" s="2707"/>
    </row>
    <row r="44" spans="2:16" ht="33" thickBot="1" x14ac:dyDescent="0.25">
      <c r="B44" s="2781"/>
      <c r="C44" s="1109" t="s">
        <v>415</v>
      </c>
      <c r="D44" s="1109" t="s">
        <v>617</v>
      </c>
      <c r="E44" s="1023" t="s">
        <v>366</v>
      </c>
      <c r="F44" s="2718">
        <v>2800</v>
      </c>
      <c r="G44" s="2718">
        <v>2686</v>
      </c>
      <c r="H44" s="2718">
        <v>2800</v>
      </c>
      <c r="I44" s="2718">
        <v>2351</v>
      </c>
      <c r="J44" s="2718">
        <v>2351</v>
      </c>
      <c r="K44" s="2718">
        <v>2351</v>
      </c>
      <c r="L44" s="2718">
        <v>2351</v>
      </c>
      <c r="M44" s="2718">
        <v>2360</v>
      </c>
      <c r="N44" s="2718">
        <v>2360</v>
      </c>
      <c r="O44" s="2718">
        <v>2500</v>
      </c>
      <c r="P44" s="2707"/>
    </row>
    <row r="45" spans="2:16" ht="33" thickBot="1" x14ac:dyDescent="0.25">
      <c r="B45" s="2782"/>
      <c r="C45" s="1109" t="s">
        <v>417</v>
      </c>
      <c r="D45" s="1109" t="s">
        <v>616</v>
      </c>
      <c r="E45" s="1023" t="s">
        <v>366</v>
      </c>
      <c r="F45" s="1023">
        <v>26</v>
      </c>
      <c r="G45" s="1023">
        <v>21</v>
      </c>
      <c r="H45" s="1023">
        <v>26</v>
      </c>
      <c r="I45" s="1023">
        <v>15</v>
      </c>
      <c r="J45" s="1023">
        <v>10</v>
      </c>
      <c r="K45" s="1023">
        <v>10</v>
      </c>
      <c r="L45" s="1023">
        <v>15</v>
      </c>
      <c r="M45" s="1023">
        <v>15</v>
      </c>
      <c r="N45" s="1023">
        <v>15</v>
      </c>
      <c r="O45" s="1023">
        <v>20</v>
      </c>
      <c r="P45" s="2707"/>
    </row>
    <row r="46" spans="2:16" ht="33" thickBot="1" x14ac:dyDescent="0.25">
      <c r="B46" s="2709" t="s">
        <v>419</v>
      </c>
      <c r="C46" s="1109" t="s">
        <v>420</v>
      </c>
      <c r="D46" s="1109" t="s">
        <v>1892</v>
      </c>
      <c r="E46" s="1023" t="s">
        <v>3</v>
      </c>
      <c r="F46" s="1023">
        <v>20</v>
      </c>
      <c r="G46" s="1023">
        <v>20</v>
      </c>
      <c r="H46" s="1023">
        <v>21</v>
      </c>
      <c r="I46" s="1023">
        <v>23.4</v>
      </c>
      <c r="J46" s="1023">
        <v>23.4</v>
      </c>
      <c r="K46" s="1023">
        <v>23.4</v>
      </c>
      <c r="L46" s="1023">
        <v>24</v>
      </c>
      <c r="M46" s="1023">
        <v>24</v>
      </c>
      <c r="N46" s="1023">
        <v>25</v>
      </c>
      <c r="O46" s="1023">
        <v>40</v>
      </c>
      <c r="P46" s="2707"/>
    </row>
    <row r="47" spans="2:16" ht="31.5" customHeight="1" thickBot="1" x14ac:dyDescent="0.25">
      <c r="B47" s="2770" t="s">
        <v>630</v>
      </c>
      <c r="C47" s="2771"/>
      <c r="D47" s="2772" t="s">
        <v>30</v>
      </c>
      <c r="E47" s="2773"/>
      <c r="F47" s="2773"/>
      <c r="G47" s="2773"/>
      <c r="H47" s="2773"/>
      <c r="I47" s="2773"/>
      <c r="J47" s="2773"/>
      <c r="K47" s="2773"/>
      <c r="L47" s="2773"/>
      <c r="M47" s="2773"/>
      <c r="N47" s="2773"/>
      <c r="O47" s="2774"/>
      <c r="P47" s="2707"/>
    </row>
    <row r="48" spans="2:16" ht="49" thickBot="1" x14ac:dyDescent="0.25">
      <c r="B48" s="2775" t="s">
        <v>422</v>
      </c>
      <c r="C48" s="2776"/>
      <c r="D48" s="1109" t="s">
        <v>423</v>
      </c>
      <c r="E48" s="1023" t="s">
        <v>339</v>
      </c>
      <c r="F48" s="2718">
        <v>1850</v>
      </c>
      <c r="G48" s="2718">
        <v>2017</v>
      </c>
      <c r="H48" s="1024">
        <v>1897</v>
      </c>
      <c r="I48" s="1024">
        <v>2005</v>
      </c>
      <c r="J48" s="2719">
        <v>2010</v>
      </c>
      <c r="K48" s="2719">
        <v>2010</v>
      </c>
      <c r="L48" s="2719">
        <v>2030</v>
      </c>
      <c r="M48" s="2719">
        <v>2030</v>
      </c>
      <c r="N48" s="1024">
        <v>2040</v>
      </c>
      <c r="O48" s="2719">
        <v>2100</v>
      </c>
      <c r="P48" s="2707"/>
    </row>
    <row r="49" spans="2:16" ht="17" thickBot="1" x14ac:dyDescent="0.25">
      <c r="B49" s="2763" t="s">
        <v>424</v>
      </c>
      <c r="C49" s="2764"/>
      <c r="D49" s="2765" t="s">
        <v>31</v>
      </c>
      <c r="E49" s="2766"/>
      <c r="F49" s="2766"/>
      <c r="G49" s="2766"/>
      <c r="H49" s="2766"/>
      <c r="I49" s="2766"/>
      <c r="J49" s="2766"/>
      <c r="K49" s="2766"/>
      <c r="L49" s="2766"/>
      <c r="M49" s="2766"/>
      <c r="N49" s="2766"/>
      <c r="O49" s="2767"/>
      <c r="P49" s="2707"/>
    </row>
    <row r="50" spans="2:16" ht="33" thickBot="1" x14ac:dyDescent="0.25">
      <c r="B50" s="2768" t="s">
        <v>425</v>
      </c>
      <c r="C50" s="2769"/>
      <c r="D50" s="1109" t="s">
        <v>426</v>
      </c>
      <c r="E50" s="1023" t="s">
        <v>366</v>
      </c>
      <c r="F50" s="1023">
        <v>4</v>
      </c>
      <c r="G50" s="1023">
        <v>4</v>
      </c>
      <c r="H50" s="1023">
        <v>4</v>
      </c>
      <c r="I50" s="1023">
        <v>4</v>
      </c>
      <c r="J50" s="1023">
        <v>4</v>
      </c>
      <c r="K50" s="1023">
        <v>4</v>
      </c>
      <c r="L50" s="1023">
        <v>4</v>
      </c>
      <c r="M50" s="1023">
        <v>4</v>
      </c>
      <c r="N50" s="1023">
        <v>4</v>
      </c>
      <c r="O50" s="1023">
        <v>4</v>
      </c>
      <c r="P50" s="2707"/>
    </row>
    <row r="51" spans="2:16" ht="33" thickBot="1" x14ac:dyDescent="0.25">
      <c r="B51" s="2768" t="s">
        <v>427</v>
      </c>
      <c r="C51" s="2769"/>
      <c r="D51" s="1109" t="s">
        <v>428</v>
      </c>
      <c r="E51" s="1023" t="s">
        <v>366</v>
      </c>
      <c r="F51" s="1023">
        <v>4</v>
      </c>
      <c r="G51" s="1023">
        <v>4</v>
      </c>
      <c r="H51" s="1023">
        <v>4</v>
      </c>
      <c r="I51" s="1023">
        <v>4</v>
      </c>
      <c r="J51" s="1023">
        <v>4</v>
      </c>
      <c r="K51" s="1023">
        <v>4</v>
      </c>
      <c r="L51" s="1023">
        <v>4</v>
      </c>
      <c r="M51" s="1023">
        <v>4</v>
      </c>
      <c r="N51" s="1023">
        <v>4</v>
      </c>
      <c r="O51" s="1023">
        <v>4</v>
      </c>
      <c r="P51" s="2707"/>
    </row>
    <row r="52" spans="2:16" ht="17" thickBot="1" x14ac:dyDescent="0.25">
      <c r="B52" s="2763" t="s">
        <v>429</v>
      </c>
      <c r="C52" s="2764"/>
      <c r="D52" s="2765" t="s">
        <v>32</v>
      </c>
      <c r="E52" s="2766"/>
      <c r="F52" s="2766"/>
      <c r="G52" s="2766"/>
      <c r="H52" s="2766"/>
      <c r="I52" s="2766"/>
      <c r="J52" s="2766"/>
      <c r="K52" s="2766"/>
      <c r="L52" s="2766"/>
      <c r="M52" s="2766"/>
      <c r="N52" s="2766"/>
      <c r="O52" s="2767"/>
      <c r="P52" s="2707"/>
    </row>
    <row r="53" spans="2:16" ht="49" thickBot="1" x14ac:dyDescent="0.25">
      <c r="B53" s="2768" t="s">
        <v>430</v>
      </c>
      <c r="C53" s="2769"/>
      <c r="D53" s="1109" t="s">
        <v>431</v>
      </c>
      <c r="E53" s="1023" t="s">
        <v>366</v>
      </c>
      <c r="F53" s="1023">
        <v>12</v>
      </c>
      <c r="G53" s="1023">
        <v>12</v>
      </c>
      <c r="H53" s="1023">
        <v>12</v>
      </c>
      <c r="I53" s="1023">
        <v>12</v>
      </c>
      <c r="J53" s="1023">
        <v>12</v>
      </c>
      <c r="K53" s="1023">
        <v>12</v>
      </c>
      <c r="L53" s="1023">
        <v>12</v>
      </c>
      <c r="M53" s="1023">
        <v>12</v>
      </c>
      <c r="N53" s="1023">
        <v>12</v>
      </c>
      <c r="O53" s="1023">
        <v>14</v>
      </c>
      <c r="P53" s="2707"/>
    </row>
    <row r="54" spans="2:16" ht="49" thickBot="1" x14ac:dyDescent="0.25">
      <c r="B54" s="2768" t="s">
        <v>432</v>
      </c>
      <c r="C54" s="2769"/>
      <c r="D54" s="1109" t="s">
        <v>433</v>
      </c>
      <c r="E54" s="1023" t="s">
        <v>366</v>
      </c>
      <c r="F54" s="1023">
        <v>19</v>
      </c>
      <c r="G54" s="1023">
        <v>19</v>
      </c>
      <c r="H54" s="1023">
        <v>19</v>
      </c>
      <c r="I54" s="1023">
        <v>19</v>
      </c>
      <c r="J54" s="1023">
        <v>19</v>
      </c>
      <c r="K54" s="1023">
        <v>19</v>
      </c>
      <c r="L54" s="1023">
        <v>19</v>
      </c>
      <c r="M54" s="1023">
        <v>19</v>
      </c>
      <c r="N54" s="1023">
        <v>19</v>
      </c>
      <c r="O54" s="1023">
        <v>19</v>
      </c>
      <c r="P54" s="2707"/>
    </row>
    <row r="55" spans="2:16" ht="33" thickBot="1" x14ac:dyDescent="0.25">
      <c r="B55" s="2768" t="s">
        <v>621</v>
      </c>
      <c r="C55" s="2769"/>
      <c r="D55" s="1109" t="s">
        <v>701</v>
      </c>
      <c r="E55" s="1023" t="s">
        <v>3</v>
      </c>
      <c r="F55" s="1023">
        <v>3</v>
      </c>
      <c r="G55" s="1023">
        <v>3</v>
      </c>
      <c r="H55" s="1023">
        <v>5</v>
      </c>
      <c r="I55" s="1023">
        <v>5</v>
      </c>
      <c r="J55" s="1023">
        <v>6</v>
      </c>
      <c r="K55" s="1023">
        <v>6</v>
      </c>
      <c r="L55" s="1023">
        <v>7</v>
      </c>
      <c r="M55" s="1023">
        <v>8</v>
      </c>
      <c r="N55" s="1023">
        <v>10</v>
      </c>
      <c r="O55" s="1023">
        <v>15</v>
      </c>
      <c r="P55" s="2707"/>
    </row>
    <row r="56" spans="2:16" ht="17" thickBot="1" x14ac:dyDescent="0.25">
      <c r="B56" s="2763" t="s">
        <v>434</v>
      </c>
      <c r="C56" s="2764"/>
      <c r="D56" s="2765" t="s">
        <v>34</v>
      </c>
      <c r="E56" s="2766"/>
      <c r="F56" s="2766"/>
      <c r="G56" s="2766"/>
      <c r="H56" s="2766"/>
      <c r="I56" s="2766"/>
      <c r="J56" s="2766"/>
      <c r="K56" s="2766"/>
      <c r="L56" s="2766"/>
      <c r="M56" s="2766"/>
      <c r="N56" s="2766"/>
      <c r="O56" s="2767"/>
      <c r="P56" s="2707"/>
    </row>
    <row r="57" spans="2:16" ht="33" thickBot="1" x14ac:dyDescent="0.25">
      <c r="B57" s="2768" t="s">
        <v>435</v>
      </c>
      <c r="C57" s="2769"/>
      <c r="D57" s="1109" t="s">
        <v>436</v>
      </c>
      <c r="E57" s="1023" t="s">
        <v>366</v>
      </c>
      <c r="F57" s="1023">
        <v>37</v>
      </c>
      <c r="G57" s="1023">
        <v>37</v>
      </c>
      <c r="H57" s="1023">
        <v>37</v>
      </c>
      <c r="I57" s="1023">
        <v>37</v>
      </c>
      <c r="J57" s="1023">
        <v>12</v>
      </c>
      <c r="K57" s="1023">
        <v>12</v>
      </c>
      <c r="L57" s="1023">
        <v>12</v>
      </c>
      <c r="M57" s="1023">
        <v>12</v>
      </c>
      <c r="N57" s="1023">
        <v>14</v>
      </c>
      <c r="O57" s="1023">
        <v>17</v>
      </c>
      <c r="P57" s="2707"/>
    </row>
    <row r="58" spans="2:16" ht="49" thickBot="1" x14ac:dyDescent="0.25">
      <c r="B58" s="2768" t="s">
        <v>437</v>
      </c>
      <c r="C58" s="2769"/>
      <c r="D58" s="1109" t="s">
        <v>438</v>
      </c>
      <c r="E58" s="1023" t="s">
        <v>366</v>
      </c>
      <c r="F58" s="1023">
        <v>15</v>
      </c>
      <c r="G58" s="1023">
        <v>15</v>
      </c>
      <c r="H58" s="1023">
        <v>15</v>
      </c>
      <c r="I58" s="1023">
        <v>15</v>
      </c>
      <c r="J58" s="1023">
        <v>7</v>
      </c>
      <c r="K58" s="1023">
        <v>7</v>
      </c>
      <c r="L58" s="1023">
        <v>8</v>
      </c>
      <c r="M58" s="1023">
        <v>8</v>
      </c>
      <c r="N58" s="1023">
        <v>8</v>
      </c>
      <c r="O58" s="1023">
        <v>10</v>
      </c>
      <c r="P58" s="2707"/>
    </row>
    <row r="59" spans="2:16" ht="33" thickBot="1" x14ac:dyDescent="0.25">
      <c r="B59" s="2768" t="s">
        <v>439</v>
      </c>
      <c r="C59" s="2769"/>
      <c r="D59" s="1109" t="s">
        <v>440</v>
      </c>
      <c r="E59" s="1023" t="s">
        <v>366</v>
      </c>
      <c r="F59" s="1023">
        <v>80</v>
      </c>
      <c r="G59" s="1023">
        <v>107</v>
      </c>
      <c r="H59" s="1023">
        <v>80</v>
      </c>
      <c r="I59" s="1023">
        <v>93</v>
      </c>
      <c r="J59" s="1023">
        <v>80</v>
      </c>
      <c r="K59" s="1023">
        <v>80</v>
      </c>
      <c r="L59" s="1023">
        <v>85</v>
      </c>
      <c r="M59" s="1023">
        <v>85</v>
      </c>
      <c r="N59" s="1023">
        <v>85</v>
      </c>
      <c r="O59" s="1023">
        <v>95</v>
      </c>
      <c r="P59" s="2707"/>
    </row>
  </sheetData>
  <mergeCells count="76">
    <mergeCell ref="G2:G3"/>
    <mergeCell ref="B2:B3"/>
    <mergeCell ref="C2:C3"/>
    <mergeCell ref="D2:D3"/>
    <mergeCell ref="E2:E3"/>
    <mergeCell ref="F2:F3"/>
    <mergeCell ref="B5:C7"/>
    <mergeCell ref="D5:D7"/>
    <mergeCell ref="E5:E7"/>
    <mergeCell ref="F5:G6"/>
    <mergeCell ref="H5:I6"/>
    <mergeCell ref="H2:H3"/>
    <mergeCell ref="I2:I3"/>
    <mergeCell ref="J2:O2"/>
    <mergeCell ref="J3:O3"/>
    <mergeCell ref="P2:P3"/>
    <mergeCell ref="J5:K6"/>
    <mergeCell ref="L5:N5"/>
    <mergeCell ref="O5:O7"/>
    <mergeCell ref="L6:L7"/>
    <mergeCell ref="M6:M7"/>
    <mergeCell ref="N6:N7"/>
    <mergeCell ref="B20:C20"/>
    <mergeCell ref="B8:C8"/>
    <mergeCell ref="D8:O8"/>
    <mergeCell ref="B9:C9"/>
    <mergeCell ref="B10:C10"/>
    <mergeCell ref="D10:O10"/>
    <mergeCell ref="B11:B13"/>
    <mergeCell ref="B14:B16"/>
    <mergeCell ref="B17:C17"/>
    <mergeCell ref="D17:O17"/>
    <mergeCell ref="B18:C18"/>
    <mergeCell ref="B19:C19"/>
    <mergeCell ref="B31:B32"/>
    <mergeCell ref="B21:C21"/>
    <mergeCell ref="D21:O21"/>
    <mergeCell ref="B22:C22"/>
    <mergeCell ref="B23:C23"/>
    <mergeCell ref="B24:C24"/>
    <mergeCell ref="D24:O24"/>
    <mergeCell ref="B25:C25"/>
    <mergeCell ref="B26:C26"/>
    <mergeCell ref="B27:C27"/>
    <mergeCell ref="D27:O27"/>
    <mergeCell ref="B28:B30"/>
    <mergeCell ref="B42:B45"/>
    <mergeCell ref="B33:C33"/>
    <mergeCell ref="D33:O33"/>
    <mergeCell ref="B34:C34"/>
    <mergeCell ref="B35:C35"/>
    <mergeCell ref="B36:C36"/>
    <mergeCell ref="B37:C37"/>
    <mergeCell ref="D37:O37"/>
    <mergeCell ref="B38:C38"/>
    <mergeCell ref="B39:C39"/>
    <mergeCell ref="B40:C40"/>
    <mergeCell ref="B41:C41"/>
    <mergeCell ref="D41:O41"/>
    <mergeCell ref="B55:C55"/>
    <mergeCell ref="B47:C47"/>
    <mergeCell ref="D47:O47"/>
    <mergeCell ref="B48:C48"/>
    <mergeCell ref="B49:C49"/>
    <mergeCell ref="D49:O49"/>
    <mergeCell ref="B50:C50"/>
    <mergeCell ref="B51:C51"/>
    <mergeCell ref="B52:C52"/>
    <mergeCell ref="D52:O52"/>
    <mergeCell ref="B53:C53"/>
    <mergeCell ref="B54:C54"/>
    <mergeCell ref="B56:C56"/>
    <mergeCell ref="D56:O56"/>
    <mergeCell ref="B57:C57"/>
    <mergeCell ref="B58:C58"/>
    <mergeCell ref="B59:C59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59999389629810485"/>
  </sheetPr>
  <dimension ref="B1:L35"/>
  <sheetViews>
    <sheetView topLeftCell="A10" workbookViewId="0">
      <selection activeCell="N1001" sqref="N1001"/>
    </sheetView>
  </sheetViews>
  <sheetFormatPr baseColWidth="10" defaultColWidth="8.83203125" defaultRowHeight="13" x14ac:dyDescent="0.15"/>
  <cols>
    <col min="3" max="3" width="59.5" customWidth="1"/>
  </cols>
  <sheetData>
    <row r="1" spans="2:12" ht="14" thickBot="1" x14ac:dyDescent="0.2"/>
    <row r="2" spans="2:12" ht="16" thickBot="1" x14ac:dyDescent="0.2">
      <c r="B2" s="2980" t="s">
        <v>1582</v>
      </c>
      <c r="C2" s="2980" t="s">
        <v>1583</v>
      </c>
      <c r="D2" s="2980" t="s">
        <v>1584</v>
      </c>
      <c r="E2" s="2982" t="s">
        <v>1585</v>
      </c>
      <c r="F2" s="2983"/>
      <c r="G2" s="2983"/>
      <c r="H2" s="2983"/>
      <c r="I2" s="2983"/>
      <c r="J2" s="2983"/>
      <c r="K2" s="2983"/>
      <c r="L2" s="2984"/>
    </row>
    <row r="3" spans="2:12" ht="16" thickBot="1" x14ac:dyDescent="0.2">
      <c r="B3" s="2981"/>
      <c r="C3" s="2981"/>
      <c r="D3" s="2981"/>
      <c r="E3" s="2273" t="s">
        <v>17</v>
      </c>
      <c r="F3" s="2273" t="s">
        <v>57</v>
      </c>
      <c r="G3" s="2273" t="s">
        <v>67</v>
      </c>
      <c r="H3" s="2273" t="s">
        <v>632</v>
      </c>
      <c r="I3" s="2273" t="s">
        <v>633</v>
      </c>
      <c r="J3" s="2273" t="s">
        <v>634</v>
      </c>
      <c r="K3" s="2273" t="s">
        <v>1398</v>
      </c>
      <c r="L3" s="2273" t="s">
        <v>1399</v>
      </c>
    </row>
    <row r="4" spans="2:12" ht="16" thickBot="1" x14ac:dyDescent="0.2">
      <c r="B4" s="2295">
        <v>1</v>
      </c>
      <c r="C4" s="2273">
        <v>2</v>
      </c>
      <c r="D4" s="2273">
        <v>3</v>
      </c>
      <c r="E4" s="2273">
        <v>4</v>
      </c>
      <c r="F4" s="2273">
        <v>5</v>
      </c>
      <c r="G4" s="2273">
        <v>6</v>
      </c>
      <c r="H4" s="2273">
        <v>7</v>
      </c>
      <c r="I4" s="2273">
        <v>8</v>
      </c>
      <c r="J4" s="2273">
        <v>9</v>
      </c>
      <c r="K4" s="2273">
        <v>10</v>
      </c>
      <c r="L4" s="2273">
        <v>11</v>
      </c>
    </row>
    <row r="5" spans="2:12" ht="16" thickBot="1" x14ac:dyDescent="0.2">
      <c r="B5" s="2982" t="s">
        <v>1586</v>
      </c>
      <c r="C5" s="2983"/>
      <c r="D5" s="2983"/>
      <c r="E5" s="2983"/>
      <c r="F5" s="2983"/>
      <c r="G5" s="2983"/>
      <c r="H5" s="2983"/>
      <c r="I5" s="2983"/>
      <c r="J5" s="2983"/>
      <c r="K5" s="2983"/>
      <c r="L5" s="2984"/>
    </row>
    <row r="6" spans="2:12" ht="61" thickBot="1" x14ac:dyDescent="0.2">
      <c r="B6" s="2295" t="s">
        <v>6</v>
      </c>
      <c r="C6" s="2274" t="s">
        <v>1587</v>
      </c>
      <c r="D6" s="2273" t="s">
        <v>1588</v>
      </c>
      <c r="E6" s="2273">
        <v>31.2</v>
      </c>
      <c r="F6" s="2273">
        <v>32</v>
      </c>
      <c r="G6" s="2273">
        <v>32.799999999999997</v>
      </c>
      <c r="H6" s="2273">
        <v>33.6</v>
      </c>
      <c r="I6" s="2273">
        <v>34.4</v>
      </c>
      <c r="J6" s="2273">
        <v>35.299999999999997</v>
      </c>
      <c r="K6" s="2273">
        <v>36.1</v>
      </c>
      <c r="L6" s="2273">
        <v>36.9</v>
      </c>
    </row>
    <row r="7" spans="2:12" ht="31" thickBot="1" x14ac:dyDescent="0.2">
      <c r="B7" s="2295" t="s">
        <v>9</v>
      </c>
      <c r="C7" s="2274" t="s">
        <v>1589</v>
      </c>
      <c r="D7" s="2273" t="s">
        <v>366</v>
      </c>
      <c r="E7" s="2273">
        <v>71</v>
      </c>
      <c r="F7" s="2273">
        <v>74</v>
      </c>
      <c r="G7" s="2273">
        <v>78</v>
      </c>
      <c r="H7" s="2273">
        <v>83</v>
      </c>
      <c r="I7" s="2273">
        <v>88</v>
      </c>
      <c r="J7" s="2273">
        <v>90</v>
      </c>
      <c r="K7" s="2273">
        <v>92</v>
      </c>
      <c r="L7" s="2273">
        <v>94</v>
      </c>
    </row>
    <row r="8" spans="2:12" ht="31" thickBot="1" x14ac:dyDescent="0.2">
      <c r="B8" s="2295" t="s">
        <v>12</v>
      </c>
      <c r="C8" s="2274" t="s">
        <v>1590</v>
      </c>
      <c r="D8" s="2273" t="s">
        <v>1591</v>
      </c>
      <c r="E8" s="2273">
        <v>421</v>
      </c>
      <c r="F8" s="2273">
        <v>429</v>
      </c>
      <c r="G8" s="2273">
        <v>438</v>
      </c>
      <c r="H8" s="2273">
        <v>450</v>
      </c>
      <c r="I8" s="2273">
        <v>462</v>
      </c>
      <c r="J8" s="2273">
        <v>477</v>
      </c>
      <c r="K8" s="2273">
        <v>484</v>
      </c>
      <c r="L8" s="2273">
        <v>495</v>
      </c>
    </row>
    <row r="9" spans="2:12" ht="46" thickBot="1" x14ac:dyDescent="0.2">
      <c r="B9" s="2295" t="s">
        <v>1006</v>
      </c>
      <c r="C9" s="2274" t="s">
        <v>1592</v>
      </c>
      <c r="D9" s="2273" t="s">
        <v>1588</v>
      </c>
      <c r="E9" s="2273">
        <v>59</v>
      </c>
      <c r="F9" s="2273">
        <v>64.900000000000006</v>
      </c>
      <c r="G9" s="2273">
        <v>73.7</v>
      </c>
      <c r="H9" s="2273">
        <v>82.4</v>
      </c>
      <c r="I9" s="2273">
        <v>100</v>
      </c>
      <c r="J9" s="2273">
        <v>100</v>
      </c>
      <c r="K9" s="2273">
        <v>100</v>
      </c>
      <c r="L9" s="2273">
        <v>100</v>
      </c>
    </row>
    <row r="10" spans="2:12" x14ac:dyDescent="0.15">
      <c r="B10" s="2979" t="s">
        <v>1593</v>
      </c>
      <c r="C10" s="2979"/>
      <c r="D10" s="2979"/>
      <c r="E10" s="2979"/>
      <c r="F10" s="2979"/>
      <c r="G10" s="2979"/>
      <c r="H10" s="2979"/>
      <c r="I10" s="2979"/>
      <c r="J10" s="2979"/>
      <c r="K10" s="2979"/>
      <c r="L10" s="2979"/>
    </row>
    <row r="11" spans="2:12" ht="31" thickBot="1" x14ac:dyDescent="0.2">
      <c r="B11" s="2295" t="s">
        <v>7</v>
      </c>
      <c r="C11" s="2274" t="s">
        <v>1594</v>
      </c>
      <c r="D11" s="2273" t="s">
        <v>1591</v>
      </c>
      <c r="E11" s="2273">
        <v>637</v>
      </c>
      <c r="F11" s="2273">
        <v>672</v>
      </c>
      <c r="G11" s="2273">
        <v>693</v>
      </c>
      <c r="H11" s="2273">
        <v>700</v>
      </c>
      <c r="I11" s="2273">
        <v>700</v>
      </c>
      <c r="J11" s="2273">
        <v>700</v>
      </c>
      <c r="K11" s="2273">
        <v>700</v>
      </c>
      <c r="L11" s="2273">
        <v>700</v>
      </c>
    </row>
    <row r="12" spans="2:12" ht="46" thickBot="1" x14ac:dyDescent="0.2">
      <c r="B12" s="2295" t="s">
        <v>8</v>
      </c>
      <c r="C12" s="2274" t="s">
        <v>1595</v>
      </c>
      <c r="D12" s="2273" t="s">
        <v>1591</v>
      </c>
      <c r="E12" s="2273">
        <v>225</v>
      </c>
      <c r="F12" s="2273">
        <v>232</v>
      </c>
      <c r="G12" s="2273">
        <v>235</v>
      </c>
      <c r="H12" s="2273">
        <v>235</v>
      </c>
      <c r="I12" s="2273">
        <v>235</v>
      </c>
      <c r="J12" s="2273">
        <v>235</v>
      </c>
      <c r="K12" s="2273">
        <v>235</v>
      </c>
      <c r="L12" s="2273">
        <v>235</v>
      </c>
    </row>
    <row r="13" spans="2:12" ht="31" thickBot="1" x14ac:dyDescent="0.2">
      <c r="B13" s="2295" t="s">
        <v>460</v>
      </c>
      <c r="C13" s="2274" t="s">
        <v>1596</v>
      </c>
      <c r="D13" s="2273" t="s">
        <v>1591</v>
      </c>
      <c r="E13" s="2273">
        <v>450</v>
      </c>
      <c r="F13" s="2273">
        <v>500</v>
      </c>
      <c r="G13" s="2273">
        <v>500</v>
      </c>
      <c r="H13" s="2273">
        <v>500</v>
      </c>
      <c r="I13" s="2273">
        <v>500</v>
      </c>
      <c r="J13" s="2273">
        <v>500</v>
      </c>
      <c r="K13" s="2273">
        <v>500</v>
      </c>
      <c r="L13" s="2273">
        <v>500</v>
      </c>
    </row>
    <row r="14" spans="2:12" ht="31" thickBot="1" x14ac:dyDescent="0.2">
      <c r="B14" s="2295" t="s">
        <v>465</v>
      </c>
      <c r="C14" s="2274" t="s">
        <v>1597</v>
      </c>
      <c r="D14" s="2273" t="s">
        <v>366</v>
      </c>
      <c r="E14" s="2273">
        <v>14</v>
      </c>
      <c r="F14" s="2273">
        <v>14</v>
      </c>
      <c r="G14" s="2273">
        <v>14</v>
      </c>
      <c r="H14" s="2273">
        <v>14</v>
      </c>
      <c r="I14" s="2273">
        <v>14</v>
      </c>
      <c r="J14" s="2273">
        <v>14</v>
      </c>
      <c r="K14" s="2273">
        <v>14</v>
      </c>
      <c r="L14" s="2273">
        <v>14</v>
      </c>
    </row>
    <row r="15" spans="2:12" x14ac:dyDescent="0.15">
      <c r="B15" s="2979" t="s">
        <v>1421</v>
      </c>
      <c r="C15" s="2979"/>
      <c r="D15" s="2979"/>
      <c r="E15" s="2979"/>
      <c r="F15" s="2979"/>
      <c r="G15" s="2979"/>
      <c r="H15" s="2979"/>
      <c r="I15" s="2979"/>
      <c r="J15" s="2979"/>
      <c r="K15" s="2979"/>
      <c r="L15" s="2979"/>
    </row>
    <row r="16" spans="2:12" ht="61" thickBot="1" x14ac:dyDescent="0.2">
      <c r="B16" s="2295" t="s">
        <v>10</v>
      </c>
      <c r="C16" s="2274" t="s">
        <v>1598</v>
      </c>
      <c r="D16" s="2273" t="s">
        <v>366</v>
      </c>
      <c r="E16" s="2273">
        <v>85</v>
      </c>
      <c r="F16" s="2273">
        <v>80</v>
      </c>
      <c r="G16" s="2273">
        <v>80</v>
      </c>
      <c r="H16" s="2273">
        <v>85</v>
      </c>
      <c r="I16" s="2273">
        <v>85</v>
      </c>
      <c r="J16" s="2273">
        <v>85</v>
      </c>
      <c r="K16" s="2273">
        <v>86</v>
      </c>
      <c r="L16" s="2273">
        <v>87</v>
      </c>
    </row>
    <row r="17" spans="2:12" ht="31" thickBot="1" x14ac:dyDescent="0.2">
      <c r="B17" s="2295" t="s">
        <v>11</v>
      </c>
      <c r="C17" s="2274" t="s">
        <v>1599</v>
      </c>
      <c r="D17" s="2273" t="s">
        <v>1581</v>
      </c>
      <c r="E17" s="2273">
        <v>36.299999999999997</v>
      </c>
      <c r="F17" s="2273">
        <v>38.799999999999997</v>
      </c>
      <c r="G17" s="2273">
        <v>41.4</v>
      </c>
      <c r="H17" s="2273">
        <v>44.3</v>
      </c>
      <c r="I17" s="2273">
        <v>47.4</v>
      </c>
      <c r="J17" s="2273">
        <v>50.9</v>
      </c>
      <c r="K17" s="2273">
        <v>53.4</v>
      </c>
      <c r="L17" s="2273">
        <v>56.3</v>
      </c>
    </row>
    <row r="18" spans="2:12" ht="31" thickBot="1" x14ac:dyDescent="0.2">
      <c r="B18" s="2295" t="s">
        <v>19</v>
      </c>
      <c r="C18" s="2274" t="s">
        <v>1600</v>
      </c>
      <c r="D18" s="2273" t="s">
        <v>366</v>
      </c>
      <c r="E18" s="2273">
        <v>6</v>
      </c>
      <c r="F18" s="2273">
        <v>2</v>
      </c>
      <c r="G18" s="2273">
        <v>2</v>
      </c>
      <c r="H18" s="2273">
        <v>3</v>
      </c>
      <c r="I18" s="2273">
        <v>5</v>
      </c>
      <c r="J18" s="2273">
        <v>5</v>
      </c>
      <c r="K18" s="2273">
        <v>5</v>
      </c>
      <c r="L18" s="2273">
        <v>5</v>
      </c>
    </row>
    <row r="19" spans="2:12" ht="46" thickBot="1" x14ac:dyDescent="0.2">
      <c r="B19" s="2295" t="s">
        <v>28</v>
      </c>
      <c r="C19" s="2274" t="s">
        <v>1601</v>
      </c>
      <c r="D19" s="2273" t="s">
        <v>366</v>
      </c>
      <c r="E19" s="2273">
        <v>35</v>
      </c>
      <c r="F19" s="2273">
        <v>20</v>
      </c>
      <c r="G19" s="2273">
        <v>25</v>
      </c>
      <c r="H19" s="2273">
        <v>30</v>
      </c>
      <c r="I19" s="2273">
        <v>35</v>
      </c>
      <c r="J19" s="2273">
        <v>35</v>
      </c>
      <c r="K19" s="2273">
        <v>37</v>
      </c>
      <c r="L19" s="2273">
        <v>40</v>
      </c>
    </row>
    <row r="20" spans="2:12" ht="76" thickBot="1" x14ac:dyDescent="0.2">
      <c r="B20" s="2295" t="s">
        <v>806</v>
      </c>
      <c r="C20" s="2274" t="s">
        <v>1602</v>
      </c>
      <c r="D20" s="2273" t="s">
        <v>366</v>
      </c>
      <c r="E20" s="2273">
        <v>80</v>
      </c>
      <c r="F20" s="2273">
        <v>540</v>
      </c>
      <c r="G20" s="2273">
        <v>1015</v>
      </c>
      <c r="H20" s="2273">
        <v>1489</v>
      </c>
      <c r="I20" s="2273">
        <v>1619</v>
      </c>
      <c r="J20" s="2273">
        <v>1683</v>
      </c>
      <c r="K20" s="2273">
        <v>1791</v>
      </c>
      <c r="L20" s="2273">
        <v>1888</v>
      </c>
    </row>
    <row r="21" spans="2:12" ht="31" thickBot="1" x14ac:dyDescent="0.2">
      <c r="B21" s="2295" t="s">
        <v>807</v>
      </c>
      <c r="C21" s="2274" t="s">
        <v>1603</v>
      </c>
      <c r="D21" s="2273" t="s">
        <v>1581</v>
      </c>
      <c r="E21" s="2273">
        <v>371.3</v>
      </c>
      <c r="F21" s="2273">
        <v>386.2</v>
      </c>
      <c r="G21" s="2273">
        <v>402.4</v>
      </c>
      <c r="H21" s="2273">
        <v>419.5</v>
      </c>
      <c r="I21" s="2273">
        <v>437.7</v>
      </c>
      <c r="J21" s="2273">
        <v>457.6</v>
      </c>
      <c r="K21" s="2273">
        <v>472.8</v>
      </c>
      <c r="L21" s="2273">
        <v>490</v>
      </c>
    </row>
    <row r="22" spans="2:12" ht="31" thickBot="1" x14ac:dyDescent="0.2">
      <c r="B22" s="2295" t="s">
        <v>808</v>
      </c>
      <c r="C22" s="2274" t="s">
        <v>1604</v>
      </c>
      <c r="D22" s="2273" t="s">
        <v>366</v>
      </c>
      <c r="E22" s="2273">
        <v>190</v>
      </c>
      <c r="F22" s="2273">
        <v>67</v>
      </c>
      <c r="G22" s="2273">
        <v>190</v>
      </c>
      <c r="H22" s="2273">
        <v>200</v>
      </c>
      <c r="I22" s="2273">
        <v>210</v>
      </c>
      <c r="J22" s="2273">
        <v>220</v>
      </c>
      <c r="K22" s="2273">
        <v>230</v>
      </c>
      <c r="L22" s="2273">
        <v>240</v>
      </c>
    </row>
    <row r="23" spans="2:12" ht="31" thickBot="1" x14ac:dyDescent="0.2">
      <c r="B23" s="2295" t="s">
        <v>809</v>
      </c>
      <c r="C23" s="2274" t="s">
        <v>567</v>
      </c>
      <c r="D23" s="2273" t="s">
        <v>1588</v>
      </c>
      <c r="E23" s="2273">
        <v>24</v>
      </c>
      <c r="F23" s="2273">
        <v>26</v>
      </c>
      <c r="G23" s="2273">
        <v>28</v>
      </c>
      <c r="H23" s="2273">
        <v>31</v>
      </c>
      <c r="I23" s="2273">
        <v>33</v>
      </c>
      <c r="J23" s="2273">
        <v>34</v>
      </c>
      <c r="K23" s="2273">
        <v>35.700000000000003</v>
      </c>
      <c r="L23" s="2273">
        <v>37.200000000000003</v>
      </c>
    </row>
    <row r="24" spans="2:12" ht="31" thickBot="1" x14ac:dyDescent="0.2">
      <c r="B24" s="2295" t="s">
        <v>810</v>
      </c>
      <c r="C24" s="2274" t="s">
        <v>1605</v>
      </c>
      <c r="D24" s="2273" t="s">
        <v>1588</v>
      </c>
      <c r="E24" s="2273">
        <v>49</v>
      </c>
      <c r="F24" s="2273">
        <v>57</v>
      </c>
      <c r="G24" s="2273">
        <v>61</v>
      </c>
      <c r="H24" s="2273">
        <v>69</v>
      </c>
      <c r="I24" s="2273">
        <v>77</v>
      </c>
      <c r="J24" s="2273">
        <v>85</v>
      </c>
      <c r="K24" s="2273">
        <v>100</v>
      </c>
      <c r="L24" s="2273">
        <v>100</v>
      </c>
    </row>
    <row r="25" spans="2:12" ht="31" thickBot="1" x14ac:dyDescent="0.2">
      <c r="B25" s="2295" t="s">
        <v>811</v>
      </c>
      <c r="C25" s="2274" t="s">
        <v>1606</v>
      </c>
      <c r="D25" s="2273" t="s">
        <v>1581</v>
      </c>
      <c r="E25" s="2273">
        <v>388.1</v>
      </c>
      <c r="F25" s="2273">
        <v>389.4</v>
      </c>
      <c r="G25" s="2273">
        <v>390.8</v>
      </c>
      <c r="H25" s="2273">
        <v>392</v>
      </c>
      <c r="I25" s="2273">
        <v>393</v>
      </c>
      <c r="J25" s="2273">
        <v>394.2</v>
      </c>
      <c r="K25" s="2273">
        <v>395.3</v>
      </c>
      <c r="L25" s="2273">
        <v>396.4</v>
      </c>
    </row>
    <row r="26" spans="2:12" ht="46" thickBot="1" x14ac:dyDescent="0.2">
      <c r="B26" s="2295" t="s">
        <v>812</v>
      </c>
      <c r="C26" s="2274" t="s">
        <v>1607</v>
      </c>
      <c r="D26" s="2273" t="s">
        <v>1608</v>
      </c>
      <c r="E26" s="2273">
        <v>1075.4000000000001</v>
      </c>
      <c r="F26" s="2273">
        <v>1078.7</v>
      </c>
      <c r="G26" s="2273">
        <v>1086.8</v>
      </c>
      <c r="H26" s="2273">
        <v>1091.71</v>
      </c>
      <c r="I26" s="2273">
        <v>1097.4000000000001</v>
      </c>
      <c r="J26" s="2273">
        <v>1103.0999999999999</v>
      </c>
      <c r="K26" s="2273">
        <v>1108.8</v>
      </c>
      <c r="L26" s="2273">
        <v>1114.5999999999999</v>
      </c>
    </row>
    <row r="27" spans="2:12" ht="31" thickBot="1" x14ac:dyDescent="0.2">
      <c r="B27" s="2295" t="s">
        <v>813</v>
      </c>
      <c r="C27" s="2274" t="s">
        <v>1609</v>
      </c>
      <c r="D27" s="2273" t="s">
        <v>1610</v>
      </c>
      <c r="E27" s="2273">
        <v>17.5</v>
      </c>
      <c r="F27" s="2273">
        <v>33.299999999999997</v>
      </c>
      <c r="G27" s="2273">
        <v>66.599999999999994</v>
      </c>
      <c r="H27" s="2273">
        <v>139.9</v>
      </c>
      <c r="I27" s="2273">
        <v>307.8</v>
      </c>
      <c r="J27" s="2273">
        <v>708</v>
      </c>
      <c r="K27" s="2273">
        <v>800</v>
      </c>
      <c r="L27" s="2273">
        <v>900</v>
      </c>
    </row>
    <row r="28" spans="2:12" ht="31" thickBot="1" x14ac:dyDescent="0.2">
      <c r="B28" s="2295" t="s">
        <v>814</v>
      </c>
      <c r="C28" s="2274" t="s">
        <v>1611</v>
      </c>
      <c r="D28" s="2273" t="s">
        <v>1588</v>
      </c>
      <c r="E28" s="2273">
        <v>36.700000000000003</v>
      </c>
      <c r="F28" s="2273">
        <v>45.8</v>
      </c>
      <c r="G28" s="2273">
        <v>54.9</v>
      </c>
      <c r="H28" s="2273">
        <v>64</v>
      </c>
      <c r="I28" s="2273">
        <v>73.099999999999994</v>
      </c>
      <c r="J28" s="2273">
        <v>82.2</v>
      </c>
      <c r="K28" s="2273">
        <v>91.3</v>
      </c>
      <c r="L28" s="2273">
        <v>100</v>
      </c>
    </row>
    <row r="29" spans="2:12" ht="31" thickBot="1" x14ac:dyDescent="0.2">
      <c r="B29" s="2295" t="s">
        <v>1612</v>
      </c>
      <c r="C29" s="2274" t="s">
        <v>1613</v>
      </c>
      <c r="D29" s="2273" t="s">
        <v>1588</v>
      </c>
      <c r="E29" s="2273">
        <v>2648</v>
      </c>
      <c r="F29" s="2273">
        <v>2599</v>
      </c>
      <c r="G29" s="2273">
        <v>2709</v>
      </c>
      <c r="H29" s="2273">
        <v>2715</v>
      </c>
      <c r="I29" s="2273">
        <v>2745.5</v>
      </c>
      <c r="J29" s="2273">
        <v>2776.6</v>
      </c>
      <c r="K29" s="2273">
        <v>2807.7</v>
      </c>
      <c r="L29" s="2273">
        <v>2838.8</v>
      </c>
    </row>
    <row r="30" spans="2:12" ht="31" thickBot="1" x14ac:dyDescent="0.2">
      <c r="B30" s="2295" t="s">
        <v>1614</v>
      </c>
      <c r="C30" s="2274" t="s">
        <v>1615</v>
      </c>
      <c r="D30" s="2273" t="s">
        <v>1581</v>
      </c>
      <c r="E30" s="2273">
        <v>479.7</v>
      </c>
      <c r="F30" s="2273">
        <v>497</v>
      </c>
      <c r="G30" s="2273">
        <v>517.9</v>
      </c>
      <c r="H30" s="2273">
        <v>542.20000000000005</v>
      </c>
      <c r="I30" s="2273">
        <v>571</v>
      </c>
      <c r="J30" s="2273">
        <v>604.4</v>
      </c>
      <c r="K30" s="2273">
        <v>622.29999999999995</v>
      </c>
      <c r="L30" s="2273">
        <v>647.20000000000005</v>
      </c>
    </row>
    <row r="31" spans="2:12" ht="31" thickBot="1" x14ac:dyDescent="0.2">
      <c r="B31" s="2295" t="s">
        <v>1616</v>
      </c>
      <c r="C31" s="2274" t="s">
        <v>1617</v>
      </c>
      <c r="D31" s="2273" t="s">
        <v>366</v>
      </c>
      <c r="E31" s="2273">
        <v>42</v>
      </c>
      <c r="F31" s="2273">
        <v>41</v>
      </c>
      <c r="G31" s="2273">
        <v>42</v>
      </c>
      <c r="H31" s="2273">
        <v>42</v>
      </c>
      <c r="I31" s="2273">
        <v>42</v>
      </c>
      <c r="J31" s="2273">
        <v>42</v>
      </c>
      <c r="K31" s="2273">
        <v>43</v>
      </c>
      <c r="L31" s="2273">
        <v>44</v>
      </c>
    </row>
    <row r="32" spans="2:12" ht="31" thickBot="1" x14ac:dyDescent="0.2">
      <c r="B32" s="2295" t="s">
        <v>1618</v>
      </c>
      <c r="C32" s="2274" t="s">
        <v>1619</v>
      </c>
      <c r="D32" s="2273" t="s">
        <v>1588</v>
      </c>
      <c r="E32" s="2273">
        <v>91</v>
      </c>
      <c r="F32" s="2273">
        <v>93</v>
      </c>
      <c r="G32" s="2273">
        <v>95</v>
      </c>
      <c r="H32" s="2273">
        <v>97</v>
      </c>
      <c r="I32" s="2273">
        <v>99</v>
      </c>
      <c r="J32" s="2273">
        <v>100</v>
      </c>
      <c r="K32" s="2273">
        <v>100</v>
      </c>
      <c r="L32" s="2273">
        <v>100</v>
      </c>
    </row>
    <row r="33" spans="2:12" ht="61" thickBot="1" x14ac:dyDescent="0.2">
      <c r="B33" s="2295" t="s">
        <v>1620</v>
      </c>
      <c r="C33" s="2274" t="s">
        <v>1621</v>
      </c>
      <c r="D33" s="2273" t="s">
        <v>1591</v>
      </c>
      <c r="E33" s="2273">
        <v>43</v>
      </c>
      <c r="F33" s="2273">
        <v>43</v>
      </c>
      <c r="G33" s="2273">
        <v>43</v>
      </c>
      <c r="H33" s="2273">
        <v>43</v>
      </c>
      <c r="I33" s="2273">
        <v>43</v>
      </c>
      <c r="J33" s="2273">
        <v>43</v>
      </c>
      <c r="K33" s="2273">
        <v>43</v>
      </c>
      <c r="L33" s="2273">
        <v>43</v>
      </c>
    </row>
    <row r="34" spans="2:12" x14ac:dyDescent="0.15">
      <c r="B34" s="2979" t="s">
        <v>1463</v>
      </c>
      <c r="C34" s="2979"/>
      <c r="D34" s="2979"/>
      <c r="E34" s="2979"/>
      <c r="F34" s="2979"/>
      <c r="G34" s="2979"/>
      <c r="H34" s="2979"/>
      <c r="I34" s="2979"/>
      <c r="J34" s="2979"/>
      <c r="K34" s="2979"/>
      <c r="L34" s="2979"/>
    </row>
    <row r="35" spans="2:12" ht="46" thickBot="1" x14ac:dyDescent="0.2">
      <c r="B35" s="2295" t="s">
        <v>13</v>
      </c>
      <c r="C35" s="2274" t="s">
        <v>1622</v>
      </c>
      <c r="D35" s="2273" t="s">
        <v>1588</v>
      </c>
      <c r="E35" s="2273">
        <v>71</v>
      </c>
      <c r="F35" s="2273">
        <v>74</v>
      </c>
      <c r="G35" s="2273">
        <v>78</v>
      </c>
      <c r="H35" s="2273">
        <v>83</v>
      </c>
      <c r="I35" s="2273">
        <v>88</v>
      </c>
      <c r="J35" s="2273">
        <v>90</v>
      </c>
      <c r="K35" s="2273">
        <v>95</v>
      </c>
      <c r="L35" s="2273">
        <v>99</v>
      </c>
    </row>
  </sheetData>
  <mergeCells count="8">
    <mergeCell ref="B15:L15"/>
    <mergeCell ref="B34:L34"/>
    <mergeCell ref="B2:B3"/>
    <mergeCell ref="C2:C3"/>
    <mergeCell ref="D2:D3"/>
    <mergeCell ref="E2:L2"/>
    <mergeCell ref="B5:L5"/>
    <mergeCell ref="B10:L1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59999389629810485"/>
  </sheetPr>
  <dimension ref="A1:DI1399"/>
  <sheetViews>
    <sheetView topLeftCell="A312" workbookViewId="0">
      <selection activeCell="H338" sqref="H338"/>
    </sheetView>
  </sheetViews>
  <sheetFormatPr baseColWidth="10" defaultColWidth="8.83203125" defaultRowHeight="13" x14ac:dyDescent="0.15"/>
  <cols>
    <col min="1" max="1" width="37.33203125" style="1436" customWidth="1"/>
    <col min="2" max="2" width="9.1640625" style="1862" customWidth="1"/>
    <col min="3" max="3" width="6.5" style="1862" customWidth="1"/>
    <col min="4" max="4" width="3.6640625" style="1862" customWidth="1"/>
    <col min="5" max="5" width="11.1640625" style="1862" bestFit="1" customWidth="1"/>
    <col min="6" max="6" width="7" style="1862" customWidth="1"/>
    <col min="7" max="7" width="6.5" style="1862" bestFit="1" customWidth="1"/>
    <col min="8" max="8" width="17.6640625" style="1438" customWidth="1"/>
    <col min="9" max="11" width="15.5" style="1412" customWidth="1"/>
    <col min="12" max="19" width="15.5" style="1413" customWidth="1"/>
    <col min="20" max="20" width="15.5" style="1414" customWidth="1"/>
    <col min="21" max="22" width="15.5" style="1415" customWidth="1"/>
    <col min="23" max="23" width="12.6640625" style="1416" customWidth="1"/>
    <col min="24" max="25" width="12" style="1416" customWidth="1"/>
    <col min="26" max="26" width="12" style="1417" customWidth="1"/>
    <col min="27" max="28" width="12" style="1416" customWidth="1"/>
    <col min="29" max="29" width="12.83203125" style="1418" customWidth="1"/>
    <col min="30" max="30" width="12.33203125" style="1419" customWidth="1"/>
    <col min="31" max="31" width="11" style="1419" customWidth="1"/>
    <col min="32" max="32" width="10.6640625" style="1419" customWidth="1"/>
    <col min="33" max="33" width="12.6640625" style="1419" customWidth="1"/>
    <col min="34" max="34" width="13.5" style="1419" customWidth="1"/>
    <col min="35" max="35" width="11" style="1420" customWidth="1"/>
    <col min="36" max="36" width="14.33203125" style="1420" customWidth="1"/>
    <col min="37" max="37" width="11" style="1420" customWidth="1"/>
    <col min="38" max="38" width="13" style="1420" customWidth="1"/>
    <col min="39" max="39" width="11" style="1420" customWidth="1"/>
    <col min="40" max="40" width="11" style="1422" customWidth="1"/>
    <col min="41" max="41" width="12.33203125" style="1412" bestFit="1" customWidth="1"/>
    <col min="42" max="42" width="9.83203125" style="1423" bestFit="1" customWidth="1"/>
    <col min="43" max="43" width="9.5" style="1423" bestFit="1" customWidth="1"/>
    <col min="44" max="44" width="11" style="1423" customWidth="1"/>
    <col min="45" max="45" width="11.1640625" style="1424" bestFit="1" customWidth="1"/>
    <col min="46" max="48" width="8.83203125" style="1423" customWidth="1"/>
    <col min="49" max="49" width="11.1640625" style="1424" bestFit="1" customWidth="1"/>
    <col min="50" max="50" width="11.1640625" style="1425" customWidth="1"/>
    <col min="51" max="52" width="8.83203125" style="1425" customWidth="1"/>
    <col min="53" max="53" width="11.1640625" style="1426" bestFit="1" customWidth="1"/>
    <col min="54" max="54" width="12.5" style="1425" bestFit="1" customWidth="1"/>
    <col min="55" max="55" width="8.83203125" style="1425" customWidth="1"/>
    <col min="56" max="56" width="12.83203125" style="1425" customWidth="1"/>
    <col min="57" max="57" width="11.5" style="1427" customWidth="1"/>
    <col min="58" max="58" width="11" style="1425" customWidth="1"/>
    <col min="59" max="59" width="8.83203125" style="1425" customWidth="1"/>
    <col min="60" max="60" width="13.5" style="1425" customWidth="1"/>
    <col min="61" max="61" width="11.6640625" style="1426" customWidth="1"/>
    <col min="62" max="62" width="14.33203125" style="1425" customWidth="1"/>
    <col min="63" max="63" width="8.83203125" style="1425" customWidth="1"/>
    <col min="64" max="64" width="13.5" style="1425" customWidth="1"/>
    <col min="65" max="65" width="10.6640625" style="1426" customWidth="1"/>
    <col min="66" max="66" width="11.5" style="1425" bestFit="1" customWidth="1"/>
    <col min="67" max="67" width="8.83203125" style="1425" customWidth="1"/>
    <col min="68" max="68" width="11.1640625" style="1425" customWidth="1"/>
    <col min="69" max="69" width="11.1640625" style="1426" customWidth="1"/>
    <col min="70" max="70" width="11" style="1425" customWidth="1"/>
    <col min="71" max="72" width="8.83203125" style="1425" customWidth="1"/>
    <col min="73" max="73" width="11.5" style="1426" bestFit="1" customWidth="1"/>
    <col min="74" max="74" width="14.6640625" style="1425" customWidth="1"/>
    <col min="75" max="75" width="12.83203125" style="1425" customWidth="1"/>
    <col min="76" max="76" width="11.5" style="1425" customWidth="1"/>
    <col min="77" max="77" width="11.5" style="1426" customWidth="1"/>
    <col min="78" max="78" width="14.5" style="1425" customWidth="1"/>
    <col min="79" max="79" width="8.83203125" style="1425" customWidth="1"/>
    <col min="80" max="80" width="10.33203125" style="1425" customWidth="1"/>
    <col min="81" max="81" width="10.6640625" style="1426" customWidth="1"/>
    <col min="82" max="82" width="10.1640625" style="1425" customWidth="1"/>
    <col min="83" max="84" width="8.83203125" style="1425" customWidth="1"/>
    <col min="85" max="85" width="15.5" style="1435" customWidth="1"/>
    <col min="86" max="86" width="11.33203125" style="1426" customWidth="1"/>
    <col min="87" max="87" width="13.5" style="1425" customWidth="1"/>
    <col min="88" max="88" width="10.83203125" style="1425" customWidth="1"/>
    <col min="89" max="89" width="14.5" style="1425" customWidth="1"/>
    <col min="90" max="93" width="14.5" style="489" customWidth="1"/>
    <col min="94" max="101" width="8.83203125" style="489" customWidth="1"/>
    <col min="102" max="102" width="12.1640625" customWidth="1"/>
    <col min="103" max="103" width="12.33203125" style="489" bestFit="1" customWidth="1"/>
    <col min="104" max="104" width="12.1640625" customWidth="1"/>
    <col min="105" max="105" width="9.6640625" bestFit="1" customWidth="1"/>
    <col min="106" max="107" width="9.6640625" customWidth="1"/>
    <col min="112" max="112" width="10" bestFit="1" customWidth="1"/>
  </cols>
  <sheetData>
    <row r="1" spans="1:103" x14ac:dyDescent="0.15">
      <c r="A1" s="3008" t="s">
        <v>68</v>
      </c>
      <c r="B1" s="3008"/>
      <c r="C1" s="3008"/>
      <c r="D1" s="3008"/>
      <c r="E1" s="3008"/>
      <c r="F1" s="3008"/>
      <c r="G1" s="3008"/>
      <c r="H1" s="3008"/>
      <c r="N1" s="1413">
        <f>M2+M3+L1+L2+L3+L4+M1+M4</f>
        <v>0</v>
      </c>
      <c r="AC1" s="1418">
        <f>AC29+AE29</f>
        <v>1850.364</v>
      </c>
      <c r="AF1" s="1418"/>
      <c r="AL1" s="1421">
        <f>H25+H26+H29+H30+H31</f>
        <v>14274.726000000001</v>
      </c>
      <c r="AM1" s="1421">
        <f>AL1+K1+K2</f>
        <v>14274.726000000001</v>
      </c>
      <c r="AO1" s="1412">
        <f>H286+H303+H320+H338+H436+H518</f>
        <v>1147218.6270500002</v>
      </c>
      <c r="BU1" s="1426">
        <v>1215.7</v>
      </c>
      <c r="BW1" s="1424">
        <v>60</v>
      </c>
      <c r="BY1" s="1426">
        <v>57765.52</v>
      </c>
      <c r="BZ1" s="1425">
        <f>BY1-BZ2</f>
        <v>-6761.7400000000125</v>
      </c>
      <c r="CG1" s="1428"/>
    </row>
    <row r="2" spans="1:103" x14ac:dyDescent="0.15">
      <c r="A2" s="3008" t="s">
        <v>1122</v>
      </c>
      <c r="B2" s="3008"/>
      <c r="C2" s="3008"/>
      <c r="D2" s="3008"/>
      <c r="E2" s="3008"/>
      <c r="F2" s="3008"/>
      <c r="G2" s="3008"/>
      <c r="H2" s="3008"/>
      <c r="I2" s="1412">
        <f>H7-1507206.093</f>
        <v>3152.0000499999151</v>
      </c>
      <c r="N2" s="1413">
        <f>[1]Лист1!$D$8</f>
        <v>1384357.4600000002</v>
      </c>
      <c r="O2" s="1413">
        <f>H23+H230</f>
        <v>16121.35</v>
      </c>
      <c r="P2" s="1413">
        <f>H34-'[2]Роспись 2014по БП'!$H$34</f>
        <v>-300.19999999999709</v>
      </c>
      <c r="AC2" s="1418">
        <f>AC236+AE236</f>
        <v>89597.478000000003</v>
      </c>
      <c r="AE2" s="1418">
        <f>AC67+AC904</f>
        <v>72369.026999999987</v>
      </c>
      <c r="AF2" s="1418"/>
      <c r="AJ2" s="1421"/>
      <c r="AO2" s="1412">
        <f>AO19+AO226</f>
        <v>80.12</v>
      </c>
      <c r="AR2" s="1429">
        <f>1613.2/8536.9</f>
        <v>0.18896789232625427</v>
      </c>
      <c r="AZ2" s="1425">
        <f>H29+H236</f>
        <v>6036.8899999999994</v>
      </c>
      <c r="BM2" s="1426">
        <v>47265.214999999997</v>
      </c>
      <c r="BN2" s="1425">
        <f>68869.36+177.36+587.2+29989.73</f>
        <v>99623.65</v>
      </c>
      <c r="BU2" s="1426">
        <f>BU387</f>
        <v>2266.0500000000002</v>
      </c>
      <c r="BV2" s="1425">
        <f>BU419-'[3]Роспись 2014по БП'!$BG$418</f>
        <v>378.92999999999984</v>
      </c>
      <c r="BZ2" s="1425">
        <f>BU519+BY519</f>
        <v>64527.260000000009</v>
      </c>
      <c r="CA2" s="1425">
        <f>BU387</f>
        <v>2266.0500000000002</v>
      </c>
      <c r="CG2" s="1428"/>
    </row>
    <row r="3" spans="1:103" x14ac:dyDescent="0.15">
      <c r="A3" s="3009" t="s">
        <v>69</v>
      </c>
      <c r="B3" s="3009"/>
      <c r="C3" s="3009"/>
      <c r="D3" s="3009"/>
      <c r="E3" s="3009"/>
      <c r="F3" s="3009"/>
      <c r="G3" s="3009"/>
      <c r="H3" s="3009"/>
      <c r="I3" s="1412">
        <f>H990+H988+H986</f>
        <v>30820.754099999998</v>
      </c>
      <c r="J3" s="1412">
        <f>H981+H980</f>
        <v>3950</v>
      </c>
      <c r="K3" s="1430">
        <f>H7-1000-70000-56000</f>
        <v>1383358.09305</v>
      </c>
      <c r="N3" s="1413">
        <f>N1-N2</f>
        <v>-1384357.4600000002</v>
      </c>
      <c r="O3" s="1431">
        <f>H964</f>
        <v>280.42</v>
      </c>
      <c r="P3" s="1431">
        <f>H36-'[2]Роспись 2014по БП'!$H$36</f>
        <v>-300.19999999999709</v>
      </c>
      <c r="Q3" s="1431">
        <f>H438-'[4]Роспись 2013по БП'!$H$418</f>
        <v>370.5</v>
      </c>
      <c r="R3" s="1431">
        <f>H238-I224</f>
        <v>40675.960900000005</v>
      </c>
      <c r="S3" s="1431"/>
      <c r="T3" s="1432">
        <f>O3+K1</f>
        <v>280.42</v>
      </c>
      <c r="V3" s="1415">
        <f>'[4]Роспись 2013по БП'!$H$16+T18</f>
        <v>127537.50000000001</v>
      </c>
      <c r="X3" s="1433"/>
      <c r="Y3" s="1433"/>
      <c r="Z3" s="1434"/>
      <c r="AA3" s="1433"/>
      <c r="AB3" s="1433"/>
      <c r="AD3" s="1418">
        <f>H7-AD4-1000-56000-70000</f>
        <v>29006.910780000035</v>
      </c>
      <c r="AE3" s="1418"/>
      <c r="AG3" s="1418"/>
      <c r="AH3" s="1418">
        <f>H7-AI7-AJ7</f>
        <v>1383343.0932700001</v>
      </c>
      <c r="AI3" s="1421">
        <f>AH3-1383353.2</f>
        <v>-10.1067299998831</v>
      </c>
      <c r="AK3" s="1421">
        <f>AK615-30.75</f>
        <v>-30.75</v>
      </c>
      <c r="AL3" s="1421">
        <f>J3-K3</f>
        <v>-1379408.09305</v>
      </c>
      <c r="AM3" s="1420">
        <f>AL3/2</f>
        <v>-689704.04652500001</v>
      </c>
      <c r="AO3" s="1412">
        <v>0</v>
      </c>
      <c r="AT3" s="1425">
        <f>H419-H428</f>
        <v>2192.6000000000004</v>
      </c>
      <c r="AZ3" s="1425">
        <f>H251+H968</f>
        <v>1207.28</v>
      </c>
      <c r="BF3" s="1425">
        <f>H7-'[5]Роспись 2014по БП'!$H$7</f>
        <v>223447.73499999987</v>
      </c>
      <c r="BN3" s="1425">
        <f>BM7-BM2+BN7+BP7</f>
        <v>116609.25999999998</v>
      </c>
      <c r="BP3" s="1425">
        <f>BN3-BN2</f>
        <v>16985.609999999986</v>
      </c>
      <c r="BQ3" s="1426">
        <f>2.84+15+15.1+BQ529+BQ528+BQ527+BQ523+BQ526</f>
        <v>2443.902</v>
      </c>
      <c r="BR3" s="1425">
        <f>H340+H342</f>
        <v>94494.8</v>
      </c>
      <c r="BU3" s="1426">
        <f>BQ419-4.08</f>
        <v>144.32</v>
      </c>
      <c r="BW3" s="1425">
        <f>BU7-BW1-BU2+BU3-300-BU951-BU975</f>
        <v>75185.91</v>
      </c>
      <c r="BY3" s="1426">
        <f>1215.7-BU339</f>
        <v>-9488.8799999999992</v>
      </c>
      <c r="BZ3" s="1425">
        <v>49775.519999999997</v>
      </c>
      <c r="CA3" s="1425">
        <v>800.7</v>
      </c>
    </row>
    <row r="4" spans="1:103" x14ac:dyDescent="0.15">
      <c r="B4" s="1437"/>
      <c r="C4" s="1437"/>
      <c r="D4" s="1437"/>
      <c r="E4" s="1437"/>
      <c r="F4" s="1437"/>
      <c r="G4" s="1437"/>
      <c r="H4" s="1438">
        <f>H17+H224</f>
        <v>968300.61705</v>
      </c>
      <c r="I4" s="1412">
        <f>H9+H950+H978+H979+H982+H983+H984+H985</f>
        <v>62377.959999999992</v>
      </c>
      <c r="N4" s="1413">
        <f>N1+70000+56000</f>
        <v>126000</v>
      </c>
      <c r="O4" s="1413">
        <f>H7-N4</f>
        <v>1384358.09305</v>
      </c>
      <c r="P4" s="1413" t="e">
        <f>P3+#REF!</f>
        <v>#REF!</v>
      </c>
      <c r="Q4" s="1413">
        <f>'[4]Роспись 2013по БП'!$H$500-H520</f>
        <v>-2251.0999999999767</v>
      </c>
      <c r="AC4" s="1418">
        <f>AC968</f>
        <v>1025.3799999999999</v>
      </c>
      <c r="AD4" s="1418">
        <f>AC7+AD7</f>
        <v>1354351.18227</v>
      </c>
      <c r="AE4" s="1418"/>
      <c r="AF4" s="1418"/>
      <c r="AG4" s="1418"/>
      <c r="AH4" s="1418"/>
      <c r="AO4" s="1412">
        <f>H235+I235+H29+I29</f>
        <v>1850.364</v>
      </c>
      <c r="BQ4" s="1426">
        <f>2355.5-(BQ527+BQ528+BQ529+BQ523+50)</f>
        <v>144.53800000000001</v>
      </c>
      <c r="BR4" s="1425">
        <f>BR3/12</f>
        <v>7874.5666666666666</v>
      </c>
      <c r="BU4" s="1426">
        <f>BU339-BU2+BU3</f>
        <v>8582.8499999999985</v>
      </c>
      <c r="BW4" s="1425">
        <f>BU222-6577.8</f>
        <v>56002.909999999996</v>
      </c>
      <c r="BZ4" s="1425">
        <f>BZ2-BZ3</f>
        <v>14751.740000000013</v>
      </c>
      <c r="CA4" s="1425">
        <f>CA3-BU419</f>
        <v>-652.12999999999988</v>
      </c>
    </row>
    <row r="5" spans="1:103" ht="12.75" customHeight="1" x14ac:dyDescent="0.15">
      <c r="A5" s="3010" t="s">
        <v>70</v>
      </c>
      <c r="B5" s="3010" t="s">
        <v>71</v>
      </c>
      <c r="C5" s="3010" t="s">
        <v>72</v>
      </c>
      <c r="D5" s="3010" t="s">
        <v>73</v>
      </c>
      <c r="E5" s="3010" t="s">
        <v>74</v>
      </c>
      <c r="F5" s="3010" t="s">
        <v>75</v>
      </c>
      <c r="G5" s="3010" t="s">
        <v>76</v>
      </c>
      <c r="H5" s="2998" t="s">
        <v>57</v>
      </c>
      <c r="I5" s="2999" t="s">
        <v>767</v>
      </c>
      <c r="J5" s="2990"/>
      <c r="K5" s="2990"/>
      <c r="L5" s="1441">
        <f>H217+H218+H219+H220</f>
        <v>4188</v>
      </c>
      <c r="M5" s="1441"/>
      <c r="N5" s="1441"/>
      <c r="O5" s="1441"/>
      <c r="P5" s="1441"/>
      <c r="Q5" s="1441"/>
      <c r="R5" s="1441"/>
      <c r="S5" s="1441"/>
      <c r="T5" s="1442" t="s">
        <v>1216</v>
      </c>
      <c r="U5" s="1443" t="s">
        <v>1217</v>
      </c>
      <c r="V5" s="1443" t="s">
        <v>1218</v>
      </c>
      <c r="W5" s="1444"/>
      <c r="X5" s="1444"/>
      <c r="Y5" s="1444"/>
      <c r="Z5" s="1445"/>
      <c r="AA5" s="1444"/>
      <c r="AB5" s="1444"/>
      <c r="AC5" s="3000" t="s">
        <v>1219</v>
      </c>
      <c r="AD5" s="3001"/>
      <c r="AE5" s="3001"/>
      <c r="AF5" s="3001"/>
      <c r="AG5" s="3002"/>
      <c r="AH5" s="1446"/>
      <c r="AI5" s="3003" t="s">
        <v>1220</v>
      </c>
      <c r="AJ5" s="3004"/>
      <c r="AK5" s="3004"/>
      <c r="AL5" s="3004"/>
      <c r="AM5" s="3005"/>
      <c r="AN5" s="1447"/>
      <c r="AO5" s="2995" t="s">
        <v>1221</v>
      </c>
      <c r="AP5" s="2996"/>
      <c r="AQ5" s="2996"/>
      <c r="AR5" s="2997"/>
      <c r="AS5" s="2995" t="s">
        <v>1222</v>
      </c>
      <c r="AT5" s="2996"/>
      <c r="AU5" s="2996"/>
      <c r="AV5" s="2997"/>
      <c r="AW5" s="2995" t="s">
        <v>1223</v>
      </c>
      <c r="AX5" s="2996"/>
      <c r="AY5" s="2996"/>
      <c r="AZ5" s="2997"/>
      <c r="BA5" s="2990" t="s">
        <v>1224</v>
      </c>
      <c r="BB5" s="2991"/>
      <c r="BC5" s="2991"/>
      <c r="BD5" s="2992"/>
      <c r="BE5" s="2990" t="s">
        <v>1225</v>
      </c>
      <c r="BF5" s="2991"/>
      <c r="BG5" s="2991"/>
      <c r="BH5" s="2992"/>
      <c r="BI5" s="2990" t="s">
        <v>1226</v>
      </c>
      <c r="BJ5" s="2991"/>
      <c r="BK5" s="2991"/>
      <c r="BL5" s="2992"/>
      <c r="BM5" s="2990" t="s">
        <v>1227</v>
      </c>
      <c r="BN5" s="2991"/>
      <c r="BO5" s="2991"/>
      <c r="BP5" s="2992"/>
      <c r="BQ5" s="2990" t="s">
        <v>1228</v>
      </c>
      <c r="BR5" s="2991"/>
      <c r="BS5" s="2991"/>
      <c r="BT5" s="2992"/>
      <c r="BU5" s="2990" t="s">
        <v>1229</v>
      </c>
      <c r="BV5" s="2991"/>
      <c r="BW5" s="2991"/>
      <c r="BX5" s="2992"/>
      <c r="BY5" s="2990" t="s">
        <v>1230</v>
      </c>
      <c r="BZ5" s="2991"/>
      <c r="CA5" s="2991"/>
      <c r="CB5" s="2992"/>
      <c r="CC5" s="2990" t="s">
        <v>1231</v>
      </c>
      <c r="CD5" s="2991"/>
      <c r="CE5" s="2991"/>
      <c r="CF5" s="2992"/>
      <c r="CG5" s="1448"/>
      <c r="CH5" s="2990" t="s">
        <v>1232</v>
      </c>
      <c r="CI5" s="2991"/>
      <c r="CJ5" s="2991"/>
      <c r="CK5" s="2992"/>
    </row>
    <row r="6" spans="1:103" ht="38" customHeight="1" x14ac:dyDescent="0.15">
      <c r="A6" s="3010"/>
      <c r="B6" s="3010"/>
      <c r="C6" s="3010"/>
      <c r="D6" s="3010"/>
      <c r="E6" s="3010"/>
      <c r="F6" s="3010"/>
      <c r="G6" s="3010"/>
      <c r="H6" s="2998"/>
      <c r="I6" s="1449" t="s">
        <v>1233</v>
      </c>
      <c r="J6" s="1449" t="s">
        <v>1234</v>
      </c>
      <c r="K6" s="1449" t="s">
        <v>1235</v>
      </c>
      <c r="L6" s="1450" t="s">
        <v>1236</v>
      </c>
      <c r="M6" s="1450" t="s">
        <v>682</v>
      </c>
      <c r="N6" s="1450" t="s">
        <v>1237</v>
      </c>
      <c r="O6" s="1451" t="s">
        <v>1238</v>
      </c>
      <c r="P6" s="1451" t="s">
        <v>1239</v>
      </c>
      <c r="Q6" s="1451" t="s">
        <v>1240</v>
      </c>
      <c r="R6" s="1451" t="s">
        <v>1241</v>
      </c>
      <c r="S6" s="1451" t="s">
        <v>1242</v>
      </c>
      <c r="T6" s="1452"/>
      <c r="U6" s="1453"/>
      <c r="V6" s="1453"/>
      <c r="W6" s="1454"/>
      <c r="X6" s="1454"/>
      <c r="Y6" s="1454"/>
      <c r="Z6" s="1455"/>
      <c r="AA6" s="1454"/>
      <c r="AB6" s="1454"/>
      <c r="AC6" s="1456">
        <v>611</v>
      </c>
      <c r="AD6" s="1457">
        <v>612</v>
      </c>
      <c r="AE6" s="1458" t="s">
        <v>1233</v>
      </c>
      <c r="AF6" s="1458" t="s">
        <v>1234</v>
      </c>
      <c r="AG6" s="1458" t="s">
        <v>1235</v>
      </c>
      <c r="AH6" s="1459" t="s">
        <v>1243</v>
      </c>
      <c r="AI6" s="1460">
        <v>611</v>
      </c>
      <c r="AJ6" s="1460">
        <v>612</v>
      </c>
      <c r="AK6" s="1461" t="s">
        <v>1233</v>
      </c>
      <c r="AL6" s="1461" t="s">
        <v>1234</v>
      </c>
      <c r="AM6" s="1461" t="s">
        <v>1235</v>
      </c>
      <c r="AN6" s="1462"/>
      <c r="AO6" s="1463">
        <v>611</v>
      </c>
      <c r="AP6" s="1464" t="s">
        <v>1233</v>
      </c>
      <c r="AQ6" s="1464" t="s">
        <v>1234</v>
      </c>
      <c r="AR6" s="1464" t="s">
        <v>1235</v>
      </c>
      <c r="AS6" s="1465">
        <v>611</v>
      </c>
      <c r="AT6" s="1464" t="s">
        <v>1233</v>
      </c>
      <c r="AU6" s="1464" t="s">
        <v>1234</v>
      </c>
      <c r="AV6" s="1464" t="s">
        <v>1235</v>
      </c>
      <c r="AW6" s="1465">
        <v>611</v>
      </c>
      <c r="AX6" s="1449" t="s">
        <v>1233</v>
      </c>
      <c r="AY6" s="1449" t="s">
        <v>1234</v>
      </c>
      <c r="AZ6" s="1449" t="s">
        <v>1235</v>
      </c>
      <c r="BA6" s="1466">
        <v>611</v>
      </c>
      <c r="BB6" s="1449" t="s">
        <v>1233</v>
      </c>
      <c r="BC6" s="1449" t="s">
        <v>1234</v>
      </c>
      <c r="BD6" s="1449" t="s">
        <v>1235</v>
      </c>
      <c r="BE6" s="1467">
        <v>611</v>
      </c>
      <c r="BF6" s="1449" t="s">
        <v>1233</v>
      </c>
      <c r="BG6" s="1449" t="s">
        <v>1234</v>
      </c>
      <c r="BH6" s="1449" t="s">
        <v>1235</v>
      </c>
      <c r="BI6" s="1467">
        <v>611</v>
      </c>
      <c r="BJ6" s="1449" t="s">
        <v>1233</v>
      </c>
      <c r="BK6" s="1449" t="s">
        <v>1234</v>
      </c>
      <c r="BL6" s="1449" t="s">
        <v>1235</v>
      </c>
      <c r="BM6" s="1467">
        <v>611</v>
      </c>
      <c r="BN6" s="1449" t="s">
        <v>1233</v>
      </c>
      <c r="BO6" s="1449" t="s">
        <v>1234</v>
      </c>
      <c r="BP6" s="1449" t="s">
        <v>1235</v>
      </c>
      <c r="BQ6" s="1467">
        <v>611</v>
      </c>
      <c r="BR6" s="1449" t="s">
        <v>1233</v>
      </c>
      <c r="BS6" s="1449" t="s">
        <v>1234</v>
      </c>
      <c r="BT6" s="1449" t="s">
        <v>1235</v>
      </c>
      <c r="BU6" s="1467">
        <v>611</v>
      </c>
      <c r="BV6" s="1449" t="s">
        <v>1233</v>
      </c>
      <c r="BW6" s="1449" t="s">
        <v>1234</v>
      </c>
      <c r="BX6" s="1449" t="s">
        <v>1235</v>
      </c>
      <c r="BY6" s="1467">
        <v>611</v>
      </c>
      <c r="BZ6" s="1449" t="s">
        <v>1233</v>
      </c>
      <c r="CA6" s="1449" t="s">
        <v>1234</v>
      </c>
      <c r="CB6" s="1449" t="s">
        <v>1235</v>
      </c>
      <c r="CC6" s="1467">
        <v>611</v>
      </c>
      <c r="CD6" s="1449" t="s">
        <v>1233</v>
      </c>
      <c r="CE6" s="1449" t="s">
        <v>1234</v>
      </c>
      <c r="CF6" s="1449" t="s">
        <v>1235</v>
      </c>
      <c r="CG6" s="1468" t="s">
        <v>1243</v>
      </c>
      <c r="CH6" s="1467">
        <v>611</v>
      </c>
      <c r="CI6" s="1449" t="s">
        <v>1233</v>
      </c>
      <c r="CJ6" s="1449" t="s">
        <v>1234</v>
      </c>
      <c r="CK6" s="1449" t="s">
        <v>1235</v>
      </c>
      <c r="CL6" s="489" t="s">
        <v>1244</v>
      </c>
    </row>
    <row r="7" spans="1:103" s="1480" customFormat="1" ht="15" customHeight="1" x14ac:dyDescent="0.15">
      <c r="A7" s="1469" t="s">
        <v>265</v>
      </c>
      <c r="B7" s="1470" t="s">
        <v>79</v>
      </c>
      <c r="C7" s="1470"/>
      <c r="D7" s="1470"/>
      <c r="E7" s="1470"/>
      <c r="F7" s="1470"/>
      <c r="G7" s="1470"/>
      <c r="H7" s="1471">
        <f>H8+H15+H221+H972+H978+H979+H982+H983+H985+H984</f>
        <v>1510358.09305</v>
      </c>
      <c r="I7" s="1471">
        <f>I8+I15+I221+I972+I978+I979+I982+I983+I985</f>
        <v>368865.23</v>
      </c>
      <c r="J7" s="1471">
        <f>J8+J15+J221+J972+J978+J979+J982+J983+J985</f>
        <v>15302</v>
      </c>
      <c r="K7" s="1471">
        <f>K8+K15+K221+K972+K978+K979+K982+K983+K985-K950</f>
        <v>27000</v>
      </c>
      <c r="L7" s="1472">
        <f t="shared" ref="L7:S7" si="0">L17+L224</f>
        <v>390</v>
      </c>
      <c r="M7" s="1472">
        <f t="shared" si="0"/>
        <v>63</v>
      </c>
      <c r="N7" s="1472">
        <f t="shared" si="0"/>
        <v>1500</v>
      </c>
      <c r="O7" s="1472">
        <f t="shared" si="0"/>
        <v>128.715</v>
      </c>
      <c r="P7" s="1472">
        <f t="shared" si="0"/>
        <v>3300</v>
      </c>
      <c r="Q7" s="1472">
        <f t="shared" si="0"/>
        <v>9247.2454999999991</v>
      </c>
      <c r="R7" s="1472">
        <f t="shared" si="0"/>
        <v>1000</v>
      </c>
      <c r="S7" s="1472">
        <f t="shared" si="0"/>
        <v>17622.96</v>
      </c>
      <c r="T7" s="1473"/>
      <c r="U7" s="1474">
        <f>U8+U15+U221+U972+U978+U979+U982+U983+U985-U950</f>
        <v>-273</v>
      </c>
      <c r="V7" s="1474"/>
      <c r="W7" s="1475"/>
      <c r="X7" s="1475"/>
      <c r="Y7" s="1475"/>
      <c r="Z7" s="1476"/>
      <c r="AA7" s="1475"/>
      <c r="AB7" s="1475"/>
      <c r="AC7" s="1475">
        <f>AC8+AC15+AC221+AC972+AC978+AC979+AC982+AC983+AC985+AC984</f>
        <v>1111485.95205</v>
      </c>
      <c r="AD7" s="1475">
        <f>AE7</f>
        <v>242865.23021999997</v>
      </c>
      <c r="AE7" s="1475">
        <f>AE8+AE15+AE221+AE972+AE978+AE979+AE982+AE983+AE985+AE984</f>
        <v>242865.23021999997</v>
      </c>
      <c r="AF7" s="1475">
        <f>AF8</f>
        <v>15301.999999999998</v>
      </c>
      <c r="AG7" s="1475">
        <f>AG8+AG15+AG221+AG972+AG978+AG979+AG982+AG983+AG985-AG950</f>
        <v>27000</v>
      </c>
      <c r="AH7" s="1475">
        <f>AH8+AH15+AH221+AH972+AH978+AH979+AH982+AH983+AH985-AH950</f>
        <v>85382.517000000007</v>
      </c>
      <c r="AI7" s="1475">
        <f>AI8+AI15+AI221+AI972+AI978+AI979+AI982+AI983+AI985+AI984</f>
        <v>14.99999999999995</v>
      </c>
      <c r="AJ7" s="1475">
        <f>AJ8+AJ15+AJ221+AJ972+AJ978+AJ979+AJ982+AJ983+AJ985+AJ984</f>
        <v>126999.99978</v>
      </c>
      <c r="AK7" s="1475">
        <f>AK8+AK15+AK221+AK972+AK978+AK979+AK982+AK983+AK985+AK984</f>
        <v>125999.99978</v>
      </c>
      <c r="AL7" s="1475">
        <f>AL8+AL15+AL221+AL972+AL978+AL979+AL982+AL983+AL985-AL950</f>
        <v>0</v>
      </c>
      <c r="AM7" s="1475">
        <f>AM8+AM15+AM221+AM972+AM978+AM979+AM982+AM983+AM985-AM950</f>
        <v>1000</v>
      </c>
      <c r="AN7" s="1477"/>
      <c r="AO7" s="1475">
        <f t="shared" ref="AO7:CN7" si="1">AO8+AO15+AO221+AO972+AO978+AO979+AO982+AO983+AO985-AO950</f>
        <v>84175.226999999999</v>
      </c>
      <c r="AP7" s="1475">
        <f t="shared" si="1"/>
        <v>1595.1799999999998</v>
      </c>
      <c r="AQ7" s="1475">
        <f t="shared" si="1"/>
        <v>149.6</v>
      </c>
      <c r="AR7" s="1475">
        <f t="shared" si="1"/>
        <v>0</v>
      </c>
      <c r="AS7" s="1476">
        <f t="shared" si="1"/>
        <v>73934.97</v>
      </c>
      <c r="AT7" s="1475">
        <f t="shared" si="1"/>
        <v>550</v>
      </c>
      <c r="AU7" s="1475">
        <f t="shared" si="1"/>
        <v>0</v>
      </c>
      <c r="AV7" s="1475">
        <f t="shared" si="1"/>
        <v>0</v>
      </c>
      <c r="AW7" s="1475">
        <f t="shared" si="1"/>
        <v>76315.8</v>
      </c>
      <c r="AX7" s="1475">
        <f t="shared" si="1"/>
        <v>18018.2</v>
      </c>
      <c r="AY7" s="1475">
        <f t="shared" si="1"/>
        <v>0</v>
      </c>
      <c r="AZ7" s="1475">
        <f t="shared" si="1"/>
        <v>0</v>
      </c>
      <c r="BA7" s="1477">
        <f t="shared" si="1"/>
        <v>106544.16500000001</v>
      </c>
      <c r="BB7" s="1475">
        <f t="shared" si="1"/>
        <v>15010</v>
      </c>
      <c r="BC7" s="1475">
        <f t="shared" si="1"/>
        <v>0</v>
      </c>
      <c r="BD7" s="1475">
        <f t="shared" si="1"/>
        <v>2480</v>
      </c>
      <c r="BE7" s="1477">
        <f t="shared" si="1"/>
        <v>94949.389049999983</v>
      </c>
      <c r="BF7" s="1475">
        <f t="shared" si="1"/>
        <v>10962.369999999999</v>
      </c>
      <c r="BG7" s="1475">
        <f t="shared" si="1"/>
        <v>0</v>
      </c>
      <c r="BH7" s="1475">
        <f t="shared" si="1"/>
        <v>5378.485999999999</v>
      </c>
      <c r="BI7" s="1477">
        <f t="shared" si="1"/>
        <v>83235.357000000018</v>
      </c>
      <c r="BJ7" s="1475">
        <f t="shared" si="1"/>
        <v>17337.215</v>
      </c>
      <c r="BK7" s="1475">
        <f t="shared" si="1"/>
        <v>0</v>
      </c>
      <c r="BL7" s="1475">
        <f t="shared" si="1"/>
        <v>6666.6000000000013</v>
      </c>
      <c r="BM7" s="1477">
        <f t="shared" si="1"/>
        <v>123973.04499999998</v>
      </c>
      <c r="BN7" s="1475">
        <f t="shared" si="1"/>
        <v>23768.03</v>
      </c>
      <c r="BO7" s="1475">
        <f t="shared" si="1"/>
        <v>0</v>
      </c>
      <c r="BP7" s="1475">
        <f t="shared" si="1"/>
        <v>16133.399999999998</v>
      </c>
      <c r="BQ7" s="1477">
        <f t="shared" si="1"/>
        <v>93317.529999999984</v>
      </c>
      <c r="BR7" s="1475">
        <f t="shared" si="1"/>
        <v>14010.7</v>
      </c>
      <c r="BS7" s="1475">
        <f t="shared" si="1"/>
        <v>149.6</v>
      </c>
      <c r="BT7" s="1475">
        <f t="shared" si="1"/>
        <v>600</v>
      </c>
      <c r="BU7" s="1477">
        <f t="shared" si="1"/>
        <v>78227.14</v>
      </c>
      <c r="BV7" s="1475">
        <f t="shared" si="1"/>
        <v>31536.433219999999</v>
      </c>
      <c r="BW7" s="1475">
        <f t="shared" si="1"/>
        <v>11359.4</v>
      </c>
      <c r="BX7" s="1475">
        <f t="shared" si="1"/>
        <v>11636.314000000002</v>
      </c>
      <c r="BY7" s="1477">
        <f t="shared" si="1"/>
        <v>70177.99500000001</v>
      </c>
      <c r="BZ7" s="1475">
        <f t="shared" si="1"/>
        <v>8983.4380000000019</v>
      </c>
      <c r="CA7" s="1475">
        <f t="shared" si="1"/>
        <v>3793</v>
      </c>
      <c r="CB7" s="1475">
        <f t="shared" si="1"/>
        <v>2000</v>
      </c>
      <c r="CC7" s="1477">
        <f t="shared" si="1"/>
        <v>97439.262999999977</v>
      </c>
      <c r="CD7" s="1475">
        <f t="shared" si="1"/>
        <v>933.07799999999997</v>
      </c>
      <c r="CE7" s="1475">
        <f t="shared" si="1"/>
        <v>0</v>
      </c>
      <c r="CF7" s="1475">
        <f t="shared" si="1"/>
        <v>0</v>
      </c>
      <c r="CG7" s="1478"/>
      <c r="CH7" s="1477">
        <f t="shared" si="1"/>
        <v>70347.09599999999</v>
      </c>
      <c r="CI7" s="1475">
        <f t="shared" si="1"/>
        <v>76160.58600000001</v>
      </c>
      <c r="CJ7" s="1475">
        <f t="shared" si="1"/>
        <v>15152.399999999998</v>
      </c>
      <c r="CK7" s="1475">
        <f t="shared" si="1"/>
        <v>9105.2000000000007</v>
      </c>
      <c r="CL7" s="1475"/>
      <c r="CM7" s="1475">
        <f t="shared" si="1"/>
        <v>0</v>
      </c>
      <c r="CN7" s="1475">
        <f t="shared" si="1"/>
        <v>0</v>
      </c>
      <c r="CO7" s="1479"/>
      <c r="CP7" s="1479"/>
      <c r="CQ7" s="1479"/>
      <c r="CR7" s="1479"/>
      <c r="CS7" s="1479"/>
      <c r="CT7" s="1479"/>
      <c r="CU7" s="1479"/>
      <c r="CV7" s="1479"/>
      <c r="CW7" s="1479"/>
      <c r="CY7" s="1481"/>
    </row>
    <row r="8" spans="1:103" s="1496" customFormat="1" ht="28" x14ac:dyDescent="0.15">
      <c r="A8" s="827" t="s">
        <v>1096</v>
      </c>
      <c r="B8" s="1482" t="s">
        <v>79</v>
      </c>
      <c r="C8" s="1482" t="s">
        <v>195</v>
      </c>
      <c r="D8" s="1482"/>
      <c r="E8" s="1482"/>
      <c r="F8" s="1482"/>
      <c r="G8" s="1483"/>
      <c r="H8" s="1484">
        <f>H9</f>
        <v>15302.000000000002</v>
      </c>
      <c r="I8" s="1484">
        <f t="shared" ref="I8:CK11" si="2">I9</f>
        <v>0</v>
      </c>
      <c r="J8" s="1484">
        <f t="shared" si="2"/>
        <v>0</v>
      </c>
      <c r="K8" s="1484">
        <f t="shared" si="2"/>
        <v>0</v>
      </c>
      <c r="L8" s="1485"/>
      <c r="M8" s="1485"/>
      <c r="N8" s="1485"/>
      <c r="O8" s="1485"/>
      <c r="P8" s="1485"/>
      <c r="Q8" s="1485"/>
      <c r="R8" s="1485"/>
      <c r="S8" s="1485"/>
      <c r="T8" s="1486"/>
      <c r="U8" s="1487"/>
      <c r="V8" s="1487"/>
      <c r="W8" s="1488"/>
      <c r="X8" s="1488"/>
      <c r="Y8" s="1488"/>
      <c r="Z8" s="1489"/>
      <c r="AA8" s="1488"/>
      <c r="AB8" s="1488"/>
      <c r="AC8" s="1490">
        <f t="shared" ref="AC8:AD11" si="3">AC9</f>
        <v>15301.999999999998</v>
      </c>
      <c r="AD8" s="1490">
        <f t="shared" si="3"/>
        <v>0</v>
      </c>
      <c r="AE8" s="1490">
        <f t="shared" si="2"/>
        <v>0</v>
      </c>
      <c r="AF8" s="1490">
        <f t="shared" si="2"/>
        <v>15301.999999999998</v>
      </c>
      <c r="AG8" s="1490">
        <f t="shared" si="2"/>
        <v>0</v>
      </c>
      <c r="AH8" s="1490">
        <f t="shared" ref="AH8:AH14" si="4">CG8+CL8</f>
        <v>0</v>
      </c>
      <c r="AI8" s="1491">
        <f t="shared" si="2"/>
        <v>0</v>
      </c>
      <c r="AJ8" s="1491">
        <f t="shared" si="2"/>
        <v>0</v>
      </c>
      <c r="AK8" s="1491">
        <f t="shared" si="2"/>
        <v>0</v>
      </c>
      <c r="AL8" s="1491">
        <f t="shared" si="2"/>
        <v>0</v>
      </c>
      <c r="AM8" s="1491">
        <f t="shared" si="2"/>
        <v>0</v>
      </c>
      <c r="AN8" s="1492"/>
      <c r="AO8" s="1493">
        <f t="shared" si="2"/>
        <v>0</v>
      </c>
      <c r="AP8" s="1493">
        <f t="shared" si="2"/>
        <v>0</v>
      </c>
      <c r="AQ8" s="1493">
        <f t="shared" si="2"/>
        <v>0</v>
      </c>
      <c r="AR8" s="1493">
        <f t="shared" si="2"/>
        <v>0</v>
      </c>
      <c r="AS8" s="1489">
        <f t="shared" si="2"/>
        <v>0</v>
      </c>
      <c r="AT8" s="1493">
        <f t="shared" si="2"/>
        <v>0</v>
      </c>
      <c r="AU8" s="1493">
        <f t="shared" si="2"/>
        <v>0</v>
      </c>
      <c r="AV8" s="1493">
        <f t="shared" si="2"/>
        <v>0</v>
      </c>
      <c r="AW8" s="1489">
        <f t="shared" si="2"/>
        <v>0</v>
      </c>
      <c r="AX8" s="1493">
        <f t="shared" si="2"/>
        <v>0</v>
      </c>
      <c r="AY8" s="1493">
        <f t="shared" si="2"/>
        <v>0</v>
      </c>
      <c r="AZ8" s="1493">
        <f t="shared" si="2"/>
        <v>0</v>
      </c>
      <c r="BA8" s="1492">
        <f t="shared" si="2"/>
        <v>0</v>
      </c>
      <c r="BB8" s="1493">
        <f t="shared" si="2"/>
        <v>0</v>
      </c>
      <c r="BC8" s="1493">
        <f t="shared" si="2"/>
        <v>0</v>
      </c>
      <c r="BD8" s="1493">
        <f t="shared" si="2"/>
        <v>0</v>
      </c>
      <c r="BE8" s="1492">
        <f t="shared" si="2"/>
        <v>0</v>
      </c>
      <c r="BF8" s="1493">
        <f t="shared" si="2"/>
        <v>0</v>
      </c>
      <c r="BG8" s="1493">
        <f t="shared" si="2"/>
        <v>0</v>
      </c>
      <c r="BH8" s="1493">
        <f t="shared" si="2"/>
        <v>0</v>
      </c>
      <c r="BI8" s="1492">
        <f t="shared" si="2"/>
        <v>0</v>
      </c>
      <c r="BJ8" s="1493">
        <f t="shared" si="2"/>
        <v>0</v>
      </c>
      <c r="BK8" s="1493">
        <f t="shared" si="2"/>
        <v>0</v>
      </c>
      <c r="BL8" s="1493">
        <f t="shared" si="2"/>
        <v>0</v>
      </c>
      <c r="BM8" s="1492">
        <f t="shared" si="2"/>
        <v>0</v>
      </c>
      <c r="BN8" s="1493">
        <f t="shared" si="2"/>
        <v>0</v>
      </c>
      <c r="BO8" s="1493">
        <f t="shared" si="2"/>
        <v>0</v>
      </c>
      <c r="BP8" s="1493">
        <f t="shared" si="2"/>
        <v>0</v>
      </c>
      <c r="BQ8" s="1492">
        <f t="shared" si="2"/>
        <v>0</v>
      </c>
      <c r="BR8" s="1493">
        <f t="shared" si="2"/>
        <v>0</v>
      </c>
      <c r="BS8" s="1493">
        <f t="shared" si="2"/>
        <v>149.6</v>
      </c>
      <c r="BT8" s="1493">
        <f t="shared" si="2"/>
        <v>0</v>
      </c>
      <c r="BU8" s="1492">
        <f t="shared" si="2"/>
        <v>0</v>
      </c>
      <c r="BV8" s="1493">
        <f t="shared" si="2"/>
        <v>0</v>
      </c>
      <c r="BW8" s="1493">
        <f t="shared" si="2"/>
        <v>5679.7</v>
      </c>
      <c r="BX8" s="1493">
        <f t="shared" si="2"/>
        <v>0</v>
      </c>
      <c r="BY8" s="1492">
        <f t="shared" si="2"/>
        <v>0</v>
      </c>
      <c r="BZ8" s="1493">
        <f t="shared" si="2"/>
        <v>0</v>
      </c>
      <c r="CA8" s="1493">
        <f t="shared" si="2"/>
        <v>1896.5</v>
      </c>
      <c r="CB8" s="1493">
        <f t="shared" si="2"/>
        <v>0</v>
      </c>
      <c r="CC8" s="1492">
        <f t="shared" si="2"/>
        <v>0</v>
      </c>
      <c r="CD8" s="1493">
        <f t="shared" si="2"/>
        <v>0</v>
      </c>
      <c r="CE8" s="1493">
        <f t="shared" si="2"/>
        <v>0</v>
      </c>
      <c r="CF8" s="1493">
        <f t="shared" si="2"/>
        <v>0</v>
      </c>
      <c r="CG8" s="1494"/>
      <c r="CH8" s="1492">
        <f t="shared" si="2"/>
        <v>0</v>
      </c>
      <c r="CI8" s="1493">
        <f t="shared" si="2"/>
        <v>0</v>
      </c>
      <c r="CJ8" s="1493">
        <f t="shared" si="2"/>
        <v>7576.1999999999989</v>
      </c>
      <c r="CK8" s="1493">
        <f t="shared" si="2"/>
        <v>0</v>
      </c>
      <c r="CL8" s="1495"/>
      <c r="CM8" s="1495"/>
      <c r="CN8" s="1495"/>
      <c r="CO8" s="1495"/>
      <c r="CP8" s="1495"/>
      <c r="CQ8" s="1495"/>
      <c r="CR8" s="1495"/>
      <c r="CS8" s="1495"/>
      <c r="CT8" s="1495"/>
      <c r="CU8" s="1495"/>
      <c r="CV8" s="1495"/>
      <c r="CW8" s="1495"/>
      <c r="CY8" s="1495"/>
    </row>
    <row r="9" spans="1:103" ht="51.75" customHeight="1" x14ac:dyDescent="0.15">
      <c r="A9" s="827" t="s">
        <v>1097</v>
      </c>
      <c r="B9" s="1482" t="s">
        <v>79</v>
      </c>
      <c r="C9" s="1482" t="s">
        <v>195</v>
      </c>
      <c r="D9" s="1482" t="s">
        <v>196</v>
      </c>
      <c r="E9" s="1482"/>
      <c r="F9" s="1482"/>
      <c r="G9" s="1483"/>
      <c r="H9" s="1484">
        <f>H10</f>
        <v>15302.000000000002</v>
      </c>
      <c r="I9" s="1484">
        <f t="shared" si="2"/>
        <v>0</v>
      </c>
      <c r="J9" s="1484">
        <f t="shared" si="2"/>
        <v>0</v>
      </c>
      <c r="K9" s="1484">
        <f t="shared" si="2"/>
        <v>0</v>
      </c>
      <c r="L9" s="1485"/>
      <c r="M9" s="1485"/>
      <c r="N9" s="1485"/>
      <c r="O9" s="1485"/>
      <c r="P9" s="1485"/>
      <c r="Q9" s="1485"/>
      <c r="R9" s="1485"/>
      <c r="S9" s="1485"/>
      <c r="T9" s="1486"/>
      <c r="U9" s="1487"/>
      <c r="V9" s="1487"/>
      <c r="W9" s="1488"/>
      <c r="X9" s="1488"/>
      <c r="Y9" s="1488"/>
      <c r="Z9" s="1489"/>
      <c r="AA9" s="1488"/>
      <c r="AB9" s="1488"/>
      <c r="AC9" s="1490">
        <f t="shared" si="3"/>
        <v>15301.999999999998</v>
      </c>
      <c r="AD9" s="1490">
        <f t="shared" si="3"/>
        <v>0</v>
      </c>
      <c r="AE9" s="1490">
        <f t="shared" si="2"/>
        <v>0</v>
      </c>
      <c r="AF9" s="1490">
        <f t="shared" si="2"/>
        <v>15301.999999999998</v>
      </c>
      <c r="AG9" s="1490">
        <f t="shared" si="2"/>
        <v>0</v>
      </c>
      <c r="AH9" s="1490">
        <f t="shared" si="4"/>
        <v>0</v>
      </c>
      <c r="AI9" s="1491">
        <f t="shared" si="2"/>
        <v>0</v>
      </c>
      <c r="AJ9" s="1491">
        <f t="shared" si="2"/>
        <v>0</v>
      </c>
      <c r="AK9" s="1491">
        <f t="shared" si="2"/>
        <v>0</v>
      </c>
      <c r="AL9" s="1491">
        <f t="shared" si="2"/>
        <v>0</v>
      </c>
      <c r="AM9" s="1491">
        <f t="shared" si="2"/>
        <v>0</v>
      </c>
      <c r="AN9" s="1492"/>
      <c r="AO9" s="1484">
        <f t="shared" si="2"/>
        <v>0</v>
      </c>
      <c r="AP9" s="1484">
        <f t="shared" si="2"/>
        <v>0</v>
      </c>
      <c r="AQ9" s="1484">
        <f t="shared" si="2"/>
        <v>0</v>
      </c>
      <c r="AR9" s="1484">
        <f t="shared" si="2"/>
        <v>0</v>
      </c>
      <c r="AS9" s="1489">
        <f t="shared" si="2"/>
        <v>0</v>
      </c>
      <c r="AT9" s="1484">
        <f t="shared" si="2"/>
        <v>0</v>
      </c>
      <c r="AU9" s="1484">
        <f t="shared" si="2"/>
        <v>0</v>
      </c>
      <c r="AV9" s="1484">
        <f t="shared" si="2"/>
        <v>0</v>
      </c>
      <c r="AW9" s="1489">
        <f t="shared" si="2"/>
        <v>0</v>
      </c>
      <c r="AX9" s="1484">
        <f t="shared" si="2"/>
        <v>0</v>
      </c>
      <c r="AY9" s="1484">
        <f t="shared" si="2"/>
        <v>0</v>
      </c>
      <c r="AZ9" s="1484">
        <f t="shared" si="2"/>
        <v>0</v>
      </c>
      <c r="BA9" s="1492">
        <f t="shared" si="2"/>
        <v>0</v>
      </c>
      <c r="BB9" s="1484">
        <f t="shared" si="2"/>
        <v>0</v>
      </c>
      <c r="BC9" s="1484">
        <f t="shared" si="2"/>
        <v>0</v>
      </c>
      <c r="BD9" s="1484">
        <f t="shared" si="2"/>
        <v>0</v>
      </c>
      <c r="BE9" s="1492">
        <f t="shared" si="2"/>
        <v>0</v>
      </c>
      <c r="BF9" s="1484">
        <f t="shared" si="2"/>
        <v>0</v>
      </c>
      <c r="BG9" s="1484">
        <f t="shared" si="2"/>
        <v>0</v>
      </c>
      <c r="BH9" s="1484">
        <f t="shared" si="2"/>
        <v>0</v>
      </c>
      <c r="BI9" s="1492">
        <f t="shared" si="2"/>
        <v>0</v>
      </c>
      <c r="BJ9" s="1484">
        <f t="shared" si="2"/>
        <v>0</v>
      </c>
      <c r="BK9" s="1484">
        <f t="shared" si="2"/>
        <v>0</v>
      </c>
      <c r="BL9" s="1484">
        <f t="shared" si="2"/>
        <v>0</v>
      </c>
      <c r="BM9" s="1492">
        <f t="shared" si="2"/>
        <v>0</v>
      </c>
      <c r="BN9" s="1484">
        <f t="shared" si="2"/>
        <v>0</v>
      </c>
      <c r="BO9" s="1484">
        <f t="shared" si="2"/>
        <v>0</v>
      </c>
      <c r="BP9" s="1484">
        <f t="shared" si="2"/>
        <v>0</v>
      </c>
      <c r="BQ9" s="1492">
        <f t="shared" si="2"/>
        <v>0</v>
      </c>
      <c r="BR9" s="1484">
        <f t="shared" si="2"/>
        <v>0</v>
      </c>
      <c r="BS9" s="1484">
        <f t="shared" si="2"/>
        <v>149.6</v>
      </c>
      <c r="BT9" s="1484">
        <f t="shared" si="2"/>
        <v>0</v>
      </c>
      <c r="BU9" s="1492">
        <f t="shared" si="2"/>
        <v>0</v>
      </c>
      <c r="BV9" s="1484">
        <f t="shared" si="2"/>
        <v>0</v>
      </c>
      <c r="BW9" s="1484">
        <f t="shared" si="2"/>
        <v>5679.7</v>
      </c>
      <c r="BX9" s="1484">
        <f t="shared" si="2"/>
        <v>0</v>
      </c>
      <c r="BY9" s="1492">
        <f t="shared" si="2"/>
        <v>0</v>
      </c>
      <c r="BZ9" s="1484">
        <f t="shared" si="2"/>
        <v>0</v>
      </c>
      <c r="CA9" s="1484">
        <f t="shared" si="2"/>
        <v>1896.5</v>
      </c>
      <c r="CB9" s="1484">
        <f t="shared" si="2"/>
        <v>0</v>
      </c>
      <c r="CC9" s="1492">
        <f t="shared" si="2"/>
        <v>0</v>
      </c>
      <c r="CD9" s="1484">
        <f t="shared" si="2"/>
        <v>0</v>
      </c>
      <c r="CE9" s="1484">
        <f t="shared" si="2"/>
        <v>0</v>
      </c>
      <c r="CF9" s="1484">
        <f t="shared" si="2"/>
        <v>0</v>
      </c>
      <c r="CG9" s="1497"/>
      <c r="CH9" s="1492">
        <f t="shared" si="2"/>
        <v>0</v>
      </c>
      <c r="CI9" s="1484">
        <f t="shared" si="2"/>
        <v>0</v>
      </c>
      <c r="CJ9" s="1484">
        <f t="shared" si="2"/>
        <v>7576.1999999999989</v>
      </c>
      <c r="CK9" s="1484">
        <f t="shared" si="2"/>
        <v>0</v>
      </c>
    </row>
    <row r="10" spans="1:103" ht="52.5" customHeight="1" x14ac:dyDescent="0.15">
      <c r="A10" s="827" t="s">
        <v>1123</v>
      </c>
      <c r="B10" s="1482" t="s">
        <v>79</v>
      </c>
      <c r="C10" s="1482" t="s">
        <v>195</v>
      </c>
      <c r="D10" s="1482" t="s">
        <v>196</v>
      </c>
      <c r="E10" s="1482" t="s">
        <v>1245</v>
      </c>
      <c r="F10" s="1482"/>
      <c r="G10" s="1483"/>
      <c r="H10" s="1484">
        <f>H11</f>
        <v>15302.000000000002</v>
      </c>
      <c r="I10" s="1484">
        <f t="shared" si="2"/>
        <v>0</v>
      </c>
      <c r="J10" s="1484">
        <f t="shared" si="2"/>
        <v>0</v>
      </c>
      <c r="K10" s="1484">
        <f t="shared" si="2"/>
        <v>0</v>
      </c>
      <c r="L10" s="1485"/>
      <c r="M10" s="1485"/>
      <c r="N10" s="1485"/>
      <c r="O10" s="1485"/>
      <c r="P10" s="1485"/>
      <c r="Q10" s="1485"/>
      <c r="R10" s="1485"/>
      <c r="S10" s="1485"/>
      <c r="T10" s="1486"/>
      <c r="U10" s="1487"/>
      <c r="V10" s="1487"/>
      <c r="W10" s="1488"/>
      <c r="X10" s="1488"/>
      <c r="Y10" s="1488"/>
      <c r="Z10" s="1489"/>
      <c r="AA10" s="1488"/>
      <c r="AB10" s="1488"/>
      <c r="AC10" s="1490">
        <f t="shared" si="3"/>
        <v>15301.999999999998</v>
      </c>
      <c r="AD10" s="1490">
        <f t="shared" si="3"/>
        <v>0</v>
      </c>
      <c r="AE10" s="1490">
        <f t="shared" si="2"/>
        <v>0</v>
      </c>
      <c r="AF10" s="1490">
        <f t="shared" si="2"/>
        <v>15301.999999999998</v>
      </c>
      <c r="AG10" s="1490">
        <f t="shared" si="2"/>
        <v>0</v>
      </c>
      <c r="AH10" s="1490">
        <f t="shared" si="4"/>
        <v>0</v>
      </c>
      <c r="AI10" s="1491">
        <f t="shared" si="2"/>
        <v>0</v>
      </c>
      <c r="AJ10" s="1491">
        <f t="shared" si="2"/>
        <v>0</v>
      </c>
      <c r="AK10" s="1491">
        <f t="shared" si="2"/>
        <v>0</v>
      </c>
      <c r="AL10" s="1491">
        <f t="shared" si="2"/>
        <v>0</v>
      </c>
      <c r="AM10" s="1491">
        <f t="shared" si="2"/>
        <v>0</v>
      </c>
      <c r="AN10" s="1492"/>
      <c r="AO10" s="1484">
        <f t="shared" si="2"/>
        <v>0</v>
      </c>
      <c r="AP10" s="1484">
        <f t="shared" si="2"/>
        <v>0</v>
      </c>
      <c r="AQ10" s="1484">
        <f t="shared" si="2"/>
        <v>0</v>
      </c>
      <c r="AR10" s="1484">
        <f t="shared" si="2"/>
        <v>0</v>
      </c>
      <c r="AS10" s="1489">
        <f t="shared" si="2"/>
        <v>0</v>
      </c>
      <c r="AT10" s="1484">
        <f t="shared" si="2"/>
        <v>0</v>
      </c>
      <c r="AU10" s="1484">
        <f t="shared" si="2"/>
        <v>0</v>
      </c>
      <c r="AV10" s="1484">
        <f t="shared" si="2"/>
        <v>0</v>
      </c>
      <c r="AW10" s="1489">
        <f t="shared" si="2"/>
        <v>0</v>
      </c>
      <c r="AX10" s="1484">
        <f t="shared" si="2"/>
        <v>0</v>
      </c>
      <c r="AY10" s="1484">
        <f t="shared" si="2"/>
        <v>0</v>
      </c>
      <c r="AZ10" s="1484">
        <f t="shared" si="2"/>
        <v>0</v>
      </c>
      <c r="BA10" s="1492">
        <f t="shared" si="2"/>
        <v>0</v>
      </c>
      <c r="BB10" s="1484">
        <f t="shared" si="2"/>
        <v>0</v>
      </c>
      <c r="BC10" s="1484">
        <f t="shared" si="2"/>
        <v>0</v>
      </c>
      <c r="BD10" s="1484">
        <f t="shared" si="2"/>
        <v>0</v>
      </c>
      <c r="BE10" s="1492">
        <f t="shared" si="2"/>
        <v>0</v>
      </c>
      <c r="BF10" s="1484">
        <f t="shared" si="2"/>
        <v>0</v>
      </c>
      <c r="BG10" s="1484">
        <f t="shared" si="2"/>
        <v>0</v>
      </c>
      <c r="BH10" s="1484">
        <f t="shared" si="2"/>
        <v>0</v>
      </c>
      <c r="BI10" s="1492">
        <f t="shared" si="2"/>
        <v>0</v>
      </c>
      <c r="BJ10" s="1484">
        <f t="shared" si="2"/>
        <v>0</v>
      </c>
      <c r="BK10" s="1484">
        <f t="shared" si="2"/>
        <v>0</v>
      </c>
      <c r="BL10" s="1484">
        <f t="shared" si="2"/>
        <v>0</v>
      </c>
      <c r="BM10" s="1492">
        <f t="shared" si="2"/>
        <v>0</v>
      </c>
      <c r="BN10" s="1484">
        <f t="shared" si="2"/>
        <v>0</v>
      </c>
      <c r="BO10" s="1484">
        <f t="shared" si="2"/>
        <v>0</v>
      </c>
      <c r="BP10" s="1484">
        <f t="shared" si="2"/>
        <v>0</v>
      </c>
      <c r="BQ10" s="1492">
        <f t="shared" si="2"/>
        <v>0</v>
      </c>
      <c r="BR10" s="1484">
        <f t="shared" si="2"/>
        <v>0</v>
      </c>
      <c r="BS10" s="1484">
        <f t="shared" si="2"/>
        <v>149.6</v>
      </c>
      <c r="BT10" s="1484">
        <f t="shared" si="2"/>
        <v>0</v>
      </c>
      <c r="BU10" s="1492">
        <f t="shared" si="2"/>
        <v>0</v>
      </c>
      <c r="BV10" s="1484">
        <f t="shared" si="2"/>
        <v>0</v>
      </c>
      <c r="BW10" s="1484">
        <f t="shared" si="2"/>
        <v>5679.7</v>
      </c>
      <c r="BX10" s="1484">
        <f t="shared" si="2"/>
        <v>0</v>
      </c>
      <c r="BY10" s="1492">
        <f t="shared" si="2"/>
        <v>0</v>
      </c>
      <c r="BZ10" s="1484">
        <f t="shared" si="2"/>
        <v>0</v>
      </c>
      <c r="CA10" s="1484">
        <f t="shared" si="2"/>
        <v>1896.5</v>
      </c>
      <c r="CB10" s="1484">
        <f t="shared" si="2"/>
        <v>0</v>
      </c>
      <c r="CC10" s="1492">
        <f t="shared" si="2"/>
        <v>0</v>
      </c>
      <c r="CD10" s="1484">
        <f t="shared" si="2"/>
        <v>0</v>
      </c>
      <c r="CE10" s="1484">
        <f t="shared" si="2"/>
        <v>0</v>
      </c>
      <c r="CF10" s="1484">
        <f t="shared" si="2"/>
        <v>0</v>
      </c>
      <c r="CG10" s="1497"/>
      <c r="CH10" s="1492">
        <f t="shared" si="2"/>
        <v>0</v>
      </c>
      <c r="CI10" s="1484">
        <f t="shared" si="2"/>
        <v>0</v>
      </c>
      <c r="CJ10" s="1484">
        <f t="shared" si="2"/>
        <v>7576.1999999999989</v>
      </c>
      <c r="CK10" s="1484">
        <f t="shared" si="2"/>
        <v>0</v>
      </c>
    </row>
    <row r="11" spans="1:103" ht="61.5" customHeight="1" x14ac:dyDescent="0.15">
      <c r="A11" s="827" t="s">
        <v>1124</v>
      </c>
      <c r="B11" s="1482" t="s">
        <v>79</v>
      </c>
      <c r="C11" s="1482" t="s">
        <v>195</v>
      </c>
      <c r="D11" s="1482" t="s">
        <v>196</v>
      </c>
      <c r="E11" s="1482" t="s">
        <v>1246</v>
      </c>
      <c r="F11" s="1482"/>
      <c r="G11" s="1483"/>
      <c r="H11" s="1484">
        <f>H12</f>
        <v>15302.000000000002</v>
      </c>
      <c r="I11" s="1484">
        <f t="shared" si="2"/>
        <v>0</v>
      </c>
      <c r="J11" s="1484">
        <f>J12</f>
        <v>0</v>
      </c>
      <c r="K11" s="1484">
        <f t="shared" si="2"/>
        <v>0</v>
      </c>
      <c r="L11" s="1485"/>
      <c r="M11" s="1485"/>
      <c r="N11" s="1485"/>
      <c r="O11" s="1485"/>
      <c r="P11" s="1485"/>
      <c r="Q11" s="1485"/>
      <c r="R11" s="1485"/>
      <c r="S11" s="1485"/>
      <c r="T11" s="1486"/>
      <c r="U11" s="1487"/>
      <c r="V11" s="1487"/>
      <c r="W11" s="1488"/>
      <c r="X11" s="1488"/>
      <c r="Y11" s="1488"/>
      <c r="Z11" s="1489"/>
      <c r="AA11" s="1488"/>
      <c r="AB11" s="1488"/>
      <c r="AC11" s="1490">
        <f t="shared" si="3"/>
        <v>15301.999999999998</v>
      </c>
      <c r="AD11" s="1490">
        <f t="shared" si="3"/>
        <v>0</v>
      </c>
      <c r="AE11" s="1490">
        <f t="shared" si="2"/>
        <v>0</v>
      </c>
      <c r="AF11" s="1490">
        <f t="shared" si="2"/>
        <v>15301.999999999998</v>
      </c>
      <c r="AG11" s="1490">
        <f t="shared" si="2"/>
        <v>0</v>
      </c>
      <c r="AH11" s="1490">
        <f t="shared" si="4"/>
        <v>0</v>
      </c>
      <c r="AI11" s="1491">
        <f t="shared" si="2"/>
        <v>0</v>
      </c>
      <c r="AJ11" s="1491">
        <f t="shared" si="2"/>
        <v>0</v>
      </c>
      <c r="AK11" s="1491">
        <f t="shared" si="2"/>
        <v>0</v>
      </c>
      <c r="AL11" s="1491">
        <f t="shared" si="2"/>
        <v>0</v>
      </c>
      <c r="AM11" s="1491">
        <f t="shared" si="2"/>
        <v>0</v>
      </c>
      <c r="AN11" s="1492"/>
      <c r="AO11" s="1484">
        <f t="shared" si="2"/>
        <v>0</v>
      </c>
      <c r="AP11" s="1484">
        <f t="shared" si="2"/>
        <v>0</v>
      </c>
      <c r="AQ11" s="1484">
        <f t="shared" si="2"/>
        <v>0</v>
      </c>
      <c r="AR11" s="1484">
        <f t="shared" si="2"/>
        <v>0</v>
      </c>
      <c r="AS11" s="1489">
        <f t="shared" si="2"/>
        <v>0</v>
      </c>
      <c r="AT11" s="1484">
        <f t="shared" si="2"/>
        <v>0</v>
      </c>
      <c r="AU11" s="1484">
        <f t="shared" si="2"/>
        <v>0</v>
      </c>
      <c r="AV11" s="1484">
        <f t="shared" si="2"/>
        <v>0</v>
      </c>
      <c r="AW11" s="1489">
        <f t="shared" si="2"/>
        <v>0</v>
      </c>
      <c r="AX11" s="1484">
        <f t="shared" si="2"/>
        <v>0</v>
      </c>
      <c r="AY11" s="1484">
        <f t="shared" si="2"/>
        <v>0</v>
      </c>
      <c r="AZ11" s="1484">
        <f t="shared" si="2"/>
        <v>0</v>
      </c>
      <c r="BA11" s="1492">
        <f t="shared" si="2"/>
        <v>0</v>
      </c>
      <c r="BB11" s="1484">
        <f t="shared" si="2"/>
        <v>0</v>
      </c>
      <c r="BC11" s="1484">
        <f t="shared" si="2"/>
        <v>0</v>
      </c>
      <c r="BD11" s="1484">
        <f t="shared" si="2"/>
        <v>0</v>
      </c>
      <c r="BE11" s="1492">
        <f t="shared" si="2"/>
        <v>0</v>
      </c>
      <c r="BF11" s="1484">
        <f t="shared" si="2"/>
        <v>0</v>
      </c>
      <c r="BG11" s="1484">
        <f t="shared" si="2"/>
        <v>0</v>
      </c>
      <c r="BH11" s="1484">
        <f t="shared" si="2"/>
        <v>0</v>
      </c>
      <c r="BI11" s="1492">
        <f t="shared" si="2"/>
        <v>0</v>
      </c>
      <c r="BJ11" s="1484">
        <f t="shared" si="2"/>
        <v>0</v>
      </c>
      <c r="BK11" s="1484">
        <f t="shared" si="2"/>
        <v>0</v>
      </c>
      <c r="BL11" s="1484">
        <f t="shared" si="2"/>
        <v>0</v>
      </c>
      <c r="BM11" s="1492">
        <f t="shared" si="2"/>
        <v>0</v>
      </c>
      <c r="BN11" s="1484">
        <f t="shared" si="2"/>
        <v>0</v>
      </c>
      <c r="BO11" s="1484">
        <f t="shared" si="2"/>
        <v>0</v>
      </c>
      <c r="BP11" s="1484">
        <f t="shared" si="2"/>
        <v>0</v>
      </c>
      <c r="BQ11" s="1492">
        <f t="shared" si="2"/>
        <v>0</v>
      </c>
      <c r="BR11" s="1484">
        <f t="shared" si="2"/>
        <v>0</v>
      </c>
      <c r="BS11" s="1484">
        <f t="shared" si="2"/>
        <v>149.6</v>
      </c>
      <c r="BT11" s="1484">
        <f t="shared" si="2"/>
        <v>0</v>
      </c>
      <c r="BU11" s="1492">
        <f t="shared" si="2"/>
        <v>0</v>
      </c>
      <c r="BV11" s="1484">
        <f t="shared" si="2"/>
        <v>0</v>
      </c>
      <c r="BW11" s="1484">
        <f t="shared" si="2"/>
        <v>5679.7</v>
      </c>
      <c r="BX11" s="1484">
        <f t="shared" si="2"/>
        <v>0</v>
      </c>
      <c r="BY11" s="1492">
        <f t="shared" si="2"/>
        <v>0</v>
      </c>
      <c r="BZ11" s="1484">
        <f t="shared" si="2"/>
        <v>0</v>
      </c>
      <c r="CA11" s="1484">
        <f t="shared" si="2"/>
        <v>1896.5</v>
      </c>
      <c r="CB11" s="1484">
        <f t="shared" si="2"/>
        <v>0</v>
      </c>
      <c r="CC11" s="1492">
        <f t="shared" si="2"/>
        <v>0</v>
      </c>
      <c r="CD11" s="1484">
        <f t="shared" si="2"/>
        <v>0</v>
      </c>
      <c r="CE11" s="1484">
        <f t="shared" si="2"/>
        <v>0</v>
      </c>
      <c r="CF11" s="1484">
        <f t="shared" si="2"/>
        <v>0</v>
      </c>
      <c r="CG11" s="1497"/>
      <c r="CH11" s="1492">
        <f t="shared" si="2"/>
        <v>0</v>
      </c>
      <c r="CI11" s="1484">
        <f t="shared" si="2"/>
        <v>0</v>
      </c>
      <c r="CJ11" s="1484">
        <f t="shared" si="2"/>
        <v>7576.1999999999989</v>
      </c>
      <c r="CK11" s="1484">
        <f t="shared" si="2"/>
        <v>0</v>
      </c>
    </row>
    <row r="12" spans="1:103" ht="30.5" customHeight="1" x14ac:dyDescent="0.15">
      <c r="A12" s="827" t="s">
        <v>1099</v>
      </c>
      <c r="B12" s="1482" t="s">
        <v>79</v>
      </c>
      <c r="C12" s="1482" t="s">
        <v>195</v>
      </c>
      <c r="D12" s="1482" t="s">
        <v>196</v>
      </c>
      <c r="E12" s="1482" t="s">
        <v>1246</v>
      </c>
      <c r="F12" s="1482" t="s">
        <v>1247</v>
      </c>
      <c r="G12" s="1483"/>
      <c r="H12" s="1484">
        <f>H13+H14</f>
        <v>15302.000000000002</v>
      </c>
      <c r="I12" s="1484">
        <f t="shared" ref="I12:BT12" si="5">I13+I14</f>
        <v>0</v>
      </c>
      <c r="J12" s="1484">
        <f t="shared" si="5"/>
        <v>0</v>
      </c>
      <c r="K12" s="1484">
        <f t="shared" si="5"/>
        <v>0</v>
      </c>
      <c r="L12" s="1485"/>
      <c r="M12" s="1485"/>
      <c r="N12" s="1485"/>
      <c r="O12" s="1485"/>
      <c r="P12" s="1485"/>
      <c r="Q12" s="1485"/>
      <c r="R12" s="1485"/>
      <c r="S12" s="1485"/>
      <c r="T12" s="1486"/>
      <c r="U12" s="1487"/>
      <c r="V12" s="1487"/>
      <c r="W12" s="1488"/>
      <c r="X12" s="1488"/>
      <c r="Y12" s="1488"/>
      <c r="Z12" s="1489"/>
      <c r="AA12" s="1488"/>
      <c r="AB12" s="1488"/>
      <c r="AC12" s="1484">
        <f>AC13+AC14</f>
        <v>15301.999999999998</v>
      </c>
      <c r="AD12" s="1484">
        <f>AD13+AD14</f>
        <v>0</v>
      </c>
      <c r="AE12" s="1484">
        <f t="shared" si="5"/>
        <v>0</v>
      </c>
      <c r="AF12" s="1484">
        <f t="shared" si="5"/>
        <v>15301.999999999998</v>
      </c>
      <c r="AG12" s="1484">
        <f t="shared" si="5"/>
        <v>0</v>
      </c>
      <c r="AH12" s="1490">
        <f t="shared" si="4"/>
        <v>0</v>
      </c>
      <c r="AI12" s="1484">
        <f t="shared" si="5"/>
        <v>0</v>
      </c>
      <c r="AJ12" s="1484">
        <f t="shared" si="5"/>
        <v>0</v>
      </c>
      <c r="AK12" s="1484">
        <f t="shared" si="5"/>
        <v>0</v>
      </c>
      <c r="AL12" s="1484">
        <f t="shared" si="5"/>
        <v>0</v>
      </c>
      <c r="AM12" s="1484">
        <f t="shared" si="5"/>
        <v>0</v>
      </c>
      <c r="AN12" s="1492"/>
      <c r="AO12" s="1484">
        <f t="shared" si="5"/>
        <v>0</v>
      </c>
      <c r="AP12" s="1484">
        <f t="shared" si="5"/>
        <v>0</v>
      </c>
      <c r="AQ12" s="1484">
        <f t="shared" si="5"/>
        <v>0</v>
      </c>
      <c r="AR12" s="1484">
        <f t="shared" si="5"/>
        <v>0</v>
      </c>
      <c r="AS12" s="1489">
        <f t="shared" si="5"/>
        <v>0</v>
      </c>
      <c r="AT12" s="1484">
        <f t="shared" si="5"/>
        <v>0</v>
      </c>
      <c r="AU12" s="1484">
        <f t="shared" si="5"/>
        <v>0</v>
      </c>
      <c r="AV12" s="1484">
        <f t="shared" si="5"/>
        <v>0</v>
      </c>
      <c r="AW12" s="1484">
        <f t="shared" si="5"/>
        <v>0</v>
      </c>
      <c r="AX12" s="1484">
        <f t="shared" si="5"/>
        <v>0</v>
      </c>
      <c r="AY12" s="1484">
        <f t="shared" si="5"/>
        <v>0</v>
      </c>
      <c r="AZ12" s="1484">
        <f t="shared" si="5"/>
        <v>0</v>
      </c>
      <c r="BA12" s="1492">
        <f t="shared" si="5"/>
        <v>0</v>
      </c>
      <c r="BB12" s="1484">
        <f t="shared" si="5"/>
        <v>0</v>
      </c>
      <c r="BC12" s="1484">
        <f t="shared" si="5"/>
        <v>0</v>
      </c>
      <c r="BD12" s="1484">
        <f t="shared" si="5"/>
        <v>0</v>
      </c>
      <c r="BE12" s="1492">
        <f t="shared" si="5"/>
        <v>0</v>
      </c>
      <c r="BF12" s="1484">
        <f t="shared" si="5"/>
        <v>0</v>
      </c>
      <c r="BG12" s="1484">
        <f t="shared" si="5"/>
        <v>0</v>
      </c>
      <c r="BH12" s="1484">
        <f t="shared" si="5"/>
        <v>0</v>
      </c>
      <c r="BI12" s="1492">
        <f t="shared" si="5"/>
        <v>0</v>
      </c>
      <c r="BJ12" s="1484">
        <f t="shared" si="5"/>
        <v>0</v>
      </c>
      <c r="BK12" s="1484">
        <f t="shared" si="5"/>
        <v>0</v>
      </c>
      <c r="BL12" s="1484">
        <f t="shared" si="5"/>
        <v>0</v>
      </c>
      <c r="BM12" s="1492">
        <f t="shared" si="5"/>
        <v>0</v>
      </c>
      <c r="BN12" s="1484">
        <f t="shared" si="5"/>
        <v>0</v>
      </c>
      <c r="BO12" s="1484">
        <f t="shared" si="5"/>
        <v>0</v>
      </c>
      <c r="BP12" s="1484">
        <f t="shared" si="5"/>
        <v>0</v>
      </c>
      <c r="BQ12" s="1492">
        <f t="shared" si="5"/>
        <v>0</v>
      </c>
      <c r="BR12" s="1484">
        <f t="shared" si="5"/>
        <v>0</v>
      </c>
      <c r="BS12" s="1484">
        <f t="shared" si="5"/>
        <v>149.6</v>
      </c>
      <c r="BT12" s="1484">
        <f t="shared" si="5"/>
        <v>0</v>
      </c>
      <c r="BU12" s="1492">
        <f t="shared" ref="BU12:CK12" si="6">BU13+BU14</f>
        <v>0</v>
      </c>
      <c r="BV12" s="1484">
        <f t="shared" si="6"/>
        <v>0</v>
      </c>
      <c r="BW12" s="1484">
        <f t="shared" si="6"/>
        <v>5679.7</v>
      </c>
      <c r="BX12" s="1484">
        <f t="shared" si="6"/>
        <v>0</v>
      </c>
      <c r="BY12" s="1492">
        <f t="shared" si="6"/>
        <v>0</v>
      </c>
      <c r="BZ12" s="1484">
        <f t="shared" si="6"/>
        <v>0</v>
      </c>
      <c r="CA12" s="1484">
        <f t="shared" si="6"/>
        <v>1896.5</v>
      </c>
      <c r="CB12" s="1484">
        <f t="shared" si="6"/>
        <v>0</v>
      </c>
      <c r="CC12" s="1492">
        <f t="shared" si="6"/>
        <v>0</v>
      </c>
      <c r="CD12" s="1484">
        <f t="shared" si="6"/>
        <v>0</v>
      </c>
      <c r="CE12" s="1484">
        <f t="shared" si="6"/>
        <v>0</v>
      </c>
      <c r="CF12" s="1484">
        <f t="shared" si="6"/>
        <v>0</v>
      </c>
      <c r="CG12" s="1497"/>
      <c r="CH12" s="1492">
        <f t="shared" si="6"/>
        <v>0</v>
      </c>
      <c r="CI12" s="1484">
        <f t="shared" si="6"/>
        <v>0</v>
      </c>
      <c r="CJ12" s="1484">
        <f t="shared" si="6"/>
        <v>7576.1999999999989</v>
      </c>
      <c r="CK12" s="1484">
        <f t="shared" si="6"/>
        <v>0</v>
      </c>
    </row>
    <row r="13" spans="1:103" s="1514" customFormat="1" ht="30.5" customHeight="1" x14ac:dyDescent="0.15">
      <c r="A13" s="1498"/>
      <c r="B13" s="1499" t="s">
        <v>79</v>
      </c>
      <c r="C13" s="1499" t="s">
        <v>195</v>
      </c>
      <c r="D13" s="1499" t="s">
        <v>196</v>
      </c>
      <c r="E13" s="1499" t="s">
        <v>1246</v>
      </c>
      <c r="F13" s="1499" t="s">
        <v>1247</v>
      </c>
      <c r="G13" s="1500" t="s">
        <v>167</v>
      </c>
      <c r="H13" s="1501">
        <v>149.6</v>
      </c>
      <c r="I13" s="1502"/>
      <c r="J13" s="1502"/>
      <c r="K13" s="1502"/>
      <c r="L13" s="1503"/>
      <c r="M13" s="1503"/>
      <c r="N13" s="1503"/>
      <c r="O13" s="1503"/>
      <c r="P13" s="1503"/>
      <c r="Q13" s="1503"/>
      <c r="R13" s="1503"/>
      <c r="S13" s="1503"/>
      <c r="T13" s="1504"/>
      <c r="U13" s="1505"/>
      <c r="V13" s="1505"/>
      <c r="W13" s="1506"/>
      <c r="X13" s="1506"/>
      <c r="Y13" s="1506"/>
      <c r="Z13" s="1507"/>
      <c r="AA13" s="1506"/>
      <c r="AB13" s="1506"/>
      <c r="AC13" s="1508">
        <f>AF13</f>
        <v>149.6</v>
      </c>
      <c r="AD13" s="1509"/>
      <c r="AE13" s="1509">
        <f t="shared" ref="AE13:AG14" si="7">AP13+AT13+AX13+BB13+BF13+BJ13+BN13+BR13+BV13+BZ13+CD13+CI13</f>
        <v>0</v>
      </c>
      <c r="AF13" s="1509">
        <f t="shared" si="7"/>
        <v>149.6</v>
      </c>
      <c r="AG13" s="1509">
        <f t="shared" si="7"/>
        <v>0</v>
      </c>
      <c r="AH13" s="1490">
        <f t="shared" si="4"/>
        <v>0</v>
      </c>
      <c r="AI13" s="1510">
        <f>H13-AC13</f>
        <v>0</v>
      </c>
      <c r="AJ13" s="1510"/>
      <c r="AK13" s="1510"/>
      <c r="AL13" s="1510"/>
      <c r="AM13" s="1510"/>
      <c r="AN13" s="1511"/>
      <c r="AO13" s="1502"/>
      <c r="AP13" s="1502"/>
      <c r="AQ13" s="1502"/>
      <c r="AR13" s="1502"/>
      <c r="AS13" s="1507"/>
      <c r="AT13" s="1502"/>
      <c r="AU13" s="1502"/>
      <c r="AV13" s="1502"/>
      <c r="AW13" s="1507"/>
      <c r="AX13" s="1502"/>
      <c r="AY13" s="1502"/>
      <c r="AZ13" s="1502"/>
      <c r="BA13" s="1511"/>
      <c r="BB13" s="1502"/>
      <c r="BC13" s="1502"/>
      <c r="BD13" s="1502"/>
      <c r="BE13" s="1511"/>
      <c r="BF13" s="1502"/>
      <c r="BG13" s="1502"/>
      <c r="BH13" s="1502"/>
      <c r="BI13" s="1511"/>
      <c r="BJ13" s="1502"/>
      <c r="BK13" s="1502"/>
      <c r="BL13" s="1502"/>
      <c r="BM13" s="1511"/>
      <c r="BN13" s="1502"/>
      <c r="BO13" s="1502"/>
      <c r="BP13" s="1502"/>
      <c r="BQ13" s="1511"/>
      <c r="BR13" s="1502"/>
      <c r="BS13" s="1511">
        <v>149.6</v>
      </c>
      <c r="BT13" s="1502"/>
      <c r="BU13" s="1511"/>
      <c r="BV13" s="1502"/>
      <c r="BW13" s="1502"/>
      <c r="BX13" s="1502"/>
      <c r="BY13" s="1511"/>
      <c r="BZ13" s="1502"/>
      <c r="CA13" s="1502"/>
      <c r="CB13" s="1502"/>
      <c r="CC13" s="1511"/>
      <c r="CD13" s="1502"/>
      <c r="CE13" s="1502"/>
      <c r="CF13" s="1502"/>
      <c r="CG13" s="1512"/>
      <c r="CH13" s="1511"/>
      <c r="CI13" s="1502"/>
      <c r="CJ13" s="1502"/>
      <c r="CK13" s="1502"/>
      <c r="CL13" s="1513"/>
      <c r="CM13" s="1513"/>
      <c r="CN13" s="1513"/>
      <c r="CO13" s="1513"/>
      <c r="CP13" s="1513"/>
      <c r="CQ13" s="1513"/>
      <c r="CR13" s="1513"/>
      <c r="CS13" s="1513"/>
      <c r="CT13" s="1513"/>
      <c r="CU13" s="1513"/>
      <c r="CV13" s="1513"/>
      <c r="CW13" s="1513"/>
      <c r="CY13" s="1513"/>
    </row>
    <row r="14" spans="1:103" s="1514" customFormat="1" ht="30.5" customHeight="1" x14ac:dyDescent="0.15">
      <c r="A14" s="1498"/>
      <c r="B14" s="1499" t="s">
        <v>79</v>
      </c>
      <c r="C14" s="1499" t="s">
        <v>195</v>
      </c>
      <c r="D14" s="1499" t="s">
        <v>196</v>
      </c>
      <c r="E14" s="1499" t="s">
        <v>1246</v>
      </c>
      <c r="F14" s="1499" t="s">
        <v>768</v>
      </c>
      <c r="G14" s="1500" t="s">
        <v>766</v>
      </c>
      <c r="H14" s="1501">
        <f>21710.4-U14</f>
        <v>15152.400000000001</v>
      </c>
      <c r="I14" s="1502"/>
      <c r="J14" s="1502"/>
      <c r="K14" s="1502"/>
      <c r="L14" s="1503"/>
      <c r="M14" s="1503"/>
      <c r="N14" s="1503"/>
      <c r="O14" s="1503"/>
      <c r="P14" s="1503"/>
      <c r="Q14" s="1503"/>
      <c r="R14" s="1503"/>
      <c r="S14" s="1503"/>
      <c r="T14" s="1504"/>
      <c r="U14" s="1505">
        <v>6558</v>
      </c>
      <c r="V14" s="1505"/>
      <c r="W14" s="1506"/>
      <c r="X14" s="1506"/>
      <c r="Y14" s="1506"/>
      <c r="Z14" s="1507"/>
      <c r="AA14" s="1506"/>
      <c r="AB14" s="1506"/>
      <c r="AC14" s="1508">
        <f>AF14</f>
        <v>15152.399999999998</v>
      </c>
      <c r="AD14" s="1509"/>
      <c r="AE14" s="1509">
        <f t="shared" si="7"/>
        <v>0</v>
      </c>
      <c r="AF14" s="1509">
        <f t="shared" si="7"/>
        <v>15152.399999999998</v>
      </c>
      <c r="AG14" s="1509">
        <f t="shared" si="7"/>
        <v>0</v>
      </c>
      <c r="AH14" s="1490">
        <f t="shared" si="4"/>
        <v>0</v>
      </c>
      <c r="AI14" s="1510">
        <f>H14-AC14</f>
        <v>0</v>
      </c>
      <c r="AJ14" s="1510"/>
      <c r="AK14" s="1510"/>
      <c r="AL14" s="1510"/>
      <c r="AM14" s="1510"/>
      <c r="AN14" s="1511"/>
      <c r="AO14" s="1502"/>
      <c r="AP14" s="1502"/>
      <c r="AQ14" s="1511">
        <f>AQ17+AQ224</f>
        <v>0</v>
      </c>
      <c r="AR14" s="1502"/>
      <c r="AS14" s="1507"/>
      <c r="AT14" s="1502"/>
      <c r="AU14" s="1511">
        <f>AU17+AU224</f>
        <v>0</v>
      </c>
      <c r="AV14" s="1502"/>
      <c r="AW14" s="1507"/>
      <c r="AX14" s="1502"/>
      <c r="AY14" s="1511">
        <f>AY17+AY224</f>
        <v>0</v>
      </c>
      <c r="AZ14" s="1502"/>
      <c r="BA14" s="1511"/>
      <c r="BB14" s="1502"/>
      <c r="BC14" s="1511">
        <f>BC17+BC224</f>
        <v>0</v>
      </c>
      <c r="BD14" s="1502"/>
      <c r="BE14" s="1511"/>
      <c r="BF14" s="1502"/>
      <c r="BG14" s="1511">
        <f>BG17+BG224</f>
        <v>0</v>
      </c>
      <c r="BH14" s="1502"/>
      <c r="BI14" s="1511"/>
      <c r="BJ14" s="1502"/>
      <c r="BK14" s="1511">
        <f>BK17+BK224</f>
        <v>0</v>
      </c>
      <c r="BL14" s="1502"/>
      <c r="BM14" s="1511"/>
      <c r="BN14" s="1502"/>
      <c r="BO14" s="1511">
        <f>BO17+BO224</f>
        <v>0</v>
      </c>
      <c r="BP14" s="1502"/>
      <c r="BQ14" s="1511"/>
      <c r="BR14" s="1502"/>
      <c r="BS14" s="1511">
        <f>BS17+BS224</f>
        <v>0</v>
      </c>
      <c r="BT14" s="1502"/>
      <c r="BU14" s="1511"/>
      <c r="BV14" s="1502"/>
      <c r="BW14" s="1511">
        <f>BW17+BW224</f>
        <v>5679.7</v>
      </c>
      <c r="BX14" s="1502"/>
      <c r="BY14" s="1511"/>
      <c r="BZ14" s="1502"/>
      <c r="CA14" s="1511">
        <f>CA17+CA224</f>
        <v>1896.5</v>
      </c>
      <c r="CB14" s="1502"/>
      <c r="CC14" s="1511"/>
      <c r="CD14" s="1502"/>
      <c r="CE14" s="1511">
        <f>CE17+CE224</f>
        <v>0</v>
      </c>
      <c r="CF14" s="1502"/>
      <c r="CG14" s="1512"/>
      <c r="CH14" s="1511"/>
      <c r="CI14" s="1502"/>
      <c r="CJ14" s="1511">
        <f>CJ17+CJ224</f>
        <v>7576.1999999999989</v>
      </c>
      <c r="CK14" s="1502"/>
      <c r="CL14" s="1513"/>
      <c r="CM14" s="1513"/>
      <c r="CN14" s="1513"/>
      <c r="CO14" s="1513"/>
      <c r="CP14" s="1513"/>
      <c r="CQ14" s="1513"/>
      <c r="CR14" s="1513"/>
      <c r="CS14" s="1513"/>
      <c r="CT14" s="1513"/>
      <c r="CU14" s="1513"/>
      <c r="CV14" s="1513"/>
      <c r="CW14" s="1513"/>
      <c r="CY14" s="1513"/>
    </row>
    <row r="15" spans="1:103" s="1496" customFormat="1" x14ac:dyDescent="0.15">
      <c r="A15" s="1515" t="s">
        <v>761</v>
      </c>
      <c r="B15" s="1516" t="s">
        <v>79</v>
      </c>
      <c r="C15" s="1516" t="s">
        <v>100</v>
      </c>
      <c r="D15" s="1470"/>
      <c r="E15" s="1470"/>
      <c r="F15" s="1470"/>
      <c r="G15" s="1470"/>
      <c r="H15" s="1517">
        <f>H16+H217+H218+H219</f>
        <v>194035.21999999997</v>
      </c>
      <c r="I15" s="1517">
        <f t="shared" ref="I15:BX15" si="8">I16+I217+I218+I219+I220</f>
        <v>1650</v>
      </c>
      <c r="J15" s="1517">
        <f t="shared" si="8"/>
        <v>1612.0800000000002</v>
      </c>
      <c r="K15" s="1517">
        <f t="shared" si="8"/>
        <v>999.9</v>
      </c>
      <c r="L15" s="1518"/>
      <c r="M15" s="1518"/>
      <c r="N15" s="1518"/>
      <c r="O15" s="1518">
        <f t="shared" si="8"/>
        <v>0</v>
      </c>
      <c r="P15" s="1518"/>
      <c r="Q15" s="1518">
        <f t="shared" si="8"/>
        <v>0</v>
      </c>
      <c r="R15" s="1518">
        <f t="shared" si="8"/>
        <v>0</v>
      </c>
      <c r="S15" s="1518">
        <f t="shared" si="8"/>
        <v>0</v>
      </c>
      <c r="T15" s="1517">
        <f t="shared" si="8"/>
        <v>0</v>
      </c>
      <c r="U15" s="1517">
        <f t="shared" si="8"/>
        <v>0</v>
      </c>
      <c r="V15" s="1517">
        <f t="shared" si="8"/>
        <v>0</v>
      </c>
      <c r="W15" s="1517">
        <f t="shared" si="8"/>
        <v>0</v>
      </c>
      <c r="X15" s="1517">
        <f t="shared" si="8"/>
        <v>0</v>
      </c>
      <c r="Y15" s="1517">
        <f t="shared" si="8"/>
        <v>0</v>
      </c>
      <c r="Z15" s="1517">
        <f t="shared" si="8"/>
        <v>0</v>
      </c>
      <c r="AA15" s="1517">
        <f t="shared" si="8"/>
        <v>0</v>
      </c>
      <c r="AB15" s="1517">
        <f t="shared" si="8"/>
        <v>0</v>
      </c>
      <c r="AC15" s="1517">
        <f t="shared" si="8"/>
        <v>190875.21999999997</v>
      </c>
      <c r="AD15" s="1517">
        <f t="shared" si="8"/>
        <v>4261.9800000000005</v>
      </c>
      <c r="AE15" s="1517">
        <f t="shared" si="8"/>
        <v>1650</v>
      </c>
      <c r="AF15" s="1517">
        <f t="shared" si="8"/>
        <v>1612.0800000000002</v>
      </c>
      <c r="AG15" s="1517">
        <f t="shared" si="8"/>
        <v>999.9</v>
      </c>
      <c r="AH15" s="1517">
        <f t="shared" si="8"/>
        <v>0</v>
      </c>
      <c r="AI15" s="1517">
        <f t="shared" si="8"/>
        <v>10</v>
      </c>
      <c r="AJ15" s="1517">
        <f t="shared" si="8"/>
        <v>0</v>
      </c>
      <c r="AK15" s="1517">
        <f t="shared" si="8"/>
        <v>0</v>
      </c>
      <c r="AL15" s="1517">
        <f t="shared" si="8"/>
        <v>0</v>
      </c>
      <c r="AM15" s="1517">
        <f t="shared" si="8"/>
        <v>0</v>
      </c>
      <c r="AN15" s="1517">
        <f t="shared" si="8"/>
        <v>0</v>
      </c>
      <c r="AO15" s="1517">
        <f t="shared" si="8"/>
        <v>13492.000000000002</v>
      </c>
      <c r="AP15" s="1517">
        <f t="shared" si="8"/>
        <v>0</v>
      </c>
      <c r="AQ15" s="1517">
        <f t="shared" si="8"/>
        <v>0</v>
      </c>
      <c r="AR15" s="1517">
        <f t="shared" si="8"/>
        <v>0</v>
      </c>
      <c r="AS15" s="1517">
        <f t="shared" si="8"/>
        <v>13142.6</v>
      </c>
      <c r="AT15" s="1517">
        <f t="shared" si="8"/>
        <v>450</v>
      </c>
      <c r="AU15" s="1517">
        <f t="shared" si="8"/>
        <v>0</v>
      </c>
      <c r="AV15" s="1517">
        <f t="shared" si="8"/>
        <v>0</v>
      </c>
      <c r="AW15" s="1517">
        <f t="shared" si="8"/>
        <v>13479.9</v>
      </c>
      <c r="AX15" s="1517">
        <f t="shared" si="8"/>
        <v>0</v>
      </c>
      <c r="AY15" s="1517">
        <f t="shared" si="8"/>
        <v>0</v>
      </c>
      <c r="AZ15" s="1517">
        <f t="shared" si="8"/>
        <v>0</v>
      </c>
      <c r="BA15" s="1517">
        <f t="shared" si="8"/>
        <v>18725.830000000002</v>
      </c>
      <c r="BB15" s="1517">
        <f t="shared" si="8"/>
        <v>0</v>
      </c>
      <c r="BC15" s="1517">
        <f t="shared" si="8"/>
        <v>0</v>
      </c>
      <c r="BD15" s="1517">
        <f t="shared" si="8"/>
        <v>0</v>
      </c>
      <c r="BE15" s="1517">
        <f t="shared" si="8"/>
        <v>14102.68</v>
      </c>
      <c r="BF15" s="1517">
        <f t="shared" si="8"/>
        <v>0</v>
      </c>
      <c r="BG15" s="1517">
        <f t="shared" si="8"/>
        <v>0</v>
      </c>
      <c r="BH15" s="1517">
        <f t="shared" si="8"/>
        <v>0</v>
      </c>
      <c r="BI15" s="1517">
        <f t="shared" si="8"/>
        <v>26170.720000000005</v>
      </c>
      <c r="BJ15" s="1517">
        <f t="shared" si="8"/>
        <v>0</v>
      </c>
      <c r="BK15" s="1517">
        <f t="shared" si="8"/>
        <v>0</v>
      </c>
      <c r="BL15" s="1517">
        <f t="shared" si="8"/>
        <v>0</v>
      </c>
      <c r="BM15" s="1517">
        <f t="shared" si="8"/>
        <v>9663.5300000000007</v>
      </c>
      <c r="BN15" s="1517">
        <f t="shared" si="8"/>
        <v>1200</v>
      </c>
      <c r="BO15" s="1517">
        <f t="shared" si="8"/>
        <v>0</v>
      </c>
      <c r="BP15" s="1517">
        <f t="shared" si="8"/>
        <v>0</v>
      </c>
      <c r="BQ15" s="1517">
        <f t="shared" si="8"/>
        <v>13891.400000000003</v>
      </c>
      <c r="BR15" s="1517">
        <f t="shared" si="8"/>
        <v>0</v>
      </c>
      <c r="BS15" s="1517">
        <f t="shared" si="8"/>
        <v>0</v>
      </c>
      <c r="BT15" s="1517">
        <f t="shared" si="8"/>
        <v>0</v>
      </c>
      <c r="BU15" s="1517">
        <f t="shared" si="8"/>
        <v>15071.93</v>
      </c>
      <c r="BV15" s="1517">
        <f t="shared" si="8"/>
        <v>0</v>
      </c>
      <c r="BW15" s="1517">
        <f t="shared" si="8"/>
        <v>400</v>
      </c>
      <c r="BX15" s="1517">
        <f t="shared" si="8"/>
        <v>0</v>
      </c>
      <c r="BY15" s="1517">
        <f t="shared" ref="BY15:CK15" si="9">BY16+BY217+BY218+BY219+BY220</f>
        <v>18403.920000000002</v>
      </c>
      <c r="BZ15" s="1517">
        <f t="shared" si="9"/>
        <v>0</v>
      </c>
      <c r="CA15" s="1517">
        <f t="shared" si="9"/>
        <v>570</v>
      </c>
      <c r="CB15" s="1517">
        <f t="shared" si="9"/>
        <v>400</v>
      </c>
      <c r="CC15" s="1517">
        <f t="shared" si="9"/>
        <v>16116.160000000002</v>
      </c>
      <c r="CD15" s="1517">
        <f t="shared" si="9"/>
        <v>0</v>
      </c>
      <c r="CE15" s="1517">
        <f t="shared" si="9"/>
        <v>0</v>
      </c>
      <c r="CF15" s="1517">
        <f t="shared" si="9"/>
        <v>0</v>
      </c>
      <c r="CG15" s="1517">
        <f t="shared" si="9"/>
        <v>0</v>
      </c>
      <c r="CH15" s="1517">
        <f t="shared" si="9"/>
        <v>20114.549999999996</v>
      </c>
      <c r="CI15" s="1517">
        <f t="shared" si="9"/>
        <v>0</v>
      </c>
      <c r="CJ15" s="1517">
        <f t="shared" si="9"/>
        <v>642.07999999999993</v>
      </c>
      <c r="CK15" s="1517">
        <f t="shared" si="9"/>
        <v>599.9</v>
      </c>
      <c r="CL15" s="1519"/>
      <c r="CM15" s="1519">
        <f>CM16+CM217</f>
        <v>0</v>
      </c>
      <c r="CN15" s="1519">
        <f>CN16+CN217</f>
        <v>0</v>
      </c>
      <c r="CO15" s="1520"/>
      <c r="CP15" s="1520"/>
      <c r="CQ15" s="1520"/>
      <c r="CR15" s="1520"/>
      <c r="CS15" s="1520"/>
      <c r="CT15" s="1520"/>
      <c r="CU15" s="1520"/>
      <c r="CV15" s="1520"/>
      <c r="CW15" s="1520"/>
      <c r="CY15" s="1495"/>
    </row>
    <row r="16" spans="1:103" s="1527" customFormat="1" ht="26" x14ac:dyDescent="0.15">
      <c r="A16" s="1521" t="s">
        <v>1125</v>
      </c>
      <c r="B16" s="1522" t="s">
        <v>79</v>
      </c>
      <c r="C16" s="1522" t="s">
        <v>100</v>
      </c>
      <c r="D16" s="1522"/>
      <c r="E16" s="1522"/>
      <c r="F16" s="1522">
        <v>600</v>
      </c>
      <c r="G16" s="1523"/>
      <c r="H16" s="1502">
        <f>H17+H31</f>
        <v>191347.21999999997</v>
      </c>
      <c r="I16" s="1502">
        <f t="shared" ref="I16:CK16" si="10">I17+I31</f>
        <v>1650</v>
      </c>
      <c r="J16" s="1502">
        <f>J17+J31</f>
        <v>1612.0800000000002</v>
      </c>
      <c r="K16" s="1502">
        <f t="shared" si="10"/>
        <v>999.9</v>
      </c>
      <c r="L16" s="1503"/>
      <c r="M16" s="1503"/>
      <c r="N16" s="1503"/>
      <c r="O16" s="1503"/>
      <c r="P16" s="1503"/>
      <c r="Q16" s="1503"/>
      <c r="R16" s="1503"/>
      <c r="S16" s="1503"/>
      <c r="T16" s="1504"/>
      <c r="U16" s="1505"/>
      <c r="V16" s="1505"/>
      <c r="W16" s="1506"/>
      <c r="X16" s="1506"/>
      <c r="Y16" s="1506"/>
      <c r="Z16" s="1507"/>
      <c r="AA16" s="1506"/>
      <c r="AB16" s="1506"/>
      <c r="AC16" s="1524">
        <f t="shared" ref="AC16:AI16" si="11">AC17+AC31</f>
        <v>188197.21999999997</v>
      </c>
      <c r="AD16" s="1524">
        <f t="shared" si="11"/>
        <v>4261.9800000000005</v>
      </c>
      <c r="AE16" s="1524">
        <f t="shared" si="11"/>
        <v>1650</v>
      </c>
      <c r="AF16" s="1524">
        <f t="shared" si="11"/>
        <v>1612.0800000000002</v>
      </c>
      <c r="AG16" s="1524">
        <f t="shared" si="11"/>
        <v>999.9</v>
      </c>
      <c r="AH16" s="1524">
        <f t="shared" si="11"/>
        <v>0</v>
      </c>
      <c r="AI16" s="1524">
        <f t="shared" si="11"/>
        <v>0</v>
      </c>
      <c r="AJ16" s="1510">
        <f t="shared" si="10"/>
        <v>0</v>
      </c>
      <c r="AK16" s="1510">
        <f t="shared" si="10"/>
        <v>0</v>
      </c>
      <c r="AL16" s="1510">
        <f t="shared" si="10"/>
        <v>0</v>
      </c>
      <c r="AM16" s="1510">
        <f t="shared" si="10"/>
        <v>0</v>
      </c>
      <c r="AN16" s="1511"/>
      <c r="AO16" s="1524">
        <f t="shared" si="10"/>
        <v>13492.000000000002</v>
      </c>
      <c r="AP16" s="1524">
        <f t="shared" si="10"/>
        <v>0</v>
      </c>
      <c r="AQ16" s="1524">
        <f t="shared" si="10"/>
        <v>0</v>
      </c>
      <c r="AR16" s="1524">
        <f t="shared" si="10"/>
        <v>0</v>
      </c>
      <c r="AS16" s="1507">
        <f t="shared" si="10"/>
        <v>13142.6</v>
      </c>
      <c r="AT16" s="1524">
        <f t="shared" si="10"/>
        <v>450</v>
      </c>
      <c r="AU16" s="1524">
        <f t="shared" si="10"/>
        <v>0</v>
      </c>
      <c r="AV16" s="1524">
        <f t="shared" si="10"/>
        <v>0</v>
      </c>
      <c r="AW16" s="1507">
        <f t="shared" si="10"/>
        <v>12943.9</v>
      </c>
      <c r="AX16" s="1524">
        <f t="shared" si="10"/>
        <v>0</v>
      </c>
      <c r="AY16" s="1524">
        <f t="shared" si="10"/>
        <v>0</v>
      </c>
      <c r="AZ16" s="1524">
        <f t="shared" si="10"/>
        <v>0</v>
      </c>
      <c r="BA16" s="1511">
        <f t="shared" si="10"/>
        <v>18725.830000000002</v>
      </c>
      <c r="BB16" s="1524">
        <f t="shared" si="10"/>
        <v>0</v>
      </c>
      <c r="BC16" s="1524">
        <f t="shared" si="10"/>
        <v>0</v>
      </c>
      <c r="BD16" s="1524">
        <f t="shared" si="10"/>
        <v>0</v>
      </c>
      <c r="BE16" s="1511">
        <f t="shared" si="10"/>
        <v>14102.68</v>
      </c>
      <c r="BF16" s="1524">
        <f t="shared" si="10"/>
        <v>0</v>
      </c>
      <c r="BG16" s="1524">
        <f t="shared" si="10"/>
        <v>0</v>
      </c>
      <c r="BH16" s="1524">
        <f t="shared" si="10"/>
        <v>0</v>
      </c>
      <c r="BI16" s="1511">
        <f t="shared" si="10"/>
        <v>26170.720000000005</v>
      </c>
      <c r="BJ16" s="1524">
        <f t="shared" si="10"/>
        <v>0</v>
      </c>
      <c r="BK16" s="1524">
        <f t="shared" si="10"/>
        <v>0</v>
      </c>
      <c r="BL16" s="1524">
        <f t="shared" si="10"/>
        <v>0</v>
      </c>
      <c r="BM16" s="1511">
        <f t="shared" si="10"/>
        <v>9163.5300000000007</v>
      </c>
      <c r="BN16" s="1524">
        <f t="shared" si="10"/>
        <v>1200</v>
      </c>
      <c r="BO16" s="1524">
        <f t="shared" si="10"/>
        <v>0</v>
      </c>
      <c r="BP16" s="1524">
        <f t="shared" si="10"/>
        <v>0</v>
      </c>
      <c r="BQ16" s="1511">
        <f t="shared" si="10"/>
        <v>13891.400000000003</v>
      </c>
      <c r="BR16" s="1524">
        <f t="shared" si="10"/>
        <v>0</v>
      </c>
      <c r="BS16" s="1524">
        <f t="shared" si="10"/>
        <v>0</v>
      </c>
      <c r="BT16" s="1524">
        <f t="shared" si="10"/>
        <v>0</v>
      </c>
      <c r="BU16" s="1511">
        <f t="shared" si="10"/>
        <v>15071.93</v>
      </c>
      <c r="BV16" s="1524">
        <f t="shared" si="10"/>
        <v>0</v>
      </c>
      <c r="BW16" s="1524">
        <f t="shared" si="10"/>
        <v>400</v>
      </c>
      <c r="BX16" s="1524">
        <f t="shared" si="10"/>
        <v>0</v>
      </c>
      <c r="BY16" s="1511">
        <f t="shared" si="10"/>
        <v>18413.920000000002</v>
      </c>
      <c r="BZ16" s="1524">
        <f t="shared" si="10"/>
        <v>0</v>
      </c>
      <c r="CA16" s="1524">
        <f t="shared" si="10"/>
        <v>570</v>
      </c>
      <c r="CB16" s="1524">
        <f t="shared" si="10"/>
        <v>400</v>
      </c>
      <c r="CC16" s="1511">
        <f t="shared" si="10"/>
        <v>16116.160000000002</v>
      </c>
      <c r="CD16" s="1524">
        <f t="shared" si="10"/>
        <v>0</v>
      </c>
      <c r="CE16" s="1524">
        <f t="shared" si="10"/>
        <v>0</v>
      </c>
      <c r="CF16" s="1524">
        <f t="shared" si="10"/>
        <v>0</v>
      </c>
      <c r="CG16" s="1525"/>
      <c r="CH16" s="1511">
        <f t="shared" si="10"/>
        <v>16962.549999999996</v>
      </c>
      <c r="CI16" s="1524">
        <f t="shared" si="10"/>
        <v>0</v>
      </c>
      <c r="CJ16" s="1524">
        <f t="shared" si="10"/>
        <v>642.07999999999993</v>
      </c>
      <c r="CK16" s="1524">
        <f t="shared" si="10"/>
        <v>599.9</v>
      </c>
      <c r="CL16" s="1526"/>
      <c r="CM16" s="1526"/>
      <c r="CN16" s="1526"/>
      <c r="CO16" s="1526"/>
      <c r="CP16" s="1526"/>
      <c r="CQ16" s="1526"/>
      <c r="CR16" s="1526"/>
      <c r="CS16" s="1526"/>
      <c r="CT16" s="1526"/>
      <c r="CU16" s="1526"/>
      <c r="CV16" s="1526"/>
      <c r="CW16" s="1526"/>
      <c r="CY16" s="1526"/>
    </row>
    <row r="17" spans="1:104" s="1496" customFormat="1" ht="57" customHeight="1" x14ac:dyDescent="0.15">
      <c r="A17" s="1528" t="s">
        <v>764</v>
      </c>
      <c r="B17" s="1529"/>
      <c r="C17" s="1529"/>
      <c r="D17" s="1530"/>
      <c r="E17" s="1530"/>
      <c r="F17" s="1530" t="s">
        <v>765</v>
      </c>
      <c r="G17" s="1530" t="s">
        <v>766</v>
      </c>
      <c r="H17" s="1517">
        <f>H18+H19+H20+H21+H22+H23+H24+H25+H26+H27+H28+H29+H30</f>
        <v>188197.21999999997</v>
      </c>
      <c r="I17" s="1531">
        <f t="shared" ref="I17:CK17" si="12">I18+I19+I20+I21+I22+I23+I24+I25+I26+I27+I28+I29+I30</f>
        <v>1650</v>
      </c>
      <c r="J17" s="1531">
        <f t="shared" si="12"/>
        <v>1612.0800000000002</v>
      </c>
      <c r="K17" s="1531">
        <f t="shared" si="12"/>
        <v>999.9</v>
      </c>
      <c r="L17" s="1531">
        <f t="shared" si="12"/>
        <v>0</v>
      </c>
      <c r="M17" s="1531">
        <f t="shared" si="12"/>
        <v>0</v>
      </c>
      <c r="N17" s="1531">
        <f t="shared" si="12"/>
        <v>150</v>
      </c>
      <c r="O17" s="1531">
        <f t="shared" si="12"/>
        <v>0</v>
      </c>
      <c r="P17" s="1531">
        <f t="shared" si="12"/>
        <v>0</v>
      </c>
      <c r="Q17" s="1531">
        <f t="shared" si="12"/>
        <v>0</v>
      </c>
      <c r="R17" s="1531">
        <f t="shared" si="12"/>
        <v>0</v>
      </c>
      <c r="S17" s="1531">
        <f t="shared" si="12"/>
        <v>2292</v>
      </c>
      <c r="T17" s="1532">
        <f t="shared" si="12"/>
        <v>16528.900000000001</v>
      </c>
      <c r="U17" s="1533"/>
      <c r="V17" s="1533"/>
      <c r="W17" s="1534"/>
      <c r="X17" s="1534"/>
      <c r="Y17" s="1534"/>
      <c r="Z17" s="1535"/>
      <c r="AA17" s="1534"/>
      <c r="AB17" s="1534"/>
      <c r="AC17" s="1536">
        <f t="shared" ref="AC17:AI17" si="13">AC18+AC19+AC20+AC21+AC22+AC23+AC24+AC25+AC26+AC27+AC28+AC29+AC30</f>
        <v>188197.21999999997</v>
      </c>
      <c r="AD17" s="1536">
        <f t="shared" si="13"/>
        <v>4261.9800000000005</v>
      </c>
      <c r="AE17" s="1536">
        <f t="shared" si="13"/>
        <v>1650</v>
      </c>
      <c r="AF17" s="1536">
        <f t="shared" si="13"/>
        <v>1612.0800000000002</v>
      </c>
      <c r="AG17" s="1536">
        <f t="shared" si="13"/>
        <v>999.9</v>
      </c>
      <c r="AH17" s="1536">
        <f t="shared" si="13"/>
        <v>0</v>
      </c>
      <c r="AI17" s="1536">
        <f t="shared" si="13"/>
        <v>0</v>
      </c>
      <c r="AJ17" s="1537">
        <f t="shared" si="12"/>
        <v>0</v>
      </c>
      <c r="AK17" s="1537">
        <f t="shared" si="12"/>
        <v>0</v>
      </c>
      <c r="AL17" s="1537">
        <f t="shared" si="12"/>
        <v>0</v>
      </c>
      <c r="AM17" s="1537">
        <f t="shared" si="12"/>
        <v>0</v>
      </c>
      <c r="AN17" s="1538"/>
      <c r="AO17" s="1536">
        <f t="shared" si="12"/>
        <v>13492.000000000002</v>
      </c>
      <c r="AP17" s="1536">
        <f t="shared" si="12"/>
        <v>0</v>
      </c>
      <c r="AQ17" s="1536">
        <f t="shared" si="12"/>
        <v>0</v>
      </c>
      <c r="AR17" s="1536">
        <f t="shared" si="12"/>
        <v>0</v>
      </c>
      <c r="AS17" s="1535">
        <f t="shared" si="12"/>
        <v>13142.6</v>
      </c>
      <c r="AT17" s="1536">
        <f t="shared" si="12"/>
        <v>450</v>
      </c>
      <c r="AU17" s="1536">
        <f t="shared" si="12"/>
        <v>0</v>
      </c>
      <c r="AV17" s="1536">
        <f t="shared" si="12"/>
        <v>0</v>
      </c>
      <c r="AW17" s="1535">
        <f t="shared" si="12"/>
        <v>12943.9</v>
      </c>
      <c r="AX17" s="1536">
        <f t="shared" si="12"/>
        <v>0</v>
      </c>
      <c r="AY17" s="1536">
        <f t="shared" si="12"/>
        <v>0</v>
      </c>
      <c r="AZ17" s="1536">
        <f t="shared" si="12"/>
        <v>0</v>
      </c>
      <c r="BA17" s="1538">
        <f t="shared" si="12"/>
        <v>18725.830000000002</v>
      </c>
      <c r="BB17" s="1536">
        <f t="shared" si="12"/>
        <v>0</v>
      </c>
      <c r="BC17" s="1536">
        <f t="shared" si="12"/>
        <v>0</v>
      </c>
      <c r="BD17" s="1536">
        <f t="shared" si="12"/>
        <v>0</v>
      </c>
      <c r="BE17" s="1539">
        <f t="shared" si="12"/>
        <v>14102.68</v>
      </c>
      <c r="BF17" s="1536">
        <f t="shared" si="12"/>
        <v>0</v>
      </c>
      <c r="BG17" s="1536">
        <f t="shared" si="12"/>
        <v>0</v>
      </c>
      <c r="BH17" s="1536">
        <f t="shared" si="12"/>
        <v>0</v>
      </c>
      <c r="BI17" s="1538">
        <f t="shared" si="12"/>
        <v>26170.720000000005</v>
      </c>
      <c r="BJ17" s="1536">
        <f t="shared" si="12"/>
        <v>0</v>
      </c>
      <c r="BK17" s="1536">
        <f t="shared" si="12"/>
        <v>0</v>
      </c>
      <c r="BL17" s="1536">
        <f t="shared" si="12"/>
        <v>0</v>
      </c>
      <c r="BM17" s="1538">
        <f t="shared" si="12"/>
        <v>9163.5300000000007</v>
      </c>
      <c r="BN17" s="1536">
        <f t="shared" si="12"/>
        <v>1200</v>
      </c>
      <c r="BO17" s="1536">
        <f t="shared" si="12"/>
        <v>0</v>
      </c>
      <c r="BP17" s="1536">
        <f t="shared" si="12"/>
        <v>0</v>
      </c>
      <c r="BQ17" s="1538">
        <f t="shared" si="12"/>
        <v>13891.400000000003</v>
      </c>
      <c r="BR17" s="1536">
        <f t="shared" si="12"/>
        <v>0</v>
      </c>
      <c r="BS17" s="1536">
        <f t="shared" si="12"/>
        <v>0</v>
      </c>
      <c r="BT17" s="1536">
        <f t="shared" si="12"/>
        <v>0</v>
      </c>
      <c r="BU17" s="1538">
        <f t="shared" si="12"/>
        <v>15071.93</v>
      </c>
      <c r="BV17" s="1536">
        <f t="shared" si="12"/>
        <v>0</v>
      </c>
      <c r="BW17" s="1536">
        <f t="shared" si="12"/>
        <v>400</v>
      </c>
      <c r="BX17" s="1536">
        <f t="shared" si="12"/>
        <v>0</v>
      </c>
      <c r="BY17" s="1538">
        <f t="shared" si="12"/>
        <v>18413.920000000002</v>
      </c>
      <c r="BZ17" s="1536">
        <f t="shared" si="12"/>
        <v>0</v>
      </c>
      <c r="CA17" s="1536">
        <f t="shared" si="12"/>
        <v>570</v>
      </c>
      <c r="CB17" s="1536">
        <f t="shared" si="12"/>
        <v>400</v>
      </c>
      <c r="CC17" s="1538">
        <f t="shared" si="12"/>
        <v>16116.160000000002</v>
      </c>
      <c r="CD17" s="1536">
        <f t="shared" si="12"/>
        <v>0</v>
      </c>
      <c r="CE17" s="1536">
        <f t="shared" si="12"/>
        <v>0</v>
      </c>
      <c r="CF17" s="1536">
        <f t="shared" si="12"/>
        <v>0</v>
      </c>
      <c r="CG17" s="1540"/>
      <c r="CH17" s="1538">
        <f t="shared" si="12"/>
        <v>16962.549999999996</v>
      </c>
      <c r="CI17" s="1536">
        <f t="shared" si="12"/>
        <v>0</v>
      </c>
      <c r="CJ17" s="1536">
        <f t="shared" si="12"/>
        <v>642.07999999999993</v>
      </c>
      <c r="CK17" s="1536">
        <f t="shared" si="12"/>
        <v>599.9</v>
      </c>
      <c r="CL17" s="1495"/>
      <c r="CM17" s="1495"/>
      <c r="CN17" s="1495"/>
      <c r="CO17" s="1495"/>
      <c r="CP17" s="1495"/>
      <c r="CQ17" s="1495"/>
      <c r="CR17" s="1495"/>
      <c r="CS17" s="1495"/>
      <c r="CT17" s="1495"/>
      <c r="CU17" s="1495"/>
      <c r="CV17" s="1495"/>
      <c r="CW17" s="1495"/>
      <c r="CY17" s="1495"/>
    </row>
    <row r="18" spans="1:104" s="1496" customFormat="1" x14ac:dyDescent="0.15">
      <c r="A18" s="1541" t="s">
        <v>78</v>
      </c>
      <c r="B18" s="1523" t="s">
        <v>79</v>
      </c>
      <c r="C18" s="1523" t="s">
        <v>100</v>
      </c>
      <c r="D18" s="1523"/>
      <c r="E18" s="1523"/>
      <c r="F18" s="1523"/>
      <c r="G18" s="1523">
        <v>211</v>
      </c>
      <c r="H18" s="1502">
        <f t="shared" ref="H18:BS23" si="14">H37+H120+H203</f>
        <v>127537.5</v>
      </c>
      <c r="I18" s="1502">
        <f t="shared" si="14"/>
        <v>0</v>
      </c>
      <c r="J18" s="1502">
        <f t="shared" si="14"/>
        <v>0</v>
      </c>
      <c r="K18" s="1502">
        <f t="shared" si="14"/>
        <v>0</v>
      </c>
      <c r="L18" s="1502">
        <f t="shared" si="14"/>
        <v>0</v>
      </c>
      <c r="M18" s="1502">
        <f t="shared" si="14"/>
        <v>0</v>
      </c>
      <c r="N18" s="1502">
        <f t="shared" si="14"/>
        <v>0</v>
      </c>
      <c r="O18" s="1502">
        <f t="shared" si="14"/>
        <v>0</v>
      </c>
      <c r="P18" s="1502">
        <f t="shared" si="14"/>
        <v>0</v>
      </c>
      <c r="Q18" s="1502">
        <f t="shared" si="14"/>
        <v>0</v>
      </c>
      <c r="R18" s="1502">
        <f t="shared" si="14"/>
        <v>0</v>
      </c>
      <c r="S18" s="1502">
        <f t="shared" si="14"/>
        <v>0</v>
      </c>
      <c r="T18" s="1524">
        <f>T37+T120+T203+63</f>
        <v>12709.6</v>
      </c>
      <c r="U18" s="1505"/>
      <c r="V18" s="1505"/>
      <c r="W18" s="1506">
        <f>H18/12*11</f>
        <v>116909.375</v>
      </c>
      <c r="X18" s="1506">
        <f>AC18</f>
        <v>127537.5</v>
      </c>
      <c r="Y18" s="1506">
        <f>X18-W18</f>
        <v>10628.125</v>
      </c>
      <c r="Z18" s="1507">
        <f>T18/12*11</f>
        <v>11650.466666666667</v>
      </c>
      <c r="AA18" s="1506">
        <f>Z18+Y18</f>
        <v>22278.591666666667</v>
      </c>
      <c r="AB18" s="1506"/>
      <c r="AC18" s="1524">
        <f t="shared" ref="AC18:AI30" si="15">AC37+AC120+AC203</f>
        <v>127537.5</v>
      </c>
      <c r="AD18" s="1524">
        <f t="shared" si="15"/>
        <v>0</v>
      </c>
      <c r="AE18" s="1524">
        <f t="shared" si="15"/>
        <v>0</v>
      </c>
      <c r="AF18" s="1524">
        <f t="shared" si="15"/>
        <v>0</v>
      </c>
      <c r="AG18" s="1524">
        <f t="shared" si="15"/>
        <v>0</v>
      </c>
      <c r="AH18" s="1524">
        <f t="shared" si="15"/>
        <v>0</v>
      </c>
      <c r="AI18" s="1524">
        <f t="shared" si="15"/>
        <v>0</v>
      </c>
      <c r="AJ18" s="1510">
        <f t="shared" si="14"/>
        <v>0</v>
      </c>
      <c r="AK18" s="1510">
        <f t="shared" si="14"/>
        <v>0</v>
      </c>
      <c r="AL18" s="1510">
        <f t="shared" si="14"/>
        <v>0</v>
      </c>
      <c r="AM18" s="1510">
        <f t="shared" si="14"/>
        <v>0</v>
      </c>
      <c r="AN18" s="1511"/>
      <c r="AO18" s="1524">
        <f t="shared" si="14"/>
        <v>9568.9599999999991</v>
      </c>
      <c r="AP18" s="1524">
        <f t="shared" si="14"/>
        <v>0</v>
      </c>
      <c r="AQ18" s="1524">
        <f t="shared" si="14"/>
        <v>0</v>
      </c>
      <c r="AR18" s="1524">
        <f t="shared" si="14"/>
        <v>0</v>
      </c>
      <c r="AS18" s="1507">
        <f t="shared" si="14"/>
        <v>9569.4600000000009</v>
      </c>
      <c r="AT18" s="1524">
        <f t="shared" si="14"/>
        <v>0</v>
      </c>
      <c r="AU18" s="1524">
        <f t="shared" si="14"/>
        <v>0</v>
      </c>
      <c r="AV18" s="1524">
        <f t="shared" si="14"/>
        <v>0</v>
      </c>
      <c r="AW18" s="1507">
        <f t="shared" si="14"/>
        <v>9569</v>
      </c>
      <c r="AX18" s="1524">
        <f t="shared" si="14"/>
        <v>0</v>
      </c>
      <c r="AY18" s="1524">
        <f t="shared" si="14"/>
        <v>0</v>
      </c>
      <c r="AZ18" s="1524">
        <f t="shared" si="14"/>
        <v>0</v>
      </c>
      <c r="BA18" s="1511">
        <f t="shared" si="14"/>
        <v>9569</v>
      </c>
      <c r="BB18" s="1524">
        <f t="shared" si="14"/>
        <v>0</v>
      </c>
      <c r="BC18" s="1524">
        <f t="shared" si="14"/>
        <v>0</v>
      </c>
      <c r="BD18" s="1524">
        <f t="shared" si="14"/>
        <v>0</v>
      </c>
      <c r="BE18" s="1511">
        <f t="shared" si="14"/>
        <v>9569</v>
      </c>
      <c r="BF18" s="1524">
        <f t="shared" si="14"/>
        <v>0</v>
      </c>
      <c r="BG18" s="1524">
        <f t="shared" si="14"/>
        <v>0</v>
      </c>
      <c r="BH18" s="1524">
        <f t="shared" si="14"/>
        <v>0</v>
      </c>
      <c r="BI18" s="1511">
        <f t="shared" si="14"/>
        <v>18759.920000000002</v>
      </c>
      <c r="BJ18" s="1524">
        <f t="shared" si="14"/>
        <v>0</v>
      </c>
      <c r="BK18" s="1524">
        <f t="shared" si="14"/>
        <v>0</v>
      </c>
      <c r="BL18" s="1524">
        <f t="shared" si="14"/>
        <v>0</v>
      </c>
      <c r="BM18" s="1511">
        <f t="shared" si="14"/>
        <v>6150.29</v>
      </c>
      <c r="BN18" s="1524">
        <f t="shared" si="14"/>
        <v>0</v>
      </c>
      <c r="BO18" s="1524">
        <f t="shared" si="14"/>
        <v>0</v>
      </c>
      <c r="BP18" s="1524">
        <f t="shared" si="14"/>
        <v>0</v>
      </c>
      <c r="BQ18" s="1511">
        <f t="shared" si="14"/>
        <v>9569.0300000000007</v>
      </c>
      <c r="BR18" s="1524">
        <f t="shared" si="14"/>
        <v>0</v>
      </c>
      <c r="BS18" s="1524">
        <f t="shared" si="14"/>
        <v>0</v>
      </c>
      <c r="BT18" s="1524">
        <f t="shared" ref="BT18:CF18" si="16">BT37+BT120+BT203</f>
        <v>0</v>
      </c>
      <c r="BU18" s="1511">
        <f t="shared" si="16"/>
        <v>8125.81</v>
      </c>
      <c r="BV18" s="1524">
        <f t="shared" si="16"/>
        <v>0</v>
      </c>
      <c r="BW18" s="1524">
        <f t="shared" si="16"/>
        <v>0</v>
      </c>
      <c r="BX18" s="1524">
        <f t="shared" si="16"/>
        <v>0</v>
      </c>
      <c r="BY18" s="1511">
        <f t="shared" si="16"/>
        <v>14351.2</v>
      </c>
      <c r="BZ18" s="1524">
        <f t="shared" si="16"/>
        <v>0</v>
      </c>
      <c r="CA18" s="1524">
        <f t="shared" si="16"/>
        <v>0</v>
      </c>
      <c r="CB18" s="1524">
        <f t="shared" si="16"/>
        <v>0</v>
      </c>
      <c r="CC18" s="1511">
        <f t="shared" si="16"/>
        <v>11999.850000000002</v>
      </c>
      <c r="CD18" s="1524">
        <f t="shared" si="16"/>
        <v>0</v>
      </c>
      <c r="CE18" s="1524">
        <f t="shared" si="16"/>
        <v>0</v>
      </c>
      <c r="CF18" s="1524">
        <f t="shared" si="16"/>
        <v>0</v>
      </c>
      <c r="CG18" s="1525"/>
      <c r="CH18" s="1511">
        <f t="shared" ref="CH18:CK30" si="17">CH37+CH120+CH203</f>
        <v>10735.980000000001</v>
      </c>
      <c r="CI18" s="1524">
        <f t="shared" si="17"/>
        <v>0</v>
      </c>
      <c r="CJ18" s="1524">
        <f t="shared" si="17"/>
        <v>0</v>
      </c>
      <c r="CK18" s="1524">
        <f t="shared" si="17"/>
        <v>0</v>
      </c>
      <c r="CL18" s="1495"/>
      <c r="CM18" s="1495"/>
      <c r="CN18" s="1495"/>
      <c r="CO18" s="1495"/>
      <c r="CP18" s="1495"/>
      <c r="CQ18" s="1495"/>
      <c r="CR18" s="1495"/>
      <c r="CS18" s="1495"/>
      <c r="CT18" s="1495"/>
      <c r="CU18" s="1495"/>
      <c r="CV18" s="1495"/>
      <c r="CW18" s="1495"/>
      <c r="CY18" s="1495">
        <f>H18+H20+H225+H227</f>
        <v>842154.38</v>
      </c>
      <c r="CZ18" s="1496">
        <f>CY18/12</f>
        <v>70179.531666666662</v>
      </c>
    </row>
    <row r="19" spans="1:104" s="1496" customFormat="1" x14ac:dyDescent="0.15">
      <c r="A19" s="1541" t="s">
        <v>83</v>
      </c>
      <c r="B19" s="1523" t="s">
        <v>79</v>
      </c>
      <c r="C19" s="1523" t="s">
        <v>100</v>
      </c>
      <c r="D19" s="1523"/>
      <c r="E19" s="1523"/>
      <c r="F19" s="1523"/>
      <c r="G19" s="1523">
        <v>212</v>
      </c>
      <c r="H19" s="1502">
        <f t="shared" si="14"/>
        <v>353.99999999999994</v>
      </c>
      <c r="I19" s="1502">
        <f t="shared" si="14"/>
        <v>0</v>
      </c>
      <c r="J19" s="1502">
        <f t="shared" si="14"/>
        <v>0</v>
      </c>
      <c r="K19" s="1502">
        <f t="shared" si="14"/>
        <v>0</v>
      </c>
      <c r="L19" s="1502">
        <f t="shared" si="14"/>
        <v>0</v>
      </c>
      <c r="M19" s="1502">
        <f t="shared" si="14"/>
        <v>0</v>
      </c>
      <c r="N19" s="1502">
        <f t="shared" si="14"/>
        <v>0</v>
      </c>
      <c r="O19" s="1502">
        <f t="shared" si="14"/>
        <v>0</v>
      </c>
      <c r="P19" s="1502">
        <f t="shared" si="14"/>
        <v>0</v>
      </c>
      <c r="Q19" s="1502">
        <f t="shared" si="14"/>
        <v>0</v>
      </c>
      <c r="R19" s="1502">
        <f t="shared" si="14"/>
        <v>0</v>
      </c>
      <c r="S19" s="1502">
        <f t="shared" si="14"/>
        <v>0</v>
      </c>
      <c r="T19" s="1504"/>
      <c r="U19" s="1505"/>
      <c r="V19" s="1505"/>
      <c r="W19" s="1506"/>
      <c r="X19" s="1506"/>
      <c r="Y19" s="1506"/>
      <c r="Z19" s="1507"/>
      <c r="AA19" s="1506"/>
      <c r="AB19" s="1506"/>
      <c r="AC19" s="1524">
        <f t="shared" si="15"/>
        <v>353.99999999999994</v>
      </c>
      <c r="AD19" s="1524">
        <f t="shared" si="15"/>
        <v>0</v>
      </c>
      <c r="AE19" s="1524">
        <f t="shared" si="15"/>
        <v>0</v>
      </c>
      <c r="AF19" s="1524">
        <f t="shared" si="15"/>
        <v>0</v>
      </c>
      <c r="AG19" s="1524">
        <f t="shared" si="15"/>
        <v>0</v>
      </c>
      <c r="AH19" s="1524">
        <f t="shared" si="15"/>
        <v>0</v>
      </c>
      <c r="AI19" s="1524">
        <f t="shared" si="15"/>
        <v>0</v>
      </c>
      <c r="AJ19" s="1510">
        <f t="shared" si="14"/>
        <v>0</v>
      </c>
      <c r="AK19" s="1510">
        <f t="shared" si="14"/>
        <v>0</v>
      </c>
      <c r="AL19" s="1510">
        <f t="shared" si="14"/>
        <v>0</v>
      </c>
      <c r="AM19" s="1510">
        <f t="shared" si="14"/>
        <v>0</v>
      </c>
      <c r="AN19" s="1511"/>
      <c r="AO19" s="1524">
        <f t="shared" si="14"/>
        <v>62.199999999999996</v>
      </c>
      <c r="AP19" s="1524">
        <f t="shared" si="14"/>
        <v>0</v>
      </c>
      <c r="AQ19" s="1524">
        <f t="shared" si="14"/>
        <v>0</v>
      </c>
      <c r="AR19" s="1524">
        <f t="shared" si="14"/>
        <v>0</v>
      </c>
      <c r="AS19" s="1507">
        <f t="shared" si="14"/>
        <v>0</v>
      </c>
      <c r="AT19" s="1524">
        <f t="shared" si="14"/>
        <v>0</v>
      </c>
      <c r="AU19" s="1524">
        <f t="shared" si="14"/>
        <v>0</v>
      </c>
      <c r="AV19" s="1524">
        <f t="shared" si="14"/>
        <v>0</v>
      </c>
      <c r="AW19" s="1507">
        <f t="shared" si="14"/>
        <v>0</v>
      </c>
      <c r="AX19" s="1524">
        <f t="shared" si="14"/>
        <v>0</v>
      </c>
      <c r="AY19" s="1524">
        <f t="shared" si="14"/>
        <v>0</v>
      </c>
      <c r="AZ19" s="1524">
        <f t="shared" si="14"/>
        <v>0</v>
      </c>
      <c r="BA19" s="1511">
        <f t="shared" si="14"/>
        <v>0</v>
      </c>
      <c r="BB19" s="1524">
        <f t="shared" si="14"/>
        <v>0</v>
      </c>
      <c r="BC19" s="1524">
        <f t="shared" si="14"/>
        <v>0</v>
      </c>
      <c r="BD19" s="1524">
        <f t="shared" si="14"/>
        <v>0</v>
      </c>
      <c r="BE19" s="1511">
        <f t="shared" si="14"/>
        <v>0</v>
      </c>
      <c r="BF19" s="1524">
        <f t="shared" si="14"/>
        <v>0</v>
      </c>
      <c r="BG19" s="1524">
        <f t="shared" si="14"/>
        <v>0</v>
      </c>
      <c r="BH19" s="1524">
        <f t="shared" si="14"/>
        <v>0</v>
      </c>
      <c r="BI19" s="1511">
        <f t="shared" si="14"/>
        <v>0</v>
      </c>
      <c r="BJ19" s="1524">
        <f t="shared" si="14"/>
        <v>0</v>
      </c>
      <c r="BK19" s="1524">
        <f t="shared" si="14"/>
        <v>0</v>
      </c>
      <c r="BL19" s="1524">
        <f t="shared" si="14"/>
        <v>0</v>
      </c>
      <c r="BM19" s="1511">
        <f t="shared" si="14"/>
        <v>0</v>
      </c>
      <c r="BN19" s="1524">
        <f t="shared" si="14"/>
        <v>0</v>
      </c>
      <c r="BO19" s="1524">
        <f t="shared" si="14"/>
        <v>0</v>
      </c>
      <c r="BP19" s="1524">
        <f t="shared" si="14"/>
        <v>0</v>
      </c>
      <c r="BQ19" s="1511">
        <f t="shared" si="14"/>
        <v>20</v>
      </c>
      <c r="BR19" s="1524">
        <f t="shared" si="14"/>
        <v>0</v>
      </c>
      <c r="BS19" s="1524">
        <f t="shared" si="14"/>
        <v>0</v>
      </c>
      <c r="BT19" s="1524">
        <f t="shared" ref="BT19:CF19" si="18">BT38+BT121+BT204</f>
        <v>0</v>
      </c>
      <c r="BU19" s="1511">
        <f t="shared" si="18"/>
        <v>205.89999999999998</v>
      </c>
      <c r="BV19" s="1524">
        <f t="shared" si="18"/>
        <v>0</v>
      </c>
      <c r="BW19" s="1524">
        <f t="shared" si="18"/>
        <v>0</v>
      </c>
      <c r="BX19" s="1524">
        <f t="shared" si="18"/>
        <v>0</v>
      </c>
      <c r="BY19" s="1511">
        <f t="shared" si="18"/>
        <v>0</v>
      </c>
      <c r="BZ19" s="1524">
        <f t="shared" si="18"/>
        <v>0</v>
      </c>
      <c r="CA19" s="1524">
        <f t="shared" si="18"/>
        <v>0</v>
      </c>
      <c r="CB19" s="1524">
        <f t="shared" si="18"/>
        <v>0</v>
      </c>
      <c r="CC19" s="1511">
        <f t="shared" si="18"/>
        <v>0</v>
      </c>
      <c r="CD19" s="1524">
        <f t="shared" si="18"/>
        <v>0</v>
      </c>
      <c r="CE19" s="1524">
        <f t="shared" si="18"/>
        <v>0</v>
      </c>
      <c r="CF19" s="1524">
        <f t="shared" si="18"/>
        <v>0</v>
      </c>
      <c r="CG19" s="1525"/>
      <c r="CH19" s="1511">
        <f t="shared" si="17"/>
        <v>65.900000000000006</v>
      </c>
      <c r="CI19" s="1524">
        <f t="shared" si="17"/>
        <v>0</v>
      </c>
      <c r="CJ19" s="1524">
        <f t="shared" si="17"/>
        <v>0</v>
      </c>
      <c r="CK19" s="1524">
        <f t="shared" si="17"/>
        <v>0</v>
      </c>
      <c r="CL19" s="1495"/>
      <c r="CM19" s="1495"/>
      <c r="CN19" s="1495"/>
      <c r="CO19" s="1495"/>
      <c r="CP19" s="1495"/>
      <c r="CQ19" s="1495"/>
      <c r="CR19" s="1495"/>
      <c r="CS19" s="1495"/>
      <c r="CT19" s="1495"/>
      <c r="CU19" s="1495"/>
      <c r="CV19" s="1495"/>
      <c r="CW19" s="1495"/>
      <c r="CY19" s="1495"/>
    </row>
    <row r="20" spans="1:104" s="1496" customFormat="1" x14ac:dyDescent="0.15">
      <c r="A20" s="1541" t="s">
        <v>84</v>
      </c>
      <c r="B20" s="1523" t="s">
        <v>79</v>
      </c>
      <c r="C20" s="1523" t="s">
        <v>100</v>
      </c>
      <c r="D20" s="1523"/>
      <c r="E20" s="1523"/>
      <c r="F20" s="1523"/>
      <c r="G20" s="1523">
        <v>213</v>
      </c>
      <c r="H20" s="1502">
        <f t="shared" si="14"/>
        <v>38516.5</v>
      </c>
      <c r="I20" s="1502">
        <f t="shared" si="14"/>
        <v>0</v>
      </c>
      <c r="J20" s="1502">
        <f t="shared" si="14"/>
        <v>0</v>
      </c>
      <c r="K20" s="1502">
        <f t="shared" si="14"/>
        <v>0</v>
      </c>
      <c r="L20" s="1502">
        <f t="shared" si="14"/>
        <v>0</v>
      </c>
      <c r="M20" s="1502">
        <f t="shared" si="14"/>
        <v>0</v>
      </c>
      <c r="N20" s="1502">
        <f t="shared" si="14"/>
        <v>0</v>
      </c>
      <c r="O20" s="1502">
        <f t="shared" si="14"/>
        <v>0</v>
      </c>
      <c r="P20" s="1502">
        <f t="shared" si="14"/>
        <v>0</v>
      </c>
      <c r="Q20" s="1502">
        <f t="shared" si="14"/>
        <v>0</v>
      </c>
      <c r="R20" s="1502">
        <f t="shared" si="14"/>
        <v>0</v>
      </c>
      <c r="S20" s="1502">
        <f t="shared" si="14"/>
        <v>0</v>
      </c>
      <c r="T20" s="1524">
        <f t="shared" si="14"/>
        <v>3819.2999999999997</v>
      </c>
      <c r="U20" s="1505"/>
      <c r="V20" s="1505"/>
      <c r="W20" s="1506">
        <f>H20/12*11</f>
        <v>35306.791666666672</v>
      </c>
      <c r="X20" s="1506">
        <f>AC20</f>
        <v>38516.5</v>
      </c>
      <c r="Y20" s="1506">
        <f>X20-W20</f>
        <v>3209.7083333333285</v>
      </c>
      <c r="Z20" s="1507">
        <f>T20/12*11</f>
        <v>3501.0249999999996</v>
      </c>
      <c r="AA20" s="1506">
        <f>Z20+Y20</f>
        <v>6710.7333333333281</v>
      </c>
      <c r="AB20" s="1506"/>
      <c r="AC20" s="1524">
        <f t="shared" si="15"/>
        <v>38516.5</v>
      </c>
      <c r="AD20" s="1524">
        <f t="shared" si="15"/>
        <v>0</v>
      </c>
      <c r="AE20" s="1524">
        <f t="shared" si="15"/>
        <v>0</v>
      </c>
      <c r="AF20" s="1524">
        <f t="shared" si="15"/>
        <v>0</v>
      </c>
      <c r="AG20" s="1524">
        <f t="shared" si="15"/>
        <v>0</v>
      </c>
      <c r="AH20" s="1524">
        <f t="shared" si="15"/>
        <v>0</v>
      </c>
      <c r="AI20" s="1524">
        <f t="shared" si="15"/>
        <v>0</v>
      </c>
      <c r="AJ20" s="1510">
        <f t="shared" si="14"/>
        <v>0</v>
      </c>
      <c r="AK20" s="1510">
        <f t="shared" si="14"/>
        <v>0</v>
      </c>
      <c r="AL20" s="1510">
        <f t="shared" si="14"/>
        <v>0</v>
      </c>
      <c r="AM20" s="1510">
        <f t="shared" si="14"/>
        <v>0</v>
      </c>
      <c r="AN20" s="1511"/>
      <c r="AO20" s="1524">
        <f t="shared" si="14"/>
        <v>2889.95</v>
      </c>
      <c r="AP20" s="1524">
        <f t="shared" si="14"/>
        <v>0</v>
      </c>
      <c r="AQ20" s="1524">
        <f t="shared" si="14"/>
        <v>0</v>
      </c>
      <c r="AR20" s="1524">
        <f t="shared" si="14"/>
        <v>0</v>
      </c>
      <c r="AS20" s="1507">
        <f t="shared" si="14"/>
        <v>2890.14</v>
      </c>
      <c r="AT20" s="1524">
        <f t="shared" si="14"/>
        <v>0</v>
      </c>
      <c r="AU20" s="1524">
        <f t="shared" si="14"/>
        <v>0</v>
      </c>
      <c r="AV20" s="1524">
        <f t="shared" si="14"/>
        <v>0</v>
      </c>
      <c r="AW20" s="1507">
        <f t="shared" si="14"/>
        <v>2889.9</v>
      </c>
      <c r="AX20" s="1524">
        <f t="shared" si="14"/>
        <v>0</v>
      </c>
      <c r="AY20" s="1524">
        <f t="shared" si="14"/>
        <v>0</v>
      </c>
      <c r="AZ20" s="1524">
        <f t="shared" si="14"/>
        <v>0</v>
      </c>
      <c r="BA20" s="1511">
        <f t="shared" si="14"/>
        <v>2889.83</v>
      </c>
      <c r="BB20" s="1524">
        <f t="shared" si="14"/>
        <v>0</v>
      </c>
      <c r="BC20" s="1524">
        <f t="shared" si="14"/>
        <v>0</v>
      </c>
      <c r="BD20" s="1524">
        <f t="shared" si="14"/>
        <v>0</v>
      </c>
      <c r="BE20" s="1511">
        <f t="shared" si="14"/>
        <v>2889.83</v>
      </c>
      <c r="BF20" s="1524">
        <f t="shared" si="14"/>
        <v>0</v>
      </c>
      <c r="BG20" s="1524">
        <f t="shared" si="14"/>
        <v>0</v>
      </c>
      <c r="BH20" s="1524">
        <f t="shared" si="14"/>
        <v>0</v>
      </c>
      <c r="BI20" s="1511">
        <f t="shared" si="14"/>
        <v>4509.6000000000004</v>
      </c>
      <c r="BJ20" s="1524">
        <f t="shared" si="14"/>
        <v>0</v>
      </c>
      <c r="BK20" s="1524">
        <f t="shared" si="14"/>
        <v>0</v>
      </c>
      <c r="BL20" s="1524">
        <f t="shared" si="14"/>
        <v>0</v>
      </c>
      <c r="BM20" s="1511">
        <f t="shared" si="14"/>
        <v>3013.2400000000002</v>
      </c>
      <c r="BN20" s="1524">
        <f t="shared" si="14"/>
        <v>0</v>
      </c>
      <c r="BO20" s="1524">
        <f t="shared" si="14"/>
        <v>0</v>
      </c>
      <c r="BP20" s="1524">
        <f t="shared" si="14"/>
        <v>0</v>
      </c>
      <c r="BQ20" s="1511">
        <f t="shared" si="14"/>
        <v>2889.87</v>
      </c>
      <c r="BR20" s="1524">
        <f t="shared" si="14"/>
        <v>0</v>
      </c>
      <c r="BS20" s="1524">
        <f t="shared" si="14"/>
        <v>0</v>
      </c>
      <c r="BT20" s="1524">
        <f t="shared" ref="BT20:CF20" si="19">BT39+BT122+BT205</f>
        <v>0</v>
      </c>
      <c r="BU20" s="1511">
        <f t="shared" si="19"/>
        <v>2454.1000000000004</v>
      </c>
      <c r="BV20" s="1524">
        <f t="shared" si="19"/>
        <v>0</v>
      </c>
      <c r="BW20" s="1524">
        <f t="shared" si="19"/>
        <v>0</v>
      </c>
      <c r="BX20" s="1524">
        <f t="shared" si="19"/>
        <v>0</v>
      </c>
      <c r="BY20" s="1511">
        <f t="shared" si="19"/>
        <v>3761.0199999999995</v>
      </c>
      <c r="BZ20" s="1524">
        <f t="shared" si="19"/>
        <v>0</v>
      </c>
      <c r="CA20" s="1524">
        <f t="shared" si="19"/>
        <v>0</v>
      </c>
      <c r="CB20" s="1524">
        <f t="shared" si="19"/>
        <v>0</v>
      </c>
      <c r="CC20" s="1511">
        <f t="shared" si="19"/>
        <v>4116.3099999999995</v>
      </c>
      <c r="CD20" s="1524">
        <f t="shared" si="19"/>
        <v>0</v>
      </c>
      <c r="CE20" s="1524">
        <f t="shared" si="19"/>
        <v>0</v>
      </c>
      <c r="CF20" s="1524">
        <f t="shared" si="19"/>
        <v>0</v>
      </c>
      <c r="CG20" s="1525"/>
      <c r="CH20" s="1511">
        <f t="shared" si="17"/>
        <v>3322.71</v>
      </c>
      <c r="CI20" s="1524">
        <f t="shared" si="17"/>
        <v>0</v>
      </c>
      <c r="CJ20" s="1524">
        <f t="shared" si="17"/>
        <v>0</v>
      </c>
      <c r="CK20" s="1524">
        <f t="shared" si="17"/>
        <v>0</v>
      </c>
      <c r="CL20" s="1495"/>
      <c r="CM20" s="1495"/>
      <c r="CN20" s="1495"/>
      <c r="CO20" s="1495"/>
      <c r="CP20" s="1495"/>
      <c r="CQ20" s="1495"/>
      <c r="CR20" s="1495"/>
      <c r="CS20" s="1495"/>
      <c r="CT20" s="1495"/>
      <c r="CU20" s="1495"/>
      <c r="CV20" s="1495"/>
      <c r="CW20" s="1495"/>
      <c r="CY20" s="1495"/>
    </row>
    <row r="21" spans="1:104" s="1496" customFormat="1" x14ac:dyDescent="0.15">
      <c r="A21" s="1541" t="s">
        <v>85</v>
      </c>
      <c r="B21" s="1523" t="s">
        <v>79</v>
      </c>
      <c r="C21" s="1523" t="s">
        <v>100</v>
      </c>
      <c r="D21" s="1523"/>
      <c r="E21" s="1523"/>
      <c r="F21" s="1523"/>
      <c r="G21" s="1523">
        <v>221</v>
      </c>
      <c r="H21" s="1502">
        <f t="shared" si="14"/>
        <v>141.65</v>
      </c>
      <c r="I21" s="1502">
        <f t="shared" si="14"/>
        <v>0</v>
      </c>
      <c r="J21" s="1502">
        <f t="shared" si="14"/>
        <v>0</v>
      </c>
      <c r="K21" s="1502">
        <f t="shared" si="14"/>
        <v>0</v>
      </c>
      <c r="L21" s="1502">
        <f t="shared" si="14"/>
        <v>0</v>
      </c>
      <c r="M21" s="1502">
        <f t="shared" si="14"/>
        <v>0</v>
      </c>
      <c r="N21" s="1502">
        <f t="shared" si="14"/>
        <v>0</v>
      </c>
      <c r="O21" s="1502">
        <f t="shared" si="14"/>
        <v>0</v>
      </c>
      <c r="P21" s="1502">
        <f t="shared" si="14"/>
        <v>0</v>
      </c>
      <c r="Q21" s="1502">
        <f t="shared" si="14"/>
        <v>0</v>
      </c>
      <c r="R21" s="1502">
        <f t="shared" si="14"/>
        <v>0</v>
      </c>
      <c r="S21" s="1502">
        <f t="shared" si="14"/>
        <v>0</v>
      </c>
      <c r="T21" s="1504"/>
      <c r="U21" s="1505"/>
      <c r="V21" s="1505"/>
      <c r="W21" s="1506"/>
      <c r="X21" s="1506"/>
      <c r="Y21" s="1506"/>
      <c r="Z21" s="1507"/>
      <c r="AA21" s="1506"/>
      <c r="AB21" s="1506"/>
      <c r="AC21" s="1524">
        <f t="shared" si="15"/>
        <v>141.65</v>
      </c>
      <c r="AD21" s="1524">
        <f t="shared" si="15"/>
        <v>0</v>
      </c>
      <c r="AE21" s="1524">
        <f t="shared" si="15"/>
        <v>0</v>
      </c>
      <c r="AF21" s="1524">
        <f t="shared" si="15"/>
        <v>0</v>
      </c>
      <c r="AG21" s="1524">
        <f t="shared" si="15"/>
        <v>0</v>
      </c>
      <c r="AH21" s="1524">
        <f t="shared" si="15"/>
        <v>0</v>
      </c>
      <c r="AI21" s="1524">
        <f t="shared" si="15"/>
        <v>0</v>
      </c>
      <c r="AJ21" s="1510">
        <f t="shared" si="14"/>
        <v>0</v>
      </c>
      <c r="AK21" s="1510">
        <f t="shared" si="14"/>
        <v>0</v>
      </c>
      <c r="AL21" s="1510">
        <f t="shared" si="14"/>
        <v>0</v>
      </c>
      <c r="AM21" s="1510">
        <f t="shared" si="14"/>
        <v>0</v>
      </c>
      <c r="AN21" s="1511"/>
      <c r="AO21" s="1524">
        <f t="shared" si="14"/>
        <v>12.1</v>
      </c>
      <c r="AP21" s="1524">
        <f t="shared" si="14"/>
        <v>0</v>
      </c>
      <c r="AQ21" s="1524">
        <f t="shared" si="14"/>
        <v>0</v>
      </c>
      <c r="AR21" s="1524">
        <f t="shared" si="14"/>
        <v>0</v>
      </c>
      <c r="AS21" s="1507">
        <f t="shared" si="14"/>
        <v>0</v>
      </c>
      <c r="AT21" s="1524">
        <f t="shared" si="14"/>
        <v>0</v>
      </c>
      <c r="AU21" s="1524">
        <f t="shared" si="14"/>
        <v>0</v>
      </c>
      <c r="AV21" s="1524">
        <f t="shared" si="14"/>
        <v>0</v>
      </c>
      <c r="AW21" s="1507">
        <f t="shared" si="14"/>
        <v>0</v>
      </c>
      <c r="AX21" s="1524">
        <f t="shared" si="14"/>
        <v>0</v>
      </c>
      <c r="AY21" s="1524">
        <f t="shared" si="14"/>
        <v>0</v>
      </c>
      <c r="AZ21" s="1524">
        <f t="shared" si="14"/>
        <v>0</v>
      </c>
      <c r="BA21" s="1511">
        <f t="shared" si="14"/>
        <v>0</v>
      </c>
      <c r="BB21" s="1524">
        <f t="shared" si="14"/>
        <v>0</v>
      </c>
      <c r="BC21" s="1524">
        <f t="shared" si="14"/>
        <v>0</v>
      </c>
      <c r="BD21" s="1524">
        <f t="shared" si="14"/>
        <v>0</v>
      </c>
      <c r="BE21" s="1511">
        <f t="shared" si="14"/>
        <v>0</v>
      </c>
      <c r="BF21" s="1524">
        <f t="shared" si="14"/>
        <v>0</v>
      </c>
      <c r="BG21" s="1524">
        <f t="shared" si="14"/>
        <v>0</v>
      </c>
      <c r="BH21" s="1524">
        <f t="shared" si="14"/>
        <v>0</v>
      </c>
      <c r="BI21" s="1511">
        <f t="shared" si="14"/>
        <v>0</v>
      </c>
      <c r="BJ21" s="1524">
        <f t="shared" si="14"/>
        <v>0</v>
      </c>
      <c r="BK21" s="1524">
        <f t="shared" si="14"/>
        <v>0</v>
      </c>
      <c r="BL21" s="1524">
        <f t="shared" si="14"/>
        <v>0</v>
      </c>
      <c r="BM21" s="1511">
        <f t="shared" si="14"/>
        <v>0</v>
      </c>
      <c r="BN21" s="1524">
        <f t="shared" si="14"/>
        <v>0</v>
      </c>
      <c r="BO21" s="1524">
        <f t="shared" si="14"/>
        <v>0</v>
      </c>
      <c r="BP21" s="1524">
        <f t="shared" si="14"/>
        <v>0</v>
      </c>
      <c r="BQ21" s="1511">
        <f t="shared" si="14"/>
        <v>12.6</v>
      </c>
      <c r="BR21" s="1524">
        <f t="shared" si="14"/>
        <v>0</v>
      </c>
      <c r="BS21" s="1524">
        <f t="shared" si="14"/>
        <v>0</v>
      </c>
      <c r="BT21" s="1524">
        <f t="shared" ref="BT21:CF21" si="20">BT40+BT123+BT206</f>
        <v>0</v>
      </c>
      <c r="BU21" s="1511">
        <f t="shared" si="20"/>
        <v>74.55</v>
      </c>
      <c r="BV21" s="1524">
        <f t="shared" si="20"/>
        <v>0</v>
      </c>
      <c r="BW21" s="1524">
        <f t="shared" si="20"/>
        <v>0</v>
      </c>
      <c r="BX21" s="1524">
        <f t="shared" si="20"/>
        <v>0</v>
      </c>
      <c r="BY21" s="1511">
        <f t="shared" si="20"/>
        <v>0</v>
      </c>
      <c r="BZ21" s="1524">
        <f t="shared" si="20"/>
        <v>0</v>
      </c>
      <c r="CA21" s="1524">
        <f t="shared" si="20"/>
        <v>0</v>
      </c>
      <c r="CB21" s="1524">
        <f t="shared" si="20"/>
        <v>0</v>
      </c>
      <c r="CC21" s="1511">
        <f t="shared" si="20"/>
        <v>0</v>
      </c>
      <c r="CD21" s="1524">
        <f t="shared" si="20"/>
        <v>0</v>
      </c>
      <c r="CE21" s="1524">
        <f t="shared" si="20"/>
        <v>0</v>
      </c>
      <c r="CF21" s="1524">
        <f t="shared" si="20"/>
        <v>0</v>
      </c>
      <c r="CG21" s="1525"/>
      <c r="CH21" s="1511">
        <f t="shared" si="17"/>
        <v>42.400000000000006</v>
      </c>
      <c r="CI21" s="1524">
        <f t="shared" si="17"/>
        <v>0</v>
      </c>
      <c r="CJ21" s="1524">
        <f t="shared" si="17"/>
        <v>0</v>
      </c>
      <c r="CK21" s="1524">
        <f t="shared" si="17"/>
        <v>0</v>
      </c>
      <c r="CL21" s="1495"/>
      <c r="CM21" s="1495"/>
      <c r="CN21" s="1495"/>
      <c r="CO21" s="1495"/>
      <c r="CP21" s="1495"/>
      <c r="CQ21" s="1495"/>
      <c r="CR21" s="1495"/>
      <c r="CS21" s="1495"/>
      <c r="CT21" s="1495"/>
      <c r="CU21" s="1495"/>
      <c r="CV21" s="1495"/>
      <c r="CW21" s="1495"/>
      <c r="CY21" s="1495"/>
    </row>
    <row r="22" spans="1:104" s="1496" customFormat="1" x14ac:dyDescent="0.15">
      <c r="A22" s="1541" t="s">
        <v>86</v>
      </c>
      <c r="B22" s="1523" t="s">
        <v>79</v>
      </c>
      <c r="C22" s="1523" t="s">
        <v>100</v>
      </c>
      <c r="D22" s="1523"/>
      <c r="E22" s="1523"/>
      <c r="F22" s="1523"/>
      <c r="G22" s="1523">
        <v>222</v>
      </c>
      <c r="H22" s="1502">
        <f t="shared" si="14"/>
        <v>59.224000000000004</v>
      </c>
      <c r="I22" s="1502">
        <f t="shared" si="14"/>
        <v>142</v>
      </c>
      <c r="J22" s="1502">
        <f t="shared" si="14"/>
        <v>0</v>
      </c>
      <c r="K22" s="1502">
        <f t="shared" si="14"/>
        <v>0</v>
      </c>
      <c r="L22" s="1502">
        <f t="shared" si="14"/>
        <v>0</v>
      </c>
      <c r="M22" s="1502">
        <f t="shared" si="14"/>
        <v>0</v>
      </c>
      <c r="N22" s="1502">
        <f t="shared" si="14"/>
        <v>0</v>
      </c>
      <c r="O22" s="1502">
        <f t="shared" si="14"/>
        <v>0</v>
      </c>
      <c r="P22" s="1502">
        <f t="shared" si="14"/>
        <v>0</v>
      </c>
      <c r="Q22" s="1502">
        <f t="shared" si="14"/>
        <v>0</v>
      </c>
      <c r="R22" s="1502">
        <f t="shared" si="14"/>
        <v>0</v>
      </c>
      <c r="S22" s="1502">
        <f t="shared" si="14"/>
        <v>0</v>
      </c>
      <c r="T22" s="1504"/>
      <c r="U22" s="1505"/>
      <c r="V22" s="1505"/>
      <c r="W22" s="1506"/>
      <c r="X22" s="1506"/>
      <c r="Y22" s="1506"/>
      <c r="Z22" s="1507"/>
      <c r="AA22" s="1506"/>
      <c r="AB22" s="1506"/>
      <c r="AC22" s="1524">
        <f t="shared" si="15"/>
        <v>59.224000000000004</v>
      </c>
      <c r="AD22" s="1524">
        <f t="shared" si="15"/>
        <v>142</v>
      </c>
      <c r="AE22" s="1524">
        <f t="shared" si="15"/>
        <v>142</v>
      </c>
      <c r="AF22" s="1524">
        <f t="shared" si="15"/>
        <v>0</v>
      </c>
      <c r="AG22" s="1524">
        <f t="shared" si="15"/>
        <v>0</v>
      </c>
      <c r="AH22" s="1524">
        <f t="shared" si="15"/>
        <v>0</v>
      </c>
      <c r="AI22" s="1524">
        <f t="shared" si="15"/>
        <v>0</v>
      </c>
      <c r="AJ22" s="1510">
        <f t="shared" si="14"/>
        <v>0</v>
      </c>
      <c r="AK22" s="1510">
        <f t="shared" si="14"/>
        <v>0</v>
      </c>
      <c r="AL22" s="1510">
        <f t="shared" si="14"/>
        <v>0</v>
      </c>
      <c r="AM22" s="1510">
        <f t="shared" si="14"/>
        <v>0</v>
      </c>
      <c r="AN22" s="1511"/>
      <c r="AO22" s="1524">
        <f t="shared" si="14"/>
        <v>19.2</v>
      </c>
      <c r="AP22" s="1524">
        <f t="shared" si="14"/>
        <v>0</v>
      </c>
      <c r="AQ22" s="1524">
        <f t="shared" si="14"/>
        <v>0</v>
      </c>
      <c r="AR22" s="1524">
        <f t="shared" si="14"/>
        <v>0</v>
      </c>
      <c r="AS22" s="1507">
        <f t="shared" si="14"/>
        <v>0</v>
      </c>
      <c r="AT22" s="1524">
        <f t="shared" si="14"/>
        <v>142</v>
      </c>
      <c r="AU22" s="1524">
        <f t="shared" si="14"/>
        <v>0</v>
      </c>
      <c r="AV22" s="1524">
        <f t="shared" si="14"/>
        <v>0</v>
      </c>
      <c r="AW22" s="1507">
        <f t="shared" si="14"/>
        <v>0</v>
      </c>
      <c r="AX22" s="1524">
        <f t="shared" si="14"/>
        <v>0</v>
      </c>
      <c r="AY22" s="1524">
        <f t="shared" si="14"/>
        <v>0</v>
      </c>
      <c r="AZ22" s="1524">
        <f t="shared" si="14"/>
        <v>0</v>
      </c>
      <c r="BA22" s="1511">
        <f t="shared" si="14"/>
        <v>0</v>
      </c>
      <c r="BB22" s="1524">
        <f t="shared" si="14"/>
        <v>0</v>
      </c>
      <c r="BC22" s="1524">
        <f t="shared" si="14"/>
        <v>0</v>
      </c>
      <c r="BD22" s="1524">
        <f t="shared" si="14"/>
        <v>0</v>
      </c>
      <c r="BE22" s="1511">
        <f t="shared" si="14"/>
        <v>0</v>
      </c>
      <c r="BF22" s="1524">
        <f t="shared" si="14"/>
        <v>0</v>
      </c>
      <c r="BG22" s="1524">
        <f t="shared" si="14"/>
        <v>0</v>
      </c>
      <c r="BH22" s="1524">
        <f t="shared" si="14"/>
        <v>0</v>
      </c>
      <c r="BI22" s="1511">
        <f t="shared" si="14"/>
        <v>0</v>
      </c>
      <c r="BJ22" s="1524">
        <f t="shared" si="14"/>
        <v>0</v>
      </c>
      <c r="BK22" s="1524">
        <f t="shared" si="14"/>
        <v>0</v>
      </c>
      <c r="BL22" s="1524">
        <f t="shared" si="14"/>
        <v>0</v>
      </c>
      <c r="BM22" s="1511">
        <f t="shared" si="14"/>
        <v>0</v>
      </c>
      <c r="BN22" s="1524">
        <f t="shared" si="14"/>
        <v>0</v>
      </c>
      <c r="BO22" s="1524">
        <f t="shared" si="14"/>
        <v>0</v>
      </c>
      <c r="BP22" s="1524">
        <f t="shared" si="14"/>
        <v>0</v>
      </c>
      <c r="BQ22" s="1511">
        <f t="shared" si="14"/>
        <v>0</v>
      </c>
      <c r="BR22" s="1524">
        <f t="shared" si="14"/>
        <v>0</v>
      </c>
      <c r="BS22" s="1524">
        <f t="shared" si="14"/>
        <v>0</v>
      </c>
      <c r="BT22" s="1524">
        <f t="shared" ref="BT22:CF22" si="21">BT41+BT124+BT207</f>
        <v>0</v>
      </c>
      <c r="BU22" s="1511">
        <f t="shared" si="21"/>
        <v>0</v>
      </c>
      <c r="BV22" s="1524">
        <f t="shared" si="21"/>
        <v>0</v>
      </c>
      <c r="BW22" s="1524">
        <f t="shared" si="21"/>
        <v>0</v>
      </c>
      <c r="BX22" s="1524">
        <f t="shared" si="21"/>
        <v>0</v>
      </c>
      <c r="BY22" s="1511">
        <f t="shared" si="21"/>
        <v>0</v>
      </c>
      <c r="BZ22" s="1524">
        <f t="shared" si="21"/>
        <v>0</v>
      </c>
      <c r="CA22" s="1524">
        <f t="shared" si="21"/>
        <v>0</v>
      </c>
      <c r="CB22" s="1524">
        <f t="shared" si="21"/>
        <v>0</v>
      </c>
      <c r="CC22" s="1511">
        <f t="shared" si="21"/>
        <v>0</v>
      </c>
      <c r="CD22" s="1524">
        <f t="shared" si="21"/>
        <v>0</v>
      </c>
      <c r="CE22" s="1524">
        <f t="shared" si="21"/>
        <v>0</v>
      </c>
      <c r="CF22" s="1524">
        <f t="shared" si="21"/>
        <v>0</v>
      </c>
      <c r="CG22" s="1525"/>
      <c r="CH22" s="1511">
        <f t="shared" si="17"/>
        <v>40.024000000000001</v>
      </c>
      <c r="CI22" s="1524">
        <f t="shared" si="17"/>
        <v>0</v>
      </c>
      <c r="CJ22" s="1524">
        <f t="shared" si="17"/>
        <v>0</v>
      </c>
      <c r="CK22" s="1524">
        <f t="shared" si="17"/>
        <v>0</v>
      </c>
      <c r="CL22" s="1495"/>
      <c r="CM22" s="1495"/>
      <c r="CN22" s="1495"/>
      <c r="CO22" s="1495"/>
      <c r="CP22" s="1495"/>
      <c r="CQ22" s="1495"/>
      <c r="CR22" s="1495"/>
      <c r="CS22" s="1495"/>
      <c r="CT22" s="1495"/>
      <c r="CU22" s="1495"/>
      <c r="CV22" s="1495"/>
      <c r="CW22" s="1495"/>
      <c r="CY22" s="1495"/>
    </row>
    <row r="23" spans="1:104" s="1496" customFormat="1" x14ac:dyDescent="0.15">
      <c r="A23" s="1541" t="s">
        <v>87</v>
      </c>
      <c r="B23" s="1523" t="s">
        <v>79</v>
      </c>
      <c r="C23" s="1523" t="s">
        <v>100</v>
      </c>
      <c r="D23" s="1523"/>
      <c r="E23" s="1523"/>
      <c r="F23" s="1523"/>
      <c r="G23" s="1523">
        <v>223</v>
      </c>
      <c r="H23" s="1502">
        <f t="shared" si="14"/>
        <v>2082.25</v>
      </c>
      <c r="I23" s="1502">
        <f t="shared" si="14"/>
        <v>0</v>
      </c>
      <c r="J23" s="1502">
        <f t="shared" si="14"/>
        <v>0</v>
      </c>
      <c r="K23" s="1502">
        <f t="shared" si="14"/>
        <v>0</v>
      </c>
      <c r="L23" s="1502">
        <f t="shared" si="14"/>
        <v>0</v>
      </c>
      <c r="M23" s="1502">
        <f t="shared" si="14"/>
        <v>0</v>
      </c>
      <c r="N23" s="1502">
        <f t="shared" si="14"/>
        <v>0</v>
      </c>
      <c r="O23" s="1502">
        <f t="shared" si="14"/>
        <v>0</v>
      </c>
      <c r="P23" s="1502">
        <f t="shared" si="14"/>
        <v>0</v>
      </c>
      <c r="Q23" s="1502">
        <f t="shared" si="14"/>
        <v>0</v>
      </c>
      <c r="R23" s="1502">
        <f t="shared" si="14"/>
        <v>0</v>
      </c>
      <c r="S23" s="1502">
        <f t="shared" si="14"/>
        <v>0</v>
      </c>
      <c r="T23" s="1504"/>
      <c r="U23" s="1505"/>
      <c r="V23" s="1505"/>
      <c r="W23" s="1506"/>
      <c r="X23" s="1506"/>
      <c r="Y23" s="1506"/>
      <c r="Z23" s="1507"/>
      <c r="AA23" s="1506"/>
      <c r="AB23" s="1506"/>
      <c r="AC23" s="1524">
        <f t="shared" si="15"/>
        <v>2082.25</v>
      </c>
      <c r="AD23" s="1524">
        <f t="shared" si="15"/>
        <v>0</v>
      </c>
      <c r="AE23" s="1524">
        <f t="shared" si="15"/>
        <v>0</v>
      </c>
      <c r="AF23" s="1524">
        <f t="shared" si="15"/>
        <v>0</v>
      </c>
      <c r="AG23" s="1524">
        <f t="shared" si="15"/>
        <v>0</v>
      </c>
      <c r="AH23" s="1524">
        <f t="shared" si="15"/>
        <v>0</v>
      </c>
      <c r="AI23" s="1524">
        <f t="shared" si="15"/>
        <v>0</v>
      </c>
      <c r="AJ23" s="1510">
        <f t="shared" si="14"/>
        <v>0</v>
      </c>
      <c r="AK23" s="1510">
        <f t="shared" si="14"/>
        <v>0</v>
      </c>
      <c r="AL23" s="1510">
        <f t="shared" si="14"/>
        <v>0</v>
      </c>
      <c r="AM23" s="1510">
        <f t="shared" si="14"/>
        <v>0</v>
      </c>
      <c r="AN23" s="1511"/>
      <c r="AO23" s="1524">
        <f t="shared" si="14"/>
        <v>185.2</v>
      </c>
      <c r="AP23" s="1524">
        <f t="shared" si="14"/>
        <v>0</v>
      </c>
      <c r="AQ23" s="1524">
        <f t="shared" si="14"/>
        <v>0</v>
      </c>
      <c r="AR23" s="1524">
        <f t="shared" ref="AR23:BS23" si="22">AR42+AR125+AR208</f>
        <v>0</v>
      </c>
      <c r="AS23" s="1507">
        <f t="shared" si="22"/>
        <v>185</v>
      </c>
      <c r="AT23" s="1524">
        <f t="shared" si="22"/>
        <v>0</v>
      </c>
      <c r="AU23" s="1524">
        <f t="shared" si="22"/>
        <v>0</v>
      </c>
      <c r="AV23" s="1524">
        <f t="shared" si="22"/>
        <v>0</v>
      </c>
      <c r="AW23" s="1507">
        <f t="shared" si="22"/>
        <v>0</v>
      </c>
      <c r="AX23" s="1524">
        <f t="shared" si="22"/>
        <v>0</v>
      </c>
      <c r="AY23" s="1524">
        <f t="shared" si="22"/>
        <v>0</v>
      </c>
      <c r="AZ23" s="1524">
        <f t="shared" si="22"/>
        <v>0</v>
      </c>
      <c r="BA23" s="1511">
        <f t="shared" si="22"/>
        <v>0</v>
      </c>
      <c r="BB23" s="1524">
        <f t="shared" si="22"/>
        <v>0</v>
      </c>
      <c r="BC23" s="1524">
        <f t="shared" si="22"/>
        <v>0</v>
      </c>
      <c r="BD23" s="1524">
        <f t="shared" si="22"/>
        <v>0</v>
      </c>
      <c r="BE23" s="1511">
        <f t="shared" si="22"/>
        <v>396.35</v>
      </c>
      <c r="BF23" s="1524">
        <f t="shared" si="22"/>
        <v>0</v>
      </c>
      <c r="BG23" s="1524">
        <f t="shared" si="22"/>
        <v>0</v>
      </c>
      <c r="BH23" s="1524">
        <f t="shared" si="22"/>
        <v>0</v>
      </c>
      <c r="BI23" s="1511">
        <f t="shared" si="22"/>
        <v>198.2</v>
      </c>
      <c r="BJ23" s="1524">
        <f t="shared" si="22"/>
        <v>0</v>
      </c>
      <c r="BK23" s="1524">
        <f t="shared" si="22"/>
        <v>0</v>
      </c>
      <c r="BL23" s="1524">
        <f t="shared" si="22"/>
        <v>0</v>
      </c>
      <c r="BM23" s="1511">
        <f t="shared" si="22"/>
        <v>0</v>
      </c>
      <c r="BN23" s="1524">
        <f t="shared" si="22"/>
        <v>0</v>
      </c>
      <c r="BO23" s="1524">
        <f t="shared" si="22"/>
        <v>0</v>
      </c>
      <c r="BP23" s="1524">
        <f t="shared" si="22"/>
        <v>0</v>
      </c>
      <c r="BQ23" s="1511">
        <f t="shared" si="22"/>
        <v>198.2</v>
      </c>
      <c r="BR23" s="1524">
        <f t="shared" si="22"/>
        <v>0</v>
      </c>
      <c r="BS23" s="1524">
        <f t="shared" si="22"/>
        <v>0</v>
      </c>
      <c r="BT23" s="1524">
        <f t="shared" ref="BT23:CF23" si="23">BT42+BT125+BT208</f>
        <v>0</v>
      </c>
      <c r="BU23" s="1511">
        <f t="shared" si="23"/>
        <v>398.3</v>
      </c>
      <c r="BV23" s="1524">
        <f t="shared" si="23"/>
        <v>0</v>
      </c>
      <c r="BW23" s="1524">
        <f t="shared" si="23"/>
        <v>0</v>
      </c>
      <c r="BX23" s="1524">
        <f t="shared" si="23"/>
        <v>0</v>
      </c>
      <c r="BY23" s="1511">
        <f t="shared" si="23"/>
        <v>301.7</v>
      </c>
      <c r="BZ23" s="1524">
        <f t="shared" si="23"/>
        <v>0</v>
      </c>
      <c r="CA23" s="1524">
        <f t="shared" si="23"/>
        <v>0</v>
      </c>
      <c r="CB23" s="1524">
        <f t="shared" si="23"/>
        <v>0</v>
      </c>
      <c r="CC23" s="1511">
        <f t="shared" si="23"/>
        <v>0</v>
      </c>
      <c r="CD23" s="1524">
        <f t="shared" si="23"/>
        <v>0</v>
      </c>
      <c r="CE23" s="1524">
        <f t="shared" si="23"/>
        <v>0</v>
      </c>
      <c r="CF23" s="1524">
        <f t="shared" si="23"/>
        <v>0</v>
      </c>
      <c r="CG23" s="1525"/>
      <c r="CH23" s="1511">
        <f t="shared" si="17"/>
        <v>219.3</v>
      </c>
      <c r="CI23" s="1524">
        <f t="shared" si="17"/>
        <v>0</v>
      </c>
      <c r="CJ23" s="1524">
        <f t="shared" si="17"/>
        <v>0</v>
      </c>
      <c r="CK23" s="1524">
        <f t="shared" si="17"/>
        <v>0</v>
      </c>
      <c r="CL23" s="1495"/>
      <c r="CM23" s="1495"/>
      <c r="CN23" s="1495"/>
      <c r="CO23" s="1495"/>
      <c r="CP23" s="1495"/>
      <c r="CQ23" s="1495"/>
      <c r="CR23" s="1495"/>
      <c r="CS23" s="1495"/>
      <c r="CT23" s="1495"/>
      <c r="CU23" s="1495"/>
      <c r="CV23" s="1495"/>
      <c r="CW23" s="1495"/>
      <c r="CY23" s="1495"/>
    </row>
    <row r="24" spans="1:104" s="1496" customFormat="1" x14ac:dyDescent="0.15">
      <c r="A24" s="1541" t="s">
        <v>111</v>
      </c>
      <c r="B24" s="1523" t="s">
        <v>79</v>
      </c>
      <c r="C24" s="1523" t="s">
        <v>100</v>
      </c>
      <c r="D24" s="1523"/>
      <c r="E24" s="1523"/>
      <c r="F24" s="1523"/>
      <c r="G24" s="1523">
        <v>224</v>
      </c>
      <c r="H24" s="1502">
        <f t="shared" ref="H24:BS29" si="24">H43+H126+H209</f>
        <v>6</v>
      </c>
      <c r="I24" s="1502">
        <f t="shared" si="24"/>
        <v>0</v>
      </c>
      <c r="J24" s="1502">
        <f t="shared" si="24"/>
        <v>0</v>
      </c>
      <c r="K24" s="1502">
        <f t="shared" si="24"/>
        <v>0</v>
      </c>
      <c r="L24" s="1502">
        <f t="shared" si="24"/>
        <v>0</v>
      </c>
      <c r="M24" s="1502">
        <f t="shared" si="24"/>
        <v>0</v>
      </c>
      <c r="N24" s="1502">
        <f t="shared" si="24"/>
        <v>0</v>
      </c>
      <c r="O24" s="1502">
        <f t="shared" si="24"/>
        <v>0</v>
      </c>
      <c r="P24" s="1502">
        <f t="shared" si="24"/>
        <v>0</v>
      </c>
      <c r="Q24" s="1502">
        <f t="shared" si="24"/>
        <v>0</v>
      </c>
      <c r="R24" s="1502">
        <f t="shared" si="24"/>
        <v>0</v>
      </c>
      <c r="S24" s="1502">
        <f t="shared" si="24"/>
        <v>0</v>
      </c>
      <c r="T24" s="1504"/>
      <c r="U24" s="1505"/>
      <c r="V24" s="1505"/>
      <c r="W24" s="1506"/>
      <c r="X24" s="1506"/>
      <c r="Y24" s="1506"/>
      <c r="Z24" s="1507"/>
      <c r="AA24" s="1506"/>
      <c r="AB24" s="1506"/>
      <c r="AC24" s="1524">
        <f t="shared" si="15"/>
        <v>6</v>
      </c>
      <c r="AD24" s="1524">
        <f t="shared" si="15"/>
        <v>0</v>
      </c>
      <c r="AE24" s="1524">
        <f t="shared" si="15"/>
        <v>0</v>
      </c>
      <c r="AF24" s="1524">
        <f t="shared" si="15"/>
        <v>0</v>
      </c>
      <c r="AG24" s="1524">
        <f t="shared" si="15"/>
        <v>0</v>
      </c>
      <c r="AH24" s="1524">
        <f t="shared" si="15"/>
        <v>0</v>
      </c>
      <c r="AI24" s="1524">
        <f t="shared" si="15"/>
        <v>0</v>
      </c>
      <c r="AJ24" s="1510">
        <f t="shared" si="24"/>
        <v>0</v>
      </c>
      <c r="AK24" s="1510">
        <f t="shared" si="24"/>
        <v>0</v>
      </c>
      <c r="AL24" s="1510">
        <f t="shared" si="24"/>
        <v>0</v>
      </c>
      <c r="AM24" s="1510">
        <f t="shared" si="24"/>
        <v>0</v>
      </c>
      <c r="AN24" s="1511"/>
      <c r="AO24" s="1524">
        <f t="shared" si="24"/>
        <v>0.5</v>
      </c>
      <c r="AP24" s="1524">
        <f t="shared" si="24"/>
        <v>0</v>
      </c>
      <c r="AQ24" s="1524">
        <f t="shared" si="24"/>
        <v>0</v>
      </c>
      <c r="AR24" s="1524">
        <f t="shared" si="24"/>
        <v>0</v>
      </c>
      <c r="AS24" s="1507">
        <f t="shared" si="24"/>
        <v>0.5</v>
      </c>
      <c r="AT24" s="1524">
        <f t="shared" si="24"/>
        <v>0</v>
      </c>
      <c r="AU24" s="1524">
        <f t="shared" si="24"/>
        <v>0</v>
      </c>
      <c r="AV24" s="1524">
        <f t="shared" si="24"/>
        <v>0</v>
      </c>
      <c r="AW24" s="1507">
        <f t="shared" si="24"/>
        <v>0</v>
      </c>
      <c r="AX24" s="1524">
        <f t="shared" si="24"/>
        <v>0</v>
      </c>
      <c r="AY24" s="1524">
        <f t="shared" si="24"/>
        <v>0</v>
      </c>
      <c r="AZ24" s="1524">
        <f t="shared" si="24"/>
        <v>0</v>
      </c>
      <c r="BA24" s="1511">
        <f t="shared" si="24"/>
        <v>0</v>
      </c>
      <c r="BB24" s="1524">
        <f t="shared" si="24"/>
        <v>0</v>
      </c>
      <c r="BC24" s="1524">
        <f t="shared" si="24"/>
        <v>0</v>
      </c>
      <c r="BD24" s="1524">
        <f t="shared" si="24"/>
        <v>0</v>
      </c>
      <c r="BE24" s="1511">
        <f t="shared" si="24"/>
        <v>0</v>
      </c>
      <c r="BF24" s="1524">
        <f t="shared" si="24"/>
        <v>0</v>
      </c>
      <c r="BG24" s="1524">
        <f t="shared" si="24"/>
        <v>0</v>
      </c>
      <c r="BH24" s="1524">
        <f t="shared" si="24"/>
        <v>0</v>
      </c>
      <c r="BI24" s="1511">
        <f t="shared" si="24"/>
        <v>0</v>
      </c>
      <c r="BJ24" s="1524">
        <f t="shared" si="24"/>
        <v>0</v>
      </c>
      <c r="BK24" s="1524">
        <f t="shared" si="24"/>
        <v>0</v>
      </c>
      <c r="BL24" s="1524">
        <f t="shared" si="24"/>
        <v>0</v>
      </c>
      <c r="BM24" s="1511">
        <f t="shared" si="24"/>
        <v>0</v>
      </c>
      <c r="BN24" s="1524">
        <f t="shared" si="24"/>
        <v>0</v>
      </c>
      <c r="BO24" s="1524">
        <f t="shared" si="24"/>
        <v>0</v>
      </c>
      <c r="BP24" s="1524">
        <f t="shared" si="24"/>
        <v>0</v>
      </c>
      <c r="BQ24" s="1511">
        <f t="shared" si="24"/>
        <v>0</v>
      </c>
      <c r="BR24" s="1524">
        <f t="shared" si="24"/>
        <v>0</v>
      </c>
      <c r="BS24" s="1524">
        <f t="shared" si="24"/>
        <v>0</v>
      </c>
      <c r="BT24" s="1524">
        <f t="shared" ref="BT24:CF24" si="25">BT43+BT126+BT209</f>
        <v>0</v>
      </c>
      <c r="BU24" s="1511">
        <f t="shared" si="25"/>
        <v>0</v>
      </c>
      <c r="BV24" s="1524">
        <f t="shared" si="25"/>
        <v>0</v>
      </c>
      <c r="BW24" s="1524">
        <f t="shared" si="25"/>
        <v>0</v>
      </c>
      <c r="BX24" s="1524">
        <f t="shared" si="25"/>
        <v>0</v>
      </c>
      <c r="BY24" s="1511">
        <f t="shared" si="25"/>
        <v>0</v>
      </c>
      <c r="BZ24" s="1524">
        <f t="shared" si="25"/>
        <v>0</v>
      </c>
      <c r="CA24" s="1524">
        <f t="shared" si="25"/>
        <v>0</v>
      </c>
      <c r="CB24" s="1524">
        <f t="shared" si="25"/>
        <v>0</v>
      </c>
      <c r="CC24" s="1511">
        <f t="shared" si="25"/>
        <v>0</v>
      </c>
      <c r="CD24" s="1524">
        <f t="shared" si="25"/>
        <v>0</v>
      </c>
      <c r="CE24" s="1524">
        <f t="shared" si="25"/>
        <v>0</v>
      </c>
      <c r="CF24" s="1524">
        <f t="shared" si="25"/>
        <v>0</v>
      </c>
      <c r="CG24" s="1525"/>
      <c r="CH24" s="1511">
        <f t="shared" si="17"/>
        <v>5</v>
      </c>
      <c r="CI24" s="1524">
        <f t="shared" si="17"/>
        <v>0</v>
      </c>
      <c r="CJ24" s="1524">
        <f t="shared" si="17"/>
        <v>0</v>
      </c>
      <c r="CK24" s="1524">
        <f t="shared" si="17"/>
        <v>0</v>
      </c>
      <c r="CL24" s="1495"/>
      <c r="CM24" s="1495"/>
      <c r="CN24" s="1495"/>
      <c r="CO24" s="1495"/>
      <c r="CP24" s="1495"/>
      <c r="CQ24" s="1495"/>
      <c r="CR24" s="1495"/>
      <c r="CS24" s="1495"/>
      <c r="CT24" s="1495"/>
      <c r="CU24" s="1495"/>
      <c r="CV24" s="1495"/>
      <c r="CW24" s="1495"/>
      <c r="CY24" s="1495"/>
    </row>
    <row r="25" spans="1:104" s="1496" customFormat="1" x14ac:dyDescent="0.15">
      <c r="A25" s="1541" t="s">
        <v>90</v>
      </c>
      <c r="B25" s="1523" t="s">
        <v>79</v>
      </c>
      <c r="C25" s="1523" t="s">
        <v>100</v>
      </c>
      <c r="D25" s="1523"/>
      <c r="E25" s="1523"/>
      <c r="F25" s="1523"/>
      <c r="G25" s="1523">
        <v>225</v>
      </c>
      <c r="H25" s="1502">
        <f t="shared" si="24"/>
        <v>8453.6260000000002</v>
      </c>
      <c r="I25" s="1502">
        <f t="shared" si="24"/>
        <v>0</v>
      </c>
      <c r="J25" s="1502">
        <f t="shared" si="24"/>
        <v>1612.0800000000002</v>
      </c>
      <c r="K25" s="1502">
        <f t="shared" si="24"/>
        <v>0</v>
      </c>
      <c r="L25" s="1502">
        <f t="shared" si="24"/>
        <v>0</v>
      </c>
      <c r="M25" s="1502">
        <f t="shared" si="24"/>
        <v>0</v>
      </c>
      <c r="N25" s="1502">
        <f t="shared" si="24"/>
        <v>0</v>
      </c>
      <c r="O25" s="1502">
        <f t="shared" si="24"/>
        <v>0</v>
      </c>
      <c r="P25" s="1502">
        <f t="shared" si="24"/>
        <v>0</v>
      </c>
      <c r="Q25" s="1502">
        <f t="shared" si="24"/>
        <v>0</v>
      </c>
      <c r="R25" s="1502">
        <f t="shared" si="24"/>
        <v>0</v>
      </c>
      <c r="S25" s="1502">
        <f t="shared" si="24"/>
        <v>0</v>
      </c>
      <c r="T25" s="1504"/>
      <c r="U25" s="1505"/>
      <c r="V25" s="1505"/>
      <c r="W25" s="1506"/>
      <c r="X25" s="1506"/>
      <c r="Y25" s="1506"/>
      <c r="Z25" s="1507"/>
      <c r="AA25" s="1506"/>
      <c r="AB25" s="1506"/>
      <c r="AC25" s="1524">
        <f t="shared" si="15"/>
        <v>8453.6260000000002</v>
      </c>
      <c r="AD25" s="1524">
        <f t="shared" si="15"/>
        <v>1612.0800000000002</v>
      </c>
      <c r="AE25" s="1524">
        <f t="shared" si="15"/>
        <v>0</v>
      </c>
      <c r="AF25" s="1524">
        <f t="shared" si="15"/>
        <v>1612.0800000000002</v>
      </c>
      <c r="AG25" s="1524">
        <f t="shared" si="15"/>
        <v>0</v>
      </c>
      <c r="AH25" s="1524">
        <f t="shared" si="15"/>
        <v>0</v>
      </c>
      <c r="AI25" s="1524">
        <f t="shared" si="15"/>
        <v>0</v>
      </c>
      <c r="AJ25" s="1510">
        <f t="shared" si="24"/>
        <v>0</v>
      </c>
      <c r="AK25" s="1510">
        <f t="shared" si="24"/>
        <v>0</v>
      </c>
      <c r="AL25" s="1510">
        <f t="shared" si="24"/>
        <v>0</v>
      </c>
      <c r="AM25" s="1510">
        <f t="shared" si="24"/>
        <v>0</v>
      </c>
      <c r="AN25" s="1511"/>
      <c r="AO25" s="1524">
        <f t="shared" si="24"/>
        <v>0</v>
      </c>
      <c r="AP25" s="1524">
        <f t="shared" si="24"/>
        <v>0</v>
      </c>
      <c r="AQ25" s="1524">
        <f t="shared" si="24"/>
        <v>0</v>
      </c>
      <c r="AR25" s="1524">
        <f t="shared" si="24"/>
        <v>0</v>
      </c>
      <c r="AS25" s="1507">
        <f t="shared" si="24"/>
        <v>0</v>
      </c>
      <c r="AT25" s="1524">
        <f t="shared" si="24"/>
        <v>0</v>
      </c>
      <c r="AU25" s="1524">
        <f t="shared" si="24"/>
        <v>0</v>
      </c>
      <c r="AV25" s="1524">
        <f t="shared" si="24"/>
        <v>0</v>
      </c>
      <c r="AW25" s="1507">
        <f t="shared" si="24"/>
        <v>0</v>
      </c>
      <c r="AX25" s="1524">
        <f t="shared" si="24"/>
        <v>0</v>
      </c>
      <c r="AY25" s="1524">
        <f t="shared" si="24"/>
        <v>0</v>
      </c>
      <c r="AZ25" s="1524">
        <f t="shared" si="24"/>
        <v>0</v>
      </c>
      <c r="BA25" s="1511">
        <f t="shared" si="24"/>
        <v>5782</v>
      </c>
      <c r="BB25" s="1524">
        <f t="shared" si="24"/>
        <v>0</v>
      </c>
      <c r="BC25" s="1524">
        <f t="shared" si="24"/>
        <v>0</v>
      </c>
      <c r="BD25" s="1524">
        <f t="shared" si="24"/>
        <v>0</v>
      </c>
      <c r="BE25" s="1511">
        <f t="shared" si="24"/>
        <v>0</v>
      </c>
      <c r="BF25" s="1524">
        <f t="shared" si="24"/>
        <v>0</v>
      </c>
      <c r="BG25" s="1524">
        <f t="shared" si="24"/>
        <v>0</v>
      </c>
      <c r="BH25" s="1524">
        <f t="shared" si="24"/>
        <v>0</v>
      </c>
      <c r="BI25" s="1511">
        <f t="shared" si="24"/>
        <v>2218</v>
      </c>
      <c r="BJ25" s="1524">
        <f t="shared" si="24"/>
        <v>0</v>
      </c>
      <c r="BK25" s="1524">
        <f t="shared" si="24"/>
        <v>0</v>
      </c>
      <c r="BL25" s="1524">
        <f t="shared" si="24"/>
        <v>0</v>
      </c>
      <c r="BM25" s="1511">
        <f t="shared" si="24"/>
        <v>0</v>
      </c>
      <c r="BN25" s="1524">
        <f t="shared" si="24"/>
        <v>0</v>
      </c>
      <c r="BO25" s="1524">
        <f t="shared" si="24"/>
        <v>0</v>
      </c>
      <c r="BP25" s="1524">
        <f t="shared" si="24"/>
        <v>0</v>
      </c>
      <c r="BQ25" s="1511">
        <f t="shared" si="24"/>
        <v>355</v>
      </c>
      <c r="BR25" s="1524">
        <f t="shared" si="24"/>
        <v>0</v>
      </c>
      <c r="BS25" s="1524">
        <f t="shared" si="24"/>
        <v>0</v>
      </c>
      <c r="BT25" s="1524">
        <f t="shared" ref="BT25:CF25" si="26">BT44+BT127+BT210</f>
        <v>0</v>
      </c>
      <c r="BU25" s="1511">
        <f t="shared" si="26"/>
        <v>29.2</v>
      </c>
      <c r="BV25" s="1524">
        <f t="shared" si="26"/>
        <v>0</v>
      </c>
      <c r="BW25" s="1524">
        <f t="shared" si="26"/>
        <v>400</v>
      </c>
      <c r="BX25" s="1524">
        <f t="shared" si="26"/>
        <v>0</v>
      </c>
      <c r="BY25" s="1511">
        <f t="shared" si="26"/>
        <v>0</v>
      </c>
      <c r="BZ25" s="1524">
        <f t="shared" si="26"/>
        <v>0</v>
      </c>
      <c r="CA25" s="1524">
        <f t="shared" si="26"/>
        <v>570</v>
      </c>
      <c r="CB25" s="1524">
        <f t="shared" si="26"/>
        <v>0</v>
      </c>
      <c r="CC25" s="1511">
        <f t="shared" si="26"/>
        <v>0</v>
      </c>
      <c r="CD25" s="1524">
        <f t="shared" si="26"/>
        <v>0</v>
      </c>
      <c r="CE25" s="1524">
        <f t="shared" si="26"/>
        <v>0</v>
      </c>
      <c r="CF25" s="1524">
        <f t="shared" si="26"/>
        <v>0</v>
      </c>
      <c r="CG25" s="1525"/>
      <c r="CH25" s="1511">
        <f t="shared" si="17"/>
        <v>69.426000000000002</v>
      </c>
      <c r="CI25" s="1524">
        <f t="shared" si="17"/>
        <v>0</v>
      </c>
      <c r="CJ25" s="1524">
        <f t="shared" si="17"/>
        <v>642.07999999999993</v>
      </c>
      <c r="CK25" s="1524">
        <f t="shared" si="17"/>
        <v>0</v>
      </c>
      <c r="CL25" s="1495"/>
      <c r="CM25" s="1495"/>
      <c r="CN25" s="1495"/>
      <c r="CO25" s="1495"/>
      <c r="CP25" s="1495"/>
      <c r="CQ25" s="1495"/>
      <c r="CR25" s="1495"/>
      <c r="CS25" s="1495"/>
      <c r="CT25" s="1495"/>
      <c r="CU25" s="1495"/>
      <c r="CV25" s="1495"/>
      <c r="CW25" s="1495"/>
      <c r="CY25" s="1495"/>
    </row>
    <row r="26" spans="1:104" s="1496" customFormat="1" x14ac:dyDescent="0.15">
      <c r="A26" s="1541" t="s">
        <v>91</v>
      </c>
      <c r="B26" s="1523" t="s">
        <v>79</v>
      </c>
      <c r="C26" s="1523" t="s">
        <v>100</v>
      </c>
      <c r="D26" s="1523"/>
      <c r="E26" s="1523"/>
      <c r="F26" s="1523"/>
      <c r="G26" s="1523">
        <v>226</v>
      </c>
      <c r="H26" s="1502">
        <f t="shared" si="24"/>
        <v>1452.2360000000001</v>
      </c>
      <c r="I26" s="1502">
        <f t="shared" si="24"/>
        <v>258</v>
      </c>
      <c r="J26" s="1502">
        <f t="shared" si="24"/>
        <v>0</v>
      </c>
      <c r="K26" s="1502">
        <f t="shared" si="24"/>
        <v>0</v>
      </c>
      <c r="L26" s="1502">
        <f t="shared" si="24"/>
        <v>0</v>
      </c>
      <c r="M26" s="1502">
        <f t="shared" si="24"/>
        <v>0</v>
      </c>
      <c r="N26" s="1502">
        <f t="shared" si="24"/>
        <v>150</v>
      </c>
      <c r="O26" s="1502">
        <f t="shared" si="24"/>
        <v>0</v>
      </c>
      <c r="P26" s="1502">
        <f t="shared" si="24"/>
        <v>0</v>
      </c>
      <c r="Q26" s="1502">
        <f t="shared" si="24"/>
        <v>0</v>
      </c>
      <c r="R26" s="1502">
        <f t="shared" si="24"/>
        <v>0</v>
      </c>
      <c r="S26" s="1502">
        <f t="shared" si="24"/>
        <v>2292</v>
      </c>
      <c r="T26" s="1504"/>
      <c r="U26" s="1505"/>
      <c r="V26" s="1505"/>
      <c r="W26" s="1506"/>
      <c r="X26" s="1506"/>
      <c r="Y26" s="1506"/>
      <c r="Z26" s="1507"/>
      <c r="AA26" s="1506"/>
      <c r="AB26" s="1506"/>
      <c r="AC26" s="1524">
        <f t="shared" si="15"/>
        <v>1452.2359999999999</v>
      </c>
      <c r="AD26" s="1524">
        <f t="shared" si="15"/>
        <v>258</v>
      </c>
      <c r="AE26" s="1524">
        <f t="shared" si="15"/>
        <v>258</v>
      </c>
      <c r="AF26" s="1524">
        <f t="shared" si="15"/>
        <v>0</v>
      </c>
      <c r="AG26" s="1524">
        <f t="shared" si="15"/>
        <v>0</v>
      </c>
      <c r="AH26" s="1524">
        <f t="shared" si="15"/>
        <v>0</v>
      </c>
      <c r="AI26" s="1524">
        <f t="shared" si="15"/>
        <v>0</v>
      </c>
      <c r="AJ26" s="1510">
        <f t="shared" si="24"/>
        <v>0</v>
      </c>
      <c r="AK26" s="1510">
        <f t="shared" si="24"/>
        <v>0</v>
      </c>
      <c r="AL26" s="1510">
        <f t="shared" si="24"/>
        <v>0</v>
      </c>
      <c r="AM26" s="1510">
        <f t="shared" si="24"/>
        <v>0</v>
      </c>
      <c r="AN26" s="1511"/>
      <c r="AO26" s="1524">
        <f t="shared" si="24"/>
        <v>0</v>
      </c>
      <c r="AP26" s="1524">
        <f t="shared" si="24"/>
        <v>0</v>
      </c>
      <c r="AQ26" s="1524">
        <f t="shared" si="24"/>
        <v>0</v>
      </c>
      <c r="AR26" s="1524">
        <f t="shared" si="24"/>
        <v>0</v>
      </c>
      <c r="AS26" s="1507">
        <f t="shared" si="24"/>
        <v>0</v>
      </c>
      <c r="AT26" s="1524">
        <f t="shared" si="24"/>
        <v>258</v>
      </c>
      <c r="AU26" s="1524">
        <f t="shared" si="24"/>
        <v>0</v>
      </c>
      <c r="AV26" s="1524">
        <f t="shared" si="24"/>
        <v>0</v>
      </c>
      <c r="AW26" s="1507">
        <f t="shared" si="24"/>
        <v>0</v>
      </c>
      <c r="AX26" s="1524">
        <f t="shared" si="24"/>
        <v>0</v>
      </c>
      <c r="AY26" s="1524">
        <f t="shared" si="24"/>
        <v>0</v>
      </c>
      <c r="AZ26" s="1524">
        <f t="shared" si="24"/>
        <v>0</v>
      </c>
      <c r="BA26" s="1511">
        <f t="shared" si="24"/>
        <v>0</v>
      </c>
      <c r="BB26" s="1524">
        <f t="shared" si="24"/>
        <v>0</v>
      </c>
      <c r="BC26" s="1524">
        <f t="shared" si="24"/>
        <v>0</v>
      </c>
      <c r="BD26" s="1524">
        <f t="shared" si="24"/>
        <v>0</v>
      </c>
      <c r="BE26" s="1511">
        <f t="shared" si="24"/>
        <v>150</v>
      </c>
      <c r="BF26" s="1524">
        <f t="shared" si="24"/>
        <v>0</v>
      </c>
      <c r="BG26" s="1524">
        <f t="shared" si="24"/>
        <v>0</v>
      </c>
      <c r="BH26" s="1524">
        <f t="shared" si="24"/>
        <v>0</v>
      </c>
      <c r="BI26" s="1511">
        <f t="shared" si="24"/>
        <v>0</v>
      </c>
      <c r="BJ26" s="1524">
        <f t="shared" si="24"/>
        <v>0</v>
      </c>
      <c r="BK26" s="1524">
        <f t="shared" si="24"/>
        <v>0</v>
      </c>
      <c r="BL26" s="1524">
        <f t="shared" si="24"/>
        <v>0</v>
      </c>
      <c r="BM26" s="1511">
        <f t="shared" si="24"/>
        <v>0</v>
      </c>
      <c r="BN26" s="1524">
        <f t="shared" si="24"/>
        <v>0</v>
      </c>
      <c r="BO26" s="1524">
        <f t="shared" si="24"/>
        <v>0</v>
      </c>
      <c r="BP26" s="1524">
        <f t="shared" si="24"/>
        <v>0</v>
      </c>
      <c r="BQ26" s="1511">
        <f t="shared" si="24"/>
        <v>247.23999999999998</v>
      </c>
      <c r="BR26" s="1524">
        <f t="shared" si="24"/>
        <v>0</v>
      </c>
      <c r="BS26" s="1524">
        <f t="shared" si="24"/>
        <v>0</v>
      </c>
      <c r="BT26" s="1524">
        <f t="shared" ref="BT26:CF26" si="27">BT45+BT128+BT211</f>
        <v>0</v>
      </c>
      <c r="BU26" s="1511">
        <f t="shared" si="27"/>
        <v>868.40599999999995</v>
      </c>
      <c r="BV26" s="1524">
        <f t="shared" si="27"/>
        <v>0</v>
      </c>
      <c r="BW26" s="1524">
        <f t="shared" si="27"/>
        <v>0</v>
      </c>
      <c r="BX26" s="1524">
        <f t="shared" si="27"/>
        <v>0</v>
      </c>
      <c r="BY26" s="1511">
        <f t="shared" si="27"/>
        <v>0</v>
      </c>
      <c r="BZ26" s="1524">
        <f t="shared" si="27"/>
        <v>0</v>
      </c>
      <c r="CA26" s="1524">
        <f t="shared" si="27"/>
        <v>0</v>
      </c>
      <c r="CB26" s="1524">
        <f t="shared" si="27"/>
        <v>0</v>
      </c>
      <c r="CC26" s="1511">
        <f t="shared" si="27"/>
        <v>0</v>
      </c>
      <c r="CD26" s="1524">
        <f t="shared" si="27"/>
        <v>0</v>
      </c>
      <c r="CE26" s="1524">
        <f t="shared" si="27"/>
        <v>0</v>
      </c>
      <c r="CF26" s="1524">
        <f t="shared" si="27"/>
        <v>0</v>
      </c>
      <c r="CG26" s="1525"/>
      <c r="CH26" s="1511">
        <f t="shared" si="17"/>
        <v>186.59</v>
      </c>
      <c r="CI26" s="1524">
        <f t="shared" si="17"/>
        <v>0</v>
      </c>
      <c r="CJ26" s="1524">
        <f t="shared" si="17"/>
        <v>0</v>
      </c>
      <c r="CK26" s="1524">
        <f t="shared" si="17"/>
        <v>0</v>
      </c>
      <c r="CL26" s="1495"/>
      <c r="CM26" s="1495"/>
      <c r="CN26" s="1495"/>
      <c r="CO26" s="1495"/>
      <c r="CP26" s="1495"/>
      <c r="CQ26" s="1495"/>
      <c r="CR26" s="1495"/>
      <c r="CS26" s="1495"/>
      <c r="CT26" s="1495"/>
      <c r="CU26" s="1495"/>
      <c r="CV26" s="1495"/>
      <c r="CW26" s="1495"/>
      <c r="CY26" s="1495"/>
    </row>
    <row r="27" spans="1:104" s="1496" customFormat="1" x14ac:dyDescent="0.15">
      <c r="A27" s="1541" t="s">
        <v>94</v>
      </c>
      <c r="B27" s="1523" t="s">
        <v>79</v>
      </c>
      <c r="C27" s="1523" t="s">
        <v>100</v>
      </c>
      <c r="D27" s="1523"/>
      <c r="E27" s="1523"/>
      <c r="F27" s="1523"/>
      <c r="G27" s="1523">
        <v>290</v>
      </c>
      <c r="H27" s="1502">
        <f t="shared" si="24"/>
        <v>7727.4</v>
      </c>
      <c r="I27" s="1502">
        <f t="shared" si="24"/>
        <v>0</v>
      </c>
      <c r="J27" s="1502">
        <f t="shared" si="24"/>
        <v>0</v>
      </c>
      <c r="K27" s="1502">
        <f t="shared" si="24"/>
        <v>0</v>
      </c>
      <c r="L27" s="1502">
        <f t="shared" si="24"/>
        <v>0</v>
      </c>
      <c r="M27" s="1502">
        <f t="shared" si="24"/>
        <v>0</v>
      </c>
      <c r="N27" s="1502">
        <f t="shared" si="24"/>
        <v>0</v>
      </c>
      <c r="O27" s="1502">
        <f t="shared" si="24"/>
        <v>0</v>
      </c>
      <c r="P27" s="1502">
        <f t="shared" si="24"/>
        <v>0</v>
      </c>
      <c r="Q27" s="1502">
        <f t="shared" si="24"/>
        <v>0</v>
      </c>
      <c r="R27" s="1502">
        <f t="shared" si="24"/>
        <v>0</v>
      </c>
      <c r="S27" s="1502">
        <f t="shared" si="24"/>
        <v>0</v>
      </c>
      <c r="T27" s="1504"/>
      <c r="U27" s="1505"/>
      <c r="V27" s="1505"/>
      <c r="W27" s="1506"/>
      <c r="X27" s="1506"/>
      <c r="Y27" s="1506"/>
      <c r="Z27" s="1507"/>
      <c r="AA27" s="1506"/>
      <c r="AB27" s="1506"/>
      <c r="AC27" s="1524">
        <f t="shared" si="15"/>
        <v>7727.4</v>
      </c>
      <c r="AD27" s="1524">
        <f t="shared" si="15"/>
        <v>0</v>
      </c>
      <c r="AE27" s="1524">
        <f t="shared" si="15"/>
        <v>0</v>
      </c>
      <c r="AF27" s="1524">
        <f t="shared" si="15"/>
        <v>0</v>
      </c>
      <c r="AG27" s="1524">
        <f t="shared" si="15"/>
        <v>0</v>
      </c>
      <c r="AH27" s="1524">
        <f t="shared" si="15"/>
        <v>0</v>
      </c>
      <c r="AI27" s="1524">
        <f t="shared" si="15"/>
        <v>0</v>
      </c>
      <c r="AJ27" s="1510">
        <f t="shared" si="24"/>
        <v>0</v>
      </c>
      <c r="AK27" s="1510">
        <f t="shared" si="24"/>
        <v>0</v>
      </c>
      <c r="AL27" s="1510">
        <f t="shared" si="24"/>
        <v>0</v>
      </c>
      <c r="AM27" s="1510">
        <f t="shared" si="24"/>
        <v>0</v>
      </c>
      <c r="AN27" s="1511"/>
      <c r="AO27" s="1524">
        <f t="shared" si="24"/>
        <v>643.79</v>
      </c>
      <c r="AP27" s="1524">
        <f t="shared" si="24"/>
        <v>0</v>
      </c>
      <c r="AQ27" s="1524">
        <f t="shared" si="24"/>
        <v>0</v>
      </c>
      <c r="AR27" s="1524">
        <f t="shared" si="24"/>
        <v>0</v>
      </c>
      <c r="AS27" s="1507">
        <f t="shared" si="24"/>
        <v>485</v>
      </c>
      <c r="AT27" s="1524">
        <f t="shared" si="24"/>
        <v>0</v>
      </c>
      <c r="AU27" s="1524">
        <f t="shared" si="24"/>
        <v>0</v>
      </c>
      <c r="AV27" s="1524">
        <f t="shared" si="24"/>
        <v>0</v>
      </c>
      <c r="AW27" s="1507">
        <f t="shared" si="24"/>
        <v>485</v>
      </c>
      <c r="AX27" s="1524">
        <f t="shared" si="24"/>
        <v>0</v>
      </c>
      <c r="AY27" s="1524">
        <f t="shared" si="24"/>
        <v>0</v>
      </c>
      <c r="AZ27" s="1524">
        <f t="shared" si="24"/>
        <v>0</v>
      </c>
      <c r="BA27" s="1511">
        <f t="shared" si="24"/>
        <v>485</v>
      </c>
      <c r="BB27" s="1524">
        <f t="shared" si="24"/>
        <v>0</v>
      </c>
      <c r="BC27" s="1524">
        <f t="shared" si="24"/>
        <v>0</v>
      </c>
      <c r="BD27" s="1524">
        <f t="shared" si="24"/>
        <v>0</v>
      </c>
      <c r="BE27" s="1511">
        <f t="shared" si="24"/>
        <v>936.9</v>
      </c>
      <c r="BF27" s="1524">
        <f t="shared" si="24"/>
        <v>0</v>
      </c>
      <c r="BG27" s="1524">
        <f t="shared" si="24"/>
        <v>0</v>
      </c>
      <c r="BH27" s="1524">
        <f t="shared" si="24"/>
        <v>0</v>
      </c>
      <c r="BI27" s="1511">
        <f t="shared" si="24"/>
        <v>485</v>
      </c>
      <c r="BJ27" s="1524">
        <f t="shared" si="24"/>
        <v>0</v>
      </c>
      <c r="BK27" s="1524">
        <f t="shared" si="24"/>
        <v>0</v>
      </c>
      <c r="BL27" s="1524">
        <f t="shared" si="24"/>
        <v>0</v>
      </c>
      <c r="BM27" s="1511">
        <f t="shared" si="24"/>
        <v>0</v>
      </c>
      <c r="BN27" s="1524">
        <f t="shared" si="24"/>
        <v>0</v>
      </c>
      <c r="BO27" s="1524">
        <f t="shared" si="24"/>
        <v>0</v>
      </c>
      <c r="BP27" s="1524">
        <f t="shared" si="24"/>
        <v>0</v>
      </c>
      <c r="BQ27" s="1511">
        <f t="shared" si="24"/>
        <v>519.41999999999996</v>
      </c>
      <c r="BR27" s="1524">
        <f t="shared" si="24"/>
        <v>0</v>
      </c>
      <c r="BS27" s="1524">
        <f t="shared" si="24"/>
        <v>0</v>
      </c>
      <c r="BT27" s="1524">
        <f t="shared" ref="BT27:CF27" si="28">BT46+BT129+BT212</f>
        <v>0</v>
      </c>
      <c r="BU27" s="1511">
        <f t="shared" si="28"/>
        <v>1746.3999999999999</v>
      </c>
      <c r="BV27" s="1524">
        <f t="shared" si="28"/>
        <v>0</v>
      </c>
      <c r="BW27" s="1524">
        <f t="shared" si="28"/>
        <v>0</v>
      </c>
      <c r="BX27" s="1524">
        <f t="shared" si="28"/>
        <v>0</v>
      </c>
      <c r="BY27" s="1511">
        <f t="shared" si="28"/>
        <v>0</v>
      </c>
      <c r="BZ27" s="1524">
        <f t="shared" si="28"/>
        <v>0</v>
      </c>
      <c r="CA27" s="1524">
        <f t="shared" si="28"/>
        <v>0</v>
      </c>
      <c r="CB27" s="1524">
        <f t="shared" si="28"/>
        <v>0</v>
      </c>
      <c r="CC27" s="1511">
        <f t="shared" si="28"/>
        <v>0</v>
      </c>
      <c r="CD27" s="1524">
        <f t="shared" si="28"/>
        <v>0</v>
      </c>
      <c r="CE27" s="1524">
        <f t="shared" si="28"/>
        <v>0</v>
      </c>
      <c r="CF27" s="1524">
        <f t="shared" si="28"/>
        <v>0</v>
      </c>
      <c r="CG27" s="1525"/>
      <c r="CH27" s="1511">
        <f t="shared" si="17"/>
        <v>1940.8899999999999</v>
      </c>
      <c r="CI27" s="1524">
        <f t="shared" si="17"/>
        <v>0</v>
      </c>
      <c r="CJ27" s="1524">
        <f t="shared" si="17"/>
        <v>0</v>
      </c>
      <c r="CK27" s="1524">
        <f t="shared" si="17"/>
        <v>0</v>
      </c>
      <c r="CL27" s="1495"/>
      <c r="CM27" s="1495"/>
      <c r="CN27" s="1495"/>
      <c r="CO27" s="1495"/>
      <c r="CP27" s="1495"/>
      <c r="CQ27" s="1495"/>
      <c r="CR27" s="1495"/>
      <c r="CS27" s="1495"/>
      <c r="CT27" s="1495"/>
      <c r="CU27" s="1495"/>
      <c r="CV27" s="1495"/>
      <c r="CW27" s="1495"/>
      <c r="CY27" s="1495"/>
    </row>
    <row r="28" spans="1:104" s="1496" customFormat="1" x14ac:dyDescent="0.15">
      <c r="A28" s="1541" t="s">
        <v>94</v>
      </c>
      <c r="B28" s="1523" t="s">
        <v>79</v>
      </c>
      <c r="C28" s="1523" t="s">
        <v>100</v>
      </c>
      <c r="D28" s="1523"/>
      <c r="E28" s="1523"/>
      <c r="F28" s="1523"/>
      <c r="G28" s="1523">
        <v>290</v>
      </c>
      <c r="H28" s="1502">
        <f t="shared" si="24"/>
        <v>647.96999999999991</v>
      </c>
      <c r="I28" s="1502">
        <f t="shared" si="24"/>
        <v>0</v>
      </c>
      <c r="J28" s="1502">
        <f t="shared" si="24"/>
        <v>0</v>
      </c>
      <c r="K28" s="1502">
        <f t="shared" si="24"/>
        <v>0</v>
      </c>
      <c r="L28" s="1502">
        <f t="shared" si="24"/>
        <v>0</v>
      </c>
      <c r="M28" s="1502">
        <f t="shared" si="24"/>
        <v>0</v>
      </c>
      <c r="N28" s="1502">
        <f t="shared" si="24"/>
        <v>0</v>
      </c>
      <c r="O28" s="1502">
        <f t="shared" si="24"/>
        <v>0</v>
      </c>
      <c r="P28" s="1502">
        <f t="shared" si="24"/>
        <v>0</v>
      </c>
      <c r="Q28" s="1502">
        <f t="shared" si="24"/>
        <v>0</v>
      </c>
      <c r="R28" s="1502">
        <f t="shared" si="24"/>
        <v>0</v>
      </c>
      <c r="S28" s="1502">
        <f t="shared" si="24"/>
        <v>0</v>
      </c>
      <c r="T28" s="1504"/>
      <c r="U28" s="1505"/>
      <c r="V28" s="1505"/>
      <c r="W28" s="1506"/>
      <c r="X28" s="1506"/>
      <c r="Y28" s="1506"/>
      <c r="Z28" s="1507"/>
      <c r="AA28" s="1506"/>
      <c r="AB28" s="1506"/>
      <c r="AC28" s="1524">
        <f t="shared" si="15"/>
        <v>647.96999999999991</v>
      </c>
      <c r="AD28" s="1524">
        <f t="shared" si="15"/>
        <v>0</v>
      </c>
      <c r="AE28" s="1524">
        <f t="shared" si="15"/>
        <v>0</v>
      </c>
      <c r="AF28" s="1524">
        <f t="shared" si="15"/>
        <v>0</v>
      </c>
      <c r="AG28" s="1524">
        <f t="shared" si="15"/>
        <v>0</v>
      </c>
      <c r="AH28" s="1524">
        <f t="shared" si="15"/>
        <v>0</v>
      </c>
      <c r="AI28" s="1524">
        <f t="shared" si="15"/>
        <v>0</v>
      </c>
      <c r="AJ28" s="1510">
        <f t="shared" si="24"/>
        <v>0</v>
      </c>
      <c r="AK28" s="1510">
        <f t="shared" si="24"/>
        <v>0</v>
      </c>
      <c r="AL28" s="1510">
        <f t="shared" si="24"/>
        <v>0</v>
      </c>
      <c r="AM28" s="1510">
        <f t="shared" si="24"/>
        <v>0</v>
      </c>
      <c r="AN28" s="1511"/>
      <c r="AO28" s="1524">
        <f t="shared" si="24"/>
        <v>61.2</v>
      </c>
      <c r="AP28" s="1524">
        <f t="shared" si="24"/>
        <v>0</v>
      </c>
      <c r="AQ28" s="1524">
        <f t="shared" si="24"/>
        <v>0</v>
      </c>
      <c r="AR28" s="1524">
        <f t="shared" si="24"/>
        <v>0</v>
      </c>
      <c r="AS28" s="1507">
        <f t="shared" si="24"/>
        <v>0</v>
      </c>
      <c r="AT28" s="1524">
        <f t="shared" si="24"/>
        <v>0</v>
      </c>
      <c r="AU28" s="1524">
        <f t="shared" si="24"/>
        <v>0</v>
      </c>
      <c r="AV28" s="1524">
        <f t="shared" si="24"/>
        <v>0</v>
      </c>
      <c r="AW28" s="1507">
        <f t="shared" si="24"/>
        <v>0</v>
      </c>
      <c r="AX28" s="1524">
        <f t="shared" si="24"/>
        <v>0</v>
      </c>
      <c r="AY28" s="1524">
        <f t="shared" si="24"/>
        <v>0</v>
      </c>
      <c r="AZ28" s="1524">
        <f t="shared" si="24"/>
        <v>0</v>
      </c>
      <c r="BA28" s="1511">
        <f t="shared" si="24"/>
        <v>0</v>
      </c>
      <c r="BB28" s="1524">
        <f t="shared" si="24"/>
        <v>0</v>
      </c>
      <c r="BC28" s="1524">
        <f t="shared" si="24"/>
        <v>0</v>
      </c>
      <c r="BD28" s="1524">
        <f t="shared" si="24"/>
        <v>0</v>
      </c>
      <c r="BE28" s="1511">
        <f t="shared" si="24"/>
        <v>160.60000000000002</v>
      </c>
      <c r="BF28" s="1524">
        <f t="shared" si="24"/>
        <v>0</v>
      </c>
      <c r="BG28" s="1524">
        <f t="shared" si="24"/>
        <v>0</v>
      </c>
      <c r="BH28" s="1524">
        <f t="shared" si="24"/>
        <v>0</v>
      </c>
      <c r="BI28" s="1511">
        <f t="shared" si="24"/>
        <v>0</v>
      </c>
      <c r="BJ28" s="1524">
        <f t="shared" si="24"/>
        <v>0</v>
      </c>
      <c r="BK28" s="1524">
        <f t="shared" si="24"/>
        <v>0</v>
      </c>
      <c r="BL28" s="1524">
        <f t="shared" si="24"/>
        <v>0</v>
      </c>
      <c r="BM28" s="1511">
        <f t="shared" si="24"/>
        <v>0</v>
      </c>
      <c r="BN28" s="1524">
        <f t="shared" si="24"/>
        <v>0</v>
      </c>
      <c r="BO28" s="1524">
        <f t="shared" si="24"/>
        <v>0</v>
      </c>
      <c r="BP28" s="1524">
        <f t="shared" si="24"/>
        <v>0</v>
      </c>
      <c r="BQ28" s="1511">
        <f t="shared" si="24"/>
        <v>0</v>
      </c>
      <c r="BR28" s="1524">
        <f t="shared" si="24"/>
        <v>0</v>
      </c>
      <c r="BS28" s="1524">
        <f t="shared" si="24"/>
        <v>0</v>
      </c>
      <c r="BT28" s="1524">
        <f t="shared" ref="BT28:CF28" si="29">BT47+BT130+BT213</f>
        <v>0</v>
      </c>
      <c r="BU28" s="1511">
        <f t="shared" si="29"/>
        <v>264.10000000000002</v>
      </c>
      <c r="BV28" s="1524">
        <f t="shared" si="29"/>
        <v>0</v>
      </c>
      <c r="BW28" s="1524">
        <f t="shared" si="29"/>
        <v>0</v>
      </c>
      <c r="BX28" s="1524">
        <f t="shared" si="29"/>
        <v>0</v>
      </c>
      <c r="BY28" s="1511">
        <f t="shared" si="29"/>
        <v>0</v>
      </c>
      <c r="BZ28" s="1524">
        <f t="shared" si="29"/>
        <v>0</v>
      </c>
      <c r="CA28" s="1524">
        <f t="shared" si="29"/>
        <v>0</v>
      </c>
      <c r="CB28" s="1524">
        <f t="shared" si="29"/>
        <v>0</v>
      </c>
      <c r="CC28" s="1511">
        <f t="shared" si="29"/>
        <v>0</v>
      </c>
      <c r="CD28" s="1524">
        <f t="shared" si="29"/>
        <v>0</v>
      </c>
      <c r="CE28" s="1524">
        <f t="shared" si="29"/>
        <v>0</v>
      </c>
      <c r="CF28" s="1524">
        <f t="shared" si="29"/>
        <v>0</v>
      </c>
      <c r="CG28" s="1525"/>
      <c r="CH28" s="1511">
        <f t="shared" si="17"/>
        <v>162.07000000000002</v>
      </c>
      <c r="CI28" s="1524">
        <f t="shared" si="17"/>
        <v>0</v>
      </c>
      <c r="CJ28" s="1524">
        <f t="shared" si="17"/>
        <v>0</v>
      </c>
      <c r="CK28" s="1524">
        <f t="shared" si="17"/>
        <v>0</v>
      </c>
      <c r="CL28" s="1495"/>
      <c r="CM28" s="1495"/>
      <c r="CN28" s="1495"/>
      <c r="CO28" s="1495"/>
      <c r="CP28" s="1495"/>
      <c r="CQ28" s="1495"/>
      <c r="CR28" s="1495"/>
      <c r="CS28" s="1495"/>
      <c r="CT28" s="1495"/>
      <c r="CU28" s="1495"/>
      <c r="CV28" s="1495"/>
      <c r="CW28" s="1495"/>
      <c r="CY28" s="1495"/>
    </row>
    <row r="29" spans="1:104" s="1496" customFormat="1" ht="15" customHeight="1" x14ac:dyDescent="0.15">
      <c r="A29" s="1541" t="s">
        <v>96</v>
      </c>
      <c r="B29" s="1523" t="s">
        <v>79</v>
      </c>
      <c r="C29" s="1523" t="s">
        <v>100</v>
      </c>
      <c r="D29" s="1523"/>
      <c r="E29" s="1523"/>
      <c r="F29" s="1523"/>
      <c r="G29" s="1523">
        <v>310</v>
      </c>
      <c r="H29" s="1502">
        <f t="shared" si="24"/>
        <v>650.36400000000003</v>
      </c>
      <c r="I29" s="1502">
        <f t="shared" si="24"/>
        <v>1200</v>
      </c>
      <c r="J29" s="1502">
        <f t="shared" si="24"/>
        <v>0</v>
      </c>
      <c r="K29" s="1502">
        <f t="shared" si="24"/>
        <v>999.9</v>
      </c>
      <c r="L29" s="1502">
        <f t="shared" si="24"/>
        <v>0</v>
      </c>
      <c r="M29" s="1502">
        <f t="shared" si="24"/>
        <v>0</v>
      </c>
      <c r="N29" s="1502">
        <f t="shared" si="24"/>
        <v>0</v>
      </c>
      <c r="O29" s="1502">
        <f t="shared" si="24"/>
        <v>0</v>
      </c>
      <c r="P29" s="1502">
        <f t="shared" si="24"/>
        <v>0</v>
      </c>
      <c r="Q29" s="1502">
        <f t="shared" si="24"/>
        <v>0</v>
      </c>
      <c r="R29" s="1502">
        <f t="shared" si="24"/>
        <v>0</v>
      </c>
      <c r="S29" s="1502">
        <f t="shared" si="24"/>
        <v>0</v>
      </c>
      <c r="T29" s="1504"/>
      <c r="U29" s="1505"/>
      <c r="V29" s="1505"/>
      <c r="W29" s="1506"/>
      <c r="X29" s="1506"/>
      <c r="Y29" s="1506"/>
      <c r="Z29" s="1507"/>
      <c r="AA29" s="1506"/>
      <c r="AB29" s="1506"/>
      <c r="AC29" s="1524">
        <f t="shared" si="15"/>
        <v>650.36400000000003</v>
      </c>
      <c r="AD29" s="1524">
        <f t="shared" si="15"/>
        <v>2199.9</v>
      </c>
      <c r="AE29" s="1524">
        <f t="shared" si="15"/>
        <v>1200</v>
      </c>
      <c r="AF29" s="1524">
        <f t="shared" si="15"/>
        <v>0</v>
      </c>
      <c r="AG29" s="1524">
        <f t="shared" si="15"/>
        <v>999.9</v>
      </c>
      <c r="AH29" s="1524">
        <f t="shared" si="15"/>
        <v>0</v>
      </c>
      <c r="AI29" s="1524">
        <f t="shared" si="15"/>
        <v>0</v>
      </c>
      <c r="AJ29" s="1510">
        <f t="shared" si="24"/>
        <v>0</v>
      </c>
      <c r="AK29" s="1510">
        <f t="shared" si="24"/>
        <v>0</v>
      </c>
      <c r="AL29" s="1510">
        <f t="shared" si="24"/>
        <v>0</v>
      </c>
      <c r="AM29" s="1510">
        <f t="shared" si="24"/>
        <v>0</v>
      </c>
      <c r="AN29" s="1511"/>
      <c r="AO29" s="1524">
        <f t="shared" si="24"/>
        <v>0</v>
      </c>
      <c r="AP29" s="1524">
        <f t="shared" si="24"/>
        <v>0</v>
      </c>
      <c r="AQ29" s="1524">
        <f t="shared" si="24"/>
        <v>0</v>
      </c>
      <c r="AR29" s="1524">
        <f t="shared" si="24"/>
        <v>0</v>
      </c>
      <c r="AS29" s="1507">
        <f t="shared" ref="AS29:BS29" si="30">AS48+AS131+AS214</f>
        <v>0</v>
      </c>
      <c r="AT29" s="1524">
        <f t="shared" si="30"/>
        <v>0</v>
      </c>
      <c r="AU29" s="1524">
        <f t="shared" si="30"/>
        <v>0</v>
      </c>
      <c r="AV29" s="1524">
        <f t="shared" si="30"/>
        <v>0</v>
      </c>
      <c r="AW29" s="1507">
        <f t="shared" si="30"/>
        <v>0</v>
      </c>
      <c r="AX29" s="1524">
        <f t="shared" si="30"/>
        <v>0</v>
      </c>
      <c r="AY29" s="1524">
        <f t="shared" si="30"/>
        <v>0</v>
      </c>
      <c r="AZ29" s="1524">
        <f t="shared" si="30"/>
        <v>0</v>
      </c>
      <c r="BA29" s="1511">
        <f t="shared" si="30"/>
        <v>0</v>
      </c>
      <c r="BB29" s="1524">
        <f t="shared" si="30"/>
        <v>0</v>
      </c>
      <c r="BC29" s="1524">
        <f t="shared" si="30"/>
        <v>0</v>
      </c>
      <c r="BD29" s="1524">
        <f t="shared" si="30"/>
        <v>0</v>
      </c>
      <c r="BE29" s="1511">
        <f t="shared" si="30"/>
        <v>0</v>
      </c>
      <c r="BF29" s="1524">
        <f t="shared" si="30"/>
        <v>0</v>
      </c>
      <c r="BG29" s="1524">
        <f t="shared" si="30"/>
        <v>0</v>
      </c>
      <c r="BH29" s="1524">
        <f t="shared" si="30"/>
        <v>0</v>
      </c>
      <c r="BI29" s="1511">
        <f t="shared" si="30"/>
        <v>0</v>
      </c>
      <c r="BJ29" s="1524">
        <f t="shared" si="30"/>
        <v>0</v>
      </c>
      <c r="BK29" s="1524">
        <f t="shared" si="30"/>
        <v>0</v>
      </c>
      <c r="BL29" s="1524">
        <f t="shared" si="30"/>
        <v>0</v>
      </c>
      <c r="BM29" s="1511">
        <f t="shared" si="30"/>
        <v>0</v>
      </c>
      <c r="BN29" s="1524">
        <f t="shared" si="30"/>
        <v>1200</v>
      </c>
      <c r="BO29" s="1524">
        <f t="shared" si="30"/>
        <v>0</v>
      </c>
      <c r="BP29" s="1524">
        <f t="shared" si="30"/>
        <v>0</v>
      </c>
      <c r="BQ29" s="1511">
        <f t="shared" si="30"/>
        <v>80.040000000000006</v>
      </c>
      <c r="BR29" s="1524">
        <f t="shared" si="30"/>
        <v>0</v>
      </c>
      <c r="BS29" s="1524">
        <f t="shared" si="30"/>
        <v>0</v>
      </c>
      <c r="BT29" s="1524">
        <f t="shared" ref="BT29:CF29" si="31">BT48+BT131+BT214</f>
        <v>0</v>
      </c>
      <c r="BU29" s="1511">
        <f t="shared" si="31"/>
        <v>510.16399999999999</v>
      </c>
      <c r="BV29" s="1524">
        <f t="shared" si="31"/>
        <v>0</v>
      </c>
      <c r="BW29" s="1524">
        <f t="shared" si="31"/>
        <v>0</v>
      </c>
      <c r="BX29" s="1524">
        <f t="shared" si="31"/>
        <v>0</v>
      </c>
      <c r="BY29" s="1511">
        <f t="shared" si="31"/>
        <v>0</v>
      </c>
      <c r="BZ29" s="1524">
        <f t="shared" si="31"/>
        <v>0</v>
      </c>
      <c r="CA29" s="1524">
        <f t="shared" si="31"/>
        <v>0</v>
      </c>
      <c r="CB29" s="1524">
        <f t="shared" si="31"/>
        <v>400</v>
      </c>
      <c r="CC29" s="1511">
        <f t="shared" si="31"/>
        <v>0</v>
      </c>
      <c r="CD29" s="1524">
        <f t="shared" si="31"/>
        <v>0</v>
      </c>
      <c r="CE29" s="1524">
        <f t="shared" si="31"/>
        <v>0</v>
      </c>
      <c r="CF29" s="1524">
        <f t="shared" si="31"/>
        <v>0</v>
      </c>
      <c r="CG29" s="1525"/>
      <c r="CH29" s="1511">
        <f t="shared" si="17"/>
        <v>60.160000000000004</v>
      </c>
      <c r="CI29" s="1524">
        <f t="shared" si="17"/>
        <v>0</v>
      </c>
      <c r="CJ29" s="1524">
        <f t="shared" si="17"/>
        <v>0</v>
      </c>
      <c r="CK29" s="1524">
        <f t="shared" si="17"/>
        <v>599.9</v>
      </c>
      <c r="CL29" s="1495"/>
      <c r="CM29" s="1495"/>
      <c r="CN29" s="1495"/>
      <c r="CO29" s="1495"/>
      <c r="CP29" s="1495"/>
      <c r="CQ29" s="1495"/>
      <c r="CR29" s="1495"/>
      <c r="CS29" s="1495"/>
      <c r="CT29" s="1495"/>
      <c r="CU29" s="1495"/>
      <c r="CV29" s="1495"/>
      <c r="CW29" s="1495"/>
      <c r="CY29" s="1495"/>
    </row>
    <row r="30" spans="1:104" s="1496" customFormat="1" ht="12.75" customHeight="1" x14ac:dyDescent="0.15">
      <c r="A30" s="1541" t="s">
        <v>97</v>
      </c>
      <c r="B30" s="1523" t="s">
        <v>79</v>
      </c>
      <c r="C30" s="1523" t="s">
        <v>100</v>
      </c>
      <c r="D30" s="1523"/>
      <c r="E30" s="1523"/>
      <c r="F30" s="1523"/>
      <c r="G30" s="1523">
        <v>340</v>
      </c>
      <c r="H30" s="1502">
        <f t="shared" ref="H30:BS30" si="32">H49+H132+H215</f>
        <v>568.5</v>
      </c>
      <c r="I30" s="1502">
        <f t="shared" si="32"/>
        <v>50</v>
      </c>
      <c r="J30" s="1502">
        <f t="shared" si="32"/>
        <v>0</v>
      </c>
      <c r="K30" s="1502">
        <f t="shared" si="32"/>
        <v>0</v>
      </c>
      <c r="L30" s="1502">
        <f t="shared" si="32"/>
        <v>0</v>
      </c>
      <c r="M30" s="1502">
        <f t="shared" si="32"/>
        <v>0</v>
      </c>
      <c r="N30" s="1502">
        <f t="shared" si="32"/>
        <v>0</v>
      </c>
      <c r="O30" s="1502">
        <f t="shared" si="32"/>
        <v>0</v>
      </c>
      <c r="P30" s="1502">
        <f t="shared" si="32"/>
        <v>0</v>
      </c>
      <c r="Q30" s="1502">
        <f t="shared" si="32"/>
        <v>0</v>
      </c>
      <c r="R30" s="1502">
        <f t="shared" si="32"/>
        <v>0</v>
      </c>
      <c r="S30" s="1502">
        <f t="shared" si="32"/>
        <v>0</v>
      </c>
      <c r="T30" s="1504"/>
      <c r="U30" s="1505"/>
      <c r="V30" s="1505"/>
      <c r="W30" s="1506"/>
      <c r="X30" s="1506"/>
      <c r="Y30" s="1506"/>
      <c r="Z30" s="1507"/>
      <c r="AA30" s="1506"/>
      <c r="AB30" s="1506"/>
      <c r="AC30" s="1524">
        <f t="shared" si="15"/>
        <v>568.5</v>
      </c>
      <c r="AD30" s="1524">
        <f t="shared" si="15"/>
        <v>50</v>
      </c>
      <c r="AE30" s="1524">
        <f t="shared" si="15"/>
        <v>50</v>
      </c>
      <c r="AF30" s="1524">
        <f t="shared" si="15"/>
        <v>0</v>
      </c>
      <c r="AG30" s="1524">
        <f t="shared" si="15"/>
        <v>0</v>
      </c>
      <c r="AH30" s="1524">
        <f t="shared" si="15"/>
        <v>0</v>
      </c>
      <c r="AI30" s="1524">
        <f t="shared" si="15"/>
        <v>0</v>
      </c>
      <c r="AJ30" s="1510">
        <f t="shared" si="32"/>
        <v>0</v>
      </c>
      <c r="AK30" s="1510">
        <f t="shared" si="32"/>
        <v>0</v>
      </c>
      <c r="AL30" s="1510">
        <f t="shared" si="32"/>
        <v>0</v>
      </c>
      <c r="AM30" s="1510">
        <f t="shared" si="32"/>
        <v>0</v>
      </c>
      <c r="AN30" s="1511"/>
      <c r="AO30" s="1524">
        <f t="shared" si="32"/>
        <v>48.9</v>
      </c>
      <c r="AP30" s="1524">
        <f t="shared" si="32"/>
        <v>0</v>
      </c>
      <c r="AQ30" s="1524">
        <f t="shared" si="32"/>
        <v>0</v>
      </c>
      <c r="AR30" s="1524">
        <f t="shared" si="32"/>
        <v>0</v>
      </c>
      <c r="AS30" s="1507">
        <f t="shared" si="32"/>
        <v>12.5</v>
      </c>
      <c r="AT30" s="1524">
        <f t="shared" si="32"/>
        <v>50</v>
      </c>
      <c r="AU30" s="1524">
        <f t="shared" si="32"/>
        <v>0</v>
      </c>
      <c r="AV30" s="1524">
        <f t="shared" si="32"/>
        <v>0</v>
      </c>
      <c r="AW30" s="1507">
        <f t="shared" si="32"/>
        <v>0</v>
      </c>
      <c r="AX30" s="1524">
        <f t="shared" si="32"/>
        <v>0</v>
      </c>
      <c r="AY30" s="1524">
        <f t="shared" si="32"/>
        <v>0</v>
      </c>
      <c r="AZ30" s="1524">
        <f t="shared" si="32"/>
        <v>0</v>
      </c>
      <c r="BA30" s="1511">
        <f t="shared" si="32"/>
        <v>0</v>
      </c>
      <c r="BB30" s="1524">
        <f t="shared" si="32"/>
        <v>0</v>
      </c>
      <c r="BC30" s="1524">
        <f t="shared" si="32"/>
        <v>0</v>
      </c>
      <c r="BD30" s="1524">
        <f t="shared" si="32"/>
        <v>0</v>
      </c>
      <c r="BE30" s="1511">
        <f t="shared" si="32"/>
        <v>0</v>
      </c>
      <c r="BF30" s="1524">
        <f t="shared" si="32"/>
        <v>0</v>
      </c>
      <c r="BG30" s="1524">
        <f t="shared" si="32"/>
        <v>0</v>
      </c>
      <c r="BH30" s="1524">
        <f t="shared" si="32"/>
        <v>0</v>
      </c>
      <c r="BI30" s="1511">
        <f t="shared" si="32"/>
        <v>0</v>
      </c>
      <c r="BJ30" s="1524">
        <f t="shared" si="32"/>
        <v>0</v>
      </c>
      <c r="BK30" s="1524">
        <f t="shared" si="32"/>
        <v>0</v>
      </c>
      <c r="BL30" s="1524">
        <f t="shared" si="32"/>
        <v>0</v>
      </c>
      <c r="BM30" s="1511">
        <f t="shared" si="32"/>
        <v>0</v>
      </c>
      <c r="BN30" s="1524">
        <f t="shared" si="32"/>
        <v>0</v>
      </c>
      <c r="BO30" s="1524">
        <f t="shared" si="32"/>
        <v>0</v>
      </c>
      <c r="BP30" s="1524">
        <f t="shared" si="32"/>
        <v>0</v>
      </c>
      <c r="BQ30" s="1511">
        <f t="shared" si="32"/>
        <v>0</v>
      </c>
      <c r="BR30" s="1524">
        <f t="shared" si="32"/>
        <v>0</v>
      </c>
      <c r="BS30" s="1524">
        <f t="shared" si="32"/>
        <v>0</v>
      </c>
      <c r="BT30" s="1524">
        <f t="shared" ref="BT30:CF30" si="33">BT49+BT132+BT215</f>
        <v>0</v>
      </c>
      <c r="BU30" s="1511">
        <f t="shared" si="33"/>
        <v>395</v>
      </c>
      <c r="BV30" s="1524">
        <f t="shared" si="33"/>
        <v>0</v>
      </c>
      <c r="BW30" s="1524">
        <f t="shared" si="33"/>
        <v>0</v>
      </c>
      <c r="BX30" s="1524">
        <f t="shared" si="33"/>
        <v>0</v>
      </c>
      <c r="BY30" s="1511">
        <f t="shared" si="33"/>
        <v>0</v>
      </c>
      <c r="BZ30" s="1524">
        <f t="shared" si="33"/>
        <v>0</v>
      </c>
      <c r="CA30" s="1524">
        <f t="shared" si="33"/>
        <v>0</v>
      </c>
      <c r="CB30" s="1524">
        <f t="shared" si="33"/>
        <v>0</v>
      </c>
      <c r="CC30" s="1511">
        <f t="shared" si="33"/>
        <v>0</v>
      </c>
      <c r="CD30" s="1524">
        <f t="shared" si="33"/>
        <v>0</v>
      </c>
      <c r="CE30" s="1524">
        <f t="shared" si="33"/>
        <v>0</v>
      </c>
      <c r="CF30" s="1524">
        <f t="shared" si="33"/>
        <v>0</v>
      </c>
      <c r="CG30" s="1525"/>
      <c r="CH30" s="1511">
        <f t="shared" si="17"/>
        <v>112.1</v>
      </c>
      <c r="CI30" s="1524">
        <f t="shared" si="17"/>
        <v>0</v>
      </c>
      <c r="CJ30" s="1524">
        <f t="shared" si="17"/>
        <v>0</v>
      </c>
      <c r="CK30" s="1524">
        <f t="shared" si="17"/>
        <v>0</v>
      </c>
      <c r="CL30" s="1495"/>
      <c r="CM30" s="1495"/>
      <c r="CN30" s="1495"/>
      <c r="CO30" s="1495"/>
      <c r="CP30" s="1495"/>
      <c r="CQ30" s="1495"/>
      <c r="CR30" s="1495"/>
      <c r="CS30" s="1495"/>
      <c r="CT30" s="1495"/>
      <c r="CU30" s="1495"/>
      <c r="CV30" s="1495"/>
      <c r="CW30" s="1495"/>
      <c r="CY30" s="1495"/>
    </row>
    <row r="31" spans="1:104" s="1496" customFormat="1" ht="12.75" customHeight="1" x14ac:dyDescent="0.15">
      <c r="A31" s="1528" t="s">
        <v>767</v>
      </c>
      <c r="B31" s="1530" t="s">
        <v>79</v>
      </c>
      <c r="C31" s="1530" t="s">
        <v>100</v>
      </c>
      <c r="D31" s="1530"/>
      <c r="E31" s="1530"/>
      <c r="F31" s="1530" t="s">
        <v>768</v>
      </c>
      <c r="G31" s="1542" t="s">
        <v>766</v>
      </c>
      <c r="H31" s="1543">
        <f>H50+H133+H216+H220</f>
        <v>3150</v>
      </c>
      <c r="I31" s="1502"/>
      <c r="J31" s="1502"/>
      <c r="K31" s="1502"/>
      <c r="L31" s="1503"/>
      <c r="M31" s="1503"/>
      <c r="N31" s="1503"/>
      <c r="O31" s="1503"/>
      <c r="P31" s="1503"/>
      <c r="Q31" s="1503"/>
      <c r="R31" s="1503"/>
      <c r="S31" s="1503"/>
      <c r="T31" s="1504"/>
      <c r="U31" s="1505"/>
      <c r="V31" s="1505"/>
      <c r="W31" s="1506"/>
      <c r="X31" s="1506"/>
      <c r="Y31" s="1506"/>
      <c r="Z31" s="1507"/>
      <c r="AA31" s="1506"/>
      <c r="AB31" s="1506"/>
      <c r="AC31" s="1544"/>
      <c r="AD31" s="1545"/>
      <c r="AE31" s="1545"/>
      <c r="AF31" s="1545"/>
      <c r="AG31" s="1545"/>
      <c r="AH31" s="1490">
        <f>CG31+CL31</f>
        <v>0</v>
      </c>
      <c r="AI31" s="1544">
        <f>AI50+AI133+AI216</f>
        <v>0</v>
      </c>
      <c r="AJ31" s="1510"/>
      <c r="AK31" s="1510"/>
      <c r="AL31" s="1510"/>
      <c r="AM31" s="1510"/>
      <c r="AN31" s="1511"/>
      <c r="AO31" s="1524"/>
      <c r="AP31" s="1524"/>
      <c r="AQ31" s="1524"/>
      <c r="AR31" s="1524"/>
      <c r="AS31" s="1507"/>
      <c r="AT31" s="1524"/>
      <c r="AU31" s="1524"/>
      <c r="AV31" s="1524"/>
      <c r="AW31" s="1507"/>
      <c r="AX31" s="1524"/>
      <c r="AY31" s="1524"/>
      <c r="AZ31" s="1524"/>
      <c r="BA31" s="1511"/>
      <c r="BB31" s="1524"/>
      <c r="BC31" s="1524"/>
      <c r="BD31" s="1524"/>
      <c r="BE31" s="1511"/>
      <c r="BF31" s="1524"/>
      <c r="BG31" s="1524"/>
      <c r="BH31" s="1524"/>
      <c r="BI31" s="1511"/>
      <c r="BJ31" s="1524"/>
      <c r="BK31" s="1524"/>
      <c r="BL31" s="1524"/>
      <c r="BM31" s="1511"/>
      <c r="BN31" s="1524"/>
      <c r="BO31" s="1524"/>
      <c r="BP31" s="1524"/>
      <c r="BQ31" s="1511"/>
      <c r="BR31" s="1524"/>
      <c r="BS31" s="1524"/>
      <c r="BT31" s="1524"/>
      <c r="BU31" s="1511"/>
      <c r="BV31" s="1524"/>
      <c r="BW31" s="1524"/>
      <c r="BX31" s="1524"/>
      <c r="BY31" s="1511"/>
      <c r="BZ31" s="1524"/>
      <c r="CA31" s="1524"/>
      <c r="CB31" s="1524"/>
      <c r="CC31" s="1511"/>
      <c r="CD31" s="1524"/>
      <c r="CE31" s="1524"/>
      <c r="CF31" s="1524"/>
      <c r="CG31" s="1525"/>
      <c r="CH31" s="1511"/>
      <c r="CI31" s="1524"/>
      <c r="CJ31" s="1524"/>
      <c r="CK31" s="1524"/>
      <c r="CL31" s="1495"/>
      <c r="CM31" s="1495"/>
      <c r="CN31" s="1495"/>
      <c r="CO31" s="1495"/>
      <c r="CP31" s="1495"/>
      <c r="CQ31" s="1495"/>
      <c r="CR31" s="1495"/>
      <c r="CS31" s="1495"/>
      <c r="CT31" s="1495"/>
      <c r="CU31" s="1495"/>
      <c r="CV31" s="1495"/>
      <c r="CW31" s="1495"/>
      <c r="CY31" s="1495"/>
    </row>
    <row r="32" spans="1:104" s="1559" customFormat="1" ht="12.75" customHeight="1" x14ac:dyDescent="0.15">
      <c r="A32" s="1546" t="s">
        <v>1126</v>
      </c>
      <c r="B32" s="1547" t="s">
        <v>79</v>
      </c>
      <c r="C32" s="1547" t="s">
        <v>100</v>
      </c>
      <c r="D32" s="1547" t="s">
        <v>101</v>
      </c>
      <c r="E32" s="1547"/>
      <c r="F32" s="1547"/>
      <c r="G32" s="1499"/>
      <c r="H32" s="1548">
        <f>H33</f>
        <v>45598.799999999996</v>
      </c>
      <c r="I32" s="1548">
        <f t="shared" ref="I32:CK34" si="34">I33</f>
        <v>450</v>
      </c>
      <c r="J32" s="1548">
        <f t="shared" si="34"/>
        <v>549.20000000000005</v>
      </c>
      <c r="K32" s="1548">
        <f t="shared" si="34"/>
        <v>0</v>
      </c>
      <c r="L32" s="1549"/>
      <c r="M32" s="1549"/>
      <c r="N32" s="1549"/>
      <c r="O32" s="1549"/>
      <c r="P32" s="1549"/>
      <c r="Q32" s="1549"/>
      <c r="R32" s="1549"/>
      <c r="S32" s="1549"/>
      <c r="T32" s="1550"/>
      <c r="U32" s="1551"/>
      <c r="V32" s="1551"/>
      <c r="W32" s="1552"/>
      <c r="X32" s="1552"/>
      <c r="Y32" s="1552"/>
      <c r="Z32" s="1553"/>
      <c r="AA32" s="1552"/>
      <c r="AB32" s="1552"/>
      <c r="AC32" s="1554">
        <f t="shared" si="34"/>
        <v>45148.799999999996</v>
      </c>
      <c r="AD32" s="1554">
        <f t="shared" si="34"/>
        <v>999.2</v>
      </c>
      <c r="AE32" s="1554">
        <f t="shared" si="34"/>
        <v>450</v>
      </c>
      <c r="AF32" s="1554">
        <f t="shared" si="34"/>
        <v>549.20000000000005</v>
      </c>
      <c r="AG32" s="1554">
        <f t="shared" si="34"/>
        <v>0</v>
      </c>
      <c r="AH32" s="1490">
        <f>CG32+CL32</f>
        <v>0</v>
      </c>
      <c r="AI32" s="1555">
        <f t="shared" si="34"/>
        <v>0</v>
      </c>
      <c r="AJ32" s="1555">
        <f t="shared" si="34"/>
        <v>0</v>
      </c>
      <c r="AK32" s="1555">
        <f t="shared" si="34"/>
        <v>0</v>
      </c>
      <c r="AL32" s="1555">
        <f t="shared" si="34"/>
        <v>0</v>
      </c>
      <c r="AM32" s="1555">
        <f t="shared" si="34"/>
        <v>0</v>
      </c>
      <c r="AN32" s="1556"/>
      <c r="AO32" s="1556">
        <f t="shared" si="34"/>
        <v>3220.5000000000005</v>
      </c>
      <c r="AP32" s="1556">
        <f t="shared" si="34"/>
        <v>0</v>
      </c>
      <c r="AQ32" s="1556">
        <f t="shared" si="34"/>
        <v>0</v>
      </c>
      <c r="AR32" s="1556">
        <f t="shared" si="34"/>
        <v>0</v>
      </c>
      <c r="AS32" s="1553">
        <f t="shared" si="34"/>
        <v>3019.7999999999997</v>
      </c>
      <c r="AT32" s="1556">
        <f t="shared" si="34"/>
        <v>450</v>
      </c>
      <c r="AU32" s="1556">
        <f t="shared" si="34"/>
        <v>0</v>
      </c>
      <c r="AV32" s="1556">
        <f t="shared" si="34"/>
        <v>0</v>
      </c>
      <c r="AW32" s="1553">
        <f t="shared" si="34"/>
        <v>2938.1</v>
      </c>
      <c r="AX32" s="1556">
        <f t="shared" si="34"/>
        <v>0</v>
      </c>
      <c r="AY32" s="1556">
        <f t="shared" si="34"/>
        <v>0</v>
      </c>
      <c r="AZ32" s="1556">
        <f t="shared" si="34"/>
        <v>0</v>
      </c>
      <c r="BA32" s="1556">
        <f t="shared" si="34"/>
        <v>5938.07</v>
      </c>
      <c r="BB32" s="1556">
        <f t="shared" si="34"/>
        <v>0</v>
      </c>
      <c r="BC32" s="1556">
        <f t="shared" si="34"/>
        <v>0</v>
      </c>
      <c r="BD32" s="1556">
        <f t="shared" si="34"/>
        <v>0</v>
      </c>
      <c r="BE32" s="1556">
        <f t="shared" si="34"/>
        <v>3729.1499999999996</v>
      </c>
      <c r="BF32" s="1556">
        <f t="shared" si="34"/>
        <v>0</v>
      </c>
      <c r="BG32" s="1556">
        <f t="shared" si="34"/>
        <v>0</v>
      </c>
      <c r="BH32" s="1556">
        <f t="shared" si="34"/>
        <v>0</v>
      </c>
      <c r="BI32" s="1556">
        <f t="shared" si="34"/>
        <v>5609.9800000000005</v>
      </c>
      <c r="BJ32" s="1556">
        <f t="shared" si="34"/>
        <v>0</v>
      </c>
      <c r="BK32" s="1556">
        <f t="shared" si="34"/>
        <v>0</v>
      </c>
      <c r="BL32" s="1556">
        <f t="shared" si="34"/>
        <v>0</v>
      </c>
      <c r="BM32" s="1556">
        <f t="shared" si="34"/>
        <v>2035.4299999999998</v>
      </c>
      <c r="BN32" s="1556">
        <f t="shared" si="34"/>
        <v>0</v>
      </c>
      <c r="BO32" s="1556">
        <f t="shared" si="34"/>
        <v>0</v>
      </c>
      <c r="BP32" s="1556">
        <f t="shared" si="34"/>
        <v>0</v>
      </c>
      <c r="BQ32" s="1556">
        <f t="shared" si="34"/>
        <v>3373.8999999999996</v>
      </c>
      <c r="BR32" s="1556">
        <f t="shared" si="34"/>
        <v>0</v>
      </c>
      <c r="BS32" s="1556">
        <f t="shared" si="34"/>
        <v>0</v>
      </c>
      <c r="BT32" s="1556">
        <f t="shared" si="34"/>
        <v>0</v>
      </c>
      <c r="BU32" s="1556">
        <f t="shared" si="34"/>
        <v>4274.2700000000004</v>
      </c>
      <c r="BV32" s="1556">
        <f t="shared" si="34"/>
        <v>0</v>
      </c>
      <c r="BW32" s="1556">
        <f t="shared" si="34"/>
        <v>0</v>
      </c>
      <c r="BX32" s="1556">
        <f t="shared" si="34"/>
        <v>0</v>
      </c>
      <c r="BY32" s="1556">
        <f t="shared" si="34"/>
        <v>3807.66</v>
      </c>
      <c r="BZ32" s="1556">
        <f t="shared" si="34"/>
        <v>0</v>
      </c>
      <c r="CA32" s="1556">
        <f t="shared" si="34"/>
        <v>200</v>
      </c>
      <c r="CB32" s="1556">
        <f t="shared" si="34"/>
        <v>0</v>
      </c>
      <c r="CC32" s="1556">
        <f t="shared" si="34"/>
        <v>3627.8100000000004</v>
      </c>
      <c r="CD32" s="1556">
        <f t="shared" si="34"/>
        <v>0</v>
      </c>
      <c r="CE32" s="1556">
        <f t="shared" si="34"/>
        <v>0</v>
      </c>
      <c r="CF32" s="1556">
        <f t="shared" si="34"/>
        <v>0</v>
      </c>
      <c r="CG32" s="1557"/>
      <c r="CH32" s="1556">
        <f t="shared" si="34"/>
        <v>3574.1300000000006</v>
      </c>
      <c r="CI32" s="1556">
        <f t="shared" si="34"/>
        <v>0</v>
      </c>
      <c r="CJ32" s="1556">
        <f t="shared" si="34"/>
        <v>349.2</v>
      </c>
      <c r="CK32" s="1556">
        <f t="shared" si="34"/>
        <v>0</v>
      </c>
      <c r="CL32" s="1558"/>
      <c r="CM32" s="1558"/>
      <c r="CN32" s="1558"/>
      <c r="CO32" s="1558"/>
      <c r="CP32" s="1558"/>
      <c r="CQ32" s="1558"/>
      <c r="CR32" s="1558"/>
      <c r="CS32" s="1558"/>
      <c r="CT32" s="1558"/>
      <c r="CU32" s="1558"/>
      <c r="CV32" s="1558"/>
      <c r="CW32" s="1558"/>
      <c r="CY32" s="1558"/>
    </row>
    <row r="33" spans="1:107" s="1559" customFormat="1" x14ac:dyDescent="0.15">
      <c r="A33" s="1515" t="s">
        <v>769</v>
      </c>
      <c r="B33" s="1516" t="s">
        <v>79</v>
      </c>
      <c r="C33" s="1516" t="s">
        <v>100</v>
      </c>
      <c r="D33" s="1516" t="s">
        <v>101</v>
      </c>
      <c r="E33" s="1560">
        <v>4230000</v>
      </c>
      <c r="F33" s="1516"/>
      <c r="G33" s="1516"/>
      <c r="H33" s="1561">
        <f>H34</f>
        <v>45598.799999999996</v>
      </c>
      <c r="I33" s="1561">
        <f t="shared" si="34"/>
        <v>450</v>
      </c>
      <c r="J33" s="1561">
        <f t="shared" si="34"/>
        <v>549.20000000000005</v>
      </c>
      <c r="K33" s="1561">
        <f t="shared" si="34"/>
        <v>0</v>
      </c>
      <c r="L33" s="1562"/>
      <c r="M33" s="1562"/>
      <c r="N33" s="1562"/>
      <c r="O33" s="1562"/>
      <c r="P33" s="1562"/>
      <c r="Q33" s="1562"/>
      <c r="R33" s="1562"/>
      <c r="S33" s="1562"/>
      <c r="T33" s="1563"/>
      <c r="U33" s="1564"/>
      <c r="V33" s="1564"/>
      <c r="W33" s="1565"/>
      <c r="X33" s="1565"/>
      <c r="Y33" s="1565"/>
      <c r="Z33" s="1566"/>
      <c r="AA33" s="1565"/>
      <c r="AB33" s="1565"/>
      <c r="AC33" s="1567">
        <f t="shared" si="34"/>
        <v>45148.799999999996</v>
      </c>
      <c r="AD33" s="1567">
        <f t="shared" si="34"/>
        <v>999.2</v>
      </c>
      <c r="AE33" s="1567">
        <f t="shared" si="34"/>
        <v>450</v>
      </c>
      <c r="AF33" s="1567">
        <f t="shared" si="34"/>
        <v>549.20000000000005</v>
      </c>
      <c r="AG33" s="1567">
        <f t="shared" si="34"/>
        <v>0</v>
      </c>
      <c r="AH33" s="1567">
        <f t="shared" si="34"/>
        <v>0</v>
      </c>
      <c r="AI33" s="1568">
        <f t="shared" si="34"/>
        <v>0</v>
      </c>
      <c r="AJ33" s="1568">
        <f t="shared" si="34"/>
        <v>0</v>
      </c>
      <c r="AK33" s="1568">
        <f t="shared" si="34"/>
        <v>0</v>
      </c>
      <c r="AL33" s="1568">
        <f t="shared" si="34"/>
        <v>0</v>
      </c>
      <c r="AM33" s="1568">
        <f t="shared" si="34"/>
        <v>0</v>
      </c>
      <c r="AN33" s="1569"/>
      <c r="AO33" s="1569">
        <f t="shared" si="34"/>
        <v>3220.5000000000005</v>
      </c>
      <c r="AP33" s="1569">
        <f t="shared" si="34"/>
        <v>0</v>
      </c>
      <c r="AQ33" s="1569">
        <f t="shared" si="34"/>
        <v>0</v>
      </c>
      <c r="AR33" s="1569">
        <f t="shared" si="34"/>
        <v>0</v>
      </c>
      <c r="AS33" s="1566">
        <f t="shared" si="34"/>
        <v>3019.7999999999997</v>
      </c>
      <c r="AT33" s="1569">
        <f t="shared" si="34"/>
        <v>450</v>
      </c>
      <c r="AU33" s="1569">
        <f t="shared" si="34"/>
        <v>0</v>
      </c>
      <c r="AV33" s="1569">
        <f t="shared" si="34"/>
        <v>0</v>
      </c>
      <c r="AW33" s="1566">
        <f t="shared" si="34"/>
        <v>2938.1</v>
      </c>
      <c r="AX33" s="1569">
        <f t="shared" si="34"/>
        <v>0</v>
      </c>
      <c r="AY33" s="1569">
        <f t="shared" si="34"/>
        <v>0</v>
      </c>
      <c r="AZ33" s="1569">
        <f t="shared" si="34"/>
        <v>0</v>
      </c>
      <c r="BA33" s="1569">
        <f t="shared" si="34"/>
        <v>5938.07</v>
      </c>
      <c r="BB33" s="1569">
        <f t="shared" si="34"/>
        <v>0</v>
      </c>
      <c r="BC33" s="1569">
        <f t="shared" si="34"/>
        <v>0</v>
      </c>
      <c r="BD33" s="1569">
        <f t="shared" si="34"/>
        <v>0</v>
      </c>
      <c r="BE33" s="1569">
        <f t="shared" si="34"/>
        <v>3729.1499999999996</v>
      </c>
      <c r="BF33" s="1569">
        <f t="shared" si="34"/>
        <v>0</v>
      </c>
      <c r="BG33" s="1569">
        <f t="shared" si="34"/>
        <v>0</v>
      </c>
      <c r="BH33" s="1569">
        <f t="shared" si="34"/>
        <v>0</v>
      </c>
      <c r="BI33" s="1569">
        <f t="shared" si="34"/>
        <v>5609.9800000000005</v>
      </c>
      <c r="BJ33" s="1569">
        <f t="shared" si="34"/>
        <v>0</v>
      </c>
      <c r="BK33" s="1569">
        <f t="shared" si="34"/>
        <v>0</v>
      </c>
      <c r="BL33" s="1569">
        <f t="shared" si="34"/>
        <v>0</v>
      </c>
      <c r="BM33" s="1569">
        <f t="shared" si="34"/>
        <v>2035.4299999999998</v>
      </c>
      <c r="BN33" s="1569">
        <f t="shared" si="34"/>
        <v>0</v>
      </c>
      <c r="BO33" s="1569">
        <f t="shared" si="34"/>
        <v>0</v>
      </c>
      <c r="BP33" s="1569">
        <f t="shared" si="34"/>
        <v>0</v>
      </c>
      <c r="BQ33" s="1569">
        <f t="shared" si="34"/>
        <v>3373.8999999999996</v>
      </c>
      <c r="BR33" s="1569">
        <f t="shared" si="34"/>
        <v>0</v>
      </c>
      <c r="BS33" s="1569">
        <f t="shared" si="34"/>
        <v>0</v>
      </c>
      <c r="BT33" s="1569">
        <f t="shared" si="34"/>
        <v>0</v>
      </c>
      <c r="BU33" s="1569">
        <f t="shared" si="34"/>
        <v>4274.2700000000004</v>
      </c>
      <c r="BV33" s="1569">
        <f t="shared" si="34"/>
        <v>0</v>
      </c>
      <c r="BW33" s="1569">
        <f t="shared" si="34"/>
        <v>0</v>
      </c>
      <c r="BX33" s="1569">
        <f t="shared" si="34"/>
        <v>0</v>
      </c>
      <c r="BY33" s="1569">
        <f t="shared" si="34"/>
        <v>3807.66</v>
      </c>
      <c r="BZ33" s="1569">
        <f t="shared" si="34"/>
        <v>0</v>
      </c>
      <c r="CA33" s="1569">
        <f t="shared" si="34"/>
        <v>200</v>
      </c>
      <c r="CB33" s="1569">
        <f t="shared" si="34"/>
        <v>0</v>
      </c>
      <c r="CC33" s="1569">
        <f t="shared" si="34"/>
        <v>3627.8100000000004</v>
      </c>
      <c r="CD33" s="1569">
        <f t="shared" si="34"/>
        <v>0</v>
      </c>
      <c r="CE33" s="1569">
        <f t="shared" si="34"/>
        <v>0</v>
      </c>
      <c r="CF33" s="1569">
        <f t="shared" si="34"/>
        <v>0</v>
      </c>
      <c r="CG33" s="1570"/>
      <c r="CH33" s="1569">
        <f t="shared" si="34"/>
        <v>3574.1300000000006</v>
      </c>
      <c r="CI33" s="1569">
        <f t="shared" si="34"/>
        <v>0</v>
      </c>
      <c r="CJ33" s="1569">
        <f t="shared" si="34"/>
        <v>349.2</v>
      </c>
      <c r="CK33" s="1569">
        <f t="shared" si="34"/>
        <v>0</v>
      </c>
      <c r="CL33" s="1558"/>
      <c r="CM33" s="1558"/>
      <c r="CN33" s="1558"/>
      <c r="CO33" s="1558"/>
      <c r="CP33" s="1558"/>
      <c r="CQ33" s="1558"/>
      <c r="CR33" s="1558"/>
      <c r="CS33" s="1558"/>
      <c r="CT33" s="1558"/>
      <c r="CU33" s="1558"/>
      <c r="CV33" s="1558"/>
      <c r="CW33" s="1558"/>
      <c r="CY33" s="1558"/>
    </row>
    <row r="34" spans="1:107" s="1559" customFormat="1" ht="39" x14ac:dyDescent="0.15">
      <c r="A34" s="1571" t="s">
        <v>770</v>
      </c>
      <c r="B34" s="1572" t="s">
        <v>79</v>
      </c>
      <c r="C34" s="1572" t="s">
        <v>100</v>
      </c>
      <c r="D34" s="1572" t="s">
        <v>101</v>
      </c>
      <c r="E34" s="1573">
        <v>4239902</v>
      </c>
      <c r="F34" s="1516"/>
      <c r="G34" s="1516"/>
      <c r="H34" s="1561">
        <f>H35</f>
        <v>45598.799999999996</v>
      </c>
      <c r="I34" s="1561">
        <f t="shared" si="34"/>
        <v>450</v>
      </c>
      <c r="J34" s="1561">
        <f t="shared" si="34"/>
        <v>549.20000000000005</v>
      </c>
      <c r="K34" s="1561">
        <f t="shared" si="34"/>
        <v>0</v>
      </c>
      <c r="L34" s="1562"/>
      <c r="M34" s="1562"/>
      <c r="N34" s="1562"/>
      <c r="O34" s="1562"/>
      <c r="P34" s="1562"/>
      <c r="Q34" s="1562"/>
      <c r="R34" s="1562"/>
      <c r="S34" s="1562"/>
      <c r="T34" s="1563"/>
      <c r="U34" s="1564"/>
      <c r="V34" s="1564"/>
      <c r="W34" s="1565"/>
      <c r="X34" s="1565"/>
      <c r="Y34" s="1565"/>
      <c r="Z34" s="1566"/>
      <c r="AA34" s="1565"/>
      <c r="AB34" s="1565"/>
      <c r="AC34" s="1567">
        <f t="shared" si="34"/>
        <v>45148.799999999996</v>
      </c>
      <c r="AD34" s="1567">
        <f t="shared" si="34"/>
        <v>999.2</v>
      </c>
      <c r="AE34" s="1567">
        <f t="shared" si="34"/>
        <v>450</v>
      </c>
      <c r="AF34" s="1567">
        <f t="shared" si="34"/>
        <v>549.20000000000005</v>
      </c>
      <c r="AG34" s="1567">
        <f t="shared" si="34"/>
        <v>0</v>
      </c>
      <c r="AH34" s="1567">
        <f t="shared" si="34"/>
        <v>0</v>
      </c>
      <c r="AI34" s="1568">
        <f t="shared" si="34"/>
        <v>0</v>
      </c>
      <c r="AJ34" s="1568">
        <f t="shared" si="34"/>
        <v>0</v>
      </c>
      <c r="AK34" s="1568">
        <f t="shared" si="34"/>
        <v>0</v>
      </c>
      <c r="AL34" s="1568">
        <f t="shared" si="34"/>
        <v>0</v>
      </c>
      <c r="AM34" s="1568">
        <f t="shared" si="34"/>
        <v>0</v>
      </c>
      <c r="AN34" s="1569"/>
      <c r="AO34" s="1569">
        <f t="shared" si="34"/>
        <v>3220.5000000000005</v>
      </c>
      <c r="AP34" s="1569">
        <f t="shared" si="34"/>
        <v>0</v>
      </c>
      <c r="AQ34" s="1569">
        <f t="shared" si="34"/>
        <v>0</v>
      </c>
      <c r="AR34" s="1569">
        <f t="shared" si="34"/>
        <v>0</v>
      </c>
      <c r="AS34" s="1566">
        <f t="shared" si="34"/>
        <v>3019.7999999999997</v>
      </c>
      <c r="AT34" s="1569">
        <f t="shared" si="34"/>
        <v>450</v>
      </c>
      <c r="AU34" s="1569">
        <f t="shared" si="34"/>
        <v>0</v>
      </c>
      <c r="AV34" s="1569">
        <f t="shared" si="34"/>
        <v>0</v>
      </c>
      <c r="AW34" s="1566">
        <f t="shared" si="34"/>
        <v>2938.1</v>
      </c>
      <c r="AX34" s="1569">
        <f t="shared" si="34"/>
        <v>0</v>
      </c>
      <c r="AY34" s="1569">
        <f t="shared" si="34"/>
        <v>0</v>
      </c>
      <c r="AZ34" s="1569">
        <f t="shared" si="34"/>
        <v>0</v>
      </c>
      <c r="BA34" s="1569">
        <f t="shared" si="34"/>
        <v>5938.07</v>
      </c>
      <c r="BB34" s="1569">
        <f t="shared" si="34"/>
        <v>0</v>
      </c>
      <c r="BC34" s="1569">
        <f t="shared" si="34"/>
        <v>0</v>
      </c>
      <c r="BD34" s="1569">
        <f t="shared" si="34"/>
        <v>0</v>
      </c>
      <c r="BE34" s="1569">
        <f t="shared" si="34"/>
        <v>3729.1499999999996</v>
      </c>
      <c r="BF34" s="1569">
        <f t="shared" si="34"/>
        <v>0</v>
      </c>
      <c r="BG34" s="1569">
        <f t="shared" si="34"/>
        <v>0</v>
      </c>
      <c r="BH34" s="1569">
        <f t="shared" si="34"/>
        <v>0</v>
      </c>
      <c r="BI34" s="1569">
        <f t="shared" si="34"/>
        <v>5609.9800000000005</v>
      </c>
      <c r="BJ34" s="1569">
        <f t="shared" si="34"/>
        <v>0</v>
      </c>
      <c r="BK34" s="1569">
        <f t="shared" si="34"/>
        <v>0</v>
      </c>
      <c r="BL34" s="1569">
        <f t="shared" si="34"/>
        <v>0</v>
      </c>
      <c r="BM34" s="1569">
        <f t="shared" si="34"/>
        <v>2035.4299999999998</v>
      </c>
      <c r="BN34" s="1569">
        <f t="shared" si="34"/>
        <v>0</v>
      </c>
      <c r="BO34" s="1569">
        <f t="shared" si="34"/>
        <v>0</v>
      </c>
      <c r="BP34" s="1569">
        <f t="shared" si="34"/>
        <v>0</v>
      </c>
      <c r="BQ34" s="1569">
        <f t="shared" si="34"/>
        <v>3373.8999999999996</v>
      </c>
      <c r="BR34" s="1569">
        <f t="shared" si="34"/>
        <v>0</v>
      </c>
      <c r="BS34" s="1569">
        <f t="shared" si="34"/>
        <v>0</v>
      </c>
      <c r="BT34" s="1569">
        <f t="shared" si="34"/>
        <v>0</v>
      </c>
      <c r="BU34" s="1569">
        <f t="shared" si="34"/>
        <v>4274.2700000000004</v>
      </c>
      <c r="BV34" s="1569">
        <f t="shared" si="34"/>
        <v>0</v>
      </c>
      <c r="BW34" s="1569">
        <f t="shared" si="34"/>
        <v>0</v>
      </c>
      <c r="BX34" s="1569">
        <f t="shared" si="34"/>
        <v>0</v>
      </c>
      <c r="BY34" s="1569">
        <f t="shared" si="34"/>
        <v>3807.66</v>
      </c>
      <c r="BZ34" s="1569">
        <f t="shared" si="34"/>
        <v>0</v>
      </c>
      <c r="CA34" s="1569">
        <f t="shared" si="34"/>
        <v>200</v>
      </c>
      <c r="CB34" s="1569">
        <f t="shared" si="34"/>
        <v>0</v>
      </c>
      <c r="CC34" s="1569">
        <f t="shared" si="34"/>
        <v>3627.8100000000004</v>
      </c>
      <c r="CD34" s="1569">
        <f t="shared" si="34"/>
        <v>0</v>
      </c>
      <c r="CE34" s="1569">
        <f t="shared" si="34"/>
        <v>0</v>
      </c>
      <c r="CF34" s="1569">
        <f t="shared" si="34"/>
        <v>0</v>
      </c>
      <c r="CG34" s="1570"/>
      <c r="CH34" s="1569">
        <f t="shared" si="34"/>
        <v>3574.1300000000006</v>
      </c>
      <c r="CI34" s="1569">
        <f t="shared" si="34"/>
        <v>0</v>
      </c>
      <c r="CJ34" s="1569">
        <f t="shared" si="34"/>
        <v>349.2</v>
      </c>
      <c r="CK34" s="1569">
        <f t="shared" si="34"/>
        <v>0</v>
      </c>
      <c r="CL34" s="1558"/>
      <c r="CM34" s="1558"/>
      <c r="CN34" s="1558"/>
      <c r="CO34" s="1558"/>
      <c r="CP34" s="1558"/>
      <c r="CQ34" s="1558"/>
      <c r="CR34" s="1558"/>
      <c r="CS34" s="1558"/>
      <c r="CT34" s="1558"/>
      <c r="CU34" s="1558"/>
      <c r="CV34" s="1558"/>
      <c r="CW34" s="1558"/>
      <c r="CY34" s="1558"/>
    </row>
    <row r="35" spans="1:107" s="1559" customFormat="1" ht="26" x14ac:dyDescent="0.15">
      <c r="A35" s="1574" t="s">
        <v>1125</v>
      </c>
      <c r="B35" s="1575" t="s">
        <v>79</v>
      </c>
      <c r="C35" s="1575" t="s">
        <v>100</v>
      </c>
      <c r="D35" s="1575" t="s">
        <v>101</v>
      </c>
      <c r="E35" s="1576">
        <v>4239902</v>
      </c>
      <c r="F35" s="1575">
        <v>600</v>
      </c>
      <c r="G35" s="1577"/>
      <c r="H35" s="1578">
        <f>H36+H50</f>
        <v>45598.799999999996</v>
      </c>
      <c r="I35" s="1578">
        <f t="shared" ref="I35:CK35" si="35">I36+I50</f>
        <v>450</v>
      </c>
      <c r="J35" s="1578">
        <f>J36+J50</f>
        <v>549.20000000000005</v>
      </c>
      <c r="K35" s="1578">
        <f t="shared" si="35"/>
        <v>0</v>
      </c>
      <c r="L35" s="1579"/>
      <c r="M35" s="1579"/>
      <c r="N35" s="1579"/>
      <c r="O35" s="1579"/>
      <c r="P35" s="1579"/>
      <c r="Q35" s="1579"/>
      <c r="R35" s="1579"/>
      <c r="S35" s="1579"/>
      <c r="T35" s="1580"/>
      <c r="U35" s="1581"/>
      <c r="V35" s="1581"/>
      <c r="W35" s="1582"/>
      <c r="X35" s="1582"/>
      <c r="Y35" s="1582"/>
      <c r="Z35" s="1583"/>
      <c r="AA35" s="1582"/>
      <c r="AB35" s="1582"/>
      <c r="AC35" s="1584">
        <f t="shared" si="35"/>
        <v>45148.799999999996</v>
      </c>
      <c r="AD35" s="1584">
        <f>AD36+AD50</f>
        <v>999.2</v>
      </c>
      <c r="AE35" s="1584">
        <f>AE36+AE50</f>
        <v>450</v>
      </c>
      <c r="AF35" s="1584">
        <f>AF36+AF50</f>
        <v>549.20000000000005</v>
      </c>
      <c r="AG35" s="1584">
        <f>AG36+AG50</f>
        <v>0</v>
      </c>
      <c r="AH35" s="1584">
        <f>AH36+AH50</f>
        <v>0</v>
      </c>
      <c r="AI35" s="1585">
        <f t="shared" si="35"/>
        <v>0</v>
      </c>
      <c r="AJ35" s="1585">
        <f t="shared" si="35"/>
        <v>0</v>
      </c>
      <c r="AK35" s="1585">
        <f t="shared" si="35"/>
        <v>0</v>
      </c>
      <c r="AL35" s="1585">
        <f t="shared" si="35"/>
        <v>0</v>
      </c>
      <c r="AM35" s="1585">
        <f t="shared" si="35"/>
        <v>0</v>
      </c>
      <c r="AN35" s="1586"/>
      <c r="AO35" s="1586">
        <f t="shared" si="35"/>
        <v>3220.5000000000005</v>
      </c>
      <c r="AP35" s="1586">
        <f t="shared" si="35"/>
        <v>0</v>
      </c>
      <c r="AQ35" s="1586">
        <f t="shared" si="35"/>
        <v>0</v>
      </c>
      <c r="AR35" s="1586">
        <f t="shared" si="35"/>
        <v>0</v>
      </c>
      <c r="AS35" s="1583">
        <f t="shared" si="35"/>
        <v>3019.7999999999997</v>
      </c>
      <c r="AT35" s="1586">
        <f t="shared" si="35"/>
        <v>450</v>
      </c>
      <c r="AU35" s="1586">
        <f t="shared" si="35"/>
        <v>0</v>
      </c>
      <c r="AV35" s="1586">
        <f t="shared" si="35"/>
        <v>0</v>
      </c>
      <c r="AW35" s="1583">
        <f t="shared" si="35"/>
        <v>2938.1</v>
      </c>
      <c r="AX35" s="1586">
        <f t="shared" si="35"/>
        <v>0</v>
      </c>
      <c r="AY35" s="1586">
        <f t="shared" si="35"/>
        <v>0</v>
      </c>
      <c r="AZ35" s="1586">
        <f t="shared" si="35"/>
        <v>0</v>
      </c>
      <c r="BA35" s="1586">
        <f t="shared" si="35"/>
        <v>5938.07</v>
      </c>
      <c r="BB35" s="1586">
        <f t="shared" si="35"/>
        <v>0</v>
      </c>
      <c r="BC35" s="1586">
        <f t="shared" si="35"/>
        <v>0</v>
      </c>
      <c r="BD35" s="1586">
        <f t="shared" si="35"/>
        <v>0</v>
      </c>
      <c r="BE35" s="1511">
        <f t="shared" si="35"/>
        <v>3729.1499999999996</v>
      </c>
      <c r="BF35" s="1586">
        <f t="shared" si="35"/>
        <v>0</v>
      </c>
      <c r="BG35" s="1586">
        <f t="shared" si="35"/>
        <v>0</v>
      </c>
      <c r="BH35" s="1586">
        <f t="shared" si="35"/>
        <v>0</v>
      </c>
      <c r="BI35" s="1586">
        <f t="shared" si="35"/>
        <v>5609.9800000000005</v>
      </c>
      <c r="BJ35" s="1586">
        <f t="shared" si="35"/>
        <v>0</v>
      </c>
      <c r="BK35" s="1586">
        <f t="shared" si="35"/>
        <v>0</v>
      </c>
      <c r="BL35" s="1586">
        <f t="shared" si="35"/>
        <v>0</v>
      </c>
      <c r="BM35" s="1586">
        <f t="shared" si="35"/>
        <v>2035.4299999999998</v>
      </c>
      <c r="BN35" s="1586">
        <f t="shared" si="35"/>
        <v>0</v>
      </c>
      <c r="BO35" s="1586">
        <f t="shared" si="35"/>
        <v>0</v>
      </c>
      <c r="BP35" s="1586">
        <f t="shared" si="35"/>
        <v>0</v>
      </c>
      <c r="BQ35" s="1586">
        <f t="shared" si="35"/>
        <v>3373.8999999999996</v>
      </c>
      <c r="BR35" s="1586">
        <f t="shared" si="35"/>
        <v>0</v>
      </c>
      <c r="BS35" s="1586">
        <f t="shared" si="35"/>
        <v>0</v>
      </c>
      <c r="BT35" s="1586">
        <f t="shared" si="35"/>
        <v>0</v>
      </c>
      <c r="BU35" s="1586">
        <f t="shared" si="35"/>
        <v>4274.2700000000004</v>
      </c>
      <c r="BV35" s="1586">
        <f t="shared" si="35"/>
        <v>0</v>
      </c>
      <c r="BW35" s="1586">
        <f t="shared" si="35"/>
        <v>0</v>
      </c>
      <c r="BX35" s="1586">
        <f t="shared" si="35"/>
        <v>0</v>
      </c>
      <c r="BY35" s="1586">
        <f t="shared" si="35"/>
        <v>3807.66</v>
      </c>
      <c r="BZ35" s="1586">
        <f t="shared" si="35"/>
        <v>0</v>
      </c>
      <c r="CA35" s="1586">
        <f t="shared" si="35"/>
        <v>200</v>
      </c>
      <c r="CB35" s="1586">
        <f t="shared" si="35"/>
        <v>0</v>
      </c>
      <c r="CC35" s="1586">
        <f t="shared" si="35"/>
        <v>3627.8100000000004</v>
      </c>
      <c r="CD35" s="1586">
        <f t="shared" si="35"/>
        <v>0</v>
      </c>
      <c r="CE35" s="1586">
        <f t="shared" si="35"/>
        <v>0</v>
      </c>
      <c r="CF35" s="1586">
        <f t="shared" si="35"/>
        <v>0</v>
      </c>
      <c r="CG35" s="1587"/>
      <c r="CH35" s="1586">
        <f t="shared" si="35"/>
        <v>3574.1300000000006</v>
      </c>
      <c r="CI35" s="1586">
        <f t="shared" si="35"/>
        <v>0</v>
      </c>
      <c r="CJ35" s="1586">
        <f t="shared" si="35"/>
        <v>349.2</v>
      </c>
      <c r="CK35" s="1586">
        <f t="shared" si="35"/>
        <v>0</v>
      </c>
      <c r="CL35" s="1558"/>
      <c r="CM35" s="1558"/>
      <c r="CN35" s="1558"/>
      <c r="CO35" s="1558"/>
      <c r="CP35" s="1558"/>
      <c r="CQ35" s="1558"/>
      <c r="CR35" s="1558"/>
      <c r="CS35" s="1558"/>
      <c r="CT35" s="1558"/>
      <c r="CU35" s="1558"/>
      <c r="CV35" s="1558"/>
      <c r="CW35" s="1558"/>
      <c r="CY35" s="1558"/>
    </row>
    <row r="36" spans="1:107" s="1595" customFormat="1" ht="39" x14ac:dyDescent="0.15">
      <c r="A36" s="1469" t="s">
        <v>764</v>
      </c>
      <c r="B36" s="1516" t="s">
        <v>79</v>
      </c>
      <c r="C36" s="1516" t="s">
        <v>100</v>
      </c>
      <c r="D36" s="1516" t="s">
        <v>101</v>
      </c>
      <c r="E36" s="1560">
        <v>4239902</v>
      </c>
      <c r="F36" s="1516" t="s">
        <v>765</v>
      </c>
      <c r="G36" s="1516" t="s">
        <v>766</v>
      </c>
      <c r="H36" s="1517">
        <f>H37+H38+H39+H40+H41+H42+H43+H44+H45+H46+H47+H48+H49</f>
        <v>45148.799999999996</v>
      </c>
      <c r="I36" s="1517">
        <f t="shared" ref="I36:CK36" si="36">I37+I38+I39+I40+I41+I42+I43+I44+I45+I46+I47+I48+I49</f>
        <v>450</v>
      </c>
      <c r="J36" s="1517">
        <f t="shared" si="36"/>
        <v>549.20000000000005</v>
      </c>
      <c r="K36" s="1517">
        <f t="shared" si="36"/>
        <v>0</v>
      </c>
      <c r="L36" s="1518"/>
      <c r="M36" s="1518"/>
      <c r="N36" s="1518"/>
      <c r="O36" s="1518"/>
      <c r="P36" s="1518"/>
      <c r="Q36" s="1518"/>
      <c r="R36" s="1518"/>
      <c r="S36" s="1518"/>
      <c r="T36" s="1539">
        <f t="shared" si="36"/>
        <v>2406.1</v>
      </c>
      <c r="U36" s="1588"/>
      <c r="V36" s="1588"/>
      <c r="W36" s="1589"/>
      <c r="X36" s="1589"/>
      <c r="Y36" s="1589"/>
      <c r="Z36" s="1590"/>
      <c r="AA36" s="1589"/>
      <c r="AB36" s="1589"/>
      <c r="AC36" s="1591">
        <f t="shared" si="36"/>
        <v>45148.799999999996</v>
      </c>
      <c r="AD36" s="1591">
        <f>AD37+AD38+AD39+AD40+AD41+AD42+AD43+AD44+AD45+AD46+AD47+AD48+AD49</f>
        <v>999.2</v>
      </c>
      <c r="AE36" s="1591">
        <f>AE37+AE38+AE39+AE40+AE41+AE42+AE43+AE44+AE45+AE46+AE47+AE48+AE49</f>
        <v>450</v>
      </c>
      <c r="AF36" s="1591">
        <f>AF37+AF38+AF39+AF40+AF41+AF42+AF43+AF44+AF45+AF46+AF47+AF48+AF49</f>
        <v>549.20000000000005</v>
      </c>
      <c r="AG36" s="1591">
        <f>AG37+AG38+AG39+AG40+AG41+AG42+AG43+AG44+AG45+AG46+AG47+AG48+AG49</f>
        <v>0</v>
      </c>
      <c r="AH36" s="1591">
        <f>AH37+AH38+AH39+AH40+AH41+AH42+AH43+AH44+AH45+AH46+AH47+AH48+AH49</f>
        <v>0</v>
      </c>
      <c r="AI36" s="1592">
        <f t="shared" si="36"/>
        <v>0</v>
      </c>
      <c r="AJ36" s="1592">
        <f t="shared" si="36"/>
        <v>0</v>
      </c>
      <c r="AK36" s="1592">
        <f t="shared" si="36"/>
        <v>0</v>
      </c>
      <c r="AL36" s="1592">
        <f t="shared" si="36"/>
        <v>0</v>
      </c>
      <c r="AM36" s="1592">
        <f t="shared" si="36"/>
        <v>0</v>
      </c>
      <c r="AN36" s="1539"/>
      <c r="AO36" s="1539">
        <f t="shared" si="36"/>
        <v>3220.5000000000005</v>
      </c>
      <c r="AP36" s="1539">
        <f t="shared" si="36"/>
        <v>0</v>
      </c>
      <c r="AQ36" s="1539">
        <f t="shared" si="36"/>
        <v>0</v>
      </c>
      <c r="AR36" s="1539">
        <f t="shared" si="36"/>
        <v>0</v>
      </c>
      <c r="AS36" s="1590">
        <f t="shared" si="36"/>
        <v>3019.7999999999997</v>
      </c>
      <c r="AT36" s="1539">
        <f t="shared" si="36"/>
        <v>450</v>
      </c>
      <c r="AU36" s="1539">
        <f t="shared" si="36"/>
        <v>0</v>
      </c>
      <c r="AV36" s="1539">
        <f t="shared" si="36"/>
        <v>0</v>
      </c>
      <c r="AW36" s="1590">
        <f t="shared" si="36"/>
        <v>2938.1</v>
      </c>
      <c r="AX36" s="1539">
        <f t="shared" si="36"/>
        <v>0</v>
      </c>
      <c r="AY36" s="1539">
        <f t="shared" si="36"/>
        <v>0</v>
      </c>
      <c r="AZ36" s="1539">
        <f t="shared" si="36"/>
        <v>0</v>
      </c>
      <c r="BA36" s="1539">
        <f t="shared" si="36"/>
        <v>5938.07</v>
      </c>
      <c r="BB36" s="1539">
        <f t="shared" si="36"/>
        <v>0</v>
      </c>
      <c r="BC36" s="1539">
        <f t="shared" si="36"/>
        <v>0</v>
      </c>
      <c r="BD36" s="1539">
        <f t="shared" si="36"/>
        <v>0</v>
      </c>
      <c r="BE36" s="1539">
        <f t="shared" si="36"/>
        <v>3729.1499999999996</v>
      </c>
      <c r="BF36" s="1539">
        <f t="shared" si="36"/>
        <v>0</v>
      </c>
      <c r="BG36" s="1539">
        <f t="shared" si="36"/>
        <v>0</v>
      </c>
      <c r="BH36" s="1539">
        <f t="shared" si="36"/>
        <v>0</v>
      </c>
      <c r="BI36" s="1539">
        <f t="shared" si="36"/>
        <v>5609.9800000000005</v>
      </c>
      <c r="BJ36" s="1539">
        <f t="shared" si="36"/>
        <v>0</v>
      </c>
      <c r="BK36" s="1539">
        <f t="shared" si="36"/>
        <v>0</v>
      </c>
      <c r="BL36" s="1539">
        <f t="shared" si="36"/>
        <v>0</v>
      </c>
      <c r="BM36" s="1539">
        <f t="shared" si="36"/>
        <v>2035.4299999999998</v>
      </c>
      <c r="BN36" s="1539">
        <f t="shared" si="36"/>
        <v>0</v>
      </c>
      <c r="BO36" s="1539">
        <f t="shared" si="36"/>
        <v>0</v>
      </c>
      <c r="BP36" s="1539">
        <f t="shared" si="36"/>
        <v>0</v>
      </c>
      <c r="BQ36" s="1539">
        <f t="shared" si="36"/>
        <v>3373.8999999999996</v>
      </c>
      <c r="BR36" s="1539">
        <f t="shared" si="36"/>
        <v>0</v>
      </c>
      <c r="BS36" s="1539">
        <f t="shared" si="36"/>
        <v>0</v>
      </c>
      <c r="BT36" s="1539">
        <f t="shared" si="36"/>
        <v>0</v>
      </c>
      <c r="BU36" s="1539">
        <f t="shared" si="36"/>
        <v>4274.2700000000004</v>
      </c>
      <c r="BV36" s="1539">
        <f t="shared" si="36"/>
        <v>0</v>
      </c>
      <c r="BW36" s="1539">
        <f t="shared" si="36"/>
        <v>0</v>
      </c>
      <c r="BX36" s="1539">
        <f t="shared" si="36"/>
        <v>0</v>
      </c>
      <c r="BY36" s="1539">
        <f t="shared" si="36"/>
        <v>3807.66</v>
      </c>
      <c r="BZ36" s="1539">
        <f t="shared" si="36"/>
        <v>0</v>
      </c>
      <c r="CA36" s="1539">
        <f t="shared" si="36"/>
        <v>200</v>
      </c>
      <c r="CB36" s="1539">
        <f t="shared" si="36"/>
        <v>0</v>
      </c>
      <c r="CC36" s="1539">
        <f t="shared" si="36"/>
        <v>3627.8100000000004</v>
      </c>
      <c r="CD36" s="1539">
        <f t="shared" si="36"/>
        <v>0</v>
      </c>
      <c r="CE36" s="1539">
        <f t="shared" si="36"/>
        <v>0</v>
      </c>
      <c r="CF36" s="1539">
        <f t="shared" si="36"/>
        <v>0</v>
      </c>
      <c r="CG36" s="1593"/>
      <c r="CH36" s="1539">
        <f t="shared" si="36"/>
        <v>3574.1300000000006</v>
      </c>
      <c r="CI36" s="1539">
        <f t="shared" si="36"/>
        <v>0</v>
      </c>
      <c r="CJ36" s="1539">
        <f t="shared" si="36"/>
        <v>349.2</v>
      </c>
      <c r="CK36" s="1539">
        <f t="shared" si="36"/>
        <v>0</v>
      </c>
      <c r="CL36" s="1594"/>
      <c r="CM36" s="1594"/>
      <c r="CN36" s="1594"/>
      <c r="CO36" s="1594"/>
      <c r="CP36" s="1594"/>
      <c r="CQ36" s="1594"/>
      <c r="CR36" s="1594"/>
      <c r="CS36" s="1594"/>
      <c r="CT36" s="1594"/>
      <c r="CU36" s="1594"/>
      <c r="CV36" s="1594"/>
      <c r="CW36" s="1594"/>
      <c r="CY36" s="1594"/>
    </row>
    <row r="37" spans="1:107" s="1559" customFormat="1" ht="17.25" customHeight="1" x14ac:dyDescent="0.15">
      <c r="A37" s="1541" t="s">
        <v>78</v>
      </c>
      <c r="B37" s="1523" t="s">
        <v>79</v>
      </c>
      <c r="C37" s="1523" t="s">
        <v>100</v>
      </c>
      <c r="D37" s="1523" t="s">
        <v>101</v>
      </c>
      <c r="E37" s="1523">
        <v>4239902</v>
      </c>
      <c r="F37" s="1523"/>
      <c r="G37" s="1523">
        <v>211</v>
      </c>
      <c r="H37" s="1502">
        <f t="shared" ref="H37:BS41" si="37">H53+H69+H85+H101</f>
        <v>28989.999999999996</v>
      </c>
      <c r="I37" s="1502">
        <f t="shared" si="37"/>
        <v>0</v>
      </c>
      <c r="J37" s="1502">
        <f t="shared" si="37"/>
        <v>0</v>
      </c>
      <c r="K37" s="1502">
        <f t="shared" si="37"/>
        <v>0</v>
      </c>
      <c r="L37" s="1502">
        <f t="shared" si="37"/>
        <v>0</v>
      </c>
      <c r="M37" s="1502">
        <f t="shared" si="37"/>
        <v>0</v>
      </c>
      <c r="N37" s="1502">
        <f t="shared" si="37"/>
        <v>0</v>
      </c>
      <c r="O37" s="1502">
        <f t="shared" si="37"/>
        <v>0</v>
      </c>
      <c r="P37" s="1502">
        <f t="shared" si="37"/>
        <v>0</v>
      </c>
      <c r="Q37" s="1502">
        <f t="shared" si="37"/>
        <v>0</v>
      </c>
      <c r="R37" s="1502">
        <f t="shared" si="37"/>
        <v>0</v>
      </c>
      <c r="S37" s="1502">
        <f t="shared" si="37"/>
        <v>0</v>
      </c>
      <c r="T37" s="1502">
        <f t="shared" si="37"/>
        <v>1848</v>
      </c>
      <c r="U37" s="1505">
        <f>U53+U69+U85+U101</f>
        <v>0</v>
      </c>
      <c r="V37" s="1505"/>
      <c r="W37" s="1506">
        <f>H37/12*11</f>
        <v>26574.166666666664</v>
      </c>
      <c r="X37" s="1506">
        <f>AC37</f>
        <v>28989.999999999996</v>
      </c>
      <c r="Y37" s="1506">
        <f>X37-W37</f>
        <v>2415.8333333333321</v>
      </c>
      <c r="Z37" s="1507">
        <f>T37/12*11</f>
        <v>1694</v>
      </c>
      <c r="AA37" s="1506">
        <f>Z37+Y37</f>
        <v>4109.8333333333321</v>
      </c>
      <c r="AB37" s="1511">
        <f>AB53+AB69+AB85+AB101</f>
        <v>199.30000000000007</v>
      </c>
      <c r="AC37" s="1545">
        <f t="shared" si="37"/>
        <v>28989.999999999996</v>
      </c>
      <c r="AD37" s="1545">
        <f t="shared" si="37"/>
        <v>0</v>
      </c>
      <c r="AE37" s="1545">
        <f t="shared" si="37"/>
        <v>0</v>
      </c>
      <c r="AF37" s="1545">
        <f t="shared" si="37"/>
        <v>0</v>
      </c>
      <c r="AG37" s="1545">
        <f t="shared" si="37"/>
        <v>0</v>
      </c>
      <c r="AH37" s="1545">
        <f t="shared" si="37"/>
        <v>0</v>
      </c>
      <c r="AI37" s="1510">
        <f t="shared" si="37"/>
        <v>0</v>
      </c>
      <c r="AJ37" s="1510">
        <f t="shared" si="37"/>
        <v>0</v>
      </c>
      <c r="AK37" s="1510">
        <f t="shared" si="37"/>
        <v>0</v>
      </c>
      <c r="AL37" s="1510">
        <f t="shared" si="37"/>
        <v>0</v>
      </c>
      <c r="AM37" s="1510">
        <f t="shared" si="37"/>
        <v>0</v>
      </c>
      <c r="AN37" s="1510">
        <f>AN53+AN69+AN85+AN101</f>
        <v>1862.77</v>
      </c>
      <c r="AO37" s="1511">
        <f t="shared" si="37"/>
        <v>2256.56</v>
      </c>
      <c r="AP37" s="1511">
        <f t="shared" si="37"/>
        <v>0</v>
      </c>
      <c r="AQ37" s="1511">
        <f t="shared" si="37"/>
        <v>0</v>
      </c>
      <c r="AR37" s="1511">
        <f t="shared" si="37"/>
        <v>0</v>
      </c>
      <c r="AS37" s="1507">
        <f t="shared" si="37"/>
        <v>2256.6</v>
      </c>
      <c r="AT37" s="1511">
        <f t="shared" si="37"/>
        <v>0</v>
      </c>
      <c r="AU37" s="1511">
        <f t="shared" si="37"/>
        <v>0</v>
      </c>
      <c r="AV37" s="1511">
        <f t="shared" si="37"/>
        <v>0</v>
      </c>
      <c r="AW37" s="1507">
        <f t="shared" si="37"/>
        <v>2256.6</v>
      </c>
      <c r="AX37" s="1511">
        <f t="shared" si="37"/>
        <v>0</v>
      </c>
      <c r="AY37" s="1511">
        <f t="shared" si="37"/>
        <v>0</v>
      </c>
      <c r="AZ37" s="1511">
        <f t="shared" si="37"/>
        <v>0</v>
      </c>
      <c r="BA37" s="1511">
        <f t="shared" si="37"/>
        <v>2256.5899999999997</v>
      </c>
      <c r="BB37" s="1511">
        <f t="shared" si="37"/>
        <v>0</v>
      </c>
      <c r="BC37" s="1511">
        <f t="shared" si="37"/>
        <v>0</v>
      </c>
      <c r="BD37" s="1511">
        <f t="shared" si="37"/>
        <v>0</v>
      </c>
      <c r="BE37" s="1511">
        <f t="shared" si="37"/>
        <v>2256.5899999999997</v>
      </c>
      <c r="BF37" s="1511">
        <f t="shared" si="37"/>
        <v>0</v>
      </c>
      <c r="BG37" s="1511">
        <f t="shared" si="37"/>
        <v>0</v>
      </c>
      <c r="BH37" s="1511">
        <f t="shared" si="37"/>
        <v>0</v>
      </c>
      <c r="BI37" s="1511">
        <f t="shared" si="37"/>
        <v>4455.38</v>
      </c>
      <c r="BJ37" s="1511">
        <f t="shared" si="37"/>
        <v>0</v>
      </c>
      <c r="BK37" s="1511">
        <f t="shared" si="37"/>
        <v>0</v>
      </c>
      <c r="BL37" s="1511">
        <f t="shared" si="37"/>
        <v>0</v>
      </c>
      <c r="BM37" s="1511">
        <f t="shared" si="37"/>
        <v>1353.9299999999998</v>
      </c>
      <c r="BN37" s="1511">
        <f t="shared" si="37"/>
        <v>0</v>
      </c>
      <c r="BO37" s="1511">
        <f t="shared" si="37"/>
        <v>0</v>
      </c>
      <c r="BP37" s="1511">
        <f t="shared" si="37"/>
        <v>0</v>
      </c>
      <c r="BQ37" s="1511">
        <f t="shared" si="37"/>
        <v>2256.6</v>
      </c>
      <c r="BR37" s="1511">
        <f t="shared" si="37"/>
        <v>0</v>
      </c>
      <c r="BS37" s="1511">
        <f t="shared" si="37"/>
        <v>0</v>
      </c>
      <c r="BT37" s="1511">
        <f t="shared" ref="BT37:CF37" si="38">BT53+BT69+BT85+BT101</f>
        <v>0</v>
      </c>
      <c r="BU37" s="1511">
        <f t="shared" si="38"/>
        <v>1932.5</v>
      </c>
      <c r="BV37" s="1511">
        <f t="shared" si="38"/>
        <v>0</v>
      </c>
      <c r="BW37" s="1511">
        <f t="shared" si="38"/>
        <v>0</v>
      </c>
      <c r="BX37" s="1511">
        <f t="shared" si="38"/>
        <v>0</v>
      </c>
      <c r="BY37" s="1511">
        <f t="shared" si="38"/>
        <v>2999.7599999999998</v>
      </c>
      <c r="BZ37" s="1511">
        <f t="shared" si="38"/>
        <v>0</v>
      </c>
      <c r="CA37" s="1511">
        <f t="shared" si="38"/>
        <v>0</v>
      </c>
      <c r="CB37" s="1511">
        <f t="shared" si="38"/>
        <v>0</v>
      </c>
      <c r="CC37" s="1511">
        <f t="shared" si="38"/>
        <v>2606.3000000000002</v>
      </c>
      <c r="CD37" s="1511">
        <f t="shared" si="38"/>
        <v>0</v>
      </c>
      <c r="CE37" s="1511">
        <f t="shared" si="38"/>
        <v>0</v>
      </c>
      <c r="CF37" s="1511">
        <f t="shared" si="38"/>
        <v>0</v>
      </c>
      <c r="CG37" s="1596"/>
      <c r="CH37" s="1511">
        <f t="shared" ref="CH37:CK49" si="39">CH53+CH69+CH85+CH101</f>
        <v>2102.59</v>
      </c>
      <c r="CI37" s="1511">
        <f t="shared" si="39"/>
        <v>0</v>
      </c>
      <c r="CJ37" s="1511">
        <f t="shared" si="39"/>
        <v>0</v>
      </c>
      <c r="CK37" s="1511">
        <f t="shared" si="39"/>
        <v>0</v>
      </c>
      <c r="CL37" s="1558"/>
      <c r="CM37" s="1558"/>
      <c r="CN37" s="1558"/>
      <c r="CO37" s="1558"/>
      <c r="CP37" s="1558"/>
      <c r="CQ37" s="1558"/>
      <c r="CR37" s="1558"/>
      <c r="CS37" s="1558"/>
      <c r="CT37" s="1558"/>
      <c r="CU37" s="1558"/>
      <c r="CV37" s="1558"/>
      <c r="CW37" s="1558"/>
      <c r="CX37" s="1558">
        <f>H37/12*10-AC37</f>
        <v>-4831.6666666666679</v>
      </c>
      <c r="CY37" s="1558">
        <f>AI37/3</f>
        <v>0</v>
      </c>
      <c r="CZ37" s="1558"/>
      <c r="DA37" s="1511">
        <f>DA53+DA69+DA85+DA101</f>
        <v>-6371.6666666666642</v>
      </c>
      <c r="DB37" s="1597"/>
      <c r="DC37" s="1597"/>
    </row>
    <row r="38" spans="1:107" s="1559" customFormat="1" ht="17.25" customHeight="1" x14ac:dyDescent="0.15">
      <c r="A38" s="1541" t="s">
        <v>103</v>
      </c>
      <c r="B38" s="1523" t="s">
        <v>79</v>
      </c>
      <c r="C38" s="1523" t="s">
        <v>100</v>
      </c>
      <c r="D38" s="1523" t="s">
        <v>101</v>
      </c>
      <c r="E38" s="1523">
        <v>4239902</v>
      </c>
      <c r="F38" s="1523"/>
      <c r="G38" s="1523">
        <v>212</v>
      </c>
      <c r="H38" s="1502">
        <f t="shared" si="37"/>
        <v>81.599999999999994</v>
      </c>
      <c r="I38" s="1502">
        <f t="shared" si="37"/>
        <v>0</v>
      </c>
      <c r="J38" s="1502">
        <f t="shared" si="37"/>
        <v>0</v>
      </c>
      <c r="K38" s="1502">
        <f t="shared" si="37"/>
        <v>0</v>
      </c>
      <c r="L38" s="1502">
        <f t="shared" si="37"/>
        <v>0</v>
      </c>
      <c r="M38" s="1502">
        <f t="shared" si="37"/>
        <v>0</v>
      </c>
      <c r="N38" s="1502">
        <f t="shared" si="37"/>
        <v>0</v>
      </c>
      <c r="O38" s="1502">
        <f t="shared" si="37"/>
        <v>0</v>
      </c>
      <c r="P38" s="1502">
        <f t="shared" si="37"/>
        <v>0</v>
      </c>
      <c r="Q38" s="1502">
        <f t="shared" si="37"/>
        <v>0</v>
      </c>
      <c r="R38" s="1502">
        <f t="shared" si="37"/>
        <v>0</v>
      </c>
      <c r="S38" s="1502">
        <f t="shared" si="37"/>
        <v>0</v>
      </c>
      <c r="T38" s="1502">
        <f t="shared" si="37"/>
        <v>0</v>
      </c>
      <c r="U38" s="1505">
        <f>U54+U70+U86+U102</f>
        <v>0</v>
      </c>
      <c r="V38" s="1505"/>
      <c r="W38" s="1506"/>
      <c r="X38" s="1506"/>
      <c r="Y38" s="1506"/>
      <c r="Z38" s="1507"/>
      <c r="AA38" s="1506"/>
      <c r="AB38" s="1511"/>
      <c r="AC38" s="1545">
        <f t="shared" si="37"/>
        <v>81.599999999999994</v>
      </c>
      <c r="AD38" s="1545">
        <f t="shared" si="37"/>
        <v>0</v>
      </c>
      <c r="AE38" s="1545">
        <f t="shared" si="37"/>
        <v>0</v>
      </c>
      <c r="AF38" s="1545">
        <f t="shared" si="37"/>
        <v>0</v>
      </c>
      <c r="AG38" s="1545">
        <f t="shared" si="37"/>
        <v>0</v>
      </c>
      <c r="AH38" s="1545">
        <f t="shared" si="37"/>
        <v>0</v>
      </c>
      <c r="AI38" s="1510">
        <f t="shared" si="37"/>
        <v>0</v>
      </c>
      <c r="AJ38" s="1510">
        <f t="shared" si="37"/>
        <v>0</v>
      </c>
      <c r="AK38" s="1510">
        <f t="shared" si="37"/>
        <v>0</v>
      </c>
      <c r="AL38" s="1510">
        <f t="shared" si="37"/>
        <v>0</v>
      </c>
      <c r="AM38" s="1510">
        <f t="shared" si="37"/>
        <v>0</v>
      </c>
      <c r="AN38" s="1510">
        <f>AN54+AN70+AN86+AN102</f>
        <v>0</v>
      </c>
      <c r="AO38" s="1511">
        <f t="shared" si="37"/>
        <v>16.799999999999997</v>
      </c>
      <c r="AP38" s="1511">
        <f t="shared" si="37"/>
        <v>0</v>
      </c>
      <c r="AQ38" s="1511">
        <f t="shared" si="37"/>
        <v>0</v>
      </c>
      <c r="AR38" s="1511">
        <f t="shared" si="37"/>
        <v>0</v>
      </c>
      <c r="AS38" s="1507">
        <f t="shared" si="37"/>
        <v>0</v>
      </c>
      <c r="AT38" s="1511">
        <f t="shared" si="37"/>
        <v>0</v>
      </c>
      <c r="AU38" s="1511">
        <f t="shared" si="37"/>
        <v>0</v>
      </c>
      <c r="AV38" s="1511">
        <f t="shared" si="37"/>
        <v>0</v>
      </c>
      <c r="AW38" s="1507">
        <f t="shared" si="37"/>
        <v>0</v>
      </c>
      <c r="AX38" s="1511">
        <f t="shared" si="37"/>
        <v>0</v>
      </c>
      <c r="AY38" s="1511">
        <f t="shared" si="37"/>
        <v>0</v>
      </c>
      <c r="AZ38" s="1511">
        <f t="shared" si="37"/>
        <v>0</v>
      </c>
      <c r="BA38" s="1511">
        <f t="shared" si="37"/>
        <v>0</v>
      </c>
      <c r="BB38" s="1511">
        <f t="shared" si="37"/>
        <v>0</v>
      </c>
      <c r="BC38" s="1511">
        <f t="shared" si="37"/>
        <v>0</v>
      </c>
      <c r="BD38" s="1511">
        <f t="shared" si="37"/>
        <v>0</v>
      </c>
      <c r="BE38" s="1511">
        <f t="shared" si="37"/>
        <v>0</v>
      </c>
      <c r="BF38" s="1511">
        <f t="shared" si="37"/>
        <v>0</v>
      </c>
      <c r="BG38" s="1511">
        <f t="shared" si="37"/>
        <v>0</v>
      </c>
      <c r="BH38" s="1511">
        <f t="shared" si="37"/>
        <v>0</v>
      </c>
      <c r="BI38" s="1511">
        <f t="shared" si="37"/>
        <v>0</v>
      </c>
      <c r="BJ38" s="1511">
        <f t="shared" si="37"/>
        <v>0</v>
      </c>
      <c r="BK38" s="1511">
        <f t="shared" si="37"/>
        <v>0</v>
      </c>
      <c r="BL38" s="1511">
        <f t="shared" si="37"/>
        <v>0</v>
      </c>
      <c r="BM38" s="1511">
        <f t="shared" si="37"/>
        <v>0</v>
      </c>
      <c r="BN38" s="1511">
        <f t="shared" si="37"/>
        <v>0</v>
      </c>
      <c r="BO38" s="1511">
        <f t="shared" si="37"/>
        <v>0</v>
      </c>
      <c r="BP38" s="1511">
        <f t="shared" si="37"/>
        <v>0</v>
      </c>
      <c r="BQ38" s="1511">
        <f t="shared" si="37"/>
        <v>20</v>
      </c>
      <c r="BR38" s="1511">
        <f t="shared" si="37"/>
        <v>0</v>
      </c>
      <c r="BS38" s="1511">
        <f t="shared" si="37"/>
        <v>0</v>
      </c>
      <c r="BT38" s="1511">
        <f t="shared" ref="BT38:CF38" si="40">BT54+BT70+BT86+BT102</f>
        <v>0</v>
      </c>
      <c r="BU38" s="1511">
        <f t="shared" si="40"/>
        <v>44.8</v>
      </c>
      <c r="BV38" s="1511">
        <f t="shared" si="40"/>
        <v>0</v>
      </c>
      <c r="BW38" s="1511">
        <f t="shared" si="40"/>
        <v>0</v>
      </c>
      <c r="BX38" s="1511">
        <f t="shared" si="40"/>
        <v>0</v>
      </c>
      <c r="BY38" s="1511">
        <f t="shared" si="40"/>
        <v>0</v>
      </c>
      <c r="BZ38" s="1511">
        <f t="shared" si="40"/>
        <v>0</v>
      </c>
      <c r="CA38" s="1511">
        <f t="shared" si="40"/>
        <v>0</v>
      </c>
      <c r="CB38" s="1511">
        <f t="shared" si="40"/>
        <v>0</v>
      </c>
      <c r="CC38" s="1511">
        <f t="shared" si="40"/>
        <v>0</v>
      </c>
      <c r="CD38" s="1511">
        <f t="shared" si="40"/>
        <v>0</v>
      </c>
      <c r="CE38" s="1511">
        <f t="shared" si="40"/>
        <v>0</v>
      </c>
      <c r="CF38" s="1511">
        <f t="shared" si="40"/>
        <v>0</v>
      </c>
      <c r="CG38" s="1596"/>
      <c r="CH38" s="1511">
        <f t="shared" si="39"/>
        <v>0</v>
      </c>
      <c r="CI38" s="1511">
        <f t="shared" si="39"/>
        <v>0</v>
      </c>
      <c r="CJ38" s="1511">
        <f t="shared" si="39"/>
        <v>0</v>
      </c>
      <c r="CK38" s="1511">
        <f t="shared" si="39"/>
        <v>0</v>
      </c>
      <c r="CL38" s="1558"/>
      <c r="CM38" s="1558"/>
      <c r="CN38" s="1558"/>
      <c r="CO38" s="1558"/>
      <c r="CP38" s="1558"/>
      <c r="CQ38" s="1558"/>
      <c r="CR38" s="1558"/>
      <c r="CS38" s="1558"/>
      <c r="CT38" s="1558"/>
      <c r="CU38" s="1558"/>
      <c r="CV38" s="1558"/>
      <c r="CW38" s="1558"/>
      <c r="CX38" s="1558"/>
      <c r="CY38" s="1558"/>
      <c r="CZ38" s="1558"/>
      <c r="DA38" s="1511"/>
      <c r="DB38" s="1597"/>
      <c r="DC38" s="1597"/>
    </row>
    <row r="39" spans="1:107" s="1559" customFormat="1" ht="17.25" customHeight="1" x14ac:dyDescent="0.15">
      <c r="A39" s="1541" t="s">
        <v>84</v>
      </c>
      <c r="B39" s="1523" t="s">
        <v>79</v>
      </c>
      <c r="C39" s="1523" t="s">
        <v>100</v>
      </c>
      <c r="D39" s="1523" t="s">
        <v>101</v>
      </c>
      <c r="E39" s="1523">
        <v>4239902</v>
      </c>
      <c r="F39" s="1523"/>
      <c r="G39" s="1523">
        <v>213</v>
      </c>
      <c r="H39" s="1502">
        <f t="shared" si="37"/>
        <v>8755.1</v>
      </c>
      <c r="I39" s="1502">
        <f t="shared" si="37"/>
        <v>0</v>
      </c>
      <c r="J39" s="1502">
        <f t="shared" si="37"/>
        <v>0</v>
      </c>
      <c r="K39" s="1502">
        <f t="shared" si="37"/>
        <v>0</v>
      </c>
      <c r="L39" s="1502">
        <f t="shared" si="37"/>
        <v>0</v>
      </c>
      <c r="M39" s="1502">
        <f t="shared" si="37"/>
        <v>0</v>
      </c>
      <c r="N39" s="1502">
        <f t="shared" si="37"/>
        <v>0</v>
      </c>
      <c r="O39" s="1502">
        <f t="shared" si="37"/>
        <v>0</v>
      </c>
      <c r="P39" s="1502">
        <f t="shared" si="37"/>
        <v>0</v>
      </c>
      <c r="Q39" s="1502">
        <f t="shared" si="37"/>
        <v>0</v>
      </c>
      <c r="R39" s="1502">
        <f t="shared" si="37"/>
        <v>0</v>
      </c>
      <c r="S39" s="1502">
        <f t="shared" si="37"/>
        <v>0</v>
      </c>
      <c r="T39" s="1502">
        <f t="shared" si="37"/>
        <v>558.09999999999991</v>
      </c>
      <c r="U39" s="1505">
        <f>U55+U71+U87+U103</f>
        <v>0</v>
      </c>
      <c r="V39" s="1505"/>
      <c r="W39" s="1506">
        <f>H39/12*11</f>
        <v>8025.5083333333332</v>
      </c>
      <c r="X39" s="1506">
        <f>AC39</f>
        <v>8755.1</v>
      </c>
      <c r="Y39" s="1506">
        <f>X39-W39</f>
        <v>729.59166666666715</v>
      </c>
      <c r="Z39" s="1507">
        <f>T39/12*11</f>
        <v>511.59166666666658</v>
      </c>
      <c r="AA39" s="1506">
        <f>Z39+Y39</f>
        <v>1241.1833333333338</v>
      </c>
      <c r="AB39" s="1511">
        <f>AB55+AB71+AB87+AB103</f>
        <v>294.59999999999997</v>
      </c>
      <c r="AC39" s="1545">
        <f t="shared" si="37"/>
        <v>8755.1</v>
      </c>
      <c r="AD39" s="1545">
        <f t="shared" si="37"/>
        <v>0</v>
      </c>
      <c r="AE39" s="1545">
        <f t="shared" si="37"/>
        <v>0</v>
      </c>
      <c r="AF39" s="1545">
        <f t="shared" si="37"/>
        <v>0</v>
      </c>
      <c r="AG39" s="1545">
        <f t="shared" si="37"/>
        <v>0</v>
      </c>
      <c r="AH39" s="1545">
        <f t="shared" si="37"/>
        <v>0</v>
      </c>
      <c r="AI39" s="1510">
        <f t="shared" si="37"/>
        <v>0</v>
      </c>
      <c r="AJ39" s="1510">
        <f t="shared" si="37"/>
        <v>0</v>
      </c>
      <c r="AK39" s="1510">
        <f t="shared" si="37"/>
        <v>0</v>
      </c>
      <c r="AL39" s="1510">
        <f t="shared" si="37"/>
        <v>0</v>
      </c>
      <c r="AM39" s="1510">
        <f t="shared" si="37"/>
        <v>0</v>
      </c>
      <c r="AN39" s="1510">
        <f>AN55+AN71+AN87+AN103</f>
        <v>852.90000000000009</v>
      </c>
      <c r="AO39" s="1511">
        <f t="shared" si="37"/>
        <v>681.45</v>
      </c>
      <c r="AP39" s="1511">
        <f t="shared" si="37"/>
        <v>0</v>
      </c>
      <c r="AQ39" s="1511">
        <f t="shared" si="37"/>
        <v>0</v>
      </c>
      <c r="AR39" s="1511">
        <f t="shared" si="37"/>
        <v>0</v>
      </c>
      <c r="AS39" s="1507">
        <f t="shared" si="37"/>
        <v>681.5</v>
      </c>
      <c r="AT39" s="1511">
        <f t="shared" si="37"/>
        <v>0</v>
      </c>
      <c r="AU39" s="1511">
        <f t="shared" si="37"/>
        <v>0</v>
      </c>
      <c r="AV39" s="1511">
        <f t="shared" si="37"/>
        <v>0</v>
      </c>
      <c r="AW39" s="1507">
        <f t="shared" si="37"/>
        <v>681.5</v>
      </c>
      <c r="AX39" s="1511">
        <f t="shared" si="37"/>
        <v>0</v>
      </c>
      <c r="AY39" s="1511">
        <f t="shared" si="37"/>
        <v>0</v>
      </c>
      <c r="AZ39" s="1511">
        <f t="shared" si="37"/>
        <v>0</v>
      </c>
      <c r="BA39" s="1511">
        <f t="shared" si="37"/>
        <v>681.48</v>
      </c>
      <c r="BB39" s="1511">
        <f t="shared" si="37"/>
        <v>0</v>
      </c>
      <c r="BC39" s="1511">
        <f t="shared" si="37"/>
        <v>0</v>
      </c>
      <c r="BD39" s="1511">
        <f t="shared" si="37"/>
        <v>0</v>
      </c>
      <c r="BE39" s="1511">
        <f t="shared" si="37"/>
        <v>681.48</v>
      </c>
      <c r="BF39" s="1511">
        <f t="shared" si="37"/>
        <v>0</v>
      </c>
      <c r="BG39" s="1511">
        <f t="shared" si="37"/>
        <v>0</v>
      </c>
      <c r="BH39" s="1511">
        <f t="shared" si="37"/>
        <v>0</v>
      </c>
      <c r="BI39" s="1511">
        <f t="shared" si="37"/>
        <v>1072.9000000000001</v>
      </c>
      <c r="BJ39" s="1511">
        <f t="shared" si="37"/>
        <v>0</v>
      </c>
      <c r="BK39" s="1511">
        <f t="shared" si="37"/>
        <v>0</v>
      </c>
      <c r="BL39" s="1511">
        <f t="shared" si="37"/>
        <v>0</v>
      </c>
      <c r="BM39" s="1511">
        <f t="shared" si="37"/>
        <v>681.5</v>
      </c>
      <c r="BN39" s="1511">
        <f t="shared" si="37"/>
        <v>0</v>
      </c>
      <c r="BO39" s="1511">
        <f t="shared" si="37"/>
        <v>0</v>
      </c>
      <c r="BP39" s="1511">
        <f t="shared" si="37"/>
        <v>0</v>
      </c>
      <c r="BQ39" s="1511">
        <f t="shared" si="37"/>
        <v>681.5</v>
      </c>
      <c r="BR39" s="1511">
        <f t="shared" si="37"/>
        <v>0</v>
      </c>
      <c r="BS39" s="1511">
        <f t="shared" si="37"/>
        <v>0</v>
      </c>
      <c r="BT39" s="1511">
        <f t="shared" ref="BT39:CF39" si="41">BT55+BT71+BT87+BT103</f>
        <v>0</v>
      </c>
      <c r="BU39" s="1511">
        <f t="shared" si="41"/>
        <v>583.70000000000005</v>
      </c>
      <c r="BV39" s="1511">
        <f t="shared" si="41"/>
        <v>0</v>
      </c>
      <c r="BW39" s="1511">
        <f t="shared" si="41"/>
        <v>0</v>
      </c>
      <c r="BX39" s="1511">
        <f t="shared" si="41"/>
        <v>0</v>
      </c>
      <c r="BY39" s="1511">
        <f t="shared" si="41"/>
        <v>677.7</v>
      </c>
      <c r="BZ39" s="1511">
        <f t="shared" si="41"/>
        <v>0</v>
      </c>
      <c r="CA39" s="1511">
        <f t="shared" si="41"/>
        <v>0</v>
      </c>
      <c r="CB39" s="1511">
        <f t="shared" si="41"/>
        <v>0</v>
      </c>
      <c r="CC39" s="1511">
        <f t="shared" si="41"/>
        <v>1021.51</v>
      </c>
      <c r="CD39" s="1511">
        <f t="shared" si="41"/>
        <v>0</v>
      </c>
      <c r="CE39" s="1511">
        <f t="shared" si="41"/>
        <v>0</v>
      </c>
      <c r="CF39" s="1511">
        <f t="shared" si="41"/>
        <v>0</v>
      </c>
      <c r="CG39" s="1596"/>
      <c r="CH39" s="1511">
        <f t="shared" si="39"/>
        <v>628.88</v>
      </c>
      <c r="CI39" s="1511">
        <f t="shared" si="39"/>
        <v>0</v>
      </c>
      <c r="CJ39" s="1511">
        <f t="shared" si="39"/>
        <v>0</v>
      </c>
      <c r="CK39" s="1511">
        <f t="shared" si="39"/>
        <v>0</v>
      </c>
      <c r="CL39" s="1558"/>
      <c r="CM39" s="1558"/>
      <c r="CN39" s="1558"/>
      <c r="CO39" s="1558"/>
      <c r="CP39" s="1558"/>
      <c r="CQ39" s="1558"/>
      <c r="CR39" s="1558"/>
      <c r="CS39" s="1558"/>
      <c r="CT39" s="1558"/>
      <c r="CU39" s="1558"/>
      <c r="CV39" s="1558"/>
      <c r="CW39" s="1558"/>
      <c r="CX39" s="1558">
        <f>H39/12*10-AC39</f>
        <v>-1459.1833333333334</v>
      </c>
      <c r="CY39" s="1558">
        <f>AI39/3</f>
        <v>0</v>
      </c>
      <c r="CZ39" s="1558"/>
      <c r="DA39" s="1511">
        <f>DA55+DA71+DA87+DA103</f>
        <v>-1924.2666666666671</v>
      </c>
      <c r="DB39" s="1597"/>
      <c r="DC39" s="1597"/>
    </row>
    <row r="40" spans="1:107" s="1559" customFormat="1" ht="17.25" customHeight="1" x14ac:dyDescent="0.15">
      <c r="A40" s="1541" t="s">
        <v>85</v>
      </c>
      <c r="B40" s="1523" t="s">
        <v>79</v>
      </c>
      <c r="C40" s="1523" t="s">
        <v>100</v>
      </c>
      <c r="D40" s="1523" t="s">
        <v>101</v>
      </c>
      <c r="E40" s="1523">
        <v>4239902</v>
      </c>
      <c r="F40" s="1523"/>
      <c r="G40" s="1523">
        <v>221</v>
      </c>
      <c r="H40" s="1502">
        <f t="shared" si="37"/>
        <v>28.2</v>
      </c>
      <c r="I40" s="1502">
        <f t="shared" si="37"/>
        <v>0</v>
      </c>
      <c r="J40" s="1502">
        <f t="shared" si="37"/>
        <v>0</v>
      </c>
      <c r="K40" s="1502">
        <f t="shared" si="37"/>
        <v>0</v>
      </c>
      <c r="L40" s="1502">
        <f t="shared" si="37"/>
        <v>0</v>
      </c>
      <c r="M40" s="1502">
        <f t="shared" si="37"/>
        <v>0</v>
      </c>
      <c r="N40" s="1502">
        <f t="shared" si="37"/>
        <v>0</v>
      </c>
      <c r="O40" s="1502">
        <f t="shared" si="37"/>
        <v>0</v>
      </c>
      <c r="P40" s="1502">
        <f t="shared" si="37"/>
        <v>0</v>
      </c>
      <c r="Q40" s="1502">
        <f t="shared" si="37"/>
        <v>0</v>
      </c>
      <c r="R40" s="1502">
        <f t="shared" si="37"/>
        <v>0</v>
      </c>
      <c r="S40" s="1502">
        <f t="shared" si="37"/>
        <v>0</v>
      </c>
      <c r="T40" s="1502">
        <f t="shared" si="37"/>
        <v>0</v>
      </c>
      <c r="U40" s="1505">
        <f t="shared" si="37"/>
        <v>0</v>
      </c>
      <c r="V40" s="1505"/>
      <c r="W40" s="1506"/>
      <c r="X40" s="1506"/>
      <c r="Y40" s="1506"/>
      <c r="Z40" s="1507"/>
      <c r="AA40" s="1506"/>
      <c r="AB40" s="1506"/>
      <c r="AC40" s="1545">
        <f t="shared" si="37"/>
        <v>28.2</v>
      </c>
      <c r="AD40" s="1545">
        <f t="shared" si="37"/>
        <v>0</v>
      </c>
      <c r="AE40" s="1545">
        <f t="shared" si="37"/>
        <v>0</v>
      </c>
      <c r="AF40" s="1545">
        <f t="shared" si="37"/>
        <v>0</v>
      </c>
      <c r="AG40" s="1545">
        <f t="shared" si="37"/>
        <v>0</v>
      </c>
      <c r="AH40" s="1545">
        <f t="shared" si="37"/>
        <v>0</v>
      </c>
      <c r="AI40" s="1510">
        <f t="shared" si="37"/>
        <v>0</v>
      </c>
      <c r="AJ40" s="1510">
        <f t="shared" si="37"/>
        <v>0</v>
      </c>
      <c r="AK40" s="1510">
        <f t="shared" si="37"/>
        <v>0</v>
      </c>
      <c r="AL40" s="1510">
        <f t="shared" si="37"/>
        <v>0</v>
      </c>
      <c r="AM40" s="1510">
        <f t="shared" si="37"/>
        <v>0</v>
      </c>
      <c r="AN40" s="1511"/>
      <c r="AO40" s="1511">
        <f t="shared" si="37"/>
        <v>2.2999999999999998</v>
      </c>
      <c r="AP40" s="1511">
        <f t="shared" si="37"/>
        <v>0</v>
      </c>
      <c r="AQ40" s="1511">
        <f t="shared" si="37"/>
        <v>0</v>
      </c>
      <c r="AR40" s="1511">
        <f t="shared" si="37"/>
        <v>0</v>
      </c>
      <c r="AS40" s="1507">
        <f t="shared" si="37"/>
        <v>0</v>
      </c>
      <c r="AT40" s="1511">
        <f t="shared" si="37"/>
        <v>0</v>
      </c>
      <c r="AU40" s="1511">
        <f t="shared" si="37"/>
        <v>0</v>
      </c>
      <c r="AV40" s="1511">
        <f t="shared" si="37"/>
        <v>0</v>
      </c>
      <c r="AW40" s="1507">
        <f t="shared" si="37"/>
        <v>0</v>
      </c>
      <c r="AX40" s="1511">
        <f t="shared" si="37"/>
        <v>0</v>
      </c>
      <c r="AY40" s="1511">
        <f t="shared" si="37"/>
        <v>0</v>
      </c>
      <c r="AZ40" s="1511">
        <f t="shared" si="37"/>
        <v>0</v>
      </c>
      <c r="BA40" s="1511">
        <f t="shared" si="37"/>
        <v>0</v>
      </c>
      <c r="BB40" s="1511">
        <f t="shared" si="37"/>
        <v>0</v>
      </c>
      <c r="BC40" s="1511">
        <f t="shared" si="37"/>
        <v>0</v>
      </c>
      <c r="BD40" s="1511">
        <f t="shared" si="37"/>
        <v>0</v>
      </c>
      <c r="BE40" s="1511">
        <f t="shared" si="37"/>
        <v>0</v>
      </c>
      <c r="BF40" s="1511">
        <f t="shared" si="37"/>
        <v>0</v>
      </c>
      <c r="BG40" s="1511">
        <f t="shared" si="37"/>
        <v>0</v>
      </c>
      <c r="BH40" s="1511">
        <f t="shared" si="37"/>
        <v>0</v>
      </c>
      <c r="BI40" s="1511">
        <f t="shared" si="37"/>
        <v>0</v>
      </c>
      <c r="BJ40" s="1511">
        <f t="shared" si="37"/>
        <v>0</v>
      </c>
      <c r="BK40" s="1511">
        <f t="shared" si="37"/>
        <v>0</v>
      </c>
      <c r="BL40" s="1511">
        <f t="shared" si="37"/>
        <v>0</v>
      </c>
      <c r="BM40" s="1511">
        <f t="shared" si="37"/>
        <v>0</v>
      </c>
      <c r="BN40" s="1511">
        <f t="shared" si="37"/>
        <v>0</v>
      </c>
      <c r="BO40" s="1511">
        <f t="shared" si="37"/>
        <v>0</v>
      </c>
      <c r="BP40" s="1511">
        <f t="shared" si="37"/>
        <v>0</v>
      </c>
      <c r="BQ40" s="1511">
        <f t="shared" si="37"/>
        <v>12.6</v>
      </c>
      <c r="BR40" s="1511">
        <f t="shared" si="37"/>
        <v>0</v>
      </c>
      <c r="BS40" s="1511">
        <f t="shared" si="37"/>
        <v>0</v>
      </c>
      <c r="BT40" s="1511">
        <f t="shared" ref="BT40:CF40" si="42">BT56+BT72+BT88+BT104</f>
        <v>0</v>
      </c>
      <c r="BU40" s="1511">
        <f t="shared" si="42"/>
        <v>0</v>
      </c>
      <c r="BV40" s="1511">
        <f t="shared" si="42"/>
        <v>0</v>
      </c>
      <c r="BW40" s="1511">
        <f t="shared" si="42"/>
        <v>0</v>
      </c>
      <c r="BX40" s="1511">
        <f t="shared" si="42"/>
        <v>0</v>
      </c>
      <c r="BY40" s="1511">
        <f t="shared" si="42"/>
        <v>0</v>
      </c>
      <c r="BZ40" s="1511">
        <f t="shared" si="42"/>
        <v>0</v>
      </c>
      <c r="CA40" s="1511">
        <f t="shared" si="42"/>
        <v>0</v>
      </c>
      <c r="CB40" s="1511">
        <f t="shared" si="42"/>
        <v>0</v>
      </c>
      <c r="CC40" s="1511">
        <f t="shared" si="42"/>
        <v>0</v>
      </c>
      <c r="CD40" s="1511">
        <f t="shared" si="42"/>
        <v>0</v>
      </c>
      <c r="CE40" s="1511">
        <f t="shared" si="42"/>
        <v>0</v>
      </c>
      <c r="CF40" s="1511">
        <f t="shared" si="42"/>
        <v>0</v>
      </c>
      <c r="CG40" s="1596"/>
      <c r="CH40" s="1511">
        <f t="shared" si="39"/>
        <v>13.3</v>
      </c>
      <c r="CI40" s="1511">
        <f t="shared" si="39"/>
        <v>0</v>
      </c>
      <c r="CJ40" s="1511">
        <f t="shared" si="39"/>
        <v>0</v>
      </c>
      <c r="CK40" s="1511">
        <f t="shared" si="39"/>
        <v>0</v>
      </c>
      <c r="CL40" s="1598"/>
      <c r="CM40" s="1558"/>
      <c r="CN40" s="1558"/>
      <c r="CO40" s="1558"/>
      <c r="CP40" s="1558"/>
      <c r="CQ40" s="1558"/>
      <c r="CR40" s="1558"/>
      <c r="CS40" s="1558"/>
      <c r="CT40" s="1558"/>
      <c r="CU40" s="1558"/>
      <c r="CV40" s="1558"/>
      <c r="CW40" s="1558"/>
      <c r="CY40" s="1558"/>
    </row>
    <row r="41" spans="1:107" s="1559" customFormat="1" ht="17.25" customHeight="1" x14ac:dyDescent="0.15">
      <c r="A41" s="1541" t="s">
        <v>86</v>
      </c>
      <c r="B41" s="1523" t="s">
        <v>79</v>
      </c>
      <c r="C41" s="1523" t="s">
        <v>100</v>
      </c>
      <c r="D41" s="1523" t="s">
        <v>101</v>
      </c>
      <c r="E41" s="1523">
        <v>4239902</v>
      </c>
      <c r="F41" s="1523"/>
      <c r="G41" s="1523">
        <v>222</v>
      </c>
      <c r="H41" s="1502">
        <f t="shared" si="37"/>
        <v>50</v>
      </c>
      <c r="I41" s="1502">
        <f t="shared" si="37"/>
        <v>142</v>
      </c>
      <c r="J41" s="1502">
        <f t="shared" si="37"/>
        <v>0</v>
      </c>
      <c r="K41" s="1502">
        <f t="shared" si="37"/>
        <v>0</v>
      </c>
      <c r="L41" s="1502">
        <f t="shared" si="37"/>
        <v>0</v>
      </c>
      <c r="M41" s="1502">
        <f t="shared" si="37"/>
        <v>0</v>
      </c>
      <c r="N41" s="1502">
        <f t="shared" si="37"/>
        <v>0</v>
      </c>
      <c r="O41" s="1502">
        <f t="shared" si="37"/>
        <v>0</v>
      </c>
      <c r="P41" s="1502">
        <f t="shared" si="37"/>
        <v>0</v>
      </c>
      <c r="Q41" s="1502">
        <f t="shared" si="37"/>
        <v>0</v>
      </c>
      <c r="R41" s="1502">
        <f t="shared" si="37"/>
        <v>0</v>
      </c>
      <c r="S41" s="1502">
        <f t="shared" si="37"/>
        <v>0</v>
      </c>
      <c r="T41" s="1502">
        <f t="shared" si="37"/>
        <v>0</v>
      </c>
      <c r="U41" s="1505">
        <f t="shared" si="37"/>
        <v>100</v>
      </c>
      <c r="V41" s="1505"/>
      <c r="W41" s="1506"/>
      <c r="X41" s="1506"/>
      <c r="Y41" s="1506"/>
      <c r="Z41" s="1507"/>
      <c r="AA41" s="1506"/>
      <c r="AB41" s="1506"/>
      <c r="AC41" s="1545">
        <f t="shared" si="37"/>
        <v>50</v>
      </c>
      <c r="AD41" s="1545">
        <f t="shared" si="37"/>
        <v>142</v>
      </c>
      <c r="AE41" s="1545">
        <f t="shared" si="37"/>
        <v>142</v>
      </c>
      <c r="AF41" s="1545">
        <f t="shared" si="37"/>
        <v>0</v>
      </c>
      <c r="AG41" s="1545">
        <f t="shared" si="37"/>
        <v>0</v>
      </c>
      <c r="AH41" s="1545">
        <f t="shared" si="37"/>
        <v>0</v>
      </c>
      <c r="AI41" s="1510">
        <f t="shared" si="37"/>
        <v>0</v>
      </c>
      <c r="AJ41" s="1510">
        <f t="shared" si="37"/>
        <v>0</v>
      </c>
      <c r="AK41" s="1510">
        <f t="shared" si="37"/>
        <v>0</v>
      </c>
      <c r="AL41" s="1510">
        <f t="shared" si="37"/>
        <v>0</v>
      </c>
      <c r="AM41" s="1510">
        <f t="shared" si="37"/>
        <v>0</v>
      </c>
      <c r="AN41" s="1511"/>
      <c r="AO41" s="1511">
        <f t="shared" si="37"/>
        <v>12.5</v>
      </c>
      <c r="AP41" s="1511">
        <f t="shared" si="37"/>
        <v>0</v>
      </c>
      <c r="AQ41" s="1511">
        <f t="shared" si="37"/>
        <v>0</v>
      </c>
      <c r="AR41" s="1511">
        <f t="shared" si="37"/>
        <v>0</v>
      </c>
      <c r="AS41" s="1507">
        <f t="shared" si="37"/>
        <v>0</v>
      </c>
      <c r="AT41" s="1511">
        <f t="shared" si="37"/>
        <v>142</v>
      </c>
      <c r="AU41" s="1511">
        <f t="shared" si="37"/>
        <v>0</v>
      </c>
      <c r="AV41" s="1511">
        <f t="shared" si="37"/>
        <v>0</v>
      </c>
      <c r="AW41" s="1507">
        <f t="shared" si="37"/>
        <v>0</v>
      </c>
      <c r="AX41" s="1511">
        <f t="shared" ref="AX41:BS41" si="43">AX57+AX73+AX89+AX105</f>
        <v>0</v>
      </c>
      <c r="AY41" s="1511">
        <f t="shared" si="43"/>
        <v>0</v>
      </c>
      <c r="AZ41" s="1511">
        <f t="shared" si="43"/>
        <v>0</v>
      </c>
      <c r="BA41" s="1511">
        <f t="shared" si="43"/>
        <v>0</v>
      </c>
      <c r="BB41" s="1511">
        <f t="shared" si="43"/>
        <v>0</v>
      </c>
      <c r="BC41" s="1511">
        <f t="shared" si="43"/>
        <v>0</v>
      </c>
      <c r="BD41" s="1511">
        <f t="shared" si="43"/>
        <v>0</v>
      </c>
      <c r="BE41" s="1511">
        <f t="shared" si="43"/>
        <v>0</v>
      </c>
      <c r="BF41" s="1511">
        <f t="shared" si="43"/>
        <v>0</v>
      </c>
      <c r="BG41" s="1511">
        <f t="shared" si="43"/>
        <v>0</v>
      </c>
      <c r="BH41" s="1511">
        <f t="shared" si="43"/>
        <v>0</v>
      </c>
      <c r="BI41" s="1511">
        <f t="shared" si="43"/>
        <v>0</v>
      </c>
      <c r="BJ41" s="1511">
        <f t="shared" si="43"/>
        <v>0</v>
      </c>
      <c r="BK41" s="1511">
        <f t="shared" si="43"/>
        <v>0</v>
      </c>
      <c r="BL41" s="1511">
        <f t="shared" si="43"/>
        <v>0</v>
      </c>
      <c r="BM41" s="1511">
        <f t="shared" si="43"/>
        <v>0</v>
      </c>
      <c r="BN41" s="1511">
        <f t="shared" si="43"/>
        <v>0</v>
      </c>
      <c r="BO41" s="1511">
        <f t="shared" si="43"/>
        <v>0</v>
      </c>
      <c r="BP41" s="1511">
        <f t="shared" si="43"/>
        <v>0</v>
      </c>
      <c r="BQ41" s="1511">
        <f t="shared" si="43"/>
        <v>0</v>
      </c>
      <c r="BR41" s="1511">
        <f t="shared" si="43"/>
        <v>0</v>
      </c>
      <c r="BS41" s="1511">
        <f t="shared" si="43"/>
        <v>0</v>
      </c>
      <c r="BT41" s="1511">
        <f t="shared" ref="BT41:CF41" si="44">BT57+BT73+BT89+BT105</f>
        <v>0</v>
      </c>
      <c r="BU41" s="1511">
        <f t="shared" si="44"/>
        <v>0</v>
      </c>
      <c r="BV41" s="1511">
        <f t="shared" si="44"/>
        <v>0</v>
      </c>
      <c r="BW41" s="1511">
        <f t="shared" si="44"/>
        <v>0</v>
      </c>
      <c r="BX41" s="1511">
        <f t="shared" si="44"/>
        <v>0</v>
      </c>
      <c r="BY41" s="1511">
        <f t="shared" si="44"/>
        <v>0</v>
      </c>
      <c r="BZ41" s="1511">
        <f t="shared" si="44"/>
        <v>0</v>
      </c>
      <c r="CA41" s="1511">
        <f t="shared" si="44"/>
        <v>0</v>
      </c>
      <c r="CB41" s="1511">
        <f t="shared" si="44"/>
        <v>0</v>
      </c>
      <c r="CC41" s="1511">
        <f t="shared" si="44"/>
        <v>0</v>
      </c>
      <c r="CD41" s="1511">
        <f t="shared" si="44"/>
        <v>0</v>
      </c>
      <c r="CE41" s="1511">
        <f t="shared" si="44"/>
        <v>0</v>
      </c>
      <c r="CF41" s="1511">
        <f t="shared" si="44"/>
        <v>0</v>
      </c>
      <c r="CG41" s="1596"/>
      <c r="CH41" s="1511">
        <f t="shared" si="39"/>
        <v>37.5</v>
      </c>
      <c r="CI41" s="1511">
        <f t="shared" si="39"/>
        <v>0</v>
      </c>
      <c r="CJ41" s="1511">
        <f t="shared" si="39"/>
        <v>0</v>
      </c>
      <c r="CK41" s="1511">
        <f t="shared" si="39"/>
        <v>0</v>
      </c>
      <c r="CL41" s="1558"/>
      <c r="CM41" s="1558"/>
      <c r="CN41" s="1558"/>
      <c r="CO41" s="1558"/>
      <c r="CP41" s="1558"/>
      <c r="CQ41" s="1558"/>
      <c r="CR41" s="1558"/>
      <c r="CS41" s="1558"/>
      <c r="CT41" s="1558"/>
      <c r="CU41" s="1558"/>
      <c r="CV41" s="1558"/>
      <c r="CW41" s="1558"/>
      <c r="CY41" s="1558"/>
    </row>
    <row r="42" spans="1:107" s="1559" customFormat="1" ht="17.25" customHeight="1" x14ac:dyDescent="0.15">
      <c r="A42" s="1541" t="s">
        <v>87</v>
      </c>
      <c r="B42" s="1523" t="s">
        <v>79</v>
      </c>
      <c r="C42" s="1523" t="s">
        <v>100</v>
      </c>
      <c r="D42" s="1523" t="s">
        <v>101</v>
      </c>
      <c r="E42" s="1523">
        <v>4239902</v>
      </c>
      <c r="F42" s="1523"/>
      <c r="G42" s="1523">
        <v>223</v>
      </c>
      <c r="H42" s="1502">
        <f t="shared" ref="H42:BS46" si="45">H58+H74+H90+H106</f>
        <v>780.3</v>
      </c>
      <c r="I42" s="1502">
        <f t="shared" si="45"/>
        <v>0</v>
      </c>
      <c r="J42" s="1502">
        <f t="shared" si="45"/>
        <v>0</v>
      </c>
      <c r="K42" s="1502">
        <f t="shared" si="45"/>
        <v>0</v>
      </c>
      <c r="L42" s="1502">
        <f t="shared" si="45"/>
        <v>0</v>
      </c>
      <c r="M42" s="1502">
        <f t="shared" si="45"/>
        <v>0</v>
      </c>
      <c r="N42" s="1502">
        <f t="shared" si="45"/>
        <v>0</v>
      </c>
      <c r="O42" s="1502">
        <f t="shared" si="45"/>
        <v>0</v>
      </c>
      <c r="P42" s="1502">
        <f t="shared" si="45"/>
        <v>0</v>
      </c>
      <c r="Q42" s="1502">
        <f t="shared" si="45"/>
        <v>0</v>
      </c>
      <c r="R42" s="1502">
        <f t="shared" si="45"/>
        <v>0</v>
      </c>
      <c r="S42" s="1502">
        <f t="shared" si="45"/>
        <v>0</v>
      </c>
      <c r="T42" s="1502">
        <f t="shared" si="45"/>
        <v>0</v>
      </c>
      <c r="U42" s="1505">
        <f t="shared" si="45"/>
        <v>50</v>
      </c>
      <c r="V42" s="1505"/>
      <c r="W42" s="1506"/>
      <c r="X42" s="1506"/>
      <c r="Y42" s="1506"/>
      <c r="Z42" s="1507"/>
      <c r="AA42" s="1506"/>
      <c r="AB42" s="1506"/>
      <c r="AC42" s="1545">
        <f t="shared" si="45"/>
        <v>780.3</v>
      </c>
      <c r="AD42" s="1545">
        <f t="shared" si="45"/>
        <v>0</v>
      </c>
      <c r="AE42" s="1545">
        <f t="shared" si="45"/>
        <v>0</v>
      </c>
      <c r="AF42" s="1545">
        <f t="shared" si="45"/>
        <v>0</v>
      </c>
      <c r="AG42" s="1545">
        <f t="shared" si="45"/>
        <v>0</v>
      </c>
      <c r="AH42" s="1545">
        <f t="shared" si="45"/>
        <v>0</v>
      </c>
      <c r="AI42" s="1510">
        <f t="shared" si="45"/>
        <v>0</v>
      </c>
      <c r="AJ42" s="1510">
        <f t="shared" si="45"/>
        <v>0</v>
      </c>
      <c r="AK42" s="1510">
        <f t="shared" si="45"/>
        <v>0</v>
      </c>
      <c r="AL42" s="1510">
        <f t="shared" si="45"/>
        <v>0</v>
      </c>
      <c r="AM42" s="1510">
        <f t="shared" si="45"/>
        <v>0</v>
      </c>
      <c r="AN42" s="1511"/>
      <c r="AO42" s="1511">
        <f t="shared" si="45"/>
        <v>69.199999999999989</v>
      </c>
      <c r="AP42" s="1511">
        <f t="shared" si="45"/>
        <v>0</v>
      </c>
      <c r="AQ42" s="1511">
        <f t="shared" si="45"/>
        <v>0</v>
      </c>
      <c r="AR42" s="1511">
        <f t="shared" si="45"/>
        <v>0</v>
      </c>
      <c r="AS42" s="1507">
        <f t="shared" si="45"/>
        <v>69.199999999999989</v>
      </c>
      <c r="AT42" s="1511">
        <f t="shared" si="45"/>
        <v>0</v>
      </c>
      <c r="AU42" s="1511">
        <f t="shared" si="45"/>
        <v>0</v>
      </c>
      <c r="AV42" s="1511">
        <f t="shared" si="45"/>
        <v>0</v>
      </c>
      <c r="AW42" s="1507">
        <f t="shared" si="45"/>
        <v>0</v>
      </c>
      <c r="AX42" s="1511">
        <f t="shared" si="45"/>
        <v>0</v>
      </c>
      <c r="AY42" s="1511">
        <f t="shared" si="45"/>
        <v>0</v>
      </c>
      <c r="AZ42" s="1511">
        <f t="shared" si="45"/>
        <v>0</v>
      </c>
      <c r="BA42" s="1511">
        <f t="shared" si="45"/>
        <v>0</v>
      </c>
      <c r="BB42" s="1511">
        <f t="shared" si="45"/>
        <v>0</v>
      </c>
      <c r="BC42" s="1511">
        <f t="shared" si="45"/>
        <v>0</v>
      </c>
      <c r="BD42" s="1511">
        <f t="shared" si="45"/>
        <v>0</v>
      </c>
      <c r="BE42" s="1511">
        <f t="shared" si="45"/>
        <v>163.38</v>
      </c>
      <c r="BF42" s="1511">
        <f t="shared" si="45"/>
        <v>0</v>
      </c>
      <c r="BG42" s="1511">
        <f t="shared" si="45"/>
        <v>0</v>
      </c>
      <c r="BH42" s="1511">
        <f t="shared" si="45"/>
        <v>0</v>
      </c>
      <c r="BI42" s="1511">
        <f t="shared" si="45"/>
        <v>81.7</v>
      </c>
      <c r="BJ42" s="1511">
        <f t="shared" si="45"/>
        <v>0</v>
      </c>
      <c r="BK42" s="1511">
        <f t="shared" si="45"/>
        <v>0</v>
      </c>
      <c r="BL42" s="1511">
        <f t="shared" si="45"/>
        <v>0</v>
      </c>
      <c r="BM42" s="1511">
        <f t="shared" si="45"/>
        <v>0</v>
      </c>
      <c r="BN42" s="1511">
        <f t="shared" si="45"/>
        <v>0</v>
      </c>
      <c r="BO42" s="1511">
        <f t="shared" si="45"/>
        <v>0</v>
      </c>
      <c r="BP42" s="1511">
        <f t="shared" si="45"/>
        <v>0</v>
      </c>
      <c r="BQ42" s="1511">
        <f t="shared" si="45"/>
        <v>81.7</v>
      </c>
      <c r="BR42" s="1511">
        <f t="shared" si="45"/>
        <v>0</v>
      </c>
      <c r="BS42" s="1511">
        <f t="shared" si="45"/>
        <v>0</v>
      </c>
      <c r="BT42" s="1511">
        <f t="shared" ref="BT42:CF42" si="46">BT58+BT74+BT90+BT106</f>
        <v>0</v>
      </c>
      <c r="BU42" s="1511">
        <f t="shared" si="46"/>
        <v>120</v>
      </c>
      <c r="BV42" s="1511">
        <f t="shared" si="46"/>
        <v>0</v>
      </c>
      <c r="BW42" s="1511">
        <f t="shared" si="46"/>
        <v>0</v>
      </c>
      <c r="BX42" s="1511">
        <f t="shared" si="46"/>
        <v>0</v>
      </c>
      <c r="BY42" s="1511">
        <f t="shared" si="46"/>
        <v>130.19999999999999</v>
      </c>
      <c r="BZ42" s="1511">
        <f t="shared" si="46"/>
        <v>0</v>
      </c>
      <c r="CA42" s="1511">
        <f t="shared" si="46"/>
        <v>0</v>
      </c>
      <c r="CB42" s="1511">
        <f t="shared" si="46"/>
        <v>0</v>
      </c>
      <c r="CC42" s="1511">
        <f t="shared" si="46"/>
        <v>0</v>
      </c>
      <c r="CD42" s="1511">
        <f t="shared" si="46"/>
        <v>0</v>
      </c>
      <c r="CE42" s="1511">
        <f t="shared" si="46"/>
        <v>0</v>
      </c>
      <c r="CF42" s="1511">
        <f t="shared" si="46"/>
        <v>0</v>
      </c>
      <c r="CG42" s="1596"/>
      <c r="CH42" s="1511">
        <f t="shared" si="39"/>
        <v>64.92</v>
      </c>
      <c r="CI42" s="1511">
        <f t="shared" si="39"/>
        <v>0</v>
      </c>
      <c r="CJ42" s="1511">
        <f t="shared" si="39"/>
        <v>0</v>
      </c>
      <c r="CK42" s="1511">
        <f t="shared" si="39"/>
        <v>0</v>
      </c>
      <c r="CL42" s="1598"/>
      <c r="CM42" s="1558"/>
      <c r="CN42" s="1558"/>
      <c r="CO42" s="1599">
        <f>163.4/195.12</f>
        <v>0.83743337433374332</v>
      </c>
      <c r="CP42" s="1510">
        <f>CP58+CP74+CP90+CP106</f>
        <v>163.39999999999998</v>
      </c>
      <c r="CQ42" s="1558"/>
      <c r="CR42" s="1558"/>
      <c r="CS42" s="1558"/>
      <c r="CT42" s="1558"/>
      <c r="CU42" s="1558"/>
      <c r="CV42" s="1558"/>
      <c r="CW42" s="1558"/>
      <c r="CY42" s="1558"/>
    </row>
    <row r="43" spans="1:107" s="1559" customFormat="1" ht="17.25" customHeight="1" x14ac:dyDescent="0.15">
      <c r="A43" s="1541" t="s">
        <v>89</v>
      </c>
      <c r="B43" s="1523" t="s">
        <v>79</v>
      </c>
      <c r="C43" s="1523" t="s">
        <v>100</v>
      </c>
      <c r="D43" s="1523" t="s">
        <v>101</v>
      </c>
      <c r="E43" s="1523">
        <v>4239902</v>
      </c>
      <c r="F43" s="1523"/>
      <c r="G43" s="1523">
        <v>224</v>
      </c>
      <c r="H43" s="1502">
        <f t="shared" si="45"/>
        <v>0</v>
      </c>
      <c r="I43" s="1502">
        <f t="shared" si="45"/>
        <v>0</v>
      </c>
      <c r="J43" s="1502">
        <f t="shared" si="45"/>
        <v>0</v>
      </c>
      <c r="K43" s="1502">
        <f t="shared" si="45"/>
        <v>0</v>
      </c>
      <c r="L43" s="1502">
        <f t="shared" si="45"/>
        <v>0</v>
      </c>
      <c r="M43" s="1502">
        <f t="shared" si="45"/>
        <v>0</v>
      </c>
      <c r="N43" s="1502">
        <f t="shared" si="45"/>
        <v>0</v>
      </c>
      <c r="O43" s="1502">
        <f t="shared" si="45"/>
        <v>0</v>
      </c>
      <c r="P43" s="1502">
        <f t="shared" si="45"/>
        <v>0</v>
      </c>
      <c r="Q43" s="1502">
        <f t="shared" si="45"/>
        <v>0</v>
      </c>
      <c r="R43" s="1502">
        <f t="shared" si="45"/>
        <v>0</v>
      </c>
      <c r="S43" s="1502">
        <f t="shared" si="45"/>
        <v>0</v>
      </c>
      <c r="T43" s="1502">
        <f t="shared" si="45"/>
        <v>0</v>
      </c>
      <c r="U43" s="1505">
        <f t="shared" si="45"/>
        <v>122</v>
      </c>
      <c r="V43" s="1505"/>
      <c r="W43" s="1506"/>
      <c r="X43" s="1506"/>
      <c r="Y43" s="1506"/>
      <c r="Z43" s="1507"/>
      <c r="AA43" s="1506"/>
      <c r="AB43" s="1506"/>
      <c r="AC43" s="1545">
        <f t="shared" si="45"/>
        <v>0</v>
      </c>
      <c r="AD43" s="1545">
        <f t="shared" si="45"/>
        <v>0</v>
      </c>
      <c r="AE43" s="1545">
        <f t="shared" si="45"/>
        <v>0</v>
      </c>
      <c r="AF43" s="1545">
        <f t="shared" si="45"/>
        <v>0</v>
      </c>
      <c r="AG43" s="1545">
        <f t="shared" si="45"/>
        <v>0</v>
      </c>
      <c r="AH43" s="1545">
        <f t="shared" si="45"/>
        <v>0</v>
      </c>
      <c r="AI43" s="1510">
        <f t="shared" si="45"/>
        <v>0</v>
      </c>
      <c r="AJ43" s="1510">
        <f t="shared" si="45"/>
        <v>0</v>
      </c>
      <c r="AK43" s="1510">
        <f t="shared" si="45"/>
        <v>0</v>
      </c>
      <c r="AL43" s="1510">
        <f t="shared" si="45"/>
        <v>0</v>
      </c>
      <c r="AM43" s="1510">
        <f t="shared" si="45"/>
        <v>0</v>
      </c>
      <c r="AN43" s="1511"/>
      <c r="AO43" s="1511">
        <f t="shared" si="45"/>
        <v>0</v>
      </c>
      <c r="AP43" s="1511">
        <f t="shared" si="45"/>
        <v>0</v>
      </c>
      <c r="AQ43" s="1511">
        <f t="shared" si="45"/>
        <v>0</v>
      </c>
      <c r="AR43" s="1511">
        <f t="shared" si="45"/>
        <v>0</v>
      </c>
      <c r="AS43" s="1507">
        <f t="shared" si="45"/>
        <v>0</v>
      </c>
      <c r="AT43" s="1511">
        <f t="shared" si="45"/>
        <v>0</v>
      </c>
      <c r="AU43" s="1511">
        <f t="shared" si="45"/>
        <v>0</v>
      </c>
      <c r="AV43" s="1511">
        <f t="shared" si="45"/>
        <v>0</v>
      </c>
      <c r="AW43" s="1507">
        <f t="shared" si="45"/>
        <v>0</v>
      </c>
      <c r="AX43" s="1511">
        <f t="shared" si="45"/>
        <v>0</v>
      </c>
      <c r="AY43" s="1511">
        <f t="shared" si="45"/>
        <v>0</v>
      </c>
      <c r="AZ43" s="1511">
        <f t="shared" si="45"/>
        <v>0</v>
      </c>
      <c r="BA43" s="1511">
        <f t="shared" si="45"/>
        <v>0</v>
      </c>
      <c r="BB43" s="1511">
        <f t="shared" si="45"/>
        <v>0</v>
      </c>
      <c r="BC43" s="1511">
        <f t="shared" si="45"/>
        <v>0</v>
      </c>
      <c r="BD43" s="1511">
        <f t="shared" si="45"/>
        <v>0</v>
      </c>
      <c r="BE43" s="1511">
        <f t="shared" si="45"/>
        <v>0</v>
      </c>
      <c r="BF43" s="1511">
        <f t="shared" si="45"/>
        <v>0</v>
      </c>
      <c r="BG43" s="1511">
        <f t="shared" si="45"/>
        <v>0</v>
      </c>
      <c r="BH43" s="1511">
        <f t="shared" si="45"/>
        <v>0</v>
      </c>
      <c r="BI43" s="1511">
        <f t="shared" si="45"/>
        <v>0</v>
      </c>
      <c r="BJ43" s="1511">
        <f t="shared" si="45"/>
        <v>0</v>
      </c>
      <c r="BK43" s="1511">
        <f t="shared" si="45"/>
        <v>0</v>
      </c>
      <c r="BL43" s="1511">
        <f t="shared" si="45"/>
        <v>0</v>
      </c>
      <c r="BM43" s="1511">
        <f t="shared" si="45"/>
        <v>0</v>
      </c>
      <c r="BN43" s="1511">
        <f t="shared" si="45"/>
        <v>0</v>
      </c>
      <c r="BO43" s="1511">
        <f t="shared" si="45"/>
        <v>0</v>
      </c>
      <c r="BP43" s="1511">
        <f t="shared" si="45"/>
        <v>0</v>
      </c>
      <c r="BQ43" s="1511">
        <f t="shared" si="45"/>
        <v>0</v>
      </c>
      <c r="BR43" s="1511">
        <f t="shared" si="45"/>
        <v>0</v>
      </c>
      <c r="BS43" s="1511">
        <f t="shared" si="45"/>
        <v>0</v>
      </c>
      <c r="BT43" s="1511">
        <f t="shared" ref="BT43:CF43" si="47">BT59+BT75+BT91+BT107</f>
        <v>0</v>
      </c>
      <c r="BU43" s="1511">
        <f t="shared" si="47"/>
        <v>0</v>
      </c>
      <c r="BV43" s="1511">
        <f t="shared" si="47"/>
        <v>0</v>
      </c>
      <c r="BW43" s="1511">
        <f t="shared" si="47"/>
        <v>0</v>
      </c>
      <c r="BX43" s="1511">
        <f t="shared" si="47"/>
        <v>0</v>
      </c>
      <c r="BY43" s="1511">
        <f t="shared" si="47"/>
        <v>0</v>
      </c>
      <c r="BZ43" s="1511">
        <f t="shared" si="47"/>
        <v>0</v>
      </c>
      <c r="CA43" s="1511">
        <f t="shared" si="47"/>
        <v>0</v>
      </c>
      <c r="CB43" s="1511">
        <f t="shared" si="47"/>
        <v>0</v>
      </c>
      <c r="CC43" s="1511">
        <f t="shared" si="47"/>
        <v>0</v>
      </c>
      <c r="CD43" s="1511">
        <f t="shared" si="47"/>
        <v>0</v>
      </c>
      <c r="CE43" s="1511">
        <f t="shared" si="47"/>
        <v>0</v>
      </c>
      <c r="CF43" s="1511">
        <f t="shared" si="47"/>
        <v>0</v>
      </c>
      <c r="CG43" s="1596"/>
      <c r="CH43" s="1511">
        <f t="shared" si="39"/>
        <v>0</v>
      </c>
      <c r="CI43" s="1511">
        <f t="shared" si="39"/>
        <v>0</v>
      </c>
      <c r="CJ43" s="1511">
        <f t="shared" si="39"/>
        <v>0</v>
      </c>
      <c r="CK43" s="1511">
        <f t="shared" si="39"/>
        <v>0</v>
      </c>
      <c r="CL43" s="1558"/>
      <c r="CM43" s="1558"/>
      <c r="CN43" s="1558"/>
      <c r="CO43" s="1558"/>
      <c r="CP43" s="1558"/>
      <c r="CQ43" s="1558"/>
      <c r="CR43" s="1558"/>
      <c r="CS43" s="1558"/>
      <c r="CT43" s="1558"/>
      <c r="CU43" s="1558"/>
      <c r="CV43" s="1558"/>
      <c r="CW43" s="1558"/>
      <c r="CY43" s="1558"/>
    </row>
    <row r="44" spans="1:107" s="1559" customFormat="1" ht="17.25" customHeight="1" x14ac:dyDescent="0.15">
      <c r="A44" s="1541" t="s">
        <v>90</v>
      </c>
      <c r="B44" s="1523" t="s">
        <v>79</v>
      </c>
      <c r="C44" s="1523" t="s">
        <v>100</v>
      </c>
      <c r="D44" s="1523" t="s">
        <v>101</v>
      </c>
      <c r="E44" s="1523">
        <v>4239902</v>
      </c>
      <c r="F44" s="1523"/>
      <c r="G44" s="1523">
        <v>225</v>
      </c>
      <c r="H44" s="1502">
        <f t="shared" si="45"/>
        <v>3195</v>
      </c>
      <c r="I44" s="1502">
        <f t="shared" si="45"/>
        <v>0</v>
      </c>
      <c r="J44" s="1502">
        <f>J60+J76+J92+J108</f>
        <v>549.20000000000005</v>
      </c>
      <c r="K44" s="1502">
        <f t="shared" si="45"/>
        <v>0</v>
      </c>
      <c r="L44" s="1502">
        <f t="shared" si="45"/>
        <v>0</v>
      </c>
      <c r="M44" s="1502">
        <f t="shared" si="45"/>
        <v>0</v>
      </c>
      <c r="N44" s="1502">
        <f t="shared" si="45"/>
        <v>0</v>
      </c>
      <c r="O44" s="1502">
        <f t="shared" si="45"/>
        <v>0</v>
      </c>
      <c r="P44" s="1502">
        <f t="shared" si="45"/>
        <v>0</v>
      </c>
      <c r="Q44" s="1502">
        <f t="shared" si="45"/>
        <v>0</v>
      </c>
      <c r="R44" s="1502">
        <f t="shared" si="45"/>
        <v>0</v>
      </c>
      <c r="S44" s="1502">
        <f t="shared" si="45"/>
        <v>0</v>
      </c>
      <c r="T44" s="1502">
        <f t="shared" si="45"/>
        <v>0</v>
      </c>
      <c r="U44" s="1505">
        <f t="shared" si="45"/>
        <v>50</v>
      </c>
      <c r="V44" s="1505"/>
      <c r="W44" s="1506"/>
      <c r="X44" s="1506"/>
      <c r="Y44" s="1506"/>
      <c r="Z44" s="1507"/>
      <c r="AA44" s="1506"/>
      <c r="AB44" s="1506"/>
      <c r="AC44" s="1545">
        <f t="shared" si="45"/>
        <v>3195</v>
      </c>
      <c r="AD44" s="1545">
        <f t="shared" si="45"/>
        <v>549.20000000000005</v>
      </c>
      <c r="AE44" s="1545">
        <f t="shared" si="45"/>
        <v>0</v>
      </c>
      <c r="AF44" s="1545">
        <f t="shared" si="45"/>
        <v>549.20000000000005</v>
      </c>
      <c r="AG44" s="1545">
        <f t="shared" si="45"/>
        <v>0</v>
      </c>
      <c r="AH44" s="1545">
        <f t="shared" si="45"/>
        <v>0</v>
      </c>
      <c r="AI44" s="1510">
        <f t="shared" si="45"/>
        <v>0</v>
      </c>
      <c r="AJ44" s="1510">
        <f t="shared" si="45"/>
        <v>0</v>
      </c>
      <c r="AK44" s="1510">
        <f t="shared" si="45"/>
        <v>0</v>
      </c>
      <c r="AL44" s="1510">
        <f t="shared" si="45"/>
        <v>0</v>
      </c>
      <c r="AM44" s="1510">
        <f t="shared" si="45"/>
        <v>0</v>
      </c>
      <c r="AN44" s="1511"/>
      <c r="AO44" s="1511">
        <f t="shared" si="45"/>
        <v>0</v>
      </c>
      <c r="AP44" s="1511">
        <f t="shared" si="45"/>
        <v>0</v>
      </c>
      <c r="AQ44" s="1511">
        <f t="shared" si="45"/>
        <v>0</v>
      </c>
      <c r="AR44" s="1511">
        <f t="shared" si="45"/>
        <v>0</v>
      </c>
      <c r="AS44" s="1507">
        <f t="shared" si="45"/>
        <v>0</v>
      </c>
      <c r="AT44" s="1511">
        <f t="shared" si="45"/>
        <v>0</v>
      </c>
      <c r="AU44" s="1511">
        <f t="shared" si="45"/>
        <v>0</v>
      </c>
      <c r="AV44" s="1511">
        <f t="shared" si="45"/>
        <v>0</v>
      </c>
      <c r="AW44" s="1507">
        <f t="shared" si="45"/>
        <v>0</v>
      </c>
      <c r="AX44" s="1511">
        <f t="shared" si="45"/>
        <v>0</v>
      </c>
      <c r="AY44" s="1511">
        <f t="shared" si="45"/>
        <v>0</v>
      </c>
      <c r="AZ44" s="1511">
        <f t="shared" si="45"/>
        <v>0</v>
      </c>
      <c r="BA44" s="1511">
        <f t="shared" si="45"/>
        <v>3000</v>
      </c>
      <c r="BB44" s="1511">
        <f t="shared" si="45"/>
        <v>0</v>
      </c>
      <c r="BC44" s="1511">
        <f t="shared" si="45"/>
        <v>0</v>
      </c>
      <c r="BD44" s="1511">
        <f t="shared" si="45"/>
        <v>0</v>
      </c>
      <c r="BE44" s="1511">
        <f t="shared" si="45"/>
        <v>0</v>
      </c>
      <c r="BF44" s="1511">
        <f t="shared" si="45"/>
        <v>0</v>
      </c>
      <c r="BG44" s="1511">
        <f t="shared" si="45"/>
        <v>0</v>
      </c>
      <c r="BH44" s="1511">
        <f t="shared" si="45"/>
        <v>0</v>
      </c>
      <c r="BI44" s="1511">
        <f t="shared" si="45"/>
        <v>0</v>
      </c>
      <c r="BJ44" s="1511">
        <f t="shared" si="45"/>
        <v>0</v>
      </c>
      <c r="BK44" s="1511">
        <f t="shared" si="45"/>
        <v>0</v>
      </c>
      <c r="BL44" s="1511">
        <f t="shared" si="45"/>
        <v>0</v>
      </c>
      <c r="BM44" s="1511">
        <f t="shared" si="45"/>
        <v>0</v>
      </c>
      <c r="BN44" s="1511">
        <f t="shared" si="45"/>
        <v>0</v>
      </c>
      <c r="BO44" s="1511">
        <f t="shared" si="45"/>
        <v>0</v>
      </c>
      <c r="BP44" s="1511">
        <f t="shared" si="45"/>
        <v>0</v>
      </c>
      <c r="BQ44" s="1511">
        <f t="shared" si="45"/>
        <v>135</v>
      </c>
      <c r="BR44" s="1511">
        <f t="shared" si="45"/>
        <v>0</v>
      </c>
      <c r="BS44" s="1511">
        <f t="shared" si="45"/>
        <v>0</v>
      </c>
      <c r="BT44" s="1511">
        <f t="shared" ref="BT44:CF44" si="48">BT60+BT76+BT92+BT108</f>
        <v>0</v>
      </c>
      <c r="BU44" s="1511">
        <f t="shared" si="48"/>
        <v>0</v>
      </c>
      <c r="BV44" s="1511">
        <f t="shared" si="48"/>
        <v>0</v>
      </c>
      <c r="BW44" s="1511">
        <f t="shared" si="48"/>
        <v>0</v>
      </c>
      <c r="BX44" s="1511">
        <f t="shared" si="48"/>
        <v>0</v>
      </c>
      <c r="BY44" s="1511">
        <f t="shared" si="48"/>
        <v>0</v>
      </c>
      <c r="BZ44" s="1511">
        <f t="shared" si="48"/>
        <v>0</v>
      </c>
      <c r="CA44" s="1511">
        <f t="shared" si="48"/>
        <v>200</v>
      </c>
      <c r="CB44" s="1511">
        <f t="shared" si="48"/>
        <v>0</v>
      </c>
      <c r="CC44" s="1511">
        <f t="shared" si="48"/>
        <v>0</v>
      </c>
      <c r="CD44" s="1511">
        <f t="shared" si="48"/>
        <v>0</v>
      </c>
      <c r="CE44" s="1511">
        <f t="shared" si="48"/>
        <v>0</v>
      </c>
      <c r="CF44" s="1511">
        <f t="shared" si="48"/>
        <v>0</v>
      </c>
      <c r="CG44" s="1596"/>
      <c r="CH44" s="1511">
        <f t="shared" si="39"/>
        <v>60</v>
      </c>
      <c r="CI44" s="1511">
        <f t="shared" si="39"/>
        <v>0</v>
      </c>
      <c r="CJ44" s="1511">
        <f t="shared" si="39"/>
        <v>349.2</v>
      </c>
      <c r="CK44" s="1511">
        <f t="shared" si="39"/>
        <v>0</v>
      </c>
      <c r="CL44" s="1598"/>
      <c r="CM44" s="1558"/>
      <c r="CN44" s="1558"/>
      <c r="CO44" s="1558"/>
      <c r="CP44" s="1558"/>
      <c r="CQ44" s="1558"/>
      <c r="CR44" s="1558"/>
      <c r="CS44" s="1558"/>
      <c r="CT44" s="1558"/>
      <c r="CU44" s="1558"/>
      <c r="CV44" s="1558"/>
      <c r="CW44" s="1558"/>
      <c r="CY44" s="1558"/>
    </row>
    <row r="45" spans="1:107" s="1559" customFormat="1" ht="17.25" customHeight="1" x14ac:dyDescent="0.15">
      <c r="A45" s="1541" t="s">
        <v>91</v>
      </c>
      <c r="B45" s="1523" t="s">
        <v>79</v>
      </c>
      <c r="C45" s="1523" t="s">
        <v>100</v>
      </c>
      <c r="D45" s="1523" t="s">
        <v>101</v>
      </c>
      <c r="E45" s="1523">
        <v>4239902</v>
      </c>
      <c r="F45" s="1523"/>
      <c r="G45" s="1523">
        <v>226</v>
      </c>
      <c r="H45" s="1502">
        <f t="shared" si="45"/>
        <v>755.7</v>
      </c>
      <c r="I45" s="1502">
        <f t="shared" si="45"/>
        <v>258</v>
      </c>
      <c r="J45" s="1502">
        <f t="shared" si="45"/>
        <v>0</v>
      </c>
      <c r="K45" s="1502">
        <f t="shared" si="45"/>
        <v>0</v>
      </c>
      <c r="L45" s="1502">
        <f t="shared" si="45"/>
        <v>0</v>
      </c>
      <c r="M45" s="1502">
        <f t="shared" si="45"/>
        <v>0</v>
      </c>
      <c r="N45" s="1502">
        <f t="shared" si="45"/>
        <v>0</v>
      </c>
      <c r="O45" s="1502">
        <f t="shared" si="45"/>
        <v>0</v>
      </c>
      <c r="P45" s="1502">
        <f t="shared" si="45"/>
        <v>0</v>
      </c>
      <c r="Q45" s="1502">
        <f t="shared" si="45"/>
        <v>0</v>
      </c>
      <c r="R45" s="1502">
        <f t="shared" si="45"/>
        <v>0</v>
      </c>
      <c r="S45" s="1502">
        <f t="shared" si="45"/>
        <v>0</v>
      </c>
      <c r="T45" s="1502">
        <f t="shared" si="45"/>
        <v>0</v>
      </c>
      <c r="U45" s="1505">
        <f t="shared" si="45"/>
        <v>150.19999999999999</v>
      </c>
      <c r="V45" s="1505"/>
      <c r="W45" s="1506"/>
      <c r="X45" s="1506"/>
      <c r="Y45" s="1506"/>
      <c r="Z45" s="1507"/>
      <c r="AA45" s="1506"/>
      <c r="AB45" s="1506"/>
      <c r="AC45" s="1545">
        <f t="shared" si="45"/>
        <v>755.7</v>
      </c>
      <c r="AD45" s="1545">
        <f t="shared" si="45"/>
        <v>258</v>
      </c>
      <c r="AE45" s="1545">
        <f t="shared" si="45"/>
        <v>258</v>
      </c>
      <c r="AF45" s="1545">
        <f t="shared" si="45"/>
        <v>0</v>
      </c>
      <c r="AG45" s="1545">
        <f t="shared" si="45"/>
        <v>0</v>
      </c>
      <c r="AH45" s="1545">
        <f t="shared" si="45"/>
        <v>0</v>
      </c>
      <c r="AI45" s="1510">
        <f t="shared" si="45"/>
        <v>0</v>
      </c>
      <c r="AJ45" s="1510">
        <f t="shared" si="45"/>
        <v>0</v>
      </c>
      <c r="AK45" s="1510">
        <f t="shared" si="45"/>
        <v>0</v>
      </c>
      <c r="AL45" s="1510">
        <f t="shared" si="45"/>
        <v>0</v>
      </c>
      <c r="AM45" s="1510">
        <f t="shared" si="45"/>
        <v>0</v>
      </c>
      <c r="AN45" s="1511"/>
      <c r="AO45" s="1511">
        <f t="shared" si="45"/>
        <v>0</v>
      </c>
      <c r="AP45" s="1511">
        <f t="shared" si="45"/>
        <v>0</v>
      </c>
      <c r="AQ45" s="1511">
        <f t="shared" si="45"/>
        <v>0</v>
      </c>
      <c r="AR45" s="1511">
        <f t="shared" si="45"/>
        <v>0</v>
      </c>
      <c r="AS45" s="1507">
        <f t="shared" si="45"/>
        <v>0</v>
      </c>
      <c r="AT45" s="1511">
        <f t="shared" si="45"/>
        <v>258</v>
      </c>
      <c r="AU45" s="1511">
        <f t="shared" si="45"/>
        <v>0</v>
      </c>
      <c r="AV45" s="1511">
        <f t="shared" si="45"/>
        <v>0</v>
      </c>
      <c r="AW45" s="1507">
        <f t="shared" si="45"/>
        <v>0</v>
      </c>
      <c r="AX45" s="1511">
        <f t="shared" si="45"/>
        <v>0</v>
      </c>
      <c r="AY45" s="1511">
        <f t="shared" si="45"/>
        <v>0</v>
      </c>
      <c r="AZ45" s="1511">
        <f t="shared" si="45"/>
        <v>0</v>
      </c>
      <c r="BA45" s="1511">
        <f t="shared" si="45"/>
        <v>0</v>
      </c>
      <c r="BB45" s="1511">
        <f t="shared" si="45"/>
        <v>0</v>
      </c>
      <c r="BC45" s="1511">
        <f t="shared" si="45"/>
        <v>0</v>
      </c>
      <c r="BD45" s="1511">
        <f t="shared" si="45"/>
        <v>0</v>
      </c>
      <c r="BE45" s="1511">
        <f t="shared" si="45"/>
        <v>150</v>
      </c>
      <c r="BF45" s="1511">
        <f t="shared" si="45"/>
        <v>0</v>
      </c>
      <c r="BG45" s="1511">
        <f t="shared" si="45"/>
        <v>0</v>
      </c>
      <c r="BH45" s="1511">
        <f t="shared" si="45"/>
        <v>0</v>
      </c>
      <c r="BI45" s="1511">
        <f t="shared" si="45"/>
        <v>0</v>
      </c>
      <c r="BJ45" s="1511">
        <f t="shared" si="45"/>
        <v>0</v>
      </c>
      <c r="BK45" s="1511">
        <f t="shared" si="45"/>
        <v>0</v>
      </c>
      <c r="BL45" s="1511">
        <f t="shared" si="45"/>
        <v>0</v>
      </c>
      <c r="BM45" s="1511">
        <f t="shared" si="45"/>
        <v>0</v>
      </c>
      <c r="BN45" s="1511">
        <f t="shared" si="45"/>
        <v>0</v>
      </c>
      <c r="BO45" s="1511">
        <f t="shared" si="45"/>
        <v>0</v>
      </c>
      <c r="BP45" s="1511">
        <f t="shared" si="45"/>
        <v>0</v>
      </c>
      <c r="BQ45" s="1511">
        <f t="shared" si="45"/>
        <v>72.039999999999992</v>
      </c>
      <c r="BR45" s="1511">
        <f t="shared" si="45"/>
        <v>0</v>
      </c>
      <c r="BS45" s="1511">
        <f t="shared" si="45"/>
        <v>0</v>
      </c>
      <c r="BT45" s="1511">
        <f t="shared" ref="BT45:CF45" si="49">BT61+BT77+BT93+BT109</f>
        <v>0</v>
      </c>
      <c r="BU45" s="1511">
        <f t="shared" si="49"/>
        <v>447.07</v>
      </c>
      <c r="BV45" s="1511">
        <f t="shared" si="49"/>
        <v>0</v>
      </c>
      <c r="BW45" s="1511">
        <f t="shared" si="49"/>
        <v>0</v>
      </c>
      <c r="BX45" s="1511">
        <f t="shared" si="49"/>
        <v>0</v>
      </c>
      <c r="BY45" s="1511">
        <f t="shared" si="49"/>
        <v>0</v>
      </c>
      <c r="BZ45" s="1511">
        <f t="shared" si="49"/>
        <v>0</v>
      </c>
      <c r="CA45" s="1511">
        <f t="shared" si="49"/>
        <v>0</v>
      </c>
      <c r="CB45" s="1511">
        <f t="shared" si="49"/>
        <v>0</v>
      </c>
      <c r="CC45" s="1511">
        <f t="shared" si="49"/>
        <v>0</v>
      </c>
      <c r="CD45" s="1511">
        <f t="shared" si="49"/>
        <v>0</v>
      </c>
      <c r="CE45" s="1511">
        <f t="shared" si="49"/>
        <v>0</v>
      </c>
      <c r="CF45" s="1511">
        <f t="shared" si="49"/>
        <v>0</v>
      </c>
      <c r="CG45" s="1596"/>
      <c r="CH45" s="1511">
        <f t="shared" si="39"/>
        <v>86.59</v>
      </c>
      <c r="CI45" s="1511">
        <f t="shared" si="39"/>
        <v>0</v>
      </c>
      <c r="CJ45" s="1511">
        <f t="shared" si="39"/>
        <v>0</v>
      </c>
      <c r="CK45" s="1511">
        <f t="shared" si="39"/>
        <v>0</v>
      </c>
      <c r="CL45" s="1598"/>
      <c r="CM45" s="1598"/>
      <c r="CN45" s="1558"/>
      <c r="CO45" s="1558"/>
      <c r="CP45" s="1558"/>
      <c r="CQ45" s="1558"/>
      <c r="CR45" s="1558"/>
      <c r="CS45" s="1558"/>
      <c r="CT45" s="1558"/>
      <c r="CU45" s="1558"/>
      <c r="CV45" s="1558"/>
      <c r="CW45" s="1558"/>
      <c r="CY45" s="1558"/>
    </row>
    <row r="46" spans="1:107" s="1559" customFormat="1" ht="17.25" customHeight="1" x14ac:dyDescent="0.15">
      <c r="A46" s="1541" t="s">
        <v>223</v>
      </c>
      <c r="B46" s="1523" t="s">
        <v>79</v>
      </c>
      <c r="C46" s="1523" t="s">
        <v>100</v>
      </c>
      <c r="D46" s="1523" t="s">
        <v>101</v>
      </c>
      <c r="E46" s="1523">
        <v>4239902</v>
      </c>
      <c r="F46" s="1523"/>
      <c r="G46" s="1523">
        <v>290</v>
      </c>
      <c r="H46" s="1502">
        <f t="shared" si="45"/>
        <v>1910.9</v>
      </c>
      <c r="I46" s="1502">
        <f t="shared" si="45"/>
        <v>0</v>
      </c>
      <c r="J46" s="1502">
        <f t="shared" si="45"/>
        <v>0</v>
      </c>
      <c r="K46" s="1502">
        <f t="shared" si="45"/>
        <v>0</v>
      </c>
      <c r="L46" s="1502">
        <f t="shared" si="45"/>
        <v>0</v>
      </c>
      <c r="M46" s="1502">
        <f t="shared" si="45"/>
        <v>0</v>
      </c>
      <c r="N46" s="1502">
        <f t="shared" si="45"/>
        <v>0</v>
      </c>
      <c r="O46" s="1502">
        <f t="shared" si="45"/>
        <v>0</v>
      </c>
      <c r="P46" s="1502">
        <f t="shared" si="45"/>
        <v>0</v>
      </c>
      <c r="Q46" s="1502">
        <f t="shared" si="45"/>
        <v>0</v>
      </c>
      <c r="R46" s="1502">
        <f t="shared" si="45"/>
        <v>0</v>
      </c>
      <c r="S46" s="1502">
        <f t="shared" si="45"/>
        <v>0</v>
      </c>
      <c r="T46" s="1502">
        <f t="shared" si="45"/>
        <v>0</v>
      </c>
      <c r="U46" s="1505">
        <f t="shared" si="45"/>
        <v>0</v>
      </c>
      <c r="V46" s="1505"/>
      <c r="W46" s="1506"/>
      <c r="X46" s="1506"/>
      <c r="Y46" s="1506"/>
      <c r="Z46" s="1507"/>
      <c r="AA46" s="1506"/>
      <c r="AB46" s="1506"/>
      <c r="AC46" s="1545">
        <f t="shared" si="45"/>
        <v>1910.8999999999996</v>
      </c>
      <c r="AD46" s="1545">
        <f t="shared" si="45"/>
        <v>0</v>
      </c>
      <c r="AE46" s="1545">
        <f t="shared" si="45"/>
        <v>0</v>
      </c>
      <c r="AF46" s="1545">
        <f t="shared" si="45"/>
        <v>0</v>
      </c>
      <c r="AG46" s="1545">
        <f t="shared" si="45"/>
        <v>0</v>
      </c>
      <c r="AH46" s="1545">
        <f t="shared" si="45"/>
        <v>0</v>
      </c>
      <c r="AI46" s="1510">
        <f t="shared" si="45"/>
        <v>0</v>
      </c>
      <c r="AJ46" s="1510">
        <f t="shared" si="45"/>
        <v>0</v>
      </c>
      <c r="AK46" s="1510">
        <f t="shared" si="45"/>
        <v>0</v>
      </c>
      <c r="AL46" s="1510">
        <f t="shared" si="45"/>
        <v>0</v>
      </c>
      <c r="AM46" s="1510">
        <f t="shared" si="45"/>
        <v>0</v>
      </c>
      <c r="AN46" s="1511"/>
      <c r="AO46" s="1511">
        <f t="shared" si="45"/>
        <v>159.29</v>
      </c>
      <c r="AP46" s="1511">
        <f t="shared" si="45"/>
        <v>0</v>
      </c>
      <c r="AQ46" s="1511">
        <f t="shared" si="45"/>
        <v>0</v>
      </c>
      <c r="AR46" s="1511">
        <f t="shared" si="45"/>
        <v>0</v>
      </c>
      <c r="AS46" s="1507">
        <f t="shared" si="45"/>
        <v>0</v>
      </c>
      <c r="AT46" s="1511">
        <f t="shared" si="45"/>
        <v>0</v>
      </c>
      <c r="AU46" s="1511">
        <f t="shared" si="45"/>
        <v>0</v>
      </c>
      <c r="AV46" s="1511">
        <f t="shared" ref="AV46:BS46" si="50">AV62+AV78+AV94+AV110</f>
        <v>0</v>
      </c>
      <c r="AW46" s="1507">
        <f t="shared" si="50"/>
        <v>0</v>
      </c>
      <c r="AX46" s="1511">
        <f t="shared" si="50"/>
        <v>0</v>
      </c>
      <c r="AY46" s="1511">
        <f t="shared" si="50"/>
        <v>0</v>
      </c>
      <c r="AZ46" s="1511">
        <f t="shared" si="50"/>
        <v>0</v>
      </c>
      <c r="BA46" s="1511">
        <f t="shared" si="50"/>
        <v>0</v>
      </c>
      <c r="BB46" s="1511">
        <f t="shared" si="50"/>
        <v>0</v>
      </c>
      <c r="BC46" s="1511">
        <f t="shared" si="50"/>
        <v>0</v>
      </c>
      <c r="BD46" s="1511">
        <f t="shared" si="50"/>
        <v>0</v>
      </c>
      <c r="BE46" s="1511">
        <f t="shared" si="50"/>
        <v>477.70000000000005</v>
      </c>
      <c r="BF46" s="1511">
        <f t="shared" si="50"/>
        <v>0</v>
      </c>
      <c r="BG46" s="1511">
        <f t="shared" si="50"/>
        <v>0</v>
      </c>
      <c r="BH46" s="1511">
        <f t="shared" si="50"/>
        <v>0</v>
      </c>
      <c r="BI46" s="1511">
        <f t="shared" si="50"/>
        <v>0</v>
      </c>
      <c r="BJ46" s="1511">
        <f t="shared" si="50"/>
        <v>0</v>
      </c>
      <c r="BK46" s="1511">
        <f t="shared" si="50"/>
        <v>0</v>
      </c>
      <c r="BL46" s="1511">
        <f t="shared" si="50"/>
        <v>0</v>
      </c>
      <c r="BM46" s="1511">
        <f t="shared" si="50"/>
        <v>0</v>
      </c>
      <c r="BN46" s="1511">
        <f t="shared" si="50"/>
        <v>0</v>
      </c>
      <c r="BO46" s="1511">
        <f t="shared" si="50"/>
        <v>0</v>
      </c>
      <c r="BP46" s="1511">
        <f t="shared" si="50"/>
        <v>0</v>
      </c>
      <c r="BQ46" s="1511">
        <f t="shared" si="50"/>
        <v>34.42</v>
      </c>
      <c r="BR46" s="1511">
        <f t="shared" si="50"/>
        <v>0</v>
      </c>
      <c r="BS46" s="1511">
        <f t="shared" si="50"/>
        <v>0</v>
      </c>
      <c r="BT46" s="1511">
        <f t="shared" ref="BT46:CF46" si="51">BT62+BT78+BT94+BT110</f>
        <v>0</v>
      </c>
      <c r="BU46" s="1511">
        <f t="shared" si="51"/>
        <v>796.19999999999993</v>
      </c>
      <c r="BV46" s="1511">
        <f t="shared" si="51"/>
        <v>0</v>
      </c>
      <c r="BW46" s="1511">
        <f t="shared" si="51"/>
        <v>0</v>
      </c>
      <c r="BX46" s="1511">
        <f t="shared" si="51"/>
        <v>0</v>
      </c>
      <c r="BY46" s="1511">
        <f t="shared" si="51"/>
        <v>0</v>
      </c>
      <c r="BZ46" s="1511">
        <f t="shared" si="51"/>
        <v>0</v>
      </c>
      <c r="CA46" s="1511">
        <f t="shared" si="51"/>
        <v>0</v>
      </c>
      <c r="CB46" s="1511">
        <f t="shared" si="51"/>
        <v>0</v>
      </c>
      <c r="CC46" s="1511">
        <f t="shared" si="51"/>
        <v>0</v>
      </c>
      <c r="CD46" s="1511">
        <f t="shared" si="51"/>
        <v>0</v>
      </c>
      <c r="CE46" s="1511">
        <f t="shared" si="51"/>
        <v>0</v>
      </c>
      <c r="CF46" s="1511">
        <f t="shared" si="51"/>
        <v>0</v>
      </c>
      <c r="CG46" s="1596"/>
      <c r="CH46" s="1511">
        <f t="shared" si="39"/>
        <v>443.29</v>
      </c>
      <c r="CI46" s="1511">
        <f t="shared" si="39"/>
        <v>0</v>
      </c>
      <c r="CJ46" s="1511">
        <f t="shared" si="39"/>
        <v>0</v>
      </c>
      <c r="CK46" s="1511">
        <f t="shared" si="39"/>
        <v>0</v>
      </c>
      <c r="CL46" s="1598"/>
      <c r="CM46" s="1558"/>
      <c r="CN46" s="1558"/>
      <c r="CO46" s="1558"/>
      <c r="CP46" s="1558"/>
      <c r="CQ46" s="1558"/>
      <c r="CR46" s="1558"/>
      <c r="CS46" s="1558"/>
      <c r="CT46" s="1558"/>
      <c r="CU46" s="1558"/>
      <c r="CV46" s="1558"/>
      <c r="CW46" s="1558"/>
      <c r="CY46" s="1558"/>
    </row>
    <row r="47" spans="1:107" s="1559" customFormat="1" ht="17.25" customHeight="1" x14ac:dyDescent="0.15">
      <c r="A47" s="1541" t="s">
        <v>94</v>
      </c>
      <c r="B47" s="1523" t="s">
        <v>79</v>
      </c>
      <c r="C47" s="1523" t="s">
        <v>100</v>
      </c>
      <c r="D47" s="1523" t="s">
        <v>101</v>
      </c>
      <c r="E47" s="1523" t="s">
        <v>221</v>
      </c>
      <c r="F47" s="1523"/>
      <c r="G47" s="1523">
        <v>290</v>
      </c>
      <c r="H47" s="1502">
        <f t="shared" ref="H47:BS50" si="52">H63+H79+H95+H111</f>
        <v>0</v>
      </c>
      <c r="I47" s="1502">
        <f t="shared" si="52"/>
        <v>0</v>
      </c>
      <c r="J47" s="1502">
        <f t="shared" si="52"/>
        <v>0</v>
      </c>
      <c r="K47" s="1502">
        <f t="shared" si="52"/>
        <v>0</v>
      </c>
      <c r="L47" s="1502">
        <f t="shared" si="52"/>
        <v>0</v>
      </c>
      <c r="M47" s="1502">
        <f t="shared" si="52"/>
        <v>0</v>
      </c>
      <c r="N47" s="1502">
        <f t="shared" si="52"/>
        <v>0</v>
      </c>
      <c r="O47" s="1502">
        <f t="shared" si="52"/>
        <v>0</v>
      </c>
      <c r="P47" s="1502">
        <f t="shared" si="52"/>
        <v>0</v>
      </c>
      <c r="Q47" s="1502">
        <f t="shared" si="52"/>
        <v>0</v>
      </c>
      <c r="R47" s="1502">
        <f t="shared" si="52"/>
        <v>0</v>
      </c>
      <c r="S47" s="1502">
        <f t="shared" si="52"/>
        <v>0</v>
      </c>
      <c r="T47" s="1502">
        <f t="shared" si="52"/>
        <v>0</v>
      </c>
      <c r="U47" s="1505">
        <f t="shared" si="52"/>
        <v>0</v>
      </c>
      <c r="V47" s="1505"/>
      <c r="W47" s="1506"/>
      <c r="X47" s="1506"/>
      <c r="Y47" s="1506"/>
      <c r="Z47" s="1507"/>
      <c r="AA47" s="1506"/>
      <c r="AB47" s="1506"/>
      <c r="AC47" s="1545">
        <f t="shared" si="52"/>
        <v>0</v>
      </c>
      <c r="AD47" s="1545">
        <f t="shared" si="52"/>
        <v>0</v>
      </c>
      <c r="AE47" s="1545">
        <f t="shared" si="52"/>
        <v>0</v>
      </c>
      <c r="AF47" s="1545">
        <f t="shared" si="52"/>
        <v>0</v>
      </c>
      <c r="AG47" s="1545">
        <f t="shared" si="52"/>
        <v>0</v>
      </c>
      <c r="AH47" s="1545">
        <f t="shared" si="52"/>
        <v>0</v>
      </c>
      <c r="AI47" s="1510">
        <f t="shared" si="52"/>
        <v>0</v>
      </c>
      <c r="AJ47" s="1510">
        <f t="shared" si="52"/>
        <v>0</v>
      </c>
      <c r="AK47" s="1510">
        <f t="shared" si="52"/>
        <v>0</v>
      </c>
      <c r="AL47" s="1510">
        <f t="shared" si="52"/>
        <v>0</v>
      </c>
      <c r="AM47" s="1510">
        <f t="shared" si="52"/>
        <v>0</v>
      </c>
      <c r="AN47" s="1511"/>
      <c r="AO47" s="1511">
        <f t="shared" si="52"/>
        <v>0</v>
      </c>
      <c r="AP47" s="1511">
        <f t="shared" si="52"/>
        <v>0</v>
      </c>
      <c r="AQ47" s="1511">
        <f t="shared" si="52"/>
        <v>0</v>
      </c>
      <c r="AR47" s="1511">
        <f t="shared" si="52"/>
        <v>0</v>
      </c>
      <c r="AS47" s="1507">
        <f t="shared" si="52"/>
        <v>0</v>
      </c>
      <c r="AT47" s="1511">
        <f t="shared" si="52"/>
        <v>0</v>
      </c>
      <c r="AU47" s="1511">
        <f t="shared" si="52"/>
        <v>0</v>
      </c>
      <c r="AV47" s="1511">
        <f t="shared" si="52"/>
        <v>0</v>
      </c>
      <c r="AW47" s="1507">
        <f t="shared" si="52"/>
        <v>0</v>
      </c>
      <c r="AX47" s="1511">
        <f t="shared" si="52"/>
        <v>0</v>
      </c>
      <c r="AY47" s="1511">
        <f t="shared" si="52"/>
        <v>0</v>
      </c>
      <c r="AZ47" s="1511">
        <f t="shared" si="52"/>
        <v>0</v>
      </c>
      <c r="BA47" s="1511">
        <f t="shared" si="52"/>
        <v>0</v>
      </c>
      <c r="BB47" s="1511">
        <f t="shared" si="52"/>
        <v>0</v>
      </c>
      <c r="BC47" s="1511">
        <f t="shared" si="52"/>
        <v>0</v>
      </c>
      <c r="BD47" s="1511">
        <f t="shared" si="52"/>
        <v>0</v>
      </c>
      <c r="BE47" s="1511">
        <f t="shared" si="52"/>
        <v>0</v>
      </c>
      <c r="BF47" s="1511">
        <f t="shared" si="52"/>
        <v>0</v>
      </c>
      <c r="BG47" s="1511">
        <f t="shared" si="52"/>
        <v>0</v>
      </c>
      <c r="BH47" s="1511">
        <f t="shared" si="52"/>
        <v>0</v>
      </c>
      <c r="BI47" s="1511">
        <f t="shared" si="52"/>
        <v>0</v>
      </c>
      <c r="BJ47" s="1511">
        <f t="shared" si="52"/>
        <v>0</v>
      </c>
      <c r="BK47" s="1511">
        <f t="shared" si="52"/>
        <v>0</v>
      </c>
      <c r="BL47" s="1511">
        <f t="shared" si="52"/>
        <v>0</v>
      </c>
      <c r="BM47" s="1511">
        <f t="shared" si="52"/>
        <v>0</v>
      </c>
      <c r="BN47" s="1511">
        <f t="shared" si="52"/>
        <v>0</v>
      </c>
      <c r="BO47" s="1511">
        <f t="shared" si="52"/>
        <v>0</v>
      </c>
      <c r="BP47" s="1511">
        <f t="shared" si="52"/>
        <v>0</v>
      </c>
      <c r="BQ47" s="1511">
        <f t="shared" si="52"/>
        <v>0</v>
      </c>
      <c r="BR47" s="1511">
        <f t="shared" si="52"/>
        <v>0</v>
      </c>
      <c r="BS47" s="1511">
        <f t="shared" si="52"/>
        <v>0</v>
      </c>
      <c r="BT47" s="1511">
        <f t="shared" ref="BT47:CF47" si="53">BT63+BT79+BT95+BT111</f>
        <v>0</v>
      </c>
      <c r="BU47" s="1511">
        <f t="shared" si="53"/>
        <v>0</v>
      </c>
      <c r="BV47" s="1511">
        <f t="shared" si="53"/>
        <v>0</v>
      </c>
      <c r="BW47" s="1511">
        <f t="shared" si="53"/>
        <v>0</v>
      </c>
      <c r="BX47" s="1511">
        <f t="shared" si="53"/>
        <v>0</v>
      </c>
      <c r="BY47" s="1511">
        <f t="shared" si="53"/>
        <v>0</v>
      </c>
      <c r="BZ47" s="1511">
        <f t="shared" si="53"/>
        <v>0</v>
      </c>
      <c r="CA47" s="1511">
        <f t="shared" si="53"/>
        <v>0</v>
      </c>
      <c r="CB47" s="1511">
        <f t="shared" si="53"/>
        <v>0</v>
      </c>
      <c r="CC47" s="1511">
        <f t="shared" si="53"/>
        <v>0</v>
      </c>
      <c r="CD47" s="1511">
        <f t="shared" si="53"/>
        <v>0</v>
      </c>
      <c r="CE47" s="1511">
        <f t="shared" si="53"/>
        <v>0</v>
      </c>
      <c r="CF47" s="1511">
        <f t="shared" si="53"/>
        <v>0</v>
      </c>
      <c r="CG47" s="1596"/>
      <c r="CH47" s="1511">
        <f t="shared" si="39"/>
        <v>0</v>
      </c>
      <c r="CI47" s="1511">
        <f t="shared" si="39"/>
        <v>0</v>
      </c>
      <c r="CJ47" s="1511">
        <f t="shared" si="39"/>
        <v>0</v>
      </c>
      <c r="CK47" s="1511">
        <f t="shared" si="39"/>
        <v>0</v>
      </c>
      <c r="CL47" s="1558"/>
      <c r="CM47" s="1558"/>
      <c r="CN47" s="1558"/>
      <c r="CO47" s="1558"/>
      <c r="CP47" s="1558"/>
      <c r="CQ47" s="1558"/>
      <c r="CR47" s="1558"/>
      <c r="CS47" s="1558"/>
      <c r="CT47" s="1558"/>
      <c r="CU47" s="1558"/>
      <c r="CV47" s="1558"/>
      <c r="CW47" s="1558"/>
      <c r="CY47" s="1558"/>
    </row>
    <row r="48" spans="1:107" s="1559" customFormat="1" ht="17.25" customHeight="1" x14ac:dyDescent="0.15">
      <c r="A48" s="1541" t="s">
        <v>104</v>
      </c>
      <c r="B48" s="1523" t="s">
        <v>79</v>
      </c>
      <c r="C48" s="1523" t="s">
        <v>100</v>
      </c>
      <c r="D48" s="1523" t="s">
        <v>101</v>
      </c>
      <c r="E48" s="1523">
        <v>4239902</v>
      </c>
      <c r="F48" s="1523"/>
      <c r="G48" s="1523">
        <v>310</v>
      </c>
      <c r="H48" s="1502">
        <f t="shared" si="52"/>
        <v>455</v>
      </c>
      <c r="I48" s="1502">
        <f t="shared" si="52"/>
        <v>0</v>
      </c>
      <c r="J48" s="1502">
        <f t="shared" si="52"/>
        <v>0</v>
      </c>
      <c r="K48" s="1502">
        <f t="shared" si="52"/>
        <v>0</v>
      </c>
      <c r="L48" s="1502">
        <f t="shared" si="52"/>
        <v>0</v>
      </c>
      <c r="M48" s="1502">
        <f t="shared" si="52"/>
        <v>0</v>
      </c>
      <c r="N48" s="1502">
        <f t="shared" si="52"/>
        <v>0</v>
      </c>
      <c r="O48" s="1502">
        <f t="shared" si="52"/>
        <v>0</v>
      </c>
      <c r="P48" s="1502">
        <f t="shared" si="52"/>
        <v>0</v>
      </c>
      <c r="Q48" s="1502">
        <f t="shared" si="52"/>
        <v>0</v>
      </c>
      <c r="R48" s="1502">
        <f t="shared" si="52"/>
        <v>0</v>
      </c>
      <c r="S48" s="1502">
        <f t="shared" si="52"/>
        <v>0</v>
      </c>
      <c r="T48" s="1502">
        <f t="shared" si="52"/>
        <v>0</v>
      </c>
      <c r="U48" s="1505">
        <f t="shared" si="52"/>
        <v>20</v>
      </c>
      <c r="V48" s="1505"/>
      <c r="W48" s="1506"/>
      <c r="X48" s="1506"/>
      <c r="Y48" s="1506"/>
      <c r="Z48" s="1507"/>
      <c r="AA48" s="1506"/>
      <c r="AB48" s="1506"/>
      <c r="AC48" s="1545">
        <f t="shared" si="52"/>
        <v>455</v>
      </c>
      <c r="AD48" s="1545">
        <f t="shared" si="52"/>
        <v>0</v>
      </c>
      <c r="AE48" s="1545">
        <f t="shared" si="52"/>
        <v>0</v>
      </c>
      <c r="AF48" s="1545">
        <f t="shared" si="52"/>
        <v>0</v>
      </c>
      <c r="AG48" s="1545">
        <f t="shared" si="52"/>
        <v>0</v>
      </c>
      <c r="AH48" s="1545">
        <f t="shared" si="52"/>
        <v>0</v>
      </c>
      <c r="AI48" s="1510">
        <f t="shared" si="52"/>
        <v>0</v>
      </c>
      <c r="AJ48" s="1510">
        <f t="shared" si="52"/>
        <v>0</v>
      </c>
      <c r="AK48" s="1510">
        <f t="shared" si="52"/>
        <v>0</v>
      </c>
      <c r="AL48" s="1510">
        <f t="shared" si="52"/>
        <v>0</v>
      </c>
      <c r="AM48" s="1510">
        <f t="shared" si="52"/>
        <v>0</v>
      </c>
      <c r="AN48" s="1511"/>
      <c r="AO48" s="1511">
        <f t="shared" si="52"/>
        <v>0</v>
      </c>
      <c r="AP48" s="1511">
        <f t="shared" si="52"/>
        <v>0</v>
      </c>
      <c r="AQ48" s="1511">
        <f t="shared" si="52"/>
        <v>0</v>
      </c>
      <c r="AR48" s="1511">
        <f t="shared" si="52"/>
        <v>0</v>
      </c>
      <c r="AS48" s="1507">
        <f t="shared" si="52"/>
        <v>0</v>
      </c>
      <c r="AT48" s="1511">
        <f t="shared" si="52"/>
        <v>0</v>
      </c>
      <c r="AU48" s="1511">
        <f t="shared" si="52"/>
        <v>0</v>
      </c>
      <c r="AV48" s="1511">
        <f t="shared" si="52"/>
        <v>0</v>
      </c>
      <c r="AW48" s="1507">
        <f t="shared" si="52"/>
        <v>0</v>
      </c>
      <c r="AX48" s="1511">
        <f t="shared" si="52"/>
        <v>0</v>
      </c>
      <c r="AY48" s="1511">
        <f t="shared" si="52"/>
        <v>0</v>
      </c>
      <c r="AZ48" s="1511">
        <f t="shared" si="52"/>
        <v>0</v>
      </c>
      <c r="BA48" s="1511">
        <f t="shared" si="52"/>
        <v>0</v>
      </c>
      <c r="BB48" s="1511">
        <f t="shared" si="52"/>
        <v>0</v>
      </c>
      <c r="BC48" s="1511">
        <f t="shared" si="52"/>
        <v>0</v>
      </c>
      <c r="BD48" s="1511">
        <f t="shared" si="52"/>
        <v>0</v>
      </c>
      <c r="BE48" s="1511">
        <f t="shared" si="52"/>
        <v>0</v>
      </c>
      <c r="BF48" s="1511">
        <f t="shared" si="52"/>
        <v>0</v>
      </c>
      <c r="BG48" s="1511">
        <f t="shared" si="52"/>
        <v>0</v>
      </c>
      <c r="BH48" s="1511">
        <f t="shared" si="52"/>
        <v>0</v>
      </c>
      <c r="BI48" s="1511">
        <f t="shared" si="52"/>
        <v>0</v>
      </c>
      <c r="BJ48" s="1511">
        <f t="shared" si="52"/>
        <v>0</v>
      </c>
      <c r="BK48" s="1511">
        <f t="shared" si="52"/>
        <v>0</v>
      </c>
      <c r="BL48" s="1511">
        <f t="shared" si="52"/>
        <v>0</v>
      </c>
      <c r="BM48" s="1511">
        <f t="shared" si="52"/>
        <v>0</v>
      </c>
      <c r="BN48" s="1511">
        <f t="shared" si="52"/>
        <v>0</v>
      </c>
      <c r="BO48" s="1511">
        <f t="shared" si="52"/>
        <v>0</v>
      </c>
      <c r="BP48" s="1511">
        <f t="shared" si="52"/>
        <v>0</v>
      </c>
      <c r="BQ48" s="1511">
        <f t="shared" si="52"/>
        <v>80.040000000000006</v>
      </c>
      <c r="BR48" s="1511">
        <f t="shared" si="52"/>
        <v>0</v>
      </c>
      <c r="BS48" s="1511">
        <f t="shared" si="52"/>
        <v>0</v>
      </c>
      <c r="BT48" s="1511">
        <f t="shared" ref="BT48:CF48" si="54">BT64+BT80+BT96+BT112</f>
        <v>0</v>
      </c>
      <c r="BU48" s="1511">
        <f t="shared" si="54"/>
        <v>350</v>
      </c>
      <c r="BV48" s="1511">
        <f t="shared" si="54"/>
        <v>0</v>
      </c>
      <c r="BW48" s="1511">
        <f t="shared" si="54"/>
        <v>0</v>
      </c>
      <c r="BX48" s="1511">
        <f t="shared" si="54"/>
        <v>0</v>
      </c>
      <c r="BY48" s="1511">
        <f t="shared" si="54"/>
        <v>0</v>
      </c>
      <c r="BZ48" s="1511">
        <f t="shared" si="54"/>
        <v>0</v>
      </c>
      <c r="CA48" s="1511">
        <f t="shared" si="54"/>
        <v>0</v>
      </c>
      <c r="CB48" s="1511">
        <f t="shared" si="54"/>
        <v>0</v>
      </c>
      <c r="CC48" s="1511">
        <f t="shared" si="54"/>
        <v>0</v>
      </c>
      <c r="CD48" s="1511">
        <f t="shared" si="54"/>
        <v>0</v>
      </c>
      <c r="CE48" s="1511">
        <f t="shared" si="54"/>
        <v>0</v>
      </c>
      <c r="CF48" s="1511">
        <f t="shared" si="54"/>
        <v>0</v>
      </c>
      <c r="CG48" s="1596"/>
      <c r="CH48" s="1511">
        <f t="shared" si="39"/>
        <v>24.96</v>
      </c>
      <c r="CI48" s="1511">
        <f t="shared" si="39"/>
        <v>0</v>
      </c>
      <c r="CJ48" s="1511">
        <f t="shared" si="39"/>
        <v>0</v>
      </c>
      <c r="CK48" s="1511">
        <f t="shared" si="39"/>
        <v>0</v>
      </c>
      <c r="CL48" s="1558"/>
      <c r="CM48" s="1558"/>
      <c r="CN48" s="1558"/>
      <c r="CO48" s="1558"/>
      <c r="CP48" s="1558"/>
      <c r="CQ48" s="1558"/>
      <c r="CR48" s="1558"/>
      <c r="CS48" s="1558"/>
      <c r="CT48" s="1558"/>
      <c r="CU48" s="1558"/>
      <c r="CV48" s="1558"/>
      <c r="CW48" s="1558"/>
      <c r="CY48" s="1558"/>
    </row>
    <row r="49" spans="1:108" s="1559" customFormat="1" ht="17.25" customHeight="1" x14ac:dyDescent="0.15">
      <c r="A49" s="1541" t="s">
        <v>97</v>
      </c>
      <c r="B49" s="1523" t="s">
        <v>79</v>
      </c>
      <c r="C49" s="1523" t="s">
        <v>100</v>
      </c>
      <c r="D49" s="1523" t="s">
        <v>101</v>
      </c>
      <c r="E49" s="1523">
        <v>4239902</v>
      </c>
      <c r="F49" s="1523"/>
      <c r="G49" s="1523">
        <v>340</v>
      </c>
      <c r="H49" s="1502">
        <f t="shared" si="52"/>
        <v>147</v>
      </c>
      <c r="I49" s="1502">
        <f t="shared" si="52"/>
        <v>50</v>
      </c>
      <c r="J49" s="1502">
        <f t="shared" si="52"/>
        <v>0</v>
      </c>
      <c r="K49" s="1502">
        <f t="shared" si="52"/>
        <v>0</v>
      </c>
      <c r="L49" s="1502">
        <f t="shared" si="52"/>
        <v>0</v>
      </c>
      <c r="M49" s="1502">
        <f t="shared" si="52"/>
        <v>0</v>
      </c>
      <c r="N49" s="1502">
        <f t="shared" si="52"/>
        <v>0</v>
      </c>
      <c r="O49" s="1502">
        <f t="shared" si="52"/>
        <v>0</v>
      </c>
      <c r="P49" s="1502">
        <f t="shared" si="52"/>
        <v>0</v>
      </c>
      <c r="Q49" s="1502">
        <f t="shared" si="52"/>
        <v>0</v>
      </c>
      <c r="R49" s="1502">
        <f t="shared" si="52"/>
        <v>0</v>
      </c>
      <c r="S49" s="1502">
        <f t="shared" si="52"/>
        <v>0</v>
      </c>
      <c r="T49" s="1502">
        <f t="shared" si="52"/>
        <v>0</v>
      </c>
      <c r="U49" s="1505">
        <f t="shared" si="52"/>
        <v>0</v>
      </c>
      <c r="V49" s="1505"/>
      <c r="W49" s="1506"/>
      <c r="X49" s="1506"/>
      <c r="Y49" s="1506"/>
      <c r="Z49" s="1507"/>
      <c r="AA49" s="1506"/>
      <c r="AB49" s="1506"/>
      <c r="AC49" s="1545">
        <f t="shared" si="52"/>
        <v>147</v>
      </c>
      <c r="AD49" s="1545">
        <f t="shared" si="52"/>
        <v>50</v>
      </c>
      <c r="AE49" s="1545">
        <f t="shared" si="52"/>
        <v>50</v>
      </c>
      <c r="AF49" s="1545">
        <f t="shared" si="52"/>
        <v>0</v>
      </c>
      <c r="AG49" s="1545">
        <f t="shared" si="52"/>
        <v>0</v>
      </c>
      <c r="AH49" s="1545">
        <f t="shared" si="52"/>
        <v>0</v>
      </c>
      <c r="AI49" s="1510">
        <f t="shared" si="52"/>
        <v>0</v>
      </c>
      <c r="AJ49" s="1510">
        <f t="shared" si="52"/>
        <v>0</v>
      </c>
      <c r="AK49" s="1510">
        <f t="shared" si="52"/>
        <v>0</v>
      </c>
      <c r="AL49" s="1510">
        <f t="shared" si="52"/>
        <v>0</v>
      </c>
      <c r="AM49" s="1510">
        <f t="shared" si="52"/>
        <v>0</v>
      </c>
      <c r="AN49" s="1511"/>
      <c r="AO49" s="1511">
        <f t="shared" si="52"/>
        <v>22.4</v>
      </c>
      <c r="AP49" s="1511">
        <f t="shared" si="52"/>
        <v>0</v>
      </c>
      <c r="AQ49" s="1511">
        <f t="shared" si="52"/>
        <v>0</v>
      </c>
      <c r="AR49" s="1511">
        <f t="shared" si="52"/>
        <v>0</v>
      </c>
      <c r="AS49" s="1507">
        <f t="shared" si="52"/>
        <v>12.5</v>
      </c>
      <c r="AT49" s="1511">
        <f t="shared" si="52"/>
        <v>50</v>
      </c>
      <c r="AU49" s="1511">
        <f t="shared" si="52"/>
        <v>0</v>
      </c>
      <c r="AV49" s="1511">
        <f t="shared" si="52"/>
        <v>0</v>
      </c>
      <c r="AW49" s="1507">
        <f t="shared" si="52"/>
        <v>0</v>
      </c>
      <c r="AX49" s="1511">
        <f t="shared" si="52"/>
        <v>0</v>
      </c>
      <c r="AY49" s="1511">
        <f t="shared" si="52"/>
        <v>0</v>
      </c>
      <c r="AZ49" s="1511">
        <f t="shared" si="52"/>
        <v>0</v>
      </c>
      <c r="BA49" s="1511">
        <f t="shared" si="52"/>
        <v>0</v>
      </c>
      <c r="BB49" s="1511">
        <f t="shared" si="52"/>
        <v>0</v>
      </c>
      <c r="BC49" s="1511">
        <f t="shared" si="52"/>
        <v>0</v>
      </c>
      <c r="BD49" s="1511">
        <f t="shared" si="52"/>
        <v>0</v>
      </c>
      <c r="BE49" s="1511">
        <f t="shared" si="52"/>
        <v>0</v>
      </c>
      <c r="BF49" s="1511">
        <f t="shared" si="52"/>
        <v>0</v>
      </c>
      <c r="BG49" s="1511">
        <f t="shared" si="52"/>
        <v>0</v>
      </c>
      <c r="BH49" s="1511">
        <f t="shared" si="52"/>
        <v>0</v>
      </c>
      <c r="BI49" s="1511">
        <f t="shared" si="52"/>
        <v>0</v>
      </c>
      <c r="BJ49" s="1511">
        <f t="shared" si="52"/>
        <v>0</v>
      </c>
      <c r="BK49" s="1511">
        <f t="shared" si="52"/>
        <v>0</v>
      </c>
      <c r="BL49" s="1511">
        <f t="shared" si="52"/>
        <v>0</v>
      </c>
      <c r="BM49" s="1511">
        <f t="shared" si="52"/>
        <v>0</v>
      </c>
      <c r="BN49" s="1511">
        <f t="shared" si="52"/>
        <v>0</v>
      </c>
      <c r="BO49" s="1511">
        <f t="shared" si="52"/>
        <v>0</v>
      </c>
      <c r="BP49" s="1511">
        <f t="shared" si="52"/>
        <v>0</v>
      </c>
      <c r="BQ49" s="1511">
        <f t="shared" si="52"/>
        <v>0</v>
      </c>
      <c r="BR49" s="1511">
        <f t="shared" si="52"/>
        <v>0</v>
      </c>
      <c r="BS49" s="1511">
        <f t="shared" si="52"/>
        <v>0</v>
      </c>
      <c r="BT49" s="1511">
        <f t="shared" ref="BT49:CF49" si="55">BT65+BT81+BT97+BT113</f>
        <v>0</v>
      </c>
      <c r="BU49" s="1511">
        <f t="shared" si="55"/>
        <v>0</v>
      </c>
      <c r="BV49" s="1511">
        <f t="shared" si="55"/>
        <v>0</v>
      </c>
      <c r="BW49" s="1511">
        <f t="shared" si="55"/>
        <v>0</v>
      </c>
      <c r="BX49" s="1511">
        <f t="shared" si="55"/>
        <v>0</v>
      </c>
      <c r="BY49" s="1511">
        <f t="shared" si="55"/>
        <v>0</v>
      </c>
      <c r="BZ49" s="1511">
        <f t="shared" si="55"/>
        <v>0</v>
      </c>
      <c r="CA49" s="1511">
        <f t="shared" si="55"/>
        <v>0</v>
      </c>
      <c r="CB49" s="1511">
        <f t="shared" si="55"/>
        <v>0</v>
      </c>
      <c r="CC49" s="1511">
        <f t="shared" si="55"/>
        <v>0</v>
      </c>
      <c r="CD49" s="1511">
        <f t="shared" si="55"/>
        <v>0</v>
      </c>
      <c r="CE49" s="1511">
        <f t="shared" si="55"/>
        <v>0</v>
      </c>
      <c r="CF49" s="1511">
        <f t="shared" si="55"/>
        <v>0</v>
      </c>
      <c r="CG49" s="1596"/>
      <c r="CH49" s="1511">
        <f t="shared" si="39"/>
        <v>112.1</v>
      </c>
      <c r="CI49" s="1511">
        <f t="shared" si="39"/>
        <v>0</v>
      </c>
      <c r="CJ49" s="1511">
        <f t="shared" si="39"/>
        <v>0</v>
      </c>
      <c r="CK49" s="1511">
        <f t="shared" si="39"/>
        <v>0</v>
      </c>
      <c r="CL49" s="1558"/>
      <c r="CM49" s="1558"/>
      <c r="CN49" s="1558"/>
      <c r="CO49" s="1558"/>
      <c r="CP49" s="1558"/>
      <c r="CQ49" s="1558"/>
      <c r="CR49" s="1558"/>
      <c r="CS49" s="1558"/>
      <c r="CT49" s="1558"/>
      <c r="CU49" s="1558"/>
      <c r="CV49" s="1558"/>
      <c r="CW49" s="1558"/>
      <c r="CY49" s="1558"/>
    </row>
    <row r="50" spans="1:108" s="1559" customFormat="1" ht="17.25" customHeight="1" x14ac:dyDescent="0.15">
      <c r="A50" s="1528" t="s">
        <v>767</v>
      </c>
      <c r="B50" s="1530" t="s">
        <v>79</v>
      </c>
      <c r="C50" s="1530" t="s">
        <v>100</v>
      </c>
      <c r="D50" s="1530" t="s">
        <v>101</v>
      </c>
      <c r="E50" s="1530">
        <v>4239902</v>
      </c>
      <c r="F50" s="1530" t="s">
        <v>768</v>
      </c>
      <c r="G50" s="1600" t="s">
        <v>766</v>
      </c>
      <c r="H50" s="1531">
        <f t="shared" si="52"/>
        <v>450</v>
      </c>
      <c r="I50" s="1531"/>
      <c r="J50" s="1531"/>
      <c r="K50" s="1531"/>
      <c r="L50" s="1601"/>
      <c r="M50" s="1601"/>
      <c r="N50" s="1601"/>
      <c r="O50" s="1601"/>
      <c r="P50" s="1601"/>
      <c r="Q50" s="1601"/>
      <c r="R50" s="1601"/>
      <c r="S50" s="1601"/>
      <c r="T50" s="1602"/>
      <c r="U50" s="1533"/>
      <c r="V50" s="1533"/>
      <c r="W50" s="1534"/>
      <c r="X50" s="1534"/>
      <c r="Y50" s="1534"/>
      <c r="Z50" s="1535"/>
      <c r="AA50" s="1534"/>
      <c r="AB50" s="1534"/>
      <c r="AC50" s="1603"/>
      <c r="AD50" s="1603"/>
      <c r="AE50" s="1603"/>
      <c r="AF50" s="1603"/>
      <c r="AG50" s="1603"/>
      <c r="AH50" s="1490">
        <f t="shared" ref="AH50:AH113" si="56">CG50+CL50</f>
        <v>0</v>
      </c>
      <c r="AI50" s="1537"/>
      <c r="AJ50" s="1537"/>
      <c r="AK50" s="1537"/>
      <c r="AL50" s="1537"/>
      <c r="AM50" s="1537"/>
      <c r="AN50" s="1538"/>
      <c r="AO50" s="1538"/>
      <c r="AP50" s="1538"/>
      <c r="AQ50" s="1538"/>
      <c r="AR50" s="1538"/>
      <c r="AS50" s="1535"/>
      <c r="AT50" s="1538"/>
      <c r="AU50" s="1538"/>
      <c r="AV50" s="1538"/>
      <c r="AW50" s="1535"/>
      <c r="AX50" s="1538"/>
      <c r="AY50" s="1538"/>
      <c r="AZ50" s="1538"/>
      <c r="BA50" s="1538"/>
      <c r="BB50" s="1538"/>
      <c r="BC50" s="1538"/>
      <c r="BD50" s="1538"/>
      <c r="BE50" s="1539"/>
      <c r="BF50" s="1538"/>
      <c r="BG50" s="1538"/>
      <c r="BH50" s="1538"/>
      <c r="BI50" s="1538"/>
      <c r="BJ50" s="1538"/>
      <c r="BK50" s="1538"/>
      <c r="BL50" s="1538"/>
      <c r="BM50" s="1538"/>
      <c r="BN50" s="1538"/>
      <c r="BO50" s="1538"/>
      <c r="BP50" s="1538"/>
      <c r="BQ50" s="1538"/>
      <c r="BR50" s="1538"/>
      <c r="BS50" s="1538"/>
      <c r="BT50" s="1538"/>
      <c r="BU50" s="1538"/>
      <c r="BV50" s="1538"/>
      <c r="BW50" s="1538"/>
      <c r="BX50" s="1538"/>
      <c r="BY50" s="1538"/>
      <c r="BZ50" s="1538"/>
      <c r="CA50" s="1538"/>
      <c r="CB50" s="1538"/>
      <c r="CC50" s="1538"/>
      <c r="CD50" s="1538"/>
      <c r="CE50" s="1538"/>
      <c r="CF50" s="1538"/>
      <c r="CG50" s="1604"/>
      <c r="CH50" s="1538"/>
      <c r="CI50" s="1538"/>
      <c r="CJ50" s="1538"/>
      <c r="CK50" s="1538"/>
      <c r="CL50" s="1558"/>
      <c r="CM50" s="1558"/>
      <c r="CN50" s="1558"/>
      <c r="CO50" s="1558"/>
      <c r="CP50" s="1558"/>
      <c r="CQ50" s="1558"/>
      <c r="CR50" s="1558"/>
      <c r="CS50" s="1558"/>
      <c r="CT50" s="1558"/>
      <c r="CU50" s="1558"/>
      <c r="CV50" s="1558"/>
      <c r="CW50" s="1558"/>
      <c r="CY50" s="1558"/>
    </row>
    <row r="51" spans="1:108" ht="67.5" customHeight="1" x14ac:dyDescent="0.15">
      <c r="A51" s="1605" t="s">
        <v>1248</v>
      </c>
      <c r="B51" s="1439" t="s">
        <v>79</v>
      </c>
      <c r="C51" s="1439" t="s">
        <v>100</v>
      </c>
      <c r="D51" s="1439" t="s">
        <v>101</v>
      </c>
      <c r="E51" s="1439">
        <v>4239902</v>
      </c>
      <c r="F51" s="1605">
        <v>600</v>
      </c>
      <c r="G51" s="1605"/>
      <c r="H51" s="1606">
        <f>H52+H66</f>
        <v>11472.4</v>
      </c>
      <c r="I51" s="1606">
        <f>I52+I66</f>
        <v>0</v>
      </c>
      <c r="J51" s="1606"/>
      <c r="K51" s="1606">
        <f t="shared" ref="K51:CI51" si="57">K52+K66</f>
        <v>0</v>
      </c>
      <c r="L51" s="1607"/>
      <c r="M51" s="1607"/>
      <c r="N51" s="1607"/>
      <c r="O51" s="1607"/>
      <c r="P51" s="1607"/>
      <c r="Q51" s="1607"/>
      <c r="R51" s="1607"/>
      <c r="S51" s="1607"/>
      <c r="T51" s="1608"/>
      <c r="U51" s="1609"/>
      <c r="V51" s="1609"/>
      <c r="W51" s="1610"/>
      <c r="X51" s="1610"/>
      <c r="Y51" s="1610"/>
      <c r="Z51" s="1611"/>
      <c r="AA51" s="1610"/>
      <c r="AB51" s="1610"/>
      <c r="AC51" s="1612">
        <f t="shared" si="57"/>
        <v>11472.4</v>
      </c>
      <c r="AD51" s="1612">
        <f t="shared" si="57"/>
        <v>349.4</v>
      </c>
      <c r="AE51" s="1612">
        <f t="shared" si="57"/>
        <v>0</v>
      </c>
      <c r="AF51" s="1612">
        <f t="shared" si="57"/>
        <v>349.4</v>
      </c>
      <c r="AG51" s="1612">
        <f t="shared" si="57"/>
        <v>0</v>
      </c>
      <c r="AH51" s="1490">
        <f t="shared" si="56"/>
        <v>0</v>
      </c>
      <c r="AI51" s="1613">
        <f t="shared" si="57"/>
        <v>0</v>
      </c>
      <c r="AJ51" s="1613">
        <f t="shared" si="57"/>
        <v>0</v>
      </c>
      <c r="AK51" s="1613">
        <f t="shared" si="57"/>
        <v>0</v>
      </c>
      <c r="AL51" s="1613">
        <f t="shared" si="57"/>
        <v>0</v>
      </c>
      <c r="AM51" s="1613">
        <f t="shared" si="57"/>
        <v>0</v>
      </c>
      <c r="AN51" s="1614"/>
      <c r="AO51" s="1606">
        <f t="shared" si="57"/>
        <v>636.19999999999993</v>
      </c>
      <c r="AP51" s="1606">
        <f t="shared" si="57"/>
        <v>0</v>
      </c>
      <c r="AQ51" s="1606">
        <f t="shared" si="57"/>
        <v>0</v>
      </c>
      <c r="AR51" s="1606">
        <f t="shared" si="57"/>
        <v>0</v>
      </c>
      <c r="AS51" s="1611">
        <f t="shared" si="57"/>
        <v>618.79999999999995</v>
      </c>
      <c r="AT51" s="1606">
        <f t="shared" si="57"/>
        <v>0</v>
      </c>
      <c r="AU51" s="1606">
        <f t="shared" si="57"/>
        <v>0</v>
      </c>
      <c r="AV51" s="1606">
        <f t="shared" si="57"/>
        <v>0</v>
      </c>
      <c r="AW51" s="1611">
        <f t="shared" si="57"/>
        <v>601.4</v>
      </c>
      <c r="AX51" s="1606">
        <f t="shared" si="57"/>
        <v>0</v>
      </c>
      <c r="AY51" s="1606">
        <f t="shared" si="57"/>
        <v>0</v>
      </c>
      <c r="AZ51" s="1606">
        <f t="shared" si="57"/>
        <v>0</v>
      </c>
      <c r="BA51" s="1614">
        <f t="shared" si="57"/>
        <v>3601.4</v>
      </c>
      <c r="BB51" s="1606">
        <f t="shared" si="57"/>
        <v>0</v>
      </c>
      <c r="BC51" s="1606">
        <f t="shared" si="57"/>
        <v>0</v>
      </c>
      <c r="BD51" s="1606">
        <f t="shared" si="57"/>
        <v>0</v>
      </c>
      <c r="BE51" s="1615">
        <f t="shared" si="57"/>
        <v>828.9</v>
      </c>
      <c r="BF51" s="1606">
        <f t="shared" si="57"/>
        <v>0</v>
      </c>
      <c r="BG51" s="1606">
        <f t="shared" si="57"/>
        <v>0</v>
      </c>
      <c r="BH51" s="1606">
        <f t="shared" si="57"/>
        <v>0</v>
      </c>
      <c r="BI51" s="1614">
        <f t="shared" si="57"/>
        <v>1084.43</v>
      </c>
      <c r="BJ51" s="1606">
        <f t="shared" si="57"/>
        <v>0</v>
      </c>
      <c r="BK51" s="1606">
        <f t="shared" si="57"/>
        <v>0</v>
      </c>
      <c r="BL51" s="1606">
        <f t="shared" si="57"/>
        <v>0</v>
      </c>
      <c r="BM51" s="1614">
        <f t="shared" si="57"/>
        <v>416.62</v>
      </c>
      <c r="BN51" s="1606">
        <f t="shared" si="57"/>
        <v>0</v>
      </c>
      <c r="BO51" s="1606">
        <f t="shared" si="57"/>
        <v>0</v>
      </c>
      <c r="BP51" s="1606">
        <f t="shared" si="57"/>
        <v>0</v>
      </c>
      <c r="BQ51" s="1614">
        <f t="shared" si="57"/>
        <v>840.87</v>
      </c>
      <c r="BR51" s="1606">
        <f t="shared" si="57"/>
        <v>0</v>
      </c>
      <c r="BS51" s="1606">
        <f t="shared" si="57"/>
        <v>0</v>
      </c>
      <c r="BT51" s="1606">
        <f t="shared" si="57"/>
        <v>0</v>
      </c>
      <c r="BU51" s="1614">
        <f t="shared" si="57"/>
        <v>560.79999999999995</v>
      </c>
      <c r="BV51" s="1606">
        <f t="shared" si="57"/>
        <v>0</v>
      </c>
      <c r="BW51" s="1606">
        <f t="shared" si="57"/>
        <v>0</v>
      </c>
      <c r="BX51" s="1606">
        <f t="shared" si="57"/>
        <v>0</v>
      </c>
      <c r="BY51" s="1614">
        <f t="shared" si="57"/>
        <v>927.1</v>
      </c>
      <c r="BZ51" s="1606">
        <f t="shared" si="57"/>
        <v>0</v>
      </c>
      <c r="CA51" s="1606">
        <f t="shared" si="57"/>
        <v>100</v>
      </c>
      <c r="CB51" s="1606">
        <f t="shared" si="57"/>
        <v>0</v>
      </c>
      <c r="CC51" s="1614">
        <f t="shared" si="57"/>
        <v>727.9</v>
      </c>
      <c r="CD51" s="1606">
        <f t="shared" si="57"/>
        <v>0</v>
      </c>
      <c r="CE51" s="1606">
        <f t="shared" si="57"/>
        <v>0</v>
      </c>
      <c r="CF51" s="1606">
        <f t="shared" si="57"/>
        <v>0</v>
      </c>
      <c r="CG51" s="1616"/>
      <c r="CH51" s="1617">
        <f t="shared" si="57"/>
        <v>627.98</v>
      </c>
      <c r="CI51" s="1618">
        <f t="shared" si="57"/>
        <v>0</v>
      </c>
      <c r="CJ51" s="1618">
        <f>CJ52+CJ66</f>
        <v>249.4</v>
      </c>
      <c r="CK51" s="1618">
        <f>CK52+CK66</f>
        <v>0</v>
      </c>
    </row>
    <row r="52" spans="1:108" s="1514" customFormat="1" ht="42" customHeight="1" x14ac:dyDescent="0.15">
      <c r="A52" s="1469" t="s">
        <v>764</v>
      </c>
      <c r="B52" s="1470" t="s">
        <v>79</v>
      </c>
      <c r="C52" s="1470" t="s">
        <v>100</v>
      </c>
      <c r="D52" s="1470" t="s">
        <v>101</v>
      </c>
      <c r="E52" s="1470">
        <v>4239902</v>
      </c>
      <c r="F52" s="1560">
        <v>611</v>
      </c>
      <c r="G52" s="1619">
        <v>241</v>
      </c>
      <c r="H52" s="1620">
        <f>H53+H54+H55+H56+H58+H57+H59+H60+H61+H62+H63+H64+H65</f>
        <v>11472.4</v>
      </c>
      <c r="I52" s="1620">
        <f>I53+I54+I55+I56+I58+I57+I59+I60+I61+I62+I63+I64+I65</f>
        <v>0</v>
      </c>
      <c r="J52" s="1620">
        <f>J53+J54+J55+J56+J58+J57+J59+J60+J61+J62+J63+J64+J65</f>
        <v>349.4</v>
      </c>
      <c r="K52" s="1620">
        <f>K53+K54+K55+K56+K58+K57+K59+K60+K61+K62+K63+K64+K65</f>
        <v>0</v>
      </c>
      <c r="L52" s="1621"/>
      <c r="M52" s="1621"/>
      <c r="N52" s="1621"/>
      <c r="O52" s="1621"/>
      <c r="P52" s="1621"/>
      <c r="Q52" s="1621"/>
      <c r="R52" s="1621"/>
      <c r="S52" s="1621"/>
      <c r="T52" s="1622"/>
      <c r="U52" s="1623"/>
      <c r="V52" s="1623"/>
      <c r="W52" s="1624"/>
      <c r="X52" s="1624"/>
      <c r="Y52" s="1624"/>
      <c r="Z52" s="1625"/>
      <c r="AA52" s="1624"/>
      <c r="AB52" s="1624"/>
      <c r="AC52" s="1626">
        <f t="shared" ref="AC52:CF52" si="58">AC53+AC54+AC55+AC56+AC58+AC57+AC59+AC60+AC61+AC62+AC63+AC64+AC65</f>
        <v>11472.4</v>
      </c>
      <c r="AD52" s="1626">
        <f t="shared" si="58"/>
        <v>349.4</v>
      </c>
      <c r="AE52" s="1626">
        <f t="shared" si="58"/>
        <v>0</v>
      </c>
      <c r="AF52" s="1626">
        <f t="shared" si="58"/>
        <v>349.4</v>
      </c>
      <c r="AG52" s="1626">
        <f t="shared" si="58"/>
        <v>0</v>
      </c>
      <c r="AH52" s="1490">
        <f t="shared" si="56"/>
        <v>0</v>
      </c>
      <c r="AI52" s="1627">
        <f t="shared" si="58"/>
        <v>0</v>
      </c>
      <c r="AJ52" s="1627">
        <f t="shared" si="58"/>
        <v>0</v>
      </c>
      <c r="AK52" s="1627">
        <f t="shared" si="58"/>
        <v>0</v>
      </c>
      <c r="AL52" s="1627">
        <f t="shared" si="58"/>
        <v>0</v>
      </c>
      <c r="AM52" s="1627">
        <f t="shared" si="58"/>
        <v>0</v>
      </c>
      <c r="AN52" s="1615"/>
      <c r="AO52" s="1620">
        <f t="shared" si="58"/>
        <v>636.19999999999993</v>
      </c>
      <c r="AP52" s="1620">
        <f t="shared" si="58"/>
        <v>0</v>
      </c>
      <c r="AQ52" s="1620">
        <f t="shared" si="58"/>
        <v>0</v>
      </c>
      <c r="AR52" s="1620">
        <f t="shared" si="58"/>
        <v>0</v>
      </c>
      <c r="AS52" s="1625">
        <f t="shared" si="58"/>
        <v>618.79999999999995</v>
      </c>
      <c r="AT52" s="1620">
        <f t="shared" si="58"/>
        <v>0</v>
      </c>
      <c r="AU52" s="1620">
        <f t="shared" si="58"/>
        <v>0</v>
      </c>
      <c r="AV52" s="1620">
        <f t="shared" si="58"/>
        <v>0</v>
      </c>
      <c r="AW52" s="1625">
        <f t="shared" si="58"/>
        <v>601.4</v>
      </c>
      <c r="AX52" s="1620">
        <f t="shared" si="58"/>
        <v>0</v>
      </c>
      <c r="AY52" s="1620">
        <f t="shared" si="58"/>
        <v>0</v>
      </c>
      <c r="AZ52" s="1620">
        <f t="shared" si="58"/>
        <v>0</v>
      </c>
      <c r="BA52" s="1615">
        <f t="shared" si="58"/>
        <v>3601.4</v>
      </c>
      <c r="BB52" s="1620">
        <f t="shared" si="58"/>
        <v>0</v>
      </c>
      <c r="BC52" s="1620">
        <f t="shared" si="58"/>
        <v>0</v>
      </c>
      <c r="BD52" s="1620">
        <f t="shared" si="58"/>
        <v>0</v>
      </c>
      <c r="BE52" s="1615">
        <f t="shared" si="58"/>
        <v>828.9</v>
      </c>
      <c r="BF52" s="1620">
        <f t="shared" si="58"/>
        <v>0</v>
      </c>
      <c r="BG52" s="1620">
        <f t="shared" si="58"/>
        <v>0</v>
      </c>
      <c r="BH52" s="1620">
        <f t="shared" si="58"/>
        <v>0</v>
      </c>
      <c r="BI52" s="1615">
        <f t="shared" si="58"/>
        <v>1084.43</v>
      </c>
      <c r="BJ52" s="1620">
        <f t="shared" si="58"/>
        <v>0</v>
      </c>
      <c r="BK52" s="1620">
        <f t="shared" si="58"/>
        <v>0</v>
      </c>
      <c r="BL52" s="1620">
        <f t="shared" si="58"/>
        <v>0</v>
      </c>
      <c r="BM52" s="1615">
        <f t="shared" si="58"/>
        <v>416.62</v>
      </c>
      <c r="BN52" s="1620">
        <f t="shared" si="58"/>
        <v>0</v>
      </c>
      <c r="BO52" s="1620">
        <f t="shared" si="58"/>
        <v>0</v>
      </c>
      <c r="BP52" s="1620">
        <f t="shared" si="58"/>
        <v>0</v>
      </c>
      <c r="BQ52" s="1615">
        <f t="shared" si="58"/>
        <v>840.87</v>
      </c>
      <c r="BR52" s="1620">
        <f t="shared" si="58"/>
        <v>0</v>
      </c>
      <c r="BS52" s="1620">
        <f t="shared" si="58"/>
        <v>0</v>
      </c>
      <c r="BT52" s="1620">
        <f t="shared" si="58"/>
        <v>0</v>
      </c>
      <c r="BU52" s="1615">
        <f>BU53+BU54+BU55+BU56+BU58+BU57+BU59+BU60+BU61+BU62+BU63+BU64+BU65</f>
        <v>560.79999999999995</v>
      </c>
      <c r="BV52" s="1620">
        <f t="shared" si="58"/>
        <v>0</v>
      </c>
      <c r="BW52" s="1620">
        <f t="shared" si="58"/>
        <v>0</v>
      </c>
      <c r="BX52" s="1620">
        <f t="shared" si="58"/>
        <v>0</v>
      </c>
      <c r="BY52" s="1615">
        <f t="shared" si="58"/>
        <v>927.1</v>
      </c>
      <c r="BZ52" s="1620">
        <f t="shared" si="58"/>
        <v>0</v>
      </c>
      <c r="CA52" s="1620">
        <f t="shared" si="58"/>
        <v>100</v>
      </c>
      <c r="CB52" s="1620">
        <f t="shared" si="58"/>
        <v>0</v>
      </c>
      <c r="CC52" s="1615">
        <f t="shared" si="58"/>
        <v>727.9</v>
      </c>
      <c r="CD52" s="1620">
        <f t="shared" si="58"/>
        <v>0</v>
      </c>
      <c r="CE52" s="1620">
        <f t="shared" si="58"/>
        <v>0</v>
      </c>
      <c r="CF52" s="1620">
        <f t="shared" si="58"/>
        <v>0</v>
      </c>
      <c r="CG52" s="1628"/>
      <c r="CH52" s="1629">
        <v>627.98</v>
      </c>
      <c r="CI52" s="1629">
        <v>0</v>
      </c>
      <c r="CJ52" s="1629">
        <v>249.4</v>
      </c>
      <c r="CK52" s="1629">
        <v>0</v>
      </c>
      <c r="CL52" s="1513"/>
      <c r="CM52" s="1513"/>
      <c r="CN52" s="1513"/>
      <c r="CO52" s="1513"/>
      <c r="CP52" s="1513"/>
      <c r="CQ52" s="1513"/>
      <c r="CR52" s="1513"/>
      <c r="CS52" s="1513"/>
      <c r="CT52" s="1513"/>
      <c r="CU52" s="1513"/>
      <c r="CV52" s="1513"/>
      <c r="CW52" s="1513"/>
      <c r="CY52" s="1513"/>
    </row>
    <row r="53" spans="1:108" ht="17.25" customHeight="1" x14ac:dyDescent="0.15">
      <c r="A53" s="1541" t="s">
        <v>78</v>
      </c>
      <c r="B53" s="1523" t="s">
        <v>79</v>
      </c>
      <c r="C53" s="1523" t="s">
        <v>100</v>
      </c>
      <c r="D53" s="1523" t="s">
        <v>101</v>
      </c>
      <c r="E53" s="1523">
        <v>4239902</v>
      </c>
      <c r="F53" s="1523"/>
      <c r="G53" s="1523">
        <v>211</v>
      </c>
      <c r="H53" s="1502">
        <f>5543+T53</f>
        <v>6035.1</v>
      </c>
      <c r="I53" s="1502"/>
      <c r="J53" s="1630"/>
      <c r="K53" s="1630"/>
      <c r="L53" s="1631"/>
      <c r="M53" s="1631"/>
      <c r="N53" s="1631"/>
      <c r="O53" s="1631"/>
      <c r="P53" s="1631"/>
      <c r="Q53" s="1631"/>
      <c r="R53" s="1631"/>
      <c r="S53" s="1631"/>
      <c r="T53" s="1632">
        <f>492.1</f>
        <v>492.1</v>
      </c>
      <c r="U53" s="1633"/>
      <c r="V53" s="1633"/>
      <c r="W53" s="1634">
        <f>H53/12</f>
        <v>502.92500000000001</v>
      </c>
      <c r="X53" s="1634">
        <f>AO53</f>
        <v>461.9</v>
      </c>
      <c r="Y53" s="1634">
        <f>CC53</f>
        <v>559</v>
      </c>
      <c r="Z53" s="1635">
        <v>559</v>
      </c>
      <c r="AA53" s="1511">
        <f>AW53</f>
        <v>461.9</v>
      </c>
      <c r="AB53" s="1511">
        <f>Z53-AA53</f>
        <v>97.100000000000023</v>
      </c>
      <c r="AC53" s="1508">
        <f t="shared" ref="AC53:AC65" si="59">AO53+AS53+AW53+BA53+BE53+BI53+BM53+BQ53+BU53+BY53+CC53+CH53</f>
        <v>6035.1</v>
      </c>
      <c r="AD53" s="1509">
        <f t="shared" ref="AD53:AD65" si="60">AE53+AF53+AG53</f>
        <v>0</v>
      </c>
      <c r="AE53" s="1509">
        <f t="shared" ref="AE53:AG65" si="61">AP53+AT53+AX53+BB53+BF53+BJ53+BN53+BR53+BV53+BZ53+CD53+CI53</f>
        <v>0</v>
      </c>
      <c r="AF53" s="1509">
        <f t="shared" si="61"/>
        <v>0</v>
      </c>
      <c r="AG53" s="1509">
        <f t="shared" si="61"/>
        <v>0</v>
      </c>
      <c r="AH53" s="1490">
        <f t="shared" si="56"/>
        <v>0</v>
      </c>
      <c r="AI53" s="1636">
        <f t="shared" ref="AI53:AI65" si="62">H53-AC53</f>
        <v>0</v>
      </c>
      <c r="AJ53" s="1636">
        <f t="shared" ref="AJ53:AJ65" si="63">AK53+AL53+AM53</f>
        <v>0</v>
      </c>
      <c r="AK53" s="1636">
        <f t="shared" ref="AK53:AM68" si="64">I53-AE53</f>
        <v>0</v>
      </c>
      <c r="AL53" s="1636">
        <f t="shared" si="64"/>
        <v>0</v>
      </c>
      <c r="AM53" s="1636">
        <f t="shared" si="64"/>
        <v>0</v>
      </c>
      <c r="AN53" s="1637">
        <v>466.75</v>
      </c>
      <c r="AO53" s="1630">
        <v>461.9</v>
      </c>
      <c r="AP53" s="1638"/>
      <c r="AQ53" s="1638"/>
      <c r="AR53" s="1638"/>
      <c r="AS53" s="1639">
        <v>461.9</v>
      </c>
      <c r="AT53" s="1638"/>
      <c r="AU53" s="1638"/>
      <c r="AV53" s="1638"/>
      <c r="AW53" s="1640">
        <v>461.9</v>
      </c>
      <c r="AX53" s="1640"/>
      <c r="AY53" s="1640"/>
      <c r="AZ53" s="1640"/>
      <c r="BA53" s="1641">
        <v>461.9</v>
      </c>
      <c r="BB53" s="1640"/>
      <c r="BC53" s="1640"/>
      <c r="BD53" s="1640"/>
      <c r="BE53" s="1641">
        <v>461.9</v>
      </c>
      <c r="BF53" s="1640"/>
      <c r="BG53" s="1640"/>
      <c r="BH53" s="1640"/>
      <c r="BI53" s="1641">
        <f>184.78+675.3</f>
        <v>860.07999999999993</v>
      </c>
      <c r="BJ53" s="1640"/>
      <c r="BK53" s="1640"/>
      <c r="BL53" s="1640"/>
      <c r="BM53" s="1641">
        <v>277.12</v>
      </c>
      <c r="BN53" s="1640"/>
      <c r="BO53" s="1640"/>
      <c r="BP53" s="1640"/>
      <c r="BQ53" s="1641">
        <v>461.9</v>
      </c>
      <c r="BR53" s="1640"/>
      <c r="BS53" s="1640"/>
      <c r="BT53" s="1640"/>
      <c r="BU53" s="1641">
        <v>408.6</v>
      </c>
      <c r="BV53" s="1640"/>
      <c r="BW53" s="1640"/>
      <c r="BX53" s="1640"/>
      <c r="BY53" s="1641">
        <f>261+41+410.1</f>
        <v>712.1</v>
      </c>
      <c r="BZ53" s="1640"/>
      <c r="CA53" s="1640"/>
      <c r="CB53" s="1640"/>
      <c r="CC53" s="1641">
        <f>559</f>
        <v>559</v>
      </c>
      <c r="CD53" s="1640"/>
      <c r="CE53" s="1640"/>
      <c r="CF53" s="1640"/>
      <c r="CG53" s="1642"/>
      <c r="CH53" s="1643">
        <v>446.8</v>
      </c>
      <c r="CI53" s="1643">
        <v>0</v>
      </c>
      <c r="CJ53" s="1643">
        <v>0</v>
      </c>
      <c r="CK53" s="1643">
        <v>0</v>
      </c>
      <c r="CX53" s="1558">
        <f>H53/12*10-AC53</f>
        <v>-1005.8500000000004</v>
      </c>
      <c r="CY53" s="1558">
        <f>AI53/3</f>
        <v>0</v>
      </c>
      <c r="CZ53" s="1558">
        <f>H53/12</f>
        <v>502.92500000000001</v>
      </c>
      <c r="DA53" s="1559">
        <f>(H53-T53)/12*10-AC53</f>
        <v>-1415.9333333333334</v>
      </c>
      <c r="DB53" s="1559"/>
      <c r="DC53" s="1559"/>
      <c r="DD53">
        <f>(H53-T53)/12</f>
        <v>461.91666666666669</v>
      </c>
    </row>
    <row r="54" spans="1:108" ht="17.25" customHeight="1" x14ac:dyDescent="0.15">
      <c r="A54" s="1541" t="s">
        <v>103</v>
      </c>
      <c r="B54" s="1523" t="s">
        <v>79</v>
      </c>
      <c r="C54" s="1523" t="s">
        <v>100</v>
      </c>
      <c r="D54" s="1523" t="s">
        <v>101</v>
      </c>
      <c r="E54" s="1523">
        <v>4239902</v>
      </c>
      <c r="F54" s="1523"/>
      <c r="G54" s="1523">
        <v>212</v>
      </c>
      <c r="H54" s="1502">
        <f>24</f>
        <v>24</v>
      </c>
      <c r="I54" s="1502"/>
      <c r="J54" s="1630"/>
      <c r="K54" s="1630"/>
      <c r="L54" s="1631"/>
      <c r="M54" s="1631"/>
      <c r="N54" s="1631"/>
      <c r="O54" s="1631"/>
      <c r="P54" s="1631"/>
      <c r="Q54" s="1631"/>
      <c r="R54" s="1631"/>
      <c r="S54" s="1631"/>
      <c r="T54" s="1632"/>
      <c r="U54" s="1633"/>
      <c r="V54" s="1633"/>
      <c r="W54" s="1634"/>
      <c r="X54" s="1634"/>
      <c r="Y54" s="1634"/>
      <c r="Z54" s="1635"/>
      <c r="AA54" s="1634"/>
      <c r="AB54" s="1511">
        <f>Z54-AA54</f>
        <v>0</v>
      </c>
      <c r="AC54" s="1508">
        <f t="shared" si="59"/>
        <v>24</v>
      </c>
      <c r="AD54" s="1509">
        <f t="shared" si="60"/>
        <v>0</v>
      </c>
      <c r="AE54" s="1509">
        <f t="shared" si="61"/>
        <v>0</v>
      </c>
      <c r="AF54" s="1509">
        <f t="shared" si="61"/>
        <v>0</v>
      </c>
      <c r="AG54" s="1509">
        <f t="shared" si="61"/>
        <v>0</v>
      </c>
      <c r="AH54" s="1490">
        <f t="shared" si="56"/>
        <v>0</v>
      </c>
      <c r="AI54" s="1636">
        <f t="shared" si="62"/>
        <v>0</v>
      </c>
      <c r="AJ54" s="1636">
        <f t="shared" si="63"/>
        <v>0</v>
      </c>
      <c r="AK54" s="1636">
        <f t="shared" si="64"/>
        <v>0</v>
      </c>
      <c r="AL54" s="1636">
        <f t="shared" si="64"/>
        <v>0</v>
      </c>
      <c r="AM54" s="1636">
        <f t="shared" si="64"/>
        <v>0</v>
      </c>
      <c r="AN54" s="1637"/>
      <c r="AO54" s="1630">
        <f>2*2</f>
        <v>4</v>
      </c>
      <c r="AP54" s="1638"/>
      <c r="AQ54" s="1638"/>
      <c r="AR54" s="1638"/>
      <c r="AS54" s="1639"/>
      <c r="AT54" s="1638"/>
      <c r="AU54" s="1638"/>
      <c r="AV54" s="1638"/>
      <c r="AW54" s="1640"/>
      <c r="AX54" s="1640"/>
      <c r="AY54" s="1640"/>
      <c r="AZ54" s="1640"/>
      <c r="BA54" s="1641"/>
      <c r="BB54" s="1640"/>
      <c r="BC54" s="1640"/>
      <c r="BD54" s="1640"/>
      <c r="BE54" s="1641"/>
      <c r="BF54" s="1640"/>
      <c r="BG54" s="1640"/>
      <c r="BH54" s="1640"/>
      <c r="BI54" s="1641"/>
      <c r="BJ54" s="1640"/>
      <c r="BK54" s="1640"/>
      <c r="BL54" s="1640"/>
      <c r="BM54" s="1641"/>
      <c r="BN54" s="1640"/>
      <c r="BO54" s="1640"/>
      <c r="BP54" s="1640"/>
      <c r="BQ54" s="1641">
        <v>20</v>
      </c>
      <c r="BR54" s="1640"/>
      <c r="BS54" s="1640"/>
      <c r="BT54" s="1640"/>
      <c r="BU54" s="1641"/>
      <c r="BV54" s="1640"/>
      <c r="BW54" s="1640"/>
      <c r="BX54" s="1640"/>
      <c r="BY54" s="1641"/>
      <c r="BZ54" s="1640"/>
      <c r="CA54" s="1640"/>
      <c r="CB54" s="1640"/>
      <c r="CC54" s="1641"/>
      <c r="CD54" s="1640"/>
      <c r="CE54" s="1640"/>
      <c r="CF54" s="1640"/>
      <c r="CG54" s="1642"/>
      <c r="CH54" s="1643">
        <v>0</v>
      </c>
      <c r="CI54" s="1643">
        <v>0</v>
      </c>
      <c r="CJ54" s="1643">
        <v>0</v>
      </c>
      <c r="CK54" s="1643">
        <v>0</v>
      </c>
      <c r="CX54" s="1558"/>
      <c r="CY54" s="1558"/>
      <c r="CZ54" s="1558"/>
      <c r="DA54" s="1559"/>
      <c r="DB54" s="1559"/>
      <c r="DC54" s="1559"/>
    </row>
    <row r="55" spans="1:108" ht="17.25" customHeight="1" x14ac:dyDescent="0.15">
      <c r="A55" s="1541" t="s">
        <v>84</v>
      </c>
      <c r="B55" s="1523" t="s">
        <v>79</v>
      </c>
      <c r="C55" s="1523" t="s">
        <v>100</v>
      </c>
      <c r="D55" s="1523" t="s">
        <v>101</v>
      </c>
      <c r="E55" s="1523">
        <v>4239902</v>
      </c>
      <c r="F55" s="1523"/>
      <c r="G55" s="1523">
        <v>213</v>
      </c>
      <c r="H55" s="1502">
        <f>1674+T55</f>
        <v>1822.6</v>
      </c>
      <c r="I55" s="1502"/>
      <c r="J55" s="1630"/>
      <c r="K55" s="1630"/>
      <c r="L55" s="1631"/>
      <c r="M55" s="1631"/>
      <c r="N55" s="1631"/>
      <c r="O55" s="1631"/>
      <c r="P55" s="1631"/>
      <c r="Q55" s="1631"/>
      <c r="R55" s="1631"/>
      <c r="S55" s="1631"/>
      <c r="T55" s="1632">
        <f>148.6</f>
        <v>148.6</v>
      </c>
      <c r="U55" s="1633"/>
      <c r="V55" s="1633"/>
      <c r="W55" s="1634">
        <f>H55/12</f>
        <v>151.88333333333333</v>
      </c>
      <c r="X55" s="1634">
        <f>AO55</f>
        <v>139.5</v>
      </c>
      <c r="Y55" s="1634">
        <f>CC55</f>
        <v>168.9</v>
      </c>
      <c r="Z55" s="1635">
        <v>168.9</v>
      </c>
      <c r="AA55" s="1511">
        <f>AW55</f>
        <v>139.5</v>
      </c>
      <c r="AB55" s="1511">
        <f>Z55-AA55</f>
        <v>29.400000000000006</v>
      </c>
      <c r="AC55" s="1508">
        <f t="shared" si="59"/>
        <v>1822.6000000000004</v>
      </c>
      <c r="AD55" s="1509">
        <f t="shared" si="60"/>
        <v>0</v>
      </c>
      <c r="AE55" s="1509">
        <f t="shared" si="61"/>
        <v>0</v>
      </c>
      <c r="AF55" s="1509">
        <f t="shared" si="61"/>
        <v>0</v>
      </c>
      <c r="AG55" s="1509">
        <f t="shared" si="61"/>
        <v>0</v>
      </c>
      <c r="AH55" s="1490">
        <f t="shared" si="56"/>
        <v>0</v>
      </c>
      <c r="AI55" s="1636">
        <f t="shared" si="62"/>
        <v>0</v>
      </c>
      <c r="AJ55" s="1636">
        <f t="shared" si="63"/>
        <v>0</v>
      </c>
      <c r="AK55" s="1636">
        <f t="shared" si="64"/>
        <v>0</v>
      </c>
      <c r="AL55" s="1636">
        <f t="shared" si="64"/>
        <v>0</v>
      </c>
      <c r="AM55" s="1636">
        <f t="shared" si="64"/>
        <v>0</v>
      </c>
      <c r="AN55" s="1637">
        <v>215</v>
      </c>
      <c r="AO55" s="1630">
        <v>139.5</v>
      </c>
      <c r="AP55" s="1638"/>
      <c r="AQ55" s="1638"/>
      <c r="AR55" s="1638"/>
      <c r="AS55" s="1639">
        <v>139.5</v>
      </c>
      <c r="AT55" s="1638"/>
      <c r="AU55" s="1638"/>
      <c r="AV55" s="1638"/>
      <c r="AW55" s="1640">
        <v>139.5</v>
      </c>
      <c r="AX55" s="1640"/>
      <c r="AY55" s="1640"/>
      <c r="AZ55" s="1640"/>
      <c r="BA55" s="1641">
        <v>139.5</v>
      </c>
      <c r="BB55" s="1640"/>
      <c r="BC55" s="1640"/>
      <c r="BD55" s="1640"/>
      <c r="BE55" s="1641">
        <v>139.5</v>
      </c>
      <c r="BF55" s="1640"/>
      <c r="BG55" s="1640"/>
      <c r="BH55" s="1640"/>
      <c r="BI55" s="1641">
        <v>203.9</v>
      </c>
      <c r="BJ55" s="1640"/>
      <c r="BK55" s="1640"/>
      <c r="BL55" s="1640"/>
      <c r="BM55" s="1641">
        <v>139.5</v>
      </c>
      <c r="BN55" s="1640"/>
      <c r="BO55" s="1640"/>
      <c r="BP55" s="1640"/>
      <c r="BQ55" s="1641">
        <v>139.5</v>
      </c>
      <c r="BR55" s="1640"/>
      <c r="BS55" s="1640"/>
      <c r="BT55" s="1640"/>
      <c r="BU55" s="1641">
        <v>123.4</v>
      </c>
      <c r="BV55" s="1640"/>
      <c r="BW55" s="1640"/>
      <c r="BX55" s="1640"/>
      <c r="BY55" s="1641">
        <f>91.2+123.8</f>
        <v>215</v>
      </c>
      <c r="BZ55" s="1640"/>
      <c r="CA55" s="1640"/>
      <c r="CB55" s="1640"/>
      <c r="CC55" s="1641">
        <v>168.9</v>
      </c>
      <c r="CD55" s="1640"/>
      <c r="CE55" s="1640"/>
      <c r="CF55" s="1640"/>
      <c r="CG55" s="1642"/>
      <c r="CH55" s="1643">
        <v>134.9</v>
      </c>
      <c r="CI55" s="1643">
        <v>0</v>
      </c>
      <c r="CJ55" s="1643">
        <v>0</v>
      </c>
      <c r="CK55" s="1643">
        <v>0</v>
      </c>
      <c r="CX55" s="1558">
        <f>H55/12*10-AC55</f>
        <v>-303.76666666666711</v>
      </c>
      <c r="CY55" s="1558">
        <f>AI55/3</f>
        <v>0</v>
      </c>
      <c r="CZ55" s="1558">
        <f>H55/12</f>
        <v>151.88333333333333</v>
      </c>
      <c r="DA55" s="1559">
        <f>(H55-T55)/12*10-AC55</f>
        <v>-427.60000000000036</v>
      </c>
      <c r="DB55" s="1559"/>
      <c r="DC55" s="1559"/>
      <c r="DD55">
        <f>(H55-T55)/12</f>
        <v>139.5</v>
      </c>
    </row>
    <row r="56" spans="1:108" ht="17.25" customHeight="1" x14ac:dyDescent="0.15">
      <c r="A56" s="1541" t="s">
        <v>85</v>
      </c>
      <c r="B56" s="1523" t="s">
        <v>79</v>
      </c>
      <c r="C56" s="1523" t="s">
        <v>100</v>
      </c>
      <c r="D56" s="1523" t="s">
        <v>101</v>
      </c>
      <c r="E56" s="1523">
        <v>4239902</v>
      </c>
      <c r="F56" s="1523"/>
      <c r="G56" s="1523">
        <v>221</v>
      </c>
      <c r="H56" s="1502">
        <v>13.7</v>
      </c>
      <c r="I56" s="1502"/>
      <c r="J56" s="1630"/>
      <c r="K56" s="1630"/>
      <c r="L56" s="1631"/>
      <c r="M56" s="1631"/>
      <c r="N56" s="1631"/>
      <c r="O56" s="1631"/>
      <c r="P56" s="1631"/>
      <c r="Q56" s="1631"/>
      <c r="R56" s="1631"/>
      <c r="S56" s="1631"/>
      <c r="T56" s="1632"/>
      <c r="U56" s="1633"/>
      <c r="V56" s="1633"/>
      <c r="W56" s="1634"/>
      <c r="X56" s="1634"/>
      <c r="Y56" s="1634"/>
      <c r="Z56" s="1635"/>
      <c r="AA56" s="1634"/>
      <c r="AB56" s="1634"/>
      <c r="AC56" s="1508">
        <f t="shared" si="59"/>
        <v>13.7</v>
      </c>
      <c r="AD56" s="1509">
        <f t="shared" si="60"/>
        <v>0</v>
      </c>
      <c r="AE56" s="1509">
        <f t="shared" si="61"/>
        <v>0</v>
      </c>
      <c r="AF56" s="1509">
        <f t="shared" si="61"/>
        <v>0</v>
      </c>
      <c r="AG56" s="1509">
        <f t="shared" si="61"/>
        <v>0</v>
      </c>
      <c r="AH56" s="1490">
        <f t="shared" si="56"/>
        <v>0</v>
      </c>
      <c r="AI56" s="1636">
        <f t="shared" si="62"/>
        <v>0</v>
      </c>
      <c r="AJ56" s="1636">
        <f t="shared" si="63"/>
        <v>0</v>
      </c>
      <c r="AK56" s="1636">
        <f t="shared" si="64"/>
        <v>0</v>
      </c>
      <c r="AL56" s="1636">
        <f t="shared" si="64"/>
        <v>0</v>
      </c>
      <c r="AM56" s="1636">
        <f t="shared" si="64"/>
        <v>0</v>
      </c>
      <c r="AN56" s="1637"/>
      <c r="AO56" s="1630">
        <v>1.1000000000000001</v>
      </c>
      <c r="AP56" s="1638"/>
      <c r="AQ56" s="1638"/>
      <c r="AR56" s="1638"/>
      <c r="AS56" s="1639"/>
      <c r="AT56" s="1638"/>
      <c r="AU56" s="1638"/>
      <c r="AV56" s="1638"/>
      <c r="AW56" s="1639"/>
      <c r="AX56" s="1640"/>
      <c r="AY56" s="1640"/>
      <c r="AZ56" s="1640"/>
      <c r="BA56" s="1641"/>
      <c r="BB56" s="1640"/>
      <c r="BC56" s="1640"/>
      <c r="BD56" s="1640"/>
      <c r="BE56" s="1644"/>
      <c r="BF56" s="1640"/>
      <c r="BG56" s="1640"/>
      <c r="BH56" s="1640"/>
      <c r="BI56" s="1641"/>
      <c r="BJ56" s="1640"/>
      <c r="BK56" s="1640"/>
      <c r="BL56" s="1640"/>
      <c r="BM56" s="1641"/>
      <c r="BN56" s="1640"/>
      <c r="BO56" s="1640"/>
      <c r="BP56" s="1640"/>
      <c r="BQ56" s="1641">
        <v>12.6</v>
      </c>
      <c r="BR56" s="1640"/>
      <c r="BS56" s="1640"/>
      <c r="BT56" s="1640"/>
      <c r="BU56" s="1641"/>
      <c r="BV56" s="1640"/>
      <c r="BW56" s="1640"/>
      <c r="BX56" s="1640"/>
      <c r="BY56" s="1641"/>
      <c r="BZ56" s="1640"/>
      <c r="CA56" s="1640"/>
      <c r="CB56" s="1640"/>
      <c r="CC56" s="1641"/>
      <c r="CD56" s="1640"/>
      <c r="CE56" s="1640"/>
      <c r="CF56" s="1640"/>
      <c r="CG56" s="1642"/>
      <c r="CH56" s="1643">
        <v>0</v>
      </c>
      <c r="CI56" s="1643">
        <v>0</v>
      </c>
      <c r="CJ56" s="1643">
        <v>0</v>
      </c>
      <c r="CK56" s="1643">
        <v>0</v>
      </c>
    </row>
    <row r="57" spans="1:108" ht="17.25" customHeight="1" x14ac:dyDescent="0.15">
      <c r="A57" s="1541" t="s">
        <v>86</v>
      </c>
      <c r="B57" s="1523" t="s">
        <v>79</v>
      </c>
      <c r="C57" s="1523" t="s">
        <v>100</v>
      </c>
      <c r="D57" s="1523" t="s">
        <v>101</v>
      </c>
      <c r="E57" s="1523">
        <v>4239902</v>
      </c>
      <c r="F57" s="1523"/>
      <c r="G57" s="1523">
        <v>222</v>
      </c>
      <c r="H57" s="1502">
        <v>0</v>
      </c>
      <c r="I57" s="1502"/>
      <c r="J57" s="1630"/>
      <c r="K57" s="1630"/>
      <c r="L57" s="1631"/>
      <c r="M57" s="1631"/>
      <c r="N57" s="1631"/>
      <c r="O57" s="1631"/>
      <c r="P57" s="1631"/>
      <c r="Q57" s="1631"/>
      <c r="R57" s="1631"/>
      <c r="S57" s="1631"/>
      <c r="T57" s="1632"/>
      <c r="U57" s="1633"/>
      <c r="V57" s="1633"/>
      <c r="W57" s="1634"/>
      <c r="X57" s="1634"/>
      <c r="Y57" s="1634"/>
      <c r="Z57" s="1635"/>
      <c r="AA57" s="1634"/>
      <c r="AB57" s="1634"/>
      <c r="AC57" s="1508">
        <f t="shared" si="59"/>
        <v>0</v>
      </c>
      <c r="AD57" s="1509">
        <f t="shared" si="60"/>
        <v>0</v>
      </c>
      <c r="AE57" s="1509">
        <f t="shared" si="61"/>
        <v>0</v>
      </c>
      <c r="AF57" s="1509">
        <f t="shared" si="61"/>
        <v>0</v>
      </c>
      <c r="AG57" s="1509">
        <f t="shared" si="61"/>
        <v>0</v>
      </c>
      <c r="AH57" s="1490">
        <f t="shared" si="56"/>
        <v>0</v>
      </c>
      <c r="AI57" s="1636">
        <f t="shared" si="62"/>
        <v>0</v>
      </c>
      <c r="AJ57" s="1636">
        <f t="shared" si="63"/>
        <v>0</v>
      </c>
      <c r="AK57" s="1636">
        <f t="shared" si="64"/>
        <v>0</v>
      </c>
      <c r="AL57" s="1636">
        <f t="shared" si="64"/>
        <v>0</v>
      </c>
      <c r="AM57" s="1636">
        <f t="shared" si="64"/>
        <v>0</v>
      </c>
      <c r="AN57" s="1637"/>
      <c r="AO57" s="1630"/>
      <c r="AP57" s="1638"/>
      <c r="AQ57" s="1638"/>
      <c r="AR57" s="1638"/>
      <c r="AS57" s="1639"/>
      <c r="AT57" s="1638"/>
      <c r="AU57" s="1638"/>
      <c r="AV57" s="1638"/>
      <c r="AW57" s="1639"/>
      <c r="AX57" s="1640"/>
      <c r="AY57" s="1640"/>
      <c r="AZ57" s="1640"/>
      <c r="BA57" s="1641"/>
      <c r="BB57" s="1640"/>
      <c r="BC57" s="1640"/>
      <c r="BD57" s="1640"/>
      <c r="BE57" s="1644"/>
      <c r="BF57" s="1640"/>
      <c r="BG57" s="1640"/>
      <c r="BH57" s="1640"/>
      <c r="BI57" s="1641"/>
      <c r="BJ57" s="1640"/>
      <c r="BK57" s="1640"/>
      <c r="BL57" s="1640"/>
      <c r="BM57" s="1641"/>
      <c r="BN57" s="1640"/>
      <c r="BO57" s="1640"/>
      <c r="BP57" s="1640"/>
      <c r="BQ57" s="1641"/>
      <c r="BR57" s="1640"/>
      <c r="BS57" s="1640"/>
      <c r="BT57" s="1640"/>
      <c r="BU57" s="1641"/>
      <c r="BV57" s="1640"/>
      <c r="BW57" s="1640"/>
      <c r="BX57" s="1640"/>
      <c r="BY57" s="1641"/>
      <c r="BZ57" s="1640"/>
      <c r="CA57" s="1640"/>
      <c r="CB57" s="1640"/>
      <c r="CC57" s="1641"/>
      <c r="CD57" s="1640"/>
      <c r="CE57" s="1640"/>
      <c r="CF57" s="1640"/>
      <c r="CG57" s="1642"/>
      <c r="CH57" s="1643">
        <v>0</v>
      </c>
      <c r="CI57" s="1643">
        <v>0</v>
      </c>
      <c r="CJ57" s="1643">
        <v>0</v>
      </c>
      <c r="CK57" s="1643">
        <v>0</v>
      </c>
    </row>
    <row r="58" spans="1:108" ht="17.25" customHeight="1" x14ac:dyDescent="0.15">
      <c r="A58" s="1541" t="s">
        <v>87</v>
      </c>
      <c r="B58" s="1523" t="s">
        <v>79</v>
      </c>
      <c r="C58" s="1523" t="s">
        <v>100</v>
      </c>
      <c r="D58" s="1523" t="s">
        <v>101</v>
      </c>
      <c r="E58" s="1523">
        <v>4239902</v>
      </c>
      <c r="F58" s="1523"/>
      <c r="G58" s="1523">
        <v>223</v>
      </c>
      <c r="H58" s="1502">
        <f>208.2-U58</f>
        <v>158.19999999999999</v>
      </c>
      <c r="I58" s="1502"/>
      <c r="J58" s="1630"/>
      <c r="K58" s="1630"/>
      <c r="L58" s="1631"/>
      <c r="M58" s="1631"/>
      <c r="N58" s="1631"/>
      <c r="O58" s="1631"/>
      <c r="P58" s="1631"/>
      <c r="Q58" s="1631"/>
      <c r="R58" s="1631"/>
      <c r="S58" s="1631"/>
      <c r="T58" s="1632"/>
      <c r="U58" s="1633">
        <v>50</v>
      </c>
      <c r="V58" s="1633"/>
      <c r="W58" s="1634"/>
      <c r="X58" s="1634"/>
      <c r="Y58" s="1634"/>
      <c r="Z58" s="1635"/>
      <c r="AA58" s="1634"/>
      <c r="AB58" s="1634"/>
      <c r="AC58" s="1508">
        <f t="shared" si="59"/>
        <v>158.19999999999999</v>
      </c>
      <c r="AD58" s="1509">
        <f t="shared" si="60"/>
        <v>0</v>
      </c>
      <c r="AE58" s="1509">
        <f t="shared" si="61"/>
        <v>0</v>
      </c>
      <c r="AF58" s="1509">
        <f t="shared" si="61"/>
        <v>0</v>
      </c>
      <c r="AG58" s="1509">
        <f t="shared" si="61"/>
        <v>0</v>
      </c>
      <c r="AH58" s="1490">
        <f t="shared" si="56"/>
        <v>0</v>
      </c>
      <c r="AI58" s="1636">
        <f t="shared" si="62"/>
        <v>0</v>
      </c>
      <c r="AJ58" s="1636">
        <f t="shared" si="63"/>
        <v>0</v>
      </c>
      <c r="AK58" s="1636">
        <f t="shared" si="64"/>
        <v>0</v>
      </c>
      <c r="AL58" s="1636">
        <f t="shared" si="64"/>
        <v>0</v>
      </c>
      <c r="AM58" s="1636">
        <f t="shared" si="64"/>
        <v>0</v>
      </c>
      <c r="AN58" s="1637"/>
      <c r="AO58" s="1630">
        <v>17.399999999999999</v>
      </c>
      <c r="AP58" s="1638"/>
      <c r="AQ58" s="1638"/>
      <c r="AR58" s="1638"/>
      <c r="AS58" s="1639">
        <v>17.399999999999999</v>
      </c>
      <c r="AT58" s="1638"/>
      <c r="AU58" s="1638"/>
      <c r="AV58" s="1638"/>
      <c r="AW58" s="1639"/>
      <c r="AX58" s="1640"/>
      <c r="AY58" s="1640"/>
      <c r="AZ58" s="1640"/>
      <c r="BA58" s="1641"/>
      <c r="BB58" s="1640"/>
      <c r="BC58" s="1640"/>
      <c r="BD58" s="1640"/>
      <c r="BE58" s="1644">
        <f>34.6+6.3</f>
        <v>40.9</v>
      </c>
      <c r="BF58" s="1640"/>
      <c r="BG58" s="1640"/>
      <c r="BH58" s="1640"/>
      <c r="BI58" s="1641">
        <v>20.45</v>
      </c>
      <c r="BJ58" s="1640"/>
      <c r="BK58" s="1640"/>
      <c r="BL58" s="1640"/>
      <c r="BM58" s="1641"/>
      <c r="BN58" s="1640"/>
      <c r="BO58" s="1640"/>
      <c r="BP58" s="1640"/>
      <c r="BQ58" s="1641">
        <v>20.45</v>
      </c>
      <c r="BR58" s="1640"/>
      <c r="BS58" s="1640"/>
      <c r="BT58" s="1640"/>
      <c r="BU58" s="1641">
        <v>2</v>
      </c>
      <c r="BV58" s="1640"/>
      <c r="BW58" s="1640"/>
      <c r="BX58" s="1640"/>
      <c r="BY58" s="1641"/>
      <c r="BZ58" s="1640"/>
      <c r="CA58" s="1640"/>
      <c r="CB58" s="1640"/>
      <c r="CC58" s="1641"/>
      <c r="CD58" s="1640"/>
      <c r="CE58" s="1640"/>
      <c r="CF58" s="1640"/>
      <c r="CG58" s="1642"/>
      <c r="CH58" s="1643">
        <v>39.6</v>
      </c>
      <c r="CI58" s="1643">
        <v>0</v>
      </c>
      <c r="CJ58" s="1643">
        <v>0</v>
      </c>
      <c r="CK58" s="1643">
        <v>0</v>
      </c>
      <c r="CO58" s="1599">
        <f>163.4/195.12</f>
        <v>0.83743337433374332</v>
      </c>
      <c r="CP58" s="489">
        <v>33.200000000000003</v>
      </c>
    </row>
    <row r="59" spans="1:108" ht="17.25" customHeight="1" x14ac:dyDescent="0.15">
      <c r="A59" s="1541" t="s">
        <v>89</v>
      </c>
      <c r="B59" s="1523" t="s">
        <v>79</v>
      </c>
      <c r="C59" s="1523" t="s">
        <v>100</v>
      </c>
      <c r="D59" s="1523" t="s">
        <v>101</v>
      </c>
      <c r="E59" s="1523">
        <v>4239902</v>
      </c>
      <c r="F59" s="1523"/>
      <c r="G59" s="1523">
        <v>224</v>
      </c>
      <c r="H59" s="1502">
        <v>0</v>
      </c>
      <c r="I59" s="1502"/>
      <c r="J59" s="1630"/>
      <c r="K59" s="1630"/>
      <c r="L59" s="1631"/>
      <c r="M59" s="1631"/>
      <c r="N59" s="1631"/>
      <c r="O59" s="1631"/>
      <c r="P59" s="1631"/>
      <c r="Q59" s="1631"/>
      <c r="R59" s="1631"/>
      <c r="S59" s="1631"/>
      <c r="T59" s="1632"/>
      <c r="U59" s="1633"/>
      <c r="V59" s="1633"/>
      <c r="W59" s="1634"/>
      <c r="X59" s="1634"/>
      <c r="Y59" s="1634"/>
      <c r="Z59" s="1635"/>
      <c r="AA59" s="1634"/>
      <c r="AB59" s="1634"/>
      <c r="AC59" s="1508">
        <f t="shared" si="59"/>
        <v>0</v>
      </c>
      <c r="AD59" s="1509">
        <f t="shared" si="60"/>
        <v>0</v>
      </c>
      <c r="AE59" s="1509">
        <f t="shared" si="61"/>
        <v>0</v>
      </c>
      <c r="AF59" s="1509">
        <f t="shared" si="61"/>
        <v>0</v>
      </c>
      <c r="AG59" s="1509">
        <f t="shared" si="61"/>
        <v>0</v>
      </c>
      <c r="AH59" s="1490">
        <f t="shared" si="56"/>
        <v>0</v>
      </c>
      <c r="AI59" s="1636">
        <f t="shared" si="62"/>
        <v>0</v>
      </c>
      <c r="AJ59" s="1636">
        <f t="shared" si="63"/>
        <v>0</v>
      </c>
      <c r="AK59" s="1636">
        <f t="shared" si="64"/>
        <v>0</v>
      </c>
      <c r="AL59" s="1636">
        <f t="shared" si="64"/>
        <v>0</v>
      </c>
      <c r="AM59" s="1636">
        <f t="shared" si="64"/>
        <v>0</v>
      </c>
      <c r="AN59" s="1637"/>
      <c r="AO59" s="1630"/>
      <c r="AP59" s="1638"/>
      <c r="AQ59" s="1638"/>
      <c r="AR59" s="1638"/>
      <c r="AS59" s="1639"/>
      <c r="AT59" s="1638"/>
      <c r="AU59" s="1638"/>
      <c r="AV59" s="1638"/>
      <c r="AW59" s="1639"/>
      <c r="AX59" s="1640"/>
      <c r="AY59" s="1640"/>
      <c r="AZ59" s="1640"/>
      <c r="BA59" s="1641"/>
      <c r="BB59" s="1640"/>
      <c r="BC59" s="1640"/>
      <c r="BD59" s="1640"/>
      <c r="BE59" s="1644"/>
      <c r="BF59" s="1640"/>
      <c r="BG59" s="1640"/>
      <c r="BH59" s="1640"/>
      <c r="BI59" s="1641"/>
      <c r="BJ59" s="1640"/>
      <c r="BK59" s="1640"/>
      <c r="BL59" s="1640"/>
      <c r="BM59" s="1641"/>
      <c r="BN59" s="1640"/>
      <c r="BO59" s="1640"/>
      <c r="BP59" s="1640"/>
      <c r="BQ59" s="1641"/>
      <c r="BR59" s="1640"/>
      <c r="BS59" s="1640"/>
      <c r="BT59" s="1640"/>
      <c r="BU59" s="1641"/>
      <c r="BV59" s="1640"/>
      <c r="BW59" s="1640"/>
      <c r="BX59" s="1640"/>
      <c r="BY59" s="1641"/>
      <c r="BZ59" s="1640"/>
      <c r="CA59" s="1640"/>
      <c r="CB59" s="1640"/>
      <c r="CC59" s="1641"/>
      <c r="CD59" s="1640"/>
      <c r="CE59" s="1640"/>
      <c r="CF59" s="1640"/>
      <c r="CG59" s="1642"/>
      <c r="CH59" s="1643">
        <v>0</v>
      </c>
      <c r="CI59" s="1643">
        <v>0</v>
      </c>
      <c r="CJ59" s="1643">
        <v>0</v>
      </c>
      <c r="CK59" s="1643">
        <v>0</v>
      </c>
    </row>
    <row r="60" spans="1:108" ht="17.25" customHeight="1" x14ac:dyDescent="0.15">
      <c r="A60" s="1541" t="s">
        <v>90</v>
      </c>
      <c r="B60" s="1523" t="s">
        <v>79</v>
      </c>
      <c r="C60" s="1523" t="s">
        <v>100</v>
      </c>
      <c r="D60" s="1523" t="s">
        <v>101</v>
      </c>
      <c r="E60" s="1523">
        <v>4239902</v>
      </c>
      <c r="F60" s="1523"/>
      <c r="G60" s="1523">
        <v>225</v>
      </c>
      <c r="H60" s="1502">
        <f>3000+70</f>
        <v>3070</v>
      </c>
      <c r="I60" s="1502"/>
      <c r="J60" s="1645">
        <f>399.4-V60</f>
        <v>349.4</v>
      </c>
      <c r="K60" s="1645"/>
      <c r="L60" s="1631"/>
      <c r="M60" s="1631"/>
      <c r="N60" s="1631"/>
      <c r="O60" s="1631"/>
      <c r="P60" s="1631"/>
      <c r="Q60" s="1631"/>
      <c r="R60" s="1631"/>
      <c r="S60" s="1631"/>
      <c r="T60" s="1632"/>
      <c r="U60" s="1633"/>
      <c r="V60" s="1633">
        <v>50</v>
      </c>
      <c r="W60" s="1634"/>
      <c r="X60" s="1634"/>
      <c r="Y60" s="1634"/>
      <c r="Z60" s="1635"/>
      <c r="AA60" s="1634"/>
      <c r="AB60" s="1634"/>
      <c r="AC60" s="1508">
        <f t="shared" si="59"/>
        <v>3070</v>
      </c>
      <c r="AD60" s="1509">
        <f t="shared" si="60"/>
        <v>349.4</v>
      </c>
      <c r="AE60" s="1509">
        <f t="shared" si="61"/>
        <v>0</v>
      </c>
      <c r="AF60" s="1509">
        <f t="shared" si="61"/>
        <v>349.4</v>
      </c>
      <c r="AG60" s="1509">
        <f t="shared" si="61"/>
        <v>0</v>
      </c>
      <c r="AH60" s="1490">
        <f t="shared" si="56"/>
        <v>0</v>
      </c>
      <c r="AI60" s="1636">
        <f t="shared" si="62"/>
        <v>0</v>
      </c>
      <c r="AJ60" s="1636">
        <f t="shared" si="63"/>
        <v>0</v>
      </c>
      <c r="AK60" s="1636">
        <f t="shared" si="64"/>
        <v>0</v>
      </c>
      <c r="AL60" s="1636">
        <f t="shared" si="64"/>
        <v>0</v>
      </c>
      <c r="AM60" s="1636">
        <f t="shared" si="64"/>
        <v>0</v>
      </c>
      <c r="AN60" s="1637"/>
      <c r="AO60" s="1630"/>
      <c r="AP60" s="1638"/>
      <c r="AQ60" s="1638"/>
      <c r="AR60" s="1638"/>
      <c r="AS60" s="1639"/>
      <c r="AT60" s="1638"/>
      <c r="AU60" s="1638"/>
      <c r="AV60" s="1638"/>
      <c r="AW60" s="1639"/>
      <c r="AX60" s="1640"/>
      <c r="AY60" s="1640"/>
      <c r="AZ60" s="1640"/>
      <c r="BA60" s="1641">
        <v>3000</v>
      </c>
      <c r="BB60" s="1640"/>
      <c r="BC60" s="1640"/>
      <c r="BD60" s="1640"/>
      <c r="BE60" s="1644"/>
      <c r="BF60" s="1640"/>
      <c r="BG60" s="1640"/>
      <c r="BH60" s="1640"/>
      <c r="BI60" s="1641"/>
      <c r="BJ60" s="1640"/>
      <c r="BK60" s="1640"/>
      <c r="BL60" s="1640"/>
      <c r="BM60" s="1641"/>
      <c r="BN60" s="1640"/>
      <c r="BO60" s="1640"/>
      <c r="BP60" s="1640"/>
      <c r="BQ60" s="1641">
        <v>70</v>
      </c>
      <c r="BR60" s="1640"/>
      <c r="BS60" s="1640"/>
      <c r="BT60" s="1640"/>
      <c r="BU60" s="1641"/>
      <c r="BV60" s="1640"/>
      <c r="BW60" s="1640"/>
      <c r="BX60" s="1640"/>
      <c r="BY60" s="1641"/>
      <c r="BZ60" s="1640"/>
      <c r="CA60" s="1640">
        <v>100</v>
      </c>
      <c r="CB60" s="1640"/>
      <c r="CC60" s="1641"/>
      <c r="CD60" s="1640"/>
      <c r="CE60" s="1640"/>
      <c r="CF60" s="1640"/>
      <c r="CG60" s="1642"/>
      <c r="CH60" s="1643">
        <v>0</v>
      </c>
      <c r="CI60" s="1643">
        <v>0</v>
      </c>
      <c r="CJ60" s="1643">
        <v>249.4</v>
      </c>
      <c r="CK60" s="1643">
        <v>0</v>
      </c>
    </row>
    <row r="61" spans="1:108" ht="17.25" customHeight="1" x14ac:dyDescent="0.15">
      <c r="A61" s="1541" t="s">
        <v>91</v>
      </c>
      <c r="B61" s="1523" t="s">
        <v>79</v>
      </c>
      <c r="C61" s="1523" t="s">
        <v>100</v>
      </c>
      <c r="D61" s="1523" t="s">
        <v>101</v>
      </c>
      <c r="E61" s="1523">
        <v>4239902</v>
      </c>
      <c r="F61" s="1523"/>
      <c r="G61" s="1523">
        <v>226</v>
      </c>
      <c r="H61" s="1502">
        <f>149+3</f>
        <v>152</v>
      </c>
      <c r="I61" s="1502"/>
      <c r="J61" s="1630"/>
      <c r="K61" s="1630"/>
      <c r="L61" s="1631"/>
      <c r="M61" s="1631"/>
      <c r="N61" s="1631"/>
      <c r="O61" s="1631"/>
      <c r="P61" s="1631"/>
      <c r="Q61" s="1631"/>
      <c r="R61" s="1631"/>
      <c r="S61" s="1631"/>
      <c r="T61" s="1632"/>
      <c r="U61" s="1633"/>
      <c r="V61" s="1633"/>
      <c r="W61" s="1634"/>
      <c r="X61" s="1634"/>
      <c r="Y61" s="1634"/>
      <c r="Z61" s="1635"/>
      <c r="AA61" s="1634"/>
      <c r="AB61" s="1634"/>
      <c r="AC61" s="1508">
        <f t="shared" si="59"/>
        <v>152</v>
      </c>
      <c r="AD61" s="1509">
        <f t="shared" si="60"/>
        <v>0</v>
      </c>
      <c r="AE61" s="1509">
        <f t="shared" si="61"/>
        <v>0</v>
      </c>
      <c r="AF61" s="1509">
        <f t="shared" si="61"/>
        <v>0</v>
      </c>
      <c r="AG61" s="1509">
        <f t="shared" si="61"/>
        <v>0</v>
      </c>
      <c r="AH61" s="1490">
        <f t="shared" si="56"/>
        <v>0</v>
      </c>
      <c r="AI61" s="1636">
        <f t="shared" si="62"/>
        <v>0</v>
      </c>
      <c r="AJ61" s="1636">
        <f t="shared" si="63"/>
        <v>0</v>
      </c>
      <c r="AK61" s="1636">
        <f t="shared" si="64"/>
        <v>0</v>
      </c>
      <c r="AL61" s="1636">
        <f t="shared" si="64"/>
        <v>0</v>
      </c>
      <c r="AM61" s="1636">
        <f t="shared" si="64"/>
        <v>0</v>
      </c>
      <c r="AN61" s="1637"/>
      <c r="AO61" s="1630"/>
      <c r="AP61" s="1638"/>
      <c r="AQ61" s="1638"/>
      <c r="AR61" s="1638"/>
      <c r="AS61" s="1639"/>
      <c r="AT61" s="1638"/>
      <c r="AU61" s="1638"/>
      <c r="AV61" s="1638"/>
      <c r="AW61" s="1639"/>
      <c r="AX61" s="1640"/>
      <c r="AY61" s="1640"/>
      <c r="AZ61" s="1640"/>
      <c r="BA61" s="1641"/>
      <c r="BB61" s="1640"/>
      <c r="BC61" s="1640"/>
      <c r="BD61" s="1640"/>
      <c r="BE61" s="1644">
        <v>150</v>
      </c>
      <c r="BF61" s="1640"/>
      <c r="BG61" s="1640"/>
      <c r="BH61" s="1640"/>
      <c r="BI61" s="1641"/>
      <c r="BJ61" s="1640"/>
      <c r="BK61" s="1640"/>
      <c r="BL61" s="1640"/>
      <c r="BM61" s="1641"/>
      <c r="BN61" s="1640"/>
      <c r="BO61" s="1640"/>
      <c r="BP61" s="1640"/>
      <c r="BQ61" s="1641">
        <f>149.02-147.02</f>
        <v>2</v>
      </c>
      <c r="BR61" s="1640"/>
      <c r="BS61" s="1640"/>
      <c r="BT61" s="1640"/>
      <c r="BU61" s="1641"/>
      <c r="BV61" s="1640"/>
      <c r="BW61" s="1640"/>
      <c r="BX61" s="1640"/>
      <c r="BY61" s="1641"/>
      <c r="BZ61" s="1640"/>
      <c r="CA61" s="1640"/>
      <c r="CB61" s="1640"/>
      <c r="CC61" s="1641"/>
      <c r="CD61" s="1640"/>
      <c r="CE61" s="1640"/>
      <c r="CF61" s="1640"/>
      <c r="CG61" s="1642"/>
      <c r="CH61" s="1643">
        <v>0</v>
      </c>
      <c r="CI61" s="1643">
        <v>0</v>
      </c>
      <c r="CJ61" s="1643">
        <v>0</v>
      </c>
      <c r="CK61" s="1643">
        <v>0</v>
      </c>
    </row>
    <row r="62" spans="1:108" ht="17.25" customHeight="1" x14ac:dyDescent="0.15">
      <c r="A62" s="1541" t="s">
        <v>220</v>
      </c>
      <c r="B62" s="1523" t="s">
        <v>79</v>
      </c>
      <c r="C62" s="1523" t="s">
        <v>100</v>
      </c>
      <c r="D62" s="1523" t="s">
        <v>101</v>
      </c>
      <c r="E62" s="1523">
        <v>4239902</v>
      </c>
      <c r="F62" s="1523"/>
      <c r="G62" s="1523">
        <v>290</v>
      </c>
      <c r="H62" s="1502">
        <f>146.8-U62-30</f>
        <v>116.80000000000001</v>
      </c>
      <c r="I62" s="1502"/>
      <c r="J62" s="1630"/>
      <c r="K62" s="1630"/>
      <c r="L62" s="1631"/>
      <c r="M62" s="1631"/>
      <c r="N62" s="1631"/>
      <c r="O62" s="1631"/>
      <c r="P62" s="1631"/>
      <c r="Q62" s="1631"/>
      <c r="R62" s="1631"/>
      <c r="S62" s="1631"/>
      <c r="T62" s="1632"/>
      <c r="U62" s="1633"/>
      <c r="V62" s="1633"/>
      <c r="W62" s="1634"/>
      <c r="X62" s="1634"/>
      <c r="Y62" s="1634"/>
      <c r="Z62" s="1635"/>
      <c r="AA62" s="1634"/>
      <c r="AB62" s="1634"/>
      <c r="AC62" s="1508">
        <f t="shared" si="59"/>
        <v>116.80000000000001</v>
      </c>
      <c r="AD62" s="1509">
        <f t="shared" si="60"/>
        <v>0</v>
      </c>
      <c r="AE62" s="1509">
        <f t="shared" si="61"/>
        <v>0</v>
      </c>
      <c r="AF62" s="1509">
        <f t="shared" si="61"/>
        <v>0</v>
      </c>
      <c r="AG62" s="1509">
        <f t="shared" si="61"/>
        <v>0</v>
      </c>
      <c r="AH62" s="1490">
        <f t="shared" si="56"/>
        <v>0</v>
      </c>
      <c r="AI62" s="1636">
        <f t="shared" si="62"/>
        <v>0</v>
      </c>
      <c r="AJ62" s="1636">
        <f t="shared" si="63"/>
        <v>0</v>
      </c>
      <c r="AK62" s="1636">
        <f t="shared" si="64"/>
        <v>0</v>
      </c>
      <c r="AL62" s="1636">
        <f t="shared" si="64"/>
        <v>0</v>
      </c>
      <c r="AM62" s="1636">
        <f t="shared" si="64"/>
        <v>0</v>
      </c>
      <c r="AN62" s="1637"/>
      <c r="AO62" s="1630">
        <v>12.3</v>
      </c>
      <c r="AP62" s="1638"/>
      <c r="AQ62" s="1638"/>
      <c r="AR62" s="1638"/>
      <c r="AS62" s="1639"/>
      <c r="AT62" s="1638"/>
      <c r="AU62" s="1638"/>
      <c r="AV62" s="1638"/>
      <c r="AW62" s="1639"/>
      <c r="AX62" s="1640"/>
      <c r="AY62" s="1640"/>
      <c r="AZ62" s="1640"/>
      <c r="BA62" s="1641"/>
      <c r="BB62" s="1640"/>
      <c r="BC62" s="1640"/>
      <c r="BD62" s="1640"/>
      <c r="BE62" s="1644">
        <v>36.6</v>
      </c>
      <c r="BF62" s="1640"/>
      <c r="BG62" s="1640"/>
      <c r="BH62" s="1640"/>
      <c r="BI62" s="1641"/>
      <c r="BJ62" s="1640"/>
      <c r="BK62" s="1640"/>
      <c r="BL62" s="1640"/>
      <c r="BM62" s="1641"/>
      <c r="BN62" s="1640"/>
      <c r="BO62" s="1640"/>
      <c r="BP62" s="1640"/>
      <c r="BQ62" s="1641">
        <v>34.42</v>
      </c>
      <c r="BR62" s="1640"/>
      <c r="BS62" s="1640"/>
      <c r="BT62" s="1640"/>
      <c r="BU62" s="1641">
        <v>26.8</v>
      </c>
      <c r="BV62" s="1640"/>
      <c r="BW62" s="1640"/>
      <c r="BX62" s="1640"/>
      <c r="BY62" s="1641"/>
      <c r="BZ62" s="1640"/>
      <c r="CA62" s="1640"/>
      <c r="CB62" s="1640"/>
      <c r="CC62" s="1641"/>
      <c r="CD62" s="1640"/>
      <c r="CE62" s="1640"/>
      <c r="CF62" s="1640"/>
      <c r="CG62" s="1642"/>
      <c r="CH62" s="1643">
        <v>6.68</v>
      </c>
      <c r="CI62" s="1643">
        <v>0</v>
      </c>
      <c r="CJ62" s="1643">
        <v>0</v>
      </c>
      <c r="CK62" s="1643">
        <v>0</v>
      </c>
    </row>
    <row r="63" spans="1:108" ht="17.25" customHeight="1" x14ac:dyDescent="0.15">
      <c r="A63" s="1541" t="s">
        <v>220</v>
      </c>
      <c r="B63" s="1523" t="s">
        <v>79</v>
      </c>
      <c r="C63" s="1523" t="s">
        <v>100</v>
      </c>
      <c r="D63" s="1523" t="s">
        <v>101</v>
      </c>
      <c r="E63" s="1523">
        <v>4239902</v>
      </c>
      <c r="F63" s="1523"/>
      <c r="G63" s="1523">
        <v>290</v>
      </c>
      <c r="H63" s="1502">
        <v>0</v>
      </c>
      <c r="I63" s="1502"/>
      <c r="J63" s="1630"/>
      <c r="K63" s="1630"/>
      <c r="L63" s="1631"/>
      <c r="M63" s="1631"/>
      <c r="N63" s="1631"/>
      <c r="O63" s="1631"/>
      <c r="P63" s="1631"/>
      <c r="Q63" s="1631"/>
      <c r="R63" s="1631"/>
      <c r="S63" s="1631"/>
      <c r="T63" s="1632"/>
      <c r="U63" s="1633"/>
      <c r="V63" s="1633"/>
      <c r="W63" s="1634"/>
      <c r="X63" s="1634"/>
      <c r="Y63" s="1634"/>
      <c r="Z63" s="1635"/>
      <c r="AA63" s="1634"/>
      <c r="AB63" s="1634"/>
      <c r="AC63" s="1508">
        <f t="shared" si="59"/>
        <v>0</v>
      </c>
      <c r="AD63" s="1509">
        <f t="shared" si="60"/>
        <v>0</v>
      </c>
      <c r="AE63" s="1509">
        <f t="shared" si="61"/>
        <v>0</v>
      </c>
      <c r="AF63" s="1509">
        <f t="shared" si="61"/>
        <v>0</v>
      </c>
      <c r="AG63" s="1509">
        <f t="shared" si="61"/>
        <v>0</v>
      </c>
      <c r="AH63" s="1490">
        <f t="shared" si="56"/>
        <v>0</v>
      </c>
      <c r="AI63" s="1636">
        <f t="shared" si="62"/>
        <v>0</v>
      </c>
      <c r="AJ63" s="1636">
        <f t="shared" si="63"/>
        <v>0</v>
      </c>
      <c r="AK63" s="1636">
        <f t="shared" si="64"/>
        <v>0</v>
      </c>
      <c r="AL63" s="1636">
        <f t="shared" si="64"/>
        <v>0</v>
      </c>
      <c r="AM63" s="1636">
        <f t="shared" si="64"/>
        <v>0</v>
      </c>
      <c r="AN63" s="1637"/>
      <c r="AO63" s="1630"/>
      <c r="AP63" s="1638"/>
      <c r="AQ63" s="1638"/>
      <c r="AR63" s="1638"/>
      <c r="AS63" s="1639"/>
      <c r="AT63" s="1638"/>
      <c r="AU63" s="1638"/>
      <c r="AV63" s="1638"/>
      <c r="AW63" s="1639"/>
      <c r="AX63" s="1640"/>
      <c r="AY63" s="1640"/>
      <c r="AZ63" s="1640"/>
      <c r="BA63" s="1641"/>
      <c r="BB63" s="1640"/>
      <c r="BC63" s="1640"/>
      <c r="BD63" s="1640"/>
      <c r="BE63" s="1644"/>
      <c r="BF63" s="1640"/>
      <c r="BG63" s="1640"/>
      <c r="BH63" s="1640"/>
      <c r="BI63" s="1641"/>
      <c r="BJ63" s="1640"/>
      <c r="BK63" s="1640"/>
      <c r="BL63" s="1640"/>
      <c r="BM63" s="1641"/>
      <c r="BN63" s="1640"/>
      <c r="BO63" s="1640"/>
      <c r="BP63" s="1640"/>
      <c r="BQ63" s="1641"/>
      <c r="BR63" s="1640"/>
      <c r="BS63" s="1640"/>
      <c r="BT63" s="1640"/>
      <c r="BU63" s="1641"/>
      <c r="BV63" s="1640"/>
      <c r="BW63" s="1640"/>
      <c r="BX63" s="1640"/>
      <c r="BY63" s="1641"/>
      <c r="BZ63" s="1640"/>
      <c r="CA63" s="1640"/>
      <c r="CB63" s="1640"/>
      <c r="CC63" s="1641"/>
      <c r="CD63" s="1640"/>
      <c r="CE63" s="1640"/>
      <c r="CF63" s="1640"/>
      <c r="CG63" s="1642"/>
      <c r="CH63" s="1643">
        <v>0</v>
      </c>
      <c r="CI63" s="1643">
        <v>0</v>
      </c>
      <c r="CJ63" s="1643">
        <v>0</v>
      </c>
      <c r="CK63" s="1643">
        <v>0</v>
      </c>
    </row>
    <row r="64" spans="1:108" ht="17.25" customHeight="1" x14ac:dyDescent="0.15">
      <c r="A64" s="1541" t="s">
        <v>104</v>
      </c>
      <c r="B64" s="1523" t="s">
        <v>79</v>
      </c>
      <c r="C64" s="1523" t="s">
        <v>100</v>
      </c>
      <c r="D64" s="1523" t="s">
        <v>101</v>
      </c>
      <c r="E64" s="1523">
        <v>4239902</v>
      </c>
      <c r="F64" s="1523"/>
      <c r="G64" s="1523">
        <v>310</v>
      </c>
      <c r="H64" s="1646">
        <v>80</v>
      </c>
      <c r="I64" s="1502"/>
      <c r="J64" s="1630"/>
      <c r="K64" s="1630"/>
      <c r="L64" s="1631"/>
      <c r="M64" s="1631"/>
      <c r="N64" s="1631"/>
      <c r="O64" s="1631"/>
      <c r="P64" s="1631"/>
      <c r="Q64" s="1631"/>
      <c r="R64" s="1631"/>
      <c r="S64" s="1631"/>
      <c r="T64" s="1632"/>
      <c r="U64" s="1633"/>
      <c r="V64" s="1633"/>
      <c r="W64" s="1634"/>
      <c r="X64" s="1634"/>
      <c r="Y64" s="1634"/>
      <c r="Z64" s="1635"/>
      <c r="AA64" s="1634"/>
      <c r="AB64" s="1634"/>
      <c r="AC64" s="1508">
        <f t="shared" si="59"/>
        <v>80</v>
      </c>
      <c r="AD64" s="1509">
        <f t="shared" si="60"/>
        <v>0</v>
      </c>
      <c r="AE64" s="1509">
        <f t="shared" si="61"/>
        <v>0</v>
      </c>
      <c r="AF64" s="1509">
        <f t="shared" si="61"/>
        <v>0</v>
      </c>
      <c r="AG64" s="1509">
        <f t="shared" si="61"/>
        <v>0</v>
      </c>
      <c r="AH64" s="1490">
        <f t="shared" si="56"/>
        <v>0</v>
      </c>
      <c r="AI64" s="1636">
        <f t="shared" si="62"/>
        <v>0</v>
      </c>
      <c r="AJ64" s="1636">
        <f t="shared" si="63"/>
        <v>0</v>
      </c>
      <c r="AK64" s="1636">
        <f t="shared" si="64"/>
        <v>0</v>
      </c>
      <c r="AL64" s="1636">
        <f t="shared" si="64"/>
        <v>0</v>
      </c>
      <c r="AM64" s="1636">
        <f t="shared" si="64"/>
        <v>0</v>
      </c>
      <c r="AN64" s="1637"/>
      <c r="AO64" s="1630"/>
      <c r="AP64" s="1638"/>
      <c r="AQ64" s="1638"/>
      <c r="AR64" s="1638"/>
      <c r="AS64" s="1639"/>
      <c r="AT64" s="1638"/>
      <c r="AU64" s="1638"/>
      <c r="AV64" s="1638"/>
      <c r="AW64" s="1639"/>
      <c r="AX64" s="1640"/>
      <c r="AY64" s="1640"/>
      <c r="AZ64" s="1640"/>
      <c r="BA64" s="1641"/>
      <c r="BB64" s="1640"/>
      <c r="BC64" s="1640"/>
      <c r="BD64" s="1640"/>
      <c r="BE64" s="1644"/>
      <c r="BF64" s="1640"/>
      <c r="BG64" s="1640"/>
      <c r="BH64" s="1640"/>
      <c r="BI64" s="1641"/>
      <c r="BJ64" s="1640"/>
      <c r="BK64" s="1640"/>
      <c r="BL64" s="1640"/>
      <c r="BM64" s="1641"/>
      <c r="BN64" s="1640"/>
      <c r="BO64" s="1640"/>
      <c r="BP64" s="1640"/>
      <c r="BQ64" s="1641">
        <v>80</v>
      </c>
      <c r="BR64" s="1640"/>
      <c r="BS64" s="1640"/>
      <c r="BT64" s="1640"/>
      <c r="BU64" s="1641"/>
      <c r="BV64" s="1640"/>
      <c r="BW64" s="1640"/>
      <c r="BX64" s="1640"/>
      <c r="BY64" s="1641"/>
      <c r="BZ64" s="1640"/>
      <c r="CA64" s="1640"/>
      <c r="CB64" s="1640"/>
      <c r="CC64" s="1641"/>
      <c r="CD64" s="1640"/>
      <c r="CE64" s="1640"/>
      <c r="CF64" s="1640"/>
      <c r="CG64" s="1642"/>
      <c r="CH64" s="1643">
        <v>0</v>
      </c>
      <c r="CI64" s="1643">
        <v>0</v>
      </c>
      <c r="CJ64" s="1643">
        <v>0</v>
      </c>
      <c r="CK64" s="1643">
        <v>0</v>
      </c>
    </row>
    <row r="65" spans="1:108" ht="17.25" customHeight="1" x14ac:dyDescent="0.15">
      <c r="A65" s="1541" t="s">
        <v>97</v>
      </c>
      <c r="B65" s="1523" t="s">
        <v>79</v>
      </c>
      <c r="C65" s="1523" t="s">
        <v>100</v>
      </c>
      <c r="D65" s="1523" t="s">
        <v>101</v>
      </c>
      <c r="E65" s="1523">
        <v>4239902</v>
      </c>
      <c r="F65" s="1523"/>
      <c r="G65" s="1523">
        <v>340</v>
      </c>
      <c r="H65" s="1502"/>
      <c r="I65" s="1502"/>
      <c r="J65" s="1630"/>
      <c r="K65" s="1630"/>
      <c r="L65" s="1631"/>
      <c r="M65" s="1631"/>
      <c r="N65" s="1631"/>
      <c r="O65" s="1631"/>
      <c r="P65" s="1631"/>
      <c r="Q65" s="1631"/>
      <c r="R65" s="1631"/>
      <c r="S65" s="1631"/>
      <c r="T65" s="1632"/>
      <c r="U65" s="1633"/>
      <c r="V65" s="1633"/>
      <c r="W65" s="1634"/>
      <c r="X65" s="1634"/>
      <c r="Y65" s="1634"/>
      <c r="Z65" s="1635"/>
      <c r="AA65" s="1634"/>
      <c r="AB65" s="1634"/>
      <c r="AC65" s="1508">
        <f t="shared" si="59"/>
        <v>0</v>
      </c>
      <c r="AD65" s="1509">
        <f t="shared" si="60"/>
        <v>0</v>
      </c>
      <c r="AE65" s="1509">
        <f t="shared" si="61"/>
        <v>0</v>
      </c>
      <c r="AF65" s="1509">
        <f t="shared" si="61"/>
        <v>0</v>
      </c>
      <c r="AG65" s="1509">
        <f t="shared" si="61"/>
        <v>0</v>
      </c>
      <c r="AH65" s="1490">
        <f t="shared" si="56"/>
        <v>0</v>
      </c>
      <c r="AI65" s="1636">
        <f t="shared" si="62"/>
        <v>0</v>
      </c>
      <c r="AJ65" s="1636">
        <f t="shared" si="63"/>
        <v>0</v>
      </c>
      <c r="AK65" s="1636">
        <f t="shared" si="64"/>
        <v>0</v>
      </c>
      <c r="AL65" s="1636">
        <f t="shared" si="64"/>
        <v>0</v>
      </c>
      <c r="AM65" s="1636">
        <f t="shared" si="64"/>
        <v>0</v>
      </c>
      <c r="AN65" s="1637"/>
      <c r="AO65" s="1630"/>
      <c r="AP65" s="1638"/>
      <c r="AQ65" s="1638"/>
      <c r="AR65" s="1638"/>
      <c r="AS65" s="1639"/>
      <c r="AT65" s="1638"/>
      <c r="AU65" s="1638"/>
      <c r="AV65" s="1638"/>
      <c r="AW65" s="1639"/>
      <c r="AX65" s="1640"/>
      <c r="AY65" s="1640"/>
      <c r="AZ65" s="1640"/>
      <c r="BA65" s="1641"/>
      <c r="BB65" s="1640"/>
      <c r="BC65" s="1640"/>
      <c r="BD65" s="1640"/>
      <c r="BE65" s="1644"/>
      <c r="BF65" s="1640"/>
      <c r="BG65" s="1640"/>
      <c r="BH65" s="1640"/>
      <c r="BI65" s="1641"/>
      <c r="BJ65" s="1640"/>
      <c r="BK65" s="1640"/>
      <c r="BL65" s="1640"/>
      <c r="BM65" s="1641"/>
      <c r="BN65" s="1640"/>
      <c r="BO65" s="1640"/>
      <c r="BP65" s="1640"/>
      <c r="BQ65" s="1641"/>
      <c r="BR65" s="1640"/>
      <c r="BS65" s="1640"/>
      <c r="BT65" s="1640"/>
      <c r="BU65" s="1641"/>
      <c r="BV65" s="1640"/>
      <c r="BW65" s="1640"/>
      <c r="BX65" s="1640"/>
      <c r="BY65" s="1641"/>
      <c r="BZ65" s="1640"/>
      <c r="CA65" s="1640"/>
      <c r="CB65" s="1640"/>
      <c r="CC65" s="1641"/>
      <c r="CD65" s="1640"/>
      <c r="CE65" s="1640"/>
      <c r="CF65" s="1640"/>
      <c r="CG65" s="1642"/>
      <c r="CH65" s="1643">
        <v>0</v>
      </c>
      <c r="CI65" s="1643">
        <v>0</v>
      </c>
      <c r="CJ65" s="1643">
        <v>0</v>
      </c>
      <c r="CK65" s="1643">
        <v>0</v>
      </c>
    </row>
    <row r="66" spans="1:108" ht="17.25" customHeight="1" x14ac:dyDescent="0.15">
      <c r="A66" s="1528" t="s">
        <v>767</v>
      </c>
      <c r="B66" s="1530" t="s">
        <v>79</v>
      </c>
      <c r="C66" s="1530" t="s">
        <v>100</v>
      </c>
      <c r="D66" s="1530" t="s">
        <v>101</v>
      </c>
      <c r="E66" s="1530">
        <v>4239902</v>
      </c>
      <c r="F66" s="1530" t="s">
        <v>768</v>
      </c>
      <c r="G66" s="1600" t="s">
        <v>766</v>
      </c>
      <c r="H66" s="1647">
        <f>I52</f>
        <v>0</v>
      </c>
      <c r="I66" s="1645"/>
      <c r="J66" s="1630"/>
      <c r="K66" s="1630"/>
      <c r="L66" s="1631"/>
      <c r="M66" s="1631"/>
      <c r="N66" s="1631"/>
      <c r="O66" s="1631"/>
      <c r="P66" s="1631"/>
      <c r="Q66" s="1631"/>
      <c r="R66" s="1631"/>
      <c r="S66" s="1631"/>
      <c r="T66" s="1632"/>
      <c r="U66" s="1633"/>
      <c r="V66" s="1633"/>
      <c r="W66" s="1634"/>
      <c r="X66" s="1634"/>
      <c r="Y66" s="1634"/>
      <c r="Z66" s="1635"/>
      <c r="AA66" s="1634"/>
      <c r="AB66" s="1634"/>
      <c r="AC66" s="1508"/>
      <c r="AD66" s="1509"/>
      <c r="AE66" s="1509"/>
      <c r="AF66" s="1509"/>
      <c r="AG66" s="1509"/>
      <c r="AH66" s="1490">
        <f t="shared" si="56"/>
        <v>0</v>
      </c>
      <c r="AI66" s="1636"/>
      <c r="AJ66" s="1636"/>
      <c r="AK66" s="1636"/>
      <c r="AL66" s="1636">
        <f t="shared" si="64"/>
        <v>0</v>
      </c>
      <c r="AM66" s="1636"/>
      <c r="AN66" s="1637"/>
      <c r="AO66" s="1630"/>
      <c r="AP66" s="1638"/>
      <c r="AQ66" s="1638"/>
      <c r="AR66" s="1638"/>
      <c r="AS66" s="1639"/>
      <c r="AT66" s="1638"/>
      <c r="AU66" s="1638"/>
      <c r="AV66" s="1638"/>
      <c r="AW66" s="1639"/>
      <c r="AX66" s="1640"/>
      <c r="AY66" s="1640"/>
      <c r="AZ66" s="1640"/>
      <c r="BA66" s="1641"/>
      <c r="BB66" s="1640"/>
      <c r="BC66" s="1640"/>
      <c r="BD66" s="1640"/>
      <c r="BE66" s="1644"/>
      <c r="BF66" s="1640"/>
      <c r="BG66" s="1640"/>
      <c r="BH66" s="1640"/>
      <c r="BI66" s="1641"/>
      <c r="BJ66" s="1640"/>
      <c r="BK66" s="1640"/>
      <c r="BL66" s="1640"/>
      <c r="BM66" s="1641"/>
      <c r="BN66" s="1640"/>
      <c r="BO66" s="1640"/>
      <c r="BP66" s="1640"/>
      <c r="BQ66" s="1641"/>
      <c r="BR66" s="1640"/>
      <c r="BS66" s="1640"/>
      <c r="BT66" s="1640"/>
      <c r="BU66" s="1641"/>
      <c r="BV66" s="1640"/>
      <c r="BW66" s="1640"/>
      <c r="BX66" s="1640"/>
      <c r="BY66" s="1641"/>
      <c r="BZ66" s="1640"/>
      <c r="CA66" s="1640"/>
      <c r="CB66" s="1640"/>
      <c r="CC66" s="1641"/>
      <c r="CD66" s="1640"/>
      <c r="CE66" s="1640"/>
      <c r="CF66" s="1640"/>
      <c r="CG66" s="1642"/>
      <c r="CH66" s="1648"/>
      <c r="CI66" s="1648"/>
      <c r="CJ66" s="1643">
        <v>0</v>
      </c>
      <c r="CK66" s="1648"/>
    </row>
    <row r="67" spans="1:108" ht="53.25" customHeight="1" x14ac:dyDescent="0.15">
      <c r="A67" s="1605" t="s">
        <v>1249</v>
      </c>
      <c r="B67" s="1439" t="s">
        <v>79</v>
      </c>
      <c r="C67" s="1439" t="s">
        <v>100</v>
      </c>
      <c r="D67" s="1439" t="s">
        <v>101</v>
      </c>
      <c r="E67" s="1439">
        <v>4239902</v>
      </c>
      <c r="F67" s="1605">
        <v>600</v>
      </c>
      <c r="G67" s="1605"/>
      <c r="H67" s="1606">
        <f>H68+H82</f>
        <v>6261.9000000000005</v>
      </c>
      <c r="I67" s="1606">
        <f>I68+I82</f>
        <v>0</v>
      </c>
      <c r="J67" s="1606">
        <f>J68+J82</f>
        <v>0</v>
      </c>
      <c r="K67" s="1606">
        <f>K68+K82</f>
        <v>0</v>
      </c>
      <c r="L67" s="1607"/>
      <c r="M67" s="1607"/>
      <c r="N67" s="1607"/>
      <c r="O67" s="1607"/>
      <c r="P67" s="1607"/>
      <c r="Q67" s="1607"/>
      <c r="R67" s="1607"/>
      <c r="S67" s="1607"/>
      <c r="T67" s="1608"/>
      <c r="U67" s="1609"/>
      <c r="V67" s="1609"/>
      <c r="W67" s="1610"/>
      <c r="X67" s="1610"/>
      <c r="Y67" s="1610"/>
      <c r="Z67" s="1611"/>
      <c r="AA67" s="1610"/>
      <c r="AB67" s="1610"/>
      <c r="AC67" s="1606">
        <f>AC68+AC82</f>
        <v>6261.9</v>
      </c>
      <c r="AD67" s="1612">
        <f t="shared" ref="AD67:BQ67" si="65">AD68+AD82</f>
        <v>0</v>
      </c>
      <c r="AE67" s="1612">
        <f t="shared" si="65"/>
        <v>0</v>
      </c>
      <c r="AF67" s="1612">
        <f t="shared" si="65"/>
        <v>0</v>
      </c>
      <c r="AG67" s="1612">
        <f t="shared" si="65"/>
        <v>0</v>
      </c>
      <c r="AH67" s="1490">
        <f t="shared" si="56"/>
        <v>0</v>
      </c>
      <c r="AI67" s="1613">
        <f t="shared" si="65"/>
        <v>0</v>
      </c>
      <c r="AJ67" s="1613">
        <f t="shared" si="65"/>
        <v>0</v>
      </c>
      <c r="AK67" s="1613">
        <f t="shared" si="65"/>
        <v>0</v>
      </c>
      <c r="AL67" s="1636">
        <f t="shared" si="64"/>
        <v>0</v>
      </c>
      <c r="AM67" s="1613">
        <f t="shared" si="65"/>
        <v>0</v>
      </c>
      <c r="AN67" s="1614"/>
      <c r="AO67" s="1606">
        <f t="shared" si="65"/>
        <v>464.7</v>
      </c>
      <c r="AP67" s="1606">
        <f t="shared" si="65"/>
        <v>0</v>
      </c>
      <c r="AQ67" s="1606">
        <f t="shared" si="65"/>
        <v>0</v>
      </c>
      <c r="AR67" s="1606">
        <f t="shared" si="65"/>
        <v>0</v>
      </c>
      <c r="AS67" s="1611">
        <f t="shared" si="65"/>
        <v>461.2</v>
      </c>
      <c r="AT67" s="1606">
        <f t="shared" si="65"/>
        <v>0</v>
      </c>
      <c r="AU67" s="1606">
        <f t="shared" si="65"/>
        <v>0</v>
      </c>
      <c r="AV67" s="1606">
        <f t="shared" si="65"/>
        <v>0</v>
      </c>
      <c r="AW67" s="1611">
        <f t="shared" si="65"/>
        <v>461.2</v>
      </c>
      <c r="AX67" s="1606">
        <f t="shared" si="65"/>
        <v>0</v>
      </c>
      <c r="AY67" s="1606">
        <f t="shared" si="65"/>
        <v>0</v>
      </c>
      <c r="AZ67" s="1606">
        <f t="shared" si="65"/>
        <v>0</v>
      </c>
      <c r="BA67" s="1614">
        <f t="shared" si="65"/>
        <v>461.2</v>
      </c>
      <c r="BB67" s="1606">
        <f t="shared" si="65"/>
        <v>0</v>
      </c>
      <c r="BC67" s="1606">
        <f t="shared" si="65"/>
        <v>0</v>
      </c>
      <c r="BD67" s="1606">
        <f t="shared" si="65"/>
        <v>0</v>
      </c>
      <c r="BE67" s="1615">
        <f t="shared" si="65"/>
        <v>463</v>
      </c>
      <c r="BF67" s="1606">
        <f t="shared" si="65"/>
        <v>0</v>
      </c>
      <c r="BG67" s="1606">
        <f t="shared" si="65"/>
        <v>0</v>
      </c>
      <c r="BH67" s="1606">
        <f t="shared" si="65"/>
        <v>0</v>
      </c>
      <c r="BI67" s="1614">
        <f t="shared" si="65"/>
        <v>909.90000000000009</v>
      </c>
      <c r="BJ67" s="1606">
        <f t="shared" si="65"/>
        <v>0</v>
      </c>
      <c r="BK67" s="1606">
        <f t="shared" si="65"/>
        <v>0</v>
      </c>
      <c r="BL67" s="1606">
        <f t="shared" si="65"/>
        <v>0</v>
      </c>
      <c r="BM67" s="1614">
        <f t="shared" si="65"/>
        <v>319.60000000000002</v>
      </c>
      <c r="BN67" s="1606">
        <f t="shared" si="65"/>
        <v>0</v>
      </c>
      <c r="BO67" s="1606">
        <f t="shared" si="65"/>
        <v>0</v>
      </c>
      <c r="BP67" s="1606">
        <f t="shared" si="65"/>
        <v>0</v>
      </c>
      <c r="BQ67" s="1614">
        <f t="shared" si="65"/>
        <v>461.2</v>
      </c>
      <c r="BR67" s="1606">
        <f>BR68+BR82</f>
        <v>0</v>
      </c>
      <c r="BS67" s="1606">
        <f>BS68+BS82</f>
        <v>0</v>
      </c>
      <c r="BT67" s="1606">
        <f>BT68+BT82</f>
        <v>0</v>
      </c>
      <c r="BU67" s="1614"/>
      <c r="BV67" s="1606">
        <f t="shared" ref="BV67:CB67" si="66">BV68+BV82</f>
        <v>0</v>
      </c>
      <c r="BW67" s="1606">
        <f t="shared" si="66"/>
        <v>0</v>
      </c>
      <c r="BX67" s="1606">
        <f t="shared" si="66"/>
        <v>0</v>
      </c>
      <c r="BY67" s="1614">
        <f t="shared" si="66"/>
        <v>820.30000000000007</v>
      </c>
      <c r="BZ67" s="1606">
        <f t="shared" si="66"/>
        <v>0</v>
      </c>
      <c r="CA67" s="1606">
        <f t="shared" si="66"/>
        <v>0</v>
      </c>
      <c r="CB67" s="1606">
        <f t="shared" si="66"/>
        <v>0</v>
      </c>
      <c r="CC67" s="1614"/>
      <c r="CD67" s="1606">
        <f>CD68+CD82</f>
        <v>0</v>
      </c>
      <c r="CE67" s="1606">
        <f>CE68+CE82</f>
        <v>0</v>
      </c>
      <c r="CF67" s="1606">
        <f>CF68+CF82</f>
        <v>0</v>
      </c>
      <c r="CG67" s="1616"/>
      <c r="CH67" s="1649">
        <v>446.7</v>
      </c>
      <c r="CI67" s="1649">
        <v>0</v>
      </c>
      <c r="CJ67" s="1643">
        <v>0</v>
      </c>
      <c r="CK67" s="1649">
        <v>0</v>
      </c>
    </row>
    <row r="68" spans="1:108" s="1514" customFormat="1" ht="43.5" customHeight="1" x14ac:dyDescent="0.15">
      <c r="A68" s="1469" t="s">
        <v>764</v>
      </c>
      <c r="B68" s="1470" t="s">
        <v>79</v>
      </c>
      <c r="C68" s="1470" t="s">
        <v>100</v>
      </c>
      <c r="D68" s="1470" t="s">
        <v>101</v>
      </c>
      <c r="E68" s="1470">
        <v>4239902</v>
      </c>
      <c r="F68" s="1650">
        <v>611</v>
      </c>
      <c r="G68" s="1651">
        <v>241</v>
      </c>
      <c r="H68" s="1620">
        <f>H69+H70+H71+H72+H74+H73+H75+H76+H77+H78+H79+H80+H81</f>
        <v>6261.9000000000005</v>
      </c>
      <c r="I68" s="1620">
        <f>I69+I70+I71+I72+I74+I73+I75+I76+I77+I78+I79+I80+I81</f>
        <v>0</v>
      </c>
      <c r="J68" s="1620">
        <f>J69+J70+J71+J72+J74+J73+J75+J76+J77+J78+J79+J80+J81</f>
        <v>0</v>
      </c>
      <c r="K68" s="1620">
        <f>K69+K70+K71+K72+K74+K73+K75+K76+K77+K78+K79+K80+K81</f>
        <v>0</v>
      </c>
      <c r="L68" s="1621"/>
      <c r="M68" s="1621"/>
      <c r="N68" s="1621"/>
      <c r="O68" s="1621"/>
      <c r="P68" s="1621"/>
      <c r="Q68" s="1621"/>
      <c r="R68" s="1621"/>
      <c r="S68" s="1621"/>
      <c r="T68" s="1622"/>
      <c r="U68" s="1623"/>
      <c r="V68" s="1623"/>
      <c r="W68" s="1624"/>
      <c r="X68" s="1624"/>
      <c r="Y68" s="1624"/>
      <c r="Z68" s="1625"/>
      <c r="AA68" s="1624"/>
      <c r="AB68" s="1624"/>
      <c r="AC68" s="1620">
        <f>AC69+AC70+AC71+AC72+AC74+AC73+AC75+AC76+AC77+AC78+AC79+AC80+AC81</f>
        <v>6261.9</v>
      </c>
      <c r="AD68" s="1626">
        <f t="shared" ref="AD68:BX68" si="67">AD69+AD70+AD71+AD72+AD74+AD73+AD75+AD76+AD77+AD78+AD79+AD80+AD81</f>
        <v>0</v>
      </c>
      <c r="AE68" s="1626">
        <f t="shared" si="67"/>
        <v>0</v>
      </c>
      <c r="AF68" s="1626">
        <f t="shared" si="67"/>
        <v>0</v>
      </c>
      <c r="AG68" s="1626">
        <f t="shared" si="67"/>
        <v>0</v>
      </c>
      <c r="AH68" s="1490">
        <f t="shared" si="56"/>
        <v>0</v>
      </c>
      <c r="AI68" s="1627">
        <f t="shared" si="67"/>
        <v>0</v>
      </c>
      <c r="AJ68" s="1627">
        <f t="shared" si="67"/>
        <v>0</v>
      </c>
      <c r="AK68" s="1627">
        <f t="shared" si="67"/>
        <v>0</v>
      </c>
      <c r="AL68" s="1636">
        <f t="shared" si="64"/>
        <v>0</v>
      </c>
      <c r="AM68" s="1627">
        <f t="shared" si="67"/>
        <v>0</v>
      </c>
      <c r="AN68" s="1615"/>
      <c r="AO68" s="1620">
        <f t="shared" si="67"/>
        <v>464.7</v>
      </c>
      <c r="AP68" s="1620">
        <f t="shared" si="67"/>
        <v>0</v>
      </c>
      <c r="AQ68" s="1620">
        <f t="shared" si="67"/>
        <v>0</v>
      </c>
      <c r="AR68" s="1620">
        <f t="shared" si="67"/>
        <v>0</v>
      </c>
      <c r="AS68" s="1625">
        <f t="shared" si="67"/>
        <v>461.2</v>
      </c>
      <c r="AT68" s="1620">
        <f t="shared" si="67"/>
        <v>0</v>
      </c>
      <c r="AU68" s="1620">
        <f t="shared" si="67"/>
        <v>0</v>
      </c>
      <c r="AV68" s="1620">
        <f t="shared" si="67"/>
        <v>0</v>
      </c>
      <c r="AW68" s="1625">
        <f t="shared" si="67"/>
        <v>461.2</v>
      </c>
      <c r="AX68" s="1620">
        <f t="shared" si="67"/>
        <v>0</v>
      </c>
      <c r="AY68" s="1620">
        <f t="shared" si="67"/>
        <v>0</v>
      </c>
      <c r="AZ68" s="1620">
        <f t="shared" si="67"/>
        <v>0</v>
      </c>
      <c r="BA68" s="1615">
        <f t="shared" si="67"/>
        <v>461.2</v>
      </c>
      <c r="BB68" s="1620">
        <f t="shared" si="67"/>
        <v>0</v>
      </c>
      <c r="BC68" s="1620">
        <f t="shared" si="67"/>
        <v>0</v>
      </c>
      <c r="BD68" s="1620">
        <f t="shared" si="67"/>
        <v>0</v>
      </c>
      <c r="BE68" s="1615">
        <f t="shared" si="67"/>
        <v>463</v>
      </c>
      <c r="BF68" s="1620">
        <f t="shared" si="67"/>
        <v>0</v>
      </c>
      <c r="BG68" s="1620">
        <f t="shared" si="67"/>
        <v>0</v>
      </c>
      <c r="BH68" s="1620">
        <f t="shared" si="67"/>
        <v>0</v>
      </c>
      <c r="BI68" s="1615">
        <f t="shared" si="67"/>
        <v>909.90000000000009</v>
      </c>
      <c r="BJ68" s="1620">
        <f t="shared" si="67"/>
        <v>0</v>
      </c>
      <c r="BK68" s="1620">
        <f t="shared" si="67"/>
        <v>0</v>
      </c>
      <c r="BL68" s="1620">
        <f t="shared" si="67"/>
        <v>0</v>
      </c>
      <c r="BM68" s="1615">
        <f t="shared" si="67"/>
        <v>319.60000000000002</v>
      </c>
      <c r="BN68" s="1620">
        <f t="shared" si="67"/>
        <v>0</v>
      </c>
      <c r="BO68" s="1620">
        <f t="shared" si="67"/>
        <v>0</v>
      </c>
      <c r="BP68" s="1620">
        <f t="shared" si="67"/>
        <v>0</v>
      </c>
      <c r="BQ68" s="1615">
        <f t="shared" si="67"/>
        <v>461.2</v>
      </c>
      <c r="BR68" s="1620">
        <f t="shared" si="67"/>
        <v>0</v>
      </c>
      <c r="BS68" s="1620">
        <f t="shared" si="67"/>
        <v>0</v>
      </c>
      <c r="BT68" s="1620">
        <f t="shared" si="67"/>
        <v>0</v>
      </c>
      <c r="BU68" s="1615">
        <f t="shared" si="67"/>
        <v>397.70000000000005</v>
      </c>
      <c r="BV68" s="1620">
        <f t="shared" si="67"/>
        <v>0</v>
      </c>
      <c r="BW68" s="1620">
        <f t="shared" si="67"/>
        <v>0</v>
      </c>
      <c r="BX68" s="1620">
        <f t="shared" si="67"/>
        <v>0</v>
      </c>
      <c r="BY68" s="1615">
        <f>BY69+BY70+BY71+BY72+BY74+BY73+BY75+BY76+BY77+BY78+BY79+BY80+BY81</f>
        <v>820.30000000000007</v>
      </c>
      <c r="BZ68" s="1620">
        <f>BZ69+BZ70+BZ71+BZ72+BZ74+BZ73+BZ75+BZ76+BZ77+BZ78+BZ79+BZ80+BZ81</f>
        <v>0</v>
      </c>
      <c r="CA68" s="1620">
        <f>CA69+CA70+CA71+CA72+CA74+CA73+CA75+CA76+CA77+CA78+CA79+CA80+CA81</f>
        <v>0</v>
      </c>
      <c r="CB68" s="1620">
        <f>CB69+CB70+CB71+CB72+CB74+CB73+CB75+CB76+CB77+CB78+CB79+CB80+CB81</f>
        <v>0</v>
      </c>
      <c r="CC68" s="1615"/>
      <c r="CD68" s="1620">
        <f>CD69+CD70+CD71+CD72+CD74+CD73+CD75+CD76+CD77+CD78+CD79+CD80+CD81</f>
        <v>0</v>
      </c>
      <c r="CE68" s="1620">
        <f>CE69+CE70+CE71+CE72+CE74+CE73+CE75+CE76+CE77+CE78+CE79+CE80+CE81</f>
        <v>0</v>
      </c>
      <c r="CF68" s="1620">
        <f>CF69+CF70+CF71+CF72+CF74+CF73+CF75+CF76+CF77+CF78+CF79+CF80+CF81</f>
        <v>0</v>
      </c>
      <c r="CG68" s="1628"/>
      <c r="CH68" s="1629">
        <v>446.7</v>
      </c>
      <c r="CI68" s="1629">
        <v>0</v>
      </c>
      <c r="CJ68" s="1643">
        <v>0</v>
      </c>
      <c r="CK68" s="1629">
        <v>0</v>
      </c>
      <c r="CL68" s="1513"/>
      <c r="CM68" s="1513"/>
      <c r="CN68" s="1513"/>
      <c r="CO68" s="1513"/>
      <c r="CP68" s="1513"/>
      <c r="CQ68" s="1513"/>
      <c r="CR68" s="1513"/>
      <c r="CS68" s="1513"/>
      <c r="CT68" s="1513"/>
      <c r="CU68" s="1513"/>
      <c r="CV68" s="1513"/>
      <c r="CW68" s="1513"/>
      <c r="CY68" s="1513"/>
    </row>
    <row r="69" spans="1:108" ht="14" x14ac:dyDescent="0.15">
      <c r="A69" s="1541" t="s">
        <v>78</v>
      </c>
      <c r="B69" s="1523" t="s">
        <v>79</v>
      </c>
      <c r="C69" s="1523" t="s">
        <v>100</v>
      </c>
      <c r="D69" s="1523" t="s">
        <v>101</v>
      </c>
      <c r="E69" s="1523">
        <v>4239902</v>
      </c>
      <c r="F69" s="1523"/>
      <c r="G69" s="1523">
        <v>211</v>
      </c>
      <c r="H69" s="1501">
        <f>4249.8+T69</f>
        <v>4793.7</v>
      </c>
      <c r="I69" s="1501"/>
      <c r="J69" s="1630"/>
      <c r="K69" s="1630"/>
      <c r="L69" s="1631"/>
      <c r="M69" s="1631"/>
      <c r="N69" s="1631"/>
      <c r="O69" s="1631"/>
      <c r="P69" s="1631"/>
      <c r="Q69" s="1631"/>
      <c r="R69" s="1631"/>
      <c r="S69" s="1631"/>
      <c r="T69" s="1632">
        <f>543.9</f>
        <v>543.9</v>
      </c>
      <c r="U69" s="1633"/>
      <c r="V69" s="1633"/>
      <c r="W69" s="1634">
        <f>H69/12</f>
        <v>399.47499999999997</v>
      </c>
      <c r="X69" s="1634">
        <f>AO69</f>
        <v>354.16</v>
      </c>
      <c r="Y69" s="1634">
        <f>CC69</f>
        <v>347.2</v>
      </c>
      <c r="Z69" s="1635">
        <v>347.2</v>
      </c>
      <c r="AA69" s="1511">
        <f>AW69</f>
        <v>354.2</v>
      </c>
      <c r="AB69" s="1511">
        <f>Z69-AA69</f>
        <v>-7</v>
      </c>
      <c r="AC69" s="1508">
        <f t="shared" ref="AC69:AC81" si="68">AO69+AS69+AW69+BA69+BE69+BI69+BM69+BQ69+BU69+BY69+CC69+CH69</f>
        <v>4793.6999999999989</v>
      </c>
      <c r="AD69" s="1509">
        <f t="shared" ref="AD69:AD81" si="69">AE69+AF69+AG69</f>
        <v>0</v>
      </c>
      <c r="AE69" s="1509">
        <f t="shared" ref="AE69:AG81" si="70">AP69+AT69+AX69+BB69+BF69+BJ69+BN69+BR69+BV69+BZ69+CD69+CI69</f>
        <v>0</v>
      </c>
      <c r="AF69" s="1509">
        <f t="shared" si="70"/>
        <v>0</v>
      </c>
      <c r="AG69" s="1509">
        <f t="shared" si="70"/>
        <v>0</v>
      </c>
      <c r="AH69" s="1490">
        <f t="shared" si="56"/>
        <v>0</v>
      </c>
      <c r="AI69" s="1636">
        <f t="shared" ref="AI69:AI81" si="71">H69-AC69</f>
        <v>0</v>
      </c>
      <c r="AJ69" s="1636">
        <f t="shared" ref="AJ69:AJ81" si="72">AK69+AL69+AM69</f>
        <v>0</v>
      </c>
      <c r="AK69" s="1636">
        <f t="shared" ref="AK69:AM84" si="73">I69-AE69</f>
        <v>0</v>
      </c>
      <c r="AL69" s="1636">
        <f t="shared" si="73"/>
        <v>0</v>
      </c>
      <c r="AM69" s="1636">
        <f t="shared" si="73"/>
        <v>0</v>
      </c>
      <c r="AN69" s="1637">
        <v>174.9</v>
      </c>
      <c r="AO69" s="1630">
        <v>354.16</v>
      </c>
      <c r="AP69" s="1638"/>
      <c r="AQ69" s="1638"/>
      <c r="AR69" s="1638"/>
      <c r="AS69" s="1639">
        <v>354.2</v>
      </c>
      <c r="AT69" s="1638"/>
      <c r="AU69" s="1638"/>
      <c r="AV69" s="1638"/>
      <c r="AW69" s="1640">
        <v>354.2</v>
      </c>
      <c r="AX69" s="1640"/>
      <c r="AY69" s="1640"/>
      <c r="AZ69" s="1640"/>
      <c r="BA69" s="1641">
        <v>354.2</v>
      </c>
      <c r="BB69" s="1640"/>
      <c r="BC69" s="1640"/>
      <c r="BD69" s="1640"/>
      <c r="BE69" s="1641">
        <v>354.2</v>
      </c>
      <c r="BF69" s="1640"/>
      <c r="BG69" s="1640"/>
      <c r="BH69" s="1640"/>
      <c r="BI69" s="1641">
        <f>141.7+590</f>
        <v>731.7</v>
      </c>
      <c r="BJ69" s="1640"/>
      <c r="BK69" s="1640"/>
      <c r="BL69" s="1640"/>
      <c r="BM69" s="1641">
        <v>212.6</v>
      </c>
      <c r="BN69" s="1640"/>
      <c r="BO69" s="1640"/>
      <c r="BP69" s="1640"/>
      <c r="BQ69" s="1641">
        <v>354.2</v>
      </c>
      <c r="BR69" s="1640"/>
      <c r="BS69" s="1640"/>
      <c r="BT69" s="1640"/>
      <c r="BU69" s="1641">
        <v>295.10000000000002</v>
      </c>
      <c r="BV69" s="1640"/>
      <c r="BW69" s="1640"/>
      <c r="BX69" s="1640"/>
      <c r="BY69" s="1641">
        <f>461.2+276</f>
        <v>737.2</v>
      </c>
      <c r="BZ69" s="1640"/>
      <c r="CA69" s="1640"/>
      <c r="CB69" s="1640"/>
      <c r="CC69" s="1641">
        <f>347.2+0</f>
        <v>347.2</v>
      </c>
      <c r="CD69" s="1640"/>
      <c r="CE69" s="1640"/>
      <c r="CF69" s="1640"/>
      <c r="CG69" s="1642"/>
      <c r="CH69" s="1643">
        <v>344.74</v>
      </c>
      <c r="CI69" s="1643">
        <v>0</v>
      </c>
      <c r="CJ69" s="1643">
        <v>0</v>
      </c>
      <c r="CK69" s="1643">
        <v>0</v>
      </c>
      <c r="CX69" s="1558">
        <f>H69/12*10-AC69</f>
        <v>-798.94999999999936</v>
      </c>
      <c r="CY69" s="1558">
        <f>AI69/3</f>
        <v>0</v>
      </c>
      <c r="CZ69" s="1558">
        <f>H69/12</f>
        <v>399.47499999999997</v>
      </c>
      <c r="DA69" s="1559">
        <f>(H69-T69)/12*10-AC69</f>
        <v>-1252.1999999999985</v>
      </c>
      <c r="DB69" s="1559"/>
      <c r="DC69" s="1559"/>
      <c r="DD69">
        <f>(H69-T69)/12</f>
        <v>354.15000000000003</v>
      </c>
    </row>
    <row r="70" spans="1:108" ht="14" x14ac:dyDescent="0.15">
      <c r="A70" s="1541" t="s">
        <v>103</v>
      </c>
      <c r="B70" s="1523" t="s">
        <v>79</v>
      </c>
      <c r="C70" s="1523" t="s">
        <v>100</v>
      </c>
      <c r="D70" s="1523" t="s">
        <v>101</v>
      </c>
      <c r="E70" s="1523">
        <v>4239902</v>
      </c>
      <c r="F70" s="1523"/>
      <c r="G70" s="1523">
        <v>212</v>
      </c>
      <c r="H70" s="1501">
        <f>18-4.5</f>
        <v>13.5</v>
      </c>
      <c r="I70" s="1645"/>
      <c r="J70" s="1630"/>
      <c r="K70" s="1630"/>
      <c r="L70" s="1631"/>
      <c r="M70" s="1631"/>
      <c r="N70" s="1631"/>
      <c r="O70" s="1631"/>
      <c r="P70" s="1631"/>
      <c r="Q70" s="1631"/>
      <c r="R70" s="1631"/>
      <c r="S70" s="1631"/>
      <c r="T70" s="1632"/>
      <c r="U70" s="1633"/>
      <c r="V70" s="1633"/>
      <c r="W70" s="1634"/>
      <c r="X70" s="1634"/>
      <c r="Y70" s="1634"/>
      <c r="Z70" s="1635"/>
      <c r="AA70" s="1634"/>
      <c r="AB70" s="1511">
        <f>Z70-AA70</f>
        <v>0</v>
      </c>
      <c r="AC70" s="1508">
        <f t="shared" si="68"/>
        <v>13.5</v>
      </c>
      <c r="AD70" s="1509">
        <f t="shared" si="69"/>
        <v>0</v>
      </c>
      <c r="AE70" s="1509">
        <f t="shared" si="70"/>
        <v>0</v>
      </c>
      <c r="AF70" s="1509">
        <f t="shared" si="70"/>
        <v>0</v>
      </c>
      <c r="AG70" s="1509">
        <f t="shared" si="70"/>
        <v>0</v>
      </c>
      <c r="AH70" s="1490">
        <f t="shared" si="56"/>
        <v>0</v>
      </c>
      <c r="AI70" s="1636">
        <f t="shared" si="71"/>
        <v>0</v>
      </c>
      <c r="AJ70" s="1636">
        <f t="shared" si="72"/>
        <v>0</v>
      </c>
      <c r="AK70" s="1636">
        <f t="shared" si="73"/>
        <v>0</v>
      </c>
      <c r="AL70" s="1636">
        <f t="shared" si="73"/>
        <v>0</v>
      </c>
      <c r="AM70" s="1636">
        <f t="shared" si="73"/>
        <v>0</v>
      </c>
      <c r="AN70" s="1637"/>
      <c r="AO70" s="1630">
        <f>1.5*2</f>
        <v>3</v>
      </c>
      <c r="AP70" s="1638"/>
      <c r="AQ70" s="1638"/>
      <c r="AR70" s="1638"/>
      <c r="AS70" s="1639"/>
      <c r="AT70" s="1638"/>
      <c r="AU70" s="1638"/>
      <c r="AV70" s="1638"/>
      <c r="AW70" s="1640"/>
      <c r="AX70" s="1640"/>
      <c r="AY70" s="1640"/>
      <c r="AZ70" s="1640"/>
      <c r="BA70" s="1641"/>
      <c r="BB70" s="1640"/>
      <c r="BC70" s="1640"/>
      <c r="BD70" s="1640"/>
      <c r="BE70" s="1641"/>
      <c r="BF70" s="1640"/>
      <c r="BG70" s="1640"/>
      <c r="BH70" s="1640"/>
      <c r="BI70" s="1641"/>
      <c r="BJ70" s="1640"/>
      <c r="BK70" s="1640"/>
      <c r="BL70" s="1640"/>
      <c r="BM70" s="1641"/>
      <c r="BN70" s="1640"/>
      <c r="BO70" s="1640"/>
      <c r="BP70" s="1640"/>
      <c r="BQ70" s="1641"/>
      <c r="BR70" s="1640"/>
      <c r="BS70" s="1640"/>
      <c r="BT70" s="1640"/>
      <c r="BU70" s="1641">
        <v>10.5</v>
      </c>
      <c r="BV70" s="1640"/>
      <c r="BW70" s="1640"/>
      <c r="BX70" s="1640"/>
      <c r="BY70" s="1641"/>
      <c r="BZ70" s="1640"/>
      <c r="CA70" s="1640"/>
      <c r="CB70" s="1640"/>
      <c r="CC70" s="1641"/>
      <c r="CD70" s="1640"/>
      <c r="CE70" s="1640"/>
      <c r="CF70" s="1640"/>
      <c r="CG70" s="1642"/>
      <c r="CH70" s="1643">
        <v>0</v>
      </c>
      <c r="CI70" s="1643">
        <v>0</v>
      </c>
      <c r="CJ70" s="1643">
        <v>0</v>
      </c>
      <c r="CK70" s="1643">
        <v>0</v>
      </c>
      <c r="CX70" s="1558"/>
      <c r="CY70" s="1558"/>
      <c r="CZ70" s="1558"/>
      <c r="DA70" s="1559"/>
      <c r="DB70" s="1559"/>
      <c r="DC70" s="1559"/>
    </row>
    <row r="71" spans="1:108" ht="14" x14ac:dyDescent="0.15">
      <c r="A71" s="1541" t="s">
        <v>84</v>
      </c>
      <c r="B71" s="1523" t="s">
        <v>79</v>
      </c>
      <c r="C71" s="1523" t="s">
        <v>100</v>
      </c>
      <c r="D71" s="1523" t="s">
        <v>101</v>
      </c>
      <c r="E71" s="1523">
        <v>4239902</v>
      </c>
      <c r="F71" s="1523"/>
      <c r="G71" s="1523">
        <v>213</v>
      </c>
      <c r="H71" s="1501">
        <f>1283.4+T71</f>
        <v>1447.6000000000001</v>
      </c>
      <c r="I71" s="1645"/>
      <c r="J71" s="1630"/>
      <c r="K71" s="1630"/>
      <c r="L71" s="1631"/>
      <c r="M71" s="1631"/>
      <c r="N71" s="1631"/>
      <c r="O71" s="1631"/>
      <c r="P71" s="1631"/>
      <c r="Q71" s="1631"/>
      <c r="R71" s="1631"/>
      <c r="S71" s="1631"/>
      <c r="T71" s="1632">
        <f>164.2</f>
        <v>164.2</v>
      </c>
      <c r="U71" s="1633"/>
      <c r="V71" s="1633"/>
      <c r="W71" s="1634">
        <f>H71/12</f>
        <v>120.63333333333334</v>
      </c>
      <c r="X71" s="1634">
        <f>AO71</f>
        <v>106.95</v>
      </c>
      <c r="Y71" s="1634">
        <f>CC71</f>
        <v>248</v>
      </c>
      <c r="Z71" s="1635">
        <v>248</v>
      </c>
      <c r="AA71" s="1511">
        <f>AW71</f>
        <v>107</v>
      </c>
      <c r="AB71" s="1511">
        <f>Z71-AA71</f>
        <v>141</v>
      </c>
      <c r="AC71" s="1508">
        <f t="shared" si="68"/>
        <v>1447.6000000000001</v>
      </c>
      <c r="AD71" s="1509">
        <f t="shared" si="69"/>
        <v>0</v>
      </c>
      <c r="AE71" s="1509">
        <f t="shared" si="70"/>
        <v>0</v>
      </c>
      <c r="AF71" s="1509">
        <f t="shared" si="70"/>
        <v>0</v>
      </c>
      <c r="AG71" s="1509">
        <f t="shared" si="70"/>
        <v>0</v>
      </c>
      <c r="AH71" s="1490">
        <f t="shared" si="56"/>
        <v>0</v>
      </c>
      <c r="AI71" s="1636">
        <f t="shared" si="71"/>
        <v>0</v>
      </c>
      <c r="AJ71" s="1636">
        <f t="shared" si="72"/>
        <v>0</v>
      </c>
      <c r="AK71" s="1636">
        <f t="shared" si="73"/>
        <v>0</v>
      </c>
      <c r="AL71" s="1636">
        <f t="shared" si="73"/>
        <v>0</v>
      </c>
      <c r="AM71" s="1636">
        <f t="shared" si="73"/>
        <v>0</v>
      </c>
      <c r="AN71" s="1637">
        <v>190.1</v>
      </c>
      <c r="AO71" s="1630">
        <v>106.95</v>
      </c>
      <c r="AP71" s="1638"/>
      <c r="AQ71" s="1638"/>
      <c r="AR71" s="1638"/>
      <c r="AS71" s="1639">
        <v>107</v>
      </c>
      <c r="AT71" s="1638"/>
      <c r="AU71" s="1638"/>
      <c r="AV71" s="1638"/>
      <c r="AW71" s="1640">
        <v>107</v>
      </c>
      <c r="AX71" s="1640"/>
      <c r="AY71" s="1640"/>
      <c r="AZ71" s="1640"/>
      <c r="BA71" s="1641">
        <v>107</v>
      </c>
      <c r="BB71" s="1640"/>
      <c r="BC71" s="1640"/>
      <c r="BD71" s="1640"/>
      <c r="BE71" s="1641">
        <v>107</v>
      </c>
      <c r="BF71" s="1640"/>
      <c r="BG71" s="1640"/>
      <c r="BH71" s="1640"/>
      <c r="BI71" s="1641">
        <v>178.2</v>
      </c>
      <c r="BJ71" s="1640"/>
      <c r="BK71" s="1640"/>
      <c r="BL71" s="1640"/>
      <c r="BM71" s="1641">
        <v>107</v>
      </c>
      <c r="BN71" s="1640"/>
      <c r="BO71" s="1640"/>
      <c r="BP71" s="1640"/>
      <c r="BQ71" s="1641">
        <v>107</v>
      </c>
      <c r="BR71" s="1640"/>
      <c r="BS71" s="1640"/>
      <c r="BT71" s="1640"/>
      <c r="BU71" s="1641">
        <v>89.1</v>
      </c>
      <c r="BV71" s="1640"/>
      <c r="BW71" s="1640"/>
      <c r="BX71" s="1640"/>
      <c r="BY71" s="1641">
        <v>83.1</v>
      </c>
      <c r="BZ71" s="1640"/>
      <c r="CA71" s="1640"/>
      <c r="CB71" s="1640"/>
      <c r="CC71" s="1641">
        <f>248+0</f>
        <v>248</v>
      </c>
      <c r="CD71" s="1640"/>
      <c r="CE71" s="1640"/>
      <c r="CF71" s="1640"/>
      <c r="CG71" s="1642"/>
      <c r="CH71" s="1643">
        <v>100.25</v>
      </c>
      <c r="CI71" s="1643">
        <v>0</v>
      </c>
      <c r="CJ71" s="1643">
        <v>0</v>
      </c>
      <c r="CK71" s="1643">
        <v>0</v>
      </c>
      <c r="CX71" s="1558">
        <f>H71/12*10-AC71</f>
        <v>-241.26666666666665</v>
      </c>
      <c r="CY71" s="1558">
        <f>AI71/3</f>
        <v>0</v>
      </c>
      <c r="CZ71" s="1558">
        <f>H71/12</f>
        <v>120.63333333333334</v>
      </c>
      <c r="DA71" s="1559">
        <f>(H71-T71)/12*10-AC71</f>
        <v>-378.10000000000014</v>
      </c>
      <c r="DB71" s="1559"/>
      <c r="DC71" s="1559"/>
      <c r="DD71">
        <f>(H71-T71)/12</f>
        <v>106.95</v>
      </c>
    </row>
    <row r="72" spans="1:108" ht="14" x14ac:dyDescent="0.15">
      <c r="A72" s="1541" t="s">
        <v>85</v>
      </c>
      <c r="B72" s="1523" t="s">
        <v>79</v>
      </c>
      <c r="C72" s="1523" t="s">
        <v>100</v>
      </c>
      <c r="D72" s="1523" t="s">
        <v>101</v>
      </c>
      <c r="E72" s="1523">
        <v>4239902</v>
      </c>
      <c r="F72" s="1523"/>
      <c r="G72" s="1523">
        <v>221</v>
      </c>
      <c r="H72" s="1501">
        <v>0</v>
      </c>
      <c r="I72" s="1645"/>
      <c r="J72" s="1630"/>
      <c r="K72" s="1630"/>
      <c r="L72" s="1631"/>
      <c r="M72" s="1631"/>
      <c r="N72" s="1631"/>
      <c r="O72" s="1631"/>
      <c r="P72" s="1631"/>
      <c r="Q72" s="1631"/>
      <c r="R72" s="1631"/>
      <c r="S72" s="1631"/>
      <c r="T72" s="1632"/>
      <c r="U72" s="1633"/>
      <c r="V72" s="1633"/>
      <c r="W72" s="1634"/>
      <c r="X72" s="1634"/>
      <c r="Y72" s="1634"/>
      <c r="Z72" s="1635"/>
      <c r="AA72" s="1634"/>
      <c r="AB72" s="1634"/>
      <c r="AC72" s="1508">
        <f t="shared" si="68"/>
        <v>0</v>
      </c>
      <c r="AD72" s="1509">
        <f t="shared" si="69"/>
        <v>0</v>
      </c>
      <c r="AE72" s="1509">
        <f t="shared" si="70"/>
        <v>0</v>
      </c>
      <c r="AF72" s="1509">
        <f t="shared" si="70"/>
        <v>0</v>
      </c>
      <c r="AG72" s="1509">
        <f t="shared" si="70"/>
        <v>0</v>
      </c>
      <c r="AH72" s="1490">
        <f t="shared" si="56"/>
        <v>0</v>
      </c>
      <c r="AI72" s="1636">
        <f t="shared" si="71"/>
        <v>0</v>
      </c>
      <c r="AJ72" s="1636">
        <f t="shared" si="72"/>
        <v>0</v>
      </c>
      <c r="AK72" s="1636">
        <f t="shared" si="73"/>
        <v>0</v>
      </c>
      <c r="AL72" s="1636">
        <f t="shared" si="73"/>
        <v>0</v>
      </c>
      <c r="AM72" s="1636">
        <f t="shared" si="73"/>
        <v>0</v>
      </c>
      <c r="AN72" s="1637"/>
      <c r="AO72" s="1630"/>
      <c r="AP72" s="1638"/>
      <c r="AQ72" s="1638"/>
      <c r="AR72" s="1638"/>
      <c r="AS72" s="1639"/>
      <c r="AT72" s="1638"/>
      <c r="AU72" s="1638"/>
      <c r="AV72" s="1638"/>
      <c r="AW72" s="1639"/>
      <c r="AX72" s="1640"/>
      <c r="AY72" s="1640"/>
      <c r="AZ72" s="1640"/>
      <c r="BA72" s="1641"/>
      <c r="BB72" s="1640"/>
      <c r="BC72" s="1640"/>
      <c r="BD72" s="1640"/>
      <c r="BE72" s="1644"/>
      <c r="BF72" s="1640"/>
      <c r="BG72" s="1640"/>
      <c r="BH72" s="1640"/>
      <c r="BI72" s="1641"/>
      <c r="BJ72" s="1640"/>
      <c r="BK72" s="1640"/>
      <c r="BL72" s="1640"/>
      <c r="BM72" s="1641"/>
      <c r="BN72" s="1640"/>
      <c r="BO72" s="1640"/>
      <c r="BP72" s="1640"/>
      <c r="BQ72" s="1641"/>
      <c r="BR72" s="1640"/>
      <c r="BS72" s="1640"/>
      <c r="BT72" s="1640"/>
      <c r="BU72" s="1641"/>
      <c r="BV72" s="1640"/>
      <c r="BW72" s="1640"/>
      <c r="BX72" s="1640"/>
      <c r="BY72" s="1641"/>
      <c r="BZ72" s="1640"/>
      <c r="CA72" s="1640"/>
      <c r="CB72" s="1640"/>
      <c r="CC72" s="1641"/>
      <c r="CD72" s="1640"/>
      <c r="CE72" s="1640"/>
      <c r="CF72" s="1640"/>
      <c r="CG72" s="1642"/>
      <c r="CH72" s="1643">
        <v>0</v>
      </c>
      <c r="CI72" s="1643">
        <v>0</v>
      </c>
      <c r="CJ72" s="1643">
        <v>0</v>
      </c>
      <c r="CK72" s="1643">
        <v>0</v>
      </c>
    </row>
    <row r="73" spans="1:108" ht="14" x14ac:dyDescent="0.15">
      <c r="A73" s="1541" t="s">
        <v>86</v>
      </c>
      <c r="B73" s="1523" t="s">
        <v>79</v>
      </c>
      <c r="C73" s="1523" t="s">
        <v>100</v>
      </c>
      <c r="D73" s="1523" t="s">
        <v>101</v>
      </c>
      <c r="E73" s="1523">
        <v>4239902</v>
      </c>
      <c r="F73" s="1523"/>
      <c r="G73" s="1523">
        <v>222</v>
      </c>
      <c r="H73" s="1501">
        <v>0</v>
      </c>
      <c r="I73" s="1645"/>
      <c r="J73" s="1630"/>
      <c r="K73" s="1630"/>
      <c r="L73" s="1631"/>
      <c r="M73" s="1631"/>
      <c r="N73" s="1631"/>
      <c r="O73" s="1631"/>
      <c r="P73" s="1631"/>
      <c r="Q73" s="1631"/>
      <c r="R73" s="1631"/>
      <c r="S73" s="1631"/>
      <c r="T73" s="1632"/>
      <c r="U73" s="1633"/>
      <c r="V73" s="1633"/>
      <c r="W73" s="1634"/>
      <c r="X73" s="1634"/>
      <c r="Y73" s="1634"/>
      <c r="Z73" s="1635"/>
      <c r="AA73" s="1634"/>
      <c r="AB73" s="1634"/>
      <c r="AC73" s="1508">
        <f t="shared" si="68"/>
        <v>0</v>
      </c>
      <c r="AD73" s="1509">
        <f t="shared" si="69"/>
        <v>0</v>
      </c>
      <c r="AE73" s="1509">
        <f t="shared" si="70"/>
        <v>0</v>
      </c>
      <c r="AF73" s="1509">
        <f t="shared" si="70"/>
        <v>0</v>
      </c>
      <c r="AG73" s="1509">
        <f t="shared" si="70"/>
        <v>0</v>
      </c>
      <c r="AH73" s="1490">
        <f t="shared" si="56"/>
        <v>0</v>
      </c>
      <c r="AI73" s="1636">
        <f t="shared" si="71"/>
        <v>0</v>
      </c>
      <c r="AJ73" s="1636">
        <f t="shared" si="72"/>
        <v>0</v>
      </c>
      <c r="AK73" s="1636">
        <f t="shared" si="73"/>
        <v>0</v>
      </c>
      <c r="AL73" s="1636">
        <f t="shared" si="73"/>
        <v>0</v>
      </c>
      <c r="AM73" s="1636">
        <f t="shared" si="73"/>
        <v>0</v>
      </c>
      <c r="AN73" s="1637"/>
      <c r="AO73" s="1630"/>
      <c r="AP73" s="1638"/>
      <c r="AQ73" s="1638"/>
      <c r="AR73" s="1638"/>
      <c r="AS73" s="1639"/>
      <c r="AT73" s="1638"/>
      <c r="AU73" s="1638"/>
      <c r="AV73" s="1638"/>
      <c r="AW73" s="1639"/>
      <c r="AX73" s="1640"/>
      <c r="AY73" s="1640"/>
      <c r="AZ73" s="1640"/>
      <c r="BA73" s="1641"/>
      <c r="BB73" s="1640"/>
      <c r="BC73" s="1640"/>
      <c r="BD73" s="1640"/>
      <c r="BE73" s="1644"/>
      <c r="BF73" s="1640"/>
      <c r="BG73" s="1640"/>
      <c r="BH73" s="1640"/>
      <c r="BI73" s="1641"/>
      <c r="BJ73" s="1640"/>
      <c r="BK73" s="1640"/>
      <c r="BL73" s="1640"/>
      <c r="BM73" s="1641"/>
      <c r="BN73" s="1640"/>
      <c r="BO73" s="1640"/>
      <c r="BP73" s="1640"/>
      <c r="BQ73" s="1641"/>
      <c r="BR73" s="1640"/>
      <c r="BS73" s="1640"/>
      <c r="BT73" s="1640"/>
      <c r="BU73" s="1641"/>
      <c r="BV73" s="1640"/>
      <c r="BW73" s="1640"/>
      <c r="BX73" s="1640"/>
      <c r="BY73" s="1641"/>
      <c r="BZ73" s="1640"/>
      <c r="CA73" s="1640"/>
      <c r="CB73" s="1640"/>
      <c r="CC73" s="1641"/>
      <c r="CD73" s="1640"/>
      <c r="CE73" s="1640"/>
      <c r="CF73" s="1640"/>
      <c r="CG73" s="1642"/>
      <c r="CH73" s="1643">
        <v>0</v>
      </c>
      <c r="CI73" s="1643">
        <v>0</v>
      </c>
      <c r="CJ73" s="1643">
        <v>0</v>
      </c>
      <c r="CK73" s="1643">
        <v>0</v>
      </c>
    </row>
    <row r="74" spans="1:108" ht="14" x14ac:dyDescent="0.15">
      <c r="A74" s="1541" t="s">
        <v>87</v>
      </c>
      <c r="B74" s="1523" t="s">
        <v>79</v>
      </c>
      <c r="C74" s="1523" t="s">
        <v>100</v>
      </c>
      <c r="D74" s="1523" t="s">
        <v>101</v>
      </c>
      <c r="E74" s="1523">
        <v>4239902</v>
      </c>
      <c r="F74" s="1523"/>
      <c r="G74" s="1523">
        <v>223</v>
      </c>
      <c r="H74" s="1501">
        <v>0</v>
      </c>
      <c r="I74" s="1645"/>
      <c r="J74" s="1630"/>
      <c r="K74" s="1630"/>
      <c r="L74" s="1631"/>
      <c r="M74" s="1631"/>
      <c r="N74" s="1631"/>
      <c r="O74" s="1631"/>
      <c r="P74" s="1631"/>
      <c r="Q74" s="1631"/>
      <c r="R74" s="1631"/>
      <c r="S74" s="1631"/>
      <c r="T74" s="1632"/>
      <c r="U74" s="1633"/>
      <c r="V74" s="1633"/>
      <c r="W74" s="1634"/>
      <c r="X74" s="1634"/>
      <c r="Y74" s="1634"/>
      <c r="Z74" s="1635"/>
      <c r="AA74" s="1634"/>
      <c r="AB74" s="1634"/>
      <c r="AC74" s="1508">
        <f t="shared" si="68"/>
        <v>0</v>
      </c>
      <c r="AD74" s="1509">
        <f t="shared" si="69"/>
        <v>0</v>
      </c>
      <c r="AE74" s="1509">
        <f t="shared" si="70"/>
        <v>0</v>
      </c>
      <c r="AF74" s="1509">
        <f t="shared" si="70"/>
        <v>0</v>
      </c>
      <c r="AG74" s="1509">
        <f t="shared" si="70"/>
        <v>0</v>
      </c>
      <c r="AH74" s="1490">
        <f t="shared" si="56"/>
        <v>0</v>
      </c>
      <c r="AI74" s="1636">
        <f t="shared" si="71"/>
        <v>0</v>
      </c>
      <c r="AJ74" s="1636">
        <f t="shared" si="72"/>
        <v>0</v>
      </c>
      <c r="AK74" s="1636">
        <f t="shared" si="73"/>
        <v>0</v>
      </c>
      <c r="AL74" s="1636">
        <f t="shared" si="73"/>
        <v>0</v>
      </c>
      <c r="AM74" s="1636">
        <f t="shared" si="73"/>
        <v>0</v>
      </c>
      <c r="AN74" s="1637"/>
      <c r="AO74" s="1630"/>
      <c r="AP74" s="1638"/>
      <c r="AQ74" s="1638"/>
      <c r="AR74" s="1638"/>
      <c r="AS74" s="1639"/>
      <c r="AT74" s="1638"/>
      <c r="AU74" s="1638"/>
      <c r="AV74" s="1638"/>
      <c r="AW74" s="1639"/>
      <c r="AX74" s="1640"/>
      <c r="AY74" s="1640"/>
      <c r="AZ74" s="1640"/>
      <c r="BA74" s="1641"/>
      <c r="BB74" s="1640"/>
      <c r="BC74" s="1640"/>
      <c r="BD74" s="1640"/>
      <c r="BE74" s="1644"/>
      <c r="BF74" s="1640"/>
      <c r="BG74" s="1640"/>
      <c r="BH74" s="1640"/>
      <c r="BI74" s="1641"/>
      <c r="BJ74" s="1640"/>
      <c r="BK74" s="1640"/>
      <c r="BL74" s="1640"/>
      <c r="BM74" s="1641"/>
      <c r="BN74" s="1640"/>
      <c r="BO74" s="1640"/>
      <c r="BP74" s="1640"/>
      <c r="BQ74" s="1641"/>
      <c r="BR74" s="1640"/>
      <c r="BS74" s="1640"/>
      <c r="BT74" s="1640"/>
      <c r="BU74" s="1641"/>
      <c r="BV74" s="1640"/>
      <c r="BW74" s="1640"/>
      <c r="BX74" s="1640"/>
      <c r="BY74" s="1641"/>
      <c r="BZ74" s="1640"/>
      <c r="CA74" s="1640"/>
      <c r="CB74" s="1640"/>
      <c r="CC74" s="1641"/>
      <c r="CD74" s="1640"/>
      <c r="CE74" s="1640"/>
      <c r="CF74" s="1640"/>
      <c r="CG74" s="1642"/>
      <c r="CH74" s="1643">
        <v>0</v>
      </c>
      <c r="CI74" s="1643">
        <v>0</v>
      </c>
      <c r="CJ74" s="1643">
        <v>0</v>
      </c>
      <c r="CK74" s="1643">
        <v>0</v>
      </c>
      <c r="CO74" s="1599">
        <f>163.4/192.12</f>
        <v>0.85051009785550702</v>
      </c>
      <c r="CP74" s="489">
        <f>CO74*AI74</f>
        <v>0</v>
      </c>
    </row>
    <row r="75" spans="1:108" ht="14" x14ac:dyDescent="0.15">
      <c r="A75" s="1541" t="s">
        <v>89</v>
      </c>
      <c r="B75" s="1523" t="s">
        <v>79</v>
      </c>
      <c r="C75" s="1523" t="s">
        <v>100</v>
      </c>
      <c r="D75" s="1523" t="s">
        <v>101</v>
      </c>
      <c r="E75" s="1523">
        <v>4239902</v>
      </c>
      <c r="F75" s="1523"/>
      <c r="G75" s="1523">
        <v>224</v>
      </c>
      <c r="H75" s="1501">
        <v>0</v>
      </c>
      <c r="I75" s="1645"/>
      <c r="J75" s="1630"/>
      <c r="K75" s="1630"/>
      <c r="L75" s="1631"/>
      <c r="M75" s="1631"/>
      <c r="N75" s="1631"/>
      <c r="O75" s="1631"/>
      <c r="P75" s="1631"/>
      <c r="Q75" s="1631"/>
      <c r="R75" s="1631"/>
      <c r="S75" s="1631"/>
      <c r="T75" s="1632"/>
      <c r="U75" s="1633"/>
      <c r="V75" s="1633"/>
      <c r="W75" s="1634"/>
      <c r="X75" s="1634"/>
      <c r="Y75" s="1634"/>
      <c r="Z75" s="1635"/>
      <c r="AA75" s="1634"/>
      <c r="AB75" s="1634"/>
      <c r="AC75" s="1508">
        <f t="shared" si="68"/>
        <v>0</v>
      </c>
      <c r="AD75" s="1509">
        <f t="shared" si="69"/>
        <v>0</v>
      </c>
      <c r="AE75" s="1509">
        <f t="shared" si="70"/>
        <v>0</v>
      </c>
      <c r="AF75" s="1509">
        <f t="shared" si="70"/>
        <v>0</v>
      </c>
      <c r="AG75" s="1509">
        <f t="shared" si="70"/>
        <v>0</v>
      </c>
      <c r="AH75" s="1490">
        <f t="shared" si="56"/>
        <v>0</v>
      </c>
      <c r="AI75" s="1636">
        <f t="shared" si="71"/>
        <v>0</v>
      </c>
      <c r="AJ75" s="1636">
        <f t="shared" si="72"/>
        <v>0</v>
      </c>
      <c r="AK75" s="1636">
        <f t="shared" si="73"/>
        <v>0</v>
      </c>
      <c r="AL75" s="1636">
        <f t="shared" si="73"/>
        <v>0</v>
      </c>
      <c r="AM75" s="1636">
        <f t="shared" si="73"/>
        <v>0</v>
      </c>
      <c r="AN75" s="1637"/>
      <c r="AO75" s="1630"/>
      <c r="AP75" s="1638"/>
      <c r="AQ75" s="1638"/>
      <c r="AR75" s="1638"/>
      <c r="AS75" s="1639"/>
      <c r="AT75" s="1638"/>
      <c r="AU75" s="1638"/>
      <c r="AV75" s="1638"/>
      <c r="AW75" s="1639"/>
      <c r="AX75" s="1640"/>
      <c r="AY75" s="1640"/>
      <c r="AZ75" s="1640"/>
      <c r="BA75" s="1641"/>
      <c r="BB75" s="1640"/>
      <c r="BC75" s="1640"/>
      <c r="BD75" s="1640"/>
      <c r="BE75" s="1644"/>
      <c r="BF75" s="1640"/>
      <c r="BG75" s="1640"/>
      <c r="BH75" s="1640"/>
      <c r="BI75" s="1641"/>
      <c r="BJ75" s="1640"/>
      <c r="BK75" s="1640"/>
      <c r="BL75" s="1640"/>
      <c r="BM75" s="1641"/>
      <c r="BN75" s="1640"/>
      <c r="BO75" s="1640"/>
      <c r="BP75" s="1640"/>
      <c r="BQ75" s="1641"/>
      <c r="BR75" s="1640"/>
      <c r="BS75" s="1640"/>
      <c r="BT75" s="1640"/>
      <c r="BU75" s="1641"/>
      <c r="BV75" s="1640"/>
      <c r="BW75" s="1640"/>
      <c r="BX75" s="1640"/>
      <c r="BY75" s="1641"/>
      <c r="BZ75" s="1640"/>
      <c r="CA75" s="1640"/>
      <c r="CB75" s="1640"/>
      <c r="CC75" s="1641"/>
      <c r="CD75" s="1640"/>
      <c r="CE75" s="1640"/>
      <c r="CF75" s="1640"/>
      <c r="CG75" s="1642"/>
      <c r="CH75" s="1643">
        <v>0</v>
      </c>
      <c r="CI75" s="1643">
        <v>0</v>
      </c>
      <c r="CJ75" s="1643">
        <v>0</v>
      </c>
      <c r="CK75" s="1643">
        <v>0</v>
      </c>
    </row>
    <row r="76" spans="1:108" ht="14" x14ac:dyDescent="0.15">
      <c r="A76" s="1541" t="s">
        <v>90</v>
      </c>
      <c r="B76" s="1523" t="s">
        <v>79</v>
      </c>
      <c r="C76" s="1523" t="s">
        <v>100</v>
      </c>
      <c r="D76" s="1523" t="s">
        <v>101</v>
      </c>
      <c r="E76" s="1523">
        <v>4239902</v>
      </c>
      <c r="F76" s="1523"/>
      <c r="G76" s="1523">
        <v>225</v>
      </c>
      <c r="H76" s="1501">
        <v>0</v>
      </c>
      <c r="I76" s="1645"/>
      <c r="J76" s="1630"/>
      <c r="K76" s="1630"/>
      <c r="L76" s="1631"/>
      <c r="M76" s="1631"/>
      <c r="N76" s="1631"/>
      <c r="O76" s="1631"/>
      <c r="P76" s="1631"/>
      <c r="Q76" s="1631"/>
      <c r="R76" s="1631"/>
      <c r="S76" s="1631"/>
      <c r="T76" s="1632"/>
      <c r="U76" s="1633"/>
      <c r="V76" s="1633"/>
      <c r="W76" s="1634"/>
      <c r="X76" s="1634"/>
      <c r="Y76" s="1634"/>
      <c r="Z76" s="1635"/>
      <c r="AA76" s="1634"/>
      <c r="AB76" s="1634"/>
      <c r="AC76" s="1508">
        <f t="shared" si="68"/>
        <v>0</v>
      </c>
      <c r="AD76" s="1509">
        <f t="shared" si="69"/>
        <v>0</v>
      </c>
      <c r="AE76" s="1509">
        <f t="shared" si="70"/>
        <v>0</v>
      </c>
      <c r="AF76" s="1509">
        <f t="shared" si="70"/>
        <v>0</v>
      </c>
      <c r="AG76" s="1509">
        <f t="shared" si="70"/>
        <v>0</v>
      </c>
      <c r="AH76" s="1490">
        <f t="shared" si="56"/>
        <v>0</v>
      </c>
      <c r="AI76" s="1636">
        <f t="shared" si="71"/>
        <v>0</v>
      </c>
      <c r="AJ76" s="1636">
        <f t="shared" si="72"/>
        <v>0</v>
      </c>
      <c r="AK76" s="1636">
        <f t="shared" si="73"/>
        <v>0</v>
      </c>
      <c r="AL76" s="1636">
        <f t="shared" si="73"/>
        <v>0</v>
      </c>
      <c r="AM76" s="1636">
        <f t="shared" si="73"/>
        <v>0</v>
      </c>
      <c r="AN76" s="1637"/>
      <c r="AO76" s="1630"/>
      <c r="AP76" s="1638"/>
      <c r="AQ76" s="1638"/>
      <c r="AR76" s="1638"/>
      <c r="AS76" s="1639"/>
      <c r="AT76" s="1638"/>
      <c r="AU76" s="1638"/>
      <c r="AV76" s="1638"/>
      <c r="AW76" s="1639"/>
      <c r="AX76" s="1640"/>
      <c r="AY76" s="1640"/>
      <c r="AZ76" s="1640"/>
      <c r="BA76" s="1641"/>
      <c r="BB76" s="1640"/>
      <c r="BC76" s="1640"/>
      <c r="BD76" s="1640"/>
      <c r="BE76" s="1644"/>
      <c r="BF76" s="1640"/>
      <c r="BG76" s="1640"/>
      <c r="BH76" s="1640"/>
      <c r="BI76" s="1641"/>
      <c r="BJ76" s="1640"/>
      <c r="BK76" s="1640"/>
      <c r="BL76" s="1640"/>
      <c r="BM76" s="1641"/>
      <c r="BN76" s="1640"/>
      <c r="BO76" s="1640"/>
      <c r="BP76" s="1640"/>
      <c r="BQ76" s="1641"/>
      <c r="BR76" s="1640"/>
      <c r="BS76" s="1640"/>
      <c r="BT76" s="1640"/>
      <c r="BU76" s="1641"/>
      <c r="BV76" s="1640"/>
      <c r="BW76" s="1640"/>
      <c r="BX76" s="1640"/>
      <c r="BY76" s="1641"/>
      <c r="BZ76" s="1640"/>
      <c r="CA76" s="1640"/>
      <c r="CB76" s="1640"/>
      <c r="CC76" s="1641"/>
      <c r="CD76" s="1640"/>
      <c r="CE76" s="1640"/>
      <c r="CF76" s="1640"/>
      <c r="CG76" s="1642"/>
      <c r="CH76" s="1643">
        <v>0</v>
      </c>
      <c r="CI76" s="1643">
        <v>0</v>
      </c>
      <c r="CJ76" s="1643">
        <v>0</v>
      </c>
      <c r="CK76" s="1643">
        <v>0</v>
      </c>
    </row>
    <row r="77" spans="1:108" ht="14" x14ac:dyDescent="0.15">
      <c r="A77" s="1541" t="s">
        <v>91</v>
      </c>
      <c r="B77" s="1523" t="s">
        <v>79</v>
      </c>
      <c r="C77" s="1523" t="s">
        <v>100</v>
      </c>
      <c r="D77" s="1523" t="s">
        <v>101</v>
      </c>
      <c r="E77" s="1523">
        <v>4239902</v>
      </c>
      <c r="F77" s="1523"/>
      <c r="G77" s="1523">
        <v>226</v>
      </c>
      <c r="H77" s="1501">
        <v>0</v>
      </c>
      <c r="I77" s="1645"/>
      <c r="J77" s="1630"/>
      <c r="K77" s="1630"/>
      <c r="L77" s="1631"/>
      <c r="M77" s="1631"/>
      <c r="N77" s="1631"/>
      <c r="O77" s="1631"/>
      <c r="P77" s="1631"/>
      <c r="Q77" s="1631"/>
      <c r="R77" s="1631"/>
      <c r="S77" s="1631"/>
      <c r="T77" s="1632"/>
      <c r="U77" s="1633"/>
      <c r="V77" s="1633"/>
      <c r="W77" s="1634"/>
      <c r="X77" s="1634"/>
      <c r="Y77" s="1634"/>
      <c r="Z77" s="1635"/>
      <c r="AA77" s="1634"/>
      <c r="AB77" s="1634"/>
      <c r="AC77" s="1508">
        <f t="shared" si="68"/>
        <v>0</v>
      </c>
      <c r="AD77" s="1509">
        <f t="shared" si="69"/>
        <v>0</v>
      </c>
      <c r="AE77" s="1509">
        <f t="shared" si="70"/>
        <v>0</v>
      </c>
      <c r="AF77" s="1509">
        <f t="shared" si="70"/>
        <v>0</v>
      </c>
      <c r="AG77" s="1509">
        <f t="shared" si="70"/>
        <v>0</v>
      </c>
      <c r="AH77" s="1490">
        <f t="shared" si="56"/>
        <v>0</v>
      </c>
      <c r="AI77" s="1636">
        <f t="shared" si="71"/>
        <v>0</v>
      </c>
      <c r="AJ77" s="1636">
        <f t="shared" si="72"/>
        <v>0</v>
      </c>
      <c r="AK77" s="1636">
        <f t="shared" si="73"/>
        <v>0</v>
      </c>
      <c r="AL77" s="1636">
        <f t="shared" si="73"/>
        <v>0</v>
      </c>
      <c r="AM77" s="1636">
        <f t="shared" si="73"/>
        <v>0</v>
      </c>
      <c r="AN77" s="1637"/>
      <c r="AO77" s="1630"/>
      <c r="AP77" s="1638"/>
      <c r="AQ77" s="1638"/>
      <c r="AR77" s="1638"/>
      <c r="AS77" s="1639"/>
      <c r="AT77" s="1638"/>
      <c r="AU77" s="1638"/>
      <c r="AV77" s="1638"/>
      <c r="AW77" s="1639"/>
      <c r="AX77" s="1640"/>
      <c r="AY77" s="1640"/>
      <c r="AZ77" s="1640"/>
      <c r="BA77" s="1641"/>
      <c r="BB77" s="1640"/>
      <c r="BC77" s="1640"/>
      <c r="BD77" s="1640"/>
      <c r="BE77" s="1644"/>
      <c r="BF77" s="1640"/>
      <c r="BG77" s="1640"/>
      <c r="BH77" s="1640"/>
      <c r="BI77" s="1641"/>
      <c r="BJ77" s="1640"/>
      <c r="BK77" s="1640"/>
      <c r="BL77" s="1640"/>
      <c r="BM77" s="1641"/>
      <c r="BN77" s="1640"/>
      <c r="BO77" s="1640"/>
      <c r="BP77" s="1640"/>
      <c r="BQ77" s="1641"/>
      <c r="BR77" s="1640"/>
      <c r="BS77" s="1640"/>
      <c r="BT77" s="1640"/>
      <c r="BU77" s="1641"/>
      <c r="BV77" s="1640"/>
      <c r="BW77" s="1640"/>
      <c r="BX77" s="1640"/>
      <c r="BY77" s="1641"/>
      <c r="BZ77" s="1640"/>
      <c r="CA77" s="1640"/>
      <c r="CB77" s="1640"/>
      <c r="CC77" s="1641"/>
      <c r="CD77" s="1640"/>
      <c r="CE77" s="1640"/>
      <c r="CF77" s="1640"/>
      <c r="CG77" s="1642"/>
      <c r="CH77" s="1643">
        <v>0</v>
      </c>
      <c r="CI77" s="1643">
        <v>0</v>
      </c>
      <c r="CJ77" s="1643">
        <v>0</v>
      </c>
      <c r="CK77" s="1643">
        <v>0</v>
      </c>
    </row>
    <row r="78" spans="1:108" ht="14" x14ac:dyDescent="0.15">
      <c r="A78" s="1541" t="s">
        <v>94</v>
      </c>
      <c r="B78" s="1523" t="s">
        <v>79</v>
      </c>
      <c r="C78" s="1523" t="s">
        <v>100</v>
      </c>
      <c r="D78" s="1523" t="s">
        <v>101</v>
      </c>
      <c r="E78" s="1523">
        <v>4239902</v>
      </c>
      <c r="F78" s="1523"/>
      <c r="G78" s="1523">
        <v>290</v>
      </c>
      <c r="H78" s="1501">
        <v>7.1</v>
      </c>
      <c r="I78" s="1645"/>
      <c r="J78" s="1630"/>
      <c r="K78" s="1630"/>
      <c r="L78" s="1631"/>
      <c r="M78" s="1631"/>
      <c r="N78" s="1631"/>
      <c r="O78" s="1631"/>
      <c r="P78" s="1631"/>
      <c r="Q78" s="1631"/>
      <c r="R78" s="1631"/>
      <c r="S78" s="1631"/>
      <c r="T78" s="1632"/>
      <c r="U78" s="1633"/>
      <c r="V78" s="1633"/>
      <c r="W78" s="1634"/>
      <c r="X78" s="1634"/>
      <c r="Y78" s="1634"/>
      <c r="Z78" s="1635"/>
      <c r="AA78" s="1634"/>
      <c r="AB78" s="1634"/>
      <c r="AC78" s="1508">
        <f t="shared" si="68"/>
        <v>7.1000000000000005</v>
      </c>
      <c r="AD78" s="1509">
        <f t="shared" si="69"/>
        <v>0</v>
      </c>
      <c r="AE78" s="1509">
        <f t="shared" si="70"/>
        <v>0</v>
      </c>
      <c r="AF78" s="1509">
        <f t="shared" si="70"/>
        <v>0</v>
      </c>
      <c r="AG78" s="1509">
        <f t="shared" si="70"/>
        <v>0</v>
      </c>
      <c r="AH78" s="1490">
        <f t="shared" si="56"/>
        <v>0</v>
      </c>
      <c r="AI78" s="1636">
        <f t="shared" si="71"/>
        <v>0</v>
      </c>
      <c r="AJ78" s="1636">
        <f t="shared" si="72"/>
        <v>0</v>
      </c>
      <c r="AK78" s="1636">
        <f t="shared" si="73"/>
        <v>0</v>
      </c>
      <c r="AL78" s="1636">
        <f t="shared" si="73"/>
        <v>0</v>
      </c>
      <c r="AM78" s="1636">
        <f t="shared" si="73"/>
        <v>0</v>
      </c>
      <c r="AN78" s="1637"/>
      <c r="AO78" s="1630">
        <v>0.59</v>
      </c>
      <c r="AP78" s="1638"/>
      <c r="AQ78" s="1638"/>
      <c r="AR78" s="1638"/>
      <c r="AS78" s="1639"/>
      <c r="AT78" s="1638"/>
      <c r="AU78" s="1638"/>
      <c r="AV78" s="1638"/>
      <c r="AW78" s="1639"/>
      <c r="AX78" s="1640"/>
      <c r="AY78" s="1640"/>
      <c r="AZ78" s="1640"/>
      <c r="BA78" s="1641"/>
      <c r="BB78" s="1640"/>
      <c r="BC78" s="1640"/>
      <c r="BD78" s="1640"/>
      <c r="BE78" s="1644">
        <v>1.8</v>
      </c>
      <c r="BF78" s="1640"/>
      <c r="BG78" s="1640"/>
      <c r="BH78" s="1640"/>
      <c r="BI78" s="1641"/>
      <c r="BJ78" s="1640"/>
      <c r="BK78" s="1640"/>
      <c r="BL78" s="1640"/>
      <c r="BM78" s="1641"/>
      <c r="BN78" s="1640"/>
      <c r="BO78" s="1640"/>
      <c r="BP78" s="1640"/>
      <c r="BQ78" s="1641"/>
      <c r="BR78" s="1640"/>
      <c r="BS78" s="1640"/>
      <c r="BT78" s="1640"/>
      <c r="BU78" s="1641">
        <v>3</v>
      </c>
      <c r="BV78" s="1640"/>
      <c r="BW78" s="1640"/>
      <c r="BX78" s="1640"/>
      <c r="BY78" s="1641"/>
      <c r="BZ78" s="1640"/>
      <c r="CA78" s="1640"/>
      <c r="CB78" s="1640"/>
      <c r="CC78" s="1641"/>
      <c r="CD78" s="1640"/>
      <c r="CE78" s="1640"/>
      <c r="CF78" s="1640"/>
      <c r="CG78" s="1642"/>
      <c r="CH78" s="1643">
        <v>1.71</v>
      </c>
      <c r="CI78" s="1643">
        <v>0</v>
      </c>
      <c r="CJ78" s="1643">
        <v>0</v>
      </c>
      <c r="CK78" s="1643">
        <v>0</v>
      </c>
    </row>
    <row r="79" spans="1:108" ht="14" x14ac:dyDescent="0.15">
      <c r="A79" s="1541" t="s">
        <v>94</v>
      </c>
      <c r="B79" s="1523" t="s">
        <v>79</v>
      </c>
      <c r="C79" s="1523" t="s">
        <v>100</v>
      </c>
      <c r="D79" s="1523" t="s">
        <v>101</v>
      </c>
      <c r="E79" s="1523">
        <v>4239902</v>
      </c>
      <c r="F79" s="1523"/>
      <c r="G79" s="1523">
        <v>290</v>
      </c>
      <c r="H79" s="1501">
        <v>0</v>
      </c>
      <c r="I79" s="1645"/>
      <c r="J79" s="1630"/>
      <c r="K79" s="1630"/>
      <c r="L79" s="1631"/>
      <c r="M79" s="1631"/>
      <c r="N79" s="1631"/>
      <c r="O79" s="1631"/>
      <c r="P79" s="1631"/>
      <c r="Q79" s="1631"/>
      <c r="R79" s="1631"/>
      <c r="S79" s="1631"/>
      <c r="T79" s="1632"/>
      <c r="U79" s="1633"/>
      <c r="V79" s="1633"/>
      <c r="W79" s="1634"/>
      <c r="X79" s="1634"/>
      <c r="Y79" s="1634"/>
      <c r="Z79" s="1635"/>
      <c r="AA79" s="1634"/>
      <c r="AB79" s="1634"/>
      <c r="AC79" s="1508">
        <f t="shared" si="68"/>
        <v>0</v>
      </c>
      <c r="AD79" s="1509">
        <f t="shared" si="69"/>
        <v>0</v>
      </c>
      <c r="AE79" s="1509">
        <f t="shared" si="70"/>
        <v>0</v>
      </c>
      <c r="AF79" s="1509">
        <f t="shared" si="70"/>
        <v>0</v>
      </c>
      <c r="AG79" s="1509">
        <f t="shared" si="70"/>
        <v>0</v>
      </c>
      <c r="AH79" s="1490">
        <f t="shared" si="56"/>
        <v>0</v>
      </c>
      <c r="AI79" s="1636">
        <f t="shared" si="71"/>
        <v>0</v>
      </c>
      <c r="AJ79" s="1636">
        <f t="shared" si="72"/>
        <v>0</v>
      </c>
      <c r="AK79" s="1636">
        <f t="shared" si="73"/>
        <v>0</v>
      </c>
      <c r="AL79" s="1636">
        <f t="shared" si="73"/>
        <v>0</v>
      </c>
      <c r="AM79" s="1636">
        <f t="shared" si="73"/>
        <v>0</v>
      </c>
      <c r="AN79" s="1637"/>
      <c r="AO79" s="1630"/>
      <c r="AP79" s="1638"/>
      <c r="AQ79" s="1638"/>
      <c r="AR79" s="1638"/>
      <c r="AS79" s="1639"/>
      <c r="AT79" s="1638"/>
      <c r="AU79" s="1638"/>
      <c r="AV79" s="1638"/>
      <c r="AW79" s="1639"/>
      <c r="AX79" s="1640"/>
      <c r="AY79" s="1640"/>
      <c r="AZ79" s="1640"/>
      <c r="BA79" s="1641"/>
      <c r="BB79" s="1640"/>
      <c r="BC79" s="1640"/>
      <c r="BD79" s="1640"/>
      <c r="BE79" s="1644"/>
      <c r="BF79" s="1640"/>
      <c r="BG79" s="1640"/>
      <c r="BH79" s="1640"/>
      <c r="BI79" s="1641"/>
      <c r="BJ79" s="1640"/>
      <c r="BK79" s="1640"/>
      <c r="BL79" s="1640"/>
      <c r="BM79" s="1641"/>
      <c r="BN79" s="1640"/>
      <c r="BO79" s="1640"/>
      <c r="BP79" s="1640"/>
      <c r="BQ79" s="1641"/>
      <c r="BR79" s="1640"/>
      <c r="BS79" s="1640"/>
      <c r="BT79" s="1640"/>
      <c r="BU79" s="1641"/>
      <c r="BV79" s="1640"/>
      <c r="BW79" s="1640"/>
      <c r="BX79" s="1640"/>
      <c r="BY79" s="1641"/>
      <c r="BZ79" s="1640"/>
      <c r="CA79" s="1640"/>
      <c r="CB79" s="1640"/>
      <c r="CC79" s="1641"/>
      <c r="CD79" s="1640"/>
      <c r="CE79" s="1640"/>
      <c r="CF79" s="1640"/>
      <c r="CG79" s="1642"/>
      <c r="CH79" s="1643">
        <v>0</v>
      </c>
      <c r="CI79" s="1643">
        <v>0</v>
      </c>
      <c r="CJ79" s="1643">
        <v>0</v>
      </c>
      <c r="CK79" s="1643">
        <v>0</v>
      </c>
    </row>
    <row r="80" spans="1:108" ht="14" x14ac:dyDescent="0.15">
      <c r="A80" s="1541" t="s">
        <v>104</v>
      </c>
      <c r="B80" s="1523" t="s">
        <v>79</v>
      </c>
      <c r="C80" s="1523" t="s">
        <v>100</v>
      </c>
      <c r="D80" s="1523" t="s">
        <v>101</v>
      </c>
      <c r="E80" s="1523">
        <v>4239902</v>
      </c>
      <c r="F80" s="1523"/>
      <c r="G80" s="1523">
        <v>310</v>
      </c>
      <c r="H80" s="1652">
        <f>20-U80</f>
        <v>0</v>
      </c>
      <c r="I80" s="1645"/>
      <c r="J80" s="1630"/>
      <c r="K80" s="1630"/>
      <c r="L80" s="1631"/>
      <c r="M80" s="1631"/>
      <c r="N80" s="1631"/>
      <c r="O80" s="1631"/>
      <c r="P80" s="1631"/>
      <c r="Q80" s="1631"/>
      <c r="R80" s="1631"/>
      <c r="S80" s="1631"/>
      <c r="T80" s="1632"/>
      <c r="U80" s="1633">
        <v>20</v>
      </c>
      <c r="V80" s="1633"/>
      <c r="W80" s="1634"/>
      <c r="X80" s="1634"/>
      <c r="Y80" s="1634"/>
      <c r="Z80" s="1635"/>
      <c r="AA80" s="1634"/>
      <c r="AB80" s="1634"/>
      <c r="AC80" s="1508">
        <f t="shared" si="68"/>
        <v>0</v>
      </c>
      <c r="AD80" s="1509">
        <f t="shared" si="69"/>
        <v>0</v>
      </c>
      <c r="AE80" s="1509">
        <f t="shared" si="70"/>
        <v>0</v>
      </c>
      <c r="AF80" s="1509">
        <f t="shared" si="70"/>
        <v>0</v>
      </c>
      <c r="AG80" s="1509">
        <f t="shared" si="70"/>
        <v>0</v>
      </c>
      <c r="AH80" s="1490">
        <f t="shared" si="56"/>
        <v>0</v>
      </c>
      <c r="AI80" s="1636">
        <f t="shared" si="71"/>
        <v>0</v>
      </c>
      <c r="AJ80" s="1636">
        <f t="shared" si="72"/>
        <v>0</v>
      </c>
      <c r="AK80" s="1636">
        <f t="shared" si="73"/>
        <v>0</v>
      </c>
      <c r="AL80" s="1636">
        <f t="shared" si="73"/>
        <v>0</v>
      </c>
      <c r="AM80" s="1636">
        <f t="shared" si="73"/>
        <v>0</v>
      </c>
      <c r="AN80" s="1637"/>
      <c r="AO80" s="1630"/>
      <c r="AP80" s="1638"/>
      <c r="AQ80" s="1638"/>
      <c r="AR80" s="1638"/>
      <c r="AS80" s="1639"/>
      <c r="AT80" s="1638"/>
      <c r="AU80" s="1638"/>
      <c r="AV80" s="1638"/>
      <c r="AW80" s="1639"/>
      <c r="AX80" s="1640"/>
      <c r="AY80" s="1640"/>
      <c r="AZ80" s="1640"/>
      <c r="BA80" s="1641"/>
      <c r="BB80" s="1640"/>
      <c r="BC80" s="1640"/>
      <c r="BD80" s="1640"/>
      <c r="BE80" s="1644"/>
      <c r="BF80" s="1640"/>
      <c r="BG80" s="1640"/>
      <c r="BH80" s="1640"/>
      <c r="BI80" s="1641"/>
      <c r="BJ80" s="1640"/>
      <c r="BK80" s="1640"/>
      <c r="BL80" s="1640"/>
      <c r="BM80" s="1641"/>
      <c r="BN80" s="1640"/>
      <c r="BO80" s="1640"/>
      <c r="BP80" s="1640"/>
      <c r="BQ80" s="1641"/>
      <c r="BR80" s="1640"/>
      <c r="BS80" s="1640"/>
      <c r="BT80" s="1640"/>
      <c r="BU80" s="1641"/>
      <c r="BV80" s="1640"/>
      <c r="BW80" s="1640"/>
      <c r="BX80" s="1640"/>
      <c r="BY80" s="1641"/>
      <c r="BZ80" s="1640"/>
      <c r="CA80" s="1640"/>
      <c r="CB80" s="1640"/>
      <c r="CC80" s="1641"/>
      <c r="CD80" s="1640"/>
      <c r="CE80" s="1640"/>
      <c r="CF80" s="1640"/>
      <c r="CG80" s="1642"/>
      <c r="CH80" s="1643">
        <v>0</v>
      </c>
      <c r="CI80" s="1643">
        <v>0</v>
      </c>
      <c r="CJ80" s="1643">
        <v>0</v>
      </c>
      <c r="CK80" s="1643">
        <v>0</v>
      </c>
    </row>
    <row r="81" spans="1:108" ht="14" x14ac:dyDescent="0.15">
      <c r="A81" s="1541" t="s">
        <v>97</v>
      </c>
      <c r="B81" s="1523" t="s">
        <v>79</v>
      </c>
      <c r="C81" s="1523" t="s">
        <v>100</v>
      </c>
      <c r="D81" s="1523" t="s">
        <v>101</v>
      </c>
      <c r="E81" s="1523">
        <v>4239902</v>
      </c>
      <c r="F81" s="1523"/>
      <c r="G81" s="1523">
        <v>340</v>
      </c>
      <c r="H81" s="1501">
        <v>0</v>
      </c>
      <c r="I81" s="1645"/>
      <c r="J81" s="1630"/>
      <c r="K81" s="1630"/>
      <c r="L81" s="1631"/>
      <c r="M81" s="1631"/>
      <c r="N81" s="1631"/>
      <c r="O81" s="1631"/>
      <c r="P81" s="1631"/>
      <c r="Q81" s="1631"/>
      <c r="R81" s="1631"/>
      <c r="S81" s="1631"/>
      <c r="T81" s="1632"/>
      <c r="U81" s="1633"/>
      <c r="V81" s="1633"/>
      <c r="W81" s="1634"/>
      <c r="X81" s="1634"/>
      <c r="Y81" s="1634"/>
      <c r="Z81" s="1635"/>
      <c r="AA81" s="1634"/>
      <c r="AB81" s="1634"/>
      <c r="AC81" s="1508">
        <f t="shared" si="68"/>
        <v>0</v>
      </c>
      <c r="AD81" s="1509">
        <f t="shared" si="69"/>
        <v>0</v>
      </c>
      <c r="AE81" s="1509">
        <f t="shared" si="70"/>
        <v>0</v>
      </c>
      <c r="AF81" s="1509">
        <f t="shared" si="70"/>
        <v>0</v>
      </c>
      <c r="AG81" s="1509">
        <f t="shared" si="70"/>
        <v>0</v>
      </c>
      <c r="AH81" s="1490">
        <f t="shared" si="56"/>
        <v>0</v>
      </c>
      <c r="AI81" s="1636">
        <f t="shared" si="71"/>
        <v>0</v>
      </c>
      <c r="AJ81" s="1636">
        <f t="shared" si="72"/>
        <v>0</v>
      </c>
      <c r="AK81" s="1636">
        <f t="shared" si="73"/>
        <v>0</v>
      </c>
      <c r="AL81" s="1636">
        <f t="shared" si="73"/>
        <v>0</v>
      </c>
      <c r="AM81" s="1636">
        <f t="shared" si="73"/>
        <v>0</v>
      </c>
      <c r="AN81" s="1637"/>
      <c r="AO81" s="1630"/>
      <c r="AP81" s="1638"/>
      <c r="AQ81" s="1638"/>
      <c r="AR81" s="1638"/>
      <c r="AS81" s="1639"/>
      <c r="AT81" s="1638"/>
      <c r="AU81" s="1638"/>
      <c r="AV81" s="1638"/>
      <c r="AW81" s="1639"/>
      <c r="AX81" s="1640"/>
      <c r="AY81" s="1640"/>
      <c r="AZ81" s="1640"/>
      <c r="BA81" s="1641"/>
      <c r="BB81" s="1640"/>
      <c r="BC81" s="1640"/>
      <c r="BD81" s="1640"/>
      <c r="BE81" s="1644"/>
      <c r="BF81" s="1640"/>
      <c r="BG81" s="1640"/>
      <c r="BH81" s="1640"/>
      <c r="BI81" s="1641"/>
      <c r="BJ81" s="1640"/>
      <c r="BK81" s="1640"/>
      <c r="BL81" s="1640"/>
      <c r="BM81" s="1641"/>
      <c r="BN81" s="1640"/>
      <c r="BO81" s="1640"/>
      <c r="BP81" s="1640"/>
      <c r="BQ81" s="1641"/>
      <c r="BR81" s="1640"/>
      <c r="BS81" s="1640"/>
      <c r="BT81" s="1640"/>
      <c r="BU81" s="1641"/>
      <c r="BV81" s="1640"/>
      <c r="BW81" s="1640"/>
      <c r="BX81" s="1640"/>
      <c r="BY81" s="1641"/>
      <c r="BZ81" s="1640"/>
      <c r="CA81" s="1640"/>
      <c r="CB81" s="1640"/>
      <c r="CC81" s="1641"/>
      <c r="CD81" s="1640"/>
      <c r="CE81" s="1640"/>
      <c r="CF81" s="1640"/>
      <c r="CG81" s="1642"/>
      <c r="CH81" s="1643">
        <v>0</v>
      </c>
      <c r="CI81" s="1643">
        <v>0</v>
      </c>
      <c r="CJ81" s="1643">
        <v>0</v>
      </c>
      <c r="CK81" s="1643">
        <v>0</v>
      </c>
    </row>
    <row r="82" spans="1:108" ht="14" x14ac:dyDescent="0.15">
      <c r="A82" s="1528" t="s">
        <v>767</v>
      </c>
      <c r="B82" s="1530" t="s">
        <v>79</v>
      </c>
      <c r="C82" s="1530" t="s">
        <v>100</v>
      </c>
      <c r="D82" s="1530" t="s">
        <v>101</v>
      </c>
      <c r="E82" s="1530">
        <v>4239902</v>
      </c>
      <c r="F82" s="1530" t="s">
        <v>768</v>
      </c>
      <c r="G82" s="1600" t="s">
        <v>766</v>
      </c>
      <c r="H82" s="1647">
        <f>I68</f>
        <v>0</v>
      </c>
      <c r="I82" s="1645"/>
      <c r="J82" s="1630"/>
      <c r="K82" s="1630"/>
      <c r="L82" s="1631"/>
      <c r="M82" s="1631"/>
      <c r="N82" s="1631"/>
      <c r="O82" s="1631"/>
      <c r="P82" s="1631"/>
      <c r="Q82" s="1631"/>
      <c r="R82" s="1631"/>
      <c r="S82" s="1631"/>
      <c r="T82" s="1632"/>
      <c r="U82" s="1633"/>
      <c r="V82" s="1633"/>
      <c r="W82" s="1634"/>
      <c r="X82" s="1634"/>
      <c r="Y82" s="1634"/>
      <c r="Z82" s="1635"/>
      <c r="AA82" s="1634"/>
      <c r="AB82" s="1634"/>
      <c r="AC82" s="1508"/>
      <c r="AD82" s="1509"/>
      <c r="AE82" s="1509"/>
      <c r="AF82" s="1509"/>
      <c r="AG82" s="1509"/>
      <c r="AH82" s="1490">
        <f t="shared" si="56"/>
        <v>0</v>
      </c>
      <c r="AI82" s="1636"/>
      <c r="AJ82" s="1636"/>
      <c r="AK82" s="1636"/>
      <c r="AL82" s="1636">
        <f t="shared" si="73"/>
        <v>0</v>
      </c>
      <c r="AM82" s="1636"/>
      <c r="AN82" s="1637"/>
      <c r="AO82" s="1630"/>
      <c r="AP82" s="1638"/>
      <c r="AQ82" s="1638"/>
      <c r="AR82" s="1638"/>
      <c r="AS82" s="1639"/>
      <c r="AT82" s="1638"/>
      <c r="AU82" s="1638"/>
      <c r="AV82" s="1638"/>
      <c r="AW82" s="1639"/>
      <c r="AX82" s="1640"/>
      <c r="AY82" s="1640"/>
      <c r="AZ82" s="1640"/>
      <c r="BA82" s="1641"/>
      <c r="BB82" s="1640"/>
      <c r="BC82" s="1640"/>
      <c r="BD82" s="1640"/>
      <c r="BE82" s="1644"/>
      <c r="BF82" s="1640"/>
      <c r="BG82" s="1640"/>
      <c r="BH82" s="1640"/>
      <c r="BI82" s="1641"/>
      <c r="BJ82" s="1640"/>
      <c r="BK82" s="1640"/>
      <c r="BL82" s="1640"/>
      <c r="BM82" s="1641"/>
      <c r="BN82" s="1640"/>
      <c r="BO82" s="1640"/>
      <c r="BP82" s="1640"/>
      <c r="BQ82" s="1641"/>
      <c r="BR82" s="1640"/>
      <c r="BS82" s="1640"/>
      <c r="BT82" s="1640"/>
      <c r="BU82" s="1641"/>
      <c r="BV82" s="1640"/>
      <c r="BW82" s="1640"/>
      <c r="BX82" s="1640"/>
      <c r="BY82" s="1641"/>
      <c r="BZ82" s="1640"/>
      <c r="CA82" s="1640"/>
      <c r="CB82" s="1640"/>
      <c r="CC82" s="1641"/>
      <c r="CD82" s="1640"/>
      <c r="CE82" s="1640"/>
      <c r="CF82" s="1640"/>
      <c r="CG82" s="1642"/>
      <c r="CH82" s="1648"/>
      <c r="CI82" s="1648"/>
      <c r="CJ82" s="1643">
        <v>0</v>
      </c>
      <c r="CK82" s="1648"/>
    </row>
    <row r="83" spans="1:108" ht="72" customHeight="1" x14ac:dyDescent="0.15">
      <c r="A83" s="1653" t="s">
        <v>1250</v>
      </c>
      <c r="B83" s="1439" t="s">
        <v>79</v>
      </c>
      <c r="C83" s="1439" t="s">
        <v>100</v>
      </c>
      <c r="D83" s="1439" t="s">
        <v>101</v>
      </c>
      <c r="E83" s="1439">
        <v>4239902</v>
      </c>
      <c r="F83" s="1605">
        <v>600</v>
      </c>
      <c r="G83" s="1605"/>
      <c r="H83" s="1606">
        <f>H84+H98</f>
        <v>8668.5999999999985</v>
      </c>
      <c r="I83" s="1606">
        <f>I84+I98</f>
        <v>0</v>
      </c>
      <c r="J83" s="1606">
        <f>J84+J98</f>
        <v>0</v>
      </c>
      <c r="K83" s="1606">
        <f>K84+K98</f>
        <v>0</v>
      </c>
      <c r="L83" s="1607"/>
      <c r="M83" s="1607"/>
      <c r="N83" s="1607"/>
      <c r="O83" s="1607"/>
      <c r="P83" s="1607"/>
      <c r="Q83" s="1607"/>
      <c r="R83" s="1607"/>
      <c r="S83" s="1607"/>
      <c r="T83" s="1608"/>
      <c r="U83" s="1609"/>
      <c r="V83" s="1609"/>
      <c r="W83" s="1610"/>
      <c r="X83" s="1610"/>
      <c r="Y83" s="1610"/>
      <c r="Z83" s="1611"/>
      <c r="AA83" s="1610"/>
      <c r="AB83" s="1610"/>
      <c r="AC83" s="1612">
        <f t="shared" ref="AC83:AW83" si="74">AC84+AC98</f>
        <v>8668.5999999999985</v>
      </c>
      <c r="AD83" s="1612">
        <f t="shared" si="74"/>
        <v>0</v>
      </c>
      <c r="AE83" s="1612">
        <f t="shared" si="74"/>
        <v>0</v>
      </c>
      <c r="AF83" s="1612">
        <f t="shared" si="74"/>
        <v>0</v>
      </c>
      <c r="AG83" s="1612">
        <f t="shared" si="74"/>
        <v>0</v>
      </c>
      <c r="AH83" s="1490">
        <f t="shared" si="56"/>
        <v>0</v>
      </c>
      <c r="AI83" s="1613">
        <f t="shared" si="74"/>
        <v>0</v>
      </c>
      <c r="AJ83" s="1613">
        <f t="shared" si="74"/>
        <v>0</v>
      </c>
      <c r="AK83" s="1613">
        <f t="shared" si="74"/>
        <v>0</v>
      </c>
      <c r="AL83" s="1636">
        <f t="shared" si="73"/>
        <v>0</v>
      </c>
      <c r="AM83" s="1613">
        <f t="shared" si="74"/>
        <v>0</v>
      </c>
      <c r="AN83" s="1614"/>
      <c r="AO83" s="1606">
        <f t="shared" si="74"/>
        <v>608.1</v>
      </c>
      <c r="AP83" s="1606">
        <f t="shared" si="74"/>
        <v>0</v>
      </c>
      <c r="AQ83" s="1606">
        <f t="shared" si="74"/>
        <v>0</v>
      </c>
      <c r="AR83" s="1606">
        <f t="shared" si="74"/>
        <v>0</v>
      </c>
      <c r="AS83" s="1611">
        <f t="shared" si="74"/>
        <v>602.40000000000009</v>
      </c>
      <c r="AT83" s="1606">
        <f t="shared" si="74"/>
        <v>0</v>
      </c>
      <c r="AU83" s="1606">
        <f t="shared" si="74"/>
        <v>0</v>
      </c>
      <c r="AV83" s="1606">
        <f t="shared" si="74"/>
        <v>0</v>
      </c>
      <c r="AW83" s="1611">
        <f t="shared" si="74"/>
        <v>589.90000000000009</v>
      </c>
      <c r="AX83" s="1606">
        <f>AX84+AX98</f>
        <v>0</v>
      </c>
      <c r="AY83" s="1606">
        <f>AY84+AY98</f>
        <v>0</v>
      </c>
      <c r="AZ83" s="1606">
        <f>AZ84+AZ98</f>
        <v>0</v>
      </c>
      <c r="BA83" s="1614"/>
      <c r="BB83" s="1606">
        <f>BB84+BB98</f>
        <v>0</v>
      </c>
      <c r="BC83" s="1606">
        <f>BC84+BC98</f>
        <v>0</v>
      </c>
      <c r="BD83" s="1606">
        <f>BD84+BD98</f>
        <v>0</v>
      </c>
      <c r="BE83" s="1615"/>
      <c r="BF83" s="1606">
        <f>BF84+BF98</f>
        <v>0</v>
      </c>
      <c r="BG83" s="1606">
        <f>BG84+BG98</f>
        <v>0</v>
      </c>
      <c r="BH83" s="1606">
        <f>BH84+BH98</f>
        <v>0</v>
      </c>
      <c r="BI83" s="1614"/>
      <c r="BJ83" s="1606">
        <f>BJ84+BJ98</f>
        <v>0</v>
      </c>
      <c r="BK83" s="1606">
        <f>BK84+BK98</f>
        <v>0</v>
      </c>
      <c r="BL83" s="1606">
        <f>BL84+BL98</f>
        <v>0</v>
      </c>
      <c r="BM83" s="1614"/>
      <c r="BN83" s="1606">
        <f>BN84+BN98</f>
        <v>0</v>
      </c>
      <c r="BO83" s="1606">
        <f>BO84+BO98</f>
        <v>0</v>
      </c>
      <c r="BP83" s="1606">
        <f>BP84+BP98</f>
        <v>0</v>
      </c>
      <c r="BQ83" s="1614"/>
      <c r="BR83" s="1606">
        <f>BR84+BR98</f>
        <v>0</v>
      </c>
      <c r="BS83" s="1606">
        <f>BS84+BS98</f>
        <v>0</v>
      </c>
      <c r="BT83" s="1606">
        <f>BT84+BT98</f>
        <v>0</v>
      </c>
      <c r="BU83" s="1654">
        <f>BU84+BU85+BU86+BU87+BU89+BU88+BU90+BU91+BU92+BU93+BU94+BU95+BU96</f>
        <v>609.4</v>
      </c>
      <c r="BV83" s="1606">
        <f t="shared" ref="BV83:CB83" si="75">BV84+BV98</f>
        <v>0</v>
      </c>
      <c r="BW83" s="1606">
        <f t="shared" si="75"/>
        <v>0</v>
      </c>
      <c r="BX83" s="1606">
        <f t="shared" si="75"/>
        <v>0</v>
      </c>
      <c r="BY83" s="1614">
        <f t="shared" si="75"/>
        <v>1174.76</v>
      </c>
      <c r="BZ83" s="1606">
        <f t="shared" si="75"/>
        <v>0</v>
      </c>
      <c r="CA83" s="1606">
        <f t="shared" si="75"/>
        <v>0</v>
      </c>
      <c r="CB83" s="1606">
        <f t="shared" si="75"/>
        <v>0</v>
      </c>
      <c r="CC83" s="1614"/>
      <c r="CD83" s="1606">
        <f>CD84+CD98</f>
        <v>0</v>
      </c>
      <c r="CE83" s="1606">
        <f>CE84+CE98</f>
        <v>0</v>
      </c>
      <c r="CF83" s="1606">
        <f>CF84+CF98</f>
        <v>0</v>
      </c>
      <c r="CG83" s="1616"/>
      <c r="CH83" s="1649">
        <v>694.18</v>
      </c>
      <c r="CI83" s="1649">
        <v>0</v>
      </c>
      <c r="CJ83" s="1643">
        <v>0</v>
      </c>
      <c r="CK83" s="1649">
        <v>0</v>
      </c>
    </row>
    <row r="84" spans="1:108" s="1514" customFormat="1" ht="42" customHeight="1" x14ac:dyDescent="0.15">
      <c r="A84" s="1469" t="s">
        <v>764</v>
      </c>
      <c r="B84" s="1470" t="s">
        <v>79</v>
      </c>
      <c r="C84" s="1470" t="s">
        <v>100</v>
      </c>
      <c r="D84" s="1470" t="s">
        <v>101</v>
      </c>
      <c r="E84" s="1470">
        <v>4239902</v>
      </c>
      <c r="F84" s="1650">
        <v>611</v>
      </c>
      <c r="G84" s="1651">
        <v>241</v>
      </c>
      <c r="H84" s="1620">
        <f>H85+H86+H87+H88+H90+H89+H91+H92+H93+H94+H95+H96+H97</f>
        <v>8668.5999999999985</v>
      </c>
      <c r="I84" s="1620">
        <f>I85+I86+I87+I88+I90+I89+I91+I92+I93+I94+I95+I96+I97</f>
        <v>0</v>
      </c>
      <c r="J84" s="1620">
        <f>J85+J86+J87+J88+J90+J89+J91+J92+J93+J94+J95+J96+J97</f>
        <v>0</v>
      </c>
      <c r="K84" s="1620">
        <f>K85+K86+K87+K88+K90+K89+K91+K92+K93+K94+K95+K96+K97</f>
        <v>0</v>
      </c>
      <c r="L84" s="1621"/>
      <c r="M84" s="1621"/>
      <c r="N84" s="1621"/>
      <c r="O84" s="1621"/>
      <c r="P84" s="1621"/>
      <c r="Q84" s="1621"/>
      <c r="R84" s="1621"/>
      <c r="S84" s="1621"/>
      <c r="T84" s="1622"/>
      <c r="U84" s="1623"/>
      <c r="V84" s="1623"/>
      <c r="W84" s="1624"/>
      <c r="X84" s="1624"/>
      <c r="Y84" s="1624"/>
      <c r="Z84" s="1625"/>
      <c r="AA84" s="1624"/>
      <c r="AB84" s="1624"/>
      <c r="AC84" s="1626">
        <f t="shared" ref="AC84:BD84" si="76">AC85+AC86+AC87+AC88+AC90+AC89+AC91+AC92+AC93+AC94+AC95+AC96+AC97</f>
        <v>8668.5999999999985</v>
      </c>
      <c r="AD84" s="1626">
        <f t="shared" si="76"/>
        <v>0</v>
      </c>
      <c r="AE84" s="1626">
        <f t="shared" si="76"/>
        <v>0</v>
      </c>
      <c r="AF84" s="1626">
        <f t="shared" si="76"/>
        <v>0</v>
      </c>
      <c r="AG84" s="1626">
        <f t="shared" si="76"/>
        <v>0</v>
      </c>
      <c r="AH84" s="1490">
        <f t="shared" si="56"/>
        <v>0</v>
      </c>
      <c r="AI84" s="1627">
        <f t="shared" si="76"/>
        <v>0</v>
      </c>
      <c r="AJ84" s="1627">
        <f t="shared" si="76"/>
        <v>0</v>
      </c>
      <c r="AK84" s="1627">
        <f t="shared" si="76"/>
        <v>0</v>
      </c>
      <c r="AL84" s="1636">
        <f t="shared" si="73"/>
        <v>0</v>
      </c>
      <c r="AM84" s="1627">
        <f t="shared" si="76"/>
        <v>0</v>
      </c>
      <c r="AN84" s="1615"/>
      <c r="AO84" s="1620">
        <f t="shared" si="76"/>
        <v>608.1</v>
      </c>
      <c r="AP84" s="1620">
        <f t="shared" si="76"/>
        <v>0</v>
      </c>
      <c r="AQ84" s="1620">
        <f t="shared" si="76"/>
        <v>0</v>
      </c>
      <c r="AR84" s="1620">
        <f t="shared" si="76"/>
        <v>0</v>
      </c>
      <c r="AS84" s="1625">
        <f t="shared" si="76"/>
        <v>602.40000000000009</v>
      </c>
      <c r="AT84" s="1620">
        <f t="shared" si="76"/>
        <v>0</v>
      </c>
      <c r="AU84" s="1620">
        <f t="shared" si="76"/>
        <v>0</v>
      </c>
      <c r="AV84" s="1620">
        <f t="shared" si="76"/>
        <v>0</v>
      </c>
      <c r="AW84" s="1625">
        <f t="shared" si="76"/>
        <v>589.90000000000009</v>
      </c>
      <c r="AX84" s="1620">
        <f t="shared" si="76"/>
        <v>0</v>
      </c>
      <c r="AY84" s="1620">
        <f t="shared" si="76"/>
        <v>0</v>
      </c>
      <c r="AZ84" s="1620">
        <f t="shared" si="76"/>
        <v>0</v>
      </c>
      <c r="BA84" s="1615">
        <f t="shared" si="76"/>
        <v>589.90000000000009</v>
      </c>
      <c r="BB84" s="1620">
        <f t="shared" si="76"/>
        <v>0</v>
      </c>
      <c r="BC84" s="1620">
        <f t="shared" si="76"/>
        <v>0</v>
      </c>
      <c r="BD84" s="1620">
        <f t="shared" si="76"/>
        <v>0</v>
      </c>
      <c r="BE84" s="1615"/>
      <c r="BF84" s="1620">
        <f>BF85+BF86+BF87+BF88+BF90+BF89+BF91+BF92+BF93+BF94+BF95+BF96+BF97</f>
        <v>0</v>
      </c>
      <c r="BG84" s="1620">
        <f>BG85+BG86+BG87+BG88+BG90+BG89+BG91+BG92+BG93+BG94+BG95+BG96+BG97</f>
        <v>0</v>
      </c>
      <c r="BH84" s="1620">
        <f>BH85+BH86+BH87+BH88+BH90+BH89+BH91+BH92+BH93+BH94+BH95+BH96+BH97</f>
        <v>0</v>
      </c>
      <c r="BI84" s="1615"/>
      <c r="BJ84" s="1620">
        <f>BJ85+BJ86+BJ87+BJ88+BJ90+BJ89+BJ91+BJ92+BJ93+BJ94+BJ95+BJ96+BJ97</f>
        <v>0</v>
      </c>
      <c r="BK84" s="1620">
        <f>BK85+BK86+BK87+BK88+BK90+BK89+BK91+BK92+BK93+BK94+BK95+BK96+BK97</f>
        <v>0</v>
      </c>
      <c r="BL84" s="1620">
        <f>BL85+BL86+BL87+BL88+BL90+BL89+BL91+BL92+BL93+BL94+BL95+BL96+BL97</f>
        <v>0</v>
      </c>
      <c r="BM84" s="1615"/>
      <c r="BN84" s="1620">
        <f t="shared" ref="BN84:BT84" si="77">BN85+BN86+BN87+BN88+BN90+BN89+BN91+BN92+BN93+BN94+BN95+BN96+BN97</f>
        <v>0</v>
      </c>
      <c r="BO84" s="1620">
        <f t="shared" si="77"/>
        <v>0</v>
      </c>
      <c r="BP84" s="1620">
        <f t="shared" si="77"/>
        <v>0</v>
      </c>
      <c r="BQ84" s="1615">
        <f t="shared" si="77"/>
        <v>649.94000000000005</v>
      </c>
      <c r="BR84" s="1620">
        <f t="shared" si="77"/>
        <v>0</v>
      </c>
      <c r="BS84" s="1620">
        <f t="shared" si="77"/>
        <v>0</v>
      </c>
      <c r="BT84" s="1620">
        <f t="shared" si="77"/>
        <v>0</v>
      </c>
      <c r="BU84" s="1615"/>
      <c r="BV84" s="1620">
        <f t="shared" ref="BV84:CB84" si="78">BV85+BV86+BV87+BV88+BV90+BV89+BV91+BV92+BV93+BV94+BV95+BV96+BV97</f>
        <v>0</v>
      </c>
      <c r="BW84" s="1620">
        <f t="shared" si="78"/>
        <v>0</v>
      </c>
      <c r="BX84" s="1620">
        <f t="shared" si="78"/>
        <v>0</v>
      </c>
      <c r="BY84" s="1615">
        <f t="shared" si="78"/>
        <v>1174.76</v>
      </c>
      <c r="BZ84" s="1620">
        <f t="shared" si="78"/>
        <v>0</v>
      </c>
      <c r="CA84" s="1620">
        <f t="shared" si="78"/>
        <v>0</v>
      </c>
      <c r="CB84" s="1620">
        <f t="shared" si="78"/>
        <v>0</v>
      </c>
      <c r="CC84" s="1615"/>
      <c r="CD84" s="1620">
        <f>CD85+CD86+CD87+CD88+CD90+CD89+CD91+CD92+CD93+CD94+CD95+CD96+CD97</f>
        <v>0</v>
      </c>
      <c r="CE84" s="1620">
        <f>CE85+CE86+CE87+CE88+CE90+CE89+CE91+CE92+CE93+CE94+CE95+CE96+CE97</f>
        <v>0</v>
      </c>
      <c r="CF84" s="1620">
        <f>CF85+CF86+CF87+CF88+CF90+CF89+CF91+CF92+CF93+CF94+CF95+CF96+CF97</f>
        <v>0</v>
      </c>
      <c r="CG84" s="1628"/>
      <c r="CH84" s="1629">
        <v>694.18</v>
      </c>
      <c r="CI84" s="1629">
        <v>0</v>
      </c>
      <c r="CJ84" s="1643">
        <v>0</v>
      </c>
      <c r="CK84" s="1629">
        <v>0</v>
      </c>
      <c r="CL84" s="1513"/>
      <c r="CM84" s="1513"/>
      <c r="CN84" s="1513"/>
      <c r="CO84" s="1513"/>
      <c r="CP84" s="1513"/>
      <c r="CQ84" s="1513"/>
      <c r="CR84" s="1513"/>
      <c r="CS84" s="1513"/>
      <c r="CT84" s="1513"/>
      <c r="CU84" s="1513"/>
      <c r="CV84" s="1513"/>
      <c r="CW84" s="1513"/>
      <c r="CY84" s="1513"/>
    </row>
    <row r="85" spans="1:108" ht="14" x14ac:dyDescent="0.15">
      <c r="A85" s="1541" t="s">
        <v>78</v>
      </c>
      <c r="B85" s="1523" t="s">
        <v>79</v>
      </c>
      <c r="C85" s="1523" t="s">
        <v>100</v>
      </c>
      <c r="D85" s="1523" t="s">
        <v>101</v>
      </c>
      <c r="E85" s="1523">
        <v>4239902</v>
      </c>
      <c r="F85" s="1523"/>
      <c r="G85" s="1523">
        <v>211</v>
      </c>
      <c r="H85" s="1501">
        <f>5436.9+T85+63</f>
        <v>6311.9</v>
      </c>
      <c r="I85" s="1501"/>
      <c r="J85" s="1630"/>
      <c r="K85" s="1630"/>
      <c r="L85" s="1631"/>
      <c r="M85" s="1631"/>
      <c r="N85" s="1631"/>
      <c r="O85" s="1631"/>
      <c r="P85" s="1631"/>
      <c r="Q85" s="1631"/>
      <c r="R85" s="1631"/>
      <c r="S85" s="1631"/>
      <c r="T85" s="1632">
        <f>812</f>
        <v>812</v>
      </c>
      <c r="U85" s="1633"/>
      <c r="V85" s="1633"/>
      <c r="W85" s="1634">
        <f>H85/12</f>
        <v>525.99166666666667</v>
      </c>
      <c r="X85" s="1634">
        <f>AO85</f>
        <v>453.1</v>
      </c>
      <c r="Y85" s="1634">
        <f>CC85</f>
        <v>685.1</v>
      </c>
      <c r="Z85" s="1635">
        <v>534.70000000000005</v>
      </c>
      <c r="AA85" s="1511">
        <f>AW85</f>
        <v>453.1</v>
      </c>
      <c r="AB85" s="1511">
        <f>Z85-AA85</f>
        <v>81.600000000000023</v>
      </c>
      <c r="AC85" s="1508">
        <f t="shared" ref="AC85:AC97" si="79">AO85+AS85+AW85+BA85+BE85+BI85+BM85+BQ85+BU85+BY85+CC85+CH85</f>
        <v>6311.9</v>
      </c>
      <c r="AD85" s="1509">
        <f t="shared" ref="AD85:AD97" si="80">AE85+AF85+AG85</f>
        <v>0</v>
      </c>
      <c r="AE85" s="1509">
        <f t="shared" ref="AE85:AG97" si="81">AP85+AT85+AX85+BB85+BF85+BJ85+BN85+BR85+BV85+BZ85+CD85+CI85</f>
        <v>0</v>
      </c>
      <c r="AF85" s="1509">
        <f t="shared" si="81"/>
        <v>0</v>
      </c>
      <c r="AG85" s="1509">
        <f t="shared" si="81"/>
        <v>0</v>
      </c>
      <c r="AH85" s="1490">
        <f t="shared" si="56"/>
        <v>0</v>
      </c>
      <c r="AI85" s="1636">
        <f t="shared" ref="AI85:AI97" si="82">H85-AC85</f>
        <v>0</v>
      </c>
      <c r="AJ85" s="1636">
        <f t="shared" ref="AJ85:AJ97" si="83">AK85+AL85+AM85</f>
        <v>0</v>
      </c>
      <c r="AK85" s="1636">
        <f t="shared" ref="AK85:AM100" si="84">I85-AE85</f>
        <v>0</v>
      </c>
      <c r="AL85" s="1636">
        <f t="shared" si="84"/>
        <v>0</v>
      </c>
      <c r="AM85" s="1636">
        <f t="shared" si="84"/>
        <v>0</v>
      </c>
      <c r="AN85" s="1637">
        <v>620.9</v>
      </c>
      <c r="AO85" s="1630">
        <v>453.1</v>
      </c>
      <c r="AP85" s="1638"/>
      <c r="AQ85" s="1638"/>
      <c r="AR85" s="1638"/>
      <c r="AS85" s="1639">
        <v>453.1</v>
      </c>
      <c r="AT85" s="1638"/>
      <c r="AU85" s="1638"/>
      <c r="AV85" s="1638"/>
      <c r="AW85" s="1640">
        <v>453.1</v>
      </c>
      <c r="AX85" s="1640"/>
      <c r="AY85" s="1640"/>
      <c r="AZ85" s="1640"/>
      <c r="BA85" s="1641">
        <v>453.1</v>
      </c>
      <c r="BB85" s="1640"/>
      <c r="BC85" s="1640"/>
      <c r="BD85" s="1640"/>
      <c r="BE85" s="1641">
        <v>453.1</v>
      </c>
      <c r="BF85" s="1640"/>
      <c r="BG85" s="1640"/>
      <c r="BH85" s="1640"/>
      <c r="BI85" s="1641">
        <f>181.2+756.4</f>
        <v>937.59999999999991</v>
      </c>
      <c r="BJ85" s="1640"/>
      <c r="BK85" s="1640"/>
      <c r="BL85" s="1640"/>
      <c r="BM85" s="1641">
        <v>271.81</v>
      </c>
      <c r="BN85" s="1640"/>
      <c r="BO85" s="1640"/>
      <c r="BP85" s="1640"/>
      <c r="BQ85" s="1641">
        <v>453.1</v>
      </c>
      <c r="BR85" s="1640"/>
      <c r="BS85" s="1640"/>
      <c r="BT85" s="1640"/>
      <c r="BU85" s="1641">
        <v>377.2</v>
      </c>
      <c r="BV85" s="1640"/>
      <c r="BW85" s="1640"/>
      <c r="BX85" s="1640"/>
      <c r="BY85" s="1641">
        <f>302.2+668.16</f>
        <v>970.3599999999999</v>
      </c>
      <c r="BZ85" s="1640"/>
      <c r="CA85" s="1640"/>
      <c r="CB85" s="1640"/>
      <c r="CC85" s="1641">
        <f>534.7+150.4</f>
        <v>685.1</v>
      </c>
      <c r="CD85" s="1640"/>
      <c r="CE85" s="1640"/>
      <c r="CF85" s="1640"/>
      <c r="CG85" s="1642"/>
      <c r="CH85" s="1643">
        <v>351.23</v>
      </c>
      <c r="CI85" s="1643">
        <v>0</v>
      </c>
      <c r="CJ85" s="1643">
        <v>0</v>
      </c>
      <c r="CK85" s="1643">
        <v>0</v>
      </c>
      <c r="CX85" s="1558">
        <f>H85/12*10-AC85</f>
        <v>-1051.9833333333327</v>
      </c>
      <c r="CY85" s="1558">
        <f>AI85/3</f>
        <v>0</v>
      </c>
      <c r="CZ85" s="1558">
        <f>H85/12</f>
        <v>525.99166666666667</v>
      </c>
      <c r="DA85" s="1559">
        <f>(H85-T85)/12*10-AC85</f>
        <v>-1728.6499999999996</v>
      </c>
      <c r="DB85" s="1559"/>
      <c r="DC85" s="1559"/>
      <c r="DD85">
        <f>(H85-T85)/12</f>
        <v>458.32499999999999</v>
      </c>
    </row>
    <row r="86" spans="1:108" ht="14" x14ac:dyDescent="0.15">
      <c r="A86" s="1541" t="s">
        <v>103</v>
      </c>
      <c r="B86" s="1523" t="s">
        <v>79</v>
      </c>
      <c r="C86" s="1523" t="s">
        <v>100</v>
      </c>
      <c r="D86" s="1523" t="s">
        <v>101</v>
      </c>
      <c r="E86" s="1523">
        <v>4239902</v>
      </c>
      <c r="F86" s="1523"/>
      <c r="G86" s="1523">
        <v>212</v>
      </c>
      <c r="H86" s="1501">
        <f>25.2-6.3</f>
        <v>18.899999999999999</v>
      </c>
      <c r="I86" s="1501"/>
      <c r="J86" s="1630"/>
      <c r="K86" s="1630"/>
      <c r="L86" s="1631"/>
      <c r="M86" s="1631"/>
      <c r="N86" s="1631"/>
      <c r="O86" s="1631"/>
      <c r="P86" s="1631"/>
      <c r="Q86" s="1631"/>
      <c r="R86" s="1631"/>
      <c r="S86" s="1631"/>
      <c r="T86" s="1632"/>
      <c r="U86" s="1633"/>
      <c r="V86" s="1633"/>
      <c r="W86" s="1634"/>
      <c r="X86" s="1634"/>
      <c r="Y86" s="1634"/>
      <c r="Z86" s="1635"/>
      <c r="AA86" s="1634"/>
      <c r="AB86" s="1511">
        <f>Z86-AA86</f>
        <v>0</v>
      </c>
      <c r="AC86" s="1508">
        <f t="shared" si="79"/>
        <v>18.899999999999999</v>
      </c>
      <c r="AD86" s="1509">
        <f t="shared" si="80"/>
        <v>0</v>
      </c>
      <c r="AE86" s="1509">
        <f t="shared" si="81"/>
        <v>0</v>
      </c>
      <c r="AF86" s="1509">
        <f t="shared" si="81"/>
        <v>0</v>
      </c>
      <c r="AG86" s="1509">
        <f t="shared" si="81"/>
        <v>0</v>
      </c>
      <c r="AH86" s="1490">
        <f t="shared" si="56"/>
        <v>0</v>
      </c>
      <c r="AI86" s="1636">
        <f t="shared" si="82"/>
        <v>0</v>
      </c>
      <c r="AJ86" s="1636">
        <f t="shared" si="83"/>
        <v>0</v>
      </c>
      <c r="AK86" s="1636">
        <f t="shared" si="84"/>
        <v>0</v>
      </c>
      <c r="AL86" s="1636">
        <f t="shared" si="84"/>
        <v>0</v>
      </c>
      <c r="AM86" s="1636">
        <f t="shared" si="84"/>
        <v>0</v>
      </c>
      <c r="AN86" s="1637"/>
      <c r="AO86" s="1630">
        <f>2.1*2</f>
        <v>4.2</v>
      </c>
      <c r="AP86" s="1638"/>
      <c r="AQ86" s="1638"/>
      <c r="AR86" s="1638"/>
      <c r="AS86" s="1639"/>
      <c r="AT86" s="1638"/>
      <c r="AU86" s="1638"/>
      <c r="AV86" s="1638"/>
      <c r="AW86" s="1640"/>
      <c r="AX86" s="1640"/>
      <c r="AY86" s="1640"/>
      <c r="AZ86" s="1640"/>
      <c r="BA86" s="1641"/>
      <c r="BB86" s="1640"/>
      <c r="BC86" s="1640"/>
      <c r="BD86" s="1640"/>
      <c r="BE86" s="1641"/>
      <c r="BF86" s="1640"/>
      <c r="BG86" s="1640"/>
      <c r="BH86" s="1640"/>
      <c r="BI86" s="1641"/>
      <c r="BJ86" s="1640"/>
      <c r="BK86" s="1640"/>
      <c r="BL86" s="1640"/>
      <c r="BM86" s="1641"/>
      <c r="BN86" s="1640"/>
      <c r="BO86" s="1640"/>
      <c r="BP86" s="1640"/>
      <c r="BQ86" s="1641"/>
      <c r="BR86" s="1640"/>
      <c r="BS86" s="1640"/>
      <c r="BT86" s="1640"/>
      <c r="BU86" s="1641">
        <v>14.7</v>
      </c>
      <c r="BV86" s="1640"/>
      <c r="BW86" s="1640"/>
      <c r="BX86" s="1640"/>
      <c r="BY86" s="1641"/>
      <c r="BZ86" s="1640"/>
      <c r="CA86" s="1640"/>
      <c r="CB86" s="1640"/>
      <c r="CC86" s="1641"/>
      <c r="CD86" s="1640"/>
      <c r="CE86" s="1640"/>
      <c r="CF86" s="1640"/>
      <c r="CG86" s="1642"/>
      <c r="CH86" s="1643">
        <v>0</v>
      </c>
      <c r="CI86" s="1643">
        <v>0</v>
      </c>
      <c r="CJ86" s="1643">
        <v>0</v>
      </c>
      <c r="CK86" s="1643">
        <v>0</v>
      </c>
      <c r="CX86" s="1558"/>
      <c r="CY86" s="1558"/>
      <c r="CZ86" s="1558"/>
      <c r="DA86" s="1559"/>
      <c r="DB86" s="1559"/>
      <c r="DC86" s="1559"/>
    </row>
    <row r="87" spans="1:108" ht="14" x14ac:dyDescent="0.15">
      <c r="A87" s="1541" t="s">
        <v>84</v>
      </c>
      <c r="B87" s="1523" t="s">
        <v>79</v>
      </c>
      <c r="C87" s="1523" t="s">
        <v>100</v>
      </c>
      <c r="D87" s="1523" t="s">
        <v>101</v>
      </c>
      <c r="E87" s="1523">
        <v>4239902</v>
      </c>
      <c r="F87" s="1523"/>
      <c r="G87" s="1523">
        <v>213</v>
      </c>
      <c r="H87" s="1501">
        <f>1641.9+T87+19.2</f>
        <v>1906.4</v>
      </c>
      <c r="I87" s="1501"/>
      <c r="J87" s="1630"/>
      <c r="K87" s="1630"/>
      <c r="L87" s="1631"/>
      <c r="M87" s="1631"/>
      <c r="N87" s="1631"/>
      <c r="O87" s="1631"/>
      <c r="P87" s="1631"/>
      <c r="Q87" s="1631"/>
      <c r="R87" s="1631"/>
      <c r="S87" s="1631"/>
      <c r="T87" s="1632">
        <f>245.3</f>
        <v>245.3</v>
      </c>
      <c r="U87" s="1633"/>
      <c r="V87" s="1633"/>
      <c r="W87" s="1634">
        <f>H87/12</f>
        <v>158.86666666666667</v>
      </c>
      <c r="X87" s="1634">
        <f>AO87</f>
        <v>136.80000000000001</v>
      </c>
      <c r="Y87" s="1634">
        <f>CC87</f>
        <v>298.11</v>
      </c>
      <c r="Z87" s="1635">
        <v>252.7</v>
      </c>
      <c r="AA87" s="1511">
        <f>AW87</f>
        <v>136.80000000000001</v>
      </c>
      <c r="AB87" s="1511">
        <f>Z87-AA87</f>
        <v>115.89999999999998</v>
      </c>
      <c r="AC87" s="1508">
        <f t="shared" si="79"/>
        <v>1906.4</v>
      </c>
      <c r="AD87" s="1509">
        <f t="shared" si="80"/>
        <v>0</v>
      </c>
      <c r="AE87" s="1509">
        <f t="shared" si="81"/>
        <v>0</v>
      </c>
      <c r="AF87" s="1509">
        <f t="shared" si="81"/>
        <v>0</v>
      </c>
      <c r="AG87" s="1509">
        <f t="shared" si="81"/>
        <v>0</v>
      </c>
      <c r="AH87" s="1490">
        <f t="shared" si="56"/>
        <v>0</v>
      </c>
      <c r="AI87" s="1636">
        <f t="shared" si="82"/>
        <v>0</v>
      </c>
      <c r="AJ87" s="1636">
        <f t="shared" si="83"/>
        <v>0</v>
      </c>
      <c r="AK87" s="1636">
        <f t="shared" si="84"/>
        <v>0</v>
      </c>
      <c r="AL87" s="1636">
        <f t="shared" si="84"/>
        <v>0</v>
      </c>
      <c r="AM87" s="1636">
        <f t="shared" si="84"/>
        <v>0</v>
      </c>
      <c r="AN87" s="1637">
        <v>272.60000000000002</v>
      </c>
      <c r="AO87" s="1630">
        <v>136.80000000000001</v>
      </c>
      <c r="AP87" s="1638"/>
      <c r="AQ87" s="1638"/>
      <c r="AR87" s="1638"/>
      <c r="AS87" s="1639">
        <v>136.80000000000001</v>
      </c>
      <c r="AT87" s="1638"/>
      <c r="AU87" s="1638"/>
      <c r="AV87" s="1638"/>
      <c r="AW87" s="1640">
        <v>136.80000000000001</v>
      </c>
      <c r="AX87" s="1640"/>
      <c r="AY87" s="1640"/>
      <c r="AZ87" s="1640"/>
      <c r="BA87" s="1641">
        <v>136.80000000000001</v>
      </c>
      <c r="BB87" s="1640"/>
      <c r="BC87" s="1640"/>
      <c r="BD87" s="1640"/>
      <c r="BE87" s="1641">
        <v>136.80000000000001</v>
      </c>
      <c r="BF87" s="1640"/>
      <c r="BG87" s="1640"/>
      <c r="BH87" s="1640"/>
      <c r="BI87" s="1641">
        <v>228.4</v>
      </c>
      <c r="BJ87" s="1640"/>
      <c r="BK87" s="1640"/>
      <c r="BL87" s="1640"/>
      <c r="BM87" s="1641">
        <v>136.9</v>
      </c>
      <c r="BN87" s="1640"/>
      <c r="BO87" s="1640"/>
      <c r="BP87" s="1640"/>
      <c r="BQ87" s="1641">
        <v>136.80000000000001</v>
      </c>
      <c r="BR87" s="1640"/>
      <c r="BS87" s="1640"/>
      <c r="BT87" s="1640"/>
      <c r="BU87" s="1641">
        <v>114</v>
      </c>
      <c r="BV87" s="1640"/>
      <c r="BW87" s="1640"/>
      <c r="BX87" s="1640"/>
      <c r="BY87" s="1641">
        <v>204.4</v>
      </c>
      <c r="BZ87" s="1640"/>
      <c r="CA87" s="1640"/>
      <c r="CB87" s="1640"/>
      <c r="CC87" s="1641">
        <f>252.7+45.41</f>
        <v>298.11</v>
      </c>
      <c r="CD87" s="1640"/>
      <c r="CE87" s="1640"/>
      <c r="CF87" s="1640"/>
      <c r="CG87" s="1642"/>
      <c r="CH87" s="1643">
        <v>103.79</v>
      </c>
      <c r="CI87" s="1643">
        <v>0</v>
      </c>
      <c r="CJ87" s="1643">
        <v>0</v>
      </c>
      <c r="CK87" s="1643">
        <v>0</v>
      </c>
      <c r="CX87" s="1558">
        <f>H87/12*10-AC87</f>
        <v>-317.73333333333335</v>
      </c>
      <c r="CY87" s="1558">
        <f>AI87/3</f>
        <v>0</v>
      </c>
      <c r="CZ87" s="1558">
        <f>H87/12</f>
        <v>158.86666666666667</v>
      </c>
      <c r="DA87" s="1559">
        <f>(H87-T87)/12*10-AC87</f>
        <v>-522.15000000000009</v>
      </c>
      <c r="DB87" s="1559"/>
      <c r="DC87" s="1559"/>
      <c r="DD87">
        <f>(H87-T87)/12</f>
        <v>138.42500000000001</v>
      </c>
    </row>
    <row r="88" spans="1:108" ht="14" x14ac:dyDescent="0.15">
      <c r="A88" s="1541" t="s">
        <v>85</v>
      </c>
      <c r="B88" s="1523" t="s">
        <v>79</v>
      </c>
      <c r="C88" s="1523" t="s">
        <v>100</v>
      </c>
      <c r="D88" s="1523" t="s">
        <v>101</v>
      </c>
      <c r="E88" s="1523">
        <v>4239902</v>
      </c>
      <c r="F88" s="1523"/>
      <c r="G88" s="1523">
        <v>221</v>
      </c>
      <c r="H88" s="1501">
        <v>0</v>
      </c>
      <c r="I88" s="1501"/>
      <c r="J88" s="1630"/>
      <c r="K88" s="1630"/>
      <c r="L88" s="1631"/>
      <c r="M88" s="1631"/>
      <c r="N88" s="1631"/>
      <c r="O88" s="1631"/>
      <c r="P88" s="1631"/>
      <c r="Q88" s="1631"/>
      <c r="R88" s="1631"/>
      <c r="S88" s="1631"/>
      <c r="T88" s="1632"/>
      <c r="U88" s="1633"/>
      <c r="V88" s="1633"/>
      <c r="W88" s="1634"/>
      <c r="X88" s="1634"/>
      <c r="Y88" s="1634"/>
      <c r="Z88" s="1635"/>
      <c r="AA88" s="1634"/>
      <c r="AB88" s="1634"/>
      <c r="AC88" s="1508">
        <f t="shared" si="79"/>
        <v>0</v>
      </c>
      <c r="AD88" s="1509">
        <f t="shared" si="80"/>
        <v>0</v>
      </c>
      <c r="AE88" s="1509">
        <f t="shared" si="81"/>
        <v>0</v>
      </c>
      <c r="AF88" s="1509">
        <f t="shared" si="81"/>
        <v>0</v>
      </c>
      <c r="AG88" s="1509">
        <f t="shared" si="81"/>
        <v>0</v>
      </c>
      <c r="AH88" s="1490">
        <f t="shared" si="56"/>
        <v>0</v>
      </c>
      <c r="AI88" s="1636">
        <f t="shared" si="82"/>
        <v>0</v>
      </c>
      <c r="AJ88" s="1636">
        <f t="shared" si="83"/>
        <v>0</v>
      </c>
      <c r="AK88" s="1636">
        <f t="shared" si="84"/>
        <v>0</v>
      </c>
      <c r="AL88" s="1636">
        <f t="shared" si="84"/>
        <v>0</v>
      </c>
      <c r="AM88" s="1636">
        <f t="shared" si="84"/>
        <v>0</v>
      </c>
      <c r="AN88" s="1637"/>
      <c r="AO88" s="1630"/>
      <c r="AP88" s="1638"/>
      <c r="AQ88" s="1638"/>
      <c r="AR88" s="1638"/>
      <c r="AS88" s="1639"/>
      <c r="AT88" s="1638"/>
      <c r="AU88" s="1638"/>
      <c r="AV88" s="1638"/>
      <c r="AW88" s="1639"/>
      <c r="AX88" s="1640"/>
      <c r="AY88" s="1640"/>
      <c r="AZ88" s="1640"/>
      <c r="BA88" s="1641"/>
      <c r="BB88" s="1640"/>
      <c r="BC88" s="1640"/>
      <c r="BD88" s="1640"/>
      <c r="BE88" s="1644"/>
      <c r="BF88" s="1640"/>
      <c r="BG88" s="1640"/>
      <c r="BH88" s="1640"/>
      <c r="BI88" s="1641"/>
      <c r="BJ88" s="1640"/>
      <c r="BK88" s="1640"/>
      <c r="BL88" s="1640"/>
      <c r="BM88" s="1641"/>
      <c r="BN88" s="1640"/>
      <c r="BO88" s="1640"/>
      <c r="BP88" s="1640"/>
      <c r="BQ88" s="1641"/>
      <c r="BR88" s="1640"/>
      <c r="BS88" s="1640"/>
      <c r="BT88" s="1640"/>
      <c r="BU88" s="1641"/>
      <c r="BV88" s="1640"/>
      <c r="BW88" s="1640"/>
      <c r="BX88" s="1640"/>
      <c r="BY88" s="1641"/>
      <c r="BZ88" s="1640"/>
      <c r="CA88" s="1640"/>
      <c r="CB88" s="1640"/>
      <c r="CC88" s="1641"/>
      <c r="CD88" s="1640"/>
      <c r="CE88" s="1640"/>
      <c r="CF88" s="1640"/>
      <c r="CG88" s="1642"/>
      <c r="CH88" s="1643">
        <v>0</v>
      </c>
      <c r="CI88" s="1643">
        <v>0</v>
      </c>
      <c r="CJ88" s="1643">
        <v>0</v>
      </c>
      <c r="CK88" s="1643">
        <v>0</v>
      </c>
    </row>
    <row r="89" spans="1:108" ht="14" x14ac:dyDescent="0.15">
      <c r="A89" s="1541" t="s">
        <v>86</v>
      </c>
      <c r="B89" s="1523" t="s">
        <v>79</v>
      </c>
      <c r="C89" s="1523" t="s">
        <v>100</v>
      </c>
      <c r="D89" s="1523" t="s">
        <v>101</v>
      </c>
      <c r="E89" s="1523">
        <v>4239902</v>
      </c>
      <c r="F89" s="1523"/>
      <c r="G89" s="1523">
        <v>222</v>
      </c>
      <c r="H89" s="1501">
        <v>0</v>
      </c>
      <c r="I89" s="1501"/>
      <c r="J89" s="1630"/>
      <c r="K89" s="1630"/>
      <c r="L89" s="1631"/>
      <c r="M89" s="1631"/>
      <c r="N89" s="1631"/>
      <c r="O89" s="1631"/>
      <c r="P89" s="1631"/>
      <c r="Q89" s="1631"/>
      <c r="R89" s="1631"/>
      <c r="S89" s="1631"/>
      <c r="T89" s="1632"/>
      <c r="U89" s="1633"/>
      <c r="V89" s="1633"/>
      <c r="W89" s="1634"/>
      <c r="X89" s="1634"/>
      <c r="Y89" s="1634"/>
      <c r="Z89" s="1635"/>
      <c r="AA89" s="1634"/>
      <c r="AB89" s="1634"/>
      <c r="AC89" s="1508">
        <f t="shared" si="79"/>
        <v>0</v>
      </c>
      <c r="AD89" s="1509">
        <f t="shared" si="80"/>
        <v>0</v>
      </c>
      <c r="AE89" s="1509">
        <f t="shared" si="81"/>
        <v>0</v>
      </c>
      <c r="AF89" s="1509">
        <f t="shared" si="81"/>
        <v>0</v>
      </c>
      <c r="AG89" s="1509">
        <f t="shared" si="81"/>
        <v>0</v>
      </c>
      <c r="AH89" s="1490">
        <f t="shared" si="56"/>
        <v>0</v>
      </c>
      <c r="AI89" s="1636">
        <f t="shared" si="82"/>
        <v>0</v>
      </c>
      <c r="AJ89" s="1636">
        <f t="shared" si="83"/>
        <v>0</v>
      </c>
      <c r="AK89" s="1636">
        <f t="shared" si="84"/>
        <v>0</v>
      </c>
      <c r="AL89" s="1636">
        <f t="shared" si="84"/>
        <v>0</v>
      </c>
      <c r="AM89" s="1636">
        <f t="shared" si="84"/>
        <v>0</v>
      </c>
      <c r="AN89" s="1637"/>
      <c r="AO89" s="1630"/>
      <c r="AP89" s="1638"/>
      <c r="AQ89" s="1638"/>
      <c r="AR89" s="1638"/>
      <c r="AS89" s="1639"/>
      <c r="AT89" s="1638"/>
      <c r="AU89" s="1638"/>
      <c r="AV89" s="1638"/>
      <c r="AW89" s="1639"/>
      <c r="AX89" s="1640"/>
      <c r="AY89" s="1640"/>
      <c r="AZ89" s="1640"/>
      <c r="BA89" s="1641"/>
      <c r="BB89" s="1640"/>
      <c r="BC89" s="1640"/>
      <c r="BD89" s="1640"/>
      <c r="BE89" s="1644"/>
      <c r="BF89" s="1640"/>
      <c r="BG89" s="1640"/>
      <c r="BH89" s="1640"/>
      <c r="BI89" s="1641"/>
      <c r="BJ89" s="1640"/>
      <c r="BK89" s="1640"/>
      <c r="BL89" s="1640"/>
      <c r="BM89" s="1641"/>
      <c r="BN89" s="1640"/>
      <c r="BO89" s="1640"/>
      <c r="BP89" s="1640"/>
      <c r="BQ89" s="1641"/>
      <c r="BR89" s="1640"/>
      <c r="BS89" s="1640"/>
      <c r="BT89" s="1640"/>
      <c r="BU89" s="1641"/>
      <c r="BV89" s="1640"/>
      <c r="BW89" s="1640"/>
      <c r="BX89" s="1640"/>
      <c r="BY89" s="1641"/>
      <c r="BZ89" s="1640"/>
      <c r="CA89" s="1640"/>
      <c r="CB89" s="1640"/>
      <c r="CC89" s="1641"/>
      <c r="CD89" s="1640"/>
      <c r="CE89" s="1640"/>
      <c r="CF89" s="1640"/>
      <c r="CG89" s="1642"/>
      <c r="CH89" s="1643">
        <v>0</v>
      </c>
      <c r="CI89" s="1643">
        <v>0</v>
      </c>
      <c r="CJ89" s="1643">
        <v>0</v>
      </c>
      <c r="CK89" s="1643">
        <v>0</v>
      </c>
    </row>
    <row r="90" spans="1:108" ht="14" x14ac:dyDescent="0.15">
      <c r="A90" s="1541" t="s">
        <v>87</v>
      </c>
      <c r="B90" s="1523" t="s">
        <v>79</v>
      </c>
      <c r="C90" s="1523" t="s">
        <v>100</v>
      </c>
      <c r="D90" s="1523" t="s">
        <v>101</v>
      </c>
      <c r="E90" s="1523">
        <v>4239902</v>
      </c>
      <c r="F90" s="1523"/>
      <c r="G90" s="1523">
        <v>223</v>
      </c>
      <c r="H90" s="1501">
        <v>0</v>
      </c>
      <c r="I90" s="1501"/>
      <c r="J90" s="1630"/>
      <c r="K90" s="1630"/>
      <c r="L90" s="1631"/>
      <c r="M90" s="1631"/>
      <c r="N90" s="1631"/>
      <c r="O90" s="1631"/>
      <c r="P90" s="1631"/>
      <c r="Q90" s="1631"/>
      <c r="R90" s="1631"/>
      <c r="S90" s="1631"/>
      <c r="T90" s="1632"/>
      <c r="U90" s="1633"/>
      <c r="V90" s="1633"/>
      <c r="W90" s="1634"/>
      <c r="X90" s="1634"/>
      <c r="Y90" s="1634"/>
      <c r="Z90" s="1635"/>
      <c r="AA90" s="1634"/>
      <c r="AB90" s="1634"/>
      <c r="AC90" s="1508">
        <f t="shared" si="79"/>
        <v>0</v>
      </c>
      <c r="AD90" s="1509">
        <f t="shared" si="80"/>
        <v>0</v>
      </c>
      <c r="AE90" s="1509">
        <f t="shared" si="81"/>
        <v>0</v>
      </c>
      <c r="AF90" s="1509">
        <f t="shared" si="81"/>
        <v>0</v>
      </c>
      <c r="AG90" s="1509">
        <f t="shared" si="81"/>
        <v>0</v>
      </c>
      <c r="AH90" s="1490">
        <f t="shared" si="56"/>
        <v>0</v>
      </c>
      <c r="AI90" s="1636">
        <f t="shared" si="82"/>
        <v>0</v>
      </c>
      <c r="AJ90" s="1636">
        <f t="shared" si="83"/>
        <v>0</v>
      </c>
      <c r="AK90" s="1636">
        <f t="shared" si="84"/>
        <v>0</v>
      </c>
      <c r="AL90" s="1636">
        <f t="shared" si="84"/>
        <v>0</v>
      </c>
      <c r="AM90" s="1636">
        <f t="shared" si="84"/>
        <v>0</v>
      </c>
      <c r="AN90" s="1637"/>
      <c r="AO90" s="1630"/>
      <c r="AP90" s="1638"/>
      <c r="AQ90" s="1638"/>
      <c r="AR90" s="1638"/>
      <c r="AS90" s="1639"/>
      <c r="AT90" s="1638"/>
      <c r="AU90" s="1638"/>
      <c r="AV90" s="1638"/>
      <c r="AW90" s="1639"/>
      <c r="AX90" s="1640"/>
      <c r="AY90" s="1640"/>
      <c r="AZ90" s="1640"/>
      <c r="BA90" s="1641"/>
      <c r="BB90" s="1640"/>
      <c r="BC90" s="1640"/>
      <c r="BD90" s="1640"/>
      <c r="BE90" s="1644"/>
      <c r="BF90" s="1640"/>
      <c r="BG90" s="1640"/>
      <c r="BH90" s="1640"/>
      <c r="BI90" s="1641"/>
      <c r="BJ90" s="1640"/>
      <c r="BK90" s="1640"/>
      <c r="BL90" s="1640"/>
      <c r="BM90" s="1641"/>
      <c r="BN90" s="1640"/>
      <c r="BO90" s="1640"/>
      <c r="BP90" s="1640"/>
      <c r="BQ90" s="1641"/>
      <c r="BR90" s="1640"/>
      <c r="BS90" s="1640"/>
      <c r="BT90" s="1640"/>
      <c r="BU90" s="1641"/>
      <c r="BV90" s="1640"/>
      <c r="BW90" s="1640"/>
      <c r="BX90" s="1640"/>
      <c r="BY90" s="1641"/>
      <c r="BZ90" s="1640"/>
      <c r="CA90" s="1640"/>
      <c r="CB90" s="1640"/>
      <c r="CC90" s="1641"/>
      <c r="CD90" s="1640"/>
      <c r="CE90" s="1640"/>
      <c r="CF90" s="1640"/>
      <c r="CG90" s="1642"/>
      <c r="CH90" s="1643">
        <v>0</v>
      </c>
      <c r="CI90" s="1643">
        <v>0</v>
      </c>
      <c r="CJ90" s="1643">
        <v>0</v>
      </c>
      <c r="CK90" s="1643">
        <v>0</v>
      </c>
    </row>
    <row r="91" spans="1:108" ht="14" x14ac:dyDescent="0.15">
      <c r="A91" s="1541" t="s">
        <v>89</v>
      </c>
      <c r="B91" s="1523" t="s">
        <v>79</v>
      </c>
      <c r="C91" s="1523" t="s">
        <v>100</v>
      </c>
      <c r="D91" s="1523" t="s">
        <v>101</v>
      </c>
      <c r="E91" s="1523">
        <v>4239902</v>
      </c>
      <c r="F91" s="1523"/>
      <c r="G91" s="1523">
        <v>224</v>
      </c>
      <c r="H91" s="1501">
        <f>150-U91-3-25</f>
        <v>0</v>
      </c>
      <c r="I91" s="1501"/>
      <c r="J91" s="1630"/>
      <c r="K91" s="1630"/>
      <c r="L91" s="1631"/>
      <c r="M91" s="1631"/>
      <c r="N91" s="1631"/>
      <c r="O91" s="1631"/>
      <c r="P91" s="1631"/>
      <c r="Q91" s="1631"/>
      <c r="R91" s="1631"/>
      <c r="S91" s="1631"/>
      <c r="T91" s="1632"/>
      <c r="U91" s="1633">
        <v>122</v>
      </c>
      <c r="V91" s="1633"/>
      <c r="W91" s="1634"/>
      <c r="X91" s="1634"/>
      <c r="Y91" s="1634"/>
      <c r="Z91" s="1635"/>
      <c r="AA91" s="1634"/>
      <c r="AB91" s="1634"/>
      <c r="AC91" s="1508">
        <f t="shared" si="79"/>
        <v>0</v>
      </c>
      <c r="AD91" s="1509">
        <f t="shared" si="80"/>
        <v>0</v>
      </c>
      <c r="AE91" s="1509">
        <f t="shared" si="81"/>
        <v>0</v>
      </c>
      <c r="AF91" s="1509">
        <f t="shared" si="81"/>
        <v>0</v>
      </c>
      <c r="AG91" s="1509">
        <f t="shared" si="81"/>
        <v>0</v>
      </c>
      <c r="AH91" s="1490">
        <f t="shared" si="56"/>
        <v>0</v>
      </c>
      <c r="AI91" s="1636">
        <f t="shared" si="82"/>
        <v>0</v>
      </c>
      <c r="AJ91" s="1636">
        <f t="shared" si="83"/>
        <v>0</v>
      </c>
      <c r="AK91" s="1636">
        <f t="shared" si="84"/>
        <v>0</v>
      </c>
      <c r="AL91" s="1636">
        <f t="shared" si="84"/>
        <v>0</v>
      </c>
      <c r="AM91" s="1636">
        <f t="shared" si="84"/>
        <v>0</v>
      </c>
      <c r="AN91" s="1637"/>
      <c r="AO91" s="1630"/>
      <c r="AP91" s="1638"/>
      <c r="AQ91" s="1638"/>
      <c r="AR91" s="1638"/>
      <c r="AS91" s="1639"/>
      <c r="AT91" s="1638"/>
      <c r="AU91" s="1638"/>
      <c r="AV91" s="1638"/>
      <c r="AW91" s="1639"/>
      <c r="AX91" s="1640"/>
      <c r="AY91" s="1640"/>
      <c r="AZ91" s="1640"/>
      <c r="BA91" s="1641"/>
      <c r="BB91" s="1640"/>
      <c r="BC91" s="1640"/>
      <c r="BD91" s="1640"/>
      <c r="BE91" s="1644"/>
      <c r="BF91" s="1640"/>
      <c r="BG91" s="1640"/>
      <c r="BH91" s="1640"/>
      <c r="BI91" s="1641"/>
      <c r="BJ91" s="1640"/>
      <c r="BK91" s="1640"/>
      <c r="BL91" s="1640"/>
      <c r="BM91" s="1641"/>
      <c r="BN91" s="1640"/>
      <c r="BO91" s="1640"/>
      <c r="BP91" s="1640"/>
      <c r="BQ91" s="1641"/>
      <c r="BR91" s="1640"/>
      <c r="BS91" s="1640"/>
      <c r="BT91" s="1640"/>
      <c r="BU91" s="1641"/>
      <c r="BV91" s="1640"/>
      <c r="BW91" s="1640"/>
      <c r="BX91" s="1640"/>
      <c r="BY91" s="1641"/>
      <c r="BZ91" s="1640"/>
      <c r="CA91" s="1640"/>
      <c r="CB91" s="1640"/>
      <c r="CC91" s="1641"/>
      <c r="CD91" s="1640"/>
      <c r="CE91" s="1640"/>
      <c r="CF91" s="1640"/>
      <c r="CG91" s="1642"/>
      <c r="CH91" s="1643">
        <v>0</v>
      </c>
      <c r="CI91" s="1643">
        <v>0</v>
      </c>
      <c r="CJ91" s="1643">
        <v>0</v>
      </c>
      <c r="CK91" s="1643">
        <v>0</v>
      </c>
    </row>
    <row r="92" spans="1:108" ht="14" x14ac:dyDescent="0.15">
      <c r="A92" s="1541" t="s">
        <v>90</v>
      </c>
      <c r="B92" s="1523" t="s">
        <v>79</v>
      </c>
      <c r="C92" s="1523" t="s">
        <v>100</v>
      </c>
      <c r="D92" s="1523" t="s">
        <v>101</v>
      </c>
      <c r="E92" s="1523">
        <v>4239902</v>
      </c>
      <c r="F92" s="1523"/>
      <c r="G92" s="1523">
        <v>225</v>
      </c>
      <c r="H92" s="1501">
        <v>25</v>
      </c>
      <c r="I92" s="1501"/>
      <c r="J92" s="1630"/>
      <c r="K92" s="1630"/>
      <c r="L92" s="1631"/>
      <c r="M92" s="1631"/>
      <c r="N92" s="1631"/>
      <c r="O92" s="1631"/>
      <c r="P92" s="1631"/>
      <c r="Q92" s="1631"/>
      <c r="R92" s="1631"/>
      <c r="S92" s="1631"/>
      <c r="T92" s="1632"/>
      <c r="U92" s="1633"/>
      <c r="V92" s="1633"/>
      <c r="W92" s="1634"/>
      <c r="X92" s="1634"/>
      <c r="Y92" s="1634"/>
      <c r="Z92" s="1635"/>
      <c r="AA92" s="1634"/>
      <c r="AB92" s="1634"/>
      <c r="AC92" s="1508">
        <f t="shared" si="79"/>
        <v>25</v>
      </c>
      <c r="AD92" s="1509">
        <f t="shared" si="80"/>
        <v>0</v>
      </c>
      <c r="AE92" s="1509">
        <f t="shared" si="81"/>
        <v>0</v>
      </c>
      <c r="AF92" s="1509">
        <f t="shared" si="81"/>
        <v>0</v>
      </c>
      <c r="AG92" s="1509">
        <f t="shared" si="81"/>
        <v>0</v>
      </c>
      <c r="AH92" s="1490">
        <f t="shared" si="56"/>
        <v>0</v>
      </c>
      <c r="AI92" s="1636">
        <f t="shared" si="82"/>
        <v>0</v>
      </c>
      <c r="AJ92" s="1636">
        <f t="shared" si="83"/>
        <v>0</v>
      </c>
      <c r="AK92" s="1636">
        <f t="shared" si="84"/>
        <v>0</v>
      </c>
      <c r="AL92" s="1636">
        <f t="shared" si="84"/>
        <v>0</v>
      </c>
      <c r="AM92" s="1636">
        <f t="shared" si="84"/>
        <v>0</v>
      </c>
      <c r="AN92" s="1637"/>
      <c r="AO92" s="1630"/>
      <c r="AP92" s="1638"/>
      <c r="AQ92" s="1638"/>
      <c r="AR92" s="1638"/>
      <c r="AS92" s="1639"/>
      <c r="AT92" s="1638"/>
      <c r="AU92" s="1638"/>
      <c r="AV92" s="1638"/>
      <c r="AW92" s="1639"/>
      <c r="AX92" s="1640"/>
      <c r="AY92" s="1640"/>
      <c r="AZ92" s="1640"/>
      <c r="BA92" s="1641"/>
      <c r="BB92" s="1640"/>
      <c r="BC92" s="1640"/>
      <c r="BD92" s="1640"/>
      <c r="BE92" s="1644"/>
      <c r="BF92" s="1640"/>
      <c r="BG92" s="1640"/>
      <c r="BH92" s="1640"/>
      <c r="BI92" s="1641"/>
      <c r="BJ92" s="1640"/>
      <c r="BK92" s="1640"/>
      <c r="BL92" s="1640"/>
      <c r="BM92" s="1641"/>
      <c r="BN92" s="1640"/>
      <c r="BO92" s="1640"/>
      <c r="BP92" s="1640"/>
      <c r="BQ92" s="1641">
        <v>25</v>
      </c>
      <c r="BR92" s="1640"/>
      <c r="BS92" s="1640"/>
      <c r="BT92" s="1640"/>
      <c r="BU92" s="1641"/>
      <c r="BV92" s="1640"/>
      <c r="BW92" s="1640"/>
      <c r="BX92" s="1640"/>
      <c r="BY92" s="1641"/>
      <c r="BZ92" s="1640"/>
      <c r="CA92" s="1640"/>
      <c r="CB92" s="1640"/>
      <c r="CC92" s="1641"/>
      <c r="CD92" s="1640"/>
      <c r="CE92" s="1640"/>
      <c r="CF92" s="1640"/>
      <c r="CG92" s="1642"/>
      <c r="CH92" s="1643">
        <v>0</v>
      </c>
      <c r="CI92" s="1643">
        <v>0</v>
      </c>
      <c r="CJ92" s="1643">
        <v>0</v>
      </c>
      <c r="CK92" s="1643">
        <v>0</v>
      </c>
    </row>
    <row r="93" spans="1:108" ht="14" x14ac:dyDescent="0.15">
      <c r="A93" s="1541" t="s">
        <v>91</v>
      </c>
      <c r="B93" s="1523" t="s">
        <v>79</v>
      </c>
      <c r="C93" s="1523" t="s">
        <v>100</v>
      </c>
      <c r="D93" s="1523" t="s">
        <v>101</v>
      </c>
      <c r="E93" s="1523">
        <v>4239902</v>
      </c>
      <c r="F93" s="1523"/>
      <c r="G93" s="1523">
        <v>226</v>
      </c>
      <c r="H93" s="1501">
        <f>100+35-U93</f>
        <v>135</v>
      </c>
      <c r="I93" s="1501"/>
      <c r="J93" s="1630"/>
      <c r="K93" s="1630"/>
      <c r="L93" s="1631"/>
      <c r="M93" s="1631"/>
      <c r="N93" s="1631"/>
      <c r="O93" s="1631"/>
      <c r="P93" s="1631"/>
      <c r="Q93" s="1631"/>
      <c r="R93" s="1631"/>
      <c r="S93" s="1631"/>
      <c r="T93" s="1632"/>
      <c r="U93" s="1633"/>
      <c r="V93" s="1633"/>
      <c r="W93" s="1634"/>
      <c r="X93" s="1634"/>
      <c r="Y93" s="1634"/>
      <c r="Z93" s="1635"/>
      <c r="AA93" s="1634"/>
      <c r="AB93" s="1634"/>
      <c r="AC93" s="1508">
        <f t="shared" si="79"/>
        <v>135</v>
      </c>
      <c r="AD93" s="1509">
        <f t="shared" si="80"/>
        <v>0</v>
      </c>
      <c r="AE93" s="1509">
        <f t="shared" si="81"/>
        <v>0</v>
      </c>
      <c r="AF93" s="1509">
        <f t="shared" si="81"/>
        <v>0</v>
      </c>
      <c r="AG93" s="1509">
        <f t="shared" si="81"/>
        <v>0</v>
      </c>
      <c r="AH93" s="1490">
        <f t="shared" si="56"/>
        <v>0</v>
      </c>
      <c r="AI93" s="1636">
        <f t="shared" si="82"/>
        <v>0</v>
      </c>
      <c r="AJ93" s="1636">
        <f t="shared" si="83"/>
        <v>0</v>
      </c>
      <c r="AK93" s="1636">
        <f t="shared" si="84"/>
        <v>0</v>
      </c>
      <c r="AL93" s="1636">
        <f t="shared" si="84"/>
        <v>0</v>
      </c>
      <c r="AM93" s="1636">
        <f t="shared" si="84"/>
        <v>0</v>
      </c>
      <c r="AN93" s="1637"/>
      <c r="AO93" s="1630"/>
      <c r="AP93" s="1638"/>
      <c r="AQ93" s="1638"/>
      <c r="AR93" s="1638"/>
      <c r="AS93" s="1639"/>
      <c r="AT93" s="1638"/>
      <c r="AU93" s="1638"/>
      <c r="AV93" s="1638"/>
      <c r="AW93" s="1639"/>
      <c r="AX93" s="1640"/>
      <c r="AY93" s="1640"/>
      <c r="AZ93" s="1640"/>
      <c r="BA93" s="1641"/>
      <c r="BB93" s="1640"/>
      <c r="BC93" s="1640"/>
      <c r="BD93" s="1640"/>
      <c r="BE93" s="1644"/>
      <c r="BF93" s="1640"/>
      <c r="BG93" s="1640"/>
      <c r="BH93" s="1640"/>
      <c r="BI93" s="1641"/>
      <c r="BJ93" s="1640"/>
      <c r="BK93" s="1640"/>
      <c r="BL93" s="1640"/>
      <c r="BM93" s="1641"/>
      <c r="BN93" s="1640"/>
      <c r="BO93" s="1640"/>
      <c r="BP93" s="1640"/>
      <c r="BQ93" s="1641">
        <v>35</v>
      </c>
      <c r="BR93" s="1640"/>
      <c r="BS93" s="1640"/>
      <c r="BT93" s="1640"/>
      <c r="BU93" s="1641">
        <v>100</v>
      </c>
      <c r="BV93" s="1640"/>
      <c r="BW93" s="1640"/>
      <c r="BX93" s="1640"/>
      <c r="BY93" s="1641"/>
      <c r="BZ93" s="1640"/>
      <c r="CA93" s="1640"/>
      <c r="CB93" s="1640"/>
      <c r="CC93" s="1641"/>
      <c r="CD93" s="1640"/>
      <c r="CE93" s="1640"/>
      <c r="CF93" s="1640"/>
      <c r="CG93" s="1642"/>
      <c r="CH93" s="1643">
        <v>0</v>
      </c>
      <c r="CI93" s="1643">
        <v>0</v>
      </c>
      <c r="CJ93" s="1643">
        <v>0</v>
      </c>
      <c r="CK93" s="1643">
        <v>0</v>
      </c>
    </row>
    <row r="94" spans="1:108" ht="14" x14ac:dyDescent="0.15">
      <c r="A94" s="1541" t="s">
        <v>94</v>
      </c>
      <c r="B94" s="1523" t="s">
        <v>79</v>
      </c>
      <c r="C94" s="1523" t="s">
        <v>100</v>
      </c>
      <c r="D94" s="1523" t="s">
        <v>101</v>
      </c>
      <c r="E94" s="1523">
        <v>4239902</v>
      </c>
      <c r="F94" s="1523"/>
      <c r="G94" s="1523">
        <v>290</v>
      </c>
      <c r="H94" s="1501">
        <f>8.5+200</f>
        <v>208.5</v>
      </c>
      <c r="I94" s="1501"/>
      <c r="J94" s="1630"/>
      <c r="K94" s="1630"/>
      <c r="L94" s="1631"/>
      <c r="M94" s="1631"/>
      <c r="N94" s="1631"/>
      <c r="O94" s="1631"/>
      <c r="P94" s="1631"/>
      <c r="Q94" s="1631"/>
      <c r="R94" s="1631"/>
      <c r="S94" s="1631"/>
      <c r="T94" s="1632"/>
      <c r="U94" s="1633"/>
      <c r="V94" s="1633"/>
      <c r="W94" s="1634"/>
      <c r="X94" s="1634"/>
      <c r="Y94" s="1634"/>
      <c r="Z94" s="1635"/>
      <c r="AA94" s="1634"/>
      <c r="AB94" s="1634"/>
      <c r="AC94" s="1508">
        <f t="shared" si="79"/>
        <v>208.5</v>
      </c>
      <c r="AD94" s="1509">
        <f t="shared" si="80"/>
        <v>0</v>
      </c>
      <c r="AE94" s="1509">
        <f t="shared" si="81"/>
        <v>0</v>
      </c>
      <c r="AF94" s="1509">
        <f t="shared" si="81"/>
        <v>0</v>
      </c>
      <c r="AG94" s="1509">
        <f t="shared" si="81"/>
        <v>0</v>
      </c>
      <c r="AH94" s="1490">
        <f t="shared" si="56"/>
        <v>0</v>
      </c>
      <c r="AI94" s="1636">
        <f t="shared" si="82"/>
        <v>0</v>
      </c>
      <c r="AJ94" s="1636">
        <f t="shared" si="83"/>
        <v>0</v>
      </c>
      <c r="AK94" s="1636">
        <f t="shared" si="84"/>
        <v>0</v>
      </c>
      <c r="AL94" s="1636">
        <f t="shared" si="84"/>
        <v>0</v>
      </c>
      <c r="AM94" s="1636">
        <f t="shared" si="84"/>
        <v>0</v>
      </c>
      <c r="AN94" s="1637"/>
      <c r="AO94" s="1630">
        <v>0.7</v>
      </c>
      <c r="AP94" s="1638"/>
      <c r="AQ94" s="1638"/>
      <c r="AR94" s="1638"/>
      <c r="AS94" s="1639"/>
      <c r="AT94" s="1638"/>
      <c r="AU94" s="1638"/>
      <c r="AV94" s="1638"/>
      <c r="AW94" s="1639"/>
      <c r="AX94" s="1640"/>
      <c r="AY94" s="1640"/>
      <c r="AZ94" s="1640"/>
      <c r="BA94" s="1641"/>
      <c r="BB94" s="1640"/>
      <c r="BC94" s="1640"/>
      <c r="BD94" s="1640"/>
      <c r="BE94" s="1644">
        <v>2.2000000000000002</v>
      </c>
      <c r="BF94" s="1640"/>
      <c r="BG94" s="1640"/>
      <c r="BH94" s="1640"/>
      <c r="BI94" s="1641"/>
      <c r="BJ94" s="1640"/>
      <c r="BK94" s="1640"/>
      <c r="BL94" s="1640"/>
      <c r="BM94" s="1641"/>
      <c r="BN94" s="1640"/>
      <c r="BO94" s="1640"/>
      <c r="BP94" s="1640"/>
      <c r="BQ94" s="1641"/>
      <c r="BR94" s="1640"/>
      <c r="BS94" s="1640"/>
      <c r="BT94" s="1640"/>
      <c r="BU94" s="1641">
        <v>3.5</v>
      </c>
      <c r="BV94" s="1640"/>
      <c r="BW94" s="1640"/>
      <c r="BX94" s="1640"/>
      <c r="BY94" s="1641"/>
      <c r="BZ94" s="1640"/>
      <c r="CA94" s="1640"/>
      <c r="CB94" s="1640"/>
      <c r="CC94" s="1641"/>
      <c r="CD94" s="1640"/>
      <c r="CE94" s="1640"/>
      <c r="CF94" s="1640"/>
      <c r="CG94" s="1642"/>
      <c r="CH94" s="1643">
        <v>202.1</v>
      </c>
      <c r="CI94" s="1643">
        <v>0</v>
      </c>
      <c r="CJ94" s="1643">
        <v>0</v>
      </c>
      <c r="CK94" s="1643">
        <v>0</v>
      </c>
    </row>
    <row r="95" spans="1:108" ht="14" x14ac:dyDescent="0.15">
      <c r="A95" s="1541" t="s">
        <v>94</v>
      </c>
      <c r="B95" s="1523" t="s">
        <v>79</v>
      </c>
      <c r="C95" s="1523" t="s">
        <v>100</v>
      </c>
      <c r="D95" s="1523" t="s">
        <v>101</v>
      </c>
      <c r="E95" s="1523">
        <v>4239902</v>
      </c>
      <c r="F95" s="1523"/>
      <c r="G95" s="1523">
        <v>290</v>
      </c>
      <c r="H95" s="1501">
        <v>0</v>
      </c>
      <c r="I95" s="1501"/>
      <c r="J95" s="1630"/>
      <c r="K95" s="1630"/>
      <c r="L95" s="1631"/>
      <c r="M95" s="1631"/>
      <c r="N95" s="1631"/>
      <c r="O95" s="1631"/>
      <c r="P95" s="1631"/>
      <c r="Q95" s="1631"/>
      <c r="R95" s="1631"/>
      <c r="S95" s="1631"/>
      <c r="T95" s="1632"/>
      <c r="U95" s="1633"/>
      <c r="V95" s="1633"/>
      <c r="W95" s="1634"/>
      <c r="X95" s="1634"/>
      <c r="Y95" s="1634"/>
      <c r="Z95" s="1635"/>
      <c r="AA95" s="1634"/>
      <c r="AB95" s="1634"/>
      <c r="AC95" s="1508">
        <f t="shared" si="79"/>
        <v>0</v>
      </c>
      <c r="AD95" s="1509">
        <f t="shared" si="80"/>
        <v>0</v>
      </c>
      <c r="AE95" s="1509">
        <f t="shared" si="81"/>
        <v>0</v>
      </c>
      <c r="AF95" s="1509">
        <f t="shared" si="81"/>
        <v>0</v>
      </c>
      <c r="AG95" s="1509">
        <f t="shared" si="81"/>
        <v>0</v>
      </c>
      <c r="AH95" s="1490">
        <f t="shared" si="56"/>
        <v>0</v>
      </c>
      <c r="AI95" s="1636">
        <f t="shared" si="82"/>
        <v>0</v>
      </c>
      <c r="AJ95" s="1636">
        <f t="shared" si="83"/>
        <v>0</v>
      </c>
      <c r="AK95" s="1636">
        <f t="shared" si="84"/>
        <v>0</v>
      </c>
      <c r="AL95" s="1636">
        <f t="shared" si="84"/>
        <v>0</v>
      </c>
      <c r="AM95" s="1636">
        <f t="shared" si="84"/>
        <v>0</v>
      </c>
      <c r="AN95" s="1637"/>
      <c r="AO95" s="1630"/>
      <c r="AP95" s="1638"/>
      <c r="AQ95" s="1638"/>
      <c r="AR95" s="1638"/>
      <c r="AS95" s="1639"/>
      <c r="AT95" s="1638"/>
      <c r="AU95" s="1638"/>
      <c r="AV95" s="1638"/>
      <c r="AW95" s="1639"/>
      <c r="AX95" s="1640"/>
      <c r="AY95" s="1640"/>
      <c r="AZ95" s="1640"/>
      <c r="BA95" s="1641"/>
      <c r="BB95" s="1640"/>
      <c r="BC95" s="1640"/>
      <c r="BD95" s="1640"/>
      <c r="BE95" s="1644"/>
      <c r="BF95" s="1640"/>
      <c r="BG95" s="1640"/>
      <c r="BH95" s="1640"/>
      <c r="BI95" s="1641"/>
      <c r="BJ95" s="1640"/>
      <c r="BK95" s="1640"/>
      <c r="BL95" s="1640"/>
      <c r="BM95" s="1641"/>
      <c r="BN95" s="1640"/>
      <c r="BO95" s="1640"/>
      <c r="BP95" s="1640"/>
      <c r="BQ95" s="1641"/>
      <c r="BR95" s="1640"/>
      <c r="BS95" s="1640"/>
      <c r="BT95" s="1640"/>
      <c r="BU95" s="1641"/>
      <c r="BV95" s="1640"/>
      <c r="BW95" s="1640"/>
      <c r="BX95" s="1640"/>
      <c r="BY95" s="1641"/>
      <c r="BZ95" s="1640"/>
      <c r="CA95" s="1640"/>
      <c r="CB95" s="1640"/>
      <c r="CC95" s="1641"/>
      <c r="CD95" s="1640"/>
      <c r="CE95" s="1640"/>
      <c r="CF95" s="1640"/>
      <c r="CG95" s="1642"/>
      <c r="CH95" s="1643">
        <v>0</v>
      </c>
      <c r="CI95" s="1643">
        <v>0</v>
      </c>
      <c r="CJ95" s="1643">
        <v>0</v>
      </c>
      <c r="CK95" s="1643">
        <v>0</v>
      </c>
    </row>
    <row r="96" spans="1:108" ht="14" x14ac:dyDescent="0.15">
      <c r="A96" s="1541" t="s">
        <v>104</v>
      </c>
      <c r="B96" s="1523" t="s">
        <v>79</v>
      </c>
      <c r="C96" s="1523" t="s">
        <v>100</v>
      </c>
      <c r="D96" s="1523" t="s">
        <v>101</v>
      </c>
      <c r="E96" s="1523">
        <v>4239902</v>
      </c>
      <c r="F96" s="1523"/>
      <c r="G96" s="1523">
        <v>310</v>
      </c>
      <c r="H96" s="1501">
        <f>25-U96</f>
        <v>25</v>
      </c>
      <c r="I96" s="1501"/>
      <c r="J96" s="1630"/>
      <c r="K96" s="1630"/>
      <c r="L96" s="1631"/>
      <c r="M96" s="1631"/>
      <c r="N96" s="1631"/>
      <c r="O96" s="1631"/>
      <c r="P96" s="1631"/>
      <c r="Q96" s="1631"/>
      <c r="R96" s="1631"/>
      <c r="S96" s="1631"/>
      <c r="T96" s="1632"/>
      <c r="U96" s="1633"/>
      <c r="V96" s="1633"/>
      <c r="W96" s="1634"/>
      <c r="X96" s="1634"/>
      <c r="Y96" s="1634"/>
      <c r="Z96" s="1635"/>
      <c r="AA96" s="1634"/>
      <c r="AB96" s="1634"/>
      <c r="AC96" s="1508">
        <f t="shared" si="79"/>
        <v>25</v>
      </c>
      <c r="AD96" s="1509">
        <f t="shared" si="80"/>
        <v>0</v>
      </c>
      <c r="AE96" s="1509">
        <f t="shared" si="81"/>
        <v>0</v>
      </c>
      <c r="AF96" s="1509">
        <f t="shared" si="81"/>
        <v>0</v>
      </c>
      <c r="AG96" s="1509">
        <f t="shared" si="81"/>
        <v>0</v>
      </c>
      <c r="AH96" s="1490">
        <f t="shared" si="56"/>
        <v>0</v>
      </c>
      <c r="AI96" s="1636">
        <f t="shared" si="82"/>
        <v>0</v>
      </c>
      <c r="AJ96" s="1636">
        <f t="shared" si="83"/>
        <v>0</v>
      </c>
      <c r="AK96" s="1636">
        <f t="shared" si="84"/>
        <v>0</v>
      </c>
      <c r="AL96" s="1636">
        <f t="shared" si="84"/>
        <v>0</v>
      </c>
      <c r="AM96" s="1636">
        <f t="shared" si="84"/>
        <v>0</v>
      </c>
      <c r="AN96" s="1637"/>
      <c r="AO96" s="1630"/>
      <c r="AP96" s="1638"/>
      <c r="AQ96" s="1638"/>
      <c r="AR96" s="1638"/>
      <c r="AS96" s="1639"/>
      <c r="AT96" s="1638"/>
      <c r="AU96" s="1638"/>
      <c r="AV96" s="1638"/>
      <c r="AW96" s="1639"/>
      <c r="AX96" s="1640"/>
      <c r="AY96" s="1640"/>
      <c r="AZ96" s="1640"/>
      <c r="BA96" s="1641"/>
      <c r="BB96" s="1640"/>
      <c r="BC96" s="1640"/>
      <c r="BD96" s="1640"/>
      <c r="BE96" s="1644"/>
      <c r="BF96" s="1640"/>
      <c r="BG96" s="1640"/>
      <c r="BH96" s="1640"/>
      <c r="BI96" s="1641"/>
      <c r="BJ96" s="1640"/>
      <c r="BK96" s="1640"/>
      <c r="BL96" s="1640"/>
      <c r="BM96" s="1641"/>
      <c r="BN96" s="1640"/>
      <c r="BO96" s="1640"/>
      <c r="BP96" s="1640"/>
      <c r="BQ96" s="1641">
        <v>0.04</v>
      </c>
      <c r="BR96" s="1640"/>
      <c r="BS96" s="1640"/>
      <c r="BT96" s="1640"/>
      <c r="BU96" s="1641"/>
      <c r="BV96" s="1640"/>
      <c r="BW96" s="1640"/>
      <c r="BX96" s="1640"/>
      <c r="BY96" s="1641"/>
      <c r="BZ96" s="1640"/>
      <c r="CA96" s="1640"/>
      <c r="CB96" s="1640"/>
      <c r="CC96" s="1641"/>
      <c r="CD96" s="1640"/>
      <c r="CE96" s="1640"/>
      <c r="CF96" s="1640"/>
      <c r="CG96" s="1642"/>
      <c r="CH96" s="1643">
        <v>24.96</v>
      </c>
      <c r="CI96" s="1643">
        <v>0</v>
      </c>
      <c r="CJ96" s="1643">
        <v>0</v>
      </c>
      <c r="CK96" s="1643">
        <v>0</v>
      </c>
    </row>
    <row r="97" spans="1:108" ht="14" x14ac:dyDescent="0.15">
      <c r="A97" s="1541" t="s">
        <v>97</v>
      </c>
      <c r="B97" s="1523" t="s">
        <v>79</v>
      </c>
      <c r="C97" s="1523" t="s">
        <v>100</v>
      </c>
      <c r="D97" s="1523" t="s">
        <v>101</v>
      </c>
      <c r="E97" s="1523">
        <v>4239902</v>
      </c>
      <c r="F97" s="1523"/>
      <c r="G97" s="1523">
        <v>340</v>
      </c>
      <c r="H97" s="1501">
        <f>9.9-U97+3+25</f>
        <v>37.9</v>
      </c>
      <c r="I97" s="1501"/>
      <c r="J97" s="1630"/>
      <c r="K97" s="1630"/>
      <c r="L97" s="1631"/>
      <c r="M97" s="1631"/>
      <c r="N97" s="1631"/>
      <c r="O97" s="1631"/>
      <c r="P97" s="1631"/>
      <c r="Q97" s="1631"/>
      <c r="R97" s="1631"/>
      <c r="S97" s="1631"/>
      <c r="T97" s="1632"/>
      <c r="U97" s="1633"/>
      <c r="V97" s="1633"/>
      <c r="W97" s="1634"/>
      <c r="X97" s="1634"/>
      <c r="Y97" s="1634"/>
      <c r="Z97" s="1635"/>
      <c r="AA97" s="1634"/>
      <c r="AB97" s="1634"/>
      <c r="AC97" s="1508">
        <f t="shared" si="79"/>
        <v>37.9</v>
      </c>
      <c r="AD97" s="1509">
        <f t="shared" si="80"/>
        <v>0</v>
      </c>
      <c r="AE97" s="1509">
        <f t="shared" si="81"/>
        <v>0</v>
      </c>
      <c r="AF97" s="1509">
        <f t="shared" si="81"/>
        <v>0</v>
      </c>
      <c r="AG97" s="1509">
        <f t="shared" si="81"/>
        <v>0</v>
      </c>
      <c r="AH97" s="1490">
        <f t="shared" si="56"/>
        <v>0</v>
      </c>
      <c r="AI97" s="1636">
        <f t="shared" si="82"/>
        <v>0</v>
      </c>
      <c r="AJ97" s="1636">
        <f t="shared" si="83"/>
        <v>0</v>
      </c>
      <c r="AK97" s="1636">
        <f t="shared" si="84"/>
        <v>0</v>
      </c>
      <c r="AL97" s="1636">
        <f t="shared" si="84"/>
        <v>0</v>
      </c>
      <c r="AM97" s="1636">
        <f t="shared" si="84"/>
        <v>0</v>
      </c>
      <c r="AN97" s="1637"/>
      <c r="AO97" s="1630">
        <f>0.8+12.5</f>
        <v>13.3</v>
      </c>
      <c r="AP97" s="1638"/>
      <c r="AQ97" s="1638"/>
      <c r="AR97" s="1638"/>
      <c r="AS97" s="1639">
        <v>12.5</v>
      </c>
      <c r="AT97" s="1638"/>
      <c r="AU97" s="1638"/>
      <c r="AV97" s="1638"/>
      <c r="AW97" s="1639"/>
      <c r="AX97" s="1640"/>
      <c r="AY97" s="1640"/>
      <c r="AZ97" s="1640"/>
      <c r="BA97" s="1641"/>
      <c r="BB97" s="1640"/>
      <c r="BC97" s="1640"/>
      <c r="BD97" s="1640"/>
      <c r="BE97" s="1644"/>
      <c r="BF97" s="1640"/>
      <c r="BG97" s="1640"/>
      <c r="BH97" s="1640"/>
      <c r="BI97" s="1641"/>
      <c r="BJ97" s="1640"/>
      <c r="BK97" s="1640"/>
      <c r="BL97" s="1640"/>
      <c r="BM97" s="1641"/>
      <c r="BN97" s="1640"/>
      <c r="BO97" s="1640"/>
      <c r="BP97" s="1640"/>
      <c r="BQ97" s="1641"/>
      <c r="BR97" s="1640"/>
      <c r="BS97" s="1640"/>
      <c r="BT97" s="1640"/>
      <c r="BU97" s="1641"/>
      <c r="BV97" s="1640"/>
      <c r="BW97" s="1640"/>
      <c r="BX97" s="1640"/>
      <c r="BY97" s="1641"/>
      <c r="BZ97" s="1640"/>
      <c r="CA97" s="1640"/>
      <c r="CB97" s="1640"/>
      <c r="CC97" s="1641"/>
      <c r="CD97" s="1640"/>
      <c r="CE97" s="1640"/>
      <c r="CF97" s="1640"/>
      <c r="CG97" s="1642"/>
      <c r="CH97" s="1643">
        <v>12.1</v>
      </c>
      <c r="CI97" s="1643">
        <v>0</v>
      </c>
      <c r="CJ97" s="1643">
        <v>0</v>
      </c>
      <c r="CK97" s="1643">
        <v>0</v>
      </c>
    </row>
    <row r="98" spans="1:108" ht="14" x14ac:dyDescent="0.15">
      <c r="A98" s="1528" t="s">
        <v>767</v>
      </c>
      <c r="B98" s="1530" t="s">
        <v>79</v>
      </c>
      <c r="C98" s="1530" t="s">
        <v>100</v>
      </c>
      <c r="D98" s="1530" t="s">
        <v>101</v>
      </c>
      <c r="E98" s="1530">
        <v>4239902</v>
      </c>
      <c r="F98" s="1530" t="s">
        <v>768</v>
      </c>
      <c r="G98" s="1600" t="s">
        <v>766</v>
      </c>
      <c r="H98" s="1647">
        <f>I84</f>
        <v>0</v>
      </c>
      <c r="I98" s="1645"/>
      <c r="J98" s="1630"/>
      <c r="K98" s="1630"/>
      <c r="L98" s="1631"/>
      <c r="M98" s="1631"/>
      <c r="N98" s="1631"/>
      <c r="O98" s="1631"/>
      <c r="P98" s="1631"/>
      <c r="Q98" s="1631"/>
      <c r="R98" s="1631"/>
      <c r="S98" s="1631"/>
      <c r="T98" s="1632"/>
      <c r="U98" s="1633"/>
      <c r="V98" s="1633"/>
      <c r="W98" s="1634"/>
      <c r="X98" s="1634"/>
      <c r="Y98" s="1634"/>
      <c r="Z98" s="1635"/>
      <c r="AA98" s="1634"/>
      <c r="AB98" s="1634"/>
      <c r="AC98" s="1508"/>
      <c r="AD98" s="1509"/>
      <c r="AE98" s="1509"/>
      <c r="AF98" s="1509"/>
      <c r="AG98" s="1509"/>
      <c r="AH98" s="1490">
        <f t="shared" si="56"/>
        <v>0</v>
      </c>
      <c r="AI98" s="1636"/>
      <c r="AJ98" s="1636"/>
      <c r="AK98" s="1636"/>
      <c r="AL98" s="1636">
        <f t="shared" si="84"/>
        <v>0</v>
      </c>
      <c r="AM98" s="1636"/>
      <c r="AN98" s="1637"/>
      <c r="AO98" s="1630"/>
      <c r="AP98" s="1638"/>
      <c r="AQ98" s="1638"/>
      <c r="AR98" s="1638"/>
      <c r="AS98" s="1639"/>
      <c r="AT98" s="1638"/>
      <c r="AU98" s="1638"/>
      <c r="AV98" s="1638"/>
      <c r="AW98" s="1639"/>
      <c r="AX98" s="1640"/>
      <c r="AY98" s="1640"/>
      <c r="AZ98" s="1640"/>
      <c r="BA98" s="1641"/>
      <c r="BB98" s="1640"/>
      <c r="BC98" s="1640"/>
      <c r="BD98" s="1640"/>
      <c r="BE98" s="1644"/>
      <c r="BF98" s="1640"/>
      <c r="BG98" s="1640"/>
      <c r="BH98" s="1640"/>
      <c r="BI98" s="1641"/>
      <c r="BJ98" s="1640"/>
      <c r="BK98" s="1640"/>
      <c r="BL98" s="1640"/>
      <c r="BM98" s="1641"/>
      <c r="BN98" s="1640"/>
      <c r="BO98" s="1640"/>
      <c r="BP98" s="1640"/>
      <c r="BQ98" s="1641"/>
      <c r="BR98" s="1640"/>
      <c r="BS98" s="1640"/>
      <c r="BT98" s="1640"/>
      <c r="BU98" s="1641"/>
      <c r="BV98" s="1640"/>
      <c r="BW98" s="1640"/>
      <c r="BX98" s="1640"/>
      <c r="BY98" s="1641"/>
      <c r="BZ98" s="1640"/>
      <c r="CA98" s="1640"/>
      <c r="CB98" s="1640"/>
      <c r="CC98" s="1641"/>
      <c r="CD98" s="1640"/>
      <c r="CE98" s="1640"/>
      <c r="CF98" s="1640"/>
      <c r="CG98" s="1642"/>
      <c r="CH98" s="1648"/>
      <c r="CI98" s="1648"/>
      <c r="CJ98" s="1643">
        <v>0</v>
      </c>
      <c r="CK98" s="1648"/>
    </row>
    <row r="99" spans="1:108" ht="68.5" customHeight="1" x14ac:dyDescent="0.15">
      <c r="A99" s="1653" t="s">
        <v>1251</v>
      </c>
      <c r="B99" s="1439" t="s">
        <v>79</v>
      </c>
      <c r="C99" s="1439" t="s">
        <v>100</v>
      </c>
      <c r="D99" s="1439" t="s">
        <v>101</v>
      </c>
      <c r="E99" s="1439">
        <v>4239902</v>
      </c>
      <c r="F99" s="1605">
        <v>600</v>
      </c>
      <c r="G99" s="1605"/>
      <c r="H99" s="1606">
        <f>H100+H114</f>
        <v>19195.900000000001</v>
      </c>
      <c r="I99" s="1606">
        <f>I100+I114</f>
        <v>450</v>
      </c>
      <c r="J99" s="1606">
        <f>J100+J114</f>
        <v>199.8</v>
      </c>
      <c r="K99" s="1606">
        <f>K100+K114</f>
        <v>0</v>
      </c>
      <c r="L99" s="1607"/>
      <c r="M99" s="1607"/>
      <c r="N99" s="1607"/>
      <c r="O99" s="1607"/>
      <c r="P99" s="1607"/>
      <c r="Q99" s="1607"/>
      <c r="R99" s="1607"/>
      <c r="S99" s="1607"/>
      <c r="T99" s="1608"/>
      <c r="U99" s="1609"/>
      <c r="V99" s="1609"/>
      <c r="W99" s="1610"/>
      <c r="X99" s="1610"/>
      <c r="Y99" s="1610"/>
      <c r="Z99" s="1611"/>
      <c r="AA99" s="1610"/>
      <c r="AB99" s="1610"/>
      <c r="AC99" s="1606">
        <f>AC100+AC114</f>
        <v>18745.899999999998</v>
      </c>
      <c r="AD99" s="1606">
        <f>AD100+AD114</f>
        <v>649.79999999999995</v>
      </c>
      <c r="AE99" s="1606">
        <f>AE100+AE114</f>
        <v>450</v>
      </c>
      <c r="AF99" s="1606">
        <f>AF100+AF114</f>
        <v>199.8</v>
      </c>
      <c r="AG99" s="1606">
        <f>AG100+AG114</f>
        <v>0</v>
      </c>
      <c r="AH99" s="1490">
        <f t="shared" si="56"/>
        <v>0</v>
      </c>
      <c r="AI99" s="1606">
        <f>AI100+AI114</f>
        <v>0</v>
      </c>
      <c r="AJ99" s="1606">
        <f>AJ100+AJ114</f>
        <v>0</v>
      </c>
      <c r="AK99" s="1606">
        <f>AK100+AK114</f>
        <v>0</v>
      </c>
      <c r="AL99" s="1636">
        <f t="shared" si="84"/>
        <v>0</v>
      </c>
      <c r="AM99" s="1606">
        <f>AM100+AM114</f>
        <v>0</v>
      </c>
      <c r="AN99" s="1614"/>
      <c r="AO99" s="1606">
        <f>AO100+AO114</f>
        <v>1511.5</v>
      </c>
      <c r="AP99" s="1606">
        <f t="shared" ref="AP99:BT99" si="85">AP100+AP115</f>
        <v>0</v>
      </c>
      <c r="AQ99" s="1606">
        <f t="shared" si="85"/>
        <v>0</v>
      </c>
      <c r="AR99" s="1606">
        <f t="shared" si="85"/>
        <v>0</v>
      </c>
      <c r="AS99" s="1611">
        <f>AS100+AS115</f>
        <v>10927.3</v>
      </c>
      <c r="AT99" s="1606">
        <f>AT100+AT115</f>
        <v>450</v>
      </c>
      <c r="AU99" s="1606">
        <f t="shared" si="85"/>
        <v>0</v>
      </c>
      <c r="AV99" s="1606">
        <f t="shared" si="85"/>
        <v>0</v>
      </c>
      <c r="AW99" s="1611"/>
      <c r="AX99" s="1606">
        <f t="shared" si="85"/>
        <v>0</v>
      </c>
      <c r="AY99" s="1606">
        <f t="shared" si="85"/>
        <v>0</v>
      </c>
      <c r="AZ99" s="1606">
        <f t="shared" si="85"/>
        <v>0</v>
      </c>
      <c r="BA99" s="1614"/>
      <c r="BB99" s="1606">
        <f t="shared" si="85"/>
        <v>0</v>
      </c>
      <c r="BC99" s="1606">
        <f t="shared" si="85"/>
        <v>0</v>
      </c>
      <c r="BD99" s="1606">
        <f t="shared" si="85"/>
        <v>0</v>
      </c>
      <c r="BE99" s="1615"/>
      <c r="BF99" s="1606">
        <f t="shared" si="85"/>
        <v>0</v>
      </c>
      <c r="BG99" s="1606">
        <f t="shared" si="85"/>
        <v>0</v>
      </c>
      <c r="BH99" s="1606">
        <f t="shared" si="85"/>
        <v>0</v>
      </c>
      <c r="BI99" s="1614"/>
      <c r="BJ99" s="1606">
        <f t="shared" si="85"/>
        <v>0</v>
      </c>
      <c r="BK99" s="1606">
        <f t="shared" si="85"/>
        <v>0</v>
      </c>
      <c r="BL99" s="1606">
        <f t="shared" si="85"/>
        <v>0</v>
      </c>
      <c r="BM99" s="1614"/>
      <c r="BN99" s="1606">
        <f t="shared" si="85"/>
        <v>1200</v>
      </c>
      <c r="BO99" s="1606">
        <f t="shared" si="85"/>
        <v>0</v>
      </c>
      <c r="BP99" s="1606">
        <f t="shared" si="85"/>
        <v>0</v>
      </c>
      <c r="BQ99" s="1614">
        <f>BQ100+BQ115</f>
        <v>11372.09</v>
      </c>
      <c r="BR99" s="1606">
        <f>BR100+BR115</f>
        <v>0</v>
      </c>
      <c r="BS99" s="1606">
        <f t="shared" si="85"/>
        <v>0</v>
      </c>
      <c r="BT99" s="1606">
        <f t="shared" si="85"/>
        <v>0</v>
      </c>
      <c r="BU99" s="1654">
        <f>BU100+BU101+BU102+BU103+BU105+BU104+BU106+BU107+BU108+BU109+BU110+BU111+BU112</f>
        <v>2706.37</v>
      </c>
      <c r="BV99" s="1606">
        <f>BV100+BV114</f>
        <v>0</v>
      </c>
      <c r="BW99" s="1606">
        <f t="shared" ref="BW99:CF99" si="86">BW100+BW114</f>
        <v>0</v>
      </c>
      <c r="BX99" s="1606">
        <f t="shared" si="86"/>
        <v>0</v>
      </c>
      <c r="BY99" s="1614">
        <f t="shared" si="86"/>
        <v>885.5</v>
      </c>
      <c r="BZ99" s="1606">
        <f t="shared" si="86"/>
        <v>0</v>
      </c>
      <c r="CA99" s="1606">
        <f t="shared" si="86"/>
        <v>100</v>
      </c>
      <c r="CB99" s="1606">
        <f t="shared" si="86"/>
        <v>0</v>
      </c>
      <c r="CC99" s="1606">
        <f t="shared" si="86"/>
        <v>0</v>
      </c>
      <c r="CD99" s="1606">
        <f t="shared" si="86"/>
        <v>0</v>
      </c>
      <c r="CE99" s="1606">
        <f t="shared" si="86"/>
        <v>0</v>
      </c>
      <c r="CF99" s="1606">
        <f t="shared" si="86"/>
        <v>0</v>
      </c>
      <c r="CG99" s="1616"/>
      <c r="CH99" s="1655">
        <v>1805.27</v>
      </c>
      <c r="CI99" s="1649">
        <v>0</v>
      </c>
      <c r="CJ99" s="1643">
        <v>99.8</v>
      </c>
      <c r="CK99" s="1649">
        <v>0</v>
      </c>
    </row>
    <row r="100" spans="1:108" ht="24" customHeight="1" x14ac:dyDescent="0.15">
      <c r="A100" s="1528" t="s">
        <v>764</v>
      </c>
      <c r="B100" s="1530" t="s">
        <v>79</v>
      </c>
      <c r="C100" s="1530" t="s">
        <v>100</v>
      </c>
      <c r="D100" s="1530" t="s">
        <v>101</v>
      </c>
      <c r="E100" s="1530">
        <v>4239902</v>
      </c>
      <c r="F100" s="1656">
        <v>611</v>
      </c>
      <c r="G100" s="1657">
        <v>241</v>
      </c>
      <c r="H100" s="1658">
        <f>H102+H103+H104+H105+H107+H106+H108+H109+H110+H111+H112+H113+H101</f>
        <v>18745.900000000001</v>
      </c>
      <c r="I100" s="1658">
        <f>I102+I103+I104+I105+I107+I106+I108+I109+I110+I111+I112+I113+I101</f>
        <v>450</v>
      </c>
      <c r="J100" s="1658">
        <f>J102+J103+J104+J105+J107+J106+J108+J109+J110+J111+J112+J113+J101</f>
        <v>199.8</v>
      </c>
      <c r="K100" s="1658">
        <f>K102+K103+K104+K105+K107+K106+K108+K109+K110+K111+K112+K113+K101</f>
        <v>0</v>
      </c>
      <c r="L100" s="1659"/>
      <c r="M100" s="1659"/>
      <c r="N100" s="1659"/>
      <c r="O100" s="1659"/>
      <c r="P100" s="1659"/>
      <c r="Q100" s="1659"/>
      <c r="R100" s="1659"/>
      <c r="S100" s="1659"/>
      <c r="T100" s="1660"/>
      <c r="U100" s="1661"/>
      <c r="V100" s="1661"/>
      <c r="W100" s="1662"/>
      <c r="X100" s="1662"/>
      <c r="Y100" s="1662"/>
      <c r="Z100" s="1663"/>
      <c r="AA100" s="1662"/>
      <c r="AB100" s="1662"/>
      <c r="AC100" s="1658">
        <f>AC102+AC103+AC104+AC105+AC107+AC106+AC108+AC109+AC110+AC111+AC112+AC113+AC101</f>
        <v>18745.899999999998</v>
      </c>
      <c r="AD100" s="1658">
        <f>AD102+AD103+AD104+AD105+AD107+AD106+AD108+AD109+AD110+AD111+AD112+AD113+AD101</f>
        <v>649.79999999999995</v>
      </c>
      <c r="AE100" s="1658">
        <f>AE102+AE103+AE104+AE105+AE107+AE106+AE108+AE109+AE110+AE111+AE112+AE113+AE101</f>
        <v>450</v>
      </c>
      <c r="AF100" s="1658">
        <f>AF102+AF103+AF104+AF105+AF107+AF106+AF108+AF109+AF110+AF111+AF112+AF113+AF101</f>
        <v>199.8</v>
      </c>
      <c r="AG100" s="1658">
        <f>AG102+AG103+AG104+AG105+AG107+AG106+AG108+AG109+AG110+AG111+AG112+AG113+AG101</f>
        <v>0</v>
      </c>
      <c r="AH100" s="1490">
        <f t="shared" si="56"/>
        <v>0</v>
      </c>
      <c r="AI100" s="1658">
        <f>AI102+AI103+AI104+AI105+AI107+AI106+AI108+AI109+AI110+AI111+AI112+AI113+AI101</f>
        <v>0</v>
      </c>
      <c r="AJ100" s="1658">
        <f>AJ102+AJ103+AJ104+AJ105+AJ107+AJ106+AJ108+AJ109+AJ110+AJ111+AJ112+AJ113+AJ101</f>
        <v>0</v>
      </c>
      <c r="AK100" s="1658">
        <f>AK102+AK103+AK104+AK105+AK107+AK106+AK108+AK109+AK110+AK111+AK112+AK113+AK101</f>
        <v>0</v>
      </c>
      <c r="AL100" s="1636">
        <f t="shared" si="84"/>
        <v>0</v>
      </c>
      <c r="AM100" s="1658">
        <f>AM102+AM103+AM104+AM105+AM107+AM106+AM108+AM109+AM110+AM111+AM112+AM113+AM101</f>
        <v>0</v>
      </c>
      <c r="AN100" s="1654"/>
      <c r="AO100" s="1658">
        <f>AO102+AO103+AO104+AO105+AO107+AO106+AO108+AO109+AO110+AO111+AO112+AO113+AO101</f>
        <v>1511.5</v>
      </c>
      <c r="AP100" s="1658">
        <f t="shared" ref="AP100:CF100" si="87">AP102+AP103+AP104+AP105+AP107+AP106+AP108+AP109+AP110+AP111+AP112+AP113+AP101</f>
        <v>0</v>
      </c>
      <c r="AQ100" s="1658">
        <f t="shared" si="87"/>
        <v>0</v>
      </c>
      <c r="AR100" s="1658">
        <f t="shared" si="87"/>
        <v>0</v>
      </c>
      <c r="AS100" s="1663">
        <f>AS102+AS103+AS104+AS105+AS107+AS106+AS108+AS109+AS110+AS111+AS112+AS113+AS101</f>
        <v>1337.4</v>
      </c>
      <c r="AT100" s="1658">
        <f>AT102+AT103+AT104+AT105+AT107+AT106+AT108+AT109+AT110+AT111+AT112+AT113+AT101</f>
        <v>450</v>
      </c>
      <c r="AU100" s="1658">
        <f t="shared" si="87"/>
        <v>0</v>
      </c>
      <c r="AV100" s="1658">
        <f t="shared" si="87"/>
        <v>0</v>
      </c>
      <c r="AW100" s="1658">
        <f t="shared" si="87"/>
        <v>1285.5999999999999</v>
      </c>
      <c r="AX100" s="1658">
        <f t="shared" si="87"/>
        <v>0</v>
      </c>
      <c r="AY100" s="1658">
        <f t="shared" si="87"/>
        <v>0</v>
      </c>
      <c r="AZ100" s="1658">
        <f t="shared" si="87"/>
        <v>0</v>
      </c>
      <c r="BA100" s="1654">
        <f t="shared" si="87"/>
        <v>1285.57</v>
      </c>
      <c r="BB100" s="1658">
        <f t="shared" si="87"/>
        <v>0</v>
      </c>
      <c r="BC100" s="1658">
        <f t="shared" si="87"/>
        <v>0</v>
      </c>
      <c r="BD100" s="1658">
        <f t="shared" si="87"/>
        <v>0</v>
      </c>
      <c r="BE100" s="1654">
        <f t="shared" si="87"/>
        <v>1845.15</v>
      </c>
      <c r="BF100" s="1658">
        <f t="shared" si="87"/>
        <v>0</v>
      </c>
      <c r="BG100" s="1658">
        <f t="shared" si="87"/>
        <v>0</v>
      </c>
      <c r="BH100" s="1658">
        <f t="shared" si="87"/>
        <v>0</v>
      </c>
      <c r="BI100" s="1654"/>
      <c r="BJ100" s="1658">
        <f t="shared" si="87"/>
        <v>0</v>
      </c>
      <c r="BK100" s="1658">
        <f t="shared" si="87"/>
        <v>0</v>
      </c>
      <c r="BL100" s="1658">
        <f t="shared" si="87"/>
        <v>0</v>
      </c>
      <c r="BM100" s="1654"/>
      <c r="BN100" s="1658">
        <f t="shared" si="87"/>
        <v>0</v>
      </c>
      <c r="BO100" s="1658">
        <f t="shared" si="87"/>
        <v>0</v>
      </c>
      <c r="BP100" s="1658">
        <f t="shared" si="87"/>
        <v>0</v>
      </c>
      <c r="BQ100" s="1654">
        <f>BQ102+BQ103+BQ104+BQ105+BQ107+BQ106+BQ108+BQ109+BQ110+BQ111+BQ112+BQ113+BQ101</f>
        <v>1421.8899999999999</v>
      </c>
      <c r="BR100" s="1658">
        <f>BR102+BR103+BR104+BR105+BR107+BR106+BR108+BR109+BR110+BR111+BR112+BR113+BR101</f>
        <v>0</v>
      </c>
      <c r="BS100" s="1658">
        <f t="shared" si="87"/>
        <v>0</v>
      </c>
      <c r="BT100" s="1658">
        <f t="shared" si="87"/>
        <v>0</v>
      </c>
      <c r="BU100" s="1654"/>
      <c r="BV100" s="1658">
        <f t="shared" si="87"/>
        <v>0</v>
      </c>
      <c r="BW100" s="1658">
        <f t="shared" si="87"/>
        <v>0</v>
      </c>
      <c r="BX100" s="1658">
        <f t="shared" si="87"/>
        <v>0</v>
      </c>
      <c r="BY100" s="1654">
        <f>BY102+BY103+BY104+BY105+BY107+BY106+BY108+BY109+BY110+BY111+BY112+BY113+BY101</f>
        <v>885.5</v>
      </c>
      <c r="BZ100" s="1658">
        <f t="shared" si="87"/>
        <v>0</v>
      </c>
      <c r="CA100" s="1658">
        <f t="shared" si="87"/>
        <v>100</v>
      </c>
      <c r="CB100" s="1658">
        <f t="shared" si="87"/>
        <v>0</v>
      </c>
      <c r="CC100" s="1654"/>
      <c r="CD100" s="1658">
        <f t="shared" si="87"/>
        <v>0</v>
      </c>
      <c r="CE100" s="1658">
        <f t="shared" si="87"/>
        <v>0</v>
      </c>
      <c r="CF100" s="1658">
        <f t="shared" si="87"/>
        <v>0</v>
      </c>
      <c r="CG100" s="1664"/>
      <c r="CH100" s="1665">
        <v>1805.27</v>
      </c>
      <c r="CI100" s="1666">
        <v>0</v>
      </c>
      <c r="CJ100" s="1643">
        <v>99.8</v>
      </c>
      <c r="CK100" s="1666">
        <v>0</v>
      </c>
    </row>
    <row r="101" spans="1:108" ht="14" x14ac:dyDescent="0.15">
      <c r="A101" s="1541" t="s">
        <v>78</v>
      </c>
      <c r="B101" s="1523" t="s">
        <v>79</v>
      </c>
      <c r="C101" s="1523" t="s">
        <v>100</v>
      </c>
      <c r="D101" s="1523" t="s">
        <v>101</v>
      </c>
      <c r="E101" s="1523">
        <v>4239902</v>
      </c>
      <c r="F101" s="1523"/>
      <c r="G101" s="1523">
        <v>211</v>
      </c>
      <c r="H101" s="1501">
        <f>11849.3+0</f>
        <v>11849.3</v>
      </c>
      <c r="I101" s="1501"/>
      <c r="J101" s="1630"/>
      <c r="K101" s="1630"/>
      <c r="L101" s="1631"/>
      <c r="M101" s="1631"/>
      <c r="N101" s="1631"/>
      <c r="O101" s="1631"/>
      <c r="P101" s="1631"/>
      <c r="Q101" s="1631"/>
      <c r="R101" s="1631"/>
      <c r="S101" s="1631"/>
      <c r="T101" s="1632"/>
      <c r="U101" s="1633"/>
      <c r="V101" s="1633"/>
      <c r="W101" s="1634">
        <f>H101/12</f>
        <v>987.44166666666661</v>
      </c>
      <c r="X101" s="1634">
        <f>AO101</f>
        <v>987.4</v>
      </c>
      <c r="Y101" s="1634">
        <f>CC101</f>
        <v>1015</v>
      </c>
      <c r="Z101" s="1635">
        <v>1015</v>
      </c>
      <c r="AA101" s="1511">
        <f>AW101</f>
        <v>987.4</v>
      </c>
      <c r="AB101" s="1511">
        <f>Z101-AA101</f>
        <v>27.600000000000023</v>
      </c>
      <c r="AC101" s="1508">
        <f t="shared" ref="AC101:AC114" si="88">AO101+AS101+AW101+BA101+BE101+BI101+BM101+BQ101+BU101+BY101+CC101+CH101</f>
        <v>11849.3</v>
      </c>
      <c r="AD101" s="1509">
        <f t="shared" ref="AD101:AD114" si="89">AE101+AF101+AG101</f>
        <v>0</v>
      </c>
      <c r="AE101" s="1509">
        <f t="shared" ref="AE101:AG113" si="90">AP101+AT101+AX101+BB101+BF101+BJ101+BN101+BR101+BV101+BZ101+CD101+CI101</f>
        <v>0</v>
      </c>
      <c r="AF101" s="1509">
        <f t="shared" si="90"/>
        <v>0</v>
      </c>
      <c r="AG101" s="1509">
        <f t="shared" si="90"/>
        <v>0</v>
      </c>
      <c r="AH101" s="1490">
        <f t="shared" si="56"/>
        <v>0</v>
      </c>
      <c r="AI101" s="1636">
        <f t="shared" ref="AI101:AI113" si="91">H101-AC101</f>
        <v>0</v>
      </c>
      <c r="AJ101" s="1636">
        <f t="shared" ref="AJ101:AJ113" si="92">AK101+AL101+AM101</f>
        <v>0</v>
      </c>
      <c r="AK101" s="1636">
        <f t="shared" ref="AK101:AM116" si="93">I101-AE101</f>
        <v>0</v>
      </c>
      <c r="AL101" s="1636">
        <f t="shared" si="93"/>
        <v>0</v>
      </c>
      <c r="AM101" s="1636">
        <f t="shared" si="93"/>
        <v>0</v>
      </c>
      <c r="AN101" s="1637">
        <v>600.22</v>
      </c>
      <c r="AO101" s="1630">
        <v>987.4</v>
      </c>
      <c r="AP101" s="1638"/>
      <c r="AQ101" s="1638"/>
      <c r="AR101" s="1638"/>
      <c r="AS101" s="1639">
        <v>987.4</v>
      </c>
      <c r="AT101" s="1638"/>
      <c r="AU101" s="1638"/>
      <c r="AV101" s="1638"/>
      <c r="AW101" s="1640">
        <v>987.4</v>
      </c>
      <c r="AX101" s="1640"/>
      <c r="AY101" s="1640"/>
      <c r="AZ101" s="1640"/>
      <c r="BA101" s="1641">
        <v>987.39</v>
      </c>
      <c r="BB101" s="1640"/>
      <c r="BC101" s="1640"/>
      <c r="BD101" s="1640"/>
      <c r="BE101" s="1641">
        <v>987.39</v>
      </c>
      <c r="BF101" s="1640"/>
      <c r="BG101" s="1640"/>
      <c r="BH101" s="1640"/>
      <c r="BI101" s="1641">
        <f>395+1531</f>
        <v>1926</v>
      </c>
      <c r="BJ101" s="1640"/>
      <c r="BK101" s="1640"/>
      <c r="BL101" s="1640"/>
      <c r="BM101" s="1641">
        <v>592.4</v>
      </c>
      <c r="BN101" s="1640"/>
      <c r="BO101" s="1640"/>
      <c r="BP101" s="1640"/>
      <c r="BQ101" s="1641">
        <v>987.4</v>
      </c>
      <c r="BR101" s="1640"/>
      <c r="BS101" s="1640"/>
      <c r="BT101" s="1640"/>
      <c r="BU101" s="1641">
        <v>851.6</v>
      </c>
      <c r="BV101" s="1640"/>
      <c r="BW101" s="1640"/>
      <c r="BX101" s="1640"/>
      <c r="BY101" s="1641">
        <v>580.1</v>
      </c>
      <c r="BZ101" s="1640"/>
      <c r="CA101" s="1640"/>
      <c r="CB101" s="1640"/>
      <c r="CC101" s="1641">
        <f>1015</f>
        <v>1015</v>
      </c>
      <c r="CD101" s="1640"/>
      <c r="CE101" s="1640"/>
      <c r="CF101" s="1640"/>
      <c r="CG101" s="1642"/>
      <c r="CH101" s="1643">
        <v>959.82</v>
      </c>
      <c r="CI101" s="1643">
        <v>0</v>
      </c>
      <c r="CJ101" s="1643">
        <v>0</v>
      </c>
      <c r="CK101" s="1643">
        <v>0</v>
      </c>
      <c r="CX101" s="1558">
        <f>H101/12*10-AC101</f>
        <v>-1974.8833333333332</v>
      </c>
      <c r="CY101" s="1558">
        <f>AI101/3</f>
        <v>0</v>
      </c>
      <c r="CZ101" s="1558">
        <f>H101/12</f>
        <v>987.44166666666661</v>
      </c>
      <c r="DA101" s="1559">
        <f>(H101-T101)/12*10-AC101</f>
        <v>-1974.8833333333332</v>
      </c>
      <c r="DB101" s="1559"/>
      <c r="DC101" s="1559"/>
      <c r="DD101">
        <f>(H101-T101)/12</f>
        <v>987.44166666666661</v>
      </c>
    </row>
    <row r="102" spans="1:108" ht="14" x14ac:dyDescent="0.15">
      <c r="A102" s="1541" t="s">
        <v>103</v>
      </c>
      <c r="B102" s="1523" t="s">
        <v>79</v>
      </c>
      <c r="C102" s="1523" t="s">
        <v>100</v>
      </c>
      <c r="D102" s="1523" t="s">
        <v>101</v>
      </c>
      <c r="E102" s="1523">
        <v>4239902</v>
      </c>
      <c r="F102" s="1523" t="s">
        <v>102</v>
      </c>
      <c r="G102" s="1667">
        <v>212</v>
      </c>
      <c r="H102" s="1501">
        <f>33.6+0-8.4</f>
        <v>25.200000000000003</v>
      </c>
      <c r="I102" s="1501"/>
      <c r="J102" s="1630"/>
      <c r="K102" s="1630"/>
      <c r="L102" s="1631"/>
      <c r="M102" s="1631"/>
      <c r="N102" s="1631"/>
      <c r="O102" s="1631"/>
      <c r="P102" s="1631"/>
      <c r="Q102" s="1631"/>
      <c r="R102" s="1631"/>
      <c r="S102" s="1631"/>
      <c r="T102" s="1632"/>
      <c r="U102" s="1633"/>
      <c r="V102" s="1633"/>
      <c r="W102" s="1634"/>
      <c r="X102" s="1634"/>
      <c r="Y102" s="1634"/>
      <c r="Z102" s="1635"/>
      <c r="AA102" s="1634"/>
      <c r="AB102" s="1511">
        <f>Z102-AA102</f>
        <v>0</v>
      </c>
      <c r="AC102" s="1508">
        <f t="shared" si="88"/>
        <v>25.200000000000003</v>
      </c>
      <c r="AD102" s="1509">
        <f t="shared" si="89"/>
        <v>0</v>
      </c>
      <c r="AE102" s="1509">
        <f t="shared" si="90"/>
        <v>0</v>
      </c>
      <c r="AF102" s="1509">
        <f t="shared" si="90"/>
        <v>0</v>
      </c>
      <c r="AG102" s="1509">
        <f t="shared" si="90"/>
        <v>0</v>
      </c>
      <c r="AH102" s="1490">
        <f t="shared" si="56"/>
        <v>0</v>
      </c>
      <c r="AI102" s="1636">
        <f t="shared" si="91"/>
        <v>0</v>
      </c>
      <c r="AJ102" s="1636">
        <f t="shared" si="92"/>
        <v>0</v>
      </c>
      <c r="AK102" s="1636">
        <f t="shared" si="93"/>
        <v>0</v>
      </c>
      <c r="AL102" s="1636">
        <f t="shared" si="93"/>
        <v>0</v>
      </c>
      <c r="AM102" s="1636">
        <f t="shared" si="93"/>
        <v>0</v>
      </c>
      <c r="AN102" s="1637"/>
      <c r="AO102" s="1630">
        <f>2.8*2</f>
        <v>5.6</v>
      </c>
      <c r="AP102" s="1638"/>
      <c r="AQ102" s="1638"/>
      <c r="AR102" s="1638"/>
      <c r="AS102" s="1639"/>
      <c r="AT102" s="1638"/>
      <c r="AU102" s="1638"/>
      <c r="AV102" s="1638"/>
      <c r="AW102" s="1640"/>
      <c r="AX102" s="1640"/>
      <c r="AY102" s="1640"/>
      <c r="AZ102" s="1640"/>
      <c r="BA102" s="1641"/>
      <c r="BB102" s="1640"/>
      <c r="BC102" s="1640"/>
      <c r="BD102" s="1640"/>
      <c r="BE102" s="1641"/>
      <c r="BF102" s="1640"/>
      <c r="BG102" s="1640"/>
      <c r="BH102" s="1640"/>
      <c r="BI102" s="1641"/>
      <c r="BJ102" s="1640"/>
      <c r="BK102" s="1640"/>
      <c r="BL102" s="1640"/>
      <c r="BM102" s="1641"/>
      <c r="BN102" s="1640"/>
      <c r="BO102" s="1640"/>
      <c r="BP102" s="1640"/>
      <c r="BQ102" s="1641"/>
      <c r="BR102" s="1640"/>
      <c r="BS102" s="1640"/>
      <c r="BT102" s="1640"/>
      <c r="BU102" s="1641">
        <v>19.600000000000001</v>
      </c>
      <c r="BV102" s="1640"/>
      <c r="BW102" s="1640"/>
      <c r="BX102" s="1640"/>
      <c r="BY102" s="1641"/>
      <c r="BZ102" s="1640"/>
      <c r="CA102" s="1640"/>
      <c r="CB102" s="1640"/>
      <c r="CC102" s="1641"/>
      <c r="CD102" s="1640"/>
      <c r="CE102" s="1640"/>
      <c r="CF102" s="1640"/>
      <c r="CG102" s="1642"/>
      <c r="CH102" s="1643">
        <v>0</v>
      </c>
      <c r="CI102" s="1643">
        <v>0</v>
      </c>
      <c r="CJ102" s="1643">
        <v>0</v>
      </c>
      <c r="CK102" s="1643">
        <v>0</v>
      </c>
      <c r="CX102" s="1558"/>
      <c r="CY102" s="1558"/>
      <c r="CZ102" s="1558"/>
      <c r="DA102" s="1559"/>
      <c r="DB102" s="1559"/>
      <c r="DC102" s="1559"/>
    </row>
    <row r="103" spans="1:108" ht="14" x14ac:dyDescent="0.15">
      <c r="A103" s="1541" t="s">
        <v>84</v>
      </c>
      <c r="B103" s="1523" t="s">
        <v>79</v>
      </c>
      <c r="C103" s="1523" t="s">
        <v>100</v>
      </c>
      <c r="D103" s="1523" t="s">
        <v>101</v>
      </c>
      <c r="E103" s="1523">
        <v>4239902</v>
      </c>
      <c r="F103" s="1523" t="s">
        <v>102</v>
      </c>
      <c r="G103" s="1667">
        <v>213</v>
      </c>
      <c r="H103" s="1501">
        <f>3578.5+0</f>
        <v>3578.5</v>
      </c>
      <c r="I103" s="1501"/>
      <c r="J103" s="1630"/>
      <c r="K103" s="1630"/>
      <c r="L103" s="1631"/>
      <c r="M103" s="1631"/>
      <c r="N103" s="1631"/>
      <c r="O103" s="1631"/>
      <c r="P103" s="1631"/>
      <c r="Q103" s="1631"/>
      <c r="R103" s="1631"/>
      <c r="S103" s="1631"/>
      <c r="T103" s="1632"/>
      <c r="U103" s="1633"/>
      <c r="V103" s="1633"/>
      <c r="W103" s="1634">
        <f>H103/12</f>
        <v>298.20833333333331</v>
      </c>
      <c r="X103" s="1634">
        <f>AO103</f>
        <v>298.2</v>
      </c>
      <c r="Y103" s="1634">
        <f>CC103</f>
        <v>306.5</v>
      </c>
      <c r="Z103" s="1635">
        <v>306.5</v>
      </c>
      <c r="AA103" s="1511">
        <f>AW103</f>
        <v>298.2</v>
      </c>
      <c r="AB103" s="1511">
        <f>Z103-AA103</f>
        <v>8.3000000000000114</v>
      </c>
      <c r="AC103" s="1508">
        <f t="shared" si="88"/>
        <v>3578.4999999999995</v>
      </c>
      <c r="AD103" s="1509">
        <f t="shared" si="89"/>
        <v>0</v>
      </c>
      <c r="AE103" s="1509">
        <f t="shared" si="90"/>
        <v>0</v>
      </c>
      <c r="AF103" s="1509">
        <f t="shared" si="90"/>
        <v>0</v>
      </c>
      <c r="AG103" s="1509">
        <f t="shared" si="90"/>
        <v>0</v>
      </c>
      <c r="AH103" s="1490">
        <f t="shared" si="56"/>
        <v>0</v>
      </c>
      <c r="AI103" s="1636">
        <f t="shared" si="91"/>
        <v>0</v>
      </c>
      <c r="AJ103" s="1636">
        <f t="shared" si="92"/>
        <v>0</v>
      </c>
      <c r="AK103" s="1636">
        <f t="shared" si="93"/>
        <v>0</v>
      </c>
      <c r="AL103" s="1636">
        <f t="shared" si="93"/>
        <v>0</v>
      </c>
      <c r="AM103" s="1636">
        <f t="shared" si="93"/>
        <v>0</v>
      </c>
      <c r="AN103" s="1637">
        <v>175.2</v>
      </c>
      <c r="AO103" s="1630">
        <v>298.2</v>
      </c>
      <c r="AP103" s="1638"/>
      <c r="AQ103" s="1638"/>
      <c r="AR103" s="1638"/>
      <c r="AS103" s="1639">
        <v>298.2</v>
      </c>
      <c r="AT103" s="1638"/>
      <c r="AU103" s="1638"/>
      <c r="AV103" s="1638"/>
      <c r="AW103" s="1640">
        <v>298.2</v>
      </c>
      <c r="AX103" s="1640"/>
      <c r="AY103" s="1640"/>
      <c r="AZ103" s="1640"/>
      <c r="BA103" s="1641">
        <v>298.18</v>
      </c>
      <c r="BB103" s="1640"/>
      <c r="BC103" s="1640"/>
      <c r="BD103" s="1640"/>
      <c r="BE103" s="1641">
        <v>298.18</v>
      </c>
      <c r="BF103" s="1640"/>
      <c r="BG103" s="1640"/>
      <c r="BH103" s="1640"/>
      <c r="BI103" s="1641">
        <v>462.4</v>
      </c>
      <c r="BJ103" s="1640"/>
      <c r="BK103" s="1640"/>
      <c r="BL103" s="1640"/>
      <c r="BM103" s="1641">
        <v>298.10000000000002</v>
      </c>
      <c r="BN103" s="1640"/>
      <c r="BO103" s="1640"/>
      <c r="BP103" s="1640"/>
      <c r="BQ103" s="1641">
        <v>298.2</v>
      </c>
      <c r="BR103" s="1640"/>
      <c r="BS103" s="1640"/>
      <c r="BT103" s="1640"/>
      <c r="BU103" s="1641">
        <v>257.2</v>
      </c>
      <c r="BV103" s="1640"/>
      <c r="BW103" s="1640"/>
      <c r="BX103" s="1640"/>
      <c r="BY103" s="1641">
        <v>175.2</v>
      </c>
      <c r="BZ103" s="1640"/>
      <c r="CA103" s="1640"/>
      <c r="CB103" s="1640"/>
      <c r="CC103" s="1641">
        <f>306.5</f>
        <v>306.5</v>
      </c>
      <c r="CD103" s="1640"/>
      <c r="CE103" s="1640"/>
      <c r="CF103" s="1640"/>
      <c r="CG103" s="1642"/>
      <c r="CH103" s="1643">
        <v>289.94</v>
      </c>
      <c r="CI103" s="1643">
        <v>0</v>
      </c>
      <c r="CJ103" s="1643">
        <v>0</v>
      </c>
      <c r="CK103" s="1643">
        <v>0</v>
      </c>
      <c r="CX103" s="1558">
        <f>H103/12*10-AC103</f>
        <v>-596.41666666666652</v>
      </c>
      <c r="CY103" s="1558">
        <f>AI103/3</f>
        <v>0</v>
      </c>
      <c r="CZ103" s="1558">
        <f>H103/12</f>
        <v>298.20833333333331</v>
      </c>
      <c r="DA103" s="1559">
        <f>(H103-T103)/12*10-AC103</f>
        <v>-596.41666666666652</v>
      </c>
      <c r="DB103" s="1559"/>
      <c r="DC103" s="1559"/>
      <c r="DD103">
        <f>(H103-T103)/12</f>
        <v>298.20833333333331</v>
      </c>
    </row>
    <row r="104" spans="1:108" ht="14" x14ac:dyDescent="0.15">
      <c r="A104" s="1541" t="s">
        <v>85</v>
      </c>
      <c r="B104" s="1523" t="s">
        <v>79</v>
      </c>
      <c r="C104" s="1523" t="s">
        <v>100</v>
      </c>
      <c r="D104" s="1523" t="s">
        <v>101</v>
      </c>
      <c r="E104" s="1523">
        <v>4239902</v>
      </c>
      <c r="F104" s="1523" t="s">
        <v>102</v>
      </c>
      <c r="G104" s="1667">
        <v>221</v>
      </c>
      <c r="H104" s="1501">
        <v>14.5</v>
      </c>
      <c r="I104" s="1501"/>
      <c r="J104" s="1630"/>
      <c r="K104" s="1630"/>
      <c r="L104" s="1631"/>
      <c r="M104" s="1631"/>
      <c r="N104" s="1631"/>
      <c r="O104" s="1631"/>
      <c r="P104" s="1631"/>
      <c r="Q104" s="1631"/>
      <c r="R104" s="1631"/>
      <c r="S104" s="1631"/>
      <c r="T104" s="1632"/>
      <c r="U104" s="1633"/>
      <c r="V104" s="1633"/>
      <c r="W104" s="1634"/>
      <c r="X104" s="1634"/>
      <c r="Y104" s="1634"/>
      <c r="Z104" s="1635"/>
      <c r="AA104" s="1634"/>
      <c r="AB104" s="1634"/>
      <c r="AC104" s="1508">
        <f t="shared" si="88"/>
        <v>14.5</v>
      </c>
      <c r="AD104" s="1509">
        <f t="shared" si="89"/>
        <v>0</v>
      </c>
      <c r="AE104" s="1509">
        <f t="shared" si="90"/>
        <v>0</v>
      </c>
      <c r="AF104" s="1509">
        <f t="shared" si="90"/>
        <v>0</v>
      </c>
      <c r="AG104" s="1509">
        <f t="shared" si="90"/>
        <v>0</v>
      </c>
      <c r="AH104" s="1490">
        <f t="shared" si="56"/>
        <v>0</v>
      </c>
      <c r="AI104" s="1636">
        <f t="shared" si="91"/>
        <v>0</v>
      </c>
      <c r="AJ104" s="1636">
        <f t="shared" si="92"/>
        <v>0</v>
      </c>
      <c r="AK104" s="1636">
        <f t="shared" si="93"/>
        <v>0</v>
      </c>
      <c r="AL104" s="1636">
        <f t="shared" si="93"/>
        <v>0</v>
      </c>
      <c r="AM104" s="1636">
        <f t="shared" si="93"/>
        <v>0</v>
      </c>
      <c r="AN104" s="1637"/>
      <c r="AO104" s="1630">
        <v>1.2</v>
      </c>
      <c r="AP104" s="1638"/>
      <c r="AQ104" s="1638"/>
      <c r="AR104" s="1638"/>
      <c r="AS104" s="1639"/>
      <c r="AT104" s="1638"/>
      <c r="AU104" s="1638"/>
      <c r="AV104" s="1638"/>
      <c r="AW104" s="1639"/>
      <c r="AX104" s="1640"/>
      <c r="AY104" s="1640"/>
      <c r="AZ104" s="1640"/>
      <c r="BA104" s="1641"/>
      <c r="BB104" s="1640"/>
      <c r="BC104" s="1640"/>
      <c r="BD104" s="1640"/>
      <c r="BE104" s="1644"/>
      <c r="BF104" s="1640"/>
      <c r="BG104" s="1640"/>
      <c r="BH104" s="1640"/>
      <c r="BI104" s="1641"/>
      <c r="BJ104" s="1640"/>
      <c r="BK104" s="1640"/>
      <c r="BL104" s="1640"/>
      <c r="BM104" s="1641"/>
      <c r="BN104" s="1640"/>
      <c r="BO104" s="1640"/>
      <c r="BP104" s="1640"/>
      <c r="BQ104" s="1641"/>
      <c r="BR104" s="1640"/>
      <c r="BS104" s="1640"/>
      <c r="BT104" s="1640"/>
      <c r="BU104" s="1641"/>
      <c r="BV104" s="1640"/>
      <c r="BW104" s="1640"/>
      <c r="BX104" s="1640"/>
      <c r="BY104" s="1641"/>
      <c r="BZ104" s="1640"/>
      <c r="CA104" s="1640"/>
      <c r="CB104" s="1640"/>
      <c r="CC104" s="1641"/>
      <c r="CD104" s="1640"/>
      <c r="CE104" s="1640"/>
      <c r="CF104" s="1640"/>
      <c r="CG104" s="1642"/>
      <c r="CH104" s="1643">
        <v>13.3</v>
      </c>
      <c r="CI104" s="1643">
        <v>0</v>
      </c>
      <c r="CJ104" s="1643">
        <v>0</v>
      </c>
      <c r="CK104" s="1643">
        <v>0</v>
      </c>
    </row>
    <row r="105" spans="1:108" ht="14" x14ac:dyDescent="0.15">
      <c r="A105" s="1541" t="s">
        <v>86</v>
      </c>
      <c r="B105" s="1523" t="s">
        <v>79</v>
      </c>
      <c r="C105" s="1523" t="s">
        <v>100</v>
      </c>
      <c r="D105" s="1523" t="s">
        <v>101</v>
      </c>
      <c r="E105" s="1523">
        <v>4239902</v>
      </c>
      <c r="F105" s="1523" t="s">
        <v>102</v>
      </c>
      <c r="G105" s="1667">
        <v>222</v>
      </c>
      <c r="H105" s="1501">
        <f>150-U105</f>
        <v>50</v>
      </c>
      <c r="I105" s="1501">
        <v>142</v>
      </c>
      <c r="J105" s="1630"/>
      <c r="K105" s="1630"/>
      <c r="L105" s="1631"/>
      <c r="M105" s="1631"/>
      <c r="N105" s="1631"/>
      <c r="O105" s="1631"/>
      <c r="P105" s="1631"/>
      <c r="Q105" s="1631"/>
      <c r="R105" s="1631"/>
      <c r="S105" s="1631"/>
      <c r="T105" s="1632"/>
      <c r="U105" s="1633">
        <v>100</v>
      </c>
      <c r="V105" s="1633"/>
      <c r="W105" s="1634"/>
      <c r="X105" s="1634"/>
      <c r="Y105" s="1634"/>
      <c r="Z105" s="1635"/>
      <c r="AA105" s="1634"/>
      <c r="AB105" s="1634"/>
      <c r="AC105" s="1508">
        <f t="shared" si="88"/>
        <v>50</v>
      </c>
      <c r="AD105" s="1509">
        <f t="shared" si="89"/>
        <v>142</v>
      </c>
      <c r="AE105" s="1509">
        <f t="shared" si="90"/>
        <v>142</v>
      </c>
      <c r="AF105" s="1509">
        <f t="shared" si="90"/>
        <v>0</v>
      </c>
      <c r="AG105" s="1509">
        <f t="shared" si="90"/>
        <v>0</v>
      </c>
      <c r="AH105" s="1490">
        <f t="shared" si="56"/>
        <v>0</v>
      </c>
      <c r="AI105" s="1636">
        <f t="shared" si="91"/>
        <v>0</v>
      </c>
      <c r="AJ105" s="1636">
        <f t="shared" si="92"/>
        <v>0</v>
      </c>
      <c r="AK105" s="1636">
        <f t="shared" si="93"/>
        <v>0</v>
      </c>
      <c r="AL105" s="1636">
        <f t="shared" si="93"/>
        <v>0</v>
      </c>
      <c r="AM105" s="1636">
        <f t="shared" si="93"/>
        <v>0</v>
      </c>
      <c r="AN105" s="1637"/>
      <c r="AO105" s="1630">
        <v>12.5</v>
      </c>
      <c r="AP105" s="1638"/>
      <c r="AQ105" s="1638"/>
      <c r="AR105" s="1638"/>
      <c r="AS105" s="1639"/>
      <c r="AT105" s="1638">
        <v>142</v>
      </c>
      <c r="AU105" s="1638"/>
      <c r="AV105" s="1638"/>
      <c r="AW105" s="1639"/>
      <c r="AX105" s="1640"/>
      <c r="AY105" s="1640"/>
      <c r="AZ105" s="1640"/>
      <c r="BA105" s="1641"/>
      <c r="BB105" s="1640"/>
      <c r="BC105" s="1640"/>
      <c r="BD105" s="1640"/>
      <c r="BE105" s="1644"/>
      <c r="BF105" s="1640"/>
      <c r="BG105" s="1640"/>
      <c r="BH105" s="1640"/>
      <c r="BI105" s="1641"/>
      <c r="BJ105" s="1640"/>
      <c r="BK105" s="1640"/>
      <c r="BL105" s="1640"/>
      <c r="BM105" s="1641"/>
      <c r="BN105" s="1640"/>
      <c r="BO105" s="1640"/>
      <c r="BP105" s="1640"/>
      <c r="BQ105" s="1641"/>
      <c r="BR105" s="1640"/>
      <c r="BS105" s="1640"/>
      <c r="BT105" s="1640"/>
      <c r="BU105" s="1641"/>
      <c r="BV105" s="1640"/>
      <c r="BW105" s="1640"/>
      <c r="BX105" s="1640"/>
      <c r="BY105" s="1641"/>
      <c r="BZ105" s="1640"/>
      <c r="CA105" s="1640"/>
      <c r="CB105" s="1640"/>
      <c r="CC105" s="1641"/>
      <c r="CD105" s="1640"/>
      <c r="CE105" s="1640"/>
      <c r="CF105" s="1640"/>
      <c r="CG105" s="1642"/>
      <c r="CH105" s="1643">
        <v>37.5</v>
      </c>
      <c r="CI105" s="1643">
        <v>0</v>
      </c>
      <c r="CJ105" s="1643">
        <v>0</v>
      </c>
      <c r="CK105" s="1643">
        <v>0</v>
      </c>
    </row>
    <row r="106" spans="1:108" ht="14" x14ac:dyDescent="0.15">
      <c r="A106" s="1541" t="s">
        <v>87</v>
      </c>
      <c r="B106" s="1523" t="s">
        <v>79</v>
      </c>
      <c r="C106" s="1523" t="s">
        <v>100</v>
      </c>
      <c r="D106" s="1523" t="s">
        <v>101</v>
      </c>
      <c r="E106" s="1523">
        <v>4239902</v>
      </c>
      <c r="F106" s="1523" t="s">
        <v>102</v>
      </c>
      <c r="G106" s="1667">
        <v>223</v>
      </c>
      <c r="H106" s="1501">
        <v>622.1</v>
      </c>
      <c r="I106" s="1501"/>
      <c r="J106" s="1630"/>
      <c r="K106" s="1630"/>
      <c r="L106" s="1631"/>
      <c r="M106" s="1631"/>
      <c r="N106" s="1631"/>
      <c r="O106" s="1631"/>
      <c r="P106" s="1631"/>
      <c r="Q106" s="1631"/>
      <c r="R106" s="1631"/>
      <c r="S106" s="1631"/>
      <c r="T106" s="1632"/>
      <c r="U106" s="1633"/>
      <c r="V106" s="1633"/>
      <c r="W106" s="1634"/>
      <c r="X106" s="1634"/>
      <c r="Y106" s="1634"/>
      <c r="Z106" s="1635"/>
      <c r="AA106" s="1634"/>
      <c r="AB106" s="1634"/>
      <c r="AC106" s="1508">
        <f t="shared" si="88"/>
        <v>622.1</v>
      </c>
      <c r="AD106" s="1509">
        <f t="shared" si="89"/>
        <v>0</v>
      </c>
      <c r="AE106" s="1509">
        <f t="shared" si="90"/>
        <v>0</v>
      </c>
      <c r="AF106" s="1509">
        <f t="shared" si="90"/>
        <v>0</v>
      </c>
      <c r="AG106" s="1509">
        <f t="shared" si="90"/>
        <v>0</v>
      </c>
      <c r="AH106" s="1490">
        <f t="shared" si="56"/>
        <v>0</v>
      </c>
      <c r="AI106" s="1636">
        <f t="shared" si="91"/>
        <v>0</v>
      </c>
      <c r="AJ106" s="1636">
        <f t="shared" si="92"/>
        <v>0</v>
      </c>
      <c r="AK106" s="1636">
        <f t="shared" si="93"/>
        <v>0</v>
      </c>
      <c r="AL106" s="1636">
        <f t="shared" si="93"/>
        <v>0</v>
      </c>
      <c r="AM106" s="1636">
        <f t="shared" si="93"/>
        <v>0</v>
      </c>
      <c r="AN106" s="1637"/>
      <c r="AO106" s="1630">
        <v>51.8</v>
      </c>
      <c r="AP106" s="1638"/>
      <c r="AQ106" s="1638"/>
      <c r="AR106" s="1638"/>
      <c r="AS106" s="1639">
        <v>51.8</v>
      </c>
      <c r="AT106" s="1638"/>
      <c r="AU106" s="1638"/>
      <c r="AV106" s="1638"/>
      <c r="AW106" s="1639"/>
      <c r="AX106" s="1640"/>
      <c r="AY106" s="1640"/>
      <c r="AZ106" s="1640"/>
      <c r="BA106" s="1641"/>
      <c r="BB106" s="1640"/>
      <c r="BC106" s="1640"/>
      <c r="BD106" s="1640"/>
      <c r="BE106" s="1644">
        <f>103.8+18.68</f>
        <v>122.47999999999999</v>
      </c>
      <c r="BF106" s="1640"/>
      <c r="BG106" s="1640"/>
      <c r="BH106" s="1640"/>
      <c r="BI106" s="1641">
        <v>61.25</v>
      </c>
      <c r="BJ106" s="1640"/>
      <c r="BK106" s="1640"/>
      <c r="BL106" s="1640"/>
      <c r="BM106" s="1641"/>
      <c r="BN106" s="1640"/>
      <c r="BO106" s="1640"/>
      <c r="BP106" s="1640"/>
      <c r="BQ106" s="1641">
        <v>61.25</v>
      </c>
      <c r="BR106" s="1640"/>
      <c r="BS106" s="1640"/>
      <c r="BT106" s="1640"/>
      <c r="BU106" s="1641">
        <v>118</v>
      </c>
      <c r="BV106" s="1640"/>
      <c r="BW106" s="1640"/>
      <c r="BX106" s="1640"/>
      <c r="BY106" s="1641">
        <v>130.19999999999999</v>
      </c>
      <c r="BZ106" s="1640"/>
      <c r="CA106" s="1640"/>
      <c r="CB106" s="1640"/>
      <c r="CC106" s="1641"/>
      <c r="CD106" s="1640"/>
      <c r="CE106" s="1640"/>
      <c r="CF106" s="1640"/>
      <c r="CG106" s="1642"/>
      <c r="CH106" s="1643">
        <v>25.32</v>
      </c>
      <c r="CI106" s="1643">
        <v>0</v>
      </c>
      <c r="CJ106" s="1643">
        <v>0</v>
      </c>
      <c r="CK106" s="1643">
        <v>0</v>
      </c>
      <c r="CO106" s="1599">
        <f>163.4/195.12</f>
        <v>0.83743337433374332</v>
      </c>
      <c r="CP106" s="489">
        <v>130.19999999999999</v>
      </c>
    </row>
    <row r="107" spans="1:108" ht="14" x14ac:dyDescent="0.15">
      <c r="A107" s="1541" t="s">
        <v>89</v>
      </c>
      <c r="B107" s="1523" t="s">
        <v>79</v>
      </c>
      <c r="C107" s="1523" t="s">
        <v>100</v>
      </c>
      <c r="D107" s="1523" t="s">
        <v>101</v>
      </c>
      <c r="E107" s="1523">
        <v>4239902</v>
      </c>
      <c r="F107" s="1523" t="s">
        <v>102</v>
      </c>
      <c r="G107" s="1667">
        <v>224</v>
      </c>
      <c r="H107" s="1501">
        <v>0</v>
      </c>
      <c r="I107" s="1501"/>
      <c r="J107" s="1630"/>
      <c r="K107" s="1630"/>
      <c r="L107" s="1631"/>
      <c r="M107" s="1631"/>
      <c r="N107" s="1631"/>
      <c r="O107" s="1631"/>
      <c r="P107" s="1631"/>
      <c r="Q107" s="1631"/>
      <c r="R107" s="1631"/>
      <c r="S107" s="1631"/>
      <c r="T107" s="1632"/>
      <c r="U107" s="1633"/>
      <c r="V107" s="1633"/>
      <c r="W107" s="1634"/>
      <c r="X107" s="1634"/>
      <c r="Y107" s="1634"/>
      <c r="Z107" s="1635"/>
      <c r="AA107" s="1634"/>
      <c r="AB107" s="1634"/>
      <c r="AC107" s="1508">
        <f t="shared" si="88"/>
        <v>0</v>
      </c>
      <c r="AD107" s="1509">
        <f t="shared" si="89"/>
        <v>0</v>
      </c>
      <c r="AE107" s="1509">
        <f t="shared" si="90"/>
        <v>0</v>
      </c>
      <c r="AF107" s="1509">
        <f t="shared" si="90"/>
        <v>0</v>
      </c>
      <c r="AG107" s="1509">
        <f t="shared" si="90"/>
        <v>0</v>
      </c>
      <c r="AH107" s="1490">
        <f t="shared" si="56"/>
        <v>0</v>
      </c>
      <c r="AI107" s="1636">
        <f t="shared" si="91"/>
        <v>0</v>
      </c>
      <c r="AJ107" s="1636">
        <f t="shared" si="92"/>
        <v>0</v>
      </c>
      <c r="AK107" s="1636">
        <f t="shared" si="93"/>
        <v>0</v>
      </c>
      <c r="AL107" s="1636">
        <f t="shared" si="93"/>
        <v>0</v>
      </c>
      <c r="AM107" s="1636">
        <f t="shared" si="93"/>
        <v>0</v>
      </c>
      <c r="AN107" s="1637"/>
      <c r="AO107" s="1630"/>
      <c r="AP107" s="1638"/>
      <c r="AQ107" s="1638"/>
      <c r="AR107" s="1638"/>
      <c r="AS107" s="1639"/>
      <c r="AT107" s="1638"/>
      <c r="AU107" s="1638"/>
      <c r="AV107" s="1638"/>
      <c r="AW107" s="1639"/>
      <c r="AX107" s="1640"/>
      <c r="AY107" s="1640"/>
      <c r="AZ107" s="1640"/>
      <c r="BA107" s="1641"/>
      <c r="BB107" s="1640"/>
      <c r="BC107" s="1640"/>
      <c r="BD107" s="1640"/>
      <c r="BE107" s="1644"/>
      <c r="BF107" s="1640"/>
      <c r="BG107" s="1640"/>
      <c r="BH107" s="1640"/>
      <c r="BI107" s="1641"/>
      <c r="BJ107" s="1640"/>
      <c r="BK107" s="1640"/>
      <c r="BL107" s="1640"/>
      <c r="BM107" s="1641"/>
      <c r="BN107" s="1640"/>
      <c r="BO107" s="1640"/>
      <c r="BP107" s="1640"/>
      <c r="BQ107" s="1641"/>
      <c r="BR107" s="1640"/>
      <c r="BS107" s="1640"/>
      <c r="BT107" s="1640"/>
      <c r="BU107" s="1641"/>
      <c r="BV107" s="1640"/>
      <c r="BW107" s="1640"/>
      <c r="BX107" s="1640"/>
      <c r="BY107" s="1641"/>
      <c r="BZ107" s="1640"/>
      <c r="CA107" s="1640"/>
      <c r="CB107" s="1640"/>
      <c r="CC107" s="1641"/>
      <c r="CD107" s="1640"/>
      <c r="CE107" s="1640"/>
      <c r="CF107" s="1640"/>
      <c r="CG107" s="1642"/>
      <c r="CH107" s="1643">
        <v>0</v>
      </c>
      <c r="CI107" s="1643">
        <v>0</v>
      </c>
      <c r="CJ107" s="1643">
        <v>0</v>
      </c>
      <c r="CK107" s="1643">
        <v>0</v>
      </c>
    </row>
    <row r="108" spans="1:108" ht="14" x14ac:dyDescent="0.15">
      <c r="A108" s="1541" t="s">
        <v>90</v>
      </c>
      <c r="B108" s="1523" t="s">
        <v>79</v>
      </c>
      <c r="C108" s="1523" t="s">
        <v>100</v>
      </c>
      <c r="D108" s="1523" t="s">
        <v>101</v>
      </c>
      <c r="E108" s="1523">
        <v>4239902</v>
      </c>
      <c r="F108" s="1523" t="s">
        <v>102</v>
      </c>
      <c r="G108" s="1667">
        <v>225</v>
      </c>
      <c r="H108" s="1501">
        <f>40+110-U108</f>
        <v>100</v>
      </c>
      <c r="I108" s="1501"/>
      <c r="J108" s="1630">
        <f>224.8-V108</f>
        <v>199.8</v>
      </c>
      <c r="K108" s="1630"/>
      <c r="L108" s="1631"/>
      <c r="M108" s="1631"/>
      <c r="N108" s="1631"/>
      <c r="O108" s="1631"/>
      <c r="P108" s="1631"/>
      <c r="Q108" s="1631"/>
      <c r="R108" s="1631"/>
      <c r="S108" s="1631"/>
      <c r="T108" s="1632"/>
      <c r="U108" s="1633">
        <v>50</v>
      </c>
      <c r="V108" s="1633">
        <v>25</v>
      </c>
      <c r="W108" s="1634"/>
      <c r="X108" s="1634"/>
      <c r="Y108" s="1634"/>
      <c r="Z108" s="1635"/>
      <c r="AA108" s="1634"/>
      <c r="AB108" s="1634"/>
      <c r="AC108" s="1508">
        <f t="shared" si="88"/>
        <v>100</v>
      </c>
      <c r="AD108" s="1509">
        <f t="shared" si="89"/>
        <v>199.8</v>
      </c>
      <c r="AE108" s="1509">
        <f t="shared" si="90"/>
        <v>0</v>
      </c>
      <c r="AF108" s="1509">
        <f t="shared" si="90"/>
        <v>199.8</v>
      </c>
      <c r="AG108" s="1509">
        <f t="shared" si="90"/>
        <v>0</v>
      </c>
      <c r="AH108" s="1490">
        <f t="shared" si="56"/>
        <v>0</v>
      </c>
      <c r="AI108" s="1636">
        <f t="shared" si="91"/>
        <v>0</v>
      </c>
      <c r="AJ108" s="1636">
        <f t="shared" si="92"/>
        <v>0</v>
      </c>
      <c r="AK108" s="1636">
        <f t="shared" si="93"/>
        <v>0</v>
      </c>
      <c r="AL108" s="1636">
        <f t="shared" si="93"/>
        <v>0</v>
      </c>
      <c r="AM108" s="1636">
        <f t="shared" si="93"/>
        <v>0</v>
      </c>
      <c r="AN108" s="1637"/>
      <c r="AO108" s="1630"/>
      <c r="AP108" s="1638"/>
      <c r="AQ108" s="1638"/>
      <c r="AR108" s="1638"/>
      <c r="AS108" s="1639"/>
      <c r="AT108" s="1638"/>
      <c r="AU108" s="1638"/>
      <c r="AV108" s="1638"/>
      <c r="AW108" s="1639"/>
      <c r="AX108" s="1640"/>
      <c r="AY108" s="1640"/>
      <c r="AZ108" s="1640"/>
      <c r="BA108" s="1641"/>
      <c r="BB108" s="1640"/>
      <c r="BC108" s="1640"/>
      <c r="BD108" s="1640"/>
      <c r="BE108" s="1644"/>
      <c r="BF108" s="1640"/>
      <c r="BG108" s="1640"/>
      <c r="BH108" s="1640"/>
      <c r="BI108" s="1641"/>
      <c r="BJ108" s="1640"/>
      <c r="BK108" s="1640"/>
      <c r="BL108" s="1640"/>
      <c r="BM108" s="1641"/>
      <c r="BN108" s="1640"/>
      <c r="BO108" s="1640"/>
      <c r="BP108" s="1640"/>
      <c r="BQ108" s="1641">
        <v>40</v>
      </c>
      <c r="BR108" s="1640"/>
      <c r="BS108" s="1640"/>
      <c r="BT108" s="1640"/>
      <c r="BU108" s="1641"/>
      <c r="BV108" s="1640"/>
      <c r="BW108" s="1640"/>
      <c r="BX108" s="1640"/>
      <c r="BY108" s="1641"/>
      <c r="BZ108" s="1640"/>
      <c r="CA108" s="1640">
        <v>100</v>
      </c>
      <c r="CB108" s="1640"/>
      <c r="CC108" s="1641"/>
      <c r="CD108" s="1640"/>
      <c r="CE108" s="1640"/>
      <c r="CF108" s="1640"/>
      <c r="CG108" s="1642"/>
      <c r="CH108" s="1643">
        <v>60</v>
      </c>
      <c r="CI108" s="1643">
        <v>0</v>
      </c>
      <c r="CJ108" s="1643">
        <v>99.8</v>
      </c>
      <c r="CK108" s="1643">
        <v>0</v>
      </c>
    </row>
    <row r="109" spans="1:108" ht="14" x14ac:dyDescent="0.15">
      <c r="A109" s="1541" t="s">
        <v>91</v>
      </c>
      <c r="B109" s="1523" t="s">
        <v>79</v>
      </c>
      <c r="C109" s="1523" t="s">
        <v>100</v>
      </c>
      <c r="D109" s="1523" t="s">
        <v>101</v>
      </c>
      <c r="E109" s="1523">
        <v>4239902</v>
      </c>
      <c r="F109" s="1523" t="s">
        <v>102</v>
      </c>
      <c r="G109" s="1667">
        <v>226</v>
      </c>
      <c r="H109" s="1501">
        <f>497+35+6+80.9-U109</f>
        <v>468.7</v>
      </c>
      <c r="I109" s="1501">
        <v>258</v>
      </c>
      <c r="J109" s="1630"/>
      <c r="K109" s="1630"/>
      <c r="L109" s="1631"/>
      <c r="M109" s="1631"/>
      <c r="N109" s="1631"/>
      <c r="O109" s="1631"/>
      <c r="P109" s="1631"/>
      <c r="Q109" s="1631"/>
      <c r="R109" s="1631"/>
      <c r="S109" s="1631"/>
      <c r="T109" s="1632"/>
      <c r="U109" s="1633">
        <v>150.19999999999999</v>
      </c>
      <c r="V109" s="1633"/>
      <c r="W109" s="1634"/>
      <c r="X109" s="1634"/>
      <c r="Y109" s="1634"/>
      <c r="Z109" s="1635"/>
      <c r="AA109" s="1634"/>
      <c r="AB109" s="1634"/>
      <c r="AC109" s="1508">
        <f t="shared" si="88"/>
        <v>468.70000000000005</v>
      </c>
      <c r="AD109" s="1509">
        <f t="shared" si="89"/>
        <v>258</v>
      </c>
      <c r="AE109" s="1509">
        <f t="shared" si="90"/>
        <v>258</v>
      </c>
      <c r="AF109" s="1509">
        <f t="shared" si="90"/>
        <v>0</v>
      </c>
      <c r="AG109" s="1509">
        <f t="shared" si="90"/>
        <v>0</v>
      </c>
      <c r="AH109" s="1490">
        <f t="shared" si="56"/>
        <v>0</v>
      </c>
      <c r="AI109" s="1636">
        <f t="shared" si="91"/>
        <v>0</v>
      </c>
      <c r="AJ109" s="1636">
        <f t="shared" si="92"/>
        <v>0</v>
      </c>
      <c r="AK109" s="1636">
        <f t="shared" si="93"/>
        <v>0</v>
      </c>
      <c r="AL109" s="1636">
        <f t="shared" si="93"/>
        <v>0</v>
      </c>
      <c r="AM109" s="1636">
        <f t="shared" si="93"/>
        <v>0</v>
      </c>
      <c r="AN109" s="1637"/>
      <c r="AO109" s="1630"/>
      <c r="AP109" s="1638"/>
      <c r="AQ109" s="1638"/>
      <c r="AR109" s="1638"/>
      <c r="AS109" s="1639"/>
      <c r="AT109" s="1638">
        <v>258</v>
      </c>
      <c r="AU109" s="1638"/>
      <c r="AV109" s="1638"/>
      <c r="AW109" s="1639"/>
      <c r="AX109" s="1640"/>
      <c r="AY109" s="1640"/>
      <c r="AZ109" s="1640"/>
      <c r="BA109" s="1641"/>
      <c r="BB109" s="1640"/>
      <c r="BC109" s="1640"/>
      <c r="BD109" s="1640"/>
      <c r="BE109" s="1644"/>
      <c r="BF109" s="1640"/>
      <c r="BG109" s="1640"/>
      <c r="BH109" s="1640"/>
      <c r="BI109" s="1641"/>
      <c r="BJ109" s="1640"/>
      <c r="BK109" s="1640"/>
      <c r="BL109" s="1640"/>
      <c r="BM109" s="1641"/>
      <c r="BN109" s="1640"/>
      <c r="BO109" s="1640"/>
      <c r="BP109" s="1640"/>
      <c r="BQ109" s="1641">
        <v>35.04</v>
      </c>
      <c r="BR109" s="1640"/>
      <c r="BS109" s="1640"/>
      <c r="BT109" s="1640"/>
      <c r="BU109" s="1641">
        <f>290+57.07</f>
        <v>347.07</v>
      </c>
      <c r="BV109" s="1640"/>
      <c r="BW109" s="1640"/>
      <c r="BX109" s="1640"/>
      <c r="BY109" s="1641"/>
      <c r="BZ109" s="1640"/>
      <c r="CA109" s="1640"/>
      <c r="CB109" s="1640"/>
      <c r="CC109" s="1641"/>
      <c r="CD109" s="1640"/>
      <c r="CE109" s="1640"/>
      <c r="CF109" s="1640"/>
      <c r="CG109" s="1642"/>
      <c r="CH109" s="1643">
        <v>86.59</v>
      </c>
      <c r="CI109" s="1643">
        <v>0</v>
      </c>
      <c r="CJ109" s="1643">
        <v>0</v>
      </c>
      <c r="CK109" s="1643">
        <v>0</v>
      </c>
    </row>
    <row r="110" spans="1:108" ht="14" x14ac:dyDescent="0.15">
      <c r="A110" s="1541" t="s">
        <v>220</v>
      </c>
      <c r="B110" s="1523" t="s">
        <v>79</v>
      </c>
      <c r="C110" s="1523" t="s">
        <v>100</v>
      </c>
      <c r="D110" s="1523" t="s">
        <v>101</v>
      </c>
      <c r="E110" s="1523">
        <v>4239902</v>
      </c>
      <c r="F110" s="1523" t="s">
        <v>102</v>
      </c>
      <c r="G110" s="1667">
        <v>290</v>
      </c>
      <c r="H110" s="1501">
        <f>1748.5-170</f>
        <v>1578.5</v>
      </c>
      <c r="I110" s="1501"/>
      <c r="J110" s="1630"/>
      <c r="K110" s="1630"/>
      <c r="L110" s="1631"/>
      <c r="M110" s="1631"/>
      <c r="N110" s="1631"/>
      <c r="O110" s="1631"/>
      <c r="P110" s="1631"/>
      <c r="Q110" s="1631"/>
      <c r="R110" s="1631"/>
      <c r="S110" s="1631"/>
      <c r="T110" s="1632"/>
      <c r="U110" s="1633"/>
      <c r="V110" s="1633"/>
      <c r="W110" s="1634"/>
      <c r="X110" s="1634"/>
      <c r="Y110" s="1634"/>
      <c r="Z110" s="1635"/>
      <c r="AA110" s="1634"/>
      <c r="AB110" s="1634"/>
      <c r="AC110" s="1508">
        <f t="shared" si="88"/>
        <v>1578.4999999999998</v>
      </c>
      <c r="AD110" s="1509">
        <f t="shared" si="89"/>
        <v>0</v>
      </c>
      <c r="AE110" s="1509">
        <f t="shared" si="90"/>
        <v>0</v>
      </c>
      <c r="AF110" s="1509">
        <f t="shared" si="90"/>
        <v>0</v>
      </c>
      <c r="AG110" s="1509">
        <f t="shared" si="90"/>
        <v>0</v>
      </c>
      <c r="AH110" s="1490">
        <f t="shared" si="56"/>
        <v>0</v>
      </c>
      <c r="AI110" s="1636">
        <f t="shared" si="91"/>
        <v>0</v>
      </c>
      <c r="AJ110" s="1636">
        <f t="shared" si="92"/>
        <v>0</v>
      </c>
      <c r="AK110" s="1636">
        <f t="shared" si="93"/>
        <v>0</v>
      </c>
      <c r="AL110" s="1636">
        <f t="shared" si="93"/>
        <v>0</v>
      </c>
      <c r="AM110" s="1636">
        <f t="shared" si="93"/>
        <v>0</v>
      </c>
      <c r="AN110" s="1637"/>
      <c r="AO110" s="1630">
        <v>145.69999999999999</v>
      </c>
      <c r="AP110" s="1638"/>
      <c r="AQ110" s="1638"/>
      <c r="AR110" s="1638"/>
      <c r="AS110" s="1639"/>
      <c r="AT110" s="1638"/>
      <c r="AU110" s="1638"/>
      <c r="AV110" s="1638"/>
      <c r="AW110" s="1639"/>
      <c r="AX110" s="1640"/>
      <c r="AY110" s="1640"/>
      <c r="AZ110" s="1640"/>
      <c r="BA110" s="1641"/>
      <c r="BB110" s="1640"/>
      <c r="BC110" s="1640"/>
      <c r="BD110" s="1640"/>
      <c r="BE110" s="1644">
        <v>437.1</v>
      </c>
      <c r="BF110" s="1640"/>
      <c r="BG110" s="1640"/>
      <c r="BH110" s="1640"/>
      <c r="BI110" s="1641"/>
      <c r="BJ110" s="1640"/>
      <c r="BK110" s="1640"/>
      <c r="BL110" s="1640"/>
      <c r="BM110" s="1641"/>
      <c r="BN110" s="1640"/>
      <c r="BO110" s="1640"/>
      <c r="BP110" s="1640"/>
      <c r="BQ110" s="1641"/>
      <c r="BR110" s="1640"/>
      <c r="BS110" s="1640"/>
      <c r="BT110" s="1640"/>
      <c r="BU110" s="1641">
        <f>728.6+34.3</f>
        <v>762.9</v>
      </c>
      <c r="BV110" s="1640"/>
      <c r="BW110" s="1640"/>
      <c r="BX110" s="1640"/>
      <c r="BY110" s="1641"/>
      <c r="BZ110" s="1640"/>
      <c r="CA110" s="1640"/>
      <c r="CB110" s="1640"/>
      <c r="CC110" s="1641"/>
      <c r="CD110" s="1640"/>
      <c r="CE110" s="1640"/>
      <c r="CF110" s="1640"/>
      <c r="CG110" s="1642"/>
      <c r="CH110" s="1643">
        <v>232.8</v>
      </c>
      <c r="CI110" s="1643">
        <v>0</v>
      </c>
      <c r="CJ110" s="1643">
        <v>0</v>
      </c>
      <c r="CK110" s="1643">
        <v>0</v>
      </c>
    </row>
    <row r="111" spans="1:108" ht="14" x14ac:dyDescent="0.15">
      <c r="A111" s="1541" t="s">
        <v>220</v>
      </c>
      <c r="B111" s="1523" t="s">
        <v>79</v>
      </c>
      <c r="C111" s="1523" t="s">
        <v>100</v>
      </c>
      <c r="D111" s="1523" t="s">
        <v>101</v>
      </c>
      <c r="E111" s="1523">
        <v>4239902</v>
      </c>
      <c r="F111" s="1523" t="s">
        <v>102</v>
      </c>
      <c r="G111" s="1667" t="s">
        <v>95</v>
      </c>
      <c r="H111" s="1501">
        <v>0</v>
      </c>
      <c r="I111" s="1501"/>
      <c r="J111" s="1630"/>
      <c r="K111" s="1630"/>
      <c r="L111" s="1631"/>
      <c r="M111" s="1631"/>
      <c r="N111" s="1631"/>
      <c r="O111" s="1631"/>
      <c r="P111" s="1631"/>
      <c r="Q111" s="1631"/>
      <c r="R111" s="1631"/>
      <c r="S111" s="1631"/>
      <c r="T111" s="1632"/>
      <c r="U111" s="1633"/>
      <c r="V111" s="1633"/>
      <c r="W111" s="1634"/>
      <c r="X111" s="1634"/>
      <c r="Y111" s="1634"/>
      <c r="Z111" s="1635"/>
      <c r="AA111" s="1634"/>
      <c r="AB111" s="1634"/>
      <c r="AC111" s="1508">
        <f t="shared" si="88"/>
        <v>0</v>
      </c>
      <c r="AD111" s="1509">
        <f t="shared" si="89"/>
        <v>0</v>
      </c>
      <c r="AE111" s="1509">
        <f t="shared" si="90"/>
        <v>0</v>
      </c>
      <c r="AF111" s="1509">
        <f t="shared" si="90"/>
        <v>0</v>
      </c>
      <c r="AG111" s="1509">
        <f t="shared" si="90"/>
        <v>0</v>
      </c>
      <c r="AH111" s="1490">
        <f t="shared" si="56"/>
        <v>0</v>
      </c>
      <c r="AI111" s="1636">
        <f t="shared" si="91"/>
        <v>0</v>
      </c>
      <c r="AJ111" s="1636">
        <f t="shared" si="92"/>
        <v>0</v>
      </c>
      <c r="AK111" s="1636">
        <f t="shared" si="93"/>
        <v>0</v>
      </c>
      <c r="AL111" s="1636">
        <f t="shared" si="93"/>
        <v>0</v>
      </c>
      <c r="AM111" s="1636">
        <f t="shared" si="93"/>
        <v>0</v>
      </c>
      <c r="AN111" s="1637"/>
      <c r="AO111" s="1630"/>
      <c r="AP111" s="1638"/>
      <c r="AQ111" s="1638"/>
      <c r="AR111" s="1638"/>
      <c r="AS111" s="1639"/>
      <c r="AT111" s="1638"/>
      <c r="AU111" s="1638"/>
      <c r="AV111" s="1638"/>
      <c r="AW111" s="1639"/>
      <c r="AX111" s="1640"/>
      <c r="AY111" s="1640"/>
      <c r="AZ111" s="1640"/>
      <c r="BA111" s="1641"/>
      <c r="BB111" s="1640"/>
      <c r="BC111" s="1640"/>
      <c r="BD111" s="1640"/>
      <c r="BE111" s="1644"/>
      <c r="BF111" s="1640"/>
      <c r="BG111" s="1640"/>
      <c r="BH111" s="1640"/>
      <c r="BI111" s="1641"/>
      <c r="BJ111" s="1640"/>
      <c r="BK111" s="1640"/>
      <c r="BL111" s="1640"/>
      <c r="BM111" s="1641"/>
      <c r="BN111" s="1640"/>
      <c r="BO111" s="1640"/>
      <c r="BP111" s="1640"/>
      <c r="BQ111" s="1641"/>
      <c r="BR111" s="1640"/>
      <c r="BS111" s="1640"/>
      <c r="BT111" s="1640"/>
      <c r="BU111" s="1641"/>
      <c r="BV111" s="1640"/>
      <c r="BW111" s="1640"/>
      <c r="BX111" s="1640"/>
      <c r="BY111" s="1641"/>
      <c r="BZ111" s="1640"/>
      <c r="CA111" s="1640"/>
      <c r="CB111" s="1640"/>
      <c r="CC111" s="1641"/>
      <c r="CD111" s="1640"/>
      <c r="CE111" s="1640"/>
      <c r="CF111" s="1640"/>
      <c r="CG111" s="1642"/>
      <c r="CH111" s="1643">
        <v>0</v>
      </c>
      <c r="CI111" s="1643">
        <v>0</v>
      </c>
      <c r="CJ111" s="1643">
        <v>0</v>
      </c>
      <c r="CK111" s="1643">
        <v>0</v>
      </c>
    </row>
    <row r="112" spans="1:108" ht="14" x14ac:dyDescent="0.15">
      <c r="A112" s="1541" t="s">
        <v>104</v>
      </c>
      <c r="B112" s="1523" t="s">
        <v>79</v>
      </c>
      <c r="C112" s="1523" t="s">
        <v>100</v>
      </c>
      <c r="D112" s="1523" t="s">
        <v>101</v>
      </c>
      <c r="E112" s="1523">
        <v>4239902</v>
      </c>
      <c r="F112" s="1523" t="s">
        <v>102</v>
      </c>
      <c r="G112" s="1667">
        <v>310</v>
      </c>
      <c r="H112" s="1652">
        <f>350</f>
        <v>350</v>
      </c>
      <c r="I112" s="1501"/>
      <c r="J112" s="1630">
        <f>15-V112</f>
        <v>0</v>
      </c>
      <c r="K112" s="1630"/>
      <c r="L112" s="1631"/>
      <c r="M112" s="1631"/>
      <c r="N112" s="1631"/>
      <c r="O112" s="1631"/>
      <c r="P112" s="1631"/>
      <c r="Q112" s="1631"/>
      <c r="R112" s="1631"/>
      <c r="S112" s="1631"/>
      <c r="T112" s="1632"/>
      <c r="U112" s="1633"/>
      <c r="V112" s="1633">
        <v>15</v>
      </c>
      <c r="W112" s="1634"/>
      <c r="X112" s="1634"/>
      <c r="Y112" s="1634"/>
      <c r="Z112" s="1635"/>
      <c r="AA112" s="1634"/>
      <c r="AB112" s="1634"/>
      <c r="AC112" s="1508">
        <f t="shared" si="88"/>
        <v>350</v>
      </c>
      <c r="AD112" s="1509">
        <f t="shared" si="89"/>
        <v>0</v>
      </c>
      <c r="AE112" s="1509">
        <f t="shared" si="90"/>
        <v>0</v>
      </c>
      <c r="AF112" s="1509">
        <f t="shared" si="90"/>
        <v>0</v>
      </c>
      <c r="AG112" s="1509">
        <f t="shared" si="90"/>
        <v>0</v>
      </c>
      <c r="AH112" s="1490">
        <f t="shared" si="56"/>
        <v>0</v>
      </c>
      <c r="AI112" s="1636">
        <f t="shared" si="91"/>
        <v>0</v>
      </c>
      <c r="AJ112" s="1636">
        <f t="shared" si="92"/>
        <v>0</v>
      </c>
      <c r="AK112" s="1636">
        <f t="shared" si="93"/>
        <v>0</v>
      </c>
      <c r="AL112" s="1636">
        <f t="shared" si="93"/>
        <v>0</v>
      </c>
      <c r="AM112" s="1636">
        <f t="shared" si="93"/>
        <v>0</v>
      </c>
      <c r="AN112" s="1637"/>
      <c r="AO112" s="1630"/>
      <c r="AP112" s="1638"/>
      <c r="AQ112" s="1638"/>
      <c r="AR112" s="1638"/>
      <c r="AS112" s="1639"/>
      <c r="AT112" s="1638"/>
      <c r="AU112" s="1638"/>
      <c r="AV112" s="1638"/>
      <c r="AW112" s="1639"/>
      <c r="AX112" s="1640"/>
      <c r="AY112" s="1640"/>
      <c r="AZ112" s="1640"/>
      <c r="BA112" s="1641"/>
      <c r="BB112" s="1640"/>
      <c r="BC112" s="1640"/>
      <c r="BD112" s="1640"/>
      <c r="BE112" s="1644"/>
      <c r="BF112" s="1640"/>
      <c r="BG112" s="1640"/>
      <c r="BH112" s="1640"/>
      <c r="BI112" s="1641"/>
      <c r="BJ112" s="1640"/>
      <c r="BK112" s="1640"/>
      <c r="BL112" s="1640"/>
      <c r="BM112" s="1641"/>
      <c r="BN112" s="1640"/>
      <c r="BO112" s="1640"/>
      <c r="BP112" s="1640"/>
      <c r="BQ112" s="1641"/>
      <c r="BR112" s="1640"/>
      <c r="BS112" s="1640"/>
      <c r="BT112" s="1640"/>
      <c r="BU112" s="1641">
        <v>350</v>
      </c>
      <c r="BV112" s="1640"/>
      <c r="BW112" s="1640"/>
      <c r="BX112" s="1640"/>
      <c r="BY112" s="1641"/>
      <c r="BZ112" s="1640"/>
      <c r="CA112" s="1640"/>
      <c r="CB112" s="1640"/>
      <c r="CC112" s="1641"/>
      <c r="CD112" s="1640"/>
      <c r="CE112" s="1640"/>
      <c r="CF112" s="1640"/>
      <c r="CG112" s="1642"/>
      <c r="CH112" s="1643">
        <v>0</v>
      </c>
      <c r="CI112" s="1643">
        <v>0</v>
      </c>
      <c r="CJ112" s="1643">
        <v>0</v>
      </c>
      <c r="CK112" s="1643">
        <v>0</v>
      </c>
    </row>
    <row r="113" spans="1:107" ht="14" x14ac:dyDescent="0.15">
      <c r="A113" s="1541" t="s">
        <v>97</v>
      </c>
      <c r="B113" s="1523" t="s">
        <v>79</v>
      </c>
      <c r="C113" s="1523" t="s">
        <v>100</v>
      </c>
      <c r="D113" s="1523" t="s">
        <v>101</v>
      </c>
      <c r="E113" s="1523">
        <v>4239902</v>
      </c>
      <c r="F113" s="1523" t="s">
        <v>102</v>
      </c>
      <c r="G113" s="1667">
        <v>340</v>
      </c>
      <c r="H113" s="1501">
        <f>109.1-U113</f>
        <v>109.1</v>
      </c>
      <c r="I113" s="1501">
        <v>50</v>
      </c>
      <c r="J113" s="1630"/>
      <c r="K113" s="1630"/>
      <c r="L113" s="1631"/>
      <c r="M113" s="1631"/>
      <c r="N113" s="1631"/>
      <c r="O113" s="1631"/>
      <c r="P113" s="1631"/>
      <c r="Q113" s="1631"/>
      <c r="R113" s="1631"/>
      <c r="S113" s="1631"/>
      <c r="T113" s="1632"/>
      <c r="U113" s="1633"/>
      <c r="V113" s="1633"/>
      <c r="W113" s="1634"/>
      <c r="X113" s="1634"/>
      <c r="Y113" s="1634"/>
      <c r="Z113" s="1635"/>
      <c r="AA113" s="1634"/>
      <c r="AB113" s="1634"/>
      <c r="AC113" s="1508">
        <f t="shared" si="88"/>
        <v>109.1</v>
      </c>
      <c r="AD113" s="1509">
        <f t="shared" si="89"/>
        <v>50</v>
      </c>
      <c r="AE113" s="1509">
        <f t="shared" si="90"/>
        <v>50</v>
      </c>
      <c r="AF113" s="1509">
        <f t="shared" si="90"/>
        <v>0</v>
      </c>
      <c r="AG113" s="1509">
        <f t="shared" si="90"/>
        <v>0</v>
      </c>
      <c r="AH113" s="1490">
        <f t="shared" si="56"/>
        <v>0</v>
      </c>
      <c r="AI113" s="1636">
        <f t="shared" si="91"/>
        <v>0</v>
      </c>
      <c r="AJ113" s="1636">
        <f t="shared" si="92"/>
        <v>0</v>
      </c>
      <c r="AK113" s="1636">
        <f t="shared" si="93"/>
        <v>0</v>
      </c>
      <c r="AL113" s="1636">
        <f t="shared" si="93"/>
        <v>0</v>
      </c>
      <c r="AM113" s="1636">
        <f t="shared" si="93"/>
        <v>0</v>
      </c>
      <c r="AN113" s="1637"/>
      <c r="AO113" s="1630">
        <v>9.1</v>
      </c>
      <c r="AP113" s="1638"/>
      <c r="AQ113" s="1638"/>
      <c r="AR113" s="1638"/>
      <c r="AS113" s="1639"/>
      <c r="AT113" s="1638">
        <v>50</v>
      </c>
      <c r="AU113" s="1638"/>
      <c r="AV113" s="1638"/>
      <c r="AW113" s="1639"/>
      <c r="AX113" s="1640"/>
      <c r="AY113" s="1640"/>
      <c r="AZ113" s="1640"/>
      <c r="BA113" s="1641"/>
      <c r="BB113" s="1640"/>
      <c r="BC113" s="1640"/>
      <c r="BD113" s="1640"/>
      <c r="BE113" s="1644"/>
      <c r="BF113" s="1640"/>
      <c r="BG113" s="1640"/>
      <c r="BH113" s="1640"/>
      <c r="BI113" s="1641"/>
      <c r="BJ113" s="1640"/>
      <c r="BK113" s="1640"/>
      <c r="BL113" s="1640"/>
      <c r="BM113" s="1641"/>
      <c r="BN113" s="1640"/>
      <c r="BO113" s="1640"/>
      <c r="BP113" s="1640"/>
      <c r="BQ113" s="1641"/>
      <c r="BR113" s="1640"/>
      <c r="BS113" s="1640"/>
      <c r="BT113" s="1640"/>
      <c r="BU113" s="1641"/>
      <c r="BV113" s="1640"/>
      <c r="BW113" s="1640"/>
      <c r="BX113" s="1640"/>
      <c r="BY113" s="1641"/>
      <c r="BZ113" s="1640"/>
      <c r="CA113" s="1640"/>
      <c r="CB113" s="1640"/>
      <c r="CC113" s="1641"/>
      <c r="CD113" s="1640"/>
      <c r="CE113" s="1640"/>
      <c r="CF113" s="1640"/>
      <c r="CG113" s="1642"/>
      <c r="CH113" s="1643">
        <v>100</v>
      </c>
      <c r="CI113" s="1643">
        <v>0</v>
      </c>
      <c r="CJ113" s="1643">
        <v>0</v>
      </c>
      <c r="CK113" s="1643">
        <v>0</v>
      </c>
    </row>
    <row r="114" spans="1:107" ht="15.75" customHeight="1" x14ac:dyDescent="0.15">
      <c r="A114" s="1528" t="s">
        <v>767</v>
      </c>
      <c r="B114" s="1530" t="s">
        <v>79</v>
      </c>
      <c r="C114" s="1530" t="s">
        <v>100</v>
      </c>
      <c r="D114" s="1530" t="s">
        <v>101</v>
      </c>
      <c r="E114" s="1530">
        <v>4239902</v>
      </c>
      <c r="F114" s="1530" t="s">
        <v>768</v>
      </c>
      <c r="G114" s="1600" t="s">
        <v>766</v>
      </c>
      <c r="H114" s="1647">
        <f>I100</f>
        <v>450</v>
      </c>
      <c r="I114" s="1645"/>
      <c r="J114" s="1630"/>
      <c r="K114" s="1630"/>
      <c r="L114" s="1631"/>
      <c r="M114" s="1631"/>
      <c r="N114" s="1631"/>
      <c r="O114" s="1631"/>
      <c r="P114" s="1631"/>
      <c r="Q114" s="1631"/>
      <c r="R114" s="1631"/>
      <c r="S114" s="1631"/>
      <c r="T114" s="1632"/>
      <c r="U114" s="1633"/>
      <c r="V114" s="1633"/>
      <c r="W114" s="1634"/>
      <c r="X114" s="1634"/>
      <c r="Y114" s="1634"/>
      <c r="Z114" s="1635"/>
      <c r="AA114" s="1634"/>
      <c r="AB114" s="1634"/>
      <c r="AC114" s="1508">
        <f t="shared" si="88"/>
        <v>0</v>
      </c>
      <c r="AD114" s="1509">
        <f t="shared" si="89"/>
        <v>0</v>
      </c>
      <c r="AE114" s="1509"/>
      <c r="AF114" s="1509"/>
      <c r="AG114" s="1509"/>
      <c r="AH114" s="1490">
        <f t="shared" ref="AH114:AH177" si="94">CG114+CL114</f>
        <v>0</v>
      </c>
      <c r="AI114" s="1636"/>
      <c r="AJ114" s="1636"/>
      <c r="AK114" s="1636"/>
      <c r="AL114" s="1636">
        <f t="shared" si="93"/>
        <v>0</v>
      </c>
      <c r="AM114" s="1636"/>
      <c r="AN114" s="1637"/>
      <c r="AO114" s="1630"/>
      <c r="AP114" s="1638"/>
      <c r="AQ114" s="1638"/>
      <c r="AR114" s="1638"/>
      <c r="AS114" s="1639"/>
      <c r="AT114" s="1638"/>
      <c r="AU114" s="1638"/>
      <c r="AV114" s="1638"/>
      <c r="AW114" s="1639"/>
      <c r="AX114" s="1640"/>
      <c r="AY114" s="1640"/>
      <c r="AZ114" s="1640"/>
      <c r="BA114" s="1641"/>
      <c r="BB114" s="1640"/>
      <c r="BC114" s="1640"/>
      <c r="BD114" s="1640"/>
      <c r="BE114" s="1644"/>
      <c r="BF114" s="1640"/>
      <c r="BG114" s="1640"/>
      <c r="BH114" s="1640"/>
      <c r="BI114" s="1641"/>
      <c r="BJ114" s="1640"/>
      <c r="BK114" s="1640"/>
      <c r="BL114" s="1640"/>
      <c r="BM114" s="1641"/>
      <c r="BN114" s="1640"/>
      <c r="BO114" s="1640"/>
      <c r="BP114" s="1640"/>
      <c r="BQ114" s="1641"/>
      <c r="BR114" s="1640"/>
      <c r="BS114" s="1640"/>
      <c r="BT114" s="1640"/>
      <c r="BU114" s="1641"/>
      <c r="BV114" s="1640"/>
      <c r="BW114" s="1640"/>
      <c r="BX114" s="1640"/>
      <c r="BY114" s="1641"/>
      <c r="BZ114" s="1640"/>
      <c r="CA114" s="1640"/>
      <c r="CB114" s="1640"/>
      <c r="CC114" s="1641"/>
      <c r="CD114" s="1640"/>
      <c r="CE114" s="1640"/>
      <c r="CF114" s="1640"/>
      <c r="CG114" s="1642"/>
      <c r="CH114" s="1668"/>
      <c r="CI114" s="1669"/>
      <c r="CJ114" s="1669"/>
      <c r="CK114" s="1669"/>
    </row>
    <row r="115" spans="1:107" s="1559" customFormat="1" ht="21" customHeight="1" x14ac:dyDescent="0.15">
      <c r="A115" s="1670" t="s">
        <v>771</v>
      </c>
      <c r="B115" s="1516" t="s">
        <v>79</v>
      </c>
      <c r="C115" s="1516" t="s">
        <v>100</v>
      </c>
      <c r="D115" s="1516" t="s">
        <v>110</v>
      </c>
      <c r="E115" s="1572"/>
      <c r="F115" s="1572"/>
      <c r="G115" s="1671"/>
      <c r="H115" s="1620">
        <f>H116</f>
        <v>137500.52000000002</v>
      </c>
      <c r="I115" s="1620">
        <f t="shared" ref="I115:CK117" si="95">I116</f>
        <v>1200</v>
      </c>
      <c r="J115" s="1620">
        <f t="shared" si="95"/>
        <v>1062.8800000000001</v>
      </c>
      <c r="K115" s="1620">
        <f t="shared" si="95"/>
        <v>999.9</v>
      </c>
      <c r="L115" s="1621"/>
      <c r="M115" s="1621"/>
      <c r="N115" s="1621"/>
      <c r="O115" s="1621"/>
      <c r="P115" s="1621"/>
      <c r="Q115" s="1621"/>
      <c r="R115" s="1621"/>
      <c r="S115" s="1621"/>
      <c r="T115" s="1622"/>
      <c r="U115" s="1623">
        <f t="shared" si="95"/>
        <v>0</v>
      </c>
      <c r="V115" s="1623"/>
      <c r="W115" s="1615"/>
      <c r="X115" s="1615"/>
      <c r="Y115" s="1615"/>
      <c r="Z115" s="1625"/>
      <c r="AA115" s="1615"/>
      <c r="AB115" s="1615"/>
      <c r="AC115" s="1626">
        <f t="shared" si="95"/>
        <v>136300.51999999999</v>
      </c>
      <c r="AD115" s="1626">
        <f t="shared" si="95"/>
        <v>3262.78</v>
      </c>
      <c r="AE115" s="1626">
        <f t="shared" si="95"/>
        <v>1200</v>
      </c>
      <c r="AF115" s="1626">
        <f t="shared" si="95"/>
        <v>1062.8800000000001</v>
      </c>
      <c r="AG115" s="1626">
        <f t="shared" si="95"/>
        <v>999.9</v>
      </c>
      <c r="AH115" s="1626">
        <f t="shared" si="95"/>
        <v>0</v>
      </c>
      <c r="AI115" s="1627">
        <f t="shared" si="95"/>
        <v>0</v>
      </c>
      <c r="AJ115" s="1627">
        <f t="shared" si="95"/>
        <v>0</v>
      </c>
      <c r="AK115" s="1627">
        <f t="shared" si="95"/>
        <v>0</v>
      </c>
      <c r="AL115" s="1636">
        <f t="shared" si="93"/>
        <v>0</v>
      </c>
      <c r="AM115" s="1627">
        <f t="shared" si="95"/>
        <v>0</v>
      </c>
      <c r="AN115" s="1615"/>
      <c r="AO115" s="1615">
        <f t="shared" si="95"/>
        <v>9735.1000000000022</v>
      </c>
      <c r="AP115" s="1615">
        <f t="shared" si="95"/>
        <v>0</v>
      </c>
      <c r="AQ115" s="1615">
        <f t="shared" si="95"/>
        <v>0</v>
      </c>
      <c r="AR115" s="1615">
        <f t="shared" si="95"/>
        <v>0</v>
      </c>
      <c r="AS115" s="1625">
        <f t="shared" si="95"/>
        <v>9589.9</v>
      </c>
      <c r="AT115" s="1615">
        <f t="shared" si="95"/>
        <v>0</v>
      </c>
      <c r="AU115" s="1615">
        <f t="shared" si="95"/>
        <v>0</v>
      </c>
      <c r="AV115" s="1615">
        <f t="shared" si="95"/>
        <v>0</v>
      </c>
      <c r="AW115" s="1625">
        <f t="shared" si="95"/>
        <v>9473.5</v>
      </c>
      <c r="AX115" s="1615">
        <f t="shared" si="95"/>
        <v>0</v>
      </c>
      <c r="AY115" s="1615">
        <f t="shared" si="95"/>
        <v>0</v>
      </c>
      <c r="AZ115" s="1615">
        <f t="shared" si="95"/>
        <v>0</v>
      </c>
      <c r="BA115" s="1615">
        <f t="shared" si="95"/>
        <v>12255.45</v>
      </c>
      <c r="BB115" s="1615">
        <f t="shared" si="95"/>
        <v>0</v>
      </c>
      <c r="BC115" s="1615">
        <f t="shared" si="95"/>
        <v>0</v>
      </c>
      <c r="BD115" s="1615">
        <f t="shared" si="95"/>
        <v>0</v>
      </c>
      <c r="BE115" s="1615">
        <f t="shared" si="95"/>
        <v>9839.32</v>
      </c>
      <c r="BF115" s="1615">
        <f t="shared" si="95"/>
        <v>0</v>
      </c>
      <c r="BG115" s="1615">
        <f t="shared" si="95"/>
        <v>0</v>
      </c>
      <c r="BH115" s="1615">
        <f t="shared" si="95"/>
        <v>0</v>
      </c>
      <c r="BI115" s="1615">
        <f t="shared" si="95"/>
        <v>20397.2</v>
      </c>
      <c r="BJ115" s="1615">
        <f t="shared" si="95"/>
        <v>0</v>
      </c>
      <c r="BK115" s="1615">
        <f t="shared" si="95"/>
        <v>0</v>
      </c>
      <c r="BL115" s="1615">
        <f t="shared" si="95"/>
        <v>0</v>
      </c>
      <c r="BM115" s="1615">
        <f t="shared" si="95"/>
        <v>6227.0199999999995</v>
      </c>
      <c r="BN115" s="1615">
        <f t="shared" si="95"/>
        <v>1200</v>
      </c>
      <c r="BO115" s="1615">
        <f t="shared" si="95"/>
        <v>0</v>
      </c>
      <c r="BP115" s="1615">
        <f t="shared" si="95"/>
        <v>0</v>
      </c>
      <c r="BQ115" s="1615">
        <f t="shared" si="95"/>
        <v>9950.2000000000007</v>
      </c>
      <c r="BR115" s="1615">
        <f t="shared" si="95"/>
        <v>0</v>
      </c>
      <c r="BS115" s="1615">
        <f t="shared" si="95"/>
        <v>0</v>
      </c>
      <c r="BT115" s="1615">
        <f t="shared" si="95"/>
        <v>0</v>
      </c>
      <c r="BU115" s="1615">
        <f t="shared" si="95"/>
        <v>10262.050000000001</v>
      </c>
      <c r="BV115" s="1615">
        <f t="shared" si="95"/>
        <v>0</v>
      </c>
      <c r="BW115" s="1615">
        <f t="shared" si="95"/>
        <v>400</v>
      </c>
      <c r="BX115" s="1615">
        <f t="shared" si="95"/>
        <v>0</v>
      </c>
      <c r="BY115" s="1615">
        <f t="shared" si="95"/>
        <v>14025.45</v>
      </c>
      <c r="BZ115" s="1615">
        <f t="shared" si="95"/>
        <v>0</v>
      </c>
      <c r="CA115" s="1615">
        <f t="shared" si="95"/>
        <v>370</v>
      </c>
      <c r="CB115" s="1615">
        <f t="shared" si="95"/>
        <v>400</v>
      </c>
      <c r="CC115" s="1615">
        <f t="shared" si="95"/>
        <v>11907.45</v>
      </c>
      <c r="CD115" s="1615">
        <f t="shared" si="95"/>
        <v>0</v>
      </c>
      <c r="CE115" s="1615">
        <f t="shared" si="95"/>
        <v>0</v>
      </c>
      <c r="CF115" s="1615">
        <f t="shared" si="95"/>
        <v>0</v>
      </c>
      <c r="CG115" s="1672"/>
      <c r="CH115" s="1615">
        <f t="shared" si="95"/>
        <v>12637.88</v>
      </c>
      <c r="CI115" s="1615">
        <f t="shared" si="95"/>
        <v>0</v>
      </c>
      <c r="CJ115" s="1615">
        <f t="shared" si="95"/>
        <v>292.88</v>
      </c>
      <c r="CK115" s="1615">
        <f t="shared" si="95"/>
        <v>599.9</v>
      </c>
      <c r="CL115" s="1558"/>
      <c r="CM115" s="1558"/>
      <c r="CN115" s="1558"/>
      <c r="CO115" s="1558"/>
      <c r="CP115" s="1558"/>
      <c r="CQ115" s="1558"/>
      <c r="CR115" s="1558"/>
      <c r="CS115" s="1558"/>
      <c r="CT115" s="1558"/>
      <c r="CU115" s="1558"/>
      <c r="CV115" s="1558"/>
      <c r="CW115" s="1558"/>
      <c r="CY115" s="1558"/>
    </row>
    <row r="116" spans="1:107" s="1559" customFormat="1" ht="34.25" customHeight="1" x14ac:dyDescent="0.15">
      <c r="A116" s="1673" t="s">
        <v>1100</v>
      </c>
      <c r="B116" s="1674" t="s">
        <v>79</v>
      </c>
      <c r="C116" s="1674" t="s">
        <v>100</v>
      </c>
      <c r="D116" s="1674" t="s">
        <v>110</v>
      </c>
      <c r="E116" s="1675" t="s">
        <v>226</v>
      </c>
      <c r="F116" s="1675"/>
      <c r="G116" s="1676"/>
      <c r="H116" s="1677">
        <f>H117</f>
        <v>137500.52000000002</v>
      </c>
      <c r="I116" s="1677">
        <f t="shared" si="95"/>
        <v>1200</v>
      </c>
      <c r="J116" s="1677">
        <f t="shared" si="95"/>
        <v>1062.8800000000001</v>
      </c>
      <c r="K116" s="1677">
        <f t="shared" si="95"/>
        <v>999.9</v>
      </c>
      <c r="L116" s="1678"/>
      <c r="M116" s="1678"/>
      <c r="N116" s="1678"/>
      <c r="O116" s="1678"/>
      <c r="P116" s="1678"/>
      <c r="Q116" s="1678"/>
      <c r="R116" s="1678"/>
      <c r="S116" s="1678"/>
      <c r="T116" s="1679"/>
      <c r="U116" s="1680">
        <f t="shared" si="95"/>
        <v>0</v>
      </c>
      <c r="V116" s="1680"/>
      <c r="W116" s="1681"/>
      <c r="X116" s="1681"/>
      <c r="Y116" s="1681"/>
      <c r="Z116" s="1682"/>
      <c r="AA116" s="1681"/>
      <c r="AB116" s="1681"/>
      <c r="AC116" s="1683">
        <f t="shared" si="95"/>
        <v>136300.51999999999</v>
      </c>
      <c r="AD116" s="1683">
        <f t="shared" si="95"/>
        <v>3262.78</v>
      </c>
      <c r="AE116" s="1683">
        <f t="shared" si="95"/>
        <v>1200</v>
      </c>
      <c r="AF116" s="1683">
        <f t="shared" si="95"/>
        <v>1062.8800000000001</v>
      </c>
      <c r="AG116" s="1683">
        <f t="shared" si="95"/>
        <v>999.9</v>
      </c>
      <c r="AH116" s="1683">
        <f t="shared" si="95"/>
        <v>0</v>
      </c>
      <c r="AI116" s="1684">
        <f t="shared" si="95"/>
        <v>0</v>
      </c>
      <c r="AJ116" s="1684">
        <f t="shared" si="95"/>
        <v>0</v>
      </c>
      <c r="AK116" s="1684">
        <f t="shared" si="95"/>
        <v>0</v>
      </c>
      <c r="AL116" s="1636">
        <f t="shared" si="93"/>
        <v>0</v>
      </c>
      <c r="AM116" s="1684">
        <f t="shared" si="95"/>
        <v>0</v>
      </c>
      <c r="AN116" s="1681"/>
      <c r="AO116" s="1681">
        <f t="shared" si="95"/>
        <v>9735.1000000000022</v>
      </c>
      <c r="AP116" s="1681">
        <f t="shared" si="95"/>
        <v>0</v>
      </c>
      <c r="AQ116" s="1681">
        <f t="shared" si="95"/>
        <v>0</v>
      </c>
      <c r="AR116" s="1681">
        <f t="shared" si="95"/>
        <v>0</v>
      </c>
      <c r="AS116" s="1682">
        <f t="shared" si="95"/>
        <v>9589.9</v>
      </c>
      <c r="AT116" s="1681">
        <f t="shared" si="95"/>
        <v>0</v>
      </c>
      <c r="AU116" s="1681">
        <f t="shared" si="95"/>
        <v>0</v>
      </c>
      <c r="AV116" s="1681">
        <f t="shared" si="95"/>
        <v>0</v>
      </c>
      <c r="AW116" s="1682">
        <f t="shared" si="95"/>
        <v>9473.5</v>
      </c>
      <c r="AX116" s="1681">
        <f t="shared" si="95"/>
        <v>0</v>
      </c>
      <c r="AY116" s="1681">
        <f t="shared" si="95"/>
        <v>0</v>
      </c>
      <c r="AZ116" s="1681">
        <f t="shared" si="95"/>
        <v>0</v>
      </c>
      <c r="BA116" s="1681">
        <f t="shared" si="95"/>
        <v>12255.45</v>
      </c>
      <c r="BB116" s="1681">
        <f t="shared" si="95"/>
        <v>0</v>
      </c>
      <c r="BC116" s="1681">
        <f t="shared" si="95"/>
        <v>0</v>
      </c>
      <c r="BD116" s="1681">
        <f t="shared" si="95"/>
        <v>0</v>
      </c>
      <c r="BE116" s="1681">
        <f t="shared" si="95"/>
        <v>9839.32</v>
      </c>
      <c r="BF116" s="1681">
        <f t="shared" si="95"/>
        <v>0</v>
      </c>
      <c r="BG116" s="1681">
        <f t="shared" si="95"/>
        <v>0</v>
      </c>
      <c r="BH116" s="1681">
        <f t="shared" si="95"/>
        <v>0</v>
      </c>
      <c r="BI116" s="1681">
        <f t="shared" si="95"/>
        <v>20397.2</v>
      </c>
      <c r="BJ116" s="1681">
        <f t="shared" si="95"/>
        <v>0</v>
      </c>
      <c r="BK116" s="1681">
        <f t="shared" si="95"/>
        <v>0</v>
      </c>
      <c r="BL116" s="1681">
        <f t="shared" si="95"/>
        <v>0</v>
      </c>
      <c r="BM116" s="1681">
        <f t="shared" si="95"/>
        <v>6227.0199999999995</v>
      </c>
      <c r="BN116" s="1681">
        <f t="shared" si="95"/>
        <v>1200</v>
      </c>
      <c r="BO116" s="1681">
        <f t="shared" si="95"/>
        <v>0</v>
      </c>
      <c r="BP116" s="1681">
        <f t="shared" si="95"/>
        <v>0</v>
      </c>
      <c r="BQ116" s="1681">
        <f t="shared" si="95"/>
        <v>9950.2000000000007</v>
      </c>
      <c r="BR116" s="1681">
        <f t="shared" si="95"/>
        <v>0</v>
      </c>
      <c r="BS116" s="1681">
        <f t="shared" si="95"/>
        <v>0</v>
      </c>
      <c r="BT116" s="1681">
        <f t="shared" si="95"/>
        <v>0</v>
      </c>
      <c r="BU116" s="1681">
        <f t="shared" si="95"/>
        <v>10262.050000000001</v>
      </c>
      <c r="BV116" s="1681">
        <f t="shared" si="95"/>
        <v>0</v>
      </c>
      <c r="BW116" s="1681">
        <f t="shared" si="95"/>
        <v>400</v>
      </c>
      <c r="BX116" s="1681">
        <f t="shared" si="95"/>
        <v>0</v>
      </c>
      <c r="BY116" s="1681">
        <f t="shared" si="95"/>
        <v>14025.45</v>
      </c>
      <c r="BZ116" s="1681">
        <f t="shared" si="95"/>
        <v>0</v>
      </c>
      <c r="CA116" s="1681">
        <f t="shared" si="95"/>
        <v>370</v>
      </c>
      <c r="CB116" s="1681">
        <f t="shared" si="95"/>
        <v>400</v>
      </c>
      <c r="CC116" s="1681">
        <f t="shared" si="95"/>
        <v>11907.45</v>
      </c>
      <c r="CD116" s="1681">
        <f t="shared" si="95"/>
        <v>0</v>
      </c>
      <c r="CE116" s="1681">
        <f t="shared" si="95"/>
        <v>0</v>
      </c>
      <c r="CF116" s="1681">
        <f t="shared" si="95"/>
        <v>0</v>
      </c>
      <c r="CG116" s="1685"/>
      <c r="CH116" s="1681">
        <f t="shared" si="95"/>
        <v>12637.88</v>
      </c>
      <c r="CI116" s="1681">
        <f t="shared" si="95"/>
        <v>0</v>
      </c>
      <c r="CJ116" s="1681">
        <f t="shared" si="95"/>
        <v>292.88</v>
      </c>
      <c r="CK116" s="1681">
        <f t="shared" si="95"/>
        <v>599.9</v>
      </c>
      <c r="CL116" s="1558"/>
      <c r="CM116" s="1558"/>
      <c r="CN116" s="1558"/>
      <c r="CO116" s="1558"/>
      <c r="CP116" s="1558"/>
      <c r="CQ116" s="1558"/>
      <c r="CR116" s="1558"/>
      <c r="CS116" s="1558"/>
      <c r="CT116" s="1558"/>
      <c r="CU116" s="1558"/>
      <c r="CV116" s="1558"/>
      <c r="CW116" s="1558"/>
      <c r="CY116" s="1558"/>
    </row>
    <row r="117" spans="1:107" s="1559" customFormat="1" ht="52" x14ac:dyDescent="0.15">
      <c r="A117" s="1571" t="s">
        <v>772</v>
      </c>
      <c r="B117" s="1572" t="s">
        <v>79</v>
      </c>
      <c r="C117" s="1572" t="s">
        <v>100</v>
      </c>
      <c r="D117" s="1572" t="s">
        <v>110</v>
      </c>
      <c r="E117" s="1573">
        <v>4270000</v>
      </c>
      <c r="F117" s="1572"/>
      <c r="G117" s="1671"/>
      <c r="H117" s="1620">
        <f>H118</f>
        <v>137500.52000000002</v>
      </c>
      <c r="I117" s="1620">
        <f t="shared" si="95"/>
        <v>1200</v>
      </c>
      <c r="J117" s="1620">
        <f t="shared" si="95"/>
        <v>1062.8800000000001</v>
      </c>
      <c r="K117" s="1620">
        <f t="shared" si="95"/>
        <v>999.9</v>
      </c>
      <c r="L117" s="1621"/>
      <c r="M117" s="1621"/>
      <c r="N117" s="1621"/>
      <c r="O117" s="1621"/>
      <c r="P117" s="1621"/>
      <c r="Q117" s="1621"/>
      <c r="R117" s="1621"/>
      <c r="S117" s="1621"/>
      <c r="T117" s="1622"/>
      <c r="U117" s="1623">
        <f t="shared" si="95"/>
        <v>0</v>
      </c>
      <c r="V117" s="1623"/>
      <c r="W117" s="1615"/>
      <c r="X117" s="1615"/>
      <c r="Y117" s="1615"/>
      <c r="Z117" s="1625"/>
      <c r="AA117" s="1615"/>
      <c r="AB117" s="1615"/>
      <c r="AC117" s="1626">
        <f t="shared" si="95"/>
        <v>136300.51999999999</v>
      </c>
      <c r="AD117" s="1626">
        <f t="shared" si="95"/>
        <v>3262.78</v>
      </c>
      <c r="AE117" s="1626">
        <f t="shared" si="95"/>
        <v>1200</v>
      </c>
      <c r="AF117" s="1626">
        <f t="shared" si="95"/>
        <v>1062.8800000000001</v>
      </c>
      <c r="AG117" s="1626">
        <f t="shared" si="95"/>
        <v>999.9</v>
      </c>
      <c r="AH117" s="1626">
        <f t="shared" si="95"/>
        <v>0</v>
      </c>
      <c r="AI117" s="1627">
        <f t="shared" si="95"/>
        <v>0</v>
      </c>
      <c r="AJ117" s="1627">
        <f t="shared" si="95"/>
        <v>0</v>
      </c>
      <c r="AK117" s="1627">
        <f t="shared" si="95"/>
        <v>0</v>
      </c>
      <c r="AL117" s="1636">
        <f t="shared" ref="AL117:AM148" si="96">J117-AF117</f>
        <v>0</v>
      </c>
      <c r="AM117" s="1627">
        <f t="shared" si="95"/>
        <v>0</v>
      </c>
      <c r="AN117" s="1615"/>
      <c r="AO117" s="1615">
        <f t="shared" si="95"/>
        <v>9735.1000000000022</v>
      </c>
      <c r="AP117" s="1615">
        <f t="shared" si="95"/>
        <v>0</v>
      </c>
      <c r="AQ117" s="1615">
        <f t="shared" si="95"/>
        <v>0</v>
      </c>
      <c r="AR117" s="1615">
        <f t="shared" si="95"/>
        <v>0</v>
      </c>
      <c r="AS117" s="1625">
        <f t="shared" si="95"/>
        <v>9589.9</v>
      </c>
      <c r="AT117" s="1615">
        <f t="shared" si="95"/>
        <v>0</v>
      </c>
      <c r="AU117" s="1615">
        <f t="shared" si="95"/>
        <v>0</v>
      </c>
      <c r="AV117" s="1615">
        <f t="shared" si="95"/>
        <v>0</v>
      </c>
      <c r="AW117" s="1625">
        <f t="shared" si="95"/>
        <v>9473.5</v>
      </c>
      <c r="AX117" s="1615">
        <f t="shared" si="95"/>
        <v>0</v>
      </c>
      <c r="AY117" s="1615">
        <f t="shared" si="95"/>
        <v>0</v>
      </c>
      <c r="AZ117" s="1615">
        <f t="shared" si="95"/>
        <v>0</v>
      </c>
      <c r="BA117" s="1615">
        <f t="shared" si="95"/>
        <v>12255.45</v>
      </c>
      <c r="BB117" s="1615">
        <f t="shared" si="95"/>
        <v>0</v>
      </c>
      <c r="BC117" s="1615">
        <f t="shared" si="95"/>
        <v>0</v>
      </c>
      <c r="BD117" s="1615">
        <f t="shared" si="95"/>
        <v>0</v>
      </c>
      <c r="BE117" s="1615">
        <f t="shared" si="95"/>
        <v>9839.32</v>
      </c>
      <c r="BF117" s="1615">
        <f t="shared" si="95"/>
        <v>0</v>
      </c>
      <c r="BG117" s="1615">
        <f t="shared" si="95"/>
        <v>0</v>
      </c>
      <c r="BH117" s="1615">
        <f t="shared" si="95"/>
        <v>0</v>
      </c>
      <c r="BI117" s="1615">
        <f t="shared" si="95"/>
        <v>20397.2</v>
      </c>
      <c r="BJ117" s="1615">
        <f t="shared" si="95"/>
        <v>0</v>
      </c>
      <c r="BK117" s="1615">
        <f t="shared" si="95"/>
        <v>0</v>
      </c>
      <c r="BL117" s="1615">
        <f t="shared" si="95"/>
        <v>0</v>
      </c>
      <c r="BM117" s="1615">
        <f t="shared" si="95"/>
        <v>6227.0199999999995</v>
      </c>
      <c r="BN117" s="1615">
        <f t="shared" si="95"/>
        <v>1200</v>
      </c>
      <c r="BO117" s="1615">
        <f t="shared" si="95"/>
        <v>0</v>
      </c>
      <c r="BP117" s="1615">
        <f t="shared" si="95"/>
        <v>0</v>
      </c>
      <c r="BQ117" s="1615">
        <f t="shared" si="95"/>
        <v>9950.2000000000007</v>
      </c>
      <c r="BR117" s="1615">
        <f t="shared" si="95"/>
        <v>0</v>
      </c>
      <c r="BS117" s="1615">
        <f t="shared" si="95"/>
        <v>0</v>
      </c>
      <c r="BT117" s="1615">
        <f t="shared" si="95"/>
        <v>0</v>
      </c>
      <c r="BU117" s="1615">
        <f t="shared" si="95"/>
        <v>10262.050000000001</v>
      </c>
      <c r="BV117" s="1615">
        <f t="shared" si="95"/>
        <v>0</v>
      </c>
      <c r="BW117" s="1615">
        <f t="shared" si="95"/>
        <v>400</v>
      </c>
      <c r="BX117" s="1615">
        <f t="shared" si="95"/>
        <v>0</v>
      </c>
      <c r="BY117" s="1615">
        <f t="shared" si="95"/>
        <v>14025.45</v>
      </c>
      <c r="BZ117" s="1615">
        <f t="shared" si="95"/>
        <v>0</v>
      </c>
      <c r="CA117" s="1615">
        <f t="shared" si="95"/>
        <v>370</v>
      </c>
      <c r="CB117" s="1615">
        <f t="shared" si="95"/>
        <v>400</v>
      </c>
      <c r="CC117" s="1615">
        <f t="shared" si="95"/>
        <v>11907.45</v>
      </c>
      <c r="CD117" s="1615">
        <f t="shared" si="95"/>
        <v>0</v>
      </c>
      <c r="CE117" s="1615">
        <f t="shared" si="95"/>
        <v>0</v>
      </c>
      <c r="CF117" s="1615">
        <f t="shared" si="95"/>
        <v>0</v>
      </c>
      <c r="CG117" s="1672"/>
      <c r="CH117" s="1615">
        <f t="shared" si="95"/>
        <v>12637.88</v>
      </c>
      <c r="CI117" s="1615">
        <f t="shared" si="95"/>
        <v>0</v>
      </c>
      <c r="CJ117" s="1615">
        <f t="shared" si="95"/>
        <v>292.88</v>
      </c>
      <c r="CK117" s="1615">
        <f t="shared" si="95"/>
        <v>599.9</v>
      </c>
      <c r="CL117" s="1558"/>
      <c r="CM117" s="1558"/>
      <c r="CN117" s="1558"/>
      <c r="CO117" s="1558"/>
      <c r="CP117" s="1558"/>
      <c r="CQ117" s="1558"/>
      <c r="CR117" s="1558"/>
      <c r="CS117" s="1558"/>
      <c r="CT117" s="1558"/>
      <c r="CU117" s="1558"/>
      <c r="CV117" s="1558"/>
      <c r="CW117" s="1558"/>
      <c r="CY117" s="1558"/>
    </row>
    <row r="118" spans="1:107" s="1559" customFormat="1" ht="26" x14ac:dyDescent="0.15">
      <c r="A118" s="1574" t="s">
        <v>1125</v>
      </c>
      <c r="B118" s="1575" t="s">
        <v>79</v>
      </c>
      <c r="C118" s="1575" t="s">
        <v>100</v>
      </c>
      <c r="D118" s="1575" t="s">
        <v>110</v>
      </c>
      <c r="E118" s="1576">
        <v>4279902</v>
      </c>
      <c r="F118" s="1575">
        <v>600</v>
      </c>
      <c r="G118" s="1686"/>
      <c r="H118" s="1578">
        <f>H119+H133</f>
        <v>137500.52000000002</v>
      </c>
      <c r="I118" s="1578">
        <f t="shared" ref="I118:CK118" si="97">I119+I133</f>
        <v>1200</v>
      </c>
      <c r="J118" s="1578">
        <f>J119+J133</f>
        <v>1062.8800000000001</v>
      </c>
      <c r="K118" s="1578">
        <f t="shared" si="97"/>
        <v>999.9</v>
      </c>
      <c r="L118" s="1579"/>
      <c r="M118" s="1579"/>
      <c r="N118" s="1579"/>
      <c r="O118" s="1579"/>
      <c r="P118" s="1579"/>
      <c r="Q118" s="1579"/>
      <c r="R118" s="1579"/>
      <c r="S118" s="1579"/>
      <c r="T118" s="1580"/>
      <c r="U118" s="1581"/>
      <c r="V118" s="1581"/>
      <c r="W118" s="1582"/>
      <c r="X118" s="1582"/>
      <c r="Y118" s="1582"/>
      <c r="Z118" s="1583"/>
      <c r="AA118" s="1582"/>
      <c r="AB118" s="1582"/>
      <c r="AC118" s="1584">
        <f t="shared" si="97"/>
        <v>136300.51999999999</v>
      </c>
      <c r="AD118" s="1584">
        <f>AD119+AD133</f>
        <v>3262.78</v>
      </c>
      <c r="AE118" s="1584">
        <f>AE119+AE133</f>
        <v>1200</v>
      </c>
      <c r="AF118" s="1584">
        <f>AF119+AF133</f>
        <v>1062.8800000000001</v>
      </c>
      <c r="AG118" s="1584">
        <f>AG119+AG133</f>
        <v>999.9</v>
      </c>
      <c r="AH118" s="1584">
        <f>AH119+AH133</f>
        <v>0</v>
      </c>
      <c r="AI118" s="1585">
        <f t="shared" si="97"/>
        <v>0</v>
      </c>
      <c r="AJ118" s="1585">
        <f t="shared" si="97"/>
        <v>0</v>
      </c>
      <c r="AK118" s="1585">
        <f t="shared" si="97"/>
        <v>0</v>
      </c>
      <c r="AL118" s="1636">
        <f t="shared" si="96"/>
        <v>0</v>
      </c>
      <c r="AM118" s="1585">
        <f t="shared" si="97"/>
        <v>0</v>
      </c>
      <c r="AN118" s="1586"/>
      <c r="AO118" s="1586">
        <f t="shared" si="97"/>
        <v>9735.1000000000022</v>
      </c>
      <c r="AP118" s="1586">
        <f t="shared" si="97"/>
        <v>0</v>
      </c>
      <c r="AQ118" s="1586">
        <f t="shared" si="97"/>
        <v>0</v>
      </c>
      <c r="AR118" s="1586">
        <f t="shared" si="97"/>
        <v>0</v>
      </c>
      <c r="AS118" s="1583">
        <f t="shared" si="97"/>
        <v>9589.9</v>
      </c>
      <c r="AT118" s="1586">
        <f t="shared" si="97"/>
        <v>0</v>
      </c>
      <c r="AU118" s="1586">
        <f t="shared" si="97"/>
        <v>0</v>
      </c>
      <c r="AV118" s="1586">
        <f t="shared" si="97"/>
        <v>0</v>
      </c>
      <c r="AW118" s="1583">
        <f t="shared" si="97"/>
        <v>9473.5</v>
      </c>
      <c r="AX118" s="1586">
        <f t="shared" si="97"/>
        <v>0</v>
      </c>
      <c r="AY118" s="1586">
        <f t="shared" si="97"/>
        <v>0</v>
      </c>
      <c r="AZ118" s="1586">
        <f t="shared" si="97"/>
        <v>0</v>
      </c>
      <c r="BA118" s="1586">
        <f t="shared" si="97"/>
        <v>12255.45</v>
      </c>
      <c r="BB118" s="1586">
        <f t="shared" si="97"/>
        <v>0</v>
      </c>
      <c r="BC118" s="1586">
        <f t="shared" si="97"/>
        <v>0</v>
      </c>
      <c r="BD118" s="1586">
        <f t="shared" si="97"/>
        <v>0</v>
      </c>
      <c r="BE118" s="1511">
        <f t="shared" si="97"/>
        <v>9839.32</v>
      </c>
      <c r="BF118" s="1586">
        <f t="shared" si="97"/>
        <v>0</v>
      </c>
      <c r="BG118" s="1586">
        <f t="shared" si="97"/>
        <v>0</v>
      </c>
      <c r="BH118" s="1586">
        <f t="shared" si="97"/>
        <v>0</v>
      </c>
      <c r="BI118" s="1586">
        <f t="shared" si="97"/>
        <v>20397.2</v>
      </c>
      <c r="BJ118" s="1586">
        <f t="shared" si="97"/>
        <v>0</v>
      </c>
      <c r="BK118" s="1586">
        <f t="shared" si="97"/>
        <v>0</v>
      </c>
      <c r="BL118" s="1586">
        <f t="shared" si="97"/>
        <v>0</v>
      </c>
      <c r="BM118" s="1586">
        <f t="shared" si="97"/>
        <v>6227.0199999999995</v>
      </c>
      <c r="BN118" s="1586">
        <f t="shared" si="97"/>
        <v>1200</v>
      </c>
      <c r="BO118" s="1586">
        <f t="shared" si="97"/>
        <v>0</v>
      </c>
      <c r="BP118" s="1586">
        <f t="shared" si="97"/>
        <v>0</v>
      </c>
      <c r="BQ118" s="1586">
        <f t="shared" si="97"/>
        <v>9950.2000000000007</v>
      </c>
      <c r="BR118" s="1586">
        <f t="shared" si="97"/>
        <v>0</v>
      </c>
      <c r="BS118" s="1586">
        <f t="shared" si="97"/>
        <v>0</v>
      </c>
      <c r="BT118" s="1586">
        <f t="shared" si="97"/>
        <v>0</v>
      </c>
      <c r="BU118" s="1586">
        <f t="shared" si="97"/>
        <v>10262.050000000001</v>
      </c>
      <c r="BV118" s="1586">
        <f t="shared" si="97"/>
        <v>0</v>
      </c>
      <c r="BW118" s="1586">
        <f t="shared" si="97"/>
        <v>400</v>
      </c>
      <c r="BX118" s="1586">
        <f t="shared" si="97"/>
        <v>0</v>
      </c>
      <c r="BY118" s="1586">
        <f t="shared" si="97"/>
        <v>14025.45</v>
      </c>
      <c r="BZ118" s="1586">
        <f t="shared" si="97"/>
        <v>0</v>
      </c>
      <c r="CA118" s="1586">
        <f t="shared" si="97"/>
        <v>370</v>
      </c>
      <c r="CB118" s="1586">
        <f t="shared" si="97"/>
        <v>400</v>
      </c>
      <c r="CC118" s="1586">
        <f t="shared" si="97"/>
        <v>11907.45</v>
      </c>
      <c r="CD118" s="1586">
        <f t="shared" si="97"/>
        <v>0</v>
      </c>
      <c r="CE118" s="1586">
        <f t="shared" si="97"/>
        <v>0</v>
      </c>
      <c r="CF118" s="1586">
        <f t="shared" si="97"/>
        <v>0</v>
      </c>
      <c r="CG118" s="1587"/>
      <c r="CH118" s="1586">
        <f t="shared" si="97"/>
        <v>12637.88</v>
      </c>
      <c r="CI118" s="1586">
        <f t="shared" si="97"/>
        <v>0</v>
      </c>
      <c r="CJ118" s="1586">
        <f t="shared" si="97"/>
        <v>292.88</v>
      </c>
      <c r="CK118" s="1586">
        <f t="shared" si="97"/>
        <v>599.9</v>
      </c>
      <c r="CL118" s="1558"/>
      <c r="CM118" s="1558"/>
      <c r="CN118" s="1558"/>
      <c r="CO118" s="1558"/>
      <c r="CP118" s="1558"/>
      <c r="CQ118" s="1558"/>
      <c r="CR118" s="1558"/>
      <c r="CS118" s="1558"/>
      <c r="CT118" s="1558"/>
      <c r="CU118" s="1558"/>
      <c r="CV118" s="1558"/>
      <c r="CW118" s="1558"/>
      <c r="CY118" s="1558"/>
    </row>
    <row r="119" spans="1:107" s="1559" customFormat="1" ht="47.25" customHeight="1" x14ac:dyDescent="0.15">
      <c r="A119" s="1528" t="s">
        <v>764</v>
      </c>
      <c r="B119" s="1529" t="s">
        <v>79</v>
      </c>
      <c r="C119" s="1529" t="s">
        <v>100</v>
      </c>
      <c r="D119" s="1529" t="s">
        <v>110</v>
      </c>
      <c r="E119" s="1656">
        <v>4279902</v>
      </c>
      <c r="F119" s="1529" t="s">
        <v>765</v>
      </c>
      <c r="G119" s="1687" t="s">
        <v>766</v>
      </c>
      <c r="H119" s="1531">
        <f>H120+H121+H122+H123+H124+H125+H126+H127+H128+H129+H130+H131+H132</f>
        <v>136300.52000000002</v>
      </c>
      <c r="I119" s="1531">
        <f t="shared" ref="I119:CK119" si="98">I120+I121+I122+I123+I124+I125+I126+I127+I128+I129+I130+I131+I132</f>
        <v>1200</v>
      </c>
      <c r="J119" s="1531">
        <f>J120+J121+J122+J123+J124+J125+J126+J127+J128+J129+J130+J131+J132</f>
        <v>1062.8800000000001</v>
      </c>
      <c r="K119" s="1531">
        <f t="shared" si="98"/>
        <v>999.9</v>
      </c>
      <c r="L119" s="1531">
        <f t="shared" si="98"/>
        <v>0</v>
      </c>
      <c r="M119" s="1531">
        <f t="shared" si="98"/>
        <v>0</v>
      </c>
      <c r="N119" s="1531">
        <f t="shared" si="98"/>
        <v>150</v>
      </c>
      <c r="O119" s="1531">
        <f t="shared" si="98"/>
        <v>0</v>
      </c>
      <c r="P119" s="1531">
        <f t="shared" si="98"/>
        <v>0</v>
      </c>
      <c r="Q119" s="1531">
        <f t="shared" si="98"/>
        <v>0</v>
      </c>
      <c r="R119" s="1531">
        <f t="shared" si="98"/>
        <v>0</v>
      </c>
      <c r="S119" s="1601">
        <f t="shared" si="98"/>
        <v>2292</v>
      </c>
      <c r="T119" s="1538">
        <f t="shared" si="98"/>
        <v>13914.2</v>
      </c>
      <c r="U119" s="1533">
        <f t="shared" si="98"/>
        <v>1588.3</v>
      </c>
      <c r="V119" s="1533"/>
      <c r="W119" s="1534"/>
      <c r="X119" s="1534"/>
      <c r="Y119" s="1534"/>
      <c r="Z119" s="1535"/>
      <c r="AA119" s="1534"/>
      <c r="AB119" s="1534"/>
      <c r="AC119" s="1603">
        <f t="shared" si="98"/>
        <v>136300.51999999999</v>
      </c>
      <c r="AD119" s="1603">
        <f>AD120+AD121+AD122+AD123+AD124+AD125+AD126+AD127+AD128+AD129+AD130+AD131+AD132</f>
        <v>3262.78</v>
      </c>
      <c r="AE119" s="1603">
        <f>AE120+AE121+AE122+AE123+AE124+AE125+AE126+AE127+AE128+AE129+AE130+AE131+AE132</f>
        <v>1200</v>
      </c>
      <c r="AF119" s="1603">
        <f>AF120+AF121+AF122+AF123+AF124+AF125+AF126+AF127+AF128+AF129+AF130+AF131+AF132</f>
        <v>1062.8800000000001</v>
      </c>
      <c r="AG119" s="1603">
        <f>AG120+AG121+AG122+AG123+AG124+AG125+AG126+AG127+AG128+AG129+AG130+AG131+AG132</f>
        <v>999.9</v>
      </c>
      <c r="AH119" s="1603">
        <f>AH120+AH121+AH122+AH123+AH124+AH125+AH126+AH127+AH128+AH129+AH130+AH131+AH132</f>
        <v>0</v>
      </c>
      <c r="AI119" s="1537">
        <f t="shared" si="98"/>
        <v>0</v>
      </c>
      <c r="AJ119" s="1537">
        <f t="shared" si="98"/>
        <v>0</v>
      </c>
      <c r="AK119" s="1537">
        <f t="shared" si="98"/>
        <v>0</v>
      </c>
      <c r="AL119" s="1636">
        <f t="shared" si="96"/>
        <v>0</v>
      </c>
      <c r="AM119" s="1537">
        <f t="shared" si="98"/>
        <v>0</v>
      </c>
      <c r="AN119" s="1538"/>
      <c r="AO119" s="1538">
        <f t="shared" si="98"/>
        <v>9735.1000000000022</v>
      </c>
      <c r="AP119" s="1538">
        <f t="shared" si="98"/>
        <v>0</v>
      </c>
      <c r="AQ119" s="1538">
        <f t="shared" si="98"/>
        <v>0</v>
      </c>
      <c r="AR119" s="1538">
        <f t="shared" si="98"/>
        <v>0</v>
      </c>
      <c r="AS119" s="1535">
        <f t="shared" si="98"/>
        <v>9589.9</v>
      </c>
      <c r="AT119" s="1538">
        <f t="shared" si="98"/>
        <v>0</v>
      </c>
      <c r="AU119" s="1538">
        <f t="shared" si="98"/>
        <v>0</v>
      </c>
      <c r="AV119" s="1538">
        <f t="shared" si="98"/>
        <v>0</v>
      </c>
      <c r="AW119" s="1535">
        <f t="shared" si="98"/>
        <v>9473.5</v>
      </c>
      <c r="AX119" s="1538">
        <f t="shared" si="98"/>
        <v>0</v>
      </c>
      <c r="AY119" s="1538">
        <f t="shared" si="98"/>
        <v>0</v>
      </c>
      <c r="AZ119" s="1538">
        <f t="shared" si="98"/>
        <v>0</v>
      </c>
      <c r="BA119" s="1538">
        <f t="shared" si="98"/>
        <v>12255.45</v>
      </c>
      <c r="BB119" s="1538">
        <f t="shared" si="98"/>
        <v>0</v>
      </c>
      <c r="BC119" s="1538">
        <f t="shared" si="98"/>
        <v>0</v>
      </c>
      <c r="BD119" s="1538">
        <f t="shared" si="98"/>
        <v>0</v>
      </c>
      <c r="BE119" s="1539">
        <f t="shared" si="98"/>
        <v>9839.32</v>
      </c>
      <c r="BF119" s="1538">
        <f t="shared" si="98"/>
        <v>0</v>
      </c>
      <c r="BG119" s="1538">
        <f t="shared" si="98"/>
        <v>0</v>
      </c>
      <c r="BH119" s="1538">
        <f t="shared" si="98"/>
        <v>0</v>
      </c>
      <c r="BI119" s="1538">
        <f t="shared" si="98"/>
        <v>20397.2</v>
      </c>
      <c r="BJ119" s="1538">
        <f t="shared" si="98"/>
        <v>0</v>
      </c>
      <c r="BK119" s="1538">
        <f t="shared" si="98"/>
        <v>0</v>
      </c>
      <c r="BL119" s="1538">
        <f t="shared" si="98"/>
        <v>0</v>
      </c>
      <c r="BM119" s="1538">
        <f t="shared" si="98"/>
        <v>6227.0199999999995</v>
      </c>
      <c r="BN119" s="1538">
        <f t="shared" si="98"/>
        <v>1200</v>
      </c>
      <c r="BO119" s="1538">
        <f t="shared" si="98"/>
        <v>0</v>
      </c>
      <c r="BP119" s="1538">
        <f t="shared" si="98"/>
        <v>0</v>
      </c>
      <c r="BQ119" s="1538">
        <f t="shared" si="98"/>
        <v>9950.2000000000007</v>
      </c>
      <c r="BR119" s="1538">
        <f t="shared" si="98"/>
        <v>0</v>
      </c>
      <c r="BS119" s="1538">
        <f t="shared" si="98"/>
        <v>0</v>
      </c>
      <c r="BT119" s="1538">
        <f t="shared" si="98"/>
        <v>0</v>
      </c>
      <c r="BU119" s="1538">
        <f t="shared" si="98"/>
        <v>10262.050000000001</v>
      </c>
      <c r="BV119" s="1538">
        <f t="shared" si="98"/>
        <v>0</v>
      </c>
      <c r="BW119" s="1538">
        <f t="shared" si="98"/>
        <v>400</v>
      </c>
      <c r="BX119" s="1538">
        <f t="shared" si="98"/>
        <v>0</v>
      </c>
      <c r="BY119" s="1538">
        <f t="shared" si="98"/>
        <v>14025.45</v>
      </c>
      <c r="BZ119" s="1538">
        <f t="shared" si="98"/>
        <v>0</v>
      </c>
      <c r="CA119" s="1538">
        <f t="shared" si="98"/>
        <v>370</v>
      </c>
      <c r="CB119" s="1538">
        <f t="shared" si="98"/>
        <v>400</v>
      </c>
      <c r="CC119" s="1538">
        <f t="shared" si="98"/>
        <v>11907.45</v>
      </c>
      <c r="CD119" s="1538">
        <f t="shared" si="98"/>
        <v>0</v>
      </c>
      <c r="CE119" s="1538">
        <f t="shared" si="98"/>
        <v>0</v>
      </c>
      <c r="CF119" s="1538">
        <f t="shared" si="98"/>
        <v>0</v>
      </c>
      <c r="CG119" s="1604"/>
      <c r="CH119" s="1538">
        <f t="shared" si="98"/>
        <v>12637.88</v>
      </c>
      <c r="CI119" s="1538">
        <f t="shared" si="98"/>
        <v>0</v>
      </c>
      <c r="CJ119" s="1538">
        <f t="shared" si="98"/>
        <v>292.88</v>
      </c>
      <c r="CK119" s="1538">
        <f t="shared" si="98"/>
        <v>599.9</v>
      </c>
      <c r="CL119" s="1558"/>
      <c r="CM119" s="1558"/>
      <c r="CN119" s="1558"/>
      <c r="CO119" s="1558"/>
      <c r="CP119" s="1558"/>
      <c r="CQ119" s="1558"/>
      <c r="CR119" s="1558"/>
      <c r="CS119" s="1558"/>
      <c r="CT119" s="1558"/>
      <c r="CU119" s="1558"/>
      <c r="CV119" s="1558"/>
      <c r="CW119" s="1558"/>
      <c r="CY119" s="1558"/>
    </row>
    <row r="120" spans="1:107" s="1559" customFormat="1" x14ac:dyDescent="0.15">
      <c r="A120" s="1688" t="s">
        <v>78</v>
      </c>
      <c r="B120" s="1689" t="s">
        <v>79</v>
      </c>
      <c r="C120" s="1689" t="s">
        <v>100</v>
      </c>
      <c r="D120" s="1689" t="s">
        <v>110</v>
      </c>
      <c r="E120" s="1690">
        <v>4279902</v>
      </c>
      <c r="F120" s="1689"/>
      <c r="G120" s="1667">
        <v>211</v>
      </c>
      <c r="H120" s="1502">
        <f>H136+H152+H168+H184</f>
        <v>93529.600000000006</v>
      </c>
      <c r="I120" s="1502">
        <f t="shared" ref="I120:CK123" si="99">I136+I152+I168+I184</f>
        <v>0</v>
      </c>
      <c r="J120" s="1502">
        <f t="shared" si="99"/>
        <v>0</v>
      </c>
      <c r="K120" s="1502">
        <f t="shared" si="99"/>
        <v>0</v>
      </c>
      <c r="L120" s="1502">
        <f t="shared" si="99"/>
        <v>0</v>
      </c>
      <c r="M120" s="1502">
        <f t="shared" si="99"/>
        <v>0</v>
      </c>
      <c r="N120" s="1502">
        <f t="shared" si="99"/>
        <v>0</v>
      </c>
      <c r="O120" s="1502">
        <f t="shared" si="99"/>
        <v>0</v>
      </c>
      <c r="P120" s="1502">
        <f t="shared" si="99"/>
        <v>0</v>
      </c>
      <c r="Q120" s="1502">
        <f t="shared" si="99"/>
        <v>0</v>
      </c>
      <c r="R120" s="1502">
        <f t="shared" si="99"/>
        <v>0</v>
      </c>
      <c r="S120" s="1503">
        <f t="shared" si="99"/>
        <v>0</v>
      </c>
      <c r="T120" s="1511">
        <f t="shared" si="99"/>
        <v>10686.800000000001</v>
      </c>
      <c r="U120" s="1505">
        <f t="shared" si="99"/>
        <v>0</v>
      </c>
      <c r="V120" s="1505"/>
      <c r="W120" s="1506">
        <f>H120/12*11</f>
        <v>85735.466666666674</v>
      </c>
      <c r="X120" s="1506">
        <f>AC120</f>
        <v>93529.600000000006</v>
      </c>
      <c r="Y120" s="1506">
        <f>X120-W120</f>
        <v>7794.1333333333314</v>
      </c>
      <c r="Z120" s="1507">
        <f>T120/12*11</f>
        <v>9796.2333333333336</v>
      </c>
      <c r="AA120" s="1506">
        <f>Z120+Y120</f>
        <v>17590.366666666665</v>
      </c>
      <c r="AB120" s="1511">
        <f>Z120-AA120</f>
        <v>-7794.1333333333314</v>
      </c>
      <c r="AC120" s="1545">
        <f t="shared" si="99"/>
        <v>93529.600000000006</v>
      </c>
      <c r="AD120" s="1545">
        <f t="shared" si="99"/>
        <v>0</v>
      </c>
      <c r="AE120" s="1545">
        <f t="shared" si="99"/>
        <v>0</v>
      </c>
      <c r="AF120" s="1545">
        <f t="shared" si="99"/>
        <v>0</v>
      </c>
      <c r="AG120" s="1545">
        <f t="shared" si="99"/>
        <v>0</v>
      </c>
      <c r="AH120" s="1545">
        <f t="shared" si="99"/>
        <v>0</v>
      </c>
      <c r="AI120" s="1510">
        <f t="shared" si="99"/>
        <v>0</v>
      </c>
      <c r="AJ120" s="1510">
        <f t="shared" si="99"/>
        <v>0</v>
      </c>
      <c r="AK120" s="1510">
        <f t="shared" si="99"/>
        <v>0</v>
      </c>
      <c r="AL120" s="1636">
        <f t="shared" si="96"/>
        <v>0</v>
      </c>
      <c r="AM120" s="1510">
        <f t="shared" si="99"/>
        <v>0</v>
      </c>
      <c r="AN120" s="1510">
        <f>AI120/3</f>
        <v>0</v>
      </c>
      <c r="AO120" s="1511">
        <f t="shared" si="99"/>
        <v>6903.6</v>
      </c>
      <c r="AP120" s="1511">
        <f t="shared" si="99"/>
        <v>0</v>
      </c>
      <c r="AQ120" s="1511">
        <f t="shared" si="99"/>
        <v>0</v>
      </c>
      <c r="AR120" s="1511">
        <f t="shared" si="99"/>
        <v>0</v>
      </c>
      <c r="AS120" s="1507">
        <f t="shared" si="99"/>
        <v>6903.6</v>
      </c>
      <c r="AT120" s="1511">
        <f t="shared" si="99"/>
        <v>0</v>
      </c>
      <c r="AU120" s="1511">
        <f t="shared" si="99"/>
        <v>0</v>
      </c>
      <c r="AV120" s="1511">
        <f t="shared" si="99"/>
        <v>0</v>
      </c>
      <c r="AW120" s="1507">
        <f t="shared" si="99"/>
        <v>6903.6</v>
      </c>
      <c r="AX120" s="1511">
        <f t="shared" si="99"/>
        <v>0</v>
      </c>
      <c r="AY120" s="1511">
        <f t="shared" si="99"/>
        <v>0</v>
      </c>
      <c r="AZ120" s="1511">
        <f t="shared" si="99"/>
        <v>0</v>
      </c>
      <c r="BA120" s="1511">
        <f t="shared" si="99"/>
        <v>6903.57</v>
      </c>
      <c r="BB120" s="1511">
        <f t="shared" si="99"/>
        <v>0</v>
      </c>
      <c r="BC120" s="1511">
        <f t="shared" si="99"/>
        <v>0</v>
      </c>
      <c r="BD120" s="1511">
        <f t="shared" si="99"/>
        <v>0</v>
      </c>
      <c r="BE120" s="1511">
        <f t="shared" si="99"/>
        <v>6903.57</v>
      </c>
      <c r="BF120" s="1511">
        <f t="shared" si="99"/>
        <v>0</v>
      </c>
      <c r="BG120" s="1511">
        <f t="shared" si="99"/>
        <v>0</v>
      </c>
      <c r="BH120" s="1511">
        <f t="shared" si="99"/>
        <v>0</v>
      </c>
      <c r="BI120" s="1511">
        <f t="shared" si="99"/>
        <v>14141</v>
      </c>
      <c r="BJ120" s="1511">
        <f t="shared" si="99"/>
        <v>0</v>
      </c>
      <c r="BK120" s="1511">
        <f t="shared" si="99"/>
        <v>0</v>
      </c>
      <c r="BL120" s="1511">
        <f t="shared" si="99"/>
        <v>0</v>
      </c>
      <c r="BM120" s="1511">
        <f t="shared" si="99"/>
        <v>4142.2199999999993</v>
      </c>
      <c r="BN120" s="1511">
        <f t="shared" si="99"/>
        <v>0</v>
      </c>
      <c r="BO120" s="1511">
        <f t="shared" si="99"/>
        <v>0</v>
      </c>
      <c r="BP120" s="1511">
        <f t="shared" si="99"/>
        <v>0</v>
      </c>
      <c r="BQ120" s="1511">
        <f t="shared" si="99"/>
        <v>6903.6</v>
      </c>
      <c r="BR120" s="1511">
        <f t="shared" si="99"/>
        <v>0</v>
      </c>
      <c r="BS120" s="1511">
        <f t="shared" si="99"/>
        <v>0</v>
      </c>
      <c r="BT120" s="1511">
        <f t="shared" si="99"/>
        <v>0</v>
      </c>
      <c r="BU120" s="1511">
        <f t="shared" si="99"/>
        <v>5784.5</v>
      </c>
      <c r="BV120" s="1511">
        <f t="shared" si="99"/>
        <v>0</v>
      </c>
      <c r="BW120" s="1511">
        <f t="shared" si="99"/>
        <v>0</v>
      </c>
      <c r="BX120" s="1511">
        <f t="shared" si="99"/>
        <v>0</v>
      </c>
      <c r="BY120" s="1511">
        <f t="shared" si="99"/>
        <v>10869.29</v>
      </c>
      <c r="BZ120" s="1511">
        <f t="shared" si="99"/>
        <v>0</v>
      </c>
      <c r="CA120" s="1511">
        <f t="shared" si="99"/>
        <v>0</v>
      </c>
      <c r="CB120" s="1511">
        <f t="shared" si="99"/>
        <v>0</v>
      </c>
      <c r="CC120" s="1511">
        <f t="shared" si="99"/>
        <v>8947.35</v>
      </c>
      <c r="CD120" s="1511">
        <f t="shared" si="99"/>
        <v>0</v>
      </c>
      <c r="CE120" s="1511">
        <f t="shared" si="99"/>
        <v>0</v>
      </c>
      <c r="CF120" s="1511">
        <f t="shared" si="99"/>
        <v>0</v>
      </c>
      <c r="CG120" s="1596"/>
      <c r="CH120" s="1511">
        <f t="shared" si="99"/>
        <v>8223.7000000000007</v>
      </c>
      <c r="CI120" s="1511">
        <f t="shared" si="99"/>
        <v>0</v>
      </c>
      <c r="CJ120" s="1511">
        <f t="shared" si="99"/>
        <v>0</v>
      </c>
      <c r="CK120" s="1511">
        <f t="shared" si="99"/>
        <v>0</v>
      </c>
      <c r="CL120" s="1558"/>
      <c r="CM120" s="1558"/>
      <c r="CN120" s="1558"/>
      <c r="CO120" s="1558"/>
      <c r="CP120" s="1558"/>
      <c r="CQ120" s="1558"/>
      <c r="CR120" s="1558"/>
      <c r="CS120" s="1558"/>
      <c r="CT120" s="1558"/>
      <c r="CU120" s="1558"/>
      <c r="CV120" s="1558"/>
      <c r="CW120" s="1558"/>
      <c r="CX120" s="1558">
        <f>H120/12*10-AC120</f>
        <v>-15588.266666666663</v>
      </c>
      <c r="CY120" s="1558">
        <f>AI120/3</f>
        <v>0</v>
      </c>
      <c r="CZ120" s="1558"/>
      <c r="DA120" s="1511">
        <f>DA136+DA152+DA168+DA184</f>
        <v>-24493.933333333334</v>
      </c>
      <c r="DB120" s="1597"/>
      <c r="DC120" s="1597"/>
    </row>
    <row r="121" spans="1:107" s="1559" customFormat="1" x14ac:dyDescent="0.15">
      <c r="A121" s="1688" t="s">
        <v>83</v>
      </c>
      <c r="B121" s="1689" t="s">
        <v>79</v>
      </c>
      <c r="C121" s="1689" t="s">
        <v>100</v>
      </c>
      <c r="D121" s="1689" t="s">
        <v>110</v>
      </c>
      <c r="E121" s="1690">
        <v>4279902</v>
      </c>
      <c r="F121" s="1689"/>
      <c r="G121" s="1667">
        <v>212</v>
      </c>
      <c r="H121" s="1502">
        <f t="shared" ref="H121:U132" si="100">H137+H153+H169+H185</f>
        <v>267.59999999999997</v>
      </c>
      <c r="I121" s="1502">
        <f>I137+I153+I169+I185</f>
        <v>0</v>
      </c>
      <c r="J121" s="1502">
        <f t="shared" si="99"/>
        <v>0</v>
      </c>
      <c r="K121" s="1502">
        <f>K137+K153+K169+K185</f>
        <v>0</v>
      </c>
      <c r="L121" s="1502">
        <f t="shared" si="99"/>
        <v>0</v>
      </c>
      <c r="M121" s="1502">
        <f t="shared" si="99"/>
        <v>0</v>
      </c>
      <c r="N121" s="1502">
        <f t="shared" si="99"/>
        <v>0</v>
      </c>
      <c r="O121" s="1502">
        <f t="shared" si="99"/>
        <v>0</v>
      </c>
      <c r="P121" s="1502">
        <f t="shared" si="99"/>
        <v>0</v>
      </c>
      <c r="Q121" s="1502">
        <f t="shared" si="99"/>
        <v>0</v>
      </c>
      <c r="R121" s="1502">
        <f t="shared" si="99"/>
        <v>0</v>
      </c>
      <c r="S121" s="1503">
        <f t="shared" si="99"/>
        <v>0</v>
      </c>
      <c r="T121" s="1511">
        <f>T137+T153+T169+T185</f>
        <v>0</v>
      </c>
      <c r="U121" s="1505">
        <f>U137+U153+U169+U185</f>
        <v>0</v>
      </c>
      <c r="V121" s="1505"/>
      <c r="W121" s="1506"/>
      <c r="X121" s="1506"/>
      <c r="Y121" s="1506"/>
      <c r="Z121" s="1507"/>
      <c r="AA121" s="1506"/>
      <c r="AB121" s="1511">
        <f>Z121-AA121</f>
        <v>0</v>
      </c>
      <c r="AC121" s="1545">
        <f t="shared" si="99"/>
        <v>267.59999999999997</v>
      </c>
      <c r="AD121" s="1545">
        <f t="shared" si="99"/>
        <v>0</v>
      </c>
      <c r="AE121" s="1545">
        <f t="shared" si="99"/>
        <v>0</v>
      </c>
      <c r="AF121" s="1545">
        <f t="shared" si="99"/>
        <v>0</v>
      </c>
      <c r="AG121" s="1545">
        <f t="shared" si="99"/>
        <v>0</v>
      </c>
      <c r="AH121" s="1545">
        <f t="shared" si="99"/>
        <v>0</v>
      </c>
      <c r="AI121" s="1510">
        <f t="shared" si="99"/>
        <v>0</v>
      </c>
      <c r="AJ121" s="1510">
        <f t="shared" si="99"/>
        <v>0</v>
      </c>
      <c r="AK121" s="1510">
        <f t="shared" si="99"/>
        <v>0</v>
      </c>
      <c r="AL121" s="1636">
        <f t="shared" si="96"/>
        <v>0</v>
      </c>
      <c r="AM121" s="1510">
        <f>AM137+AM153+AM169+AM185</f>
        <v>0</v>
      </c>
      <c r="AN121" s="1510"/>
      <c r="AO121" s="1511">
        <f t="shared" si="99"/>
        <v>44.6</v>
      </c>
      <c r="AP121" s="1511">
        <f t="shared" si="99"/>
        <v>0</v>
      </c>
      <c r="AQ121" s="1511">
        <f t="shared" si="99"/>
        <v>0</v>
      </c>
      <c r="AR121" s="1511">
        <f t="shared" si="99"/>
        <v>0</v>
      </c>
      <c r="AS121" s="1507">
        <f t="shared" si="99"/>
        <v>0</v>
      </c>
      <c r="AT121" s="1511">
        <f t="shared" si="99"/>
        <v>0</v>
      </c>
      <c r="AU121" s="1511">
        <f t="shared" si="99"/>
        <v>0</v>
      </c>
      <c r="AV121" s="1511">
        <f t="shared" si="99"/>
        <v>0</v>
      </c>
      <c r="AW121" s="1507">
        <f t="shared" si="99"/>
        <v>0</v>
      </c>
      <c r="AX121" s="1511">
        <f t="shared" si="99"/>
        <v>0</v>
      </c>
      <c r="AY121" s="1511">
        <f t="shared" si="99"/>
        <v>0</v>
      </c>
      <c r="AZ121" s="1511">
        <f t="shared" si="99"/>
        <v>0</v>
      </c>
      <c r="BA121" s="1511">
        <f t="shared" si="99"/>
        <v>0</v>
      </c>
      <c r="BB121" s="1511">
        <f t="shared" si="99"/>
        <v>0</v>
      </c>
      <c r="BC121" s="1511">
        <f t="shared" si="99"/>
        <v>0</v>
      </c>
      <c r="BD121" s="1511">
        <f t="shared" si="99"/>
        <v>0</v>
      </c>
      <c r="BE121" s="1511">
        <f t="shared" si="99"/>
        <v>0</v>
      </c>
      <c r="BF121" s="1511">
        <f t="shared" si="99"/>
        <v>0</v>
      </c>
      <c r="BG121" s="1511">
        <f t="shared" si="99"/>
        <v>0</v>
      </c>
      <c r="BH121" s="1511">
        <f t="shared" si="99"/>
        <v>0</v>
      </c>
      <c r="BI121" s="1511">
        <f t="shared" si="99"/>
        <v>0</v>
      </c>
      <c r="BJ121" s="1511">
        <f t="shared" si="99"/>
        <v>0</v>
      </c>
      <c r="BK121" s="1511">
        <f t="shared" si="99"/>
        <v>0</v>
      </c>
      <c r="BL121" s="1511">
        <f t="shared" si="99"/>
        <v>0</v>
      </c>
      <c r="BM121" s="1511">
        <f t="shared" si="99"/>
        <v>0</v>
      </c>
      <c r="BN121" s="1511">
        <f t="shared" si="99"/>
        <v>0</v>
      </c>
      <c r="BO121" s="1511">
        <f t="shared" si="99"/>
        <v>0</v>
      </c>
      <c r="BP121" s="1511">
        <f t="shared" si="99"/>
        <v>0</v>
      </c>
      <c r="BQ121" s="1511">
        <f t="shared" si="99"/>
        <v>0</v>
      </c>
      <c r="BR121" s="1511">
        <f t="shared" si="99"/>
        <v>0</v>
      </c>
      <c r="BS121" s="1511">
        <f t="shared" si="99"/>
        <v>0</v>
      </c>
      <c r="BT121" s="1511">
        <f t="shared" si="99"/>
        <v>0</v>
      </c>
      <c r="BU121" s="1511">
        <f t="shared" si="99"/>
        <v>161.1</v>
      </c>
      <c r="BV121" s="1511">
        <f t="shared" si="99"/>
        <v>0</v>
      </c>
      <c r="BW121" s="1511">
        <f t="shared" si="99"/>
        <v>0</v>
      </c>
      <c r="BX121" s="1511">
        <f t="shared" si="99"/>
        <v>0</v>
      </c>
      <c r="BY121" s="1511">
        <f t="shared" si="99"/>
        <v>0</v>
      </c>
      <c r="BZ121" s="1511">
        <f t="shared" si="99"/>
        <v>0</v>
      </c>
      <c r="CA121" s="1511">
        <f t="shared" si="99"/>
        <v>0</v>
      </c>
      <c r="CB121" s="1511">
        <f t="shared" si="99"/>
        <v>0</v>
      </c>
      <c r="CC121" s="1511">
        <f t="shared" si="99"/>
        <v>0</v>
      </c>
      <c r="CD121" s="1511">
        <f t="shared" si="99"/>
        <v>0</v>
      </c>
      <c r="CE121" s="1511">
        <f t="shared" si="99"/>
        <v>0</v>
      </c>
      <c r="CF121" s="1511">
        <f t="shared" si="99"/>
        <v>0</v>
      </c>
      <c r="CG121" s="1596"/>
      <c r="CH121" s="1511">
        <f t="shared" si="99"/>
        <v>61.9</v>
      </c>
      <c r="CI121" s="1511">
        <f t="shared" si="99"/>
        <v>0</v>
      </c>
      <c r="CJ121" s="1511">
        <f t="shared" si="99"/>
        <v>0</v>
      </c>
      <c r="CK121" s="1511">
        <f t="shared" si="99"/>
        <v>0</v>
      </c>
      <c r="CL121" s="1558"/>
      <c r="CM121" s="1558"/>
      <c r="CN121" s="1558"/>
      <c r="CO121" s="1558"/>
      <c r="CP121" s="1558"/>
      <c r="CQ121" s="1558"/>
      <c r="CR121" s="1558"/>
      <c r="CS121" s="1558"/>
      <c r="CT121" s="1558"/>
      <c r="CU121" s="1558"/>
      <c r="CV121" s="1558"/>
      <c r="CW121" s="1558"/>
      <c r="CX121" s="1558"/>
      <c r="CY121" s="1558"/>
      <c r="CZ121" s="1558"/>
      <c r="DA121" s="1511"/>
      <c r="DB121" s="1597"/>
      <c r="DC121" s="1597"/>
    </row>
    <row r="122" spans="1:107" s="1559" customFormat="1" x14ac:dyDescent="0.15">
      <c r="A122" s="1688" t="s">
        <v>84</v>
      </c>
      <c r="B122" s="1689" t="s">
        <v>79</v>
      </c>
      <c r="C122" s="1689" t="s">
        <v>100</v>
      </c>
      <c r="D122" s="1689" t="s">
        <v>110</v>
      </c>
      <c r="E122" s="1690">
        <v>4279902</v>
      </c>
      <c r="F122" s="1689"/>
      <c r="G122" s="1667">
        <v>213</v>
      </c>
      <c r="H122" s="1502">
        <f t="shared" si="100"/>
        <v>28246</v>
      </c>
      <c r="I122" s="1502">
        <f t="shared" si="100"/>
        <v>0</v>
      </c>
      <c r="J122" s="1502">
        <f t="shared" si="99"/>
        <v>0</v>
      </c>
      <c r="K122" s="1502">
        <f t="shared" si="100"/>
        <v>0</v>
      </c>
      <c r="L122" s="1502">
        <f t="shared" si="99"/>
        <v>0</v>
      </c>
      <c r="M122" s="1502">
        <f t="shared" si="99"/>
        <v>0</v>
      </c>
      <c r="N122" s="1502">
        <f t="shared" si="99"/>
        <v>0</v>
      </c>
      <c r="O122" s="1502">
        <f t="shared" si="99"/>
        <v>0</v>
      </c>
      <c r="P122" s="1502">
        <f t="shared" si="99"/>
        <v>0</v>
      </c>
      <c r="Q122" s="1502">
        <f t="shared" si="99"/>
        <v>0</v>
      </c>
      <c r="R122" s="1502">
        <f t="shared" si="99"/>
        <v>0</v>
      </c>
      <c r="S122" s="1503">
        <f t="shared" si="99"/>
        <v>0</v>
      </c>
      <c r="T122" s="1511">
        <f t="shared" si="100"/>
        <v>3227.3999999999996</v>
      </c>
      <c r="U122" s="1505">
        <f t="shared" si="100"/>
        <v>0</v>
      </c>
      <c r="V122" s="1505"/>
      <c r="W122" s="1506">
        <f>H122/12*11</f>
        <v>25892.166666666668</v>
      </c>
      <c r="X122" s="1506">
        <f>AC122</f>
        <v>28246</v>
      </c>
      <c r="Y122" s="1506">
        <f>X122-W122</f>
        <v>2353.8333333333321</v>
      </c>
      <c r="Z122" s="1507">
        <f>T122/12*11</f>
        <v>2958.45</v>
      </c>
      <c r="AA122" s="1506">
        <f>Z122+Y122</f>
        <v>5312.2833333333319</v>
      </c>
      <c r="AB122" s="1511">
        <f>Z122-AA122</f>
        <v>-2353.8333333333321</v>
      </c>
      <c r="AC122" s="1545">
        <f t="shared" si="99"/>
        <v>28246</v>
      </c>
      <c r="AD122" s="1545">
        <f t="shared" si="99"/>
        <v>0</v>
      </c>
      <c r="AE122" s="1545">
        <f t="shared" si="99"/>
        <v>0</v>
      </c>
      <c r="AF122" s="1545">
        <f t="shared" si="99"/>
        <v>0</v>
      </c>
      <c r="AG122" s="1545">
        <f t="shared" si="99"/>
        <v>0</v>
      </c>
      <c r="AH122" s="1545">
        <f t="shared" si="99"/>
        <v>0</v>
      </c>
      <c r="AI122" s="1510">
        <f t="shared" si="99"/>
        <v>0</v>
      </c>
      <c r="AJ122" s="1510">
        <f t="shared" si="99"/>
        <v>0</v>
      </c>
      <c r="AK122" s="1510">
        <f t="shared" si="99"/>
        <v>0</v>
      </c>
      <c r="AL122" s="1636">
        <f t="shared" si="96"/>
        <v>0</v>
      </c>
      <c r="AM122" s="1510">
        <f t="shared" si="99"/>
        <v>0</v>
      </c>
      <c r="AN122" s="1510">
        <f>AI122/3</f>
        <v>0</v>
      </c>
      <c r="AO122" s="1511">
        <f t="shared" si="99"/>
        <v>2085</v>
      </c>
      <c r="AP122" s="1511">
        <f t="shared" si="99"/>
        <v>0</v>
      </c>
      <c r="AQ122" s="1511">
        <f t="shared" si="99"/>
        <v>0</v>
      </c>
      <c r="AR122" s="1511">
        <f t="shared" si="99"/>
        <v>0</v>
      </c>
      <c r="AS122" s="1507">
        <f t="shared" si="99"/>
        <v>2085</v>
      </c>
      <c r="AT122" s="1511">
        <f t="shared" si="99"/>
        <v>0</v>
      </c>
      <c r="AU122" s="1511">
        <f t="shared" si="99"/>
        <v>0</v>
      </c>
      <c r="AV122" s="1511">
        <f t="shared" si="99"/>
        <v>0</v>
      </c>
      <c r="AW122" s="1507">
        <f t="shared" si="99"/>
        <v>2084.9</v>
      </c>
      <c r="AX122" s="1511">
        <f t="shared" si="99"/>
        <v>0</v>
      </c>
      <c r="AY122" s="1511">
        <f t="shared" si="99"/>
        <v>0</v>
      </c>
      <c r="AZ122" s="1511">
        <f t="shared" si="99"/>
        <v>0</v>
      </c>
      <c r="BA122" s="1511">
        <f t="shared" si="99"/>
        <v>2084.88</v>
      </c>
      <c r="BB122" s="1511">
        <f t="shared" si="99"/>
        <v>0</v>
      </c>
      <c r="BC122" s="1511">
        <f t="shared" si="99"/>
        <v>0</v>
      </c>
      <c r="BD122" s="1511">
        <f t="shared" si="99"/>
        <v>0</v>
      </c>
      <c r="BE122" s="1511">
        <f t="shared" si="99"/>
        <v>2084.88</v>
      </c>
      <c r="BF122" s="1511">
        <f t="shared" si="99"/>
        <v>0</v>
      </c>
      <c r="BG122" s="1511">
        <f t="shared" si="99"/>
        <v>0</v>
      </c>
      <c r="BH122" s="1511">
        <f t="shared" si="99"/>
        <v>0</v>
      </c>
      <c r="BI122" s="1511">
        <f t="shared" si="99"/>
        <v>3436.7</v>
      </c>
      <c r="BJ122" s="1511">
        <f t="shared" si="99"/>
        <v>0</v>
      </c>
      <c r="BK122" s="1511">
        <f t="shared" si="99"/>
        <v>0</v>
      </c>
      <c r="BL122" s="1511">
        <f t="shared" si="99"/>
        <v>0</v>
      </c>
      <c r="BM122" s="1511">
        <f t="shared" si="99"/>
        <v>2084.8000000000002</v>
      </c>
      <c r="BN122" s="1511">
        <f t="shared" si="99"/>
        <v>0</v>
      </c>
      <c r="BO122" s="1511">
        <f t="shared" si="99"/>
        <v>0</v>
      </c>
      <c r="BP122" s="1511">
        <f t="shared" si="99"/>
        <v>0</v>
      </c>
      <c r="BQ122" s="1511">
        <f t="shared" si="99"/>
        <v>2084.9</v>
      </c>
      <c r="BR122" s="1511">
        <f t="shared" si="99"/>
        <v>0</v>
      </c>
      <c r="BS122" s="1511">
        <f t="shared" si="99"/>
        <v>0</v>
      </c>
      <c r="BT122" s="1511">
        <f t="shared" si="99"/>
        <v>0</v>
      </c>
      <c r="BU122" s="1511">
        <f t="shared" si="99"/>
        <v>1746.9</v>
      </c>
      <c r="BV122" s="1511">
        <f t="shared" si="99"/>
        <v>0</v>
      </c>
      <c r="BW122" s="1511">
        <f t="shared" si="99"/>
        <v>0</v>
      </c>
      <c r="BX122" s="1511">
        <f t="shared" si="99"/>
        <v>0</v>
      </c>
      <c r="BY122" s="1511">
        <f t="shared" si="99"/>
        <v>2984.66</v>
      </c>
      <c r="BZ122" s="1511">
        <f t="shared" si="99"/>
        <v>0</v>
      </c>
      <c r="CA122" s="1511">
        <f t="shared" si="99"/>
        <v>0</v>
      </c>
      <c r="CB122" s="1511">
        <f t="shared" si="99"/>
        <v>0</v>
      </c>
      <c r="CC122" s="1511">
        <f t="shared" si="99"/>
        <v>2960.1</v>
      </c>
      <c r="CD122" s="1511">
        <f t="shared" si="99"/>
        <v>0</v>
      </c>
      <c r="CE122" s="1511">
        <f t="shared" si="99"/>
        <v>0</v>
      </c>
      <c r="CF122" s="1511">
        <f t="shared" si="99"/>
        <v>0</v>
      </c>
      <c r="CG122" s="1596"/>
      <c r="CH122" s="1511">
        <f t="shared" si="99"/>
        <v>2523.2799999999997</v>
      </c>
      <c r="CI122" s="1511">
        <f t="shared" si="99"/>
        <v>0</v>
      </c>
      <c r="CJ122" s="1511">
        <f t="shared" si="99"/>
        <v>0</v>
      </c>
      <c r="CK122" s="1511">
        <f t="shared" si="99"/>
        <v>0</v>
      </c>
      <c r="CL122" s="1558"/>
      <c r="CM122" s="1558"/>
      <c r="CN122" s="1558"/>
      <c r="CO122" s="1558"/>
      <c r="CP122" s="1558"/>
      <c r="CQ122" s="1558"/>
      <c r="CR122" s="1558"/>
      <c r="CS122" s="1558"/>
      <c r="CT122" s="1558"/>
      <c r="CU122" s="1558"/>
      <c r="CV122" s="1558"/>
      <c r="CW122" s="1558"/>
      <c r="CX122" s="1558">
        <f>H122/12*10-AC122</f>
        <v>-4707.6666666666642</v>
      </c>
      <c r="CY122" s="1558">
        <f>AI122/3</f>
        <v>0</v>
      </c>
      <c r="CZ122" s="1558"/>
      <c r="DA122" s="1511">
        <f>DA138+DA154+DA170+DA186</f>
        <v>-7397.1666666666661</v>
      </c>
      <c r="DB122" s="1597"/>
      <c r="DC122" s="1597"/>
    </row>
    <row r="123" spans="1:107" s="1559" customFormat="1" x14ac:dyDescent="0.15">
      <c r="A123" s="1688" t="s">
        <v>85</v>
      </c>
      <c r="B123" s="1689" t="s">
        <v>79</v>
      </c>
      <c r="C123" s="1689" t="s">
        <v>100</v>
      </c>
      <c r="D123" s="1689" t="s">
        <v>110</v>
      </c>
      <c r="E123" s="1690">
        <v>4279902</v>
      </c>
      <c r="F123" s="1689"/>
      <c r="G123" s="1667">
        <v>221</v>
      </c>
      <c r="H123" s="1502">
        <f t="shared" si="100"/>
        <v>81.75</v>
      </c>
      <c r="I123" s="1502">
        <f t="shared" si="100"/>
        <v>0</v>
      </c>
      <c r="J123" s="1502">
        <f t="shared" si="99"/>
        <v>0</v>
      </c>
      <c r="K123" s="1502">
        <f t="shared" si="100"/>
        <v>0</v>
      </c>
      <c r="L123" s="1502">
        <f t="shared" si="99"/>
        <v>0</v>
      </c>
      <c r="M123" s="1502">
        <f t="shared" si="99"/>
        <v>0</v>
      </c>
      <c r="N123" s="1502">
        <f t="shared" si="99"/>
        <v>0</v>
      </c>
      <c r="O123" s="1502">
        <f t="shared" si="99"/>
        <v>0</v>
      </c>
      <c r="P123" s="1502">
        <f t="shared" si="99"/>
        <v>0</v>
      </c>
      <c r="Q123" s="1502">
        <f t="shared" si="99"/>
        <v>0</v>
      </c>
      <c r="R123" s="1502">
        <f t="shared" si="99"/>
        <v>0</v>
      </c>
      <c r="S123" s="1503">
        <f t="shared" si="99"/>
        <v>0</v>
      </c>
      <c r="T123" s="1504"/>
      <c r="U123" s="1505">
        <f t="shared" si="100"/>
        <v>4.55</v>
      </c>
      <c r="V123" s="1505"/>
      <c r="W123" s="1506"/>
      <c r="X123" s="1506"/>
      <c r="Y123" s="1506"/>
      <c r="Z123" s="1507"/>
      <c r="AA123" s="1506"/>
      <c r="AB123" s="1506"/>
      <c r="AC123" s="1545">
        <f t="shared" si="99"/>
        <v>81.75</v>
      </c>
      <c r="AD123" s="1545">
        <f t="shared" si="99"/>
        <v>0</v>
      </c>
      <c r="AE123" s="1545">
        <f t="shared" si="99"/>
        <v>0</v>
      </c>
      <c r="AF123" s="1545">
        <f t="shared" si="99"/>
        <v>0</v>
      </c>
      <c r="AG123" s="1545">
        <f t="shared" si="99"/>
        <v>0</v>
      </c>
      <c r="AH123" s="1545">
        <f t="shared" si="99"/>
        <v>0</v>
      </c>
      <c r="AI123" s="1510">
        <f t="shared" si="99"/>
        <v>0</v>
      </c>
      <c r="AJ123" s="1510">
        <f t="shared" si="99"/>
        <v>0</v>
      </c>
      <c r="AK123" s="1510">
        <f t="shared" si="99"/>
        <v>0</v>
      </c>
      <c r="AL123" s="1636">
        <f t="shared" si="96"/>
        <v>0</v>
      </c>
      <c r="AM123" s="1510">
        <f t="shared" si="99"/>
        <v>0</v>
      </c>
      <c r="AN123" s="1511"/>
      <c r="AO123" s="1511">
        <f t="shared" si="99"/>
        <v>7.2</v>
      </c>
      <c r="AP123" s="1511">
        <f t="shared" si="99"/>
        <v>0</v>
      </c>
      <c r="AQ123" s="1511">
        <f t="shared" si="99"/>
        <v>0</v>
      </c>
      <c r="AR123" s="1511">
        <f t="shared" si="99"/>
        <v>0</v>
      </c>
      <c r="AS123" s="1507">
        <f t="shared" si="99"/>
        <v>0</v>
      </c>
      <c r="AT123" s="1511">
        <f t="shared" si="99"/>
        <v>0</v>
      </c>
      <c r="AU123" s="1511">
        <f t="shared" si="99"/>
        <v>0</v>
      </c>
      <c r="AV123" s="1511">
        <f t="shared" si="99"/>
        <v>0</v>
      </c>
      <c r="AW123" s="1507">
        <f t="shared" si="99"/>
        <v>0</v>
      </c>
      <c r="AX123" s="1511">
        <f t="shared" si="99"/>
        <v>0</v>
      </c>
      <c r="AY123" s="1511">
        <f t="shared" si="99"/>
        <v>0</v>
      </c>
      <c r="AZ123" s="1511">
        <f t="shared" si="99"/>
        <v>0</v>
      </c>
      <c r="BA123" s="1511">
        <f t="shared" si="99"/>
        <v>0</v>
      </c>
      <c r="BB123" s="1511">
        <f t="shared" si="99"/>
        <v>0</v>
      </c>
      <c r="BC123" s="1511">
        <f t="shared" si="99"/>
        <v>0</v>
      </c>
      <c r="BD123" s="1511">
        <f t="shared" si="99"/>
        <v>0</v>
      </c>
      <c r="BE123" s="1511">
        <f t="shared" si="99"/>
        <v>0</v>
      </c>
      <c r="BF123" s="1511">
        <f t="shared" si="99"/>
        <v>0</v>
      </c>
      <c r="BG123" s="1511">
        <f t="shared" si="99"/>
        <v>0</v>
      </c>
      <c r="BH123" s="1511">
        <f t="shared" si="99"/>
        <v>0</v>
      </c>
      <c r="BI123" s="1511">
        <f t="shared" si="99"/>
        <v>0</v>
      </c>
      <c r="BJ123" s="1511">
        <f t="shared" si="99"/>
        <v>0</v>
      </c>
      <c r="BK123" s="1511">
        <f t="shared" si="99"/>
        <v>0</v>
      </c>
      <c r="BL123" s="1511">
        <f t="shared" si="99"/>
        <v>0</v>
      </c>
      <c r="BM123" s="1511">
        <f t="shared" si="99"/>
        <v>0</v>
      </c>
      <c r="BN123" s="1511">
        <f t="shared" si="99"/>
        <v>0</v>
      </c>
      <c r="BO123" s="1511">
        <f t="shared" si="99"/>
        <v>0</v>
      </c>
      <c r="BP123" s="1511">
        <f t="shared" si="99"/>
        <v>0</v>
      </c>
      <c r="BQ123" s="1511">
        <f t="shared" si="99"/>
        <v>0</v>
      </c>
      <c r="BR123" s="1511">
        <f t="shared" si="99"/>
        <v>0</v>
      </c>
      <c r="BS123" s="1511">
        <f t="shared" si="99"/>
        <v>0</v>
      </c>
      <c r="BT123" s="1511">
        <f t="shared" si="99"/>
        <v>0</v>
      </c>
      <c r="BU123" s="1511">
        <f t="shared" ref="BU123:CF123" si="101">BU139+BU155+BU171+BU187</f>
        <v>74.55</v>
      </c>
      <c r="BV123" s="1511">
        <f t="shared" si="101"/>
        <v>0</v>
      </c>
      <c r="BW123" s="1511">
        <f t="shared" si="101"/>
        <v>0</v>
      </c>
      <c r="BX123" s="1511">
        <f t="shared" si="101"/>
        <v>0</v>
      </c>
      <c r="BY123" s="1511">
        <f t="shared" si="101"/>
        <v>0</v>
      </c>
      <c r="BZ123" s="1511">
        <f t="shared" si="101"/>
        <v>0</v>
      </c>
      <c r="CA123" s="1511">
        <f t="shared" si="101"/>
        <v>0</v>
      </c>
      <c r="CB123" s="1511">
        <f t="shared" si="101"/>
        <v>0</v>
      </c>
      <c r="CC123" s="1511">
        <f t="shared" si="101"/>
        <v>0</v>
      </c>
      <c r="CD123" s="1511">
        <f t="shared" si="101"/>
        <v>0</v>
      </c>
      <c r="CE123" s="1511">
        <f t="shared" si="101"/>
        <v>0</v>
      </c>
      <c r="CF123" s="1511">
        <f t="shared" si="101"/>
        <v>0</v>
      </c>
      <c r="CG123" s="1596"/>
      <c r="CH123" s="1511">
        <f>CH139+CH155+CH171+CH187</f>
        <v>0</v>
      </c>
      <c r="CI123" s="1511">
        <f>CI139+CI155+CI171+CI187</f>
        <v>0</v>
      </c>
      <c r="CJ123" s="1511">
        <f>CJ139+CJ155+CJ171+CJ187</f>
        <v>0</v>
      </c>
      <c r="CK123" s="1511">
        <f>CK139+CK155+CK171+CK187</f>
        <v>0</v>
      </c>
      <c r="CL123" s="1558"/>
      <c r="CM123" s="1558"/>
      <c r="CN123" s="1558">
        <f>H123/12</f>
        <v>6.8125</v>
      </c>
      <c r="CO123" s="1558"/>
      <c r="CP123" s="1558"/>
      <c r="CQ123" s="1558"/>
      <c r="CR123" s="1558"/>
      <c r="CS123" s="1558"/>
      <c r="CT123" s="1558"/>
      <c r="CU123" s="1558"/>
      <c r="CV123" s="1558"/>
      <c r="CW123" s="1558"/>
      <c r="CY123" s="1558"/>
    </row>
    <row r="124" spans="1:107" s="1559" customFormat="1" x14ac:dyDescent="0.15">
      <c r="A124" s="1688" t="s">
        <v>86</v>
      </c>
      <c r="B124" s="1689" t="s">
        <v>79</v>
      </c>
      <c r="C124" s="1689" t="s">
        <v>100</v>
      </c>
      <c r="D124" s="1689" t="s">
        <v>110</v>
      </c>
      <c r="E124" s="1690">
        <v>4279902</v>
      </c>
      <c r="F124" s="1689"/>
      <c r="G124" s="1667">
        <v>222</v>
      </c>
      <c r="H124" s="1502">
        <f t="shared" si="100"/>
        <v>9.2240000000000002</v>
      </c>
      <c r="I124" s="1502">
        <f t="shared" si="100"/>
        <v>0</v>
      </c>
      <c r="J124" s="1502">
        <f t="shared" si="100"/>
        <v>0</v>
      </c>
      <c r="K124" s="1502">
        <f t="shared" si="100"/>
        <v>0</v>
      </c>
      <c r="L124" s="1502">
        <f t="shared" si="100"/>
        <v>0</v>
      </c>
      <c r="M124" s="1502">
        <f t="shared" si="100"/>
        <v>0</v>
      </c>
      <c r="N124" s="1502">
        <f t="shared" si="100"/>
        <v>0</v>
      </c>
      <c r="O124" s="1502">
        <f t="shared" si="100"/>
        <v>0</v>
      </c>
      <c r="P124" s="1502">
        <f t="shared" si="100"/>
        <v>0</v>
      </c>
      <c r="Q124" s="1502">
        <f t="shared" si="100"/>
        <v>0</v>
      </c>
      <c r="R124" s="1502">
        <f t="shared" si="100"/>
        <v>0</v>
      </c>
      <c r="S124" s="1503">
        <f t="shared" si="100"/>
        <v>0</v>
      </c>
      <c r="T124" s="1504"/>
      <c r="U124" s="1505">
        <f t="shared" si="100"/>
        <v>73.3</v>
      </c>
      <c r="V124" s="1505"/>
      <c r="W124" s="1506"/>
      <c r="X124" s="1506"/>
      <c r="Y124" s="1506"/>
      <c r="Z124" s="1507"/>
      <c r="AA124" s="1506"/>
      <c r="AB124" s="1506"/>
      <c r="AC124" s="1545">
        <f t="shared" ref="AC124:CK128" si="102">AC140+AC156+AC172+AC188</f>
        <v>9.2240000000000002</v>
      </c>
      <c r="AD124" s="1545">
        <f t="shared" si="102"/>
        <v>0</v>
      </c>
      <c r="AE124" s="1545">
        <f t="shared" si="102"/>
        <v>0</v>
      </c>
      <c r="AF124" s="1545">
        <f t="shared" si="102"/>
        <v>0</v>
      </c>
      <c r="AG124" s="1545">
        <f t="shared" si="102"/>
        <v>0</v>
      </c>
      <c r="AH124" s="1545">
        <f t="shared" si="102"/>
        <v>0</v>
      </c>
      <c r="AI124" s="1510">
        <f t="shared" si="102"/>
        <v>0</v>
      </c>
      <c r="AJ124" s="1510">
        <f t="shared" si="102"/>
        <v>0</v>
      </c>
      <c r="AK124" s="1510">
        <f t="shared" si="102"/>
        <v>0</v>
      </c>
      <c r="AL124" s="1636">
        <f t="shared" si="96"/>
        <v>0</v>
      </c>
      <c r="AM124" s="1510">
        <f t="shared" si="102"/>
        <v>0</v>
      </c>
      <c r="AN124" s="1511"/>
      <c r="AO124" s="1511">
        <f t="shared" si="102"/>
        <v>6.7</v>
      </c>
      <c r="AP124" s="1511">
        <f t="shared" si="102"/>
        <v>0</v>
      </c>
      <c r="AQ124" s="1511">
        <f t="shared" si="102"/>
        <v>0</v>
      </c>
      <c r="AR124" s="1511">
        <f t="shared" si="102"/>
        <v>0</v>
      </c>
      <c r="AS124" s="1507">
        <f t="shared" si="102"/>
        <v>0</v>
      </c>
      <c r="AT124" s="1511">
        <f t="shared" si="102"/>
        <v>0</v>
      </c>
      <c r="AU124" s="1511">
        <f t="shared" si="102"/>
        <v>0</v>
      </c>
      <c r="AV124" s="1511">
        <f t="shared" si="102"/>
        <v>0</v>
      </c>
      <c r="AW124" s="1507">
        <f t="shared" si="102"/>
        <v>0</v>
      </c>
      <c r="AX124" s="1511">
        <f t="shared" si="102"/>
        <v>0</v>
      </c>
      <c r="AY124" s="1511">
        <f t="shared" si="102"/>
        <v>0</v>
      </c>
      <c r="AZ124" s="1511">
        <f t="shared" si="102"/>
        <v>0</v>
      </c>
      <c r="BA124" s="1511">
        <f t="shared" si="102"/>
        <v>0</v>
      </c>
      <c r="BB124" s="1511">
        <f t="shared" si="102"/>
        <v>0</v>
      </c>
      <c r="BC124" s="1511">
        <f t="shared" si="102"/>
        <v>0</v>
      </c>
      <c r="BD124" s="1511">
        <f t="shared" si="102"/>
        <v>0</v>
      </c>
      <c r="BE124" s="1511">
        <f t="shared" si="102"/>
        <v>0</v>
      </c>
      <c r="BF124" s="1511">
        <f t="shared" si="102"/>
        <v>0</v>
      </c>
      <c r="BG124" s="1511">
        <f t="shared" si="102"/>
        <v>0</v>
      </c>
      <c r="BH124" s="1511">
        <f t="shared" si="102"/>
        <v>0</v>
      </c>
      <c r="BI124" s="1511">
        <f t="shared" si="102"/>
        <v>0</v>
      </c>
      <c r="BJ124" s="1511">
        <f t="shared" si="102"/>
        <v>0</v>
      </c>
      <c r="BK124" s="1511">
        <f t="shared" si="102"/>
        <v>0</v>
      </c>
      <c r="BL124" s="1511">
        <f t="shared" si="102"/>
        <v>0</v>
      </c>
      <c r="BM124" s="1511">
        <f t="shared" si="102"/>
        <v>0</v>
      </c>
      <c r="BN124" s="1511">
        <f t="shared" si="102"/>
        <v>0</v>
      </c>
      <c r="BO124" s="1511">
        <f t="shared" si="102"/>
        <v>0</v>
      </c>
      <c r="BP124" s="1511">
        <f t="shared" si="102"/>
        <v>0</v>
      </c>
      <c r="BQ124" s="1511">
        <f t="shared" si="102"/>
        <v>0</v>
      </c>
      <c r="BR124" s="1511">
        <f t="shared" si="102"/>
        <v>0</v>
      </c>
      <c r="BS124" s="1511">
        <f t="shared" si="102"/>
        <v>0</v>
      </c>
      <c r="BT124" s="1511">
        <f t="shared" si="102"/>
        <v>0</v>
      </c>
      <c r="BU124" s="1511">
        <f t="shared" si="102"/>
        <v>0</v>
      </c>
      <c r="BV124" s="1511">
        <f t="shared" si="102"/>
        <v>0</v>
      </c>
      <c r="BW124" s="1511">
        <f t="shared" si="102"/>
        <v>0</v>
      </c>
      <c r="BX124" s="1511">
        <f t="shared" si="102"/>
        <v>0</v>
      </c>
      <c r="BY124" s="1511">
        <f t="shared" si="102"/>
        <v>0</v>
      </c>
      <c r="BZ124" s="1511">
        <f t="shared" si="102"/>
        <v>0</v>
      </c>
      <c r="CA124" s="1511">
        <f t="shared" si="102"/>
        <v>0</v>
      </c>
      <c r="CB124" s="1511">
        <f t="shared" si="102"/>
        <v>0</v>
      </c>
      <c r="CC124" s="1511">
        <f t="shared" si="102"/>
        <v>0</v>
      </c>
      <c r="CD124" s="1511">
        <f t="shared" si="102"/>
        <v>0</v>
      </c>
      <c r="CE124" s="1511">
        <f t="shared" si="102"/>
        <v>0</v>
      </c>
      <c r="CF124" s="1511">
        <f t="shared" si="102"/>
        <v>0</v>
      </c>
      <c r="CG124" s="1596"/>
      <c r="CH124" s="1511">
        <f t="shared" si="102"/>
        <v>2.524</v>
      </c>
      <c r="CI124" s="1511">
        <f t="shared" si="102"/>
        <v>0</v>
      </c>
      <c r="CJ124" s="1511">
        <f t="shared" si="102"/>
        <v>0</v>
      </c>
      <c r="CK124" s="1511">
        <f t="shared" si="102"/>
        <v>0</v>
      </c>
      <c r="CL124" s="1558"/>
      <c r="CM124" s="1558"/>
      <c r="CN124" s="1558"/>
      <c r="CO124" s="1558"/>
      <c r="CP124" s="1558"/>
      <c r="CQ124" s="1558"/>
      <c r="CR124" s="1558"/>
      <c r="CS124" s="1558"/>
      <c r="CT124" s="1558"/>
      <c r="CU124" s="1558"/>
      <c r="CV124" s="1558"/>
      <c r="CW124" s="1558"/>
      <c r="CY124" s="1558"/>
    </row>
    <row r="125" spans="1:107" s="1559" customFormat="1" x14ac:dyDescent="0.15">
      <c r="A125" s="1688" t="s">
        <v>87</v>
      </c>
      <c r="B125" s="1689" t="s">
        <v>79</v>
      </c>
      <c r="C125" s="1689" t="s">
        <v>100</v>
      </c>
      <c r="D125" s="1689" t="s">
        <v>110</v>
      </c>
      <c r="E125" s="1690">
        <v>4279902</v>
      </c>
      <c r="F125" s="1689"/>
      <c r="G125" s="1667">
        <v>223</v>
      </c>
      <c r="H125" s="1502">
        <f>H141+H157+H173+H189</f>
        <v>1301.95</v>
      </c>
      <c r="I125" s="1502">
        <f t="shared" si="100"/>
        <v>0</v>
      </c>
      <c r="J125" s="1502">
        <f t="shared" si="100"/>
        <v>0</v>
      </c>
      <c r="K125" s="1502">
        <f t="shared" si="100"/>
        <v>0</v>
      </c>
      <c r="L125" s="1502">
        <f t="shared" si="100"/>
        <v>0</v>
      </c>
      <c r="M125" s="1502">
        <f t="shared" si="100"/>
        <v>0</v>
      </c>
      <c r="N125" s="1502">
        <f t="shared" si="100"/>
        <v>0</v>
      </c>
      <c r="O125" s="1502">
        <f t="shared" si="100"/>
        <v>0</v>
      </c>
      <c r="P125" s="1502">
        <f t="shared" si="100"/>
        <v>0</v>
      </c>
      <c r="Q125" s="1502">
        <f t="shared" si="100"/>
        <v>0</v>
      </c>
      <c r="R125" s="1502">
        <f t="shared" si="100"/>
        <v>0</v>
      </c>
      <c r="S125" s="1503">
        <f t="shared" si="100"/>
        <v>0</v>
      </c>
      <c r="T125" s="1504"/>
      <c r="U125" s="1505">
        <f t="shared" si="100"/>
        <v>0</v>
      </c>
      <c r="V125" s="1505"/>
      <c r="W125" s="1506"/>
      <c r="X125" s="1506"/>
      <c r="Y125" s="1506"/>
      <c r="Z125" s="1507"/>
      <c r="AA125" s="1506"/>
      <c r="AB125" s="1506"/>
      <c r="AC125" s="1545">
        <f t="shared" si="102"/>
        <v>1301.9499999999998</v>
      </c>
      <c r="AD125" s="1545">
        <f t="shared" si="102"/>
        <v>0</v>
      </c>
      <c r="AE125" s="1545">
        <f t="shared" si="102"/>
        <v>0</v>
      </c>
      <c r="AF125" s="1545">
        <f t="shared" si="102"/>
        <v>0</v>
      </c>
      <c r="AG125" s="1545">
        <f t="shared" si="102"/>
        <v>0</v>
      </c>
      <c r="AH125" s="1545">
        <f t="shared" si="102"/>
        <v>0</v>
      </c>
      <c r="AI125" s="1510">
        <f t="shared" si="102"/>
        <v>0</v>
      </c>
      <c r="AJ125" s="1510">
        <f t="shared" si="102"/>
        <v>0</v>
      </c>
      <c r="AK125" s="1510">
        <f t="shared" si="102"/>
        <v>0</v>
      </c>
      <c r="AL125" s="1636">
        <f t="shared" si="96"/>
        <v>0</v>
      </c>
      <c r="AM125" s="1510">
        <f t="shared" si="102"/>
        <v>0</v>
      </c>
      <c r="AN125" s="1511"/>
      <c r="AO125" s="1511">
        <f t="shared" si="102"/>
        <v>116</v>
      </c>
      <c r="AP125" s="1511">
        <f t="shared" si="102"/>
        <v>0</v>
      </c>
      <c r="AQ125" s="1511">
        <f t="shared" si="102"/>
        <v>0</v>
      </c>
      <c r="AR125" s="1511">
        <f t="shared" si="102"/>
        <v>0</v>
      </c>
      <c r="AS125" s="1507">
        <f t="shared" si="102"/>
        <v>115.80000000000001</v>
      </c>
      <c r="AT125" s="1511">
        <f t="shared" si="102"/>
        <v>0</v>
      </c>
      <c r="AU125" s="1511">
        <f t="shared" si="102"/>
        <v>0</v>
      </c>
      <c r="AV125" s="1511">
        <f t="shared" si="102"/>
        <v>0</v>
      </c>
      <c r="AW125" s="1507">
        <f t="shared" si="102"/>
        <v>0</v>
      </c>
      <c r="AX125" s="1511">
        <f t="shared" si="102"/>
        <v>0</v>
      </c>
      <c r="AY125" s="1511">
        <f t="shared" si="102"/>
        <v>0</v>
      </c>
      <c r="AZ125" s="1511">
        <f t="shared" si="102"/>
        <v>0</v>
      </c>
      <c r="BA125" s="1511">
        <f t="shared" si="102"/>
        <v>0</v>
      </c>
      <c r="BB125" s="1511">
        <f t="shared" si="102"/>
        <v>0</v>
      </c>
      <c r="BC125" s="1511">
        <f t="shared" si="102"/>
        <v>0</v>
      </c>
      <c r="BD125" s="1511">
        <f t="shared" si="102"/>
        <v>0</v>
      </c>
      <c r="BE125" s="1511">
        <f t="shared" si="102"/>
        <v>232.97</v>
      </c>
      <c r="BF125" s="1511">
        <f t="shared" si="102"/>
        <v>0</v>
      </c>
      <c r="BG125" s="1511">
        <f t="shared" si="102"/>
        <v>0</v>
      </c>
      <c r="BH125" s="1511">
        <f t="shared" si="102"/>
        <v>0</v>
      </c>
      <c r="BI125" s="1511">
        <f t="shared" si="102"/>
        <v>116.5</v>
      </c>
      <c r="BJ125" s="1511">
        <f t="shared" si="102"/>
        <v>0</v>
      </c>
      <c r="BK125" s="1511">
        <f t="shared" si="102"/>
        <v>0</v>
      </c>
      <c r="BL125" s="1511">
        <f t="shared" si="102"/>
        <v>0</v>
      </c>
      <c r="BM125" s="1511">
        <f t="shared" si="102"/>
        <v>0</v>
      </c>
      <c r="BN125" s="1511">
        <f t="shared" si="102"/>
        <v>0</v>
      </c>
      <c r="BO125" s="1511">
        <f t="shared" si="102"/>
        <v>0</v>
      </c>
      <c r="BP125" s="1511">
        <f t="shared" si="102"/>
        <v>0</v>
      </c>
      <c r="BQ125" s="1511">
        <f t="shared" si="102"/>
        <v>116.5</v>
      </c>
      <c r="BR125" s="1511">
        <f t="shared" si="102"/>
        <v>0</v>
      </c>
      <c r="BS125" s="1511">
        <f t="shared" si="102"/>
        <v>0</v>
      </c>
      <c r="BT125" s="1511">
        <f t="shared" si="102"/>
        <v>0</v>
      </c>
      <c r="BU125" s="1511">
        <f t="shared" si="102"/>
        <v>278.3</v>
      </c>
      <c r="BV125" s="1511">
        <f t="shared" si="102"/>
        <v>0</v>
      </c>
      <c r="BW125" s="1511">
        <f t="shared" si="102"/>
        <v>0</v>
      </c>
      <c r="BX125" s="1511">
        <f t="shared" si="102"/>
        <v>0</v>
      </c>
      <c r="BY125" s="1511">
        <f t="shared" si="102"/>
        <v>171.5</v>
      </c>
      <c r="BZ125" s="1511">
        <f t="shared" si="102"/>
        <v>0</v>
      </c>
      <c r="CA125" s="1511">
        <f t="shared" si="102"/>
        <v>0</v>
      </c>
      <c r="CB125" s="1511">
        <f t="shared" si="102"/>
        <v>0</v>
      </c>
      <c r="CC125" s="1511">
        <f t="shared" si="102"/>
        <v>0</v>
      </c>
      <c r="CD125" s="1511">
        <f t="shared" si="102"/>
        <v>0</v>
      </c>
      <c r="CE125" s="1511">
        <f t="shared" si="102"/>
        <v>0</v>
      </c>
      <c r="CF125" s="1511">
        <f t="shared" si="102"/>
        <v>0</v>
      </c>
      <c r="CG125" s="1596"/>
      <c r="CH125" s="1511">
        <f t="shared" si="102"/>
        <v>154.38</v>
      </c>
      <c r="CI125" s="1511">
        <f t="shared" si="102"/>
        <v>0</v>
      </c>
      <c r="CJ125" s="1511">
        <f t="shared" si="102"/>
        <v>0</v>
      </c>
      <c r="CK125" s="1511">
        <f t="shared" si="102"/>
        <v>0</v>
      </c>
      <c r="CL125" s="1558"/>
      <c r="CM125" s="1558"/>
      <c r="CN125" s="1558">
        <f>H125/12</f>
        <v>108.49583333333334</v>
      </c>
      <c r="CO125" s="1558">
        <f>233/325.88</f>
        <v>0.71498711182030195</v>
      </c>
      <c r="CP125" s="1510">
        <f>CP141+CP157+CP173+CP189</f>
        <v>233</v>
      </c>
      <c r="CQ125" s="1558"/>
      <c r="CR125" s="1558"/>
      <c r="CS125" s="1558"/>
      <c r="CT125" s="1558"/>
      <c r="CU125" s="1558"/>
      <c r="CV125" s="1558"/>
      <c r="CW125" s="1558"/>
      <c r="CY125" s="1558"/>
    </row>
    <row r="126" spans="1:107" s="1559" customFormat="1" x14ac:dyDescent="0.15">
      <c r="A126" s="1688" t="s">
        <v>111</v>
      </c>
      <c r="B126" s="1689" t="s">
        <v>79</v>
      </c>
      <c r="C126" s="1689" t="s">
        <v>100</v>
      </c>
      <c r="D126" s="1689" t="s">
        <v>110</v>
      </c>
      <c r="E126" s="1690">
        <v>4279902</v>
      </c>
      <c r="F126" s="1689"/>
      <c r="G126" s="1667">
        <v>224</v>
      </c>
      <c r="H126" s="1502">
        <f t="shared" si="100"/>
        <v>6</v>
      </c>
      <c r="I126" s="1502">
        <f t="shared" si="100"/>
        <v>0</v>
      </c>
      <c r="J126" s="1502">
        <f t="shared" si="100"/>
        <v>0</v>
      </c>
      <c r="K126" s="1502">
        <f t="shared" si="100"/>
        <v>0</v>
      </c>
      <c r="L126" s="1502">
        <f t="shared" si="100"/>
        <v>0</v>
      </c>
      <c r="M126" s="1502">
        <f t="shared" si="100"/>
        <v>0</v>
      </c>
      <c r="N126" s="1502">
        <f t="shared" si="100"/>
        <v>0</v>
      </c>
      <c r="O126" s="1502">
        <f t="shared" si="100"/>
        <v>0</v>
      </c>
      <c r="P126" s="1502">
        <f t="shared" si="100"/>
        <v>0</v>
      </c>
      <c r="Q126" s="1502">
        <f t="shared" si="100"/>
        <v>0</v>
      </c>
      <c r="R126" s="1502">
        <f t="shared" si="100"/>
        <v>0</v>
      </c>
      <c r="S126" s="1503">
        <f t="shared" si="100"/>
        <v>0</v>
      </c>
      <c r="T126" s="1504"/>
      <c r="U126" s="1505">
        <f t="shared" si="100"/>
        <v>0</v>
      </c>
      <c r="V126" s="1505"/>
      <c r="W126" s="1506"/>
      <c r="X126" s="1506"/>
      <c r="Y126" s="1506"/>
      <c r="Z126" s="1507"/>
      <c r="AA126" s="1506"/>
      <c r="AB126" s="1506"/>
      <c r="AC126" s="1545">
        <f t="shared" si="102"/>
        <v>6</v>
      </c>
      <c r="AD126" s="1545">
        <f t="shared" si="102"/>
        <v>0</v>
      </c>
      <c r="AE126" s="1545">
        <f t="shared" si="102"/>
        <v>0</v>
      </c>
      <c r="AF126" s="1545">
        <f t="shared" si="102"/>
        <v>0</v>
      </c>
      <c r="AG126" s="1545">
        <f t="shared" si="102"/>
        <v>0</v>
      </c>
      <c r="AH126" s="1545">
        <f t="shared" si="102"/>
        <v>0</v>
      </c>
      <c r="AI126" s="1510">
        <f t="shared" si="102"/>
        <v>0</v>
      </c>
      <c r="AJ126" s="1510">
        <f t="shared" si="102"/>
        <v>0</v>
      </c>
      <c r="AK126" s="1510">
        <f t="shared" si="102"/>
        <v>0</v>
      </c>
      <c r="AL126" s="1636">
        <f t="shared" si="96"/>
        <v>0</v>
      </c>
      <c r="AM126" s="1510">
        <f t="shared" si="102"/>
        <v>0</v>
      </c>
      <c r="AN126" s="1511"/>
      <c r="AO126" s="1511">
        <f t="shared" si="102"/>
        <v>0.5</v>
      </c>
      <c r="AP126" s="1511">
        <f t="shared" si="102"/>
        <v>0</v>
      </c>
      <c r="AQ126" s="1511">
        <f t="shared" si="102"/>
        <v>0</v>
      </c>
      <c r="AR126" s="1511">
        <f t="shared" si="102"/>
        <v>0</v>
      </c>
      <c r="AS126" s="1507">
        <f t="shared" si="102"/>
        <v>0.5</v>
      </c>
      <c r="AT126" s="1511">
        <f t="shared" si="102"/>
        <v>0</v>
      </c>
      <c r="AU126" s="1511">
        <f t="shared" si="102"/>
        <v>0</v>
      </c>
      <c r="AV126" s="1511">
        <f t="shared" si="102"/>
        <v>0</v>
      </c>
      <c r="AW126" s="1507">
        <f t="shared" si="102"/>
        <v>0</v>
      </c>
      <c r="AX126" s="1511">
        <f t="shared" si="102"/>
        <v>0</v>
      </c>
      <c r="AY126" s="1511">
        <f t="shared" si="102"/>
        <v>0</v>
      </c>
      <c r="AZ126" s="1511">
        <f t="shared" si="102"/>
        <v>0</v>
      </c>
      <c r="BA126" s="1511">
        <f t="shared" si="102"/>
        <v>0</v>
      </c>
      <c r="BB126" s="1511">
        <f t="shared" si="102"/>
        <v>0</v>
      </c>
      <c r="BC126" s="1511">
        <f t="shared" si="102"/>
        <v>0</v>
      </c>
      <c r="BD126" s="1511">
        <f t="shared" si="102"/>
        <v>0</v>
      </c>
      <c r="BE126" s="1511">
        <f t="shared" si="102"/>
        <v>0</v>
      </c>
      <c r="BF126" s="1511">
        <f t="shared" si="102"/>
        <v>0</v>
      </c>
      <c r="BG126" s="1511">
        <f t="shared" si="102"/>
        <v>0</v>
      </c>
      <c r="BH126" s="1511">
        <f t="shared" si="102"/>
        <v>0</v>
      </c>
      <c r="BI126" s="1511">
        <f t="shared" si="102"/>
        <v>0</v>
      </c>
      <c r="BJ126" s="1511">
        <f t="shared" si="102"/>
        <v>0</v>
      </c>
      <c r="BK126" s="1511">
        <f t="shared" si="102"/>
        <v>0</v>
      </c>
      <c r="BL126" s="1511">
        <f t="shared" si="102"/>
        <v>0</v>
      </c>
      <c r="BM126" s="1511">
        <f t="shared" si="102"/>
        <v>0</v>
      </c>
      <c r="BN126" s="1511">
        <f t="shared" si="102"/>
        <v>0</v>
      </c>
      <c r="BO126" s="1511">
        <f t="shared" si="102"/>
        <v>0</v>
      </c>
      <c r="BP126" s="1511">
        <f t="shared" si="102"/>
        <v>0</v>
      </c>
      <c r="BQ126" s="1511">
        <f t="shared" si="102"/>
        <v>0</v>
      </c>
      <c r="BR126" s="1511">
        <f t="shared" si="102"/>
        <v>0</v>
      </c>
      <c r="BS126" s="1511">
        <f t="shared" si="102"/>
        <v>0</v>
      </c>
      <c r="BT126" s="1511">
        <f t="shared" si="102"/>
        <v>0</v>
      </c>
      <c r="BU126" s="1511">
        <f t="shared" si="102"/>
        <v>0</v>
      </c>
      <c r="BV126" s="1511">
        <f t="shared" si="102"/>
        <v>0</v>
      </c>
      <c r="BW126" s="1511">
        <f t="shared" si="102"/>
        <v>0</v>
      </c>
      <c r="BX126" s="1511">
        <f t="shared" si="102"/>
        <v>0</v>
      </c>
      <c r="BY126" s="1511">
        <f t="shared" si="102"/>
        <v>0</v>
      </c>
      <c r="BZ126" s="1511">
        <f t="shared" si="102"/>
        <v>0</v>
      </c>
      <c r="CA126" s="1511">
        <f t="shared" si="102"/>
        <v>0</v>
      </c>
      <c r="CB126" s="1511">
        <f t="shared" si="102"/>
        <v>0</v>
      </c>
      <c r="CC126" s="1511">
        <f t="shared" si="102"/>
        <v>0</v>
      </c>
      <c r="CD126" s="1511">
        <f t="shared" si="102"/>
        <v>0</v>
      </c>
      <c r="CE126" s="1511">
        <f t="shared" si="102"/>
        <v>0</v>
      </c>
      <c r="CF126" s="1511">
        <f t="shared" si="102"/>
        <v>0</v>
      </c>
      <c r="CG126" s="1596"/>
      <c r="CH126" s="1511">
        <f t="shared" si="102"/>
        <v>5</v>
      </c>
      <c r="CI126" s="1511">
        <f t="shared" si="102"/>
        <v>0</v>
      </c>
      <c r="CJ126" s="1511">
        <f t="shared" si="102"/>
        <v>0</v>
      </c>
      <c r="CK126" s="1511">
        <f t="shared" si="102"/>
        <v>0</v>
      </c>
      <c r="CL126" s="1558"/>
      <c r="CM126" s="1558"/>
      <c r="CN126" s="1558"/>
      <c r="CO126" s="1558"/>
      <c r="CP126" s="1558"/>
      <c r="CQ126" s="1558"/>
      <c r="CR126" s="1558"/>
      <c r="CS126" s="1558"/>
      <c r="CT126" s="1558"/>
      <c r="CU126" s="1558"/>
      <c r="CV126" s="1558"/>
      <c r="CW126" s="1558"/>
      <c r="CY126" s="1558"/>
    </row>
    <row r="127" spans="1:107" s="1559" customFormat="1" x14ac:dyDescent="0.15">
      <c r="A127" s="1688" t="s">
        <v>90</v>
      </c>
      <c r="B127" s="1689" t="s">
        <v>79</v>
      </c>
      <c r="C127" s="1689" t="s">
        <v>100</v>
      </c>
      <c r="D127" s="1689" t="s">
        <v>110</v>
      </c>
      <c r="E127" s="1690">
        <v>4279902</v>
      </c>
      <c r="F127" s="1689"/>
      <c r="G127" s="1667">
        <v>225</v>
      </c>
      <c r="H127" s="1502">
        <f t="shared" si="100"/>
        <v>5258.6260000000002</v>
      </c>
      <c r="I127" s="1502">
        <f t="shared" si="100"/>
        <v>0</v>
      </c>
      <c r="J127" s="1502">
        <f t="shared" si="100"/>
        <v>1062.8800000000001</v>
      </c>
      <c r="K127" s="1502">
        <f t="shared" si="100"/>
        <v>0</v>
      </c>
      <c r="L127" s="1502">
        <f t="shared" si="100"/>
        <v>0</v>
      </c>
      <c r="M127" s="1502">
        <f t="shared" si="100"/>
        <v>0</v>
      </c>
      <c r="N127" s="1502">
        <f t="shared" si="100"/>
        <v>0</v>
      </c>
      <c r="O127" s="1502">
        <f t="shared" si="100"/>
        <v>0</v>
      </c>
      <c r="P127" s="1502">
        <f t="shared" si="100"/>
        <v>0</v>
      </c>
      <c r="Q127" s="1502">
        <f t="shared" si="100"/>
        <v>0</v>
      </c>
      <c r="R127" s="1502">
        <f t="shared" si="100"/>
        <v>0</v>
      </c>
      <c r="S127" s="1503">
        <f t="shared" si="100"/>
        <v>0</v>
      </c>
      <c r="T127" s="1504"/>
      <c r="U127" s="1505">
        <f t="shared" si="100"/>
        <v>59.25</v>
      </c>
      <c r="V127" s="1505"/>
      <c r="W127" s="1506"/>
      <c r="X127" s="1506"/>
      <c r="Y127" s="1506"/>
      <c r="Z127" s="1507"/>
      <c r="AA127" s="1506"/>
      <c r="AB127" s="1506"/>
      <c r="AC127" s="1545">
        <f t="shared" si="102"/>
        <v>5258.6260000000002</v>
      </c>
      <c r="AD127" s="1545">
        <f t="shared" si="102"/>
        <v>1062.8800000000001</v>
      </c>
      <c r="AE127" s="1545">
        <f t="shared" si="102"/>
        <v>0</v>
      </c>
      <c r="AF127" s="1545">
        <f t="shared" si="102"/>
        <v>1062.8800000000001</v>
      </c>
      <c r="AG127" s="1545">
        <f t="shared" si="102"/>
        <v>0</v>
      </c>
      <c r="AH127" s="1545">
        <f t="shared" si="102"/>
        <v>0</v>
      </c>
      <c r="AI127" s="1510">
        <f t="shared" si="102"/>
        <v>0</v>
      </c>
      <c r="AJ127" s="1510">
        <f t="shared" si="102"/>
        <v>0</v>
      </c>
      <c r="AK127" s="1510">
        <f t="shared" si="102"/>
        <v>0</v>
      </c>
      <c r="AL127" s="1636">
        <f t="shared" si="96"/>
        <v>0</v>
      </c>
      <c r="AM127" s="1510">
        <f t="shared" si="102"/>
        <v>0</v>
      </c>
      <c r="AN127" s="1511"/>
      <c r="AO127" s="1511">
        <f t="shared" si="102"/>
        <v>0</v>
      </c>
      <c r="AP127" s="1511">
        <f t="shared" si="102"/>
        <v>0</v>
      </c>
      <c r="AQ127" s="1511">
        <f t="shared" si="102"/>
        <v>0</v>
      </c>
      <c r="AR127" s="1511">
        <f t="shared" si="102"/>
        <v>0</v>
      </c>
      <c r="AS127" s="1507">
        <f t="shared" si="102"/>
        <v>0</v>
      </c>
      <c r="AT127" s="1511">
        <f t="shared" si="102"/>
        <v>0</v>
      </c>
      <c r="AU127" s="1511">
        <f t="shared" si="102"/>
        <v>0</v>
      </c>
      <c r="AV127" s="1511">
        <f t="shared" si="102"/>
        <v>0</v>
      </c>
      <c r="AW127" s="1507">
        <f t="shared" si="102"/>
        <v>0</v>
      </c>
      <c r="AX127" s="1511">
        <f t="shared" si="102"/>
        <v>0</v>
      </c>
      <c r="AY127" s="1511">
        <f t="shared" si="102"/>
        <v>0</v>
      </c>
      <c r="AZ127" s="1511">
        <f t="shared" si="102"/>
        <v>0</v>
      </c>
      <c r="BA127" s="1511">
        <f t="shared" si="102"/>
        <v>2782</v>
      </c>
      <c r="BB127" s="1511">
        <f t="shared" si="102"/>
        <v>0</v>
      </c>
      <c r="BC127" s="1511">
        <f t="shared" si="102"/>
        <v>0</v>
      </c>
      <c r="BD127" s="1511">
        <f t="shared" si="102"/>
        <v>0</v>
      </c>
      <c r="BE127" s="1511">
        <f t="shared" si="102"/>
        <v>0</v>
      </c>
      <c r="BF127" s="1511">
        <f t="shared" si="102"/>
        <v>0</v>
      </c>
      <c r="BG127" s="1511">
        <f t="shared" si="102"/>
        <v>0</v>
      </c>
      <c r="BH127" s="1511">
        <f t="shared" si="102"/>
        <v>0</v>
      </c>
      <c r="BI127" s="1511">
        <f t="shared" si="102"/>
        <v>2218</v>
      </c>
      <c r="BJ127" s="1511">
        <f t="shared" si="102"/>
        <v>0</v>
      </c>
      <c r="BK127" s="1511">
        <f t="shared" si="102"/>
        <v>0</v>
      </c>
      <c r="BL127" s="1511">
        <f t="shared" si="102"/>
        <v>0</v>
      </c>
      <c r="BM127" s="1511">
        <f t="shared" si="102"/>
        <v>0</v>
      </c>
      <c r="BN127" s="1511">
        <f t="shared" si="102"/>
        <v>0</v>
      </c>
      <c r="BO127" s="1511">
        <f t="shared" si="102"/>
        <v>0</v>
      </c>
      <c r="BP127" s="1511">
        <f t="shared" si="102"/>
        <v>0</v>
      </c>
      <c r="BQ127" s="1511">
        <f t="shared" si="102"/>
        <v>220</v>
      </c>
      <c r="BR127" s="1511">
        <f t="shared" si="102"/>
        <v>0</v>
      </c>
      <c r="BS127" s="1511">
        <f t="shared" si="102"/>
        <v>0</v>
      </c>
      <c r="BT127" s="1511">
        <f t="shared" si="102"/>
        <v>0</v>
      </c>
      <c r="BU127" s="1511">
        <f t="shared" si="102"/>
        <v>29.2</v>
      </c>
      <c r="BV127" s="1511">
        <f t="shared" si="102"/>
        <v>0</v>
      </c>
      <c r="BW127" s="1511">
        <f t="shared" si="102"/>
        <v>400</v>
      </c>
      <c r="BX127" s="1511">
        <f t="shared" si="102"/>
        <v>0</v>
      </c>
      <c r="BY127" s="1511">
        <f t="shared" si="102"/>
        <v>0</v>
      </c>
      <c r="BZ127" s="1511">
        <f t="shared" si="102"/>
        <v>0</v>
      </c>
      <c r="CA127" s="1511">
        <f t="shared" si="102"/>
        <v>370</v>
      </c>
      <c r="CB127" s="1511">
        <f t="shared" si="102"/>
        <v>0</v>
      </c>
      <c r="CC127" s="1511">
        <f t="shared" si="102"/>
        <v>0</v>
      </c>
      <c r="CD127" s="1511">
        <f t="shared" si="102"/>
        <v>0</v>
      </c>
      <c r="CE127" s="1511">
        <f t="shared" si="102"/>
        <v>0</v>
      </c>
      <c r="CF127" s="1511">
        <f t="shared" si="102"/>
        <v>0</v>
      </c>
      <c r="CG127" s="1596"/>
      <c r="CH127" s="1511">
        <f t="shared" si="102"/>
        <v>9.4260000000000002</v>
      </c>
      <c r="CI127" s="1511">
        <f t="shared" si="102"/>
        <v>0</v>
      </c>
      <c r="CJ127" s="1511">
        <f t="shared" si="102"/>
        <v>292.88</v>
      </c>
      <c r="CK127" s="1511">
        <f t="shared" si="102"/>
        <v>0</v>
      </c>
      <c r="CL127" s="1558"/>
      <c r="CM127" s="1558"/>
      <c r="CN127" s="1558">
        <f>1367.97-CN123-CN125-CN129</f>
        <v>768.61166666666668</v>
      </c>
      <c r="CO127" s="1558"/>
      <c r="CP127" s="1558"/>
      <c r="CQ127" s="1558"/>
      <c r="CR127" s="1558"/>
      <c r="CS127" s="1558"/>
      <c r="CT127" s="1558"/>
      <c r="CU127" s="1558"/>
      <c r="CV127" s="1558"/>
      <c r="CW127" s="1558"/>
      <c r="CY127" s="1558"/>
    </row>
    <row r="128" spans="1:107" s="1559" customFormat="1" x14ac:dyDescent="0.15">
      <c r="A128" s="1688" t="s">
        <v>91</v>
      </c>
      <c r="B128" s="1689" t="s">
        <v>79</v>
      </c>
      <c r="C128" s="1689" t="s">
        <v>100</v>
      </c>
      <c r="D128" s="1689" t="s">
        <v>110</v>
      </c>
      <c r="E128" s="1690">
        <v>4279902</v>
      </c>
      <c r="F128" s="1689"/>
      <c r="G128" s="1667">
        <v>226</v>
      </c>
      <c r="H128" s="1502">
        <f t="shared" si="100"/>
        <v>561.53600000000006</v>
      </c>
      <c r="I128" s="1502">
        <f t="shared" si="100"/>
        <v>0</v>
      </c>
      <c r="J128" s="1502">
        <f t="shared" si="100"/>
        <v>0</v>
      </c>
      <c r="K128" s="1502">
        <f t="shared" si="100"/>
        <v>0</v>
      </c>
      <c r="L128" s="1502">
        <f t="shared" si="100"/>
        <v>0</v>
      </c>
      <c r="M128" s="1502">
        <f t="shared" si="100"/>
        <v>0</v>
      </c>
      <c r="N128" s="1502">
        <f t="shared" si="100"/>
        <v>150</v>
      </c>
      <c r="O128" s="1502">
        <f t="shared" si="100"/>
        <v>0</v>
      </c>
      <c r="P128" s="1502">
        <f t="shared" si="100"/>
        <v>0</v>
      </c>
      <c r="Q128" s="1502">
        <f t="shared" si="100"/>
        <v>0</v>
      </c>
      <c r="R128" s="1502">
        <f t="shared" si="100"/>
        <v>0</v>
      </c>
      <c r="S128" s="1503">
        <f t="shared" si="100"/>
        <v>2292</v>
      </c>
      <c r="T128" s="1504"/>
      <c r="U128" s="1505">
        <f t="shared" si="100"/>
        <v>390.86399999999998</v>
      </c>
      <c r="V128" s="1505"/>
      <c r="W128" s="1506"/>
      <c r="X128" s="1506"/>
      <c r="Y128" s="1506"/>
      <c r="Z128" s="1507"/>
      <c r="AA128" s="1506"/>
      <c r="AB128" s="1506"/>
      <c r="AC128" s="1545">
        <f t="shared" si="102"/>
        <v>561.53599999999994</v>
      </c>
      <c r="AD128" s="1545">
        <f t="shared" si="102"/>
        <v>0</v>
      </c>
      <c r="AE128" s="1545">
        <f t="shared" si="102"/>
        <v>0</v>
      </c>
      <c r="AF128" s="1545">
        <f t="shared" si="102"/>
        <v>0</v>
      </c>
      <c r="AG128" s="1545">
        <f t="shared" si="102"/>
        <v>0</v>
      </c>
      <c r="AH128" s="1545">
        <f t="shared" si="102"/>
        <v>0</v>
      </c>
      <c r="AI128" s="1510">
        <f t="shared" si="102"/>
        <v>0</v>
      </c>
      <c r="AJ128" s="1510">
        <f t="shared" si="102"/>
        <v>0</v>
      </c>
      <c r="AK128" s="1510">
        <f t="shared" si="102"/>
        <v>0</v>
      </c>
      <c r="AL128" s="1636">
        <f t="shared" si="96"/>
        <v>0</v>
      </c>
      <c r="AM128" s="1510">
        <f t="shared" si="102"/>
        <v>0</v>
      </c>
      <c r="AN128" s="1511"/>
      <c r="AO128" s="1511">
        <f t="shared" si="102"/>
        <v>0</v>
      </c>
      <c r="AP128" s="1511">
        <f t="shared" si="102"/>
        <v>0</v>
      </c>
      <c r="AQ128" s="1511">
        <f t="shared" si="102"/>
        <v>0</v>
      </c>
      <c r="AR128" s="1511">
        <f t="shared" si="102"/>
        <v>0</v>
      </c>
      <c r="AS128" s="1507">
        <f t="shared" si="102"/>
        <v>0</v>
      </c>
      <c r="AT128" s="1511">
        <f t="shared" si="102"/>
        <v>0</v>
      </c>
      <c r="AU128" s="1511">
        <f t="shared" si="102"/>
        <v>0</v>
      </c>
      <c r="AV128" s="1511">
        <f t="shared" si="102"/>
        <v>0</v>
      </c>
      <c r="AW128" s="1507">
        <f t="shared" si="102"/>
        <v>0</v>
      </c>
      <c r="AX128" s="1511">
        <f t="shared" si="102"/>
        <v>0</v>
      </c>
      <c r="AY128" s="1511">
        <f t="shared" si="102"/>
        <v>0</v>
      </c>
      <c r="AZ128" s="1511">
        <f t="shared" si="102"/>
        <v>0</v>
      </c>
      <c r="BA128" s="1511">
        <f t="shared" si="102"/>
        <v>0</v>
      </c>
      <c r="BB128" s="1511">
        <f t="shared" ref="BB128:CF128" si="103">BB144+BB160+BB176+BB192</f>
        <v>0</v>
      </c>
      <c r="BC128" s="1511">
        <f t="shared" si="103"/>
        <v>0</v>
      </c>
      <c r="BD128" s="1511">
        <f t="shared" si="103"/>
        <v>0</v>
      </c>
      <c r="BE128" s="1511">
        <f t="shared" si="103"/>
        <v>0</v>
      </c>
      <c r="BF128" s="1511">
        <f t="shared" si="103"/>
        <v>0</v>
      </c>
      <c r="BG128" s="1511">
        <f t="shared" si="103"/>
        <v>0</v>
      </c>
      <c r="BH128" s="1511">
        <f t="shared" si="103"/>
        <v>0</v>
      </c>
      <c r="BI128" s="1511">
        <f t="shared" si="103"/>
        <v>0</v>
      </c>
      <c r="BJ128" s="1511">
        <f t="shared" si="103"/>
        <v>0</v>
      </c>
      <c r="BK128" s="1511">
        <f t="shared" si="103"/>
        <v>0</v>
      </c>
      <c r="BL128" s="1511">
        <f t="shared" si="103"/>
        <v>0</v>
      </c>
      <c r="BM128" s="1511">
        <f t="shared" si="103"/>
        <v>0</v>
      </c>
      <c r="BN128" s="1511">
        <f t="shared" si="103"/>
        <v>0</v>
      </c>
      <c r="BO128" s="1511">
        <f t="shared" si="103"/>
        <v>0</v>
      </c>
      <c r="BP128" s="1511">
        <f t="shared" si="103"/>
        <v>0</v>
      </c>
      <c r="BQ128" s="1511">
        <f t="shared" si="103"/>
        <v>140.19999999999999</v>
      </c>
      <c r="BR128" s="1511">
        <f t="shared" si="103"/>
        <v>0</v>
      </c>
      <c r="BS128" s="1511">
        <f t="shared" si="103"/>
        <v>0</v>
      </c>
      <c r="BT128" s="1511">
        <f t="shared" si="103"/>
        <v>0</v>
      </c>
      <c r="BU128" s="1511">
        <f t="shared" si="103"/>
        <v>421.33600000000001</v>
      </c>
      <c r="BV128" s="1511">
        <f t="shared" si="103"/>
        <v>0</v>
      </c>
      <c r="BW128" s="1511">
        <f t="shared" si="103"/>
        <v>0</v>
      </c>
      <c r="BX128" s="1511">
        <f t="shared" si="103"/>
        <v>0</v>
      </c>
      <c r="BY128" s="1511">
        <f t="shared" si="103"/>
        <v>0</v>
      </c>
      <c r="BZ128" s="1511">
        <f t="shared" si="103"/>
        <v>0</v>
      </c>
      <c r="CA128" s="1511">
        <f t="shared" si="103"/>
        <v>0</v>
      </c>
      <c r="CB128" s="1511">
        <f t="shared" si="103"/>
        <v>0</v>
      </c>
      <c r="CC128" s="1511">
        <f t="shared" si="103"/>
        <v>0</v>
      </c>
      <c r="CD128" s="1511">
        <f t="shared" si="103"/>
        <v>0</v>
      </c>
      <c r="CE128" s="1511">
        <f t="shared" si="103"/>
        <v>0</v>
      </c>
      <c r="CF128" s="1511">
        <f t="shared" si="103"/>
        <v>0</v>
      </c>
      <c r="CG128" s="1596"/>
      <c r="CH128" s="1511">
        <f>CH144+CH160+CH176+CH192</f>
        <v>0</v>
      </c>
      <c r="CI128" s="1511">
        <f>CI144+CI160+CI176+CI192</f>
        <v>0</v>
      </c>
      <c r="CJ128" s="1511">
        <f>CJ144+CJ160+CJ176+CJ192</f>
        <v>0</v>
      </c>
      <c r="CK128" s="1511">
        <f>CK144+CK160+CK176+CK192</f>
        <v>0</v>
      </c>
      <c r="CL128" s="1558"/>
      <c r="CM128" s="1558"/>
      <c r="CN128" s="1558"/>
      <c r="CO128" s="1558"/>
      <c r="CP128" s="1558"/>
      <c r="CQ128" s="1558"/>
      <c r="CR128" s="1558"/>
      <c r="CS128" s="1558"/>
      <c r="CT128" s="1558"/>
      <c r="CU128" s="1558"/>
      <c r="CV128" s="1558"/>
      <c r="CW128" s="1558"/>
      <c r="CY128" s="1558"/>
    </row>
    <row r="129" spans="1:108" s="1559" customFormat="1" x14ac:dyDescent="0.15">
      <c r="A129" s="1688" t="s">
        <v>94</v>
      </c>
      <c r="B129" s="1689" t="s">
        <v>79</v>
      </c>
      <c r="C129" s="1689" t="s">
        <v>100</v>
      </c>
      <c r="D129" s="1689" t="s">
        <v>110</v>
      </c>
      <c r="E129" s="1690">
        <v>4279902</v>
      </c>
      <c r="F129" s="1689"/>
      <c r="G129" s="1667">
        <v>290</v>
      </c>
      <c r="H129" s="1502">
        <f t="shared" si="100"/>
        <v>5808.6</v>
      </c>
      <c r="I129" s="1502">
        <f t="shared" si="100"/>
        <v>0</v>
      </c>
      <c r="J129" s="1502">
        <f t="shared" si="100"/>
        <v>0</v>
      </c>
      <c r="K129" s="1502">
        <f t="shared" si="100"/>
        <v>0</v>
      </c>
      <c r="L129" s="1502">
        <f t="shared" si="100"/>
        <v>0</v>
      </c>
      <c r="M129" s="1502">
        <f t="shared" si="100"/>
        <v>0</v>
      </c>
      <c r="N129" s="1502">
        <f t="shared" si="100"/>
        <v>0</v>
      </c>
      <c r="O129" s="1502">
        <f t="shared" si="100"/>
        <v>0</v>
      </c>
      <c r="P129" s="1502">
        <f t="shared" si="100"/>
        <v>0</v>
      </c>
      <c r="Q129" s="1502">
        <f t="shared" si="100"/>
        <v>0</v>
      </c>
      <c r="R129" s="1502">
        <f t="shared" si="100"/>
        <v>0</v>
      </c>
      <c r="S129" s="1503">
        <f t="shared" si="100"/>
        <v>0</v>
      </c>
      <c r="T129" s="1504"/>
      <c r="U129" s="1505">
        <f t="shared" si="100"/>
        <v>0</v>
      </c>
      <c r="V129" s="1505"/>
      <c r="W129" s="1506"/>
      <c r="X129" s="1506"/>
      <c r="Y129" s="1506"/>
      <c r="Z129" s="1507"/>
      <c r="AA129" s="1506"/>
      <c r="AB129" s="1506"/>
      <c r="AC129" s="1545">
        <f t="shared" ref="AC129:CK132" si="104">AC145+AC161+AC177+AC193</f>
        <v>5808.6</v>
      </c>
      <c r="AD129" s="1545">
        <f t="shared" si="104"/>
        <v>0</v>
      </c>
      <c r="AE129" s="1545">
        <f t="shared" si="104"/>
        <v>0</v>
      </c>
      <c r="AF129" s="1545">
        <f t="shared" si="104"/>
        <v>0</v>
      </c>
      <c r="AG129" s="1545">
        <f t="shared" si="104"/>
        <v>0</v>
      </c>
      <c r="AH129" s="1545">
        <f t="shared" si="104"/>
        <v>0</v>
      </c>
      <c r="AI129" s="1510">
        <f t="shared" si="104"/>
        <v>0</v>
      </c>
      <c r="AJ129" s="1510">
        <f t="shared" si="104"/>
        <v>0</v>
      </c>
      <c r="AK129" s="1510">
        <f t="shared" si="104"/>
        <v>0</v>
      </c>
      <c r="AL129" s="1636">
        <f t="shared" si="96"/>
        <v>0</v>
      </c>
      <c r="AM129" s="1510">
        <f t="shared" si="104"/>
        <v>0</v>
      </c>
      <c r="AN129" s="1511"/>
      <c r="AO129" s="1511">
        <f t="shared" si="104"/>
        <v>483.79999999999995</v>
      </c>
      <c r="AP129" s="1511">
        <f t="shared" si="104"/>
        <v>0</v>
      </c>
      <c r="AQ129" s="1511">
        <f t="shared" si="104"/>
        <v>0</v>
      </c>
      <c r="AR129" s="1511">
        <f t="shared" si="104"/>
        <v>0</v>
      </c>
      <c r="AS129" s="1507">
        <f t="shared" si="104"/>
        <v>485</v>
      </c>
      <c r="AT129" s="1511">
        <f t="shared" si="104"/>
        <v>0</v>
      </c>
      <c r="AU129" s="1511">
        <f t="shared" si="104"/>
        <v>0</v>
      </c>
      <c r="AV129" s="1511">
        <f t="shared" si="104"/>
        <v>0</v>
      </c>
      <c r="AW129" s="1507">
        <f t="shared" si="104"/>
        <v>485</v>
      </c>
      <c r="AX129" s="1511">
        <f t="shared" si="104"/>
        <v>0</v>
      </c>
      <c r="AY129" s="1511">
        <f t="shared" si="104"/>
        <v>0</v>
      </c>
      <c r="AZ129" s="1511">
        <f t="shared" si="104"/>
        <v>0</v>
      </c>
      <c r="BA129" s="1511">
        <f t="shared" si="104"/>
        <v>485</v>
      </c>
      <c r="BB129" s="1511">
        <f t="shared" si="104"/>
        <v>0</v>
      </c>
      <c r="BC129" s="1511">
        <f t="shared" si="104"/>
        <v>0</v>
      </c>
      <c r="BD129" s="1511">
        <f t="shared" si="104"/>
        <v>0</v>
      </c>
      <c r="BE129" s="1511">
        <f t="shared" si="104"/>
        <v>457.3</v>
      </c>
      <c r="BF129" s="1511">
        <f t="shared" si="104"/>
        <v>0</v>
      </c>
      <c r="BG129" s="1511">
        <f t="shared" si="104"/>
        <v>0</v>
      </c>
      <c r="BH129" s="1511">
        <f t="shared" si="104"/>
        <v>0</v>
      </c>
      <c r="BI129" s="1511">
        <f t="shared" si="104"/>
        <v>485</v>
      </c>
      <c r="BJ129" s="1511">
        <f t="shared" si="104"/>
        <v>0</v>
      </c>
      <c r="BK129" s="1511">
        <f t="shared" si="104"/>
        <v>0</v>
      </c>
      <c r="BL129" s="1511">
        <f t="shared" si="104"/>
        <v>0</v>
      </c>
      <c r="BM129" s="1511">
        <f t="shared" si="104"/>
        <v>0</v>
      </c>
      <c r="BN129" s="1511">
        <f t="shared" si="104"/>
        <v>0</v>
      </c>
      <c r="BO129" s="1511">
        <f t="shared" si="104"/>
        <v>0</v>
      </c>
      <c r="BP129" s="1511">
        <f t="shared" si="104"/>
        <v>0</v>
      </c>
      <c r="BQ129" s="1511">
        <f t="shared" si="104"/>
        <v>485</v>
      </c>
      <c r="BR129" s="1511">
        <f t="shared" si="104"/>
        <v>0</v>
      </c>
      <c r="BS129" s="1511">
        <f t="shared" si="104"/>
        <v>0</v>
      </c>
      <c r="BT129" s="1511">
        <f t="shared" si="104"/>
        <v>0</v>
      </c>
      <c r="BU129" s="1511">
        <f t="shared" si="104"/>
        <v>946.90000000000009</v>
      </c>
      <c r="BV129" s="1511">
        <f t="shared" si="104"/>
        <v>0</v>
      </c>
      <c r="BW129" s="1511">
        <f t="shared" si="104"/>
        <v>0</v>
      </c>
      <c r="BX129" s="1511">
        <f t="shared" si="104"/>
        <v>0</v>
      </c>
      <c r="BY129" s="1511">
        <f t="shared" si="104"/>
        <v>0</v>
      </c>
      <c r="BZ129" s="1511">
        <f t="shared" si="104"/>
        <v>0</v>
      </c>
      <c r="CA129" s="1511">
        <f t="shared" si="104"/>
        <v>0</v>
      </c>
      <c r="CB129" s="1511">
        <f t="shared" si="104"/>
        <v>0</v>
      </c>
      <c r="CC129" s="1511">
        <f t="shared" si="104"/>
        <v>0</v>
      </c>
      <c r="CD129" s="1511">
        <f t="shared" si="104"/>
        <v>0</v>
      </c>
      <c r="CE129" s="1511">
        <f t="shared" si="104"/>
        <v>0</v>
      </c>
      <c r="CF129" s="1511">
        <f t="shared" si="104"/>
        <v>0</v>
      </c>
      <c r="CG129" s="1596"/>
      <c r="CH129" s="1511">
        <f t="shared" si="104"/>
        <v>1495.6</v>
      </c>
      <c r="CI129" s="1511">
        <f t="shared" si="104"/>
        <v>0</v>
      </c>
      <c r="CJ129" s="1511">
        <f t="shared" si="104"/>
        <v>0</v>
      </c>
      <c r="CK129" s="1511">
        <f t="shared" si="104"/>
        <v>0</v>
      </c>
      <c r="CL129" s="1558"/>
      <c r="CM129" s="1558"/>
      <c r="CN129" s="1558">
        <f>H129/12</f>
        <v>484.05</v>
      </c>
      <c r="CO129" s="1558"/>
      <c r="CP129" s="1558"/>
      <c r="CQ129" s="1558"/>
      <c r="CR129" s="1558"/>
      <c r="CS129" s="1558"/>
      <c r="CT129" s="1558"/>
      <c r="CU129" s="1558"/>
      <c r="CV129" s="1558"/>
      <c r="CW129" s="1558"/>
      <c r="CY129" s="1558"/>
    </row>
    <row r="130" spans="1:108" s="1559" customFormat="1" x14ac:dyDescent="0.15">
      <c r="A130" s="1688" t="s">
        <v>94</v>
      </c>
      <c r="B130" s="1689" t="s">
        <v>79</v>
      </c>
      <c r="C130" s="1689" t="s">
        <v>100</v>
      </c>
      <c r="D130" s="1689" t="s">
        <v>110</v>
      </c>
      <c r="E130" s="1690">
        <v>4279902</v>
      </c>
      <c r="F130" s="1689"/>
      <c r="G130" s="1667" t="s">
        <v>95</v>
      </c>
      <c r="H130" s="1502">
        <f t="shared" si="100"/>
        <v>647.96999999999991</v>
      </c>
      <c r="I130" s="1502">
        <f t="shared" si="100"/>
        <v>0</v>
      </c>
      <c r="J130" s="1502">
        <f t="shared" si="100"/>
        <v>0</v>
      </c>
      <c r="K130" s="1502">
        <f t="shared" si="100"/>
        <v>0</v>
      </c>
      <c r="L130" s="1502">
        <f t="shared" si="100"/>
        <v>0</v>
      </c>
      <c r="M130" s="1502">
        <f t="shared" si="100"/>
        <v>0</v>
      </c>
      <c r="N130" s="1502">
        <f t="shared" si="100"/>
        <v>0</v>
      </c>
      <c r="O130" s="1502">
        <f t="shared" si="100"/>
        <v>0</v>
      </c>
      <c r="P130" s="1502">
        <f t="shared" si="100"/>
        <v>0</v>
      </c>
      <c r="Q130" s="1502">
        <f t="shared" si="100"/>
        <v>0</v>
      </c>
      <c r="R130" s="1502">
        <f t="shared" si="100"/>
        <v>0</v>
      </c>
      <c r="S130" s="1503">
        <f t="shared" si="100"/>
        <v>0</v>
      </c>
      <c r="T130" s="1504"/>
      <c r="U130" s="1505">
        <f t="shared" si="100"/>
        <v>200</v>
      </c>
      <c r="V130" s="1505"/>
      <c r="W130" s="1506"/>
      <c r="X130" s="1506"/>
      <c r="Y130" s="1506"/>
      <c r="Z130" s="1507"/>
      <c r="AA130" s="1506"/>
      <c r="AB130" s="1506"/>
      <c r="AC130" s="1545">
        <f t="shared" si="104"/>
        <v>647.96999999999991</v>
      </c>
      <c r="AD130" s="1545">
        <f t="shared" si="104"/>
        <v>0</v>
      </c>
      <c r="AE130" s="1545">
        <f t="shared" si="104"/>
        <v>0</v>
      </c>
      <c r="AF130" s="1545">
        <f t="shared" si="104"/>
        <v>0</v>
      </c>
      <c r="AG130" s="1545">
        <f t="shared" si="104"/>
        <v>0</v>
      </c>
      <c r="AH130" s="1545">
        <f t="shared" si="104"/>
        <v>0</v>
      </c>
      <c r="AI130" s="1510">
        <f t="shared" si="104"/>
        <v>0</v>
      </c>
      <c r="AJ130" s="1510">
        <f t="shared" si="104"/>
        <v>0</v>
      </c>
      <c r="AK130" s="1510">
        <f t="shared" si="104"/>
        <v>0</v>
      </c>
      <c r="AL130" s="1636">
        <f t="shared" si="96"/>
        <v>0</v>
      </c>
      <c r="AM130" s="1510">
        <f t="shared" si="104"/>
        <v>0</v>
      </c>
      <c r="AN130" s="1511"/>
      <c r="AO130" s="1511">
        <f t="shared" si="104"/>
        <v>61.2</v>
      </c>
      <c r="AP130" s="1511">
        <f t="shared" si="104"/>
        <v>0</v>
      </c>
      <c r="AQ130" s="1511">
        <f t="shared" si="104"/>
        <v>0</v>
      </c>
      <c r="AR130" s="1511">
        <f t="shared" si="104"/>
        <v>0</v>
      </c>
      <c r="AS130" s="1507">
        <f t="shared" si="104"/>
        <v>0</v>
      </c>
      <c r="AT130" s="1511">
        <f t="shared" si="104"/>
        <v>0</v>
      </c>
      <c r="AU130" s="1511">
        <f t="shared" si="104"/>
        <v>0</v>
      </c>
      <c r="AV130" s="1511">
        <f t="shared" si="104"/>
        <v>0</v>
      </c>
      <c r="AW130" s="1507">
        <f t="shared" si="104"/>
        <v>0</v>
      </c>
      <c r="AX130" s="1511">
        <f t="shared" si="104"/>
        <v>0</v>
      </c>
      <c r="AY130" s="1511">
        <f t="shared" si="104"/>
        <v>0</v>
      </c>
      <c r="AZ130" s="1511">
        <f t="shared" si="104"/>
        <v>0</v>
      </c>
      <c r="BA130" s="1511">
        <f t="shared" si="104"/>
        <v>0</v>
      </c>
      <c r="BB130" s="1511">
        <f t="shared" si="104"/>
        <v>0</v>
      </c>
      <c r="BC130" s="1511">
        <f t="shared" si="104"/>
        <v>0</v>
      </c>
      <c r="BD130" s="1511">
        <f t="shared" si="104"/>
        <v>0</v>
      </c>
      <c r="BE130" s="1511">
        <f t="shared" si="104"/>
        <v>160.60000000000002</v>
      </c>
      <c r="BF130" s="1511">
        <f t="shared" si="104"/>
        <v>0</v>
      </c>
      <c r="BG130" s="1511">
        <f t="shared" si="104"/>
        <v>0</v>
      </c>
      <c r="BH130" s="1511">
        <f t="shared" si="104"/>
        <v>0</v>
      </c>
      <c r="BI130" s="1511">
        <f t="shared" si="104"/>
        <v>0</v>
      </c>
      <c r="BJ130" s="1511">
        <f t="shared" si="104"/>
        <v>0</v>
      </c>
      <c r="BK130" s="1511">
        <f t="shared" si="104"/>
        <v>0</v>
      </c>
      <c r="BL130" s="1511">
        <f t="shared" si="104"/>
        <v>0</v>
      </c>
      <c r="BM130" s="1511">
        <f t="shared" si="104"/>
        <v>0</v>
      </c>
      <c r="BN130" s="1511">
        <f t="shared" si="104"/>
        <v>0</v>
      </c>
      <c r="BO130" s="1511">
        <f t="shared" si="104"/>
        <v>0</v>
      </c>
      <c r="BP130" s="1511">
        <f t="shared" si="104"/>
        <v>0</v>
      </c>
      <c r="BQ130" s="1511">
        <f t="shared" si="104"/>
        <v>0</v>
      </c>
      <c r="BR130" s="1511">
        <f t="shared" si="104"/>
        <v>0</v>
      </c>
      <c r="BS130" s="1511">
        <f t="shared" si="104"/>
        <v>0</v>
      </c>
      <c r="BT130" s="1511">
        <f t="shared" si="104"/>
        <v>0</v>
      </c>
      <c r="BU130" s="1511">
        <f t="shared" si="104"/>
        <v>264.10000000000002</v>
      </c>
      <c r="BV130" s="1511">
        <f t="shared" si="104"/>
        <v>0</v>
      </c>
      <c r="BW130" s="1511">
        <f t="shared" si="104"/>
        <v>0</v>
      </c>
      <c r="BX130" s="1511">
        <f t="shared" si="104"/>
        <v>0</v>
      </c>
      <c r="BY130" s="1511">
        <f t="shared" si="104"/>
        <v>0</v>
      </c>
      <c r="BZ130" s="1511">
        <f t="shared" si="104"/>
        <v>0</v>
      </c>
      <c r="CA130" s="1511">
        <f t="shared" si="104"/>
        <v>0</v>
      </c>
      <c r="CB130" s="1511">
        <f t="shared" si="104"/>
        <v>0</v>
      </c>
      <c r="CC130" s="1511">
        <f t="shared" si="104"/>
        <v>0</v>
      </c>
      <c r="CD130" s="1511">
        <f t="shared" si="104"/>
        <v>0</v>
      </c>
      <c r="CE130" s="1511">
        <f t="shared" si="104"/>
        <v>0</v>
      </c>
      <c r="CF130" s="1511">
        <f t="shared" si="104"/>
        <v>0</v>
      </c>
      <c r="CG130" s="1596"/>
      <c r="CH130" s="1511">
        <f t="shared" si="104"/>
        <v>162.07000000000002</v>
      </c>
      <c r="CI130" s="1511">
        <f t="shared" si="104"/>
        <v>0</v>
      </c>
      <c r="CJ130" s="1511">
        <f t="shared" si="104"/>
        <v>0</v>
      </c>
      <c r="CK130" s="1511">
        <f t="shared" si="104"/>
        <v>0</v>
      </c>
      <c r="CL130" s="1558"/>
      <c r="CM130" s="1558"/>
      <c r="CN130" s="1558"/>
      <c r="CO130" s="1558"/>
      <c r="CP130" s="1558"/>
      <c r="CQ130" s="1558"/>
      <c r="CR130" s="1558"/>
      <c r="CS130" s="1558"/>
      <c r="CT130" s="1558"/>
      <c r="CU130" s="1558"/>
      <c r="CV130" s="1558"/>
      <c r="CW130" s="1558"/>
      <c r="CY130" s="1558"/>
    </row>
    <row r="131" spans="1:108" s="1559" customFormat="1" ht="14.25" customHeight="1" x14ac:dyDescent="0.15">
      <c r="A131" s="1688" t="s">
        <v>96</v>
      </c>
      <c r="B131" s="1689" t="s">
        <v>79</v>
      </c>
      <c r="C131" s="1689" t="s">
        <v>100</v>
      </c>
      <c r="D131" s="1689" t="s">
        <v>110</v>
      </c>
      <c r="E131" s="1690">
        <v>4279902</v>
      </c>
      <c r="F131" s="1689"/>
      <c r="G131" s="1667">
        <v>310</v>
      </c>
      <c r="H131" s="1502">
        <f t="shared" si="100"/>
        <v>160.16399999999999</v>
      </c>
      <c r="I131" s="1502">
        <f t="shared" si="100"/>
        <v>1200</v>
      </c>
      <c r="J131" s="1502">
        <f t="shared" si="100"/>
        <v>0</v>
      </c>
      <c r="K131" s="1502">
        <f t="shared" si="100"/>
        <v>999.9</v>
      </c>
      <c r="L131" s="1502">
        <f t="shared" si="100"/>
        <v>0</v>
      </c>
      <c r="M131" s="1502">
        <f t="shared" si="100"/>
        <v>0</v>
      </c>
      <c r="N131" s="1502">
        <f t="shared" si="100"/>
        <v>0</v>
      </c>
      <c r="O131" s="1502">
        <f t="shared" si="100"/>
        <v>0</v>
      </c>
      <c r="P131" s="1502">
        <f t="shared" si="100"/>
        <v>0</v>
      </c>
      <c r="Q131" s="1502">
        <f t="shared" si="100"/>
        <v>0</v>
      </c>
      <c r="R131" s="1502">
        <f t="shared" si="100"/>
        <v>0</v>
      </c>
      <c r="S131" s="1503">
        <f t="shared" si="100"/>
        <v>0</v>
      </c>
      <c r="T131" s="1504"/>
      <c r="U131" s="1505">
        <f t="shared" si="100"/>
        <v>673.83600000000001</v>
      </c>
      <c r="V131" s="1505"/>
      <c r="W131" s="1506"/>
      <c r="X131" s="1506"/>
      <c r="Y131" s="1506"/>
      <c r="Z131" s="1507"/>
      <c r="AA131" s="1506"/>
      <c r="AB131" s="1506"/>
      <c r="AC131" s="1545">
        <f t="shared" si="104"/>
        <v>160.16399999999999</v>
      </c>
      <c r="AD131" s="1545">
        <f t="shared" si="104"/>
        <v>2199.9</v>
      </c>
      <c r="AE131" s="1545">
        <f t="shared" si="104"/>
        <v>1200</v>
      </c>
      <c r="AF131" s="1545">
        <f t="shared" si="104"/>
        <v>0</v>
      </c>
      <c r="AG131" s="1545">
        <f t="shared" si="104"/>
        <v>999.9</v>
      </c>
      <c r="AH131" s="1545">
        <f t="shared" si="104"/>
        <v>0</v>
      </c>
      <c r="AI131" s="1510">
        <f t="shared" si="104"/>
        <v>0</v>
      </c>
      <c r="AJ131" s="1510">
        <f t="shared" si="104"/>
        <v>0</v>
      </c>
      <c r="AK131" s="1510">
        <f t="shared" si="104"/>
        <v>0</v>
      </c>
      <c r="AL131" s="1636">
        <f t="shared" si="96"/>
        <v>0</v>
      </c>
      <c r="AM131" s="1510">
        <f t="shared" si="104"/>
        <v>0</v>
      </c>
      <c r="AN131" s="1511"/>
      <c r="AO131" s="1511">
        <f t="shared" si="104"/>
        <v>0</v>
      </c>
      <c r="AP131" s="1511">
        <f t="shared" si="104"/>
        <v>0</v>
      </c>
      <c r="AQ131" s="1511">
        <f t="shared" si="104"/>
        <v>0</v>
      </c>
      <c r="AR131" s="1511">
        <f t="shared" si="104"/>
        <v>0</v>
      </c>
      <c r="AS131" s="1507">
        <f t="shared" si="104"/>
        <v>0</v>
      </c>
      <c r="AT131" s="1511">
        <f t="shared" si="104"/>
        <v>0</v>
      </c>
      <c r="AU131" s="1511">
        <f t="shared" si="104"/>
        <v>0</v>
      </c>
      <c r="AV131" s="1511">
        <f t="shared" si="104"/>
        <v>0</v>
      </c>
      <c r="AW131" s="1507">
        <f t="shared" si="104"/>
        <v>0</v>
      </c>
      <c r="AX131" s="1511">
        <f t="shared" si="104"/>
        <v>0</v>
      </c>
      <c r="AY131" s="1511">
        <f t="shared" si="104"/>
        <v>0</v>
      </c>
      <c r="AZ131" s="1511">
        <f t="shared" si="104"/>
        <v>0</v>
      </c>
      <c r="BA131" s="1511">
        <f t="shared" si="104"/>
        <v>0</v>
      </c>
      <c r="BB131" s="1511">
        <f t="shared" si="104"/>
        <v>0</v>
      </c>
      <c r="BC131" s="1511">
        <f t="shared" si="104"/>
        <v>0</v>
      </c>
      <c r="BD131" s="1511">
        <f t="shared" si="104"/>
        <v>0</v>
      </c>
      <c r="BE131" s="1511">
        <f t="shared" si="104"/>
        <v>0</v>
      </c>
      <c r="BF131" s="1511">
        <f t="shared" si="104"/>
        <v>0</v>
      </c>
      <c r="BG131" s="1511">
        <f t="shared" si="104"/>
        <v>0</v>
      </c>
      <c r="BH131" s="1511">
        <f t="shared" si="104"/>
        <v>0</v>
      </c>
      <c r="BI131" s="1511">
        <f t="shared" si="104"/>
        <v>0</v>
      </c>
      <c r="BJ131" s="1511">
        <f t="shared" si="104"/>
        <v>0</v>
      </c>
      <c r="BK131" s="1511">
        <f t="shared" si="104"/>
        <v>0</v>
      </c>
      <c r="BL131" s="1511">
        <f t="shared" si="104"/>
        <v>0</v>
      </c>
      <c r="BM131" s="1511">
        <f t="shared" si="104"/>
        <v>0</v>
      </c>
      <c r="BN131" s="1511">
        <f t="shared" si="104"/>
        <v>1200</v>
      </c>
      <c r="BO131" s="1511">
        <f t="shared" si="104"/>
        <v>0</v>
      </c>
      <c r="BP131" s="1511">
        <f t="shared" si="104"/>
        <v>0</v>
      </c>
      <c r="BQ131" s="1511">
        <f t="shared" si="104"/>
        <v>0</v>
      </c>
      <c r="BR131" s="1511">
        <f t="shared" si="104"/>
        <v>0</v>
      </c>
      <c r="BS131" s="1511">
        <f t="shared" si="104"/>
        <v>0</v>
      </c>
      <c r="BT131" s="1511">
        <f t="shared" si="104"/>
        <v>0</v>
      </c>
      <c r="BU131" s="1511">
        <f t="shared" si="104"/>
        <v>160.16399999999999</v>
      </c>
      <c r="BV131" s="1511">
        <f t="shared" si="104"/>
        <v>0</v>
      </c>
      <c r="BW131" s="1511">
        <f t="shared" si="104"/>
        <v>0</v>
      </c>
      <c r="BX131" s="1511">
        <f t="shared" si="104"/>
        <v>0</v>
      </c>
      <c r="BY131" s="1511">
        <f t="shared" si="104"/>
        <v>0</v>
      </c>
      <c r="BZ131" s="1511">
        <f t="shared" si="104"/>
        <v>0</v>
      </c>
      <c r="CA131" s="1511">
        <f t="shared" si="104"/>
        <v>0</v>
      </c>
      <c r="CB131" s="1511">
        <f t="shared" si="104"/>
        <v>400</v>
      </c>
      <c r="CC131" s="1511">
        <f t="shared" si="104"/>
        <v>0</v>
      </c>
      <c r="CD131" s="1511">
        <f t="shared" si="104"/>
        <v>0</v>
      </c>
      <c r="CE131" s="1511">
        <f t="shared" si="104"/>
        <v>0</v>
      </c>
      <c r="CF131" s="1511">
        <f t="shared" si="104"/>
        <v>0</v>
      </c>
      <c r="CG131" s="1596"/>
      <c r="CH131" s="1511">
        <f t="shared" si="104"/>
        <v>0</v>
      </c>
      <c r="CI131" s="1511">
        <f t="shared" si="104"/>
        <v>0</v>
      </c>
      <c r="CJ131" s="1511">
        <f t="shared" si="104"/>
        <v>0</v>
      </c>
      <c r="CK131" s="1511">
        <f t="shared" si="104"/>
        <v>599.9</v>
      </c>
      <c r="CL131" s="1558"/>
      <c r="CM131" s="1558"/>
      <c r="CN131" s="1558"/>
      <c r="CO131" s="1558"/>
      <c r="CP131" s="1558"/>
      <c r="CQ131" s="1558"/>
      <c r="CR131" s="1558"/>
      <c r="CS131" s="1558"/>
      <c r="CT131" s="1558"/>
      <c r="CU131" s="1558"/>
      <c r="CV131" s="1558"/>
      <c r="CW131" s="1558"/>
      <c r="CY131" s="1558"/>
    </row>
    <row r="132" spans="1:108" s="1559" customFormat="1" x14ac:dyDescent="0.15">
      <c r="A132" s="1688" t="s">
        <v>97</v>
      </c>
      <c r="B132" s="1689" t="s">
        <v>79</v>
      </c>
      <c r="C132" s="1689" t="s">
        <v>100</v>
      </c>
      <c r="D132" s="1689" t="s">
        <v>110</v>
      </c>
      <c r="E132" s="1690">
        <v>4279902</v>
      </c>
      <c r="F132" s="1689"/>
      <c r="G132" s="1667">
        <v>340</v>
      </c>
      <c r="H132" s="1502">
        <f t="shared" si="100"/>
        <v>421.5</v>
      </c>
      <c r="I132" s="1502">
        <f t="shared" si="100"/>
        <v>0</v>
      </c>
      <c r="J132" s="1502">
        <f t="shared" si="100"/>
        <v>0</v>
      </c>
      <c r="K132" s="1502">
        <f t="shared" si="100"/>
        <v>0</v>
      </c>
      <c r="L132" s="1502">
        <f t="shared" si="100"/>
        <v>0</v>
      </c>
      <c r="M132" s="1502">
        <f t="shared" si="100"/>
        <v>0</v>
      </c>
      <c r="N132" s="1502">
        <f t="shared" si="100"/>
        <v>0</v>
      </c>
      <c r="O132" s="1502">
        <f t="shared" si="100"/>
        <v>0</v>
      </c>
      <c r="P132" s="1502">
        <f t="shared" si="100"/>
        <v>0</v>
      </c>
      <c r="Q132" s="1502">
        <f t="shared" si="100"/>
        <v>0</v>
      </c>
      <c r="R132" s="1502">
        <f t="shared" si="100"/>
        <v>0</v>
      </c>
      <c r="S132" s="1503">
        <f t="shared" si="100"/>
        <v>0</v>
      </c>
      <c r="T132" s="1504"/>
      <c r="U132" s="1505">
        <f t="shared" si="100"/>
        <v>186.5</v>
      </c>
      <c r="V132" s="1505"/>
      <c r="W132" s="1506"/>
      <c r="X132" s="1506"/>
      <c r="Y132" s="1506"/>
      <c r="Z132" s="1507"/>
      <c r="AA132" s="1506"/>
      <c r="AB132" s="1506"/>
      <c r="AC132" s="1545">
        <f t="shared" si="104"/>
        <v>421.5</v>
      </c>
      <c r="AD132" s="1545">
        <f t="shared" si="104"/>
        <v>0</v>
      </c>
      <c r="AE132" s="1545">
        <f t="shared" si="104"/>
        <v>0</v>
      </c>
      <c r="AF132" s="1545">
        <f t="shared" si="104"/>
        <v>0</v>
      </c>
      <c r="AG132" s="1545">
        <f t="shared" si="104"/>
        <v>0</v>
      </c>
      <c r="AH132" s="1545">
        <f t="shared" si="104"/>
        <v>0</v>
      </c>
      <c r="AI132" s="1510">
        <f t="shared" si="104"/>
        <v>0</v>
      </c>
      <c r="AJ132" s="1510">
        <f t="shared" si="104"/>
        <v>0</v>
      </c>
      <c r="AK132" s="1510">
        <f t="shared" si="104"/>
        <v>0</v>
      </c>
      <c r="AL132" s="1636">
        <f t="shared" si="96"/>
        <v>0</v>
      </c>
      <c r="AM132" s="1510">
        <f t="shared" si="104"/>
        <v>0</v>
      </c>
      <c r="AN132" s="1511"/>
      <c r="AO132" s="1511">
        <f t="shared" si="104"/>
        <v>26.5</v>
      </c>
      <c r="AP132" s="1511">
        <f t="shared" si="104"/>
        <v>0</v>
      </c>
      <c r="AQ132" s="1511">
        <f t="shared" si="104"/>
        <v>0</v>
      </c>
      <c r="AR132" s="1511">
        <f t="shared" si="104"/>
        <v>0</v>
      </c>
      <c r="AS132" s="1507">
        <f t="shared" si="104"/>
        <v>0</v>
      </c>
      <c r="AT132" s="1511">
        <f t="shared" si="104"/>
        <v>0</v>
      </c>
      <c r="AU132" s="1511">
        <f t="shared" si="104"/>
        <v>0</v>
      </c>
      <c r="AV132" s="1511">
        <f t="shared" si="104"/>
        <v>0</v>
      </c>
      <c r="AW132" s="1507">
        <f t="shared" si="104"/>
        <v>0</v>
      </c>
      <c r="AX132" s="1511">
        <f t="shared" si="104"/>
        <v>0</v>
      </c>
      <c r="AY132" s="1511">
        <f t="shared" si="104"/>
        <v>0</v>
      </c>
      <c r="AZ132" s="1511">
        <f t="shared" si="104"/>
        <v>0</v>
      </c>
      <c r="BA132" s="1511">
        <f t="shared" si="104"/>
        <v>0</v>
      </c>
      <c r="BB132" s="1511">
        <f t="shared" si="104"/>
        <v>0</v>
      </c>
      <c r="BC132" s="1511">
        <f t="shared" si="104"/>
        <v>0</v>
      </c>
      <c r="BD132" s="1511">
        <f t="shared" si="104"/>
        <v>0</v>
      </c>
      <c r="BE132" s="1511">
        <f t="shared" si="104"/>
        <v>0</v>
      </c>
      <c r="BF132" s="1511">
        <f t="shared" si="104"/>
        <v>0</v>
      </c>
      <c r="BG132" s="1511">
        <f t="shared" si="104"/>
        <v>0</v>
      </c>
      <c r="BH132" s="1511">
        <f t="shared" si="104"/>
        <v>0</v>
      </c>
      <c r="BI132" s="1511">
        <f t="shared" si="104"/>
        <v>0</v>
      </c>
      <c r="BJ132" s="1511">
        <f t="shared" si="104"/>
        <v>0</v>
      </c>
      <c r="BK132" s="1511">
        <f t="shared" si="104"/>
        <v>0</v>
      </c>
      <c r="BL132" s="1511">
        <f t="shared" si="104"/>
        <v>0</v>
      </c>
      <c r="BM132" s="1511">
        <f t="shared" si="104"/>
        <v>0</v>
      </c>
      <c r="BN132" s="1511">
        <f t="shared" si="104"/>
        <v>0</v>
      </c>
      <c r="BO132" s="1511">
        <f t="shared" si="104"/>
        <v>0</v>
      </c>
      <c r="BP132" s="1511">
        <f t="shared" si="104"/>
        <v>0</v>
      </c>
      <c r="BQ132" s="1511">
        <f t="shared" si="104"/>
        <v>0</v>
      </c>
      <c r="BR132" s="1511">
        <f t="shared" si="104"/>
        <v>0</v>
      </c>
      <c r="BS132" s="1511">
        <f t="shared" si="104"/>
        <v>0</v>
      </c>
      <c r="BT132" s="1511">
        <f t="shared" si="104"/>
        <v>0</v>
      </c>
      <c r="BU132" s="1511">
        <f t="shared" si="104"/>
        <v>395</v>
      </c>
      <c r="BV132" s="1511">
        <f t="shared" si="104"/>
        <v>0</v>
      </c>
      <c r="BW132" s="1511">
        <f t="shared" si="104"/>
        <v>0</v>
      </c>
      <c r="BX132" s="1511">
        <f t="shared" si="104"/>
        <v>0</v>
      </c>
      <c r="BY132" s="1511">
        <f t="shared" si="104"/>
        <v>0</v>
      </c>
      <c r="BZ132" s="1511">
        <f t="shared" si="104"/>
        <v>0</v>
      </c>
      <c r="CA132" s="1511">
        <f t="shared" si="104"/>
        <v>0</v>
      </c>
      <c r="CB132" s="1511">
        <f t="shared" si="104"/>
        <v>0</v>
      </c>
      <c r="CC132" s="1511">
        <f t="shared" si="104"/>
        <v>0</v>
      </c>
      <c r="CD132" s="1511">
        <f t="shared" si="104"/>
        <v>0</v>
      </c>
      <c r="CE132" s="1511">
        <f t="shared" si="104"/>
        <v>0</v>
      </c>
      <c r="CF132" s="1511">
        <f t="shared" si="104"/>
        <v>0</v>
      </c>
      <c r="CG132" s="1596"/>
      <c r="CH132" s="1511">
        <f t="shared" si="104"/>
        <v>0</v>
      </c>
      <c r="CI132" s="1511">
        <f t="shared" si="104"/>
        <v>0</v>
      </c>
      <c r="CJ132" s="1511">
        <f t="shared" si="104"/>
        <v>0</v>
      </c>
      <c r="CK132" s="1511">
        <f t="shared" si="104"/>
        <v>0</v>
      </c>
      <c r="CL132" s="1558"/>
      <c r="CM132" s="1558"/>
      <c r="CN132" s="1558"/>
      <c r="CO132" s="1558"/>
      <c r="CP132" s="1558"/>
      <c r="CQ132" s="1558"/>
      <c r="CR132" s="1558"/>
      <c r="CS132" s="1558"/>
      <c r="CT132" s="1558"/>
      <c r="CU132" s="1558"/>
      <c r="CV132" s="1558"/>
      <c r="CW132" s="1558"/>
      <c r="CY132" s="1558"/>
    </row>
    <row r="133" spans="1:108" s="1559" customFormat="1" ht="14" x14ac:dyDescent="0.15">
      <c r="A133" s="1528" t="s">
        <v>767</v>
      </c>
      <c r="B133" s="1530" t="s">
        <v>79</v>
      </c>
      <c r="C133" s="1530" t="s">
        <v>100</v>
      </c>
      <c r="D133" s="1530" t="s">
        <v>110</v>
      </c>
      <c r="E133" s="1530" t="s">
        <v>224</v>
      </c>
      <c r="F133" s="1530" t="s">
        <v>768</v>
      </c>
      <c r="G133" s="1600" t="s">
        <v>766</v>
      </c>
      <c r="H133" s="1531">
        <f>H149+H165+H181+H197</f>
        <v>1200</v>
      </c>
      <c r="I133" s="1645"/>
      <c r="J133" s="1630"/>
      <c r="K133" s="1630"/>
      <c r="L133" s="1631"/>
      <c r="M133" s="1631"/>
      <c r="N133" s="1631"/>
      <c r="O133" s="1631"/>
      <c r="P133" s="1631"/>
      <c r="Q133" s="1631"/>
      <c r="R133" s="1631"/>
      <c r="S133" s="1631"/>
      <c r="T133" s="1632"/>
      <c r="U133" s="1633"/>
      <c r="V133" s="1633"/>
      <c r="W133" s="1634"/>
      <c r="X133" s="1634"/>
      <c r="Y133" s="1634"/>
      <c r="Z133" s="1635"/>
      <c r="AA133" s="1634"/>
      <c r="AB133" s="1634"/>
      <c r="AC133" s="1508"/>
      <c r="AD133" s="1508"/>
      <c r="AE133" s="1508"/>
      <c r="AF133" s="1508"/>
      <c r="AG133" s="1508"/>
      <c r="AH133" s="1490">
        <f t="shared" si="94"/>
        <v>0</v>
      </c>
      <c r="AI133" s="1636"/>
      <c r="AJ133" s="1636"/>
      <c r="AK133" s="1636"/>
      <c r="AL133" s="1636">
        <f t="shared" si="96"/>
        <v>0</v>
      </c>
      <c r="AM133" s="1636"/>
      <c r="AN133" s="1637"/>
      <c r="AO133" s="1637"/>
      <c r="AP133" s="1637"/>
      <c r="AQ133" s="1637"/>
      <c r="AR133" s="1637"/>
      <c r="AS133" s="1635"/>
      <c r="AT133" s="1637"/>
      <c r="AU133" s="1637"/>
      <c r="AV133" s="1637"/>
      <c r="AW133" s="1635"/>
      <c r="AX133" s="1637"/>
      <c r="AY133" s="1637"/>
      <c r="AZ133" s="1637"/>
      <c r="BA133" s="1637"/>
      <c r="BB133" s="1637"/>
      <c r="BC133" s="1637"/>
      <c r="BD133" s="1637"/>
      <c r="BE133" s="1637"/>
      <c r="BF133" s="1637"/>
      <c r="BG133" s="1637"/>
      <c r="BH133" s="1637"/>
      <c r="BI133" s="1637"/>
      <c r="BJ133" s="1637"/>
      <c r="BK133" s="1637"/>
      <c r="BL133" s="1637"/>
      <c r="BM133" s="1637"/>
      <c r="BN133" s="1637"/>
      <c r="BO133" s="1637"/>
      <c r="BP133" s="1637"/>
      <c r="BQ133" s="1637"/>
      <c r="BR133" s="1637"/>
      <c r="BS133" s="1637"/>
      <c r="BT133" s="1637"/>
      <c r="BU133" s="1637"/>
      <c r="BV133" s="1637"/>
      <c r="BW133" s="1637"/>
      <c r="BX133" s="1637"/>
      <c r="BY133" s="1637"/>
      <c r="BZ133" s="1637"/>
      <c r="CA133" s="1637"/>
      <c r="CB133" s="1637"/>
      <c r="CC133" s="1637"/>
      <c r="CD133" s="1637"/>
      <c r="CE133" s="1637"/>
      <c r="CF133" s="1637"/>
      <c r="CG133" s="1691"/>
      <c r="CH133" s="1637"/>
      <c r="CI133" s="1637"/>
      <c r="CJ133" s="1637"/>
      <c r="CK133" s="1637"/>
      <c r="CL133" s="1558"/>
      <c r="CM133" s="1558"/>
      <c r="CN133" s="1558"/>
      <c r="CO133" s="1558"/>
      <c r="CP133" s="1558"/>
      <c r="CQ133" s="1558"/>
      <c r="CR133" s="1558"/>
      <c r="CS133" s="1558"/>
      <c r="CT133" s="1558"/>
      <c r="CU133" s="1558"/>
      <c r="CV133" s="1558"/>
      <c r="CW133" s="1558"/>
      <c r="CY133" s="1558"/>
    </row>
    <row r="134" spans="1:108" ht="52.5" customHeight="1" x14ac:dyDescent="0.15">
      <c r="A134" s="1692" t="s">
        <v>1252</v>
      </c>
      <c r="B134" s="1577" t="s">
        <v>79</v>
      </c>
      <c r="C134" s="1577" t="s">
        <v>100</v>
      </c>
      <c r="D134" s="1577" t="s">
        <v>110</v>
      </c>
      <c r="E134" s="1693">
        <v>4279902</v>
      </c>
      <c r="F134" s="1605">
        <v>600</v>
      </c>
      <c r="G134" s="1605"/>
      <c r="H134" s="1694">
        <f>H135+H149</f>
        <v>46310.619999999995</v>
      </c>
      <c r="I134" s="1694">
        <f t="shared" ref="I134:CK134" si="105">I135+I149</f>
        <v>0</v>
      </c>
      <c r="J134" s="1694">
        <f t="shared" si="105"/>
        <v>499.91999999999996</v>
      </c>
      <c r="K134" s="1694">
        <f t="shared" si="105"/>
        <v>0</v>
      </c>
      <c r="L134" s="1695"/>
      <c r="M134" s="1695"/>
      <c r="N134" s="1695"/>
      <c r="O134" s="1695"/>
      <c r="P134" s="1695"/>
      <c r="Q134" s="1695"/>
      <c r="R134" s="1695"/>
      <c r="S134" s="1695"/>
      <c r="T134" s="1696"/>
      <c r="U134" s="1697"/>
      <c r="V134" s="1697"/>
      <c r="W134" s="1698"/>
      <c r="X134" s="1698"/>
      <c r="Y134" s="1698"/>
      <c r="Z134" s="1699"/>
      <c r="AA134" s="1698"/>
      <c r="AB134" s="1698"/>
      <c r="AC134" s="1700">
        <f t="shared" si="105"/>
        <v>46310.619999999995</v>
      </c>
      <c r="AD134" s="1700">
        <f t="shared" si="105"/>
        <v>499.92</v>
      </c>
      <c r="AE134" s="1700">
        <f t="shared" si="105"/>
        <v>0</v>
      </c>
      <c r="AF134" s="1700">
        <f t="shared" si="105"/>
        <v>499.92</v>
      </c>
      <c r="AG134" s="1700">
        <f t="shared" si="105"/>
        <v>0</v>
      </c>
      <c r="AH134" s="1490">
        <f t="shared" si="94"/>
        <v>0</v>
      </c>
      <c r="AI134" s="1701">
        <f t="shared" si="105"/>
        <v>0</v>
      </c>
      <c r="AJ134" s="1701">
        <f t="shared" si="105"/>
        <v>0</v>
      </c>
      <c r="AK134" s="1701">
        <f t="shared" si="105"/>
        <v>0</v>
      </c>
      <c r="AL134" s="1636">
        <f t="shared" si="96"/>
        <v>0</v>
      </c>
      <c r="AM134" s="1701">
        <f t="shared" si="105"/>
        <v>0</v>
      </c>
      <c r="AN134" s="1702"/>
      <c r="AO134" s="1694">
        <f t="shared" si="105"/>
        <v>3297.5999999999995</v>
      </c>
      <c r="AP134" s="1694">
        <f t="shared" si="105"/>
        <v>0</v>
      </c>
      <c r="AQ134" s="1694">
        <f t="shared" si="105"/>
        <v>0</v>
      </c>
      <c r="AR134" s="1694">
        <f t="shared" si="105"/>
        <v>0</v>
      </c>
      <c r="AS134" s="1699">
        <f t="shared" si="105"/>
        <v>3225.2</v>
      </c>
      <c r="AT134" s="1694">
        <f t="shared" si="105"/>
        <v>0</v>
      </c>
      <c r="AU134" s="1694">
        <f t="shared" si="105"/>
        <v>0</v>
      </c>
      <c r="AV134" s="1694">
        <f t="shared" si="105"/>
        <v>0</v>
      </c>
      <c r="AW134" s="1699">
        <f t="shared" si="105"/>
        <v>0</v>
      </c>
      <c r="AX134" s="1694">
        <f t="shared" si="105"/>
        <v>0</v>
      </c>
      <c r="AY134" s="1694">
        <f t="shared" si="105"/>
        <v>0</v>
      </c>
      <c r="AZ134" s="1694">
        <f t="shared" si="105"/>
        <v>0</v>
      </c>
      <c r="BA134" s="1702">
        <f t="shared" si="105"/>
        <v>3183.1499999999996</v>
      </c>
      <c r="BB134" s="1694">
        <f t="shared" si="105"/>
        <v>0</v>
      </c>
      <c r="BC134" s="1694">
        <f t="shared" si="105"/>
        <v>0</v>
      </c>
      <c r="BD134" s="1694">
        <f t="shared" si="105"/>
        <v>0</v>
      </c>
      <c r="BE134" s="1703">
        <f t="shared" si="105"/>
        <v>3342.2499999999995</v>
      </c>
      <c r="BF134" s="1694">
        <f t="shared" si="105"/>
        <v>0</v>
      </c>
      <c r="BG134" s="1694">
        <f t="shared" si="105"/>
        <v>0</v>
      </c>
      <c r="BH134" s="1694">
        <f t="shared" si="105"/>
        <v>0</v>
      </c>
      <c r="BI134" s="1702">
        <f t="shared" si="105"/>
        <v>8366.0499999999993</v>
      </c>
      <c r="BJ134" s="1694">
        <f t="shared" si="105"/>
        <v>0</v>
      </c>
      <c r="BK134" s="1694">
        <f t="shared" si="105"/>
        <v>0</v>
      </c>
      <c r="BL134" s="1694">
        <f t="shared" si="105"/>
        <v>0</v>
      </c>
      <c r="BM134" s="1702">
        <f t="shared" si="105"/>
        <v>2092.9</v>
      </c>
      <c r="BN134" s="1694">
        <f t="shared" si="105"/>
        <v>0</v>
      </c>
      <c r="BO134" s="1694">
        <f t="shared" si="105"/>
        <v>0</v>
      </c>
      <c r="BP134" s="1694">
        <f t="shared" si="105"/>
        <v>0</v>
      </c>
      <c r="BQ134" s="1702">
        <f t="shared" si="105"/>
        <v>3309.6</v>
      </c>
      <c r="BR134" s="1694">
        <f t="shared" si="105"/>
        <v>0</v>
      </c>
      <c r="BS134" s="1694">
        <f t="shared" si="105"/>
        <v>0</v>
      </c>
      <c r="BT134" s="1694">
        <f t="shared" si="105"/>
        <v>0</v>
      </c>
      <c r="BU134" s="1702">
        <f t="shared" si="105"/>
        <v>3196.45</v>
      </c>
      <c r="BV134" s="1694">
        <f t="shared" si="105"/>
        <v>0</v>
      </c>
      <c r="BW134" s="1694">
        <f t="shared" si="105"/>
        <v>300</v>
      </c>
      <c r="BX134" s="1694">
        <f t="shared" si="105"/>
        <v>0</v>
      </c>
      <c r="BY134" s="1702">
        <f t="shared" si="105"/>
        <v>0</v>
      </c>
      <c r="BZ134" s="1694">
        <f t="shared" si="105"/>
        <v>0</v>
      </c>
      <c r="CA134" s="1694">
        <f t="shared" si="105"/>
        <v>100</v>
      </c>
      <c r="CB134" s="1694">
        <f t="shared" si="105"/>
        <v>0</v>
      </c>
      <c r="CC134" s="1702">
        <f t="shared" si="105"/>
        <v>0</v>
      </c>
      <c r="CD134" s="1694">
        <f t="shared" si="105"/>
        <v>0</v>
      </c>
      <c r="CE134" s="1694">
        <f t="shared" si="105"/>
        <v>0</v>
      </c>
      <c r="CF134" s="1694">
        <f t="shared" si="105"/>
        <v>0</v>
      </c>
      <c r="CG134" s="1704"/>
      <c r="CH134" s="1702">
        <f t="shared" si="105"/>
        <v>0</v>
      </c>
      <c r="CI134" s="1694">
        <f t="shared" si="105"/>
        <v>0</v>
      </c>
      <c r="CJ134" s="1694">
        <f t="shared" si="105"/>
        <v>99.92</v>
      </c>
      <c r="CK134" s="1694">
        <f t="shared" si="105"/>
        <v>0</v>
      </c>
    </row>
    <row r="135" spans="1:108" ht="47.25" customHeight="1" x14ac:dyDescent="0.15">
      <c r="A135" s="1528" t="s">
        <v>764</v>
      </c>
      <c r="B135" s="1529" t="s">
        <v>79</v>
      </c>
      <c r="C135" s="1529" t="s">
        <v>100</v>
      </c>
      <c r="D135" s="1529" t="s">
        <v>110</v>
      </c>
      <c r="E135" s="1656">
        <v>4279902</v>
      </c>
      <c r="F135" s="1529" t="s">
        <v>765</v>
      </c>
      <c r="G135" s="1687" t="s">
        <v>766</v>
      </c>
      <c r="H135" s="1531">
        <f>H136+H137+H138+H139+H140+H141+H142+H143+H144+H145+H146+H147+H148</f>
        <v>46310.619999999995</v>
      </c>
      <c r="I135" s="1531">
        <f>I136+I137+I138+I139+I140+I141+I142+I143+I144+I145+I146+I147+I148</f>
        <v>0</v>
      </c>
      <c r="J135" s="1531">
        <f>J136+J137+J138+J139+J140+J141+J142+J143+J144+J145+J146+J147+J148</f>
        <v>499.91999999999996</v>
      </c>
      <c r="K135" s="1531">
        <f>K136+K137+K138+K139+K140+K141+K142+K143+K144+K145+K146+K147+K148</f>
        <v>0</v>
      </c>
      <c r="L135" s="1601"/>
      <c r="M135" s="1601"/>
      <c r="N135" s="1601"/>
      <c r="O135" s="1601"/>
      <c r="P135" s="1601"/>
      <c r="Q135" s="1601"/>
      <c r="R135" s="1601"/>
      <c r="S135" s="1601"/>
      <c r="T135" s="1531">
        <f>T136+T137+T138+T139+T140+T141+T142+T143+T144+T145+T146+T147+T148</f>
        <v>4788.1000000000004</v>
      </c>
      <c r="U135" s="1588">
        <f>U136+U137+U138+U139+U140+U141+U142+U143+U144+U145+U146+U147+U148</f>
        <v>600</v>
      </c>
      <c r="V135" s="1533"/>
      <c r="W135" s="1534"/>
      <c r="X135" s="1534"/>
      <c r="Y135" s="1534"/>
      <c r="Z135" s="1535"/>
      <c r="AA135" s="1534"/>
      <c r="AB135" s="1534"/>
      <c r="AC135" s="1531">
        <f>AC136+AC137+AC138+AC139+AC140+AC141+AC142+AC143+AC144+AC145+AC146+AC147+AC148</f>
        <v>46310.619999999995</v>
      </c>
      <c r="AD135" s="1531">
        <f>AD136+AD137+AD138+AD139+AD140+AD141+AD142+AD143+AD144+AD145+AD146+AD147+AD148</f>
        <v>499.92</v>
      </c>
      <c r="AE135" s="1531">
        <f>AE136+AE137+AE138+AE139+AE140+AE141+AE142+AE143+AE144+AE145+AE146+AE147+AE148</f>
        <v>0</v>
      </c>
      <c r="AF135" s="1531">
        <f>AF136+AF137+AF138+AF139+AF140+AF141+AF142+AF143+AF144+AF145+AF146+AF147+AF148</f>
        <v>499.92</v>
      </c>
      <c r="AG135" s="1531">
        <f>AG136+AG137+AG138+AG139+AG140+AG141+AG142+AG143+AG144+AG145+AG146+AG147+AG148</f>
        <v>0</v>
      </c>
      <c r="AH135" s="1490">
        <f t="shared" si="94"/>
        <v>0</v>
      </c>
      <c r="AI135" s="1531">
        <f>AI136+AI137+AI138+AI139+AI140+AI141+AI142+AI143+AI144+AI145+AI146+AI147+AI148</f>
        <v>0</v>
      </c>
      <c r="AJ135" s="1531">
        <f>AJ136+AJ137+AJ138+AJ139+AJ140+AJ141+AJ142+AJ143+AJ144+AJ145+AJ146+AJ147+AJ148</f>
        <v>0</v>
      </c>
      <c r="AK135" s="1531">
        <f>AK136+AK137+AK138+AK139+AK140+AK141+AK142+AK143+AK144+AK145+AK146+AK147+AK148</f>
        <v>0</v>
      </c>
      <c r="AL135" s="1636">
        <f t="shared" si="96"/>
        <v>0</v>
      </c>
      <c r="AM135" s="1531">
        <f>AM136+AM137+AM138+AM139+AM140+AM141+AM142+AM143+AM144+AM145+AM146+AM147+AM148</f>
        <v>0</v>
      </c>
      <c r="AN135" s="1538"/>
      <c r="AO135" s="1531">
        <f>AO136+AO137+AO138+AO139+AO140+AO141+AO142+AO143+AO144+AO145+AO146+AO147+AO148</f>
        <v>3297.5999999999995</v>
      </c>
      <c r="AP135" s="1531">
        <f t="shared" ref="AP135:CK135" si="106">AP136+AP137+AP138+AP139+AP140+AP141+AP142+AP143+AP144+AP145+AP146+AP147+AP148</f>
        <v>0</v>
      </c>
      <c r="AQ135" s="1531">
        <f t="shared" si="106"/>
        <v>0</v>
      </c>
      <c r="AR135" s="1531">
        <f t="shared" si="106"/>
        <v>0</v>
      </c>
      <c r="AS135" s="1535">
        <f t="shared" si="106"/>
        <v>3225.2</v>
      </c>
      <c r="AT135" s="1531">
        <f t="shared" si="106"/>
        <v>0</v>
      </c>
      <c r="AU135" s="1531">
        <f t="shared" si="106"/>
        <v>0</v>
      </c>
      <c r="AV135" s="1531">
        <f t="shared" si="106"/>
        <v>0</v>
      </c>
      <c r="AW135" s="1535"/>
      <c r="AX135" s="1531">
        <f t="shared" si="106"/>
        <v>0</v>
      </c>
      <c r="AY135" s="1531">
        <f t="shared" si="106"/>
        <v>0</v>
      </c>
      <c r="AZ135" s="1531">
        <f t="shared" si="106"/>
        <v>0</v>
      </c>
      <c r="BA135" s="1538">
        <f t="shared" si="106"/>
        <v>3183.1499999999996</v>
      </c>
      <c r="BB135" s="1531">
        <f t="shared" si="106"/>
        <v>0</v>
      </c>
      <c r="BC135" s="1531">
        <f t="shared" si="106"/>
        <v>0</v>
      </c>
      <c r="BD135" s="1531">
        <f t="shared" si="106"/>
        <v>0</v>
      </c>
      <c r="BE135" s="1538">
        <f t="shared" si="106"/>
        <v>3342.2499999999995</v>
      </c>
      <c r="BF135" s="1531">
        <f t="shared" si="106"/>
        <v>0</v>
      </c>
      <c r="BG135" s="1531">
        <f t="shared" si="106"/>
        <v>0</v>
      </c>
      <c r="BH135" s="1531">
        <f t="shared" si="106"/>
        <v>0</v>
      </c>
      <c r="BI135" s="1538">
        <f t="shared" si="106"/>
        <v>8366.0499999999993</v>
      </c>
      <c r="BJ135" s="1531">
        <f t="shared" si="106"/>
        <v>0</v>
      </c>
      <c r="BK135" s="1531">
        <f t="shared" si="106"/>
        <v>0</v>
      </c>
      <c r="BL135" s="1531">
        <f t="shared" si="106"/>
        <v>0</v>
      </c>
      <c r="BM135" s="1538">
        <f t="shared" si="106"/>
        <v>2092.9</v>
      </c>
      <c r="BN135" s="1531">
        <f t="shared" si="106"/>
        <v>0</v>
      </c>
      <c r="BO135" s="1531">
        <f t="shared" si="106"/>
        <v>0</v>
      </c>
      <c r="BP135" s="1531">
        <f t="shared" si="106"/>
        <v>0</v>
      </c>
      <c r="BQ135" s="1538">
        <f t="shared" si="106"/>
        <v>3309.6</v>
      </c>
      <c r="BR135" s="1531">
        <f t="shared" si="106"/>
        <v>0</v>
      </c>
      <c r="BS135" s="1531">
        <f t="shared" si="106"/>
        <v>0</v>
      </c>
      <c r="BT135" s="1531">
        <f t="shared" si="106"/>
        <v>0</v>
      </c>
      <c r="BU135" s="1538">
        <f t="shared" si="106"/>
        <v>3196.45</v>
      </c>
      <c r="BV135" s="1531">
        <f t="shared" si="106"/>
        <v>0</v>
      </c>
      <c r="BW135" s="1531">
        <f t="shared" si="106"/>
        <v>300</v>
      </c>
      <c r="BX135" s="1531">
        <f t="shared" si="106"/>
        <v>0</v>
      </c>
      <c r="BY135" s="1538"/>
      <c r="BZ135" s="1531">
        <f t="shared" si="106"/>
        <v>0</v>
      </c>
      <c r="CA135" s="1531">
        <f t="shared" si="106"/>
        <v>100</v>
      </c>
      <c r="CB135" s="1531">
        <f t="shared" si="106"/>
        <v>0</v>
      </c>
      <c r="CC135" s="1538"/>
      <c r="CD135" s="1531">
        <f t="shared" si="106"/>
        <v>0</v>
      </c>
      <c r="CE135" s="1531">
        <f t="shared" si="106"/>
        <v>0</v>
      </c>
      <c r="CF135" s="1531">
        <f t="shared" si="106"/>
        <v>0</v>
      </c>
      <c r="CG135" s="1705"/>
      <c r="CH135" s="1706"/>
      <c r="CI135" s="1707">
        <f t="shared" si="106"/>
        <v>0</v>
      </c>
      <c r="CJ135" s="1707">
        <f t="shared" si="106"/>
        <v>99.92</v>
      </c>
      <c r="CK135" s="1707">
        <f t="shared" si="106"/>
        <v>0</v>
      </c>
    </row>
    <row r="136" spans="1:108" ht="14" x14ac:dyDescent="0.15">
      <c r="A136" s="1688" t="s">
        <v>78</v>
      </c>
      <c r="B136" s="1689" t="s">
        <v>79</v>
      </c>
      <c r="C136" s="1689" t="s">
        <v>100</v>
      </c>
      <c r="D136" s="1689" t="s">
        <v>110</v>
      </c>
      <c r="E136" s="1690">
        <v>4279902</v>
      </c>
      <c r="F136" s="1689"/>
      <c r="G136" s="1667">
        <v>211</v>
      </c>
      <c r="H136" s="1501">
        <f>27844.4+T136</f>
        <v>31521.9</v>
      </c>
      <c r="I136" s="1501"/>
      <c r="J136" s="1630"/>
      <c r="K136" s="1630"/>
      <c r="L136" s="1631"/>
      <c r="M136" s="1631"/>
      <c r="N136" s="1631"/>
      <c r="O136" s="1631"/>
      <c r="P136" s="1631"/>
      <c r="Q136" s="1631"/>
      <c r="R136" s="1631"/>
      <c r="S136" s="1631"/>
      <c r="T136" s="1632">
        <f>3677.5</f>
        <v>3677.5</v>
      </c>
      <c r="U136" s="1633"/>
      <c r="V136" s="1633"/>
      <c r="W136" s="1634">
        <f>H136/12</f>
        <v>2626.8250000000003</v>
      </c>
      <c r="X136" s="1634">
        <f>AO136</f>
        <v>2320.4</v>
      </c>
      <c r="Y136" s="1634">
        <f>CC136</f>
        <v>2884.7</v>
      </c>
      <c r="Z136" s="1635">
        <v>2884.7</v>
      </c>
      <c r="AA136" s="1511">
        <f>AW136</f>
        <v>2320.4</v>
      </c>
      <c r="AB136" s="1511">
        <f>Z136-AA136</f>
        <v>564.29999999999973</v>
      </c>
      <c r="AC136" s="1508">
        <f t="shared" ref="AC136:AC149" si="107">AO136+AS136+AW136+BA136+BE136+BI136+BM136+BQ136+BU136+BY136+CC136+CH136</f>
        <v>31521.899999999998</v>
      </c>
      <c r="AD136" s="1509">
        <f t="shared" ref="AD136:AD149" si="108">AE136+AF136+AG136</f>
        <v>0</v>
      </c>
      <c r="AE136" s="1509">
        <f t="shared" ref="AE136:AG148" si="109">AP136+AT136+AX136+BB136+BF136+BJ136+BN136+BR136+BV136+BZ136+CD136+CI136</f>
        <v>0</v>
      </c>
      <c r="AF136" s="1509">
        <f t="shared" si="109"/>
        <v>0</v>
      </c>
      <c r="AG136" s="1509">
        <f t="shared" si="109"/>
        <v>0</v>
      </c>
      <c r="AH136" s="1490">
        <f t="shared" si="94"/>
        <v>0</v>
      </c>
      <c r="AI136" s="1636">
        <f t="shared" ref="AI136:AI148" si="110">H136-AC136</f>
        <v>0</v>
      </c>
      <c r="AJ136" s="1636">
        <f t="shared" ref="AJ136:AJ148" si="111">AK136+AL136+AM136</f>
        <v>0</v>
      </c>
      <c r="AK136" s="1636">
        <f t="shared" ref="AK136:AK148" si="112">I136-AE136</f>
        <v>0</v>
      </c>
      <c r="AL136" s="1636">
        <f t="shared" si="96"/>
        <v>0</v>
      </c>
      <c r="AM136" s="1636">
        <f t="shared" si="96"/>
        <v>0</v>
      </c>
      <c r="AN136" s="1637">
        <f>AI136/4</f>
        <v>0</v>
      </c>
      <c r="AO136" s="1708">
        <v>2320.4</v>
      </c>
      <c r="AP136" s="1638"/>
      <c r="AQ136" s="1638"/>
      <c r="AR136" s="1638"/>
      <c r="AS136" s="1639">
        <v>2320.4</v>
      </c>
      <c r="AT136" s="1638"/>
      <c r="AU136" s="1638"/>
      <c r="AV136" s="1638"/>
      <c r="AW136" s="1640">
        <v>2320.4</v>
      </c>
      <c r="AX136" s="1640"/>
      <c r="AY136" s="1640"/>
      <c r="AZ136" s="1640"/>
      <c r="BA136" s="1641">
        <v>2320.37</v>
      </c>
      <c r="BB136" s="1640"/>
      <c r="BC136" s="1640"/>
      <c r="BD136" s="1640"/>
      <c r="BE136" s="1641">
        <v>2320.37</v>
      </c>
      <c r="BF136" s="1640"/>
      <c r="BG136" s="1640"/>
      <c r="BH136" s="1640"/>
      <c r="BI136" s="1641">
        <f>928.2+3852.2</f>
        <v>4780.3999999999996</v>
      </c>
      <c r="BJ136" s="1640"/>
      <c r="BK136" s="1640"/>
      <c r="BL136" s="1640"/>
      <c r="BM136" s="1641">
        <v>1392.2</v>
      </c>
      <c r="BN136" s="1640"/>
      <c r="BO136" s="1640"/>
      <c r="BP136" s="1640"/>
      <c r="BQ136" s="1641">
        <v>2320.4</v>
      </c>
      <c r="BR136" s="1640"/>
      <c r="BS136" s="1640"/>
      <c r="BT136" s="1640"/>
      <c r="BU136" s="1641">
        <v>1937.4</v>
      </c>
      <c r="BV136" s="1640"/>
      <c r="BW136" s="1640"/>
      <c r="BX136" s="1640"/>
      <c r="BY136" s="1641">
        <f>1400+2441.26</f>
        <v>3841.26</v>
      </c>
      <c r="BZ136" s="1640"/>
      <c r="CA136" s="1640"/>
      <c r="CB136" s="1640"/>
      <c r="CC136" s="1641">
        <f>2884.7</f>
        <v>2884.7</v>
      </c>
      <c r="CD136" s="1640"/>
      <c r="CE136" s="1640"/>
      <c r="CF136" s="1640"/>
      <c r="CG136" s="1642"/>
      <c r="CH136" s="1709">
        <v>2763.6</v>
      </c>
      <c r="CI136" s="1643">
        <v>0</v>
      </c>
      <c r="CJ136" s="1643">
        <v>0</v>
      </c>
      <c r="CK136" s="1643">
        <v>0</v>
      </c>
      <c r="CX136" s="1558">
        <f>H136/12*10-AC136</f>
        <v>-5253.6499999999942</v>
      </c>
      <c r="CY136" s="1558">
        <f>AI136/3</f>
        <v>0</v>
      </c>
      <c r="CZ136" s="1558">
        <f>H136/12</f>
        <v>2626.8250000000003</v>
      </c>
      <c r="DA136" s="1559">
        <f>(H136-T136)/12*10-AC136</f>
        <v>-8318.2333333333299</v>
      </c>
      <c r="DB136" s="1559"/>
      <c r="DC136" s="1559"/>
      <c r="DD136">
        <f>(H136-T136)/12</f>
        <v>2320.3666666666668</v>
      </c>
    </row>
    <row r="137" spans="1:108" ht="14" x14ac:dyDescent="0.15">
      <c r="A137" s="1688" t="s">
        <v>83</v>
      </c>
      <c r="B137" s="1689" t="s">
        <v>79</v>
      </c>
      <c r="C137" s="1689" t="s">
        <v>100</v>
      </c>
      <c r="D137" s="1689" t="s">
        <v>110</v>
      </c>
      <c r="E137" s="1690">
        <v>4279902</v>
      </c>
      <c r="F137" s="1689"/>
      <c r="G137" s="1667">
        <v>212</v>
      </c>
      <c r="H137" s="1501">
        <v>96</v>
      </c>
      <c r="I137" s="1501"/>
      <c r="J137" s="1630"/>
      <c r="K137" s="1630"/>
      <c r="L137" s="1631"/>
      <c r="M137" s="1631"/>
      <c r="N137" s="1631"/>
      <c r="O137" s="1631"/>
      <c r="P137" s="1631"/>
      <c r="Q137" s="1631"/>
      <c r="R137" s="1631"/>
      <c r="S137" s="1631"/>
      <c r="T137" s="1632"/>
      <c r="U137" s="1633"/>
      <c r="V137" s="1633"/>
      <c r="W137" s="1634"/>
      <c r="X137" s="1634"/>
      <c r="Y137" s="1634"/>
      <c r="Z137" s="1635"/>
      <c r="AA137" s="1634"/>
      <c r="AB137" s="1511">
        <f>Z137-AA137</f>
        <v>0</v>
      </c>
      <c r="AC137" s="1508">
        <f t="shared" si="107"/>
        <v>96</v>
      </c>
      <c r="AD137" s="1509">
        <f t="shared" si="108"/>
        <v>0</v>
      </c>
      <c r="AE137" s="1509">
        <f t="shared" si="109"/>
        <v>0</v>
      </c>
      <c r="AF137" s="1509">
        <f t="shared" si="109"/>
        <v>0</v>
      </c>
      <c r="AG137" s="1509">
        <f t="shared" si="109"/>
        <v>0</v>
      </c>
      <c r="AH137" s="1490">
        <f t="shared" si="94"/>
        <v>0</v>
      </c>
      <c r="AI137" s="1636">
        <f t="shared" si="110"/>
        <v>0</v>
      </c>
      <c r="AJ137" s="1636">
        <f t="shared" si="111"/>
        <v>0</v>
      </c>
      <c r="AK137" s="1636">
        <f t="shared" si="112"/>
        <v>0</v>
      </c>
      <c r="AL137" s="1636">
        <f t="shared" si="96"/>
        <v>0</v>
      </c>
      <c r="AM137" s="1636">
        <f t="shared" si="96"/>
        <v>0</v>
      </c>
      <c r="AN137" s="1637"/>
      <c r="AO137" s="1708">
        <f>8+8</f>
        <v>16</v>
      </c>
      <c r="AP137" s="1638"/>
      <c r="AQ137" s="1638"/>
      <c r="AR137" s="1638"/>
      <c r="AS137" s="1639"/>
      <c r="AT137" s="1638"/>
      <c r="AU137" s="1638"/>
      <c r="AV137" s="1638"/>
      <c r="AW137" s="1640"/>
      <c r="AX137" s="1640"/>
      <c r="AY137" s="1640"/>
      <c r="AZ137" s="1640"/>
      <c r="BA137" s="1641"/>
      <c r="BB137" s="1640"/>
      <c r="BC137" s="1640"/>
      <c r="BD137" s="1640"/>
      <c r="BE137" s="1641"/>
      <c r="BF137" s="1640"/>
      <c r="BG137" s="1640"/>
      <c r="BH137" s="1640"/>
      <c r="BI137" s="1641"/>
      <c r="BJ137" s="1640"/>
      <c r="BK137" s="1640"/>
      <c r="BL137" s="1640"/>
      <c r="BM137" s="1641"/>
      <c r="BN137" s="1640"/>
      <c r="BO137" s="1640"/>
      <c r="BP137" s="1640"/>
      <c r="BQ137" s="1641"/>
      <c r="BR137" s="1640"/>
      <c r="BS137" s="1640"/>
      <c r="BT137" s="1640"/>
      <c r="BU137" s="1641">
        <v>56</v>
      </c>
      <c r="BV137" s="1640"/>
      <c r="BW137" s="1640"/>
      <c r="BX137" s="1640"/>
      <c r="BY137" s="1641"/>
      <c r="BZ137" s="1640"/>
      <c r="CA137" s="1640"/>
      <c r="CB137" s="1640"/>
      <c r="CC137" s="1641"/>
      <c r="CD137" s="1640"/>
      <c r="CE137" s="1640"/>
      <c r="CF137" s="1640"/>
      <c r="CG137" s="1642"/>
      <c r="CH137" s="1643">
        <v>24</v>
      </c>
      <c r="CI137" s="1643">
        <v>0</v>
      </c>
      <c r="CJ137" s="1643">
        <v>0</v>
      </c>
      <c r="CK137" s="1643">
        <v>0</v>
      </c>
      <c r="CX137" s="1558"/>
      <c r="CY137" s="1558"/>
      <c r="CZ137" s="1558"/>
      <c r="DA137" s="1559"/>
      <c r="DB137" s="1559"/>
      <c r="DC137" s="1559"/>
    </row>
    <row r="138" spans="1:108" ht="14" x14ac:dyDescent="0.15">
      <c r="A138" s="1688" t="s">
        <v>84</v>
      </c>
      <c r="B138" s="1689" t="s">
        <v>79</v>
      </c>
      <c r="C138" s="1689" t="s">
        <v>100</v>
      </c>
      <c r="D138" s="1689" t="s">
        <v>110</v>
      </c>
      <c r="E138" s="1690">
        <v>4279902</v>
      </c>
      <c r="F138" s="1689"/>
      <c r="G138" s="1667">
        <v>213</v>
      </c>
      <c r="H138" s="1501">
        <f>8409+T138</f>
        <v>9519.6</v>
      </c>
      <c r="I138" s="1501"/>
      <c r="J138" s="1630"/>
      <c r="K138" s="1630"/>
      <c r="L138" s="1631"/>
      <c r="M138" s="1631"/>
      <c r="N138" s="1631"/>
      <c r="O138" s="1631"/>
      <c r="P138" s="1631"/>
      <c r="Q138" s="1631"/>
      <c r="R138" s="1631"/>
      <c r="S138" s="1631"/>
      <c r="T138" s="1632">
        <f>1110.6</f>
        <v>1110.5999999999999</v>
      </c>
      <c r="U138" s="1633"/>
      <c r="V138" s="1633"/>
      <c r="W138" s="1634">
        <f>H138/12</f>
        <v>793.30000000000007</v>
      </c>
      <c r="X138" s="1634">
        <f>AO138</f>
        <v>700.8</v>
      </c>
      <c r="Y138" s="1634">
        <f>CC138</f>
        <v>1129.2</v>
      </c>
      <c r="Z138" s="1635">
        <v>1129.2</v>
      </c>
      <c r="AA138" s="1511">
        <f>AW138</f>
        <v>700.8</v>
      </c>
      <c r="AB138" s="1511">
        <f>Z138-AA138</f>
        <v>428.40000000000009</v>
      </c>
      <c r="AC138" s="1508">
        <f t="shared" si="107"/>
        <v>9519.6</v>
      </c>
      <c r="AD138" s="1509">
        <f t="shared" si="108"/>
        <v>0</v>
      </c>
      <c r="AE138" s="1509">
        <f t="shared" si="109"/>
        <v>0</v>
      </c>
      <c r="AF138" s="1509">
        <f t="shared" si="109"/>
        <v>0</v>
      </c>
      <c r="AG138" s="1509">
        <f t="shared" si="109"/>
        <v>0</v>
      </c>
      <c r="AH138" s="1490">
        <f t="shared" si="94"/>
        <v>0</v>
      </c>
      <c r="AI138" s="1636">
        <f t="shared" si="110"/>
        <v>0</v>
      </c>
      <c r="AJ138" s="1636">
        <f t="shared" si="111"/>
        <v>0</v>
      </c>
      <c r="AK138" s="1636">
        <f t="shared" si="112"/>
        <v>0</v>
      </c>
      <c r="AL138" s="1636">
        <f t="shared" si="96"/>
        <v>0</v>
      </c>
      <c r="AM138" s="1636">
        <f t="shared" si="96"/>
        <v>0</v>
      </c>
      <c r="AN138" s="1637">
        <f>AI138/4</f>
        <v>0</v>
      </c>
      <c r="AO138" s="1708">
        <v>700.8</v>
      </c>
      <c r="AP138" s="1638"/>
      <c r="AQ138" s="1638"/>
      <c r="AR138" s="1638"/>
      <c r="AS138" s="1639">
        <v>700.8</v>
      </c>
      <c r="AT138" s="1638"/>
      <c r="AU138" s="1638"/>
      <c r="AV138" s="1638"/>
      <c r="AW138" s="1640">
        <v>700.8</v>
      </c>
      <c r="AX138" s="1640"/>
      <c r="AY138" s="1640"/>
      <c r="AZ138" s="1640"/>
      <c r="BA138" s="1641">
        <v>700.78</v>
      </c>
      <c r="BB138" s="1640"/>
      <c r="BC138" s="1640"/>
      <c r="BD138" s="1640"/>
      <c r="BE138" s="1641">
        <v>700.78</v>
      </c>
      <c r="BF138" s="1640"/>
      <c r="BG138" s="1640"/>
      <c r="BH138" s="1640"/>
      <c r="BI138" s="1641">
        <v>1163.4000000000001</v>
      </c>
      <c r="BJ138" s="1640"/>
      <c r="BK138" s="1640"/>
      <c r="BL138" s="1640"/>
      <c r="BM138" s="1641">
        <v>700.7</v>
      </c>
      <c r="BN138" s="1640"/>
      <c r="BO138" s="1640"/>
      <c r="BP138" s="1640"/>
      <c r="BQ138" s="1641">
        <v>700.8</v>
      </c>
      <c r="BR138" s="1640"/>
      <c r="BS138" s="1640"/>
      <c r="BT138" s="1640"/>
      <c r="BU138" s="1641">
        <v>585</v>
      </c>
      <c r="BV138" s="1640"/>
      <c r="BW138" s="1640"/>
      <c r="BX138" s="1640"/>
      <c r="BY138" s="1641">
        <f>125+737.26</f>
        <v>862.26</v>
      </c>
      <c r="BZ138" s="1640"/>
      <c r="CA138" s="1640"/>
      <c r="CB138" s="1640"/>
      <c r="CC138" s="1641">
        <f>1129.2</f>
        <v>1129.2</v>
      </c>
      <c r="CD138" s="1640"/>
      <c r="CE138" s="1640"/>
      <c r="CF138" s="1640"/>
      <c r="CG138" s="1642"/>
      <c r="CH138" s="1643">
        <v>874.28</v>
      </c>
      <c r="CI138" s="1643">
        <v>0</v>
      </c>
      <c r="CJ138" s="1643">
        <v>0</v>
      </c>
      <c r="CK138" s="1643">
        <v>0</v>
      </c>
      <c r="CX138" s="1558">
        <f>H138/12*10-AC138</f>
        <v>-1586.5999999999995</v>
      </c>
      <c r="CY138" s="1558">
        <f>AI138/3</f>
        <v>0</v>
      </c>
      <c r="CZ138" s="1558">
        <f>H138/12</f>
        <v>793.30000000000007</v>
      </c>
      <c r="DA138" s="1559">
        <f>(H138-T138)/12*10-AC138</f>
        <v>-2512.1000000000004</v>
      </c>
      <c r="DB138" s="1559"/>
      <c r="DC138" s="1559"/>
      <c r="DD138">
        <f>(H138-T138)/12</f>
        <v>700.75</v>
      </c>
    </row>
    <row r="139" spans="1:108" ht="14" x14ac:dyDescent="0.15">
      <c r="A139" s="1688" t="s">
        <v>85</v>
      </c>
      <c r="B139" s="1689" t="s">
        <v>79</v>
      </c>
      <c r="C139" s="1689" t="s">
        <v>100</v>
      </c>
      <c r="D139" s="1689" t="s">
        <v>110</v>
      </c>
      <c r="E139" s="1690">
        <v>4279902</v>
      </c>
      <c r="F139" s="1689"/>
      <c r="G139" s="1667">
        <v>221</v>
      </c>
      <c r="H139" s="1501">
        <v>31.1</v>
      </c>
      <c r="I139" s="1501"/>
      <c r="J139" s="1630"/>
      <c r="K139" s="1630"/>
      <c r="L139" s="1631"/>
      <c r="M139" s="1631"/>
      <c r="N139" s="1631"/>
      <c r="O139" s="1631"/>
      <c r="P139" s="1631"/>
      <c r="Q139" s="1631"/>
      <c r="R139" s="1631"/>
      <c r="S139" s="1631"/>
      <c r="T139" s="1632"/>
      <c r="U139" s="1633"/>
      <c r="V139" s="1633"/>
      <c r="W139" s="1634"/>
      <c r="X139" s="1634"/>
      <c r="Y139" s="1634"/>
      <c r="Z139" s="1635"/>
      <c r="AA139" s="1634"/>
      <c r="AB139" s="1634"/>
      <c r="AC139" s="1508">
        <f t="shared" si="107"/>
        <v>31.1</v>
      </c>
      <c r="AD139" s="1509">
        <f t="shared" si="108"/>
        <v>0</v>
      </c>
      <c r="AE139" s="1509">
        <f t="shared" si="109"/>
        <v>0</v>
      </c>
      <c r="AF139" s="1509">
        <f t="shared" si="109"/>
        <v>0</v>
      </c>
      <c r="AG139" s="1509">
        <f t="shared" si="109"/>
        <v>0</v>
      </c>
      <c r="AH139" s="1490">
        <f t="shared" si="94"/>
        <v>0</v>
      </c>
      <c r="AI139" s="1636">
        <f t="shared" si="110"/>
        <v>0</v>
      </c>
      <c r="AJ139" s="1636">
        <f t="shared" si="111"/>
        <v>0</v>
      </c>
      <c r="AK139" s="1636">
        <f t="shared" si="112"/>
        <v>0</v>
      </c>
      <c r="AL139" s="1636">
        <f t="shared" si="96"/>
        <v>0</v>
      </c>
      <c r="AM139" s="1636">
        <f t="shared" si="96"/>
        <v>0</v>
      </c>
      <c r="AN139" s="1637"/>
      <c r="AO139" s="1708">
        <v>2.6</v>
      </c>
      <c r="AP139" s="1638"/>
      <c r="AQ139" s="1638"/>
      <c r="AR139" s="1638"/>
      <c r="AS139" s="1639"/>
      <c r="AT139" s="1638"/>
      <c r="AU139" s="1638"/>
      <c r="AV139" s="1638"/>
      <c r="AW139" s="1639"/>
      <c r="AX139" s="1640"/>
      <c r="AY139" s="1640"/>
      <c r="AZ139" s="1640"/>
      <c r="BA139" s="1641"/>
      <c r="BB139" s="1640"/>
      <c r="BC139" s="1640"/>
      <c r="BD139" s="1640"/>
      <c r="BE139" s="1644"/>
      <c r="BF139" s="1640"/>
      <c r="BG139" s="1640"/>
      <c r="BH139" s="1640"/>
      <c r="BI139" s="1641"/>
      <c r="BJ139" s="1640"/>
      <c r="BK139" s="1640"/>
      <c r="BL139" s="1640"/>
      <c r="BM139" s="1641"/>
      <c r="BN139" s="1640"/>
      <c r="BO139" s="1640"/>
      <c r="BP139" s="1640"/>
      <c r="BQ139" s="1641"/>
      <c r="BR139" s="1640"/>
      <c r="BS139" s="1640"/>
      <c r="BT139" s="1640"/>
      <c r="BU139" s="1641">
        <v>28.5</v>
      </c>
      <c r="BV139" s="1640"/>
      <c r="BW139" s="1640"/>
      <c r="BX139" s="1640"/>
      <c r="BY139" s="1641"/>
      <c r="BZ139" s="1640"/>
      <c r="CA139" s="1640"/>
      <c r="CB139" s="1640"/>
      <c r="CC139" s="1641"/>
      <c r="CD139" s="1640"/>
      <c r="CE139" s="1640"/>
      <c r="CF139" s="1640"/>
      <c r="CG139" s="1642"/>
      <c r="CH139" s="1643">
        <v>0</v>
      </c>
      <c r="CI139" s="1643">
        <v>0</v>
      </c>
      <c r="CJ139" s="1643">
        <v>0</v>
      </c>
      <c r="CK139" s="1643">
        <v>0</v>
      </c>
    </row>
    <row r="140" spans="1:108" ht="14" x14ac:dyDescent="0.15">
      <c r="A140" s="1688" t="s">
        <v>86</v>
      </c>
      <c r="B140" s="1689" t="s">
        <v>79</v>
      </c>
      <c r="C140" s="1689" t="s">
        <v>100</v>
      </c>
      <c r="D140" s="1689" t="s">
        <v>110</v>
      </c>
      <c r="E140" s="1690">
        <v>4279902</v>
      </c>
      <c r="F140" s="1689"/>
      <c r="G140" s="1667">
        <v>222</v>
      </c>
      <c r="H140" s="1501">
        <v>0</v>
      </c>
      <c r="I140" s="1501"/>
      <c r="J140" s="1630"/>
      <c r="K140" s="1630"/>
      <c r="L140" s="1631"/>
      <c r="M140" s="1631"/>
      <c r="N140" s="1631"/>
      <c r="O140" s="1631"/>
      <c r="P140" s="1631"/>
      <c r="Q140" s="1631"/>
      <c r="R140" s="1631"/>
      <c r="S140" s="1631"/>
      <c r="T140" s="1632"/>
      <c r="U140" s="1633"/>
      <c r="V140" s="1633"/>
      <c r="W140" s="1634"/>
      <c r="X140" s="1634"/>
      <c r="Y140" s="1634"/>
      <c r="Z140" s="1635"/>
      <c r="AA140" s="1634"/>
      <c r="AB140" s="1634"/>
      <c r="AC140" s="1508">
        <f t="shared" si="107"/>
        <v>0</v>
      </c>
      <c r="AD140" s="1509">
        <f t="shared" si="108"/>
        <v>0</v>
      </c>
      <c r="AE140" s="1509">
        <f t="shared" si="109"/>
        <v>0</v>
      </c>
      <c r="AF140" s="1509">
        <f t="shared" si="109"/>
        <v>0</v>
      </c>
      <c r="AG140" s="1509">
        <f t="shared" si="109"/>
        <v>0</v>
      </c>
      <c r="AH140" s="1490">
        <f t="shared" si="94"/>
        <v>0</v>
      </c>
      <c r="AI140" s="1636">
        <f t="shared" si="110"/>
        <v>0</v>
      </c>
      <c r="AJ140" s="1636">
        <f t="shared" si="111"/>
        <v>0</v>
      </c>
      <c r="AK140" s="1636">
        <f t="shared" si="112"/>
        <v>0</v>
      </c>
      <c r="AL140" s="1636">
        <f t="shared" si="96"/>
        <v>0</v>
      </c>
      <c r="AM140" s="1636">
        <f t="shared" si="96"/>
        <v>0</v>
      </c>
      <c r="AN140" s="1637"/>
      <c r="AO140" s="1708">
        <v>0</v>
      </c>
      <c r="AP140" s="1638"/>
      <c r="AQ140" s="1638"/>
      <c r="AR140" s="1638"/>
      <c r="AS140" s="1639"/>
      <c r="AT140" s="1638"/>
      <c r="AU140" s="1638"/>
      <c r="AV140" s="1638"/>
      <c r="AW140" s="1639"/>
      <c r="AX140" s="1640"/>
      <c r="AY140" s="1640"/>
      <c r="AZ140" s="1640"/>
      <c r="BA140" s="1641"/>
      <c r="BB140" s="1640"/>
      <c r="BC140" s="1640"/>
      <c r="BD140" s="1640"/>
      <c r="BE140" s="1644"/>
      <c r="BF140" s="1640"/>
      <c r="BG140" s="1640"/>
      <c r="BH140" s="1640"/>
      <c r="BI140" s="1641"/>
      <c r="BJ140" s="1640"/>
      <c r="BK140" s="1640"/>
      <c r="BL140" s="1640"/>
      <c r="BM140" s="1641"/>
      <c r="BN140" s="1640"/>
      <c r="BO140" s="1640"/>
      <c r="BP140" s="1640"/>
      <c r="BQ140" s="1641"/>
      <c r="BR140" s="1640"/>
      <c r="BS140" s="1640"/>
      <c r="BT140" s="1640"/>
      <c r="BU140" s="1641"/>
      <c r="BV140" s="1640"/>
      <c r="BW140" s="1640"/>
      <c r="BX140" s="1640"/>
      <c r="BY140" s="1641"/>
      <c r="BZ140" s="1640"/>
      <c r="CA140" s="1640"/>
      <c r="CB140" s="1640"/>
      <c r="CC140" s="1641"/>
      <c r="CD140" s="1640"/>
      <c r="CE140" s="1640"/>
      <c r="CF140" s="1640"/>
      <c r="CG140" s="1642"/>
      <c r="CH140" s="1643">
        <v>0</v>
      </c>
      <c r="CI140" s="1643">
        <v>0</v>
      </c>
      <c r="CJ140" s="1643">
        <v>0</v>
      </c>
      <c r="CK140" s="1643">
        <v>0</v>
      </c>
    </row>
    <row r="141" spans="1:108" ht="14" x14ac:dyDescent="0.15">
      <c r="A141" s="1688" t="s">
        <v>87</v>
      </c>
      <c r="B141" s="1689" t="s">
        <v>79</v>
      </c>
      <c r="C141" s="1689" t="s">
        <v>100</v>
      </c>
      <c r="D141" s="1689" t="s">
        <v>110</v>
      </c>
      <c r="E141" s="1690">
        <v>4279902</v>
      </c>
      <c r="F141" s="1689"/>
      <c r="G141" s="1667">
        <v>223</v>
      </c>
      <c r="H141" s="1501">
        <f>517.5-45.25</f>
        <v>472.25</v>
      </c>
      <c r="I141" s="1501"/>
      <c r="J141" s="1630"/>
      <c r="K141" s="1630"/>
      <c r="L141" s="1631"/>
      <c r="M141" s="1631"/>
      <c r="N141" s="1631"/>
      <c r="O141" s="1631"/>
      <c r="P141" s="1631"/>
      <c r="Q141" s="1631"/>
      <c r="R141" s="1631"/>
      <c r="S141" s="1631"/>
      <c r="T141" s="1632"/>
      <c r="U141" s="1633"/>
      <c r="V141" s="1633"/>
      <c r="W141" s="1634"/>
      <c r="X141" s="1634"/>
      <c r="Y141" s="1634"/>
      <c r="Z141" s="1635"/>
      <c r="AA141" s="1634"/>
      <c r="AB141" s="1634"/>
      <c r="AC141" s="1508">
        <f t="shared" si="107"/>
        <v>472.25</v>
      </c>
      <c r="AD141" s="1509">
        <f t="shared" si="108"/>
        <v>0</v>
      </c>
      <c r="AE141" s="1509">
        <f t="shared" si="109"/>
        <v>0</v>
      </c>
      <c r="AF141" s="1509">
        <f t="shared" si="109"/>
        <v>0</v>
      </c>
      <c r="AG141" s="1509">
        <f t="shared" si="109"/>
        <v>0</v>
      </c>
      <c r="AH141" s="1490">
        <f t="shared" si="94"/>
        <v>0</v>
      </c>
      <c r="AI141" s="1636">
        <f t="shared" si="110"/>
        <v>0</v>
      </c>
      <c r="AJ141" s="1636">
        <f t="shared" si="111"/>
        <v>0</v>
      </c>
      <c r="AK141" s="1636">
        <f t="shared" si="112"/>
        <v>0</v>
      </c>
      <c r="AL141" s="1636">
        <f t="shared" si="96"/>
        <v>0</v>
      </c>
      <c r="AM141" s="1636">
        <f t="shared" si="96"/>
        <v>0</v>
      </c>
      <c r="AN141" s="1637"/>
      <c r="AO141" s="1708">
        <v>43.1</v>
      </c>
      <c r="AP141" s="1638"/>
      <c r="AQ141" s="1638"/>
      <c r="AR141" s="1638"/>
      <c r="AS141" s="1639">
        <v>42.9</v>
      </c>
      <c r="AT141" s="1638"/>
      <c r="AU141" s="1638"/>
      <c r="AV141" s="1638"/>
      <c r="AW141" s="1639"/>
      <c r="AX141" s="1640"/>
      <c r="AY141" s="1640"/>
      <c r="AZ141" s="1640"/>
      <c r="BA141" s="1641"/>
      <c r="BB141" s="1640"/>
      <c r="BC141" s="1640"/>
      <c r="BD141" s="1640"/>
      <c r="BE141" s="1644">
        <v>84.5</v>
      </c>
      <c r="BF141" s="1640"/>
      <c r="BG141" s="1640"/>
      <c r="BH141" s="1640"/>
      <c r="BI141" s="1641">
        <v>42.25</v>
      </c>
      <c r="BJ141" s="1640"/>
      <c r="BK141" s="1640"/>
      <c r="BL141" s="1640"/>
      <c r="BM141" s="1641"/>
      <c r="BN141" s="1640"/>
      <c r="BO141" s="1640"/>
      <c r="BP141" s="1640"/>
      <c r="BQ141" s="1641">
        <v>42.25</v>
      </c>
      <c r="BR141" s="1640"/>
      <c r="BS141" s="1640"/>
      <c r="BT141" s="1640"/>
      <c r="BU141" s="1641">
        <v>99.2</v>
      </c>
      <c r="BV141" s="1640"/>
      <c r="BW141" s="1640"/>
      <c r="BX141" s="1640"/>
      <c r="BY141" s="1641">
        <v>90</v>
      </c>
      <c r="BZ141" s="1640"/>
      <c r="CA141" s="1640"/>
      <c r="CB141" s="1640"/>
      <c r="CC141" s="1641"/>
      <c r="CD141" s="1640"/>
      <c r="CE141" s="1640"/>
      <c r="CF141" s="1640"/>
      <c r="CG141" s="1642"/>
      <c r="CH141" s="1643">
        <v>28.05</v>
      </c>
      <c r="CI141" s="1643">
        <v>0</v>
      </c>
      <c r="CJ141" s="1643">
        <v>0</v>
      </c>
      <c r="CK141" s="1643">
        <v>0</v>
      </c>
      <c r="CO141" s="1558">
        <f>233/325.88</f>
        <v>0.71498711182030195</v>
      </c>
      <c r="CP141" s="489">
        <v>84.4</v>
      </c>
    </row>
    <row r="142" spans="1:108" ht="14" x14ac:dyDescent="0.15">
      <c r="A142" s="1688" t="s">
        <v>111</v>
      </c>
      <c r="B142" s="1689" t="s">
        <v>79</v>
      </c>
      <c r="C142" s="1689" t="s">
        <v>100</v>
      </c>
      <c r="D142" s="1689" t="s">
        <v>110</v>
      </c>
      <c r="E142" s="1690">
        <v>4279902</v>
      </c>
      <c r="F142" s="1689"/>
      <c r="G142" s="1667">
        <v>224</v>
      </c>
      <c r="H142" s="1501">
        <v>0</v>
      </c>
      <c r="I142" s="1501"/>
      <c r="J142" s="1630"/>
      <c r="K142" s="1630"/>
      <c r="L142" s="1631"/>
      <c r="M142" s="1631"/>
      <c r="N142" s="1631"/>
      <c r="O142" s="1631"/>
      <c r="P142" s="1631"/>
      <c r="Q142" s="1631"/>
      <c r="R142" s="1631"/>
      <c r="S142" s="1631"/>
      <c r="T142" s="1632"/>
      <c r="U142" s="1633"/>
      <c r="V142" s="1633"/>
      <c r="W142" s="1634"/>
      <c r="X142" s="1634"/>
      <c r="Y142" s="1634"/>
      <c r="Z142" s="1635"/>
      <c r="AA142" s="1634"/>
      <c r="AB142" s="1634"/>
      <c r="AC142" s="1508">
        <f t="shared" si="107"/>
        <v>0</v>
      </c>
      <c r="AD142" s="1509">
        <f t="shared" si="108"/>
        <v>0</v>
      </c>
      <c r="AE142" s="1509">
        <f t="shared" si="109"/>
        <v>0</v>
      </c>
      <c r="AF142" s="1509">
        <f t="shared" si="109"/>
        <v>0</v>
      </c>
      <c r="AG142" s="1509">
        <f t="shared" si="109"/>
        <v>0</v>
      </c>
      <c r="AH142" s="1490">
        <f t="shared" si="94"/>
        <v>0</v>
      </c>
      <c r="AI142" s="1636">
        <f t="shared" si="110"/>
        <v>0</v>
      </c>
      <c r="AJ142" s="1636">
        <f t="shared" si="111"/>
        <v>0</v>
      </c>
      <c r="AK142" s="1636">
        <f t="shared" si="112"/>
        <v>0</v>
      </c>
      <c r="AL142" s="1636">
        <f t="shared" si="96"/>
        <v>0</v>
      </c>
      <c r="AM142" s="1636">
        <f t="shared" si="96"/>
        <v>0</v>
      </c>
      <c r="AN142" s="1637"/>
      <c r="AO142" s="1708">
        <v>0</v>
      </c>
      <c r="AP142" s="1638"/>
      <c r="AQ142" s="1638"/>
      <c r="AR142" s="1638"/>
      <c r="AS142" s="1639"/>
      <c r="AT142" s="1638"/>
      <c r="AU142" s="1638"/>
      <c r="AV142" s="1638"/>
      <c r="AW142" s="1639"/>
      <c r="AX142" s="1640"/>
      <c r="AY142" s="1640"/>
      <c r="AZ142" s="1640"/>
      <c r="BA142" s="1641"/>
      <c r="BB142" s="1640"/>
      <c r="BC142" s="1640"/>
      <c r="BD142" s="1640"/>
      <c r="BE142" s="1644"/>
      <c r="BF142" s="1640"/>
      <c r="BG142" s="1640"/>
      <c r="BH142" s="1640"/>
      <c r="BI142" s="1641"/>
      <c r="BJ142" s="1640"/>
      <c r="BK142" s="1640"/>
      <c r="BL142" s="1640"/>
      <c r="BM142" s="1641"/>
      <c r="BN142" s="1640"/>
      <c r="BO142" s="1640"/>
      <c r="BP142" s="1640"/>
      <c r="BQ142" s="1641"/>
      <c r="BR142" s="1640"/>
      <c r="BS142" s="1640"/>
      <c r="BT142" s="1640"/>
      <c r="BU142" s="1641"/>
      <c r="BV142" s="1640"/>
      <c r="BW142" s="1640"/>
      <c r="BX142" s="1640"/>
      <c r="BY142" s="1641"/>
      <c r="BZ142" s="1640"/>
      <c r="CA142" s="1640"/>
      <c r="CB142" s="1640"/>
      <c r="CC142" s="1641"/>
      <c r="CD142" s="1640"/>
      <c r="CE142" s="1640"/>
      <c r="CF142" s="1640"/>
      <c r="CG142" s="1642"/>
      <c r="CH142" s="1643">
        <v>0</v>
      </c>
      <c r="CI142" s="1643">
        <v>0</v>
      </c>
      <c r="CJ142" s="1643">
        <v>0</v>
      </c>
      <c r="CK142" s="1643">
        <v>0</v>
      </c>
    </row>
    <row r="143" spans="1:108" ht="14" x14ac:dyDescent="0.15">
      <c r="A143" s="1688" t="s">
        <v>90</v>
      </c>
      <c r="B143" s="1689" t="s">
        <v>79</v>
      </c>
      <c r="C143" s="1689" t="s">
        <v>100</v>
      </c>
      <c r="D143" s="1689" t="s">
        <v>110</v>
      </c>
      <c r="E143" s="1690">
        <v>4279902</v>
      </c>
      <c r="F143" s="1689"/>
      <c r="G143" s="1667">
        <v>225</v>
      </c>
      <c r="H143" s="1501">
        <f>2324.2-U143</f>
        <v>2268</v>
      </c>
      <c r="I143" s="1501"/>
      <c r="J143" s="1630">
        <f>594.92-V143</f>
        <v>499.91999999999996</v>
      </c>
      <c r="K143" s="1630"/>
      <c r="L143" s="1631"/>
      <c r="M143" s="1631"/>
      <c r="N143" s="1631"/>
      <c r="O143" s="1631"/>
      <c r="P143" s="1631"/>
      <c r="Q143" s="1631"/>
      <c r="R143" s="1631"/>
      <c r="S143" s="1631"/>
      <c r="T143" s="1632"/>
      <c r="U143" s="1633">
        <v>56.2</v>
      </c>
      <c r="V143" s="1633">
        <v>95</v>
      </c>
      <c r="W143" s="1634"/>
      <c r="X143" s="1634"/>
      <c r="Y143" s="1634"/>
      <c r="Z143" s="1635"/>
      <c r="AA143" s="1634"/>
      <c r="AB143" s="1634"/>
      <c r="AC143" s="1508">
        <f t="shared" si="107"/>
        <v>2268</v>
      </c>
      <c r="AD143" s="1509">
        <f t="shared" si="108"/>
        <v>499.92</v>
      </c>
      <c r="AE143" s="1509">
        <f t="shared" si="109"/>
        <v>0</v>
      </c>
      <c r="AF143" s="1509">
        <f t="shared" si="109"/>
        <v>499.92</v>
      </c>
      <c r="AG143" s="1509">
        <f t="shared" si="109"/>
        <v>0</v>
      </c>
      <c r="AH143" s="1490">
        <f t="shared" si="94"/>
        <v>0</v>
      </c>
      <c r="AI143" s="1636">
        <f t="shared" si="110"/>
        <v>0</v>
      </c>
      <c r="AJ143" s="1636">
        <f t="shared" si="111"/>
        <v>0</v>
      </c>
      <c r="AK143" s="1636">
        <f t="shared" si="112"/>
        <v>0</v>
      </c>
      <c r="AL143" s="1636">
        <f t="shared" si="96"/>
        <v>0</v>
      </c>
      <c r="AM143" s="1636">
        <f t="shared" si="96"/>
        <v>0</v>
      </c>
      <c r="AN143" s="1637"/>
      <c r="AO143" s="1710"/>
      <c r="AP143" s="1638"/>
      <c r="AQ143" s="1638"/>
      <c r="AR143" s="1638"/>
      <c r="AS143" s="1639"/>
      <c r="AT143" s="1638"/>
      <c r="AU143" s="1638"/>
      <c r="AV143" s="1638"/>
      <c r="AW143" s="1639"/>
      <c r="AX143" s="1640"/>
      <c r="AY143" s="1640"/>
      <c r="AZ143" s="1640"/>
      <c r="BA143" s="1641"/>
      <c r="BB143" s="1640"/>
      <c r="BC143" s="1640"/>
      <c r="BD143" s="1640"/>
      <c r="BE143" s="1644"/>
      <c r="BF143" s="1640"/>
      <c r="BG143" s="1640"/>
      <c r="BH143" s="1640"/>
      <c r="BI143" s="1641">
        <v>2218</v>
      </c>
      <c r="BJ143" s="1640"/>
      <c r="BK143" s="1640"/>
      <c r="BL143" s="1640"/>
      <c r="BM143" s="1641"/>
      <c r="BN143" s="1640"/>
      <c r="BO143" s="1640"/>
      <c r="BP143" s="1640"/>
      <c r="BQ143" s="1641">
        <v>50</v>
      </c>
      <c r="BR143" s="1640"/>
      <c r="BS143" s="1640"/>
      <c r="BT143" s="1640"/>
      <c r="BU143" s="1641"/>
      <c r="BV143" s="1640"/>
      <c r="BW143" s="1640">
        <v>300</v>
      </c>
      <c r="BX143" s="1640"/>
      <c r="BY143" s="1641"/>
      <c r="BZ143" s="1640"/>
      <c r="CA143" s="1640">
        <v>100</v>
      </c>
      <c r="CB143" s="1640"/>
      <c r="CC143" s="1641"/>
      <c r="CD143" s="1640"/>
      <c r="CE143" s="1640"/>
      <c r="CF143" s="1640"/>
      <c r="CG143" s="1642"/>
      <c r="CH143" s="1643">
        <v>0</v>
      </c>
      <c r="CI143" s="1643">
        <v>0</v>
      </c>
      <c r="CJ143" s="1643">
        <v>99.92</v>
      </c>
      <c r="CK143" s="1643">
        <v>0</v>
      </c>
    </row>
    <row r="144" spans="1:108" ht="14" x14ac:dyDescent="0.15">
      <c r="A144" s="1688" t="s">
        <v>91</v>
      </c>
      <c r="B144" s="1689" t="s">
        <v>79</v>
      </c>
      <c r="C144" s="1689" t="s">
        <v>100</v>
      </c>
      <c r="D144" s="1689" t="s">
        <v>110</v>
      </c>
      <c r="E144" s="1690">
        <v>4279902</v>
      </c>
      <c r="F144" s="1689"/>
      <c r="G144" s="1667">
        <v>226</v>
      </c>
      <c r="H144" s="1501">
        <f>61.7-U144</f>
        <v>48.400000000000006</v>
      </c>
      <c r="I144" s="1501"/>
      <c r="J144" s="1630"/>
      <c r="K144" s="1630"/>
      <c r="L144" s="1631"/>
      <c r="M144" s="1631"/>
      <c r="N144" s="1631"/>
      <c r="O144" s="1631"/>
      <c r="P144" s="1631"/>
      <c r="Q144" s="1631"/>
      <c r="R144" s="1631"/>
      <c r="S144" s="1631">
        <v>697</v>
      </c>
      <c r="T144" s="1632"/>
      <c r="U144" s="1633">
        <v>13.3</v>
      </c>
      <c r="V144" s="1633"/>
      <c r="W144" s="1634"/>
      <c r="X144" s="1634"/>
      <c r="Y144" s="1634"/>
      <c r="Z144" s="1635"/>
      <c r="AA144" s="1634"/>
      <c r="AB144" s="1634"/>
      <c r="AC144" s="1508">
        <f t="shared" si="107"/>
        <v>48.4</v>
      </c>
      <c r="AD144" s="1509">
        <f t="shared" si="108"/>
        <v>0</v>
      </c>
      <c r="AE144" s="1509">
        <f t="shared" si="109"/>
        <v>0</v>
      </c>
      <c r="AF144" s="1509">
        <f t="shared" si="109"/>
        <v>0</v>
      </c>
      <c r="AG144" s="1509">
        <f t="shared" si="109"/>
        <v>0</v>
      </c>
      <c r="AH144" s="1490">
        <f t="shared" si="94"/>
        <v>0</v>
      </c>
      <c r="AI144" s="1636">
        <f t="shared" si="110"/>
        <v>0</v>
      </c>
      <c r="AJ144" s="1636">
        <f t="shared" si="111"/>
        <v>0</v>
      </c>
      <c r="AK144" s="1636">
        <f t="shared" si="112"/>
        <v>0</v>
      </c>
      <c r="AL144" s="1636">
        <f t="shared" si="96"/>
        <v>0</v>
      </c>
      <c r="AM144" s="1636">
        <f t="shared" si="96"/>
        <v>0</v>
      </c>
      <c r="AN144" s="1637"/>
      <c r="AO144" s="1710"/>
      <c r="AP144" s="1638"/>
      <c r="AQ144" s="1638"/>
      <c r="AR144" s="1638"/>
      <c r="AS144" s="1639"/>
      <c r="AT144" s="1638"/>
      <c r="AU144" s="1638"/>
      <c r="AV144" s="1638"/>
      <c r="AW144" s="1639"/>
      <c r="AX144" s="1640"/>
      <c r="AY144" s="1640"/>
      <c r="AZ144" s="1640"/>
      <c r="BA144" s="1641"/>
      <c r="BB144" s="1640"/>
      <c r="BC144" s="1640"/>
      <c r="BD144" s="1640"/>
      <c r="BE144" s="1644"/>
      <c r="BF144" s="1640"/>
      <c r="BG144" s="1640"/>
      <c r="BH144" s="1640"/>
      <c r="BI144" s="1641"/>
      <c r="BJ144" s="1640"/>
      <c r="BK144" s="1640"/>
      <c r="BL144" s="1640"/>
      <c r="BM144" s="1641"/>
      <c r="BN144" s="1640"/>
      <c r="BO144" s="1640"/>
      <c r="BP144" s="1640"/>
      <c r="BQ144" s="1641">
        <v>35.049999999999997</v>
      </c>
      <c r="BR144" s="1640"/>
      <c r="BS144" s="1640"/>
      <c r="BT144" s="1640"/>
      <c r="BU144" s="1641">
        <v>13.35</v>
      </c>
      <c r="BV144" s="1640"/>
      <c r="BW144" s="1640"/>
      <c r="BX144" s="1640"/>
      <c r="BY144" s="1641"/>
      <c r="BZ144" s="1640"/>
      <c r="CA144" s="1640"/>
      <c r="CB144" s="1640"/>
      <c r="CC144" s="1641"/>
      <c r="CD144" s="1640"/>
      <c r="CE144" s="1640"/>
      <c r="CF144" s="1640"/>
      <c r="CG144" s="1642"/>
      <c r="CH144" s="1643">
        <v>0</v>
      </c>
      <c r="CI144" s="1643">
        <v>0</v>
      </c>
      <c r="CJ144" s="1643">
        <v>0</v>
      </c>
      <c r="CK144" s="1643">
        <v>0</v>
      </c>
    </row>
    <row r="145" spans="1:108" ht="14" x14ac:dyDescent="0.15">
      <c r="A145" s="1688" t="s">
        <v>94</v>
      </c>
      <c r="B145" s="1689" t="s">
        <v>79</v>
      </c>
      <c r="C145" s="1689" t="s">
        <v>100</v>
      </c>
      <c r="D145" s="1689" t="s">
        <v>110</v>
      </c>
      <c r="E145" s="1690">
        <v>4279902</v>
      </c>
      <c r="F145" s="1689"/>
      <c r="G145" s="1667">
        <v>290</v>
      </c>
      <c r="H145" s="1501">
        <f>1933.7</f>
        <v>1933.7</v>
      </c>
      <c r="I145" s="1501"/>
      <c r="J145" s="1630"/>
      <c r="K145" s="1630"/>
      <c r="L145" s="1631"/>
      <c r="M145" s="1631"/>
      <c r="N145" s="1631"/>
      <c r="O145" s="1631"/>
      <c r="P145" s="1631"/>
      <c r="Q145" s="1631"/>
      <c r="R145" s="1631"/>
      <c r="S145" s="1631"/>
      <c r="T145" s="1632"/>
      <c r="U145" s="1633"/>
      <c r="V145" s="1633"/>
      <c r="W145" s="1634"/>
      <c r="X145" s="1634"/>
      <c r="Y145" s="1634"/>
      <c r="Z145" s="1635"/>
      <c r="AA145" s="1634"/>
      <c r="AB145" s="1634"/>
      <c r="AC145" s="1508">
        <f t="shared" si="107"/>
        <v>1933.6999999999998</v>
      </c>
      <c r="AD145" s="1509">
        <f t="shared" si="108"/>
        <v>0</v>
      </c>
      <c r="AE145" s="1509">
        <f t="shared" si="109"/>
        <v>0</v>
      </c>
      <c r="AF145" s="1509">
        <f t="shared" si="109"/>
        <v>0</v>
      </c>
      <c r="AG145" s="1509">
        <f t="shared" si="109"/>
        <v>0</v>
      </c>
      <c r="AH145" s="1490">
        <f t="shared" si="94"/>
        <v>0</v>
      </c>
      <c r="AI145" s="1636">
        <f t="shared" si="110"/>
        <v>0</v>
      </c>
      <c r="AJ145" s="1636">
        <f t="shared" si="111"/>
        <v>0</v>
      </c>
      <c r="AK145" s="1636">
        <f t="shared" si="112"/>
        <v>0</v>
      </c>
      <c r="AL145" s="1636">
        <f t="shared" si="96"/>
        <v>0</v>
      </c>
      <c r="AM145" s="1636">
        <f t="shared" si="96"/>
        <v>0</v>
      </c>
      <c r="AN145" s="1637"/>
      <c r="AO145" s="1708">
        <v>161.1</v>
      </c>
      <c r="AP145" s="1638"/>
      <c r="AQ145" s="1638"/>
      <c r="AR145" s="1638"/>
      <c r="AS145" s="1639">
        <v>161.1</v>
      </c>
      <c r="AT145" s="1638"/>
      <c r="AU145" s="1638"/>
      <c r="AV145" s="1638"/>
      <c r="AW145" s="1639">
        <v>162</v>
      </c>
      <c r="AX145" s="1640"/>
      <c r="AY145" s="1640"/>
      <c r="AZ145" s="1640"/>
      <c r="BA145" s="1641">
        <v>162</v>
      </c>
      <c r="BB145" s="1640"/>
      <c r="BC145" s="1640"/>
      <c r="BD145" s="1640"/>
      <c r="BE145" s="1644">
        <v>142</v>
      </c>
      <c r="BF145" s="1640"/>
      <c r="BG145" s="1640"/>
      <c r="BH145" s="1640"/>
      <c r="BI145" s="1641">
        <v>162</v>
      </c>
      <c r="BJ145" s="1640"/>
      <c r="BK145" s="1640"/>
      <c r="BL145" s="1640"/>
      <c r="BM145" s="1641"/>
      <c r="BN145" s="1640"/>
      <c r="BO145" s="1640"/>
      <c r="BP145" s="1640"/>
      <c r="BQ145" s="1641">
        <v>161.1</v>
      </c>
      <c r="BR145" s="1640"/>
      <c r="BS145" s="1640"/>
      <c r="BT145" s="1640"/>
      <c r="BU145" s="1641">
        <v>307.5</v>
      </c>
      <c r="BV145" s="1640"/>
      <c r="BW145" s="1640"/>
      <c r="BX145" s="1640"/>
      <c r="BY145" s="1641"/>
      <c r="BZ145" s="1640"/>
      <c r="CA145" s="1640"/>
      <c r="CB145" s="1640"/>
      <c r="CC145" s="1641"/>
      <c r="CD145" s="1640"/>
      <c r="CE145" s="1640"/>
      <c r="CF145" s="1640"/>
      <c r="CG145" s="1642"/>
      <c r="CH145" s="1643">
        <f>358.9+156</f>
        <v>514.9</v>
      </c>
      <c r="CI145" s="1643">
        <v>0</v>
      </c>
      <c r="CJ145" s="1643">
        <v>0</v>
      </c>
      <c r="CK145" s="1643">
        <v>0</v>
      </c>
    </row>
    <row r="146" spans="1:108" ht="14" x14ac:dyDescent="0.15">
      <c r="A146" s="1688" t="s">
        <v>94</v>
      </c>
      <c r="B146" s="1689" t="s">
        <v>79</v>
      </c>
      <c r="C146" s="1689" t="s">
        <v>100</v>
      </c>
      <c r="D146" s="1689" t="s">
        <v>110</v>
      </c>
      <c r="E146" s="1690">
        <v>4279902</v>
      </c>
      <c r="F146" s="1689"/>
      <c r="G146" s="1667" t="s">
        <v>95</v>
      </c>
      <c r="H146" s="1501">
        <f>493.7-86.53</f>
        <v>407.16999999999996</v>
      </c>
      <c r="I146" s="1501"/>
      <c r="J146" s="1630"/>
      <c r="K146" s="1630"/>
      <c r="L146" s="1631"/>
      <c r="M146" s="1631"/>
      <c r="N146" s="1631"/>
      <c r="O146" s="1631"/>
      <c r="P146" s="1631"/>
      <c r="Q146" s="1631"/>
      <c r="R146" s="1631"/>
      <c r="S146" s="1631"/>
      <c r="T146" s="1632"/>
      <c r="U146" s="1711">
        <v>200</v>
      </c>
      <c r="V146" s="1711"/>
      <c r="W146" s="1634"/>
      <c r="X146" s="1634"/>
      <c r="Y146" s="1634"/>
      <c r="Z146" s="1635"/>
      <c r="AA146" s="1634"/>
      <c r="AB146" s="1634"/>
      <c r="AC146" s="1508">
        <f t="shared" si="107"/>
        <v>407.16999999999996</v>
      </c>
      <c r="AD146" s="1509">
        <f t="shared" si="108"/>
        <v>0</v>
      </c>
      <c r="AE146" s="1509">
        <f t="shared" si="109"/>
        <v>0</v>
      </c>
      <c r="AF146" s="1509">
        <f t="shared" si="109"/>
        <v>0</v>
      </c>
      <c r="AG146" s="1509">
        <f t="shared" si="109"/>
        <v>0</v>
      </c>
      <c r="AH146" s="1490">
        <f t="shared" si="94"/>
        <v>0</v>
      </c>
      <c r="AI146" s="1636">
        <f t="shared" si="110"/>
        <v>0</v>
      </c>
      <c r="AJ146" s="1636">
        <f t="shared" si="111"/>
        <v>0</v>
      </c>
      <c r="AK146" s="1636">
        <f t="shared" si="112"/>
        <v>0</v>
      </c>
      <c r="AL146" s="1636">
        <f t="shared" si="96"/>
        <v>0</v>
      </c>
      <c r="AM146" s="1636">
        <f t="shared" si="96"/>
        <v>0</v>
      </c>
      <c r="AN146" s="1637"/>
      <c r="AO146" s="1708">
        <v>41.1</v>
      </c>
      <c r="AP146" s="1638"/>
      <c r="AQ146" s="1638"/>
      <c r="AR146" s="1638"/>
      <c r="AS146" s="1639"/>
      <c r="AT146" s="1638"/>
      <c r="AU146" s="1638"/>
      <c r="AV146" s="1638"/>
      <c r="AW146" s="1639"/>
      <c r="AX146" s="1640"/>
      <c r="AY146" s="1640"/>
      <c r="AZ146" s="1640"/>
      <c r="BA146" s="1641"/>
      <c r="BB146" s="1640"/>
      <c r="BC146" s="1640"/>
      <c r="BD146" s="1640"/>
      <c r="BE146" s="1644">
        <v>94.6</v>
      </c>
      <c r="BF146" s="1640"/>
      <c r="BG146" s="1640"/>
      <c r="BH146" s="1640"/>
      <c r="BI146" s="1641"/>
      <c r="BJ146" s="1640"/>
      <c r="BK146" s="1640"/>
      <c r="BL146" s="1640"/>
      <c r="BM146" s="1641"/>
      <c r="BN146" s="1640"/>
      <c r="BO146" s="1640"/>
      <c r="BP146" s="1640"/>
      <c r="BQ146" s="1641"/>
      <c r="BR146" s="1640"/>
      <c r="BS146" s="1640"/>
      <c r="BT146" s="1640"/>
      <c r="BU146" s="1641">
        <v>169.5</v>
      </c>
      <c r="BV146" s="1640"/>
      <c r="BW146" s="1640"/>
      <c r="BX146" s="1640"/>
      <c r="BY146" s="1641"/>
      <c r="BZ146" s="1640"/>
      <c r="CA146" s="1640"/>
      <c r="CB146" s="1640"/>
      <c r="CC146" s="1641"/>
      <c r="CD146" s="1640"/>
      <c r="CE146" s="1640"/>
      <c r="CF146" s="1640"/>
      <c r="CG146" s="1642"/>
      <c r="CH146" s="1643">
        <v>101.97</v>
      </c>
      <c r="CI146" s="1643">
        <v>0</v>
      </c>
      <c r="CJ146" s="1643">
        <v>0</v>
      </c>
      <c r="CK146" s="1643">
        <v>0</v>
      </c>
    </row>
    <row r="147" spans="1:108" ht="14.25" customHeight="1" x14ac:dyDescent="0.15">
      <c r="A147" s="1688" t="s">
        <v>96</v>
      </c>
      <c r="B147" s="1689" t="s">
        <v>79</v>
      </c>
      <c r="C147" s="1689" t="s">
        <v>100</v>
      </c>
      <c r="D147" s="1689" t="s">
        <v>110</v>
      </c>
      <c r="E147" s="1690">
        <v>4279902</v>
      </c>
      <c r="F147" s="1689"/>
      <c r="G147" s="1667">
        <v>310</v>
      </c>
      <c r="H147" s="1501">
        <f>243-U147</f>
        <v>0</v>
      </c>
      <c r="I147" s="1501"/>
      <c r="J147" s="1630">
        <f>10-V147</f>
        <v>0</v>
      </c>
      <c r="K147" s="1630">
        <f>200-U146</f>
        <v>0</v>
      </c>
      <c r="L147" s="1631"/>
      <c r="M147" s="1631"/>
      <c r="N147" s="1631"/>
      <c r="O147" s="1631"/>
      <c r="P147" s="1631"/>
      <c r="Q147" s="1631"/>
      <c r="R147" s="1631"/>
      <c r="S147" s="1631"/>
      <c r="T147" s="1632"/>
      <c r="U147" s="1633">
        <v>243</v>
      </c>
      <c r="V147" s="1633">
        <v>10</v>
      </c>
      <c r="W147" s="1634"/>
      <c r="X147" s="1634"/>
      <c r="Y147" s="1634"/>
      <c r="Z147" s="1635"/>
      <c r="AA147" s="1634"/>
      <c r="AB147" s="1634"/>
      <c r="AC147" s="1508">
        <f t="shared" si="107"/>
        <v>0</v>
      </c>
      <c r="AD147" s="1509">
        <f t="shared" si="108"/>
        <v>0</v>
      </c>
      <c r="AE147" s="1509">
        <f t="shared" si="109"/>
        <v>0</v>
      </c>
      <c r="AF147" s="1509">
        <f t="shared" si="109"/>
        <v>0</v>
      </c>
      <c r="AG147" s="1509">
        <f t="shared" si="109"/>
        <v>0</v>
      </c>
      <c r="AH147" s="1490">
        <f t="shared" si="94"/>
        <v>0</v>
      </c>
      <c r="AI147" s="1636">
        <f t="shared" si="110"/>
        <v>0</v>
      </c>
      <c r="AJ147" s="1636">
        <f t="shared" si="111"/>
        <v>0</v>
      </c>
      <c r="AK147" s="1636">
        <f t="shared" si="112"/>
        <v>0</v>
      </c>
      <c r="AL147" s="1636">
        <f t="shared" si="96"/>
        <v>0</v>
      </c>
      <c r="AM147" s="1636">
        <f t="shared" si="96"/>
        <v>0</v>
      </c>
      <c r="AN147" s="1637"/>
      <c r="AO147" s="1710"/>
      <c r="AP147" s="1638"/>
      <c r="AQ147" s="1638"/>
      <c r="AR147" s="1638"/>
      <c r="AS147" s="1639"/>
      <c r="AT147" s="1638"/>
      <c r="AU147" s="1638"/>
      <c r="AV147" s="1638"/>
      <c r="AW147" s="1639"/>
      <c r="AX147" s="1640"/>
      <c r="AY147" s="1640"/>
      <c r="AZ147" s="1640"/>
      <c r="BA147" s="1641"/>
      <c r="BB147" s="1640"/>
      <c r="BC147" s="1640"/>
      <c r="BD147" s="1640"/>
      <c r="BE147" s="1644"/>
      <c r="BF147" s="1640"/>
      <c r="BG147" s="1640"/>
      <c r="BH147" s="1640"/>
      <c r="BI147" s="1641"/>
      <c r="BJ147" s="1640"/>
      <c r="BK147" s="1640"/>
      <c r="BL147" s="1640"/>
      <c r="BM147" s="1641"/>
      <c r="BN147" s="1640"/>
      <c r="BO147" s="1640"/>
      <c r="BP147" s="1640"/>
      <c r="BQ147" s="1641"/>
      <c r="BR147" s="1640"/>
      <c r="BS147" s="1640"/>
      <c r="BT147" s="1640"/>
      <c r="BU147" s="1641"/>
      <c r="BV147" s="1640"/>
      <c r="BW147" s="1640"/>
      <c r="BX147" s="1640"/>
      <c r="BY147" s="1641"/>
      <c r="BZ147" s="1640"/>
      <c r="CA147" s="1640"/>
      <c r="CB147" s="1640"/>
      <c r="CC147" s="1641"/>
      <c r="CD147" s="1640"/>
      <c r="CE147" s="1640"/>
      <c r="CF147" s="1640"/>
      <c r="CG147" s="1642"/>
      <c r="CH147" s="1643">
        <v>0</v>
      </c>
      <c r="CI147" s="1643">
        <v>0</v>
      </c>
      <c r="CJ147" s="1643">
        <v>0</v>
      </c>
      <c r="CK147" s="1643">
        <v>0</v>
      </c>
    </row>
    <row r="148" spans="1:108" ht="14" x14ac:dyDescent="0.15">
      <c r="A148" s="1688" t="s">
        <v>97</v>
      </c>
      <c r="B148" s="1689" t="s">
        <v>79</v>
      </c>
      <c r="C148" s="1689" t="s">
        <v>100</v>
      </c>
      <c r="D148" s="1689" t="s">
        <v>110</v>
      </c>
      <c r="E148" s="1690">
        <v>4279902</v>
      </c>
      <c r="F148" s="1689"/>
      <c r="G148" s="1667">
        <v>340</v>
      </c>
      <c r="H148" s="1501">
        <f>100-U148</f>
        <v>12.5</v>
      </c>
      <c r="I148" s="1501"/>
      <c r="J148" s="1630"/>
      <c r="K148" s="1630"/>
      <c r="L148" s="1631"/>
      <c r="M148" s="1631"/>
      <c r="N148" s="1631"/>
      <c r="O148" s="1631"/>
      <c r="P148" s="1631"/>
      <c r="Q148" s="1631"/>
      <c r="R148" s="1631"/>
      <c r="S148" s="1631"/>
      <c r="T148" s="1632"/>
      <c r="U148" s="1633">
        <v>87.5</v>
      </c>
      <c r="V148" s="1633"/>
      <c r="W148" s="1634"/>
      <c r="X148" s="1634"/>
      <c r="Y148" s="1634"/>
      <c r="Z148" s="1635"/>
      <c r="AA148" s="1634"/>
      <c r="AB148" s="1634"/>
      <c r="AC148" s="1508">
        <f t="shared" si="107"/>
        <v>12.5</v>
      </c>
      <c r="AD148" s="1509">
        <f t="shared" si="108"/>
        <v>0</v>
      </c>
      <c r="AE148" s="1509">
        <f t="shared" si="109"/>
        <v>0</v>
      </c>
      <c r="AF148" s="1509">
        <f t="shared" si="109"/>
        <v>0</v>
      </c>
      <c r="AG148" s="1509">
        <f t="shared" si="109"/>
        <v>0</v>
      </c>
      <c r="AH148" s="1490">
        <f t="shared" si="94"/>
        <v>0</v>
      </c>
      <c r="AI148" s="1636">
        <f t="shared" si="110"/>
        <v>0</v>
      </c>
      <c r="AJ148" s="1636">
        <f t="shared" si="111"/>
        <v>0</v>
      </c>
      <c r="AK148" s="1636">
        <f t="shared" si="112"/>
        <v>0</v>
      </c>
      <c r="AL148" s="1636">
        <f t="shared" si="96"/>
        <v>0</v>
      </c>
      <c r="AM148" s="1636">
        <f t="shared" si="96"/>
        <v>0</v>
      </c>
      <c r="AN148" s="1637"/>
      <c r="AO148" s="1708">
        <f>4.2+8.3</f>
        <v>12.5</v>
      </c>
      <c r="AP148" s="1638"/>
      <c r="AQ148" s="1638"/>
      <c r="AR148" s="1638"/>
      <c r="AS148" s="1639"/>
      <c r="AT148" s="1638"/>
      <c r="AU148" s="1638"/>
      <c r="AV148" s="1638"/>
      <c r="AW148" s="1639"/>
      <c r="AX148" s="1640"/>
      <c r="AY148" s="1640"/>
      <c r="AZ148" s="1640"/>
      <c r="BA148" s="1641"/>
      <c r="BB148" s="1640"/>
      <c r="BC148" s="1640"/>
      <c r="BD148" s="1640"/>
      <c r="BE148" s="1644"/>
      <c r="BF148" s="1640"/>
      <c r="BG148" s="1640"/>
      <c r="BH148" s="1640"/>
      <c r="BI148" s="1641"/>
      <c r="BJ148" s="1640"/>
      <c r="BK148" s="1640"/>
      <c r="BL148" s="1640"/>
      <c r="BM148" s="1641"/>
      <c r="BN148" s="1640"/>
      <c r="BO148" s="1640"/>
      <c r="BP148" s="1640"/>
      <c r="BQ148" s="1641"/>
      <c r="BR148" s="1640"/>
      <c r="BS148" s="1640"/>
      <c r="BT148" s="1640"/>
      <c r="BU148" s="1641"/>
      <c r="BV148" s="1640"/>
      <c r="BW148" s="1640"/>
      <c r="BX148" s="1640"/>
      <c r="BY148" s="1641"/>
      <c r="BZ148" s="1640"/>
      <c r="CA148" s="1640"/>
      <c r="CB148" s="1640"/>
      <c r="CC148" s="1641"/>
      <c r="CD148" s="1640"/>
      <c r="CE148" s="1640"/>
      <c r="CF148" s="1640"/>
      <c r="CG148" s="1642"/>
      <c r="CH148" s="1643">
        <v>0</v>
      </c>
      <c r="CI148" s="1643">
        <v>0</v>
      </c>
      <c r="CJ148" s="1643">
        <v>0</v>
      </c>
      <c r="CK148" s="1643">
        <v>0</v>
      </c>
    </row>
    <row r="149" spans="1:108" ht="14" x14ac:dyDescent="0.15">
      <c r="A149" s="1528" t="s">
        <v>767</v>
      </c>
      <c r="B149" s="1530" t="s">
        <v>79</v>
      </c>
      <c r="C149" s="1530" t="s">
        <v>100</v>
      </c>
      <c r="D149" s="1530" t="s">
        <v>110</v>
      </c>
      <c r="E149" s="1530" t="s">
        <v>224</v>
      </c>
      <c r="F149" s="1530" t="s">
        <v>768</v>
      </c>
      <c r="G149" s="1600" t="s">
        <v>766</v>
      </c>
      <c r="H149" s="1647">
        <f>I135</f>
        <v>0</v>
      </c>
      <c r="I149" s="1645"/>
      <c r="J149" s="1630"/>
      <c r="K149" s="1630"/>
      <c r="L149" s="1631"/>
      <c r="M149" s="1631"/>
      <c r="N149" s="1631"/>
      <c r="O149" s="1631"/>
      <c r="P149" s="1631"/>
      <c r="Q149" s="1631"/>
      <c r="R149" s="1631"/>
      <c r="S149" s="1631"/>
      <c r="T149" s="1632"/>
      <c r="U149" s="1633"/>
      <c r="V149" s="1633"/>
      <c r="W149" s="1634"/>
      <c r="X149" s="1634"/>
      <c r="Y149" s="1634"/>
      <c r="Z149" s="1635"/>
      <c r="AA149" s="1634"/>
      <c r="AB149" s="1634"/>
      <c r="AC149" s="1508">
        <f t="shared" si="107"/>
        <v>0</v>
      </c>
      <c r="AD149" s="1509">
        <f t="shared" si="108"/>
        <v>0</v>
      </c>
      <c r="AE149" s="1509"/>
      <c r="AF149" s="1509"/>
      <c r="AG149" s="1509"/>
      <c r="AH149" s="1490">
        <f t="shared" si="94"/>
        <v>0</v>
      </c>
      <c r="AI149" s="1636"/>
      <c r="AJ149" s="1636"/>
      <c r="AK149" s="1636"/>
      <c r="AL149" s="1636">
        <f t="shared" ref="AL149:AM180" si="113">J149-AF149</f>
        <v>0</v>
      </c>
      <c r="AM149" s="1636"/>
      <c r="AN149" s="1712"/>
      <c r="AO149" s="1713"/>
      <c r="AP149" s="1638"/>
      <c r="AQ149" s="1638"/>
      <c r="AR149" s="1638"/>
      <c r="AS149" s="1639"/>
      <c r="AT149" s="1638"/>
      <c r="AU149" s="1638"/>
      <c r="AV149" s="1638"/>
      <c r="AW149" s="1639"/>
      <c r="AX149" s="1640"/>
      <c r="AY149" s="1640"/>
      <c r="AZ149" s="1640"/>
      <c r="BA149" s="1641"/>
      <c r="BB149" s="1640"/>
      <c r="BC149" s="1640"/>
      <c r="BD149" s="1640"/>
      <c r="BE149" s="1644"/>
      <c r="BF149" s="1640"/>
      <c r="BG149" s="1640"/>
      <c r="BH149" s="1640"/>
      <c r="BI149" s="1641"/>
      <c r="BJ149" s="1640"/>
      <c r="BK149" s="1640"/>
      <c r="BL149" s="1640"/>
      <c r="BM149" s="1641"/>
      <c r="BN149" s="1640"/>
      <c r="BO149" s="1640"/>
      <c r="BP149" s="1640"/>
      <c r="BQ149" s="1641"/>
      <c r="BR149" s="1640"/>
      <c r="BS149" s="1640"/>
      <c r="BT149" s="1640"/>
      <c r="BU149" s="1641"/>
      <c r="BV149" s="1640"/>
      <c r="BW149" s="1640"/>
      <c r="BX149" s="1640"/>
      <c r="BY149" s="1641"/>
      <c r="BZ149" s="1640"/>
      <c r="CA149" s="1640"/>
      <c r="CB149" s="1640"/>
      <c r="CC149" s="1641"/>
      <c r="CD149" s="1640"/>
      <c r="CE149" s="1640"/>
      <c r="CF149" s="1640"/>
      <c r="CG149" s="1642"/>
      <c r="CH149" s="1648"/>
      <c r="CI149" s="1648"/>
      <c r="CJ149" s="1643">
        <v>0</v>
      </c>
      <c r="CK149" s="1648"/>
    </row>
    <row r="150" spans="1:108" ht="48" customHeight="1" x14ac:dyDescent="0.15">
      <c r="A150" s="1692" t="s">
        <v>1253</v>
      </c>
      <c r="B150" s="1577" t="s">
        <v>79</v>
      </c>
      <c r="C150" s="1577" t="s">
        <v>100</v>
      </c>
      <c r="D150" s="1577" t="s">
        <v>110</v>
      </c>
      <c r="E150" s="1693">
        <v>4279902</v>
      </c>
      <c r="F150" s="1605">
        <v>600</v>
      </c>
      <c r="G150" s="1605"/>
      <c r="H150" s="1578">
        <f>H151+H165</f>
        <v>29801.599999999999</v>
      </c>
      <c r="I150" s="1578">
        <f>I151+I165</f>
        <v>0</v>
      </c>
      <c r="J150" s="1578">
        <f>J151+J165</f>
        <v>271.36</v>
      </c>
      <c r="K150" s="1578">
        <f>K151+K165</f>
        <v>0</v>
      </c>
      <c r="L150" s="1579"/>
      <c r="M150" s="1579"/>
      <c r="N150" s="1579"/>
      <c r="O150" s="1579"/>
      <c r="P150" s="1579"/>
      <c r="Q150" s="1579"/>
      <c r="R150" s="1579"/>
      <c r="S150" s="1579"/>
      <c r="T150" s="1580"/>
      <c r="U150" s="1581"/>
      <c r="V150" s="1581"/>
      <c r="W150" s="1582"/>
      <c r="X150" s="1582"/>
      <c r="Y150" s="1582"/>
      <c r="Z150" s="1583"/>
      <c r="AA150" s="1582"/>
      <c r="AB150" s="1582"/>
      <c r="AC150" s="1584">
        <f>AC151+AC165</f>
        <v>29801.599999999999</v>
      </c>
      <c r="AD150" s="1584">
        <f>AD151+AD165</f>
        <v>271.36</v>
      </c>
      <c r="AE150" s="1584">
        <f>AE151+AE165</f>
        <v>0</v>
      </c>
      <c r="AF150" s="1584">
        <f>AF151+AF165</f>
        <v>271.36</v>
      </c>
      <c r="AG150" s="1584">
        <f>AG151+AG165</f>
        <v>0</v>
      </c>
      <c r="AH150" s="1490">
        <f t="shared" si="94"/>
        <v>0</v>
      </c>
      <c r="AI150" s="1585">
        <f>AI151+AI165</f>
        <v>0</v>
      </c>
      <c r="AJ150" s="1585">
        <f>AJ151+AJ165</f>
        <v>0</v>
      </c>
      <c r="AK150" s="1585">
        <f>AK151+AK165</f>
        <v>0</v>
      </c>
      <c r="AL150" s="1636">
        <f t="shared" si="113"/>
        <v>0</v>
      </c>
      <c r="AM150" s="1585">
        <f>AM151+AM165</f>
        <v>0</v>
      </c>
      <c r="AN150" s="1586"/>
      <c r="AO150" s="1578">
        <f>AO151+AO165</f>
        <v>2018.7</v>
      </c>
      <c r="AP150" s="1578">
        <f t="shared" ref="AP150:BO150" si="114">AP151+AP165</f>
        <v>0</v>
      </c>
      <c r="AQ150" s="1578">
        <f t="shared" si="114"/>
        <v>0</v>
      </c>
      <c r="AR150" s="1578">
        <f t="shared" si="114"/>
        <v>0</v>
      </c>
      <c r="AS150" s="1583">
        <f>AS151+AS165</f>
        <v>1996.1999999999998</v>
      </c>
      <c r="AT150" s="1578">
        <f t="shared" si="114"/>
        <v>0</v>
      </c>
      <c r="AU150" s="1578">
        <f t="shared" si="114"/>
        <v>0</v>
      </c>
      <c r="AV150" s="1578">
        <f t="shared" si="114"/>
        <v>0</v>
      </c>
      <c r="AW150" s="1583"/>
      <c r="AX150" s="1578">
        <f t="shared" si="114"/>
        <v>0</v>
      </c>
      <c r="AY150" s="1578">
        <f t="shared" si="114"/>
        <v>0</v>
      </c>
      <c r="AZ150" s="1578">
        <f t="shared" si="114"/>
        <v>0</v>
      </c>
      <c r="BA150" s="1586"/>
      <c r="BB150" s="1578">
        <f t="shared" si="114"/>
        <v>0</v>
      </c>
      <c r="BC150" s="1578">
        <f t="shared" si="114"/>
        <v>0</v>
      </c>
      <c r="BD150" s="1578">
        <f t="shared" si="114"/>
        <v>0</v>
      </c>
      <c r="BE150" s="1511"/>
      <c r="BF150" s="1578">
        <f t="shared" si="114"/>
        <v>0</v>
      </c>
      <c r="BG150" s="1578">
        <f t="shared" si="114"/>
        <v>0</v>
      </c>
      <c r="BH150" s="1578">
        <f t="shared" si="114"/>
        <v>0</v>
      </c>
      <c r="BI150" s="1586"/>
      <c r="BJ150" s="1578">
        <f t="shared" si="114"/>
        <v>0</v>
      </c>
      <c r="BK150" s="1578">
        <f t="shared" si="114"/>
        <v>0</v>
      </c>
      <c r="BL150" s="1578">
        <f t="shared" si="114"/>
        <v>0</v>
      </c>
      <c r="BM150" s="1586"/>
      <c r="BN150" s="1578">
        <f t="shared" si="114"/>
        <v>0</v>
      </c>
      <c r="BO150" s="1578">
        <f t="shared" si="114"/>
        <v>0</v>
      </c>
      <c r="BP150" s="1578">
        <f>BP151+BP165</f>
        <v>0</v>
      </c>
      <c r="BQ150" s="1586"/>
      <c r="BR150" s="1578">
        <f t="shared" ref="BR150:BX150" si="115">BR151+BR165</f>
        <v>0</v>
      </c>
      <c r="BS150" s="1578">
        <f t="shared" si="115"/>
        <v>0</v>
      </c>
      <c r="BT150" s="1578">
        <f t="shared" si="115"/>
        <v>0</v>
      </c>
      <c r="BU150" s="1586">
        <f t="shared" si="115"/>
        <v>2246.75</v>
      </c>
      <c r="BV150" s="1578">
        <f t="shared" si="115"/>
        <v>0</v>
      </c>
      <c r="BW150" s="1578">
        <f t="shared" si="115"/>
        <v>100</v>
      </c>
      <c r="BX150" s="1578">
        <f t="shared" si="115"/>
        <v>0</v>
      </c>
      <c r="BY150" s="1586">
        <f>BY151+BY165</f>
        <v>2825.2200000000003</v>
      </c>
      <c r="BZ150" s="1578">
        <f>BZ151+BZ165</f>
        <v>0</v>
      </c>
      <c r="CA150" s="1578">
        <f>CA151+CA165</f>
        <v>100</v>
      </c>
      <c r="CB150" s="1578">
        <f>CB151+CB165</f>
        <v>0</v>
      </c>
      <c r="CC150" s="1586"/>
      <c r="CD150" s="1578">
        <f>CD151+CD165</f>
        <v>0</v>
      </c>
      <c r="CE150" s="1578">
        <f>CE151+CE165</f>
        <v>0</v>
      </c>
      <c r="CF150" s="1578">
        <f>CF151+CF165</f>
        <v>0</v>
      </c>
      <c r="CG150" s="1714"/>
      <c r="CH150" s="1715">
        <v>2561.1799999999998</v>
      </c>
      <c r="CI150" s="1716">
        <v>0</v>
      </c>
      <c r="CJ150" s="1643">
        <v>71.36</v>
      </c>
      <c r="CK150" s="1716">
        <v>0</v>
      </c>
    </row>
    <row r="151" spans="1:108" s="1514" customFormat="1" ht="45" customHeight="1" x14ac:dyDescent="0.15">
      <c r="A151" s="1469" t="s">
        <v>764</v>
      </c>
      <c r="B151" s="1516" t="s">
        <v>79</v>
      </c>
      <c r="C151" s="1516" t="s">
        <v>100</v>
      </c>
      <c r="D151" s="1516" t="s">
        <v>110</v>
      </c>
      <c r="E151" s="1560">
        <v>4279902</v>
      </c>
      <c r="F151" s="1516" t="s">
        <v>765</v>
      </c>
      <c r="G151" s="1671" t="s">
        <v>766</v>
      </c>
      <c r="H151" s="1517">
        <f>H152+H153+H154+H155+H156+H157+H158+H159+H160+H161+H162+H163+H164</f>
        <v>29801.599999999999</v>
      </c>
      <c r="I151" s="1517">
        <f>I152+I153+I154+I155+I156+I157+I158+I159+I160+I161+I162+I163+I164</f>
        <v>0</v>
      </c>
      <c r="J151" s="1517">
        <f>J152+J153+J154+J155+J156+J157+J158+J159+J160+J161+J162+J163+J164</f>
        <v>271.36</v>
      </c>
      <c r="K151" s="1517">
        <f>K152+K153+K154+K155+K156+K157+K158+K159+K160+K161+K162+K163+K164</f>
        <v>0</v>
      </c>
      <c r="L151" s="1518"/>
      <c r="M151" s="1518"/>
      <c r="N151" s="1518"/>
      <c r="O151" s="1518">
        <v>150</v>
      </c>
      <c r="P151" s="1518"/>
      <c r="Q151" s="1518"/>
      <c r="R151" s="1518"/>
      <c r="S151" s="1518"/>
      <c r="T151" s="1517">
        <f>T152+T153+T154+T155+T156+T157+T158+T159+T160+T161+T162+T163+T164</f>
        <v>2630.1</v>
      </c>
      <c r="U151" s="1588">
        <f>U152+U153+U154+U155+U156+U157+U158+U159+U160+U161+U162+U163+U164</f>
        <v>200</v>
      </c>
      <c r="V151" s="1588"/>
      <c r="W151" s="1589"/>
      <c r="X151" s="1589"/>
      <c r="Y151" s="1589"/>
      <c r="Z151" s="1590"/>
      <c r="AA151" s="1589"/>
      <c r="AB151" s="1589"/>
      <c r="AC151" s="1591">
        <f>AC152+AC153+AC154+AC155+AC156+AC157+AC158+AC159+AC160+AC161+AC162+AC163+AC164</f>
        <v>29801.599999999999</v>
      </c>
      <c r="AD151" s="1591">
        <f>AD152+AD153+AD154+AD155+AD156+AD157+AD158+AD159+AD160+AD161+AD162+AD163+AD164</f>
        <v>271.36</v>
      </c>
      <c r="AE151" s="1591">
        <f>AE152+AE153+AE154+AE155+AE156+AE157+AE158+AE159+AE160+AE161+AE162+AE163+AE164</f>
        <v>0</v>
      </c>
      <c r="AF151" s="1591">
        <f>AF152+AF153+AF154+AF155+AF156+AF157+AF158+AF159+AF160+AF161+AF162+AF163+AF164</f>
        <v>271.36</v>
      </c>
      <c r="AG151" s="1591">
        <f>AG152+AG153+AG154+AG155+AG156+AG157+AG158+AG159+AG160+AG161+AG162+AG163+AG164</f>
        <v>0</v>
      </c>
      <c r="AH151" s="1490">
        <f t="shared" si="94"/>
        <v>0</v>
      </c>
      <c r="AI151" s="1592">
        <f>AI152+AI153+AI154+AI155+AI156+AI157+AI158+AI159+AI160+AI161+AI162+AI163+AI164</f>
        <v>0</v>
      </c>
      <c r="AJ151" s="1592">
        <f>AJ152+AJ153+AJ154+AJ155+AJ156+AJ157+AJ158+AJ159+AJ160+AJ161+AJ162+AJ163+AJ164</f>
        <v>0</v>
      </c>
      <c r="AK151" s="1592">
        <f>AK152+AK153+AK154+AK155+AK156+AK157+AK158+AK159+AK160+AK161+AK162+AK163+AK164</f>
        <v>0</v>
      </c>
      <c r="AL151" s="1636">
        <f t="shared" si="113"/>
        <v>0</v>
      </c>
      <c r="AM151" s="1592">
        <f>AM152+AM153+AM154+AM155+AM156+AM157+AM158+AM159+AM160+AM161+AM162+AM163+AM164</f>
        <v>0</v>
      </c>
      <c r="AN151" s="1717"/>
      <c r="AO151" s="1718">
        <f>AO152+AO153+AO154+AO155+AO156+AO157+AO158+AO159+AO160+AO161+AO162+AO163+AO164</f>
        <v>2018.7</v>
      </c>
      <c r="AP151" s="1517">
        <f t="shared" ref="AP151:BO151" si="116">AP152+AP153+AP154+AP155+AP156+AP157+AP158+AP159+AP160+AP161+AP162+AP163+AP164</f>
        <v>0</v>
      </c>
      <c r="AQ151" s="1517">
        <f t="shared" si="116"/>
        <v>0</v>
      </c>
      <c r="AR151" s="1517">
        <f t="shared" si="116"/>
        <v>0</v>
      </c>
      <c r="AS151" s="1590">
        <f>AS152+AS153+AS154+AS155+AS156+AS157+AS158+AS159+AS160+AS161+AS162+AS163+AS164</f>
        <v>1996.1999999999998</v>
      </c>
      <c r="AT151" s="1517">
        <f t="shared" si="116"/>
        <v>0</v>
      </c>
      <c r="AU151" s="1517">
        <f t="shared" si="116"/>
        <v>0</v>
      </c>
      <c r="AV151" s="1517">
        <f t="shared" si="116"/>
        <v>0</v>
      </c>
      <c r="AW151" s="1590"/>
      <c r="AX151" s="1517">
        <f t="shared" si="116"/>
        <v>0</v>
      </c>
      <c r="AY151" s="1517">
        <f t="shared" si="116"/>
        <v>0</v>
      </c>
      <c r="AZ151" s="1517">
        <f t="shared" si="116"/>
        <v>0</v>
      </c>
      <c r="BA151" s="1539"/>
      <c r="BB151" s="1517">
        <f t="shared" si="116"/>
        <v>0</v>
      </c>
      <c r="BC151" s="1517">
        <f t="shared" si="116"/>
        <v>0</v>
      </c>
      <c r="BD151" s="1517">
        <f t="shared" si="116"/>
        <v>0</v>
      </c>
      <c r="BE151" s="1539"/>
      <c r="BF151" s="1517">
        <f t="shared" si="116"/>
        <v>0</v>
      </c>
      <c r="BG151" s="1517">
        <f t="shared" si="116"/>
        <v>0</v>
      </c>
      <c r="BH151" s="1517">
        <f t="shared" si="116"/>
        <v>0</v>
      </c>
      <c r="BI151" s="1539"/>
      <c r="BJ151" s="1517">
        <f t="shared" si="116"/>
        <v>0</v>
      </c>
      <c r="BK151" s="1517">
        <f t="shared" si="116"/>
        <v>0</v>
      </c>
      <c r="BL151" s="1517">
        <f t="shared" si="116"/>
        <v>0</v>
      </c>
      <c r="BM151" s="1539"/>
      <c r="BN151" s="1517">
        <f t="shared" si="116"/>
        <v>0</v>
      </c>
      <c r="BO151" s="1517">
        <f t="shared" si="116"/>
        <v>0</v>
      </c>
      <c r="BP151" s="1517">
        <f>BP152+BP153+BP154+BP155+BP156+BP157+BP158+BP159+BP160+BP161+BP162+BP163+BP164</f>
        <v>0</v>
      </c>
      <c r="BQ151" s="1539"/>
      <c r="BR151" s="1517">
        <f t="shared" ref="BR151:CF151" si="117">BR152+BR153+BR154+BR155+BR156+BR157+BR158+BR159+BR160+BR161+BR162+BR163+BR164</f>
        <v>0</v>
      </c>
      <c r="BS151" s="1517">
        <f t="shared" si="117"/>
        <v>0</v>
      </c>
      <c r="BT151" s="1517">
        <f t="shared" si="117"/>
        <v>0</v>
      </c>
      <c r="BU151" s="1539">
        <f t="shared" si="117"/>
        <v>2246.75</v>
      </c>
      <c r="BV151" s="1517">
        <f t="shared" si="117"/>
        <v>0</v>
      </c>
      <c r="BW151" s="1517">
        <f t="shared" si="117"/>
        <v>100</v>
      </c>
      <c r="BX151" s="1517">
        <f t="shared" si="117"/>
        <v>0</v>
      </c>
      <c r="BY151" s="1539">
        <f t="shared" si="117"/>
        <v>2825.2200000000003</v>
      </c>
      <c r="BZ151" s="1517">
        <f t="shared" si="117"/>
        <v>0</v>
      </c>
      <c r="CA151" s="1517">
        <f t="shared" si="117"/>
        <v>100</v>
      </c>
      <c r="CB151" s="1517">
        <f t="shared" si="117"/>
        <v>0</v>
      </c>
      <c r="CC151" s="1517">
        <f t="shared" si="117"/>
        <v>2309.5</v>
      </c>
      <c r="CD151" s="1517">
        <f t="shared" si="117"/>
        <v>0</v>
      </c>
      <c r="CE151" s="1517">
        <f t="shared" si="117"/>
        <v>0</v>
      </c>
      <c r="CF151" s="1517">
        <f t="shared" si="117"/>
        <v>0</v>
      </c>
      <c r="CG151" s="1719"/>
      <c r="CH151" s="1720">
        <v>2561.1799999999998</v>
      </c>
      <c r="CI151" s="1721">
        <v>0</v>
      </c>
      <c r="CJ151" s="1643">
        <v>71.36</v>
      </c>
      <c r="CK151" s="1721">
        <v>0</v>
      </c>
      <c r="CL151" s="1513"/>
      <c r="CM151" s="1513"/>
      <c r="CN151" s="1513"/>
      <c r="CO151" s="1513"/>
      <c r="CP151" s="1513"/>
      <c r="CQ151" s="1513"/>
      <c r="CR151" s="1513"/>
      <c r="CS151" s="1513"/>
      <c r="CT151" s="1513"/>
      <c r="CU151" s="1513"/>
      <c r="CV151" s="1513"/>
      <c r="CW151" s="1513"/>
      <c r="CY151" s="1513"/>
    </row>
    <row r="152" spans="1:108" ht="14" x14ac:dyDescent="0.15">
      <c r="A152" s="1688" t="s">
        <v>78</v>
      </c>
      <c r="B152" s="1689" t="s">
        <v>79</v>
      </c>
      <c r="C152" s="1689" t="s">
        <v>100</v>
      </c>
      <c r="D152" s="1689" t="s">
        <v>110</v>
      </c>
      <c r="E152" s="1690">
        <v>4279902</v>
      </c>
      <c r="F152" s="1689"/>
      <c r="G152" s="1667">
        <v>211</v>
      </c>
      <c r="H152" s="1501">
        <f>16407.3+T152</f>
        <v>18427.3</v>
      </c>
      <c r="I152" s="1501"/>
      <c r="J152" s="1630"/>
      <c r="K152" s="1630"/>
      <c r="L152" s="1631"/>
      <c r="M152" s="1631"/>
      <c r="N152" s="1631"/>
      <c r="O152" s="1631"/>
      <c r="P152" s="1631"/>
      <c r="Q152" s="1631"/>
      <c r="R152" s="1631"/>
      <c r="S152" s="1631"/>
      <c r="T152" s="1632">
        <f>2020</f>
        <v>2020</v>
      </c>
      <c r="U152" s="1633"/>
      <c r="V152" s="1633"/>
      <c r="W152" s="1634">
        <f>H152/12</f>
        <v>1535.6083333333333</v>
      </c>
      <c r="X152" s="1634">
        <f>AO152</f>
        <v>1367.3</v>
      </c>
      <c r="Y152" s="1634">
        <f>CC152</f>
        <v>1773.8</v>
      </c>
      <c r="Z152" s="1635">
        <v>1773.8</v>
      </c>
      <c r="AA152" s="1511">
        <f>AW152</f>
        <v>1367.3</v>
      </c>
      <c r="AB152" s="1511">
        <f>Z152-AA152</f>
        <v>406.5</v>
      </c>
      <c r="AC152" s="1508">
        <f t="shared" ref="AC152:AC165" si="118">AO152+AS152+AW152+BA152+BE152+BI152+BM152+BQ152+BU152+BY152+CC152+CH152</f>
        <v>18427.3</v>
      </c>
      <c r="AD152" s="1509">
        <f t="shared" ref="AD152:AD165" si="119">AE152+AF152+AG152</f>
        <v>0</v>
      </c>
      <c r="AE152" s="1509">
        <f t="shared" ref="AE152:AG164" si="120">AP152+AT152+AX152+BB152+BF152+BJ152+BN152+BR152+BV152+BZ152+CD152+CI152</f>
        <v>0</v>
      </c>
      <c r="AF152" s="1509">
        <f t="shared" si="120"/>
        <v>0</v>
      </c>
      <c r="AG152" s="1509">
        <f t="shared" si="120"/>
        <v>0</v>
      </c>
      <c r="AH152" s="1490">
        <f t="shared" si="94"/>
        <v>0</v>
      </c>
      <c r="AI152" s="1636">
        <f t="shared" ref="AI152:AI164" si="121">H152-AC152</f>
        <v>0</v>
      </c>
      <c r="AJ152" s="1636">
        <f t="shared" ref="AJ152:AJ164" si="122">AK152+AL152+AM152</f>
        <v>0</v>
      </c>
      <c r="AK152" s="1636">
        <f t="shared" ref="AK152:AK164" si="123">I152-AE152</f>
        <v>0</v>
      </c>
      <c r="AL152" s="1636">
        <f t="shared" si="113"/>
        <v>0</v>
      </c>
      <c r="AM152" s="1636">
        <f t="shared" si="113"/>
        <v>0</v>
      </c>
      <c r="AN152" s="1637">
        <f>AI152/4</f>
        <v>0</v>
      </c>
      <c r="AO152" s="1722">
        <v>1367.3</v>
      </c>
      <c r="AP152" s="1638"/>
      <c r="AQ152" s="1638"/>
      <c r="AR152" s="1638"/>
      <c r="AS152" s="1639">
        <v>1367.3</v>
      </c>
      <c r="AT152" s="1638"/>
      <c r="AU152" s="1638"/>
      <c r="AV152" s="1638"/>
      <c r="AW152" s="1640">
        <v>1367.3</v>
      </c>
      <c r="AX152" s="1640"/>
      <c r="AY152" s="1640"/>
      <c r="AZ152" s="1640"/>
      <c r="BA152" s="1641">
        <v>1367.3</v>
      </c>
      <c r="BB152" s="1640"/>
      <c r="BC152" s="1640"/>
      <c r="BD152" s="1640"/>
      <c r="BE152" s="1641">
        <v>1367.3</v>
      </c>
      <c r="BF152" s="1640"/>
      <c r="BG152" s="1640"/>
      <c r="BH152" s="1640"/>
      <c r="BI152" s="1641">
        <f>207.18+2161.9</f>
        <v>2369.08</v>
      </c>
      <c r="BJ152" s="1640"/>
      <c r="BK152" s="1640"/>
      <c r="BL152" s="1640"/>
      <c r="BM152" s="1641">
        <v>1160.1199999999999</v>
      </c>
      <c r="BN152" s="1640"/>
      <c r="BO152" s="1640"/>
      <c r="BP152" s="1640"/>
      <c r="BQ152" s="1641">
        <v>1367.3</v>
      </c>
      <c r="BR152" s="1640"/>
      <c r="BS152" s="1640"/>
      <c r="BT152" s="1640"/>
      <c r="BU152" s="1641">
        <v>1168.5999999999999</v>
      </c>
      <c r="BV152" s="1640"/>
      <c r="BW152" s="1640"/>
      <c r="BX152" s="1640"/>
      <c r="BY152" s="1641">
        <f>771.15+1340.9</f>
        <v>2112.0500000000002</v>
      </c>
      <c r="BZ152" s="1640"/>
      <c r="CA152" s="1640"/>
      <c r="CB152" s="1640"/>
      <c r="CC152" s="1641">
        <f>1773.8</f>
        <v>1773.8</v>
      </c>
      <c r="CD152" s="1640"/>
      <c r="CE152" s="1640"/>
      <c r="CF152" s="1640"/>
      <c r="CG152" s="1642"/>
      <c r="CH152" s="1709">
        <v>1639.85</v>
      </c>
      <c r="CI152" s="1643">
        <v>0</v>
      </c>
      <c r="CJ152" s="1643">
        <v>0</v>
      </c>
      <c r="CK152" s="1643">
        <v>0</v>
      </c>
      <c r="CX152" s="1558">
        <f>H152/12*10-AC152</f>
        <v>-3071.2166666666653</v>
      </c>
      <c r="CY152" s="1558">
        <f>AI152/3</f>
        <v>0</v>
      </c>
      <c r="CZ152" s="1558">
        <f>H152/12</f>
        <v>1535.6083333333333</v>
      </c>
      <c r="DA152" s="1559">
        <f>(H152-T152)/12*10-AC152</f>
        <v>-4754.5500000000011</v>
      </c>
      <c r="DB152" s="1559"/>
      <c r="DC152" s="1559"/>
      <c r="DD152">
        <f>(H152-T152)/12</f>
        <v>1367.2749999999999</v>
      </c>
    </row>
    <row r="153" spans="1:108" ht="14" x14ac:dyDescent="0.15">
      <c r="A153" s="1688" t="s">
        <v>83</v>
      </c>
      <c r="B153" s="1689" t="s">
        <v>79</v>
      </c>
      <c r="C153" s="1689" t="s">
        <v>100</v>
      </c>
      <c r="D153" s="1689" t="s">
        <v>110</v>
      </c>
      <c r="E153" s="1690">
        <v>4279902</v>
      </c>
      <c r="F153" s="1689"/>
      <c r="G153" s="1667">
        <v>212</v>
      </c>
      <c r="H153" s="1501">
        <f>55.2</f>
        <v>55.2</v>
      </c>
      <c r="I153" s="1501"/>
      <c r="J153" s="1630"/>
      <c r="K153" s="1630"/>
      <c r="L153" s="1631"/>
      <c r="M153" s="1631"/>
      <c r="N153" s="1631"/>
      <c r="O153" s="1631"/>
      <c r="P153" s="1631"/>
      <c r="Q153" s="1631"/>
      <c r="R153" s="1631"/>
      <c r="S153" s="1631"/>
      <c r="T153" s="1632"/>
      <c r="U153" s="1633"/>
      <c r="V153" s="1633"/>
      <c r="W153" s="1634"/>
      <c r="X153" s="1634"/>
      <c r="Y153" s="1634"/>
      <c r="Z153" s="1635"/>
      <c r="AA153" s="1634"/>
      <c r="AB153" s="1511">
        <f>Z153-AA153</f>
        <v>0</v>
      </c>
      <c r="AC153" s="1508">
        <f t="shared" si="118"/>
        <v>55.2</v>
      </c>
      <c r="AD153" s="1509">
        <f t="shared" si="119"/>
        <v>0</v>
      </c>
      <c r="AE153" s="1509">
        <f t="shared" si="120"/>
        <v>0</v>
      </c>
      <c r="AF153" s="1509">
        <f t="shared" si="120"/>
        <v>0</v>
      </c>
      <c r="AG153" s="1509">
        <f t="shared" si="120"/>
        <v>0</v>
      </c>
      <c r="AH153" s="1490">
        <f t="shared" si="94"/>
        <v>0</v>
      </c>
      <c r="AI153" s="1636">
        <f t="shared" si="121"/>
        <v>0</v>
      </c>
      <c r="AJ153" s="1636">
        <f t="shared" si="122"/>
        <v>0</v>
      </c>
      <c r="AK153" s="1636">
        <f t="shared" si="123"/>
        <v>0</v>
      </c>
      <c r="AL153" s="1636">
        <f t="shared" si="113"/>
        <v>0</v>
      </c>
      <c r="AM153" s="1636">
        <f t="shared" si="113"/>
        <v>0</v>
      </c>
      <c r="AN153" s="1637"/>
      <c r="AO153" s="1722">
        <f>4.6*2</f>
        <v>9.1999999999999993</v>
      </c>
      <c r="AP153" s="1638"/>
      <c r="AQ153" s="1638"/>
      <c r="AR153" s="1638"/>
      <c r="AS153" s="1639"/>
      <c r="AT153" s="1638"/>
      <c r="AU153" s="1638"/>
      <c r="AV153" s="1638"/>
      <c r="AW153" s="1640"/>
      <c r="AX153" s="1640"/>
      <c r="AY153" s="1640"/>
      <c r="AZ153" s="1640"/>
      <c r="BA153" s="1641"/>
      <c r="BB153" s="1640"/>
      <c r="BC153" s="1640"/>
      <c r="BD153" s="1640"/>
      <c r="BE153" s="1641"/>
      <c r="BF153" s="1640"/>
      <c r="BG153" s="1640"/>
      <c r="BH153" s="1640"/>
      <c r="BI153" s="1641"/>
      <c r="BJ153" s="1640"/>
      <c r="BK153" s="1640"/>
      <c r="BL153" s="1640"/>
      <c r="BM153" s="1641"/>
      <c r="BN153" s="1640"/>
      <c r="BO153" s="1640"/>
      <c r="BP153" s="1640"/>
      <c r="BQ153" s="1641"/>
      <c r="BR153" s="1640"/>
      <c r="BS153" s="1640"/>
      <c r="BT153" s="1640"/>
      <c r="BU153" s="1641">
        <v>32.200000000000003</v>
      </c>
      <c r="BV153" s="1640"/>
      <c r="BW153" s="1640"/>
      <c r="BX153" s="1640"/>
      <c r="BY153" s="1641"/>
      <c r="BZ153" s="1640"/>
      <c r="CA153" s="1640"/>
      <c r="CB153" s="1640"/>
      <c r="CC153" s="1641"/>
      <c r="CD153" s="1640"/>
      <c r="CE153" s="1640"/>
      <c r="CF153" s="1640"/>
      <c r="CG153" s="1642"/>
      <c r="CH153" s="1643">
        <v>13.8</v>
      </c>
      <c r="CI153" s="1643">
        <v>0</v>
      </c>
      <c r="CJ153" s="1643">
        <v>0</v>
      </c>
      <c r="CK153" s="1643">
        <v>0</v>
      </c>
      <c r="CX153" s="1558"/>
      <c r="CY153" s="1558"/>
      <c r="CZ153" s="1558"/>
      <c r="DA153" s="1559"/>
      <c r="DB153" s="1559"/>
      <c r="DC153" s="1559"/>
    </row>
    <row r="154" spans="1:108" ht="14" x14ac:dyDescent="0.15">
      <c r="A154" s="1688" t="s">
        <v>84</v>
      </c>
      <c r="B154" s="1689" t="s">
        <v>79</v>
      </c>
      <c r="C154" s="1689" t="s">
        <v>100</v>
      </c>
      <c r="D154" s="1689" t="s">
        <v>110</v>
      </c>
      <c r="E154" s="1690">
        <v>4279902</v>
      </c>
      <c r="F154" s="1689"/>
      <c r="G154" s="1667">
        <v>213</v>
      </c>
      <c r="H154" s="1501">
        <f>4955+T154</f>
        <v>5565.1</v>
      </c>
      <c r="I154" s="1501"/>
      <c r="J154" s="1630"/>
      <c r="K154" s="1630"/>
      <c r="L154" s="1631"/>
      <c r="M154" s="1631"/>
      <c r="N154" s="1631"/>
      <c r="O154" s="1631"/>
      <c r="P154" s="1631"/>
      <c r="Q154" s="1631"/>
      <c r="R154" s="1631"/>
      <c r="S154" s="1631"/>
      <c r="T154" s="1632">
        <v>610.1</v>
      </c>
      <c r="U154" s="1633"/>
      <c r="V154" s="1633"/>
      <c r="W154" s="1634">
        <f>H154/12</f>
        <v>463.75833333333338</v>
      </c>
      <c r="X154" s="1634">
        <f>AO154</f>
        <v>412.9</v>
      </c>
      <c r="Y154" s="1634">
        <f>CC154</f>
        <v>535.70000000000005</v>
      </c>
      <c r="Z154" s="1635">
        <v>535.70000000000005</v>
      </c>
      <c r="AA154" s="1511">
        <f>AW154</f>
        <v>412.8</v>
      </c>
      <c r="AB154" s="1511">
        <f>Z154-AA154</f>
        <v>122.90000000000003</v>
      </c>
      <c r="AC154" s="1508">
        <f t="shared" si="118"/>
        <v>5565.1</v>
      </c>
      <c r="AD154" s="1509">
        <f t="shared" si="119"/>
        <v>0</v>
      </c>
      <c r="AE154" s="1509">
        <f t="shared" si="120"/>
        <v>0</v>
      </c>
      <c r="AF154" s="1509">
        <f t="shared" si="120"/>
        <v>0</v>
      </c>
      <c r="AG154" s="1509">
        <f t="shared" si="120"/>
        <v>0</v>
      </c>
      <c r="AH154" s="1490">
        <f t="shared" si="94"/>
        <v>0</v>
      </c>
      <c r="AI154" s="1636">
        <f t="shared" si="121"/>
        <v>0</v>
      </c>
      <c r="AJ154" s="1636">
        <f t="shared" si="122"/>
        <v>0</v>
      </c>
      <c r="AK154" s="1636">
        <f t="shared" si="123"/>
        <v>0</v>
      </c>
      <c r="AL154" s="1636">
        <f t="shared" si="113"/>
        <v>0</v>
      </c>
      <c r="AM154" s="1636">
        <f t="shared" si="113"/>
        <v>0</v>
      </c>
      <c r="AN154" s="1637">
        <f>AI154/4</f>
        <v>0</v>
      </c>
      <c r="AO154" s="1722">
        <v>412.9</v>
      </c>
      <c r="AP154" s="1638"/>
      <c r="AQ154" s="1638"/>
      <c r="AR154" s="1638"/>
      <c r="AS154" s="1639">
        <v>412.9</v>
      </c>
      <c r="AT154" s="1638"/>
      <c r="AU154" s="1638"/>
      <c r="AV154" s="1638"/>
      <c r="AW154" s="1640">
        <v>412.8</v>
      </c>
      <c r="AX154" s="1640"/>
      <c r="AY154" s="1640"/>
      <c r="AZ154" s="1640"/>
      <c r="BA154" s="1641">
        <v>412.8</v>
      </c>
      <c r="BB154" s="1640"/>
      <c r="BC154" s="1640"/>
      <c r="BD154" s="1640"/>
      <c r="BE154" s="1641">
        <v>412.8</v>
      </c>
      <c r="BF154" s="1640"/>
      <c r="BG154" s="1640"/>
      <c r="BH154" s="1640"/>
      <c r="BI154" s="1641">
        <v>652.9</v>
      </c>
      <c r="BJ154" s="1640"/>
      <c r="BK154" s="1640"/>
      <c r="BL154" s="1640"/>
      <c r="BM154" s="1641">
        <v>412.9</v>
      </c>
      <c r="BN154" s="1640"/>
      <c r="BO154" s="1640"/>
      <c r="BP154" s="1640"/>
      <c r="BQ154" s="1641">
        <v>412.8</v>
      </c>
      <c r="BR154" s="1640"/>
      <c r="BS154" s="1640"/>
      <c r="BT154" s="1640"/>
      <c r="BU154" s="1641">
        <v>353.1</v>
      </c>
      <c r="BV154" s="1640"/>
      <c r="BW154" s="1640"/>
      <c r="BX154" s="1640"/>
      <c r="BY154" s="1641">
        <f>233.27+405</f>
        <v>638.27</v>
      </c>
      <c r="BZ154" s="1640"/>
      <c r="CA154" s="1640"/>
      <c r="CB154" s="1640"/>
      <c r="CC154" s="1641">
        <f>535.7</f>
        <v>535.70000000000005</v>
      </c>
      <c r="CD154" s="1640"/>
      <c r="CE154" s="1640"/>
      <c r="CF154" s="1640"/>
      <c r="CG154" s="1642"/>
      <c r="CH154" s="1643">
        <v>495.23</v>
      </c>
      <c r="CI154" s="1643">
        <v>0</v>
      </c>
      <c r="CJ154" s="1643">
        <v>0</v>
      </c>
      <c r="CK154" s="1643">
        <v>0</v>
      </c>
      <c r="CX154" s="1558">
        <f>H154/12*10-AC154</f>
        <v>-927.51666666666642</v>
      </c>
      <c r="CY154" s="1558">
        <f>AI154/3</f>
        <v>0</v>
      </c>
      <c r="CZ154" s="1558">
        <f>H154/12</f>
        <v>463.75833333333338</v>
      </c>
      <c r="DA154" s="1559">
        <f>(H154-T154)/12*10-AC154</f>
        <v>-1435.9333333333334</v>
      </c>
      <c r="DB154" s="1559"/>
      <c r="DC154" s="1559"/>
      <c r="DD154">
        <f>(H154-T154)/12</f>
        <v>412.91666666666669</v>
      </c>
    </row>
    <row r="155" spans="1:108" ht="14" x14ac:dyDescent="0.15">
      <c r="A155" s="1688" t="s">
        <v>85</v>
      </c>
      <c r="B155" s="1689" t="s">
        <v>79</v>
      </c>
      <c r="C155" s="1689" t="s">
        <v>100</v>
      </c>
      <c r="D155" s="1689" t="s">
        <v>110</v>
      </c>
      <c r="E155" s="1690">
        <v>4279902</v>
      </c>
      <c r="F155" s="1689"/>
      <c r="G155" s="1667">
        <v>221</v>
      </c>
      <c r="H155" s="1501">
        <f>24.1-U155</f>
        <v>19.55</v>
      </c>
      <c r="I155" s="1501"/>
      <c r="J155" s="1630"/>
      <c r="K155" s="1630"/>
      <c r="L155" s="1631"/>
      <c r="M155" s="1631"/>
      <c r="N155" s="1631"/>
      <c r="O155" s="1631"/>
      <c r="P155" s="1631"/>
      <c r="Q155" s="1631"/>
      <c r="R155" s="1631"/>
      <c r="S155" s="1631"/>
      <c r="T155" s="1632"/>
      <c r="U155" s="1633">
        <v>4.55</v>
      </c>
      <c r="V155" s="1633"/>
      <c r="W155" s="1634"/>
      <c r="X155" s="1634"/>
      <c r="Y155" s="1634"/>
      <c r="Z155" s="1635"/>
      <c r="AA155" s="1634"/>
      <c r="AB155" s="1634"/>
      <c r="AC155" s="1508">
        <f t="shared" si="118"/>
        <v>19.55</v>
      </c>
      <c r="AD155" s="1509">
        <f t="shared" si="119"/>
        <v>0</v>
      </c>
      <c r="AE155" s="1509">
        <f t="shared" si="120"/>
        <v>0</v>
      </c>
      <c r="AF155" s="1509">
        <f t="shared" si="120"/>
        <v>0</v>
      </c>
      <c r="AG155" s="1509">
        <f t="shared" si="120"/>
        <v>0</v>
      </c>
      <c r="AH155" s="1490">
        <f t="shared" si="94"/>
        <v>0</v>
      </c>
      <c r="AI155" s="1636">
        <f t="shared" si="121"/>
        <v>0</v>
      </c>
      <c r="AJ155" s="1636">
        <f t="shared" si="122"/>
        <v>0</v>
      </c>
      <c r="AK155" s="1636">
        <f t="shared" si="123"/>
        <v>0</v>
      </c>
      <c r="AL155" s="1636">
        <f t="shared" si="113"/>
        <v>0</v>
      </c>
      <c r="AM155" s="1636">
        <f t="shared" si="113"/>
        <v>0</v>
      </c>
      <c r="AN155" s="1637"/>
      <c r="AO155" s="1722">
        <v>2</v>
      </c>
      <c r="AP155" s="1638"/>
      <c r="AQ155" s="1638"/>
      <c r="AR155" s="1638"/>
      <c r="AS155" s="1639"/>
      <c r="AT155" s="1638"/>
      <c r="AU155" s="1638"/>
      <c r="AV155" s="1638"/>
      <c r="AW155" s="1639"/>
      <c r="AX155" s="1640"/>
      <c r="AY155" s="1640"/>
      <c r="AZ155" s="1640"/>
      <c r="BA155" s="1641"/>
      <c r="BB155" s="1640"/>
      <c r="BC155" s="1640"/>
      <c r="BD155" s="1640"/>
      <c r="BE155" s="1644"/>
      <c r="BF155" s="1640"/>
      <c r="BG155" s="1640"/>
      <c r="BH155" s="1640"/>
      <c r="BI155" s="1641"/>
      <c r="BJ155" s="1640"/>
      <c r="BK155" s="1640"/>
      <c r="BL155" s="1640"/>
      <c r="BM155" s="1641"/>
      <c r="BN155" s="1640"/>
      <c r="BO155" s="1640"/>
      <c r="BP155" s="1640"/>
      <c r="BQ155" s="1641"/>
      <c r="BR155" s="1640"/>
      <c r="BS155" s="1640"/>
      <c r="BT155" s="1640"/>
      <c r="BU155" s="1641">
        <v>17.55</v>
      </c>
      <c r="BV155" s="1640"/>
      <c r="BW155" s="1640"/>
      <c r="BX155" s="1640"/>
      <c r="BY155" s="1641"/>
      <c r="BZ155" s="1640"/>
      <c r="CA155" s="1640"/>
      <c r="CB155" s="1640"/>
      <c r="CC155" s="1641"/>
      <c r="CD155" s="1640"/>
      <c r="CE155" s="1640"/>
      <c r="CF155" s="1640"/>
      <c r="CG155" s="1642"/>
      <c r="CH155" s="1643">
        <v>0</v>
      </c>
      <c r="CI155" s="1643">
        <v>0</v>
      </c>
      <c r="CJ155" s="1643">
        <v>0</v>
      </c>
      <c r="CK155" s="1643">
        <v>0</v>
      </c>
    </row>
    <row r="156" spans="1:108" ht="14" x14ac:dyDescent="0.15">
      <c r="A156" s="1688" t="s">
        <v>86</v>
      </c>
      <c r="B156" s="1689" t="s">
        <v>79</v>
      </c>
      <c r="C156" s="1689" t="s">
        <v>100</v>
      </c>
      <c r="D156" s="1689" t="s">
        <v>110</v>
      </c>
      <c r="E156" s="1690">
        <v>4279902</v>
      </c>
      <c r="F156" s="1689"/>
      <c r="G156" s="1667">
        <v>222</v>
      </c>
      <c r="H156" s="1501">
        <f>20-U156</f>
        <v>1.6999999999999993</v>
      </c>
      <c r="I156" s="1501"/>
      <c r="J156" s="1630"/>
      <c r="K156" s="1630"/>
      <c r="L156" s="1631"/>
      <c r="M156" s="1631"/>
      <c r="N156" s="1631"/>
      <c r="O156" s="1631"/>
      <c r="P156" s="1631"/>
      <c r="Q156" s="1631"/>
      <c r="R156" s="1631"/>
      <c r="S156" s="1631"/>
      <c r="T156" s="1632"/>
      <c r="U156" s="1633">
        <v>18.3</v>
      </c>
      <c r="V156" s="1633"/>
      <c r="W156" s="1634">
        <f>H152/12*11</f>
        <v>16891.691666666666</v>
      </c>
      <c r="X156" s="1634">
        <f>AC152</f>
        <v>18427.3</v>
      </c>
      <c r="Y156" s="1634">
        <f>X156-W156</f>
        <v>1535.6083333333336</v>
      </c>
      <c r="Z156" s="1635"/>
      <c r="AA156" s="1634">
        <f>T152/12*11</f>
        <v>1851.6666666666667</v>
      </c>
      <c r="AB156" s="1634">
        <f>AA156+Y156</f>
        <v>3387.2750000000005</v>
      </c>
      <c r="AC156" s="1508">
        <f t="shared" si="118"/>
        <v>1.7</v>
      </c>
      <c r="AD156" s="1509">
        <f t="shared" si="119"/>
        <v>0</v>
      </c>
      <c r="AE156" s="1509">
        <f t="shared" si="120"/>
        <v>0</v>
      </c>
      <c r="AF156" s="1509">
        <f t="shared" si="120"/>
        <v>0</v>
      </c>
      <c r="AG156" s="1509">
        <f t="shared" si="120"/>
        <v>0</v>
      </c>
      <c r="AH156" s="1490">
        <f t="shared" si="94"/>
        <v>0</v>
      </c>
      <c r="AI156" s="1636">
        <f t="shared" si="121"/>
        <v>0</v>
      </c>
      <c r="AJ156" s="1636">
        <f t="shared" si="122"/>
        <v>0</v>
      </c>
      <c r="AK156" s="1636">
        <f t="shared" si="123"/>
        <v>0</v>
      </c>
      <c r="AL156" s="1636">
        <f t="shared" si="113"/>
        <v>0</v>
      </c>
      <c r="AM156" s="1636">
        <f t="shared" si="113"/>
        <v>0</v>
      </c>
      <c r="AN156" s="1637"/>
      <c r="AO156" s="1722">
        <v>1.7</v>
      </c>
      <c r="AP156" s="1638"/>
      <c r="AQ156" s="1638"/>
      <c r="AR156" s="1638"/>
      <c r="AS156" s="1639"/>
      <c r="AT156" s="1638"/>
      <c r="AU156" s="1638"/>
      <c r="AV156" s="1638"/>
      <c r="AW156" s="1639"/>
      <c r="AX156" s="1640"/>
      <c r="AY156" s="1640"/>
      <c r="AZ156" s="1640"/>
      <c r="BA156" s="1641"/>
      <c r="BB156" s="1640"/>
      <c r="BC156" s="1640"/>
      <c r="BD156" s="1640"/>
      <c r="BE156" s="1644"/>
      <c r="BF156" s="1640"/>
      <c r="BG156" s="1640"/>
      <c r="BH156" s="1640"/>
      <c r="BI156" s="1641"/>
      <c r="BJ156" s="1640"/>
      <c r="BK156" s="1640"/>
      <c r="BL156" s="1640"/>
      <c r="BM156" s="1641"/>
      <c r="BN156" s="1640"/>
      <c r="BO156" s="1640"/>
      <c r="BP156" s="1640"/>
      <c r="BQ156" s="1641"/>
      <c r="BR156" s="1640"/>
      <c r="BS156" s="1640"/>
      <c r="BT156" s="1640"/>
      <c r="BU156" s="1641"/>
      <c r="BV156" s="1640"/>
      <c r="BW156" s="1640"/>
      <c r="BX156" s="1640"/>
      <c r="BY156" s="1641"/>
      <c r="BZ156" s="1640"/>
      <c r="CA156" s="1640"/>
      <c r="CB156" s="1640"/>
      <c r="CC156" s="1641"/>
      <c r="CD156" s="1640"/>
      <c r="CE156" s="1640"/>
      <c r="CF156" s="1640"/>
      <c r="CG156" s="1642"/>
      <c r="CH156" s="1643">
        <v>0</v>
      </c>
      <c r="CI156" s="1643">
        <v>0</v>
      </c>
      <c r="CJ156" s="1643">
        <v>0</v>
      </c>
      <c r="CK156" s="1643">
        <v>0</v>
      </c>
    </row>
    <row r="157" spans="1:108" ht="14" x14ac:dyDescent="0.15">
      <c r="A157" s="1688" t="s">
        <v>87</v>
      </c>
      <c r="B157" s="1689" t="s">
        <v>79</v>
      </c>
      <c r="C157" s="1689" t="s">
        <v>100</v>
      </c>
      <c r="D157" s="1689" t="s">
        <v>110</v>
      </c>
      <c r="E157" s="1690">
        <v>4279902</v>
      </c>
      <c r="F157" s="1689"/>
      <c r="G157" s="1667">
        <v>223</v>
      </c>
      <c r="H157" s="1501">
        <v>450.4</v>
      </c>
      <c r="I157" s="1501"/>
      <c r="J157" s="1630"/>
      <c r="K157" s="1630"/>
      <c r="L157" s="1631"/>
      <c r="M157" s="1631"/>
      <c r="N157" s="1631"/>
      <c r="O157" s="1631"/>
      <c r="P157" s="1631"/>
      <c r="Q157" s="1631"/>
      <c r="R157" s="1631"/>
      <c r="S157" s="1631"/>
      <c r="T157" s="1632"/>
      <c r="U157" s="1633"/>
      <c r="V157" s="1633"/>
      <c r="W157" s="1634"/>
      <c r="X157" s="1634"/>
      <c r="Y157" s="1634">
        <f>X157-W157</f>
        <v>0</v>
      </c>
      <c r="Z157" s="1635"/>
      <c r="AA157" s="1634"/>
      <c r="AB157" s="1634"/>
      <c r="AC157" s="1508">
        <f t="shared" si="118"/>
        <v>450.39999999999992</v>
      </c>
      <c r="AD157" s="1509">
        <f t="shared" si="119"/>
        <v>0</v>
      </c>
      <c r="AE157" s="1509">
        <f t="shared" si="120"/>
        <v>0</v>
      </c>
      <c r="AF157" s="1509">
        <f t="shared" si="120"/>
        <v>0</v>
      </c>
      <c r="AG157" s="1509">
        <f t="shared" si="120"/>
        <v>0</v>
      </c>
      <c r="AH157" s="1490">
        <f t="shared" si="94"/>
        <v>0</v>
      </c>
      <c r="AI157" s="1636">
        <f t="shared" si="121"/>
        <v>0</v>
      </c>
      <c r="AJ157" s="1636">
        <f t="shared" si="122"/>
        <v>0</v>
      </c>
      <c r="AK157" s="1636">
        <f t="shared" si="123"/>
        <v>0</v>
      </c>
      <c r="AL157" s="1636">
        <f t="shared" si="113"/>
        <v>0</v>
      </c>
      <c r="AM157" s="1636">
        <f t="shared" si="113"/>
        <v>0</v>
      </c>
      <c r="AN157" s="1637"/>
      <c r="AO157" s="1722">
        <v>37.5</v>
      </c>
      <c r="AP157" s="1638"/>
      <c r="AQ157" s="1638"/>
      <c r="AR157" s="1638"/>
      <c r="AS157" s="1639">
        <v>37.5</v>
      </c>
      <c r="AT157" s="1638"/>
      <c r="AU157" s="1638"/>
      <c r="AV157" s="1638"/>
      <c r="AW157" s="1639"/>
      <c r="AX157" s="1640"/>
      <c r="AY157" s="1640"/>
      <c r="AZ157" s="1640"/>
      <c r="BA157" s="1641"/>
      <c r="BB157" s="1640"/>
      <c r="BC157" s="1640"/>
      <c r="BD157" s="1640"/>
      <c r="BE157" s="1644">
        <v>80.599999999999994</v>
      </c>
      <c r="BF157" s="1640"/>
      <c r="BG157" s="1640"/>
      <c r="BH157" s="1640"/>
      <c r="BI157" s="1641">
        <v>40.299999999999997</v>
      </c>
      <c r="BJ157" s="1640"/>
      <c r="BK157" s="1640"/>
      <c r="BL157" s="1640"/>
      <c r="BM157" s="1641"/>
      <c r="BN157" s="1640"/>
      <c r="BO157" s="1640"/>
      <c r="BP157" s="1640"/>
      <c r="BQ157" s="1641">
        <v>40.299999999999997</v>
      </c>
      <c r="BR157" s="1640"/>
      <c r="BS157" s="1640"/>
      <c r="BT157" s="1640"/>
      <c r="BU157" s="1641">
        <v>101.6</v>
      </c>
      <c r="BV157" s="1640"/>
      <c r="BW157" s="1640"/>
      <c r="BX157" s="1640"/>
      <c r="BY157" s="1641">
        <v>74.900000000000006</v>
      </c>
      <c r="BZ157" s="1640"/>
      <c r="CA157" s="1640"/>
      <c r="CB157" s="1640"/>
      <c r="CC157" s="1641"/>
      <c r="CD157" s="1640"/>
      <c r="CE157" s="1640"/>
      <c r="CF157" s="1640"/>
      <c r="CG157" s="1642"/>
      <c r="CH157" s="1643">
        <v>37.700000000000003</v>
      </c>
      <c r="CI157" s="1643">
        <v>0</v>
      </c>
      <c r="CJ157" s="1643">
        <v>0</v>
      </c>
      <c r="CK157" s="1643">
        <v>0</v>
      </c>
      <c r="CO157" s="1558">
        <f>233/325.88</f>
        <v>0.71498711182030195</v>
      </c>
      <c r="CP157" s="489">
        <v>80.5</v>
      </c>
    </row>
    <row r="158" spans="1:108" ht="14" x14ac:dyDescent="0.15">
      <c r="A158" s="1688" t="s">
        <v>111</v>
      </c>
      <c r="B158" s="1689" t="s">
        <v>79</v>
      </c>
      <c r="C158" s="1689" t="s">
        <v>100</v>
      </c>
      <c r="D158" s="1689" t="s">
        <v>110</v>
      </c>
      <c r="E158" s="1690">
        <v>4279902</v>
      </c>
      <c r="F158" s="1689"/>
      <c r="G158" s="1667">
        <v>224</v>
      </c>
      <c r="H158" s="1501">
        <v>0</v>
      </c>
      <c r="I158" s="1501"/>
      <c r="J158" s="1630"/>
      <c r="K158" s="1630"/>
      <c r="L158" s="1631"/>
      <c r="M158" s="1631"/>
      <c r="N158" s="1631"/>
      <c r="O158" s="1631"/>
      <c r="P158" s="1631"/>
      <c r="Q158" s="1631"/>
      <c r="R158" s="1631"/>
      <c r="S158" s="1631"/>
      <c r="T158" s="1632"/>
      <c r="U158" s="1633"/>
      <c r="V158" s="1633"/>
      <c r="W158" s="1634">
        <f>H154/12*11</f>
        <v>5101.3416666666672</v>
      </c>
      <c r="X158" s="1634">
        <f>AC154</f>
        <v>5565.1</v>
      </c>
      <c r="Y158" s="1634">
        <f>X158-W158</f>
        <v>463.75833333333321</v>
      </c>
      <c r="Z158" s="1635"/>
      <c r="AA158" s="1634">
        <f>T154/12*11</f>
        <v>559.25833333333333</v>
      </c>
      <c r="AB158" s="1634">
        <f>AA158+Y158</f>
        <v>1023.0166666666665</v>
      </c>
      <c r="AC158" s="1508">
        <f t="shared" si="118"/>
        <v>0</v>
      </c>
      <c r="AD158" s="1509">
        <f t="shared" si="119"/>
        <v>0</v>
      </c>
      <c r="AE158" s="1509">
        <f t="shared" si="120"/>
        <v>0</v>
      </c>
      <c r="AF158" s="1509">
        <f t="shared" si="120"/>
        <v>0</v>
      </c>
      <c r="AG158" s="1509">
        <f t="shared" si="120"/>
        <v>0</v>
      </c>
      <c r="AH158" s="1490">
        <f t="shared" si="94"/>
        <v>0</v>
      </c>
      <c r="AI158" s="1636">
        <f t="shared" si="121"/>
        <v>0</v>
      </c>
      <c r="AJ158" s="1636">
        <f t="shared" si="122"/>
        <v>0</v>
      </c>
      <c r="AK158" s="1636">
        <f t="shared" si="123"/>
        <v>0</v>
      </c>
      <c r="AL158" s="1636">
        <f t="shared" si="113"/>
        <v>0</v>
      </c>
      <c r="AM158" s="1636">
        <f t="shared" si="113"/>
        <v>0</v>
      </c>
      <c r="AN158" s="1637"/>
      <c r="AO158" s="1722">
        <v>0</v>
      </c>
      <c r="AP158" s="1638"/>
      <c r="AQ158" s="1638"/>
      <c r="AR158" s="1638"/>
      <c r="AS158" s="1639"/>
      <c r="AT158" s="1638"/>
      <c r="AU158" s="1638"/>
      <c r="AV158" s="1638"/>
      <c r="AW158" s="1639"/>
      <c r="AX158" s="1640"/>
      <c r="AY158" s="1640"/>
      <c r="AZ158" s="1640"/>
      <c r="BA158" s="1641"/>
      <c r="BB158" s="1640"/>
      <c r="BC158" s="1640"/>
      <c r="BD158" s="1640"/>
      <c r="BE158" s="1644"/>
      <c r="BF158" s="1640"/>
      <c r="BG158" s="1640"/>
      <c r="BH158" s="1640"/>
      <c r="BI158" s="1641"/>
      <c r="BJ158" s="1640"/>
      <c r="BK158" s="1640"/>
      <c r="BL158" s="1640"/>
      <c r="BM158" s="1641"/>
      <c r="BN158" s="1640"/>
      <c r="BO158" s="1640"/>
      <c r="BP158" s="1640"/>
      <c r="BQ158" s="1641"/>
      <c r="BR158" s="1640"/>
      <c r="BS158" s="1640"/>
      <c r="BT158" s="1640"/>
      <c r="BU158" s="1641"/>
      <c r="BV158" s="1640"/>
      <c r="BW158" s="1640"/>
      <c r="BX158" s="1640"/>
      <c r="BY158" s="1641"/>
      <c r="BZ158" s="1640"/>
      <c r="CA158" s="1640"/>
      <c r="CB158" s="1640"/>
      <c r="CC158" s="1641"/>
      <c r="CD158" s="1640"/>
      <c r="CE158" s="1640"/>
      <c r="CF158" s="1640"/>
      <c r="CG158" s="1642"/>
      <c r="CH158" s="1643">
        <v>0</v>
      </c>
      <c r="CI158" s="1643">
        <v>0</v>
      </c>
      <c r="CJ158" s="1643">
        <v>0</v>
      </c>
      <c r="CK158" s="1643">
        <v>0</v>
      </c>
    </row>
    <row r="159" spans="1:108" ht="14" x14ac:dyDescent="0.15">
      <c r="A159" s="1688" t="s">
        <v>90</v>
      </c>
      <c r="B159" s="1689" t="s">
        <v>79</v>
      </c>
      <c r="C159" s="1689" t="s">
        <v>100</v>
      </c>
      <c r="D159" s="1689" t="s">
        <v>110</v>
      </c>
      <c r="E159" s="1690">
        <v>4279902</v>
      </c>
      <c r="F159" s="1689"/>
      <c r="G159" s="1667">
        <v>225</v>
      </c>
      <c r="H159" s="1501">
        <f>2782+70</f>
        <v>2852</v>
      </c>
      <c r="I159" s="1501"/>
      <c r="J159" s="1630">
        <f>361.36-V159</f>
        <v>271.36</v>
      </c>
      <c r="K159" s="1630"/>
      <c r="L159" s="1631"/>
      <c r="M159" s="1631"/>
      <c r="N159" s="1631"/>
      <c r="O159" s="1631"/>
      <c r="P159" s="1631"/>
      <c r="Q159" s="1631"/>
      <c r="R159" s="1631"/>
      <c r="S159" s="1631"/>
      <c r="T159" s="1632"/>
      <c r="U159" s="1633"/>
      <c r="V159" s="1633">
        <v>90</v>
      </c>
      <c r="W159" s="1634"/>
      <c r="X159" s="1634"/>
      <c r="Y159" s="1634"/>
      <c r="Z159" s="1635"/>
      <c r="AA159" s="1634"/>
      <c r="AB159" s="1634"/>
      <c r="AC159" s="1508">
        <f t="shared" si="118"/>
        <v>2852</v>
      </c>
      <c r="AD159" s="1509">
        <f t="shared" si="119"/>
        <v>271.36</v>
      </c>
      <c r="AE159" s="1509">
        <f t="shared" si="120"/>
        <v>0</v>
      </c>
      <c r="AF159" s="1509">
        <f t="shared" si="120"/>
        <v>271.36</v>
      </c>
      <c r="AG159" s="1509">
        <f t="shared" si="120"/>
        <v>0</v>
      </c>
      <c r="AH159" s="1490">
        <f t="shared" si="94"/>
        <v>0</v>
      </c>
      <c r="AI159" s="1636">
        <f t="shared" si="121"/>
        <v>0</v>
      </c>
      <c r="AJ159" s="1636">
        <f t="shared" si="122"/>
        <v>0</v>
      </c>
      <c r="AK159" s="1636">
        <f t="shared" si="123"/>
        <v>0</v>
      </c>
      <c r="AL159" s="1636">
        <f t="shared" si="113"/>
        <v>0</v>
      </c>
      <c r="AM159" s="1636">
        <f t="shared" si="113"/>
        <v>0</v>
      </c>
      <c r="AN159" s="1637"/>
      <c r="AO159" s="1723"/>
      <c r="AP159" s="1638"/>
      <c r="AQ159" s="1638"/>
      <c r="AR159" s="1638"/>
      <c r="AS159" s="1639"/>
      <c r="AT159" s="1638"/>
      <c r="AU159" s="1638"/>
      <c r="AV159" s="1638"/>
      <c r="AW159" s="1639"/>
      <c r="AX159" s="1640"/>
      <c r="AY159" s="1640"/>
      <c r="AZ159" s="1640"/>
      <c r="BA159" s="1641">
        <v>2782</v>
      </c>
      <c r="BB159" s="1640"/>
      <c r="BC159" s="1640"/>
      <c r="BD159" s="1640"/>
      <c r="BE159" s="1644"/>
      <c r="BF159" s="1640"/>
      <c r="BG159" s="1640"/>
      <c r="BH159" s="1640"/>
      <c r="BI159" s="1641"/>
      <c r="BJ159" s="1640"/>
      <c r="BK159" s="1640"/>
      <c r="BL159" s="1640"/>
      <c r="BM159" s="1641"/>
      <c r="BN159" s="1640"/>
      <c r="BO159" s="1640"/>
      <c r="BP159" s="1640"/>
      <c r="BQ159" s="1641">
        <v>70</v>
      </c>
      <c r="BR159" s="1640"/>
      <c r="BS159" s="1640"/>
      <c r="BT159" s="1640"/>
      <c r="BU159" s="1641"/>
      <c r="BV159" s="1640"/>
      <c r="BW159" s="1640">
        <v>100</v>
      </c>
      <c r="BX159" s="1640"/>
      <c r="BY159" s="1641"/>
      <c r="BZ159" s="1640"/>
      <c r="CA159" s="1640">
        <v>100</v>
      </c>
      <c r="CB159" s="1640"/>
      <c r="CC159" s="1641"/>
      <c r="CD159" s="1640"/>
      <c r="CE159" s="1640"/>
      <c r="CF159" s="1640"/>
      <c r="CG159" s="1642"/>
      <c r="CH159" s="1643">
        <v>0</v>
      </c>
      <c r="CI159" s="1643">
        <v>0</v>
      </c>
      <c r="CJ159" s="1643">
        <v>71.36</v>
      </c>
      <c r="CK159" s="1643">
        <v>0</v>
      </c>
    </row>
    <row r="160" spans="1:108" ht="14" x14ac:dyDescent="0.15">
      <c r="A160" s="1688" t="s">
        <v>91</v>
      </c>
      <c r="B160" s="1689" t="s">
        <v>79</v>
      </c>
      <c r="C160" s="1689" t="s">
        <v>100</v>
      </c>
      <c r="D160" s="1689" t="s">
        <v>110</v>
      </c>
      <c r="E160" s="1690">
        <v>4279902</v>
      </c>
      <c r="F160" s="1689"/>
      <c r="G160" s="1667">
        <v>226</v>
      </c>
      <c r="H160" s="1501">
        <f>35+3+40-U160</f>
        <v>35.049999999999997</v>
      </c>
      <c r="I160" s="1501"/>
      <c r="J160" s="1630"/>
      <c r="K160" s="1630"/>
      <c r="L160" s="1631"/>
      <c r="M160" s="1631"/>
      <c r="N160" s="1631">
        <v>150</v>
      </c>
      <c r="O160" s="1631"/>
      <c r="P160" s="1631"/>
      <c r="Q160" s="1631"/>
      <c r="R160" s="1631"/>
      <c r="S160" s="1631">
        <v>765</v>
      </c>
      <c r="T160" s="1632"/>
      <c r="U160" s="1633">
        <v>42.95</v>
      </c>
      <c r="V160" s="1633"/>
      <c r="W160" s="1634"/>
      <c r="X160" s="1634"/>
      <c r="Y160" s="1634">
        <f>T152/12</f>
        <v>168.33333333333334</v>
      </c>
      <c r="Z160" s="1635"/>
      <c r="AA160" s="1634">
        <f>T152-AB156</f>
        <v>-1367.2750000000005</v>
      </c>
      <c r="AB160" s="1634"/>
      <c r="AC160" s="1508">
        <f t="shared" si="118"/>
        <v>35.049999999999997</v>
      </c>
      <c r="AD160" s="1509">
        <f t="shared" si="119"/>
        <v>0</v>
      </c>
      <c r="AE160" s="1509">
        <f t="shared" si="120"/>
        <v>0</v>
      </c>
      <c r="AF160" s="1509">
        <f t="shared" si="120"/>
        <v>0</v>
      </c>
      <c r="AG160" s="1509">
        <f t="shared" si="120"/>
        <v>0</v>
      </c>
      <c r="AH160" s="1490">
        <f t="shared" si="94"/>
        <v>0</v>
      </c>
      <c r="AI160" s="1636">
        <f t="shared" si="121"/>
        <v>0</v>
      </c>
      <c r="AJ160" s="1636">
        <f t="shared" si="122"/>
        <v>0</v>
      </c>
      <c r="AK160" s="1636">
        <f t="shared" si="123"/>
        <v>0</v>
      </c>
      <c r="AL160" s="1636">
        <f t="shared" si="113"/>
        <v>0</v>
      </c>
      <c r="AM160" s="1636">
        <f t="shared" si="113"/>
        <v>0</v>
      </c>
      <c r="AN160" s="1637"/>
      <c r="AO160" s="1723"/>
      <c r="AP160" s="1638"/>
      <c r="AQ160" s="1638"/>
      <c r="AR160" s="1638"/>
      <c r="AS160" s="1639"/>
      <c r="AT160" s="1638"/>
      <c r="AU160" s="1638"/>
      <c r="AV160" s="1638"/>
      <c r="AW160" s="1639"/>
      <c r="AX160" s="1640"/>
      <c r="AY160" s="1640"/>
      <c r="AZ160" s="1640"/>
      <c r="BA160" s="1641"/>
      <c r="BB160" s="1640"/>
      <c r="BC160" s="1640"/>
      <c r="BD160" s="1640"/>
      <c r="BE160" s="1644"/>
      <c r="BF160" s="1640"/>
      <c r="BG160" s="1640"/>
      <c r="BH160" s="1640"/>
      <c r="BI160" s="1641"/>
      <c r="BJ160" s="1640"/>
      <c r="BK160" s="1640"/>
      <c r="BL160" s="1640"/>
      <c r="BM160" s="1641"/>
      <c r="BN160" s="1640"/>
      <c r="BO160" s="1640"/>
      <c r="BP160" s="1640"/>
      <c r="BQ160" s="1641">
        <v>35.049999999999997</v>
      </c>
      <c r="BR160" s="1640"/>
      <c r="BS160" s="1640"/>
      <c r="BT160" s="1640"/>
      <c r="BU160" s="1641"/>
      <c r="BV160" s="1640"/>
      <c r="BW160" s="1640"/>
      <c r="BX160" s="1640"/>
      <c r="BY160" s="1641"/>
      <c r="BZ160" s="1640"/>
      <c r="CA160" s="1640"/>
      <c r="CB160" s="1640"/>
      <c r="CC160" s="1641"/>
      <c r="CD160" s="1640"/>
      <c r="CE160" s="1640"/>
      <c r="CF160" s="1640"/>
      <c r="CG160" s="1642"/>
      <c r="CH160" s="1643">
        <v>0</v>
      </c>
      <c r="CI160" s="1643">
        <v>0</v>
      </c>
      <c r="CJ160" s="1643">
        <v>0</v>
      </c>
      <c r="CK160" s="1643">
        <v>0</v>
      </c>
    </row>
    <row r="161" spans="1:108" ht="14" x14ac:dyDescent="0.15">
      <c r="A161" s="1688" t="s">
        <v>94</v>
      </c>
      <c r="B161" s="1689" t="s">
        <v>79</v>
      </c>
      <c r="C161" s="1689" t="s">
        <v>100</v>
      </c>
      <c r="D161" s="1689" t="s">
        <v>110</v>
      </c>
      <c r="E161" s="1690">
        <v>4279902</v>
      </c>
      <c r="F161" s="1689"/>
      <c r="G161" s="1667">
        <v>290</v>
      </c>
      <c r="H161" s="1501">
        <f>2141.7</f>
        <v>2141.6999999999998</v>
      </c>
      <c r="I161" s="1501"/>
      <c r="J161" s="1630"/>
      <c r="K161" s="1630"/>
      <c r="L161" s="1631"/>
      <c r="M161" s="1631"/>
      <c r="N161" s="1631"/>
      <c r="O161" s="1631"/>
      <c r="P161" s="1631"/>
      <c r="Q161" s="1631"/>
      <c r="R161" s="1631"/>
      <c r="S161" s="1631"/>
      <c r="T161" s="1632"/>
      <c r="U161" s="1633"/>
      <c r="V161" s="1633"/>
      <c r="W161" s="1634"/>
      <c r="X161" s="1634"/>
      <c r="Y161" s="1634"/>
      <c r="Z161" s="1635"/>
      <c r="AA161" s="1634"/>
      <c r="AB161" s="1634"/>
      <c r="AC161" s="1508">
        <f t="shared" si="118"/>
        <v>2141.6999999999998</v>
      </c>
      <c r="AD161" s="1509">
        <f t="shared" si="119"/>
        <v>0</v>
      </c>
      <c r="AE161" s="1509">
        <f t="shared" si="120"/>
        <v>0</v>
      </c>
      <c r="AF161" s="1509">
        <f t="shared" si="120"/>
        <v>0</v>
      </c>
      <c r="AG161" s="1509">
        <f t="shared" si="120"/>
        <v>0</v>
      </c>
      <c r="AH161" s="1490">
        <f t="shared" si="94"/>
        <v>0</v>
      </c>
      <c r="AI161" s="1636">
        <f t="shared" si="121"/>
        <v>0</v>
      </c>
      <c r="AJ161" s="1636">
        <f t="shared" si="122"/>
        <v>0</v>
      </c>
      <c r="AK161" s="1636">
        <f t="shared" si="123"/>
        <v>0</v>
      </c>
      <c r="AL161" s="1636">
        <f t="shared" si="113"/>
        <v>0</v>
      </c>
      <c r="AM161" s="1636">
        <f t="shared" si="113"/>
        <v>0</v>
      </c>
      <c r="AN161" s="1637"/>
      <c r="AO161" s="1722">
        <v>178.3</v>
      </c>
      <c r="AP161" s="1638"/>
      <c r="AQ161" s="1638"/>
      <c r="AR161" s="1638"/>
      <c r="AS161" s="1639">
        <v>178.5</v>
      </c>
      <c r="AT161" s="1638"/>
      <c r="AU161" s="1638"/>
      <c r="AV161" s="1638"/>
      <c r="AW161" s="1639">
        <v>178</v>
      </c>
      <c r="AX161" s="1640"/>
      <c r="AY161" s="1640"/>
      <c r="AZ161" s="1640"/>
      <c r="BA161" s="1641">
        <v>178</v>
      </c>
      <c r="BB161" s="1640"/>
      <c r="BC161" s="1640"/>
      <c r="BD161" s="1640"/>
      <c r="BE161" s="1644">
        <v>175</v>
      </c>
      <c r="BF161" s="1640"/>
      <c r="BG161" s="1640"/>
      <c r="BH161" s="1640"/>
      <c r="BI161" s="1641">
        <v>178</v>
      </c>
      <c r="BJ161" s="1640"/>
      <c r="BK161" s="1640"/>
      <c r="BL161" s="1640"/>
      <c r="BM161" s="1641"/>
      <c r="BN161" s="1640"/>
      <c r="BO161" s="1640"/>
      <c r="BP161" s="1640"/>
      <c r="BQ161" s="1641">
        <v>178.5</v>
      </c>
      <c r="BR161" s="1640"/>
      <c r="BS161" s="1640"/>
      <c r="BT161" s="1640"/>
      <c r="BU161" s="1641">
        <v>353.7</v>
      </c>
      <c r="BV161" s="1640"/>
      <c r="BW161" s="1640"/>
      <c r="BX161" s="1640"/>
      <c r="BY161" s="1641"/>
      <c r="BZ161" s="1640"/>
      <c r="CA161" s="1640"/>
      <c r="CB161" s="1640"/>
      <c r="CC161" s="1641"/>
      <c r="CD161" s="1640"/>
      <c r="CE161" s="1640"/>
      <c r="CF161" s="1640"/>
      <c r="CG161" s="1642"/>
      <c r="CH161" s="1643">
        <f>362.7+181</f>
        <v>543.70000000000005</v>
      </c>
      <c r="CI161" s="1643">
        <v>0</v>
      </c>
      <c r="CJ161" s="1643">
        <v>0</v>
      </c>
      <c r="CK161" s="1643">
        <v>0</v>
      </c>
    </row>
    <row r="162" spans="1:108" ht="14" x14ac:dyDescent="0.15">
      <c r="A162" s="1688" t="s">
        <v>94</v>
      </c>
      <c r="B162" s="1689" t="s">
        <v>79</v>
      </c>
      <c r="C162" s="1689" t="s">
        <v>100</v>
      </c>
      <c r="D162" s="1689" t="s">
        <v>110</v>
      </c>
      <c r="E162" s="1690">
        <v>4279902</v>
      </c>
      <c r="F162" s="1689"/>
      <c r="G162" s="1667" t="s">
        <v>95</v>
      </c>
      <c r="H162" s="1501">
        <v>47.8</v>
      </c>
      <c r="I162" s="1501"/>
      <c r="J162" s="1630"/>
      <c r="K162" s="1630"/>
      <c r="L162" s="1631"/>
      <c r="M162" s="1631"/>
      <c r="N162" s="1631"/>
      <c r="O162" s="1631"/>
      <c r="P162" s="1631"/>
      <c r="Q162" s="1631"/>
      <c r="R162" s="1631"/>
      <c r="S162" s="1631"/>
      <c r="T162" s="1632"/>
      <c r="U162" s="1633"/>
      <c r="V162" s="1633"/>
      <c r="W162" s="1634"/>
      <c r="X162" s="1634"/>
      <c r="Y162" s="1634">
        <f>T154/12</f>
        <v>50.841666666666669</v>
      </c>
      <c r="Z162" s="1635"/>
      <c r="AA162" s="1634">
        <f>T154-AB158</f>
        <v>-412.91666666666652</v>
      </c>
      <c r="AB162" s="1634"/>
      <c r="AC162" s="1508">
        <f t="shared" si="118"/>
        <v>47.8</v>
      </c>
      <c r="AD162" s="1509">
        <f t="shared" si="119"/>
        <v>0</v>
      </c>
      <c r="AE162" s="1509">
        <f t="shared" si="120"/>
        <v>0</v>
      </c>
      <c r="AF162" s="1509">
        <f t="shared" si="120"/>
        <v>0</v>
      </c>
      <c r="AG162" s="1509">
        <f t="shared" si="120"/>
        <v>0</v>
      </c>
      <c r="AH162" s="1490">
        <f t="shared" si="94"/>
        <v>0</v>
      </c>
      <c r="AI162" s="1636">
        <f t="shared" si="121"/>
        <v>0</v>
      </c>
      <c r="AJ162" s="1636">
        <f t="shared" si="122"/>
        <v>0</v>
      </c>
      <c r="AK162" s="1636">
        <f t="shared" si="123"/>
        <v>0</v>
      </c>
      <c r="AL162" s="1636">
        <f t="shared" si="113"/>
        <v>0</v>
      </c>
      <c r="AM162" s="1636">
        <f t="shared" si="113"/>
        <v>0</v>
      </c>
      <c r="AN162" s="1637"/>
      <c r="AO162" s="1722">
        <v>4</v>
      </c>
      <c r="AP162" s="1638"/>
      <c r="AQ162" s="1638"/>
      <c r="AR162" s="1638"/>
      <c r="AS162" s="1639"/>
      <c r="AT162" s="1638"/>
      <c r="AU162" s="1638"/>
      <c r="AV162" s="1638"/>
      <c r="AW162" s="1639"/>
      <c r="AX162" s="1640"/>
      <c r="AY162" s="1640"/>
      <c r="AZ162" s="1640"/>
      <c r="BA162" s="1641"/>
      <c r="BB162" s="1640"/>
      <c r="BC162" s="1640"/>
      <c r="BD162" s="1640"/>
      <c r="BE162" s="1644">
        <v>11.9</v>
      </c>
      <c r="BF162" s="1640"/>
      <c r="BG162" s="1640"/>
      <c r="BH162" s="1640"/>
      <c r="BI162" s="1641"/>
      <c r="BJ162" s="1640"/>
      <c r="BK162" s="1640"/>
      <c r="BL162" s="1640"/>
      <c r="BM162" s="1641"/>
      <c r="BN162" s="1640"/>
      <c r="BO162" s="1640"/>
      <c r="BP162" s="1640"/>
      <c r="BQ162" s="1641"/>
      <c r="BR162" s="1640"/>
      <c r="BS162" s="1640"/>
      <c r="BT162" s="1640"/>
      <c r="BU162" s="1641">
        <v>20</v>
      </c>
      <c r="BV162" s="1640"/>
      <c r="BW162" s="1640"/>
      <c r="BX162" s="1640"/>
      <c r="BY162" s="1641"/>
      <c r="BZ162" s="1640"/>
      <c r="CA162" s="1640"/>
      <c r="CB162" s="1640"/>
      <c r="CC162" s="1641"/>
      <c r="CD162" s="1640"/>
      <c r="CE162" s="1640"/>
      <c r="CF162" s="1640"/>
      <c r="CG162" s="1642"/>
      <c r="CH162" s="1643">
        <v>11.9</v>
      </c>
      <c r="CI162" s="1643">
        <v>0</v>
      </c>
      <c r="CJ162" s="1643">
        <v>0</v>
      </c>
      <c r="CK162" s="1643">
        <v>0</v>
      </c>
    </row>
    <row r="163" spans="1:108" ht="14.25" customHeight="1" x14ac:dyDescent="0.15">
      <c r="A163" s="1688" t="s">
        <v>96</v>
      </c>
      <c r="B163" s="1689" t="s">
        <v>79</v>
      </c>
      <c r="C163" s="1689" t="s">
        <v>100</v>
      </c>
      <c r="D163" s="1689" t="s">
        <v>110</v>
      </c>
      <c r="E163" s="1690">
        <v>4279902</v>
      </c>
      <c r="F163" s="1689"/>
      <c r="G163" s="1667">
        <v>310</v>
      </c>
      <c r="H163" s="1501">
        <f>70-U163</f>
        <v>0</v>
      </c>
      <c r="I163" s="1501"/>
      <c r="J163" s="1630">
        <f>10-V163</f>
        <v>0</v>
      </c>
      <c r="K163" s="1630"/>
      <c r="L163" s="1631"/>
      <c r="M163" s="1631"/>
      <c r="N163" s="1631"/>
      <c r="O163" s="1631"/>
      <c r="P163" s="1631"/>
      <c r="Q163" s="1631"/>
      <c r="R163" s="1631"/>
      <c r="S163" s="1631"/>
      <c r="T163" s="1632"/>
      <c r="U163" s="1633">
        <v>70</v>
      </c>
      <c r="V163" s="1633">
        <v>10</v>
      </c>
      <c r="W163" s="1634"/>
      <c r="X163" s="1634"/>
      <c r="Y163" s="1634"/>
      <c r="Z163" s="1635"/>
      <c r="AA163" s="1634"/>
      <c r="AB163" s="1634"/>
      <c r="AC163" s="1508">
        <f t="shared" si="118"/>
        <v>0</v>
      </c>
      <c r="AD163" s="1509">
        <f t="shared" si="119"/>
        <v>0</v>
      </c>
      <c r="AE163" s="1509">
        <f t="shared" si="120"/>
        <v>0</v>
      </c>
      <c r="AF163" s="1509">
        <f t="shared" si="120"/>
        <v>0</v>
      </c>
      <c r="AG163" s="1509">
        <f t="shared" si="120"/>
        <v>0</v>
      </c>
      <c r="AH163" s="1490">
        <f t="shared" si="94"/>
        <v>0</v>
      </c>
      <c r="AI163" s="1636">
        <f t="shared" si="121"/>
        <v>0</v>
      </c>
      <c r="AJ163" s="1636">
        <f t="shared" si="122"/>
        <v>0</v>
      </c>
      <c r="AK163" s="1636">
        <f t="shared" si="123"/>
        <v>0</v>
      </c>
      <c r="AL163" s="1636">
        <f t="shared" si="113"/>
        <v>0</v>
      </c>
      <c r="AM163" s="1636">
        <f t="shared" si="113"/>
        <v>0</v>
      </c>
      <c r="AN163" s="1637"/>
      <c r="AO163" s="1723"/>
      <c r="AP163" s="1638"/>
      <c r="AQ163" s="1638"/>
      <c r="AR163" s="1638"/>
      <c r="AS163" s="1639"/>
      <c r="AT163" s="1638"/>
      <c r="AU163" s="1638"/>
      <c r="AV163" s="1638"/>
      <c r="AW163" s="1639"/>
      <c r="AX163" s="1640"/>
      <c r="AY163" s="1640"/>
      <c r="AZ163" s="1640"/>
      <c r="BA163" s="1641"/>
      <c r="BB163" s="1640"/>
      <c r="BC163" s="1640"/>
      <c r="BD163" s="1640"/>
      <c r="BE163" s="1644"/>
      <c r="BF163" s="1640"/>
      <c r="BG163" s="1640"/>
      <c r="BH163" s="1640"/>
      <c r="BI163" s="1641"/>
      <c r="BJ163" s="1640"/>
      <c r="BK163" s="1640"/>
      <c r="BL163" s="1640"/>
      <c r="BM163" s="1641"/>
      <c r="BN163" s="1640"/>
      <c r="BO163" s="1640"/>
      <c r="BP163" s="1640"/>
      <c r="BQ163" s="1641"/>
      <c r="BR163" s="1640"/>
      <c r="BS163" s="1640"/>
      <c r="BT163" s="1640"/>
      <c r="BU163" s="1641"/>
      <c r="BV163" s="1640"/>
      <c r="BW163" s="1640"/>
      <c r="BX163" s="1640"/>
      <c r="BY163" s="1641"/>
      <c r="BZ163" s="1640"/>
      <c r="CA163" s="1640"/>
      <c r="CB163" s="1640"/>
      <c r="CC163" s="1641"/>
      <c r="CD163" s="1640"/>
      <c r="CE163" s="1640"/>
      <c r="CF163" s="1640"/>
      <c r="CG163" s="1642"/>
      <c r="CH163" s="1643">
        <v>0</v>
      </c>
      <c r="CI163" s="1643">
        <v>0</v>
      </c>
      <c r="CJ163" s="1643">
        <v>0</v>
      </c>
      <c r="CK163" s="1643">
        <v>0</v>
      </c>
    </row>
    <row r="164" spans="1:108" ht="14" x14ac:dyDescent="0.15">
      <c r="A164" s="1688" t="s">
        <v>97</v>
      </c>
      <c r="B164" s="1689" t="s">
        <v>79</v>
      </c>
      <c r="C164" s="1689" t="s">
        <v>100</v>
      </c>
      <c r="D164" s="1689" t="s">
        <v>110</v>
      </c>
      <c r="E164" s="1690">
        <v>4279902</v>
      </c>
      <c r="F164" s="1689"/>
      <c r="G164" s="1667">
        <v>340</v>
      </c>
      <c r="H164" s="1501">
        <f>200+70-U164</f>
        <v>205.8</v>
      </c>
      <c r="I164" s="1501"/>
      <c r="J164" s="1630"/>
      <c r="K164" s="1630"/>
      <c r="L164" s="1631"/>
      <c r="M164" s="1631"/>
      <c r="N164" s="1631"/>
      <c r="O164" s="1631"/>
      <c r="P164" s="1631"/>
      <c r="Q164" s="1631"/>
      <c r="R164" s="1631"/>
      <c r="S164" s="1631"/>
      <c r="T164" s="1632"/>
      <c r="U164" s="1633">
        <v>64.2</v>
      </c>
      <c r="V164" s="1633"/>
      <c r="W164" s="1634"/>
      <c r="X164" s="1634"/>
      <c r="Y164" s="1634"/>
      <c r="Z164" s="1635"/>
      <c r="AA164" s="1634"/>
      <c r="AB164" s="1634"/>
      <c r="AC164" s="1508">
        <f t="shared" si="118"/>
        <v>205.8</v>
      </c>
      <c r="AD164" s="1509">
        <f t="shared" si="119"/>
        <v>0</v>
      </c>
      <c r="AE164" s="1509">
        <f t="shared" si="120"/>
        <v>0</v>
      </c>
      <c r="AF164" s="1509">
        <f t="shared" si="120"/>
        <v>0</v>
      </c>
      <c r="AG164" s="1509">
        <f t="shared" si="120"/>
        <v>0</v>
      </c>
      <c r="AH164" s="1490">
        <f t="shared" si="94"/>
        <v>0</v>
      </c>
      <c r="AI164" s="1636">
        <f t="shared" si="121"/>
        <v>0</v>
      </c>
      <c r="AJ164" s="1636">
        <f t="shared" si="122"/>
        <v>0</v>
      </c>
      <c r="AK164" s="1636">
        <f t="shared" si="123"/>
        <v>0</v>
      </c>
      <c r="AL164" s="1636">
        <f t="shared" si="113"/>
        <v>0</v>
      </c>
      <c r="AM164" s="1636">
        <f t="shared" si="113"/>
        <v>0</v>
      </c>
      <c r="AN164" s="1637"/>
      <c r="AO164" s="1722">
        <v>5.8</v>
      </c>
      <c r="AP164" s="1638"/>
      <c r="AQ164" s="1638"/>
      <c r="AR164" s="1638"/>
      <c r="AS164" s="1639"/>
      <c r="AT164" s="1638"/>
      <c r="AU164" s="1638"/>
      <c r="AV164" s="1638"/>
      <c r="AW164" s="1639"/>
      <c r="AX164" s="1640"/>
      <c r="AY164" s="1640"/>
      <c r="AZ164" s="1640"/>
      <c r="BA164" s="1641"/>
      <c r="BB164" s="1640"/>
      <c r="BC164" s="1640"/>
      <c r="BD164" s="1640"/>
      <c r="BE164" s="1644"/>
      <c r="BF164" s="1640"/>
      <c r="BG164" s="1640"/>
      <c r="BH164" s="1640"/>
      <c r="BI164" s="1641"/>
      <c r="BJ164" s="1640"/>
      <c r="BK164" s="1640"/>
      <c r="BL164" s="1640"/>
      <c r="BM164" s="1641"/>
      <c r="BN164" s="1640"/>
      <c r="BO164" s="1640"/>
      <c r="BP164" s="1640"/>
      <c r="BQ164" s="1641"/>
      <c r="BR164" s="1640"/>
      <c r="BS164" s="1640"/>
      <c r="BT164" s="1640"/>
      <c r="BU164" s="1641">
        <v>200</v>
      </c>
      <c r="BV164" s="1640"/>
      <c r="BW164" s="1640"/>
      <c r="BX164" s="1640"/>
      <c r="BY164" s="1641"/>
      <c r="BZ164" s="1640"/>
      <c r="CA164" s="1640"/>
      <c r="CB164" s="1640"/>
      <c r="CC164" s="1641"/>
      <c r="CD164" s="1640"/>
      <c r="CE164" s="1640"/>
      <c r="CF164" s="1640"/>
      <c r="CG164" s="1642"/>
      <c r="CH164" s="1643">
        <v>0</v>
      </c>
      <c r="CI164" s="1643">
        <v>0</v>
      </c>
      <c r="CJ164" s="1643">
        <v>0</v>
      </c>
      <c r="CK164" s="1643">
        <v>0</v>
      </c>
    </row>
    <row r="165" spans="1:108" ht="14" x14ac:dyDescent="0.15">
      <c r="A165" s="1528" t="s">
        <v>767</v>
      </c>
      <c r="B165" s="1530" t="s">
        <v>79</v>
      </c>
      <c r="C165" s="1530" t="s">
        <v>100</v>
      </c>
      <c r="D165" s="1530" t="s">
        <v>110</v>
      </c>
      <c r="E165" s="1530" t="s">
        <v>224</v>
      </c>
      <c r="F165" s="1530" t="s">
        <v>768</v>
      </c>
      <c r="G165" s="1600" t="s">
        <v>766</v>
      </c>
      <c r="H165" s="1647">
        <f>I151</f>
        <v>0</v>
      </c>
      <c r="I165" s="1645"/>
      <c r="J165" s="1630"/>
      <c r="K165" s="1630"/>
      <c r="L165" s="1631"/>
      <c r="M165" s="1631"/>
      <c r="N165" s="1631"/>
      <c r="O165" s="1631"/>
      <c r="P165" s="1631"/>
      <c r="Q165" s="1631"/>
      <c r="R165" s="1631"/>
      <c r="S165" s="1631"/>
      <c r="T165" s="1632"/>
      <c r="U165" s="1633"/>
      <c r="V165" s="1633"/>
      <c r="W165" s="1634"/>
      <c r="X165" s="1634"/>
      <c r="Y165" s="1634"/>
      <c r="Z165" s="1635"/>
      <c r="AA165" s="1634"/>
      <c r="AB165" s="1634"/>
      <c r="AC165" s="1508">
        <f t="shared" si="118"/>
        <v>0</v>
      </c>
      <c r="AD165" s="1509">
        <f t="shared" si="119"/>
        <v>0</v>
      </c>
      <c r="AE165" s="1509"/>
      <c r="AF165" s="1509"/>
      <c r="AG165" s="1509"/>
      <c r="AH165" s="1490">
        <f t="shared" si="94"/>
        <v>0</v>
      </c>
      <c r="AI165" s="1636"/>
      <c r="AJ165" s="1636"/>
      <c r="AK165" s="1636"/>
      <c r="AL165" s="1636">
        <f t="shared" si="113"/>
        <v>0</v>
      </c>
      <c r="AM165" s="1636"/>
      <c r="AN165" s="1712"/>
      <c r="AO165" s="1713"/>
      <c r="AP165" s="1638"/>
      <c r="AQ165" s="1638"/>
      <c r="AR165" s="1638"/>
      <c r="AS165" s="1639"/>
      <c r="AT165" s="1638"/>
      <c r="AU165" s="1638"/>
      <c r="AV165" s="1638"/>
      <c r="AW165" s="1639"/>
      <c r="AX165" s="1640"/>
      <c r="AY165" s="1640"/>
      <c r="AZ165" s="1640"/>
      <c r="BA165" s="1641"/>
      <c r="BB165" s="1640"/>
      <c r="BC165" s="1640"/>
      <c r="BD165" s="1640"/>
      <c r="BE165" s="1644"/>
      <c r="BF165" s="1640"/>
      <c r="BG165" s="1640"/>
      <c r="BH165" s="1640"/>
      <c r="BI165" s="1641"/>
      <c r="BJ165" s="1640"/>
      <c r="BK165" s="1640"/>
      <c r="BL165" s="1640"/>
      <c r="BM165" s="1641"/>
      <c r="BN165" s="1640"/>
      <c r="BO165" s="1640"/>
      <c r="BP165" s="1640"/>
      <c r="BQ165" s="1641"/>
      <c r="BR165" s="1640"/>
      <c r="BS165" s="1640"/>
      <c r="BT165" s="1640"/>
      <c r="BU165" s="1641"/>
      <c r="BV165" s="1640"/>
      <c r="BW165" s="1640"/>
      <c r="BX165" s="1640"/>
      <c r="BY165" s="1641"/>
      <c r="BZ165" s="1640"/>
      <c r="CA165" s="1640"/>
      <c r="CB165" s="1640"/>
      <c r="CC165" s="1641"/>
      <c r="CD165" s="1640"/>
      <c r="CE165" s="1640"/>
      <c r="CF165" s="1640"/>
      <c r="CG165" s="1642"/>
      <c r="CH165" s="1648"/>
      <c r="CI165" s="1648"/>
      <c r="CJ165" s="1643">
        <v>0</v>
      </c>
      <c r="CK165" s="1648"/>
    </row>
    <row r="166" spans="1:108" ht="51" customHeight="1" x14ac:dyDescent="0.15">
      <c r="A166" s="1692" t="s">
        <v>1254</v>
      </c>
      <c r="B166" s="1577" t="s">
        <v>79</v>
      </c>
      <c r="C166" s="1577" t="s">
        <v>100</v>
      </c>
      <c r="D166" s="1577" t="s">
        <v>110</v>
      </c>
      <c r="E166" s="1693">
        <v>4279902</v>
      </c>
      <c r="F166" s="1605">
        <v>600</v>
      </c>
      <c r="G166" s="1724"/>
      <c r="H166" s="1694">
        <f>H167+H181</f>
        <v>38872.399999999994</v>
      </c>
      <c r="I166" s="1694">
        <f>I167+I181</f>
        <v>1200</v>
      </c>
      <c r="J166" s="1694">
        <f>J167+J181</f>
        <v>139.6</v>
      </c>
      <c r="K166" s="1694">
        <f>K167+K181</f>
        <v>999.9</v>
      </c>
      <c r="L166" s="1695"/>
      <c r="M166" s="1695"/>
      <c r="N166" s="1695"/>
      <c r="O166" s="1695"/>
      <c r="P166" s="1695"/>
      <c r="Q166" s="1695"/>
      <c r="R166" s="1695"/>
      <c r="S166" s="1695"/>
      <c r="T166" s="1696"/>
      <c r="U166" s="1697"/>
      <c r="V166" s="1697"/>
      <c r="W166" s="1698"/>
      <c r="X166" s="1698"/>
      <c r="Y166" s="1698"/>
      <c r="Z166" s="1699"/>
      <c r="AA166" s="1698"/>
      <c r="AB166" s="1698"/>
      <c r="AC166" s="1700">
        <f>AC167+AC181</f>
        <v>37672.399999999987</v>
      </c>
      <c r="AD166" s="1700">
        <f>AD167+AD181</f>
        <v>2339.5</v>
      </c>
      <c r="AE166" s="1700">
        <f>AE167+AE181</f>
        <v>1200</v>
      </c>
      <c r="AF166" s="1700">
        <f>AF167+AF181</f>
        <v>139.6</v>
      </c>
      <c r="AG166" s="1700">
        <f>AG167+AG181</f>
        <v>999.9</v>
      </c>
      <c r="AH166" s="1490">
        <f t="shared" si="94"/>
        <v>0</v>
      </c>
      <c r="AI166" s="1701">
        <f>AI167+AI181</f>
        <v>0</v>
      </c>
      <c r="AJ166" s="1701">
        <f>AJ167+AJ181</f>
        <v>0</v>
      </c>
      <c r="AK166" s="1701">
        <f>AK167+AK181</f>
        <v>0</v>
      </c>
      <c r="AL166" s="1636">
        <f t="shared" si="113"/>
        <v>0</v>
      </c>
      <c r="AM166" s="1701">
        <f>AM167+AM181</f>
        <v>0</v>
      </c>
      <c r="AN166" s="1702"/>
      <c r="AO166" s="1694">
        <f t="shared" ref="AO166:AZ166" si="124">AO167+AO181</f>
        <v>2750.8999999999996</v>
      </c>
      <c r="AP166" s="1694">
        <f t="shared" si="124"/>
        <v>0</v>
      </c>
      <c r="AQ166" s="1694">
        <f t="shared" si="124"/>
        <v>0</v>
      </c>
      <c r="AR166" s="1694">
        <f t="shared" si="124"/>
        <v>0</v>
      </c>
      <c r="AS166" s="1699">
        <f t="shared" si="124"/>
        <v>2721.3999999999996</v>
      </c>
      <c r="AT166" s="1694">
        <f t="shared" si="124"/>
        <v>0</v>
      </c>
      <c r="AU166" s="1694">
        <f t="shared" si="124"/>
        <v>0</v>
      </c>
      <c r="AV166" s="1694">
        <f t="shared" si="124"/>
        <v>0</v>
      </c>
      <c r="AW166" s="1699">
        <f t="shared" si="124"/>
        <v>2692.5</v>
      </c>
      <c r="AX166" s="1694">
        <f t="shared" si="124"/>
        <v>0</v>
      </c>
      <c r="AY166" s="1694">
        <f t="shared" si="124"/>
        <v>0</v>
      </c>
      <c r="AZ166" s="1694">
        <f t="shared" si="124"/>
        <v>0</v>
      </c>
      <c r="BA166" s="1702"/>
      <c r="BB166" s="1694">
        <f>BB167+BB181</f>
        <v>0</v>
      </c>
      <c r="BC166" s="1694">
        <f>BC167+BC181</f>
        <v>0</v>
      </c>
      <c r="BD166" s="1694">
        <f>BD167+BD181</f>
        <v>0</v>
      </c>
      <c r="BE166" s="1703"/>
      <c r="BF166" s="1694">
        <f t="shared" ref="BF166:BL166" si="125">BF167+BF181</f>
        <v>0</v>
      </c>
      <c r="BG166" s="1694">
        <f t="shared" si="125"/>
        <v>0</v>
      </c>
      <c r="BH166" s="1694">
        <f t="shared" si="125"/>
        <v>0</v>
      </c>
      <c r="BI166" s="1702">
        <f t="shared" si="125"/>
        <v>5866.05</v>
      </c>
      <c r="BJ166" s="1694">
        <f t="shared" si="125"/>
        <v>0</v>
      </c>
      <c r="BK166" s="1694">
        <f t="shared" si="125"/>
        <v>0</v>
      </c>
      <c r="BL166" s="1694">
        <f t="shared" si="125"/>
        <v>0</v>
      </c>
      <c r="BM166" s="1702"/>
      <c r="BN166" s="1694">
        <f>BN167+BN181</f>
        <v>1200</v>
      </c>
      <c r="BO166" s="1694">
        <f>BO167+BO181</f>
        <v>0</v>
      </c>
      <c r="BP166" s="1694">
        <f>BP167+BP181</f>
        <v>0</v>
      </c>
      <c r="BQ166" s="1702"/>
      <c r="BR166" s="1694">
        <f t="shared" ref="BR166:BX166" si="126">BR167+BR181</f>
        <v>0</v>
      </c>
      <c r="BS166" s="1694">
        <f t="shared" si="126"/>
        <v>0</v>
      </c>
      <c r="BT166" s="1694">
        <f t="shared" si="126"/>
        <v>0</v>
      </c>
      <c r="BU166" s="1702">
        <f t="shared" si="126"/>
        <v>3343.6499999999996</v>
      </c>
      <c r="BV166" s="1694">
        <f t="shared" si="126"/>
        <v>0</v>
      </c>
      <c r="BW166" s="1694">
        <f t="shared" si="126"/>
        <v>0</v>
      </c>
      <c r="BX166" s="1694">
        <f t="shared" si="126"/>
        <v>0</v>
      </c>
      <c r="BY166" s="1702">
        <f>BY167+BY181</f>
        <v>3915.19</v>
      </c>
      <c r="BZ166" s="1694">
        <f>BZ167+BZ181</f>
        <v>0</v>
      </c>
      <c r="CA166" s="1694">
        <f>CA167+CA181</f>
        <v>70</v>
      </c>
      <c r="CB166" s="1694">
        <f>CB167+CB181</f>
        <v>400</v>
      </c>
      <c r="CC166" s="1702"/>
      <c r="CD166" s="1694">
        <f>CD167+CD181</f>
        <v>0</v>
      </c>
      <c r="CE166" s="1694">
        <f>CE167+CE181</f>
        <v>0</v>
      </c>
      <c r="CF166" s="1694">
        <f>CF167+CF181</f>
        <v>0</v>
      </c>
      <c r="CG166" s="1704"/>
      <c r="CH166" s="1725">
        <v>3372.06</v>
      </c>
      <c r="CI166" s="1726">
        <v>0</v>
      </c>
      <c r="CJ166" s="1643">
        <v>69.599999999999994</v>
      </c>
      <c r="CK166" s="1726">
        <v>599.9</v>
      </c>
    </row>
    <row r="167" spans="1:108" ht="42" customHeight="1" x14ac:dyDescent="0.15">
      <c r="A167" s="1528" t="s">
        <v>764</v>
      </c>
      <c r="B167" s="1529" t="s">
        <v>79</v>
      </c>
      <c r="C167" s="1529" t="s">
        <v>100</v>
      </c>
      <c r="D167" s="1529" t="s">
        <v>110</v>
      </c>
      <c r="E167" s="1656">
        <v>4279902</v>
      </c>
      <c r="F167" s="1529" t="s">
        <v>765</v>
      </c>
      <c r="G167" s="1687" t="s">
        <v>766</v>
      </c>
      <c r="H167" s="1531">
        <f>H168+H169+H170+H171+H172+H173+H174+H175+H176+H177+H178+H179+H180</f>
        <v>37672.399999999994</v>
      </c>
      <c r="I167" s="1531">
        <f t="shared" ref="I167:AX167" si="127">I168+I169+I170+I171+I172+I173+I174+I175+I176+I177+I178+I179+I180</f>
        <v>1200</v>
      </c>
      <c r="J167" s="1531">
        <f>J168+J169+J170+J171+J172+J173+J174+J175+J176+J177+J178+J179+J180</f>
        <v>139.6</v>
      </c>
      <c r="K167" s="1531">
        <f t="shared" si="127"/>
        <v>999.9</v>
      </c>
      <c r="L167" s="1601"/>
      <c r="M167" s="1601"/>
      <c r="N167" s="1601"/>
      <c r="O167" s="1601"/>
      <c r="P167" s="1601"/>
      <c r="Q167" s="1601"/>
      <c r="R167" s="1601"/>
      <c r="S167" s="1601"/>
      <c r="T167" s="1531">
        <f t="shared" si="127"/>
        <v>3899.6</v>
      </c>
      <c r="U167" s="1533">
        <f t="shared" si="127"/>
        <v>414</v>
      </c>
      <c r="V167" s="1533"/>
      <c r="W167" s="1534"/>
      <c r="X167" s="1534"/>
      <c r="Y167" s="1534"/>
      <c r="Z167" s="1535"/>
      <c r="AA167" s="1534"/>
      <c r="AB167" s="1534"/>
      <c r="AC167" s="1603">
        <f t="shared" si="127"/>
        <v>37672.399999999987</v>
      </c>
      <c r="AD167" s="1603">
        <f t="shared" si="127"/>
        <v>2339.5</v>
      </c>
      <c r="AE167" s="1603">
        <f t="shared" si="127"/>
        <v>1200</v>
      </c>
      <c r="AF167" s="1603">
        <f t="shared" si="127"/>
        <v>139.6</v>
      </c>
      <c r="AG167" s="1603">
        <f>AG168+AG169+AG170+AG171+AG172+AG173+AG174+AG175+AG176+AG177+AG178+AG179+AG180</f>
        <v>999.9</v>
      </c>
      <c r="AH167" s="1490">
        <f t="shared" si="94"/>
        <v>0</v>
      </c>
      <c r="AI167" s="1592">
        <f t="shared" si="127"/>
        <v>0</v>
      </c>
      <c r="AJ167" s="1592">
        <f t="shared" si="127"/>
        <v>0</v>
      </c>
      <c r="AK167" s="1592">
        <f t="shared" si="127"/>
        <v>0</v>
      </c>
      <c r="AL167" s="1636">
        <f t="shared" si="113"/>
        <v>0</v>
      </c>
      <c r="AM167" s="1592">
        <f t="shared" si="127"/>
        <v>0</v>
      </c>
      <c r="AN167" s="1706"/>
      <c r="AO167" s="1707">
        <f t="shared" si="127"/>
        <v>2750.8999999999996</v>
      </c>
      <c r="AP167" s="1531">
        <f t="shared" si="127"/>
        <v>0</v>
      </c>
      <c r="AQ167" s="1531">
        <f t="shared" si="127"/>
        <v>0</v>
      </c>
      <c r="AR167" s="1531">
        <f t="shared" si="127"/>
        <v>0</v>
      </c>
      <c r="AS167" s="1535">
        <f t="shared" si="127"/>
        <v>2721.3999999999996</v>
      </c>
      <c r="AT167" s="1531">
        <f t="shared" si="127"/>
        <v>0</v>
      </c>
      <c r="AU167" s="1531">
        <f t="shared" si="127"/>
        <v>0</v>
      </c>
      <c r="AV167" s="1531">
        <f t="shared" si="127"/>
        <v>0</v>
      </c>
      <c r="AW167" s="1535">
        <f t="shared" si="127"/>
        <v>2692.5</v>
      </c>
      <c r="AX167" s="1531">
        <f t="shared" si="127"/>
        <v>0</v>
      </c>
      <c r="AY167" s="1531">
        <f>AY168+AY169+AY170+AY171+AY172+AY173+AY174+AY175+AY176+AY177+AY178+AY179+AY180</f>
        <v>0</v>
      </c>
      <c r="AZ167" s="1531">
        <f>AZ168+AZ169+AZ170+AZ171+AZ172+AZ173+AZ174+AZ175+AZ176+AZ177+AZ178+AZ179+AZ180</f>
        <v>0</v>
      </c>
      <c r="BA167" s="1538"/>
      <c r="BB167" s="1531">
        <f>BB168+BB169+BB170+BB171+BB172+BB173+BB174+BB175+BB176+BB177+BB178+BB179+BB180</f>
        <v>0</v>
      </c>
      <c r="BC167" s="1531">
        <f>BC168+BC169+BC170+BC171+BC172+BC173+BC174+BC175+BC176+BC177+BC178+BC179+BC180</f>
        <v>0</v>
      </c>
      <c r="BD167" s="1531">
        <f>BD168+BD169+BD170+BD171+BD172+BD173+BD174+BD175+BD176+BD177+BD178+BD179+BD180</f>
        <v>0</v>
      </c>
      <c r="BE167" s="1539"/>
      <c r="BF167" s="1531">
        <f t="shared" ref="BF167:BL167" si="128">BF168+BF169+BF170+BF171+BF172+BF173+BF174+BF175+BF176+BF177+BF178+BF179+BF180</f>
        <v>0</v>
      </c>
      <c r="BG167" s="1531">
        <f t="shared" si="128"/>
        <v>0</v>
      </c>
      <c r="BH167" s="1531">
        <f t="shared" si="128"/>
        <v>0</v>
      </c>
      <c r="BI167" s="1538">
        <f t="shared" si="128"/>
        <v>5866.05</v>
      </c>
      <c r="BJ167" s="1531">
        <f t="shared" si="128"/>
        <v>0</v>
      </c>
      <c r="BK167" s="1531">
        <f t="shared" si="128"/>
        <v>0</v>
      </c>
      <c r="BL167" s="1531">
        <f t="shared" si="128"/>
        <v>0</v>
      </c>
      <c r="BM167" s="1538"/>
      <c r="BN167" s="1531">
        <f>BN168+BN169+BN170+BN171+BN172+BN173+BN174+BN175+BN176+BN177+BN178+BN179+BN180</f>
        <v>1200</v>
      </c>
      <c r="BO167" s="1531">
        <f>BO168+BO169+BO170+BO171+BO172+BO173+BO174+BO175+BO176+BO177+BO178+BO179+BO180</f>
        <v>0</v>
      </c>
      <c r="BP167" s="1531">
        <f>BP168+BP169+BP170+BP171+BP172+BP173+BP174+BP175+BP176+BP177+BP178+BP179+BP180</f>
        <v>0</v>
      </c>
      <c r="BQ167" s="1538"/>
      <c r="BR167" s="1531">
        <f t="shared" ref="BR167:BX167" si="129">BR168+BR169+BR170+BR171+BR172+BR173+BR174+BR175+BR176+BR177+BR178+BR179+BR180</f>
        <v>0</v>
      </c>
      <c r="BS167" s="1531">
        <f t="shared" si="129"/>
        <v>0</v>
      </c>
      <c r="BT167" s="1531">
        <f t="shared" si="129"/>
        <v>0</v>
      </c>
      <c r="BU167" s="1538">
        <f t="shared" si="129"/>
        <v>3343.6499999999996</v>
      </c>
      <c r="BV167" s="1531">
        <f t="shared" si="129"/>
        <v>0</v>
      </c>
      <c r="BW167" s="1531">
        <f t="shared" si="129"/>
        <v>0</v>
      </c>
      <c r="BX167" s="1531">
        <f t="shared" si="129"/>
        <v>0</v>
      </c>
      <c r="BY167" s="1538">
        <f>BY168+BY169+BY170+BY171+BY172+BY173+BY174+BY175+BY176+BY177+BY178+BY179+BY180</f>
        <v>3915.19</v>
      </c>
      <c r="BZ167" s="1531">
        <f>BZ168+BZ169+BZ170+BZ171+BZ172+BZ173+BZ174+BZ175+BZ176+BZ177+BZ178+BZ179+BZ180</f>
        <v>0</v>
      </c>
      <c r="CA167" s="1531">
        <f>CA168+CA169+CA170+CA171+CA172+CA173+CA174+CA175+CA176+CA177+CA178+CA179+CA180</f>
        <v>70</v>
      </c>
      <c r="CB167" s="1531">
        <f>CB168+CB169+CB170+CB171+CB172+CB173+CB174+CB175+CB176+CB177+CB178+CB179+CB180</f>
        <v>400</v>
      </c>
      <c r="CC167" s="1538"/>
      <c r="CD167" s="1531">
        <f>CD168+CD169+CD170+CD171+CD172+CD173+CD174+CD175+CD176+CD177+CD178+CD179+CD180</f>
        <v>0</v>
      </c>
      <c r="CE167" s="1531">
        <f>CE168+CE169+CE170+CE171+CE172+CE173+CE174+CE175+CE176+CE177+CE178+CE179+CE180</f>
        <v>0</v>
      </c>
      <c r="CF167" s="1531">
        <f>CF168+CF169+CF170+CF171+CF172+CF173+CF174+CF175+CF176+CF177+CF178+CF179+CF180</f>
        <v>0</v>
      </c>
      <c r="CG167" s="1705"/>
      <c r="CH167" s="1720">
        <v>3372.06</v>
      </c>
      <c r="CI167" s="1721">
        <v>0</v>
      </c>
      <c r="CJ167" s="1643">
        <v>69.599999999999994</v>
      </c>
      <c r="CK167" s="1721">
        <v>599.9</v>
      </c>
    </row>
    <row r="168" spans="1:108" ht="14" x14ac:dyDescent="0.15">
      <c r="A168" s="1688" t="s">
        <v>78</v>
      </c>
      <c r="B168" s="1689" t="s">
        <v>79</v>
      </c>
      <c r="C168" s="1689" t="s">
        <v>100</v>
      </c>
      <c r="D168" s="1689" t="s">
        <v>110</v>
      </c>
      <c r="E168" s="1690">
        <v>4279902</v>
      </c>
      <c r="F168" s="1689"/>
      <c r="G168" s="1667">
        <v>211</v>
      </c>
      <c r="H168" s="1501">
        <f>23985.9+T168</f>
        <v>26981</v>
      </c>
      <c r="I168" s="1501"/>
      <c r="J168" s="1630"/>
      <c r="K168" s="1630"/>
      <c r="L168" s="1631"/>
      <c r="M168" s="1631"/>
      <c r="N168" s="1631"/>
      <c r="O168" s="1631"/>
      <c r="P168" s="1631"/>
      <c r="Q168" s="1631"/>
      <c r="R168" s="1631"/>
      <c r="S168" s="1631"/>
      <c r="T168" s="1632">
        <v>2995.1</v>
      </c>
      <c r="U168" s="1633"/>
      <c r="V168" s="1633"/>
      <c r="W168" s="1634">
        <f>H168/12</f>
        <v>2248.4166666666665</v>
      </c>
      <c r="X168" s="1634">
        <f>AO168</f>
        <v>1998.8</v>
      </c>
      <c r="Y168" s="1634">
        <f>CC168</f>
        <v>2652.75</v>
      </c>
      <c r="Z168" s="1635">
        <v>2605.5500000000002</v>
      </c>
      <c r="AA168" s="1511">
        <f>AW168</f>
        <v>1998.8</v>
      </c>
      <c r="AB168" s="1511">
        <f>Z168-AA168</f>
        <v>606.75000000000023</v>
      </c>
      <c r="AC168" s="1508">
        <f t="shared" ref="AC168:AC181" si="130">AO168+AS168+AW168+BA168+BE168+BI168+BM168+BQ168+BU168+BY168+CC168+CH168</f>
        <v>26981</v>
      </c>
      <c r="AD168" s="1509">
        <f t="shared" ref="AD168:AD181" si="131">AE168+AF168+AG168</f>
        <v>0</v>
      </c>
      <c r="AE168" s="1509">
        <f t="shared" ref="AE168:AG180" si="132">AP168+AT168+AX168+BB168+BF168+BJ168+BN168+BR168+BV168+BZ168+CD168+CI168</f>
        <v>0</v>
      </c>
      <c r="AF168" s="1509">
        <f t="shared" si="132"/>
        <v>0</v>
      </c>
      <c r="AG168" s="1509">
        <f t="shared" si="132"/>
        <v>0</v>
      </c>
      <c r="AH168" s="1490">
        <f t="shared" si="94"/>
        <v>0</v>
      </c>
      <c r="AI168" s="1636">
        <f t="shared" ref="AI168:AI180" si="133">H168-AC168</f>
        <v>0</v>
      </c>
      <c r="AJ168" s="1636">
        <f t="shared" ref="AJ168:AJ180" si="134">AK168+AL168+AM168</f>
        <v>0</v>
      </c>
      <c r="AK168" s="1636">
        <f t="shared" ref="AK168:AK180" si="135">I168-AE168</f>
        <v>0</v>
      </c>
      <c r="AL168" s="1636">
        <f t="shared" si="113"/>
        <v>0</v>
      </c>
      <c r="AM168" s="1636">
        <f t="shared" si="113"/>
        <v>0</v>
      </c>
      <c r="AN168" s="1637">
        <f>AI168/4</f>
        <v>0</v>
      </c>
      <c r="AO168" s="1722">
        <v>1998.8</v>
      </c>
      <c r="AP168" s="1638"/>
      <c r="AQ168" s="1638"/>
      <c r="AR168" s="1638"/>
      <c r="AS168" s="1639">
        <v>1998.8</v>
      </c>
      <c r="AT168" s="1638"/>
      <c r="AU168" s="1638"/>
      <c r="AV168" s="1638"/>
      <c r="AW168" s="1640">
        <v>1998.8</v>
      </c>
      <c r="AX168" s="1640"/>
      <c r="AY168" s="1640"/>
      <c r="AZ168" s="1640"/>
      <c r="BA168" s="1641">
        <v>1998.8</v>
      </c>
      <c r="BB168" s="1640"/>
      <c r="BC168" s="1640"/>
      <c r="BD168" s="1640"/>
      <c r="BE168" s="1641">
        <v>1998.8</v>
      </c>
      <c r="BF168" s="1640"/>
      <c r="BG168" s="1640"/>
      <c r="BH168" s="1640"/>
      <c r="BI168" s="1641">
        <f>1441.7+3305.4</f>
        <v>4747.1000000000004</v>
      </c>
      <c r="BJ168" s="1640"/>
      <c r="BK168" s="1640"/>
      <c r="BL168" s="1640"/>
      <c r="BM168" s="1641">
        <v>557.1</v>
      </c>
      <c r="BN168" s="1640"/>
      <c r="BO168" s="1640"/>
      <c r="BP168" s="1640"/>
      <c r="BQ168" s="1641">
        <v>1998.8</v>
      </c>
      <c r="BR168" s="1640"/>
      <c r="BS168" s="1640"/>
      <c r="BT168" s="1640"/>
      <c r="BU168" s="1641">
        <v>1672.2</v>
      </c>
      <c r="BV168" s="1640"/>
      <c r="BW168" s="1640"/>
      <c r="BX168" s="1640"/>
      <c r="BY168" s="1641">
        <f>227.4+791.65+1988.24</f>
        <v>3007.29</v>
      </c>
      <c r="BZ168" s="1640"/>
      <c r="CA168" s="1640"/>
      <c r="CB168" s="1640"/>
      <c r="CC168" s="1641">
        <f>2605.55+47.2</f>
        <v>2652.75</v>
      </c>
      <c r="CD168" s="1640"/>
      <c r="CE168" s="1640"/>
      <c r="CF168" s="1640"/>
      <c r="CG168" s="1642"/>
      <c r="CH168" s="1709">
        <v>2351.7600000000002</v>
      </c>
      <c r="CI168" s="1643">
        <v>0</v>
      </c>
      <c r="CJ168" s="1643">
        <v>0</v>
      </c>
      <c r="CK168" s="1643">
        <v>0</v>
      </c>
      <c r="CX168" s="1558">
        <f>H168/12*10-AC168</f>
        <v>-4496.8333333333358</v>
      </c>
      <c r="CY168" s="1558">
        <f>AI168/3</f>
        <v>0</v>
      </c>
      <c r="CZ168" s="1558">
        <f>H168/12</f>
        <v>2248.4166666666665</v>
      </c>
      <c r="DA168" s="1559">
        <f>(H168-T168)/12*10-AC168</f>
        <v>-6992.75</v>
      </c>
      <c r="DB168" s="1559"/>
      <c r="DC168" s="1559"/>
      <c r="DD168">
        <f>(H168-T168)/12</f>
        <v>1998.825</v>
      </c>
    </row>
    <row r="169" spans="1:108" ht="14" x14ac:dyDescent="0.15">
      <c r="A169" s="1688" t="s">
        <v>83</v>
      </c>
      <c r="B169" s="1689" t="s">
        <v>79</v>
      </c>
      <c r="C169" s="1689" t="s">
        <v>100</v>
      </c>
      <c r="D169" s="1689" t="s">
        <v>110</v>
      </c>
      <c r="E169" s="1690">
        <v>4279902</v>
      </c>
      <c r="F169" s="1689"/>
      <c r="G169" s="1667">
        <v>212</v>
      </c>
      <c r="H169" s="1501">
        <f>60</f>
        <v>60</v>
      </c>
      <c r="I169" s="1501"/>
      <c r="J169" s="1630"/>
      <c r="K169" s="1630"/>
      <c r="L169" s="1631"/>
      <c r="M169" s="1631"/>
      <c r="N169" s="1631"/>
      <c r="O169" s="1631"/>
      <c r="P169" s="1631"/>
      <c r="Q169" s="1631"/>
      <c r="R169" s="1631"/>
      <c r="S169" s="1631"/>
      <c r="T169" s="1632"/>
      <c r="U169" s="1633"/>
      <c r="V169" s="1633"/>
      <c r="W169" s="1634"/>
      <c r="X169" s="1634"/>
      <c r="Y169" s="1634"/>
      <c r="Z169" s="1635"/>
      <c r="AA169" s="1634"/>
      <c r="AB169" s="1511">
        <f>Z169-AA169</f>
        <v>0</v>
      </c>
      <c r="AC169" s="1508">
        <f t="shared" si="130"/>
        <v>60</v>
      </c>
      <c r="AD169" s="1509">
        <f t="shared" si="131"/>
        <v>0</v>
      </c>
      <c r="AE169" s="1509">
        <f t="shared" si="132"/>
        <v>0</v>
      </c>
      <c r="AF169" s="1509">
        <f t="shared" si="132"/>
        <v>0</v>
      </c>
      <c r="AG169" s="1509">
        <f t="shared" si="132"/>
        <v>0</v>
      </c>
      <c r="AH169" s="1490">
        <f t="shared" si="94"/>
        <v>0</v>
      </c>
      <c r="AI169" s="1636">
        <f t="shared" si="133"/>
        <v>0</v>
      </c>
      <c r="AJ169" s="1636">
        <f t="shared" si="134"/>
        <v>0</v>
      </c>
      <c r="AK169" s="1636">
        <f t="shared" si="135"/>
        <v>0</v>
      </c>
      <c r="AL169" s="1636">
        <f t="shared" si="113"/>
        <v>0</v>
      </c>
      <c r="AM169" s="1636">
        <f t="shared" si="113"/>
        <v>0</v>
      </c>
      <c r="AN169" s="1637"/>
      <c r="AO169" s="1722">
        <f>5*2</f>
        <v>10</v>
      </c>
      <c r="AP169" s="1638"/>
      <c r="AQ169" s="1638"/>
      <c r="AR169" s="1638"/>
      <c r="AS169" s="1639"/>
      <c r="AT169" s="1638"/>
      <c r="AU169" s="1638"/>
      <c r="AV169" s="1638"/>
      <c r="AW169" s="1640"/>
      <c r="AX169" s="1640"/>
      <c r="AY169" s="1640"/>
      <c r="AZ169" s="1640"/>
      <c r="BA169" s="1641"/>
      <c r="BB169" s="1640"/>
      <c r="BC169" s="1640"/>
      <c r="BD169" s="1640"/>
      <c r="BE169" s="1641"/>
      <c r="BF169" s="1640"/>
      <c r="BG169" s="1640"/>
      <c r="BH169" s="1640"/>
      <c r="BI169" s="1641"/>
      <c r="BJ169" s="1640"/>
      <c r="BK169" s="1640"/>
      <c r="BL169" s="1640"/>
      <c r="BM169" s="1641"/>
      <c r="BN169" s="1640"/>
      <c r="BO169" s="1640"/>
      <c r="BP169" s="1640"/>
      <c r="BQ169" s="1641"/>
      <c r="BR169" s="1640"/>
      <c r="BS169" s="1640"/>
      <c r="BT169" s="1640"/>
      <c r="BU169" s="1641">
        <f>35+5</f>
        <v>40</v>
      </c>
      <c r="BV169" s="1640"/>
      <c r="BW169" s="1640"/>
      <c r="BX169" s="1640"/>
      <c r="BY169" s="1641"/>
      <c r="BZ169" s="1640"/>
      <c r="CA169" s="1640"/>
      <c r="CB169" s="1640"/>
      <c r="CC169" s="1641"/>
      <c r="CD169" s="1640"/>
      <c r="CE169" s="1640"/>
      <c r="CF169" s="1640"/>
      <c r="CG169" s="1642"/>
      <c r="CH169" s="1643">
        <v>10</v>
      </c>
      <c r="CI169" s="1643">
        <v>0</v>
      </c>
      <c r="CJ169" s="1643">
        <v>0</v>
      </c>
      <c r="CK169" s="1643">
        <v>0</v>
      </c>
      <c r="CX169" s="1558"/>
      <c r="CY169" s="1558"/>
      <c r="CZ169" s="1558"/>
      <c r="DA169" s="1559"/>
      <c r="DB169" s="1559"/>
      <c r="DC169" s="1559"/>
    </row>
    <row r="170" spans="1:108" ht="14" x14ac:dyDescent="0.15">
      <c r="A170" s="1688" t="s">
        <v>84</v>
      </c>
      <c r="B170" s="1689" t="s">
        <v>79</v>
      </c>
      <c r="C170" s="1689" t="s">
        <v>100</v>
      </c>
      <c r="D170" s="1689" t="s">
        <v>110</v>
      </c>
      <c r="E170" s="1690">
        <v>4279902</v>
      </c>
      <c r="F170" s="1689"/>
      <c r="G170" s="1667">
        <v>213</v>
      </c>
      <c r="H170" s="1501">
        <f>7243.8+T170</f>
        <v>8148.3</v>
      </c>
      <c r="I170" s="1501"/>
      <c r="J170" s="1630"/>
      <c r="K170" s="1630"/>
      <c r="L170" s="1631"/>
      <c r="M170" s="1631"/>
      <c r="N170" s="1631"/>
      <c r="O170" s="1631"/>
      <c r="P170" s="1631"/>
      <c r="Q170" s="1631"/>
      <c r="R170" s="1631"/>
      <c r="S170" s="1631"/>
      <c r="T170" s="1632">
        <v>904.5</v>
      </c>
      <c r="U170" s="1633"/>
      <c r="V170" s="1633"/>
      <c r="W170" s="1634">
        <f>H170/12</f>
        <v>679.02499999999998</v>
      </c>
      <c r="X170" s="1634">
        <f>AO170</f>
        <v>603.70000000000005</v>
      </c>
      <c r="Y170" s="1634">
        <f>CC170</f>
        <v>801.09999999999991</v>
      </c>
      <c r="Z170" s="1635">
        <v>786.8</v>
      </c>
      <c r="AA170" s="1511">
        <f>AW170</f>
        <v>603.70000000000005</v>
      </c>
      <c r="AB170" s="1511">
        <f>Z170-AA170</f>
        <v>183.09999999999991</v>
      </c>
      <c r="AC170" s="1508">
        <f t="shared" si="130"/>
        <v>8148.2999999999984</v>
      </c>
      <c r="AD170" s="1509">
        <f t="shared" si="131"/>
        <v>0</v>
      </c>
      <c r="AE170" s="1509">
        <f t="shared" si="132"/>
        <v>0</v>
      </c>
      <c r="AF170" s="1509">
        <f t="shared" si="132"/>
        <v>0</v>
      </c>
      <c r="AG170" s="1509">
        <f t="shared" si="132"/>
        <v>0</v>
      </c>
      <c r="AH170" s="1490">
        <f t="shared" si="94"/>
        <v>0</v>
      </c>
      <c r="AI170" s="1636">
        <f t="shared" si="133"/>
        <v>0</v>
      </c>
      <c r="AJ170" s="1636">
        <f t="shared" si="134"/>
        <v>0</v>
      </c>
      <c r="AK170" s="1636">
        <f t="shared" si="135"/>
        <v>0</v>
      </c>
      <c r="AL170" s="1636">
        <f t="shared" si="113"/>
        <v>0</v>
      </c>
      <c r="AM170" s="1636">
        <f t="shared" si="113"/>
        <v>0</v>
      </c>
      <c r="AN170" s="1637">
        <f>AI170/4</f>
        <v>0</v>
      </c>
      <c r="AO170" s="1722">
        <v>603.70000000000005</v>
      </c>
      <c r="AP170" s="1638"/>
      <c r="AQ170" s="1638"/>
      <c r="AR170" s="1638"/>
      <c r="AS170" s="1639">
        <v>603.70000000000005</v>
      </c>
      <c r="AT170" s="1638"/>
      <c r="AU170" s="1638"/>
      <c r="AV170" s="1638"/>
      <c r="AW170" s="1640">
        <v>603.70000000000005</v>
      </c>
      <c r="AX170" s="1640"/>
      <c r="AY170" s="1640"/>
      <c r="AZ170" s="1640"/>
      <c r="BA170" s="1641">
        <v>603.70000000000005</v>
      </c>
      <c r="BB170" s="1640"/>
      <c r="BC170" s="1640"/>
      <c r="BD170" s="1640"/>
      <c r="BE170" s="1641">
        <v>603.70000000000005</v>
      </c>
      <c r="BF170" s="1640"/>
      <c r="BG170" s="1640"/>
      <c r="BH170" s="1640"/>
      <c r="BI170" s="1641">
        <v>998.2</v>
      </c>
      <c r="BJ170" s="1640"/>
      <c r="BK170" s="1640"/>
      <c r="BL170" s="1640"/>
      <c r="BM170" s="1641">
        <v>603.70000000000005</v>
      </c>
      <c r="BN170" s="1640"/>
      <c r="BO170" s="1640"/>
      <c r="BP170" s="1640"/>
      <c r="BQ170" s="1641">
        <v>603.70000000000005</v>
      </c>
      <c r="BR170" s="1640"/>
      <c r="BS170" s="1640"/>
      <c r="BT170" s="1640"/>
      <c r="BU170" s="1641">
        <v>504.9</v>
      </c>
      <c r="BV170" s="1640"/>
      <c r="BW170" s="1640"/>
      <c r="BX170" s="1640"/>
      <c r="BY170" s="1641">
        <f>307.5+600.4</f>
        <v>907.9</v>
      </c>
      <c r="BZ170" s="1640"/>
      <c r="CA170" s="1640"/>
      <c r="CB170" s="1640"/>
      <c r="CC170" s="1641">
        <f>786.8+14.3</f>
        <v>801.09999999999991</v>
      </c>
      <c r="CD170" s="1640"/>
      <c r="CE170" s="1640"/>
      <c r="CF170" s="1640"/>
      <c r="CG170" s="1642"/>
      <c r="CH170" s="1643">
        <v>710.3</v>
      </c>
      <c r="CI170" s="1643">
        <v>0</v>
      </c>
      <c r="CJ170" s="1643">
        <v>0</v>
      </c>
      <c r="CK170" s="1643">
        <v>0</v>
      </c>
      <c r="CX170" s="1558">
        <f>H170/12*10-AC170</f>
        <v>-1358.0499999999984</v>
      </c>
      <c r="CY170" s="1558">
        <f>AI170/3</f>
        <v>0</v>
      </c>
      <c r="CZ170" s="1558">
        <f>H170/12</f>
        <v>679.02499999999998</v>
      </c>
      <c r="DA170" s="1559">
        <f>(H170-T170)/12*10-AC170</f>
        <v>-2111.7999999999984</v>
      </c>
      <c r="DB170" s="1559"/>
      <c r="DC170" s="1559"/>
      <c r="DD170">
        <f>(H170-T170)/12</f>
        <v>603.65</v>
      </c>
    </row>
    <row r="171" spans="1:108" ht="14" x14ac:dyDescent="0.15">
      <c r="A171" s="1688" t="s">
        <v>85</v>
      </c>
      <c r="B171" s="1689" t="s">
        <v>79</v>
      </c>
      <c r="C171" s="1689" t="s">
        <v>100</v>
      </c>
      <c r="D171" s="1689" t="s">
        <v>110</v>
      </c>
      <c r="E171" s="1690">
        <v>4279902</v>
      </c>
      <c r="F171" s="1689"/>
      <c r="G171" s="1667">
        <v>221</v>
      </c>
      <c r="H171" s="1501">
        <v>16.600000000000001</v>
      </c>
      <c r="I171" s="1501"/>
      <c r="J171" s="1630"/>
      <c r="K171" s="1630"/>
      <c r="L171" s="1631"/>
      <c r="M171" s="1631"/>
      <c r="N171" s="1631"/>
      <c r="O171" s="1631"/>
      <c r="P171" s="1631"/>
      <c r="Q171" s="1631"/>
      <c r="R171" s="1631"/>
      <c r="S171" s="1631"/>
      <c r="T171" s="1632"/>
      <c r="U171" s="1633"/>
      <c r="V171" s="1633"/>
      <c r="W171" s="1634"/>
      <c r="X171" s="1634"/>
      <c r="Y171" s="1634"/>
      <c r="Z171" s="1635"/>
      <c r="AA171" s="1634"/>
      <c r="AB171" s="1634"/>
      <c r="AC171" s="1508">
        <f t="shared" si="130"/>
        <v>16.599999999999998</v>
      </c>
      <c r="AD171" s="1509">
        <f t="shared" si="131"/>
        <v>0</v>
      </c>
      <c r="AE171" s="1509">
        <f t="shared" si="132"/>
        <v>0</v>
      </c>
      <c r="AF171" s="1509">
        <f t="shared" si="132"/>
        <v>0</v>
      </c>
      <c r="AG171" s="1509">
        <f t="shared" si="132"/>
        <v>0</v>
      </c>
      <c r="AH171" s="1490">
        <f t="shared" si="94"/>
        <v>0</v>
      </c>
      <c r="AI171" s="1636">
        <f t="shared" si="133"/>
        <v>0</v>
      </c>
      <c r="AJ171" s="1636">
        <f t="shared" si="134"/>
        <v>0</v>
      </c>
      <c r="AK171" s="1636">
        <f t="shared" si="135"/>
        <v>0</v>
      </c>
      <c r="AL171" s="1636">
        <f t="shared" si="113"/>
        <v>0</v>
      </c>
      <c r="AM171" s="1636">
        <f t="shared" si="113"/>
        <v>0</v>
      </c>
      <c r="AN171" s="1637"/>
      <c r="AO171" s="1722">
        <v>1.4</v>
      </c>
      <c r="AP171" s="1638"/>
      <c r="AQ171" s="1638"/>
      <c r="AR171" s="1638"/>
      <c r="AS171" s="1639"/>
      <c r="AT171" s="1638"/>
      <c r="AU171" s="1638"/>
      <c r="AV171" s="1638"/>
      <c r="AW171" s="1639"/>
      <c r="AX171" s="1640"/>
      <c r="AY171" s="1640"/>
      <c r="AZ171" s="1640"/>
      <c r="BA171" s="1641"/>
      <c r="BB171" s="1640"/>
      <c r="BC171" s="1640"/>
      <c r="BD171" s="1640"/>
      <c r="BE171" s="1644"/>
      <c r="BF171" s="1640"/>
      <c r="BG171" s="1640"/>
      <c r="BH171" s="1640"/>
      <c r="BI171" s="1641"/>
      <c r="BJ171" s="1640"/>
      <c r="BK171" s="1640"/>
      <c r="BL171" s="1640"/>
      <c r="BM171" s="1641"/>
      <c r="BN171" s="1640"/>
      <c r="BO171" s="1640"/>
      <c r="BP171" s="1640"/>
      <c r="BQ171" s="1641"/>
      <c r="BR171" s="1640"/>
      <c r="BS171" s="1640"/>
      <c r="BT171" s="1640"/>
      <c r="BU171" s="1641">
        <v>15.2</v>
      </c>
      <c r="BV171" s="1640"/>
      <c r="BW171" s="1640"/>
      <c r="BX171" s="1640"/>
      <c r="BY171" s="1641"/>
      <c r="BZ171" s="1640"/>
      <c r="CA171" s="1640"/>
      <c r="CB171" s="1640"/>
      <c r="CC171" s="1641"/>
      <c r="CD171" s="1640"/>
      <c r="CE171" s="1640"/>
      <c r="CF171" s="1640"/>
      <c r="CG171" s="1642"/>
      <c r="CH171" s="1643">
        <v>0</v>
      </c>
      <c r="CI171" s="1643">
        <v>0</v>
      </c>
      <c r="CJ171" s="1643">
        <v>0</v>
      </c>
      <c r="CK171" s="1643">
        <v>0</v>
      </c>
    </row>
    <row r="172" spans="1:108" ht="14" x14ac:dyDescent="0.15">
      <c r="A172" s="1688" t="s">
        <v>86</v>
      </c>
      <c r="B172" s="1689" t="s">
        <v>79</v>
      </c>
      <c r="C172" s="1689" t="s">
        <v>100</v>
      </c>
      <c r="D172" s="1689" t="s">
        <v>110</v>
      </c>
      <c r="E172" s="1690">
        <v>4279902</v>
      </c>
      <c r="F172" s="1689"/>
      <c r="G172" s="1667">
        <v>222</v>
      </c>
      <c r="H172" s="1501">
        <v>0</v>
      </c>
      <c r="I172" s="1501"/>
      <c r="J172" s="1630"/>
      <c r="K172" s="1630"/>
      <c r="L172" s="1631"/>
      <c r="M172" s="1631"/>
      <c r="N172" s="1631"/>
      <c r="O172" s="1631"/>
      <c r="P172" s="1631"/>
      <c r="Q172" s="1631"/>
      <c r="R172" s="1631"/>
      <c r="S172" s="1631"/>
      <c r="T172" s="1632"/>
      <c r="U172" s="1633"/>
      <c r="V172" s="1633"/>
      <c r="W172" s="1634"/>
      <c r="X172" s="1634"/>
      <c r="Y172" s="1634"/>
      <c r="Z172" s="1635"/>
      <c r="AA172" s="1634"/>
      <c r="AB172" s="1634"/>
      <c r="AC172" s="1508">
        <f t="shared" si="130"/>
        <v>0</v>
      </c>
      <c r="AD172" s="1509">
        <f t="shared" si="131"/>
        <v>0</v>
      </c>
      <c r="AE172" s="1509">
        <f t="shared" si="132"/>
        <v>0</v>
      </c>
      <c r="AF172" s="1509">
        <f t="shared" si="132"/>
        <v>0</v>
      </c>
      <c r="AG172" s="1509">
        <f t="shared" si="132"/>
        <v>0</v>
      </c>
      <c r="AH172" s="1490">
        <f t="shared" si="94"/>
        <v>0</v>
      </c>
      <c r="AI172" s="1636">
        <f t="shared" si="133"/>
        <v>0</v>
      </c>
      <c r="AJ172" s="1636">
        <f t="shared" si="134"/>
        <v>0</v>
      </c>
      <c r="AK172" s="1636">
        <f t="shared" si="135"/>
        <v>0</v>
      </c>
      <c r="AL172" s="1636">
        <f t="shared" si="113"/>
        <v>0</v>
      </c>
      <c r="AM172" s="1636">
        <f t="shared" si="113"/>
        <v>0</v>
      </c>
      <c r="AN172" s="1637"/>
      <c r="AO172" s="1722">
        <v>0</v>
      </c>
      <c r="AP172" s="1638"/>
      <c r="AQ172" s="1638"/>
      <c r="AR172" s="1638"/>
      <c r="AS172" s="1639"/>
      <c r="AT172" s="1638"/>
      <c r="AU172" s="1638"/>
      <c r="AV172" s="1638"/>
      <c r="AW172" s="1639"/>
      <c r="AX172" s="1640"/>
      <c r="AY172" s="1640"/>
      <c r="AZ172" s="1640"/>
      <c r="BA172" s="1641"/>
      <c r="BB172" s="1640"/>
      <c r="BC172" s="1640"/>
      <c r="BD172" s="1640"/>
      <c r="BE172" s="1644"/>
      <c r="BF172" s="1640"/>
      <c r="BG172" s="1640"/>
      <c r="BH172" s="1640"/>
      <c r="BI172" s="1641"/>
      <c r="BJ172" s="1640"/>
      <c r="BK172" s="1640"/>
      <c r="BL172" s="1640"/>
      <c r="BM172" s="1641"/>
      <c r="BN172" s="1640"/>
      <c r="BO172" s="1640"/>
      <c r="BP172" s="1640"/>
      <c r="BQ172" s="1641"/>
      <c r="BR172" s="1640"/>
      <c r="BS172" s="1640"/>
      <c r="BT172" s="1640"/>
      <c r="BU172" s="1641"/>
      <c r="BV172" s="1640"/>
      <c r="BW172" s="1640"/>
      <c r="BX172" s="1640"/>
      <c r="BY172" s="1641"/>
      <c r="BZ172" s="1640"/>
      <c r="CA172" s="1640"/>
      <c r="CB172" s="1640"/>
      <c r="CC172" s="1641"/>
      <c r="CD172" s="1640"/>
      <c r="CE172" s="1640"/>
      <c r="CF172" s="1640"/>
      <c r="CG172" s="1642"/>
      <c r="CH172" s="1643">
        <v>0</v>
      </c>
      <c r="CI172" s="1643">
        <v>0</v>
      </c>
      <c r="CJ172" s="1643">
        <v>0</v>
      </c>
      <c r="CK172" s="1643">
        <v>0</v>
      </c>
    </row>
    <row r="173" spans="1:108" ht="14" x14ac:dyDescent="0.15">
      <c r="A173" s="1688" t="s">
        <v>87</v>
      </c>
      <c r="B173" s="1689" t="s">
        <v>79</v>
      </c>
      <c r="C173" s="1689" t="s">
        <v>100</v>
      </c>
      <c r="D173" s="1689" t="s">
        <v>110</v>
      </c>
      <c r="E173" s="1690">
        <v>4279902</v>
      </c>
      <c r="F173" s="1689"/>
      <c r="G173" s="1667">
        <v>223</v>
      </c>
      <c r="H173" s="1501">
        <v>343.9</v>
      </c>
      <c r="I173" s="1501"/>
      <c r="J173" s="1630"/>
      <c r="K173" s="1630"/>
      <c r="L173" s="1631"/>
      <c r="M173" s="1631"/>
      <c r="N173" s="1631"/>
      <c r="O173" s="1631"/>
      <c r="P173" s="1631"/>
      <c r="Q173" s="1631"/>
      <c r="R173" s="1631"/>
      <c r="S173" s="1631"/>
      <c r="T173" s="1632"/>
      <c r="U173" s="1633"/>
      <c r="V173" s="1633"/>
      <c r="W173" s="1634"/>
      <c r="X173" s="1634"/>
      <c r="Y173" s="1634"/>
      <c r="Z173" s="1635"/>
      <c r="AA173" s="1634"/>
      <c r="AB173" s="1634"/>
      <c r="AC173" s="1508">
        <f t="shared" si="130"/>
        <v>343.9</v>
      </c>
      <c r="AD173" s="1509">
        <f t="shared" si="131"/>
        <v>0</v>
      </c>
      <c r="AE173" s="1509">
        <f t="shared" si="132"/>
        <v>0</v>
      </c>
      <c r="AF173" s="1509">
        <f t="shared" si="132"/>
        <v>0</v>
      </c>
      <c r="AG173" s="1509">
        <f t="shared" si="132"/>
        <v>0</v>
      </c>
      <c r="AH173" s="1490">
        <f t="shared" si="94"/>
        <v>0</v>
      </c>
      <c r="AI173" s="1636">
        <f t="shared" si="133"/>
        <v>0</v>
      </c>
      <c r="AJ173" s="1636">
        <f t="shared" si="134"/>
        <v>0</v>
      </c>
      <c r="AK173" s="1636">
        <f t="shared" si="135"/>
        <v>0</v>
      </c>
      <c r="AL173" s="1636">
        <f t="shared" si="113"/>
        <v>0</v>
      </c>
      <c r="AM173" s="1636">
        <f t="shared" si="113"/>
        <v>0</v>
      </c>
      <c r="AN173" s="1637"/>
      <c r="AO173" s="1722">
        <v>28.7</v>
      </c>
      <c r="AP173" s="1638"/>
      <c r="AQ173" s="1638"/>
      <c r="AR173" s="1638"/>
      <c r="AS173" s="1639">
        <v>28.7</v>
      </c>
      <c r="AT173" s="1638"/>
      <c r="AU173" s="1638"/>
      <c r="AV173" s="1638"/>
      <c r="AW173" s="1639"/>
      <c r="AX173" s="1640"/>
      <c r="AY173" s="1640"/>
      <c r="AZ173" s="1640"/>
      <c r="BA173" s="1641"/>
      <c r="BB173" s="1640"/>
      <c r="BC173" s="1640"/>
      <c r="BD173" s="1640"/>
      <c r="BE173" s="1644">
        <v>61.5</v>
      </c>
      <c r="BF173" s="1640"/>
      <c r="BG173" s="1640"/>
      <c r="BH173" s="1640"/>
      <c r="BI173" s="1641">
        <v>30.75</v>
      </c>
      <c r="BJ173" s="1640"/>
      <c r="BK173" s="1640"/>
      <c r="BL173" s="1640"/>
      <c r="BM173" s="1641"/>
      <c r="BN173" s="1640"/>
      <c r="BO173" s="1640"/>
      <c r="BP173" s="1640"/>
      <c r="BQ173" s="1641">
        <v>30.75</v>
      </c>
      <c r="BR173" s="1640"/>
      <c r="BS173" s="1640"/>
      <c r="BT173" s="1640"/>
      <c r="BU173" s="1641">
        <v>77.5</v>
      </c>
      <c r="BV173" s="1640"/>
      <c r="BW173" s="1640"/>
      <c r="BX173" s="1640"/>
      <c r="BY173" s="1641"/>
      <c r="BZ173" s="1640"/>
      <c r="CA173" s="1640"/>
      <c r="CB173" s="1640"/>
      <c r="CC173" s="1641"/>
      <c r="CD173" s="1640"/>
      <c r="CE173" s="1640"/>
      <c r="CF173" s="1640"/>
      <c r="CG173" s="1642"/>
      <c r="CH173" s="1643">
        <v>86</v>
      </c>
      <c r="CI173" s="1643">
        <v>0</v>
      </c>
      <c r="CJ173" s="1643">
        <v>0</v>
      </c>
      <c r="CK173" s="1643">
        <v>0</v>
      </c>
      <c r="CO173" s="1558">
        <f>233/325.88</f>
        <v>0.71498711182030195</v>
      </c>
      <c r="CP173" s="489">
        <v>61.5</v>
      </c>
    </row>
    <row r="174" spans="1:108" ht="14" x14ac:dyDescent="0.15">
      <c r="A174" s="1688" t="s">
        <v>111</v>
      </c>
      <c r="B174" s="1689" t="s">
        <v>79</v>
      </c>
      <c r="C174" s="1689" t="s">
        <v>100</v>
      </c>
      <c r="D174" s="1689" t="s">
        <v>110</v>
      </c>
      <c r="E174" s="1690">
        <v>4279902</v>
      </c>
      <c r="F174" s="1689"/>
      <c r="G174" s="1667">
        <v>224</v>
      </c>
      <c r="H174" s="1501">
        <v>0</v>
      </c>
      <c r="I174" s="1501"/>
      <c r="J174" s="1630"/>
      <c r="K174" s="1630"/>
      <c r="L174" s="1631"/>
      <c r="M174" s="1631"/>
      <c r="N174" s="1631"/>
      <c r="O174" s="1631"/>
      <c r="P174" s="1631"/>
      <c r="Q174" s="1631"/>
      <c r="R174" s="1631"/>
      <c r="S174" s="1631"/>
      <c r="T174" s="1632"/>
      <c r="U174" s="1633"/>
      <c r="V174" s="1633"/>
      <c r="W174" s="1634"/>
      <c r="X174" s="1634"/>
      <c r="Y174" s="1634"/>
      <c r="Z174" s="1635"/>
      <c r="AA174" s="1634"/>
      <c r="AB174" s="1634"/>
      <c r="AC174" s="1508">
        <f t="shared" si="130"/>
        <v>0</v>
      </c>
      <c r="AD174" s="1509">
        <f t="shared" si="131"/>
        <v>0</v>
      </c>
      <c r="AE174" s="1509">
        <f t="shared" si="132"/>
        <v>0</v>
      </c>
      <c r="AF174" s="1509">
        <f t="shared" si="132"/>
        <v>0</v>
      </c>
      <c r="AG174" s="1509">
        <f t="shared" si="132"/>
        <v>0</v>
      </c>
      <c r="AH174" s="1490">
        <f t="shared" si="94"/>
        <v>0</v>
      </c>
      <c r="AI174" s="1636">
        <f t="shared" si="133"/>
        <v>0</v>
      </c>
      <c r="AJ174" s="1636">
        <f t="shared" si="134"/>
        <v>0</v>
      </c>
      <c r="AK174" s="1636">
        <f t="shared" si="135"/>
        <v>0</v>
      </c>
      <c r="AL174" s="1636">
        <f t="shared" si="113"/>
        <v>0</v>
      </c>
      <c r="AM174" s="1636">
        <f t="shared" si="113"/>
        <v>0</v>
      </c>
      <c r="AN174" s="1637"/>
      <c r="AO174" s="1722">
        <v>0</v>
      </c>
      <c r="AP174" s="1638"/>
      <c r="AQ174" s="1638"/>
      <c r="AR174" s="1638"/>
      <c r="AS174" s="1639"/>
      <c r="AT174" s="1638"/>
      <c r="AU174" s="1638"/>
      <c r="AV174" s="1638"/>
      <c r="AW174" s="1639"/>
      <c r="AX174" s="1640"/>
      <c r="AY174" s="1640"/>
      <c r="AZ174" s="1640"/>
      <c r="BA174" s="1641"/>
      <c r="BB174" s="1640"/>
      <c r="BC174" s="1640"/>
      <c r="BD174" s="1640"/>
      <c r="BE174" s="1644"/>
      <c r="BF174" s="1640"/>
      <c r="BG174" s="1640"/>
      <c r="BH174" s="1640"/>
      <c r="BI174" s="1641"/>
      <c r="BJ174" s="1640"/>
      <c r="BK174" s="1640"/>
      <c r="BL174" s="1640"/>
      <c r="BM174" s="1641"/>
      <c r="BN174" s="1640"/>
      <c r="BO174" s="1640"/>
      <c r="BP174" s="1640"/>
      <c r="BQ174" s="1641"/>
      <c r="BR174" s="1640"/>
      <c r="BS174" s="1640"/>
      <c r="BT174" s="1640"/>
      <c r="BU174" s="1641"/>
      <c r="BV174" s="1640"/>
      <c r="BW174" s="1640"/>
      <c r="BX174" s="1640"/>
      <c r="BY174" s="1641"/>
      <c r="BZ174" s="1640"/>
      <c r="CA174" s="1640"/>
      <c r="CB174" s="1640"/>
      <c r="CC174" s="1641"/>
      <c r="CD174" s="1640"/>
      <c r="CE174" s="1640"/>
      <c r="CF174" s="1640"/>
      <c r="CG174" s="1642"/>
      <c r="CH174" s="1643">
        <v>0</v>
      </c>
      <c r="CI174" s="1643">
        <v>0</v>
      </c>
      <c r="CJ174" s="1643">
        <v>0</v>
      </c>
      <c r="CK174" s="1643">
        <v>0</v>
      </c>
    </row>
    <row r="175" spans="1:108" ht="14" x14ac:dyDescent="0.15">
      <c r="A175" s="1688" t="s">
        <v>90</v>
      </c>
      <c r="B175" s="1689" t="s">
        <v>79</v>
      </c>
      <c r="C175" s="1689" t="s">
        <v>100</v>
      </c>
      <c r="D175" s="1689" t="s">
        <v>110</v>
      </c>
      <c r="E175" s="1690">
        <v>4279902</v>
      </c>
      <c r="F175" s="1689"/>
      <c r="G175" s="1667">
        <v>225</v>
      </c>
      <c r="H175" s="1501">
        <f>50+10.6+18.6</f>
        <v>79.2</v>
      </c>
      <c r="I175" s="1501"/>
      <c r="J175" s="1630">
        <f>189.6-V175</f>
        <v>139.6</v>
      </c>
      <c r="K175" s="1630"/>
      <c r="L175" s="1631"/>
      <c r="M175" s="1631"/>
      <c r="N175" s="1631"/>
      <c r="O175" s="1631"/>
      <c r="P175" s="1631"/>
      <c r="Q175" s="1631"/>
      <c r="R175" s="1631"/>
      <c r="S175" s="1631"/>
      <c r="T175" s="1632"/>
      <c r="U175" s="1633"/>
      <c r="V175" s="1633">
        <v>50</v>
      </c>
      <c r="W175" s="1634"/>
      <c r="X175" s="1634"/>
      <c r="Y175" s="1634"/>
      <c r="Z175" s="1635"/>
      <c r="AA175" s="1634"/>
      <c r="AB175" s="1634"/>
      <c r="AC175" s="1508">
        <f t="shared" si="130"/>
        <v>79.2</v>
      </c>
      <c r="AD175" s="1509">
        <f t="shared" si="131"/>
        <v>139.6</v>
      </c>
      <c r="AE175" s="1509">
        <f t="shared" si="132"/>
        <v>0</v>
      </c>
      <c r="AF175" s="1509">
        <f t="shared" si="132"/>
        <v>139.6</v>
      </c>
      <c r="AG175" s="1509">
        <f t="shared" si="132"/>
        <v>0</v>
      </c>
      <c r="AH175" s="1490">
        <f t="shared" si="94"/>
        <v>0</v>
      </c>
      <c r="AI175" s="1636">
        <f t="shared" si="133"/>
        <v>0</v>
      </c>
      <c r="AJ175" s="1636">
        <f t="shared" si="134"/>
        <v>0</v>
      </c>
      <c r="AK175" s="1636">
        <f t="shared" si="135"/>
        <v>0</v>
      </c>
      <c r="AL175" s="1636">
        <f t="shared" si="113"/>
        <v>0</v>
      </c>
      <c r="AM175" s="1636">
        <f t="shared" si="113"/>
        <v>0</v>
      </c>
      <c r="AN175" s="1637"/>
      <c r="AO175" s="1723"/>
      <c r="AP175" s="1638"/>
      <c r="AQ175" s="1638"/>
      <c r="AR175" s="1638"/>
      <c r="AS175" s="1639"/>
      <c r="AT175" s="1638"/>
      <c r="AU175" s="1638"/>
      <c r="AV175" s="1638"/>
      <c r="AW175" s="1639"/>
      <c r="AX175" s="1640"/>
      <c r="AY175" s="1640"/>
      <c r="AZ175" s="1640"/>
      <c r="BA175" s="1641"/>
      <c r="BB175" s="1640"/>
      <c r="BC175" s="1640"/>
      <c r="BD175" s="1640"/>
      <c r="BE175" s="1644"/>
      <c r="BF175" s="1640"/>
      <c r="BG175" s="1640"/>
      <c r="BH175" s="1640"/>
      <c r="BI175" s="1641"/>
      <c r="BJ175" s="1640"/>
      <c r="BK175" s="1640"/>
      <c r="BL175" s="1640"/>
      <c r="BM175" s="1641"/>
      <c r="BN175" s="1640"/>
      <c r="BO175" s="1640"/>
      <c r="BP175" s="1640"/>
      <c r="BQ175" s="1641">
        <v>50</v>
      </c>
      <c r="BR175" s="1640"/>
      <c r="BS175" s="1640"/>
      <c r="BT175" s="1640"/>
      <c r="BU175" s="1641">
        <v>29.2</v>
      </c>
      <c r="BV175" s="1640"/>
      <c r="BW175" s="1640"/>
      <c r="BX175" s="1640"/>
      <c r="BY175" s="1641"/>
      <c r="BZ175" s="1640"/>
      <c r="CA175" s="1640">
        <v>70</v>
      </c>
      <c r="CB175" s="1640"/>
      <c r="CC175" s="1641"/>
      <c r="CD175" s="1640"/>
      <c r="CE175" s="1640"/>
      <c r="CF175" s="1640"/>
      <c r="CG175" s="1642"/>
      <c r="CH175" s="1643">
        <v>0</v>
      </c>
      <c r="CI175" s="1643">
        <v>0</v>
      </c>
      <c r="CJ175" s="1643">
        <v>69.599999999999994</v>
      </c>
      <c r="CK175" s="1643">
        <v>0</v>
      </c>
    </row>
    <row r="176" spans="1:108" ht="14" x14ac:dyDescent="0.15">
      <c r="A176" s="1688" t="s">
        <v>91</v>
      </c>
      <c r="B176" s="1689" t="s">
        <v>79</v>
      </c>
      <c r="C176" s="1689" t="s">
        <v>100</v>
      </c>
      <c r="D176" s="1689" t="s">
        <v>110</v>
      </c>
      <c r="E176" s="1690">
        <v>4279902</v>
      </c>
      <c r="F176" s="1689"/>
      <c r="G176" s="1667">
        <v>226</v>
      </c>
      <c r="H176" s="1501">
        <f>35+497+325.2-U176-140</f>
        <v>443.03600000000006</v>
      </c>
      <c r="I176" s="1501"/>
      <c r="J176" s="1630"/>
      <c r="K176" s="1630"/>
      <c r="L176" s="1631"/>
      <c r="M176" s="1631"/>
      <c r="N176" s="1631"/>
      <c r="O176" s="1631"/>
      <c r="P176" s="1631"/>
      <c r="Q176" s="1631"/>
      <c r="R176" s="1631"/>
      <c r="S176" s="1631">
        <v>830</v>
      </c>
      <c r="T176" s="1632"/>
      <c r="U176" s="1633">
        <v>274.16399999999999</v>
      </c>
      <c r="V176" s="1633"/>
      <c r="W176" s="1634"/>
      <c r="X176" s="1634"/>
      <c r="Y176" s="1634"/>
      <c r="Z176" s="1635"/>
      <c r="AA176" s="1634"/>
      <c r="AB176" s="1634"/>
      <c r="AC176" s="1508">
        <f t="shared" si="130"/>
        <v>443.036</v>
      </c>
      <c r="AD176" s="1509">
        <f t="shared" si="131"/>
        <v>0</v>
      </c>
      <c r="AE176" s="1509">
        <f t="shared" si="132"/>
        <v>0</v>
      </c>
      <c r="AF176" s="1509">
        <f t="shared" si="132"/>
        <v>0</v>
      </c>
      <c r="AG176" s="1509">
        <f t="shared" si="132"/>
        <v>0</v>
      </c>
      <c r="AH176" s="1490">
        <f t="shared" si="94"/>
        <v>0</v>
      </c>
      <c r="AI176" s="1636">
        <f t="shared" si="133"/>
        <v>0</v>
      </c>
      <c r="AJ176" s="1636">
        <f t="shared" si="134"/>
        <v>0</v>
      </c>
      <c r="AK176" s="1636">
        <f t="shared" si="135"/>
        <v>0</v>
      </c>
      <c r="AL176" s="1636">
        <f t="shared" si="113"/>
        <v>0</v>
      </c>
      <c r="AM176" s="1636">
        <f t="shared" si="113"/>
        <v>0</v>
      </c>
      <c r="AN176" s="1637"/>
      <c r="AO176" s="1723"/>
      <c r="AP176" s="1638"/>
      <c r="AQ176" s="1638"/>
      <c r="AR176" s="1638"/>
      <c r="AS176" s="1639"/>
      <c r="AT176" s="1638"/>
      <c r="AU176" s="1638"/>
      <c r="AV176" s="1638"/>
      <c r="AW176" s="1639"/>
      <c r="AX176" s="1640"/>
      <c r="AY176" s="1640"/>
      <c r="AZ176" s="1640"/>
      <c r="BA176" s="1641"/>
      <c r="BB176" s="1640"/>
      <c r="BC176" s="1640"/>
      <c r="BD176" s="1640"/>
      <c r="BE176" s="1644"/>
      <c r="BF176" s="1640"/>
      <c r="BG176" s="1640"/>
      <c r="BH176" s="1640"/>
      <c r="BI176" s="1641"/>
      <c r="BJ176" s="1640"/>
      <c r="BK176" s="1640"/>
      <c r="BL176" s="1640"/>
      <c r="BM176" s="1641"/>
      <c r="BN176" s="1640"/>
      <c r="BO176" s="1640"/>
      <c r="BP176" s="1640"/>
      <c r="BQ176" s="1641">
        <v>35.049999999999997</v>
      </c>
      <c r="BR176" s="1640"/>
      <c r="BS176" s="1640"/>
      <c r="BT176" s="1640"/>
      <c r="BU176" s="1641">
        <f>290+117.986</f>
        <v>407.98599999999999</v>
      </c>
      <c r="BV176" s="1640"/>
      <c r="BW176" s="1640"/>
      <c r="BX176" s="1640"/>
      <c r="BY176" s="1641"/>
      <c r="BZ176" s="1640"/>
      <c r="CA176" s="1640"/>
      <c r="CB176" s="1640"/>
      <c r="CC176" s="1641"/>
      <c r="CD176" s="1640"/>
      <c r="CE176" s="1640"/>
      <c r="CF176" s="1640"/>
      <c r="CG176" s="1642"/>
      <c r="CH176" s="1643">
        <v>0</v>
      </c>
      <c r="CI176" s="1643">
        <v>0</v>
      </c>
      <c r="CJ176" s="1643">
        <v>0</v>
      </c>
      <c r="CK176" s="1643">
        <v>0</v>
      </c>
    </row>
    <row r="177" spans="1:108" ht="14" x14ac:dyDescent="0.15">
      <c r="A177" s="1688" t="s">
        <v>94</v>
      </c>
      <c r="B177" s="1689" t="s">
        <v>79</v>
      </c>
      <c r="C177" s="1689" t="s">
        <v>100</v>
      </c>
      <c r="D177" s="1689" t="s">
        <v>110</v>
      </c>
      <c r="E177" s="1690">
        <v>4279902</v>
      </c>
      <c r="F177" s="1689"/>
      <c r="G177" s="1667">
        <v>290</v>
      </c>
      <c r="H177" s="1501">
        <v>1070.5999999999999</v>
      </c>
      <c r="I177" s="1501"/>
      <c r="J177" s="1630"/>
      <c r="K177" s="1630"/>
      <c r="L177" s="1631"/>
      <c r="M177" s="1631"/>
      <c r="N177" s="1631"/>
      <c r="O177" s="1631"/>
      <c r="P177" s="1631"/>
      <c r="Q177" s="1631"/>
      <c r="R177" s="1631"/>
      <c r="S177" s="1631"/>
      <c r="T177" s="1632"/>
      <c r="U177" s="1633"/>
      <c r="V177" s="1633"/>
      <c r="W177" s="1634"/>
      <c r="X177" s="1634"/>
      <c r="Y177" s="1634"/>
      <c r="Z177" s="1635"/>
      <c r="AA177" s="1634"/>
      <c r="AB177" s="1634"/>
      <c r="AC177" s="1508">
        <f t="shared" si="130"/>
        <v>1070.5999999999999</v>
      </c>
      <c r="AD177" s="1509">
        <f t="shared" si="131"/>
        <v>0</v>
      </c>
      <c r="AE177" s="1509">
        <f t="shared" si="132"/>
        <v>0</v>
      </c>
      <c r="AF177" s="1509">
        <f t="shared" si="132"/>
        <v>0</v>
      </c>
      <c r="AG177" s="1509">
        <f t="shared" si="132"/>
        <v>0</v>
      </c>
      <c r="AH177" s="1490">
        <f t="shared" si="94"/>
        <v>0</v>
      </c>
      <c r="AI177" s="1636">
        <f t="shared" si="133"/>
        <v>0</v>
      </c>
      <c r="AJ177" s="1636">
        <f t="shared" si="134"/>
        <v>0</v>
      </c>
      <c r="AK177" s="1636">
        <f t="shared" si="135"/>
        <v>0</v>
      </c>
      <c r="AL177" s="1636">
        <f t="shared" si="113"/>
        <v>0</v>
      </c>
      <c r="AM177" s="1636">
        <f t="shared" si="113"/>
        <v>0</v>
      </c>
      <c r="AN177" s="1637"/>
      <c r="AO177" s="1722">
        <v>89.2</v>
      </c>
      <c r="AP177" s="1638"/>
      <c r="AQ177" s="1638"/>
      <c r="AR177" s="1638"/>
      <c r="AS177" s="1639">
        <v>90.2</v>
      </c>
      <c r="AT177" s="1638"/>
      <c r="AU177" s="1638"/>
      <c r="AV177" s="1638"/>
      <c r="AW177" s="1639">
        <v>90</v>
      </c>
      <c r="AX177" s="1640"/>
      <c r="AY177" s="1640"/>
      <c r="AZ177" s="1640"/>
      <c r="BA177" s="1641">
        <v>90</v>
      </c>
      <c r="BB177" s="1640"/>
      <c r="BC177" s="1640"/>
      <c r="BD177" s="1640"/>
      <c r="BE177" s="1644">
        <v>86.7</v>
      </c>
      <c r="BF177" s="1640"/>
      <c r="BG177" s="1640"/>
      <c r="BH177" s="1640"/>
      <c r="BI177" s="1641">
        <v>90</v>
      </c>
      <c r="BJ177" s="1640"/>
      <c r="BK177" s="1640"/>
      <c r="BL177" s="1640"/>
      <c r="BM177" s="1641"/>
      <c r="BN177" s="1640"/>
      <c r="BO177" s="1640"/>
      <c r="BP177" s="1640"/>
      <c r="BQ177" s="1641">
        <v>90.2</v>
      </c>
      <c r="BR177" s="1640"/>
      <c r="BS177" s="1640"/>
      <c r="BT177" s="1640"/>
      <c r="BU177" s="1641">
        <v>176.7</v>
      </c>
      <c r="BV177" s="1640"/>
      <c r="BW177" s="1640"/>
      <c r="BX177" s="1640"/>
      <c r="BY177" s="1641"/>
      <c r="BZ177" s="1640"/>
      <c r="CA177" s="1640"/>
      <c r="CB177" s="1640"/>
      <c r="CC177" s="1641"/>
      <c r="CD177" s="1640"/>
      <c r="CE177" s="1640"/>
      <c r="CF177" s="1640"/>
      <c r="CG177" s="1642"/>
      <c r="CH177" s="1643">
        <f>171.6+96</f>
        <v>267.60000000000002</v>
      </c>
      <c r="CI177" s="1643">
        <v>0</v>
      </c>
      <c r="CJ177" s="1643">
        <v>0</v>
      </c>
      <c r="CK177" s="1643">
        <v>0</v>
      </c>
    </row>
    <row r="178" spans="1:108" ht="14" x14ac:dyDescent="0.15">
      <c r="A178" s="1688" t="s">
        <v>94</v>
      </c>
      <c r="B178" s="1689" t="s">
        <v>79</v>
      </c>
      <c r="C178" s="1689" t="s">
        <v>100</v>
      </c>
      <c r="D178" s="1689" t="s">
        <v>110</v>
      </c>
      <c r="E178" s="1690">
        <v>4279902</v>
      </c>
      <c r="F178" s="1689"/>
      <c r="G178" s="1667" t="s">
        <v>95</v>
      </c>
      <c r="H178" s="1501">
        <v>169.6</v>
      </c>
      <c r="I178" s="1501"/>
      <c r="J178" s="1630"/>
      <c r="K178" s="1630"/>
      <c r="L178" s="1631"/>
      <c r="M178" s="1631"/>
      <c r="N178" s="1631"/>
      <c r="O178" s="1631"/>
      <c r="P178" s="1631"/>
      <c r="Q178" s="1631"/>
      <c r="R178" s="1631"/>
      <c r="S178" s="1631"/>
      <c r="T178" s="1632"/>
      <c r="U178" s="1633"/>
      <c r="V178" s="1633"/>
      <c r="W178" s="1634"/>
      <c r="X178" s="1634"/>
      <c r="Y178" s="1634"/>
      <c r="Z178" s="1635"/>
      <c r="AA178" s="1634"/>
      <c r="AB178" s="1634"/>
      <c r="AC178" s="1508">
        <f t="shared" si="130"/>
        <v>169.6</v>
      </c>
      <c r="AD178" s="1509">
        <f t="shared" si="131"/>
        <v>0</v>
      </c>
      <c r="AE178" s="1509">
        <f t="shared" si="132"/>
        <v>0</v>
      </c>
      <c r="AF178" s="1509">
        <f t="shared" si="132"/>
        <v>0</v>
      </c>
      <c r="AG178" s="1509">
        <f t="shared" si="132"/>
        <v>0</v>
      </c>
      <c r="AH178" s="1490">
        <f t="shared" ref="AH178:AH241" si="136">CG178+CL178</f>
        <v>0</v>
      </c>
      <c r="AI178" s="1636">
        <f t="shared" si="133"/>
        <v>0</v>
      </c>
      <c r="AJ178" s="1636">
        <f t="shared" si="134"/>
        <v>0</v>
      </c>
      <c r="AK178" s="1636">
        <f t="shared" si="135"/>
        <v>0</v>
      </c>
      <c r="AL178" s="1636">
        <f t="shared" si="113"/>
        <v>0</v>
      </c>
      <c r="AM178" s="1636">
        <f t="shared" si="113"/>
        <v>0</v>
      </c>
      <c r="AN178" s="1637"/>
      <c r="AO178" s="1722">
        <v>14.1</v>
      </c>
      <c r="AP178" s="1638"/>
      <c r="AQ178" s="1638"/>
      <c r="AR178" s="1638"/>
      <c r="AS178" s="1639"/>
      <c r="AT178" s="1638"/>
      <c r="AU178" s="1638"/>
      <c r="AV178" s="1638"/>
      <c r="AW178" s="1639"/>
      <c r="AX178" s="1640"/>
      <c r="AY178" s="1640"/>
      <c r="AZ178" s="1640"/>
      <c r="BA178" s="1641"/>
      <c r="BB178" s="1640"/>
      <c r="BC178" s="1640"/>
      <c r="BD178" s="1640"/>
      <c r="BE178" s="1644">
        <f>42.4+5.9</f>
        <v>48.3</v>
      </c>
      <c r="BF178" s="1640"/>
      <c r="BG178" s="1640"/>
      <c r="BH178" s="1640"/>
      <c r="BI178" s="1641"/>
      <c r="BJ178" s="1640"/>
      <c r="BK178" s="1640"/>
      <c r="BL178" s="1640"/>
      <c r="BM178" s="1641"/>
      <c r="BN178" s="1640"/>
      <c r="BO178" s="1640"/>
      <c r="BP178" s="1640"/>
      <c r="BQ178" s="1641"/>
      <c r="BR178" s="1640"/>
      <c r="BS178" s="1640"/>
      <c r="BT178" s="1640"/>
      <c r="BU178" s="1641">
        <v>64.8</v>
      </c>
      <c r="BV178" s="1640"/>
      <c r="BW178" s="1640"/>
      <c r="BX178" s="1640"/>
      <c r="BY178" s="1641"/>
      <c r="BZ178" s="1640"/>
      <c r="CA178" s="1640"/>
      <c r="CB178" s="1640"/>
      <c r="CC178" s="1641"/>
      <c r="CD178" s="1640"/>
      <c r="CE178" s="1640"/>
      <c r="CF178" s="1640"/>
      <c r="CG178" s="1642"/>
      <c r="CH178" s="1643">
        <v>42.4</v>
      </c>
      <c r="CI178" s="1643">
        <v>0</v>
      </c>
      <c r="CJ178" s="1643">
        <v>0</v>
      </c>
      <c r="CK178" s="1643">
        <v>0</v>
      </c>
    </row>
    <row r="179" spans="1:108" ht="14.25" customHeight="1" x14ac:dyDescent="0.15">
      <c r="A179" s="1688" t="s">
        <v>96</v>
      </c>
      <c r="B179" s="1689" t="s">
        <v>79</v>
      </c>
      <c r="C179" s="1689" t="s">
        <v>100</v>
      </c>
      <c r="D179" s="1689" t="s">
        <v>110</v>
      </c>
      <c r="E179" s="1690">
        <v>4279902</v>
      </c>
      <c r="F179" s="1689"/>
      <c r="G179" s="1667">
        <v>310</v>
      </c>
      <c r="H179" s="1501">
        <f>100+200-U179</f>
        <v>160.16399999999999</v>
      </c>
      <c r="I179" s="1501">
        <v>1200</v>
      </c>
      <c r="J179" s="1630">
        <f>5-V179</f>
        <v>0</v>
      </c>
      <c r="K179" s="1630">
        <f>1000-0.1</f>
        <v>999.9</v>
      </c>
      <c r="L179" s="1631"/>
      <c r="M179" s="1631"/>
      <c r="N179" s="1631"/>
      <c r="O179" s="1631"/>
      <c r="P179" s="1631"/>
      <c r="Q179" s="1631"/>
      <c r="R179" s="1631"/>
      <c r="S179" s="1631"/>
      <c r="T179" s="1632"/>
      <c r="U179" s="1633">
        <f>79.836+60</f>
        <v>139.83600000000001</v>
      </c>
      <c r="V179" s="1633">
        <v>5</v>
      </c>
      <c r="W179" s="1634"/>
      <c r="X179" s="1634"/>
      <c r="Y179" s="1634"/>
      <c r="Z179" s="1635"/>
      <c r="AA179" s="1634"/>
      <c r="AB179" s="1634"/>
      <c r="AC179" s="1508">
        <f t="shared" si="130"/>
        <v>160.16399999999999</v>
      </c>
      <c r="AD179" s="1509">
        <f t="shared" si="131"/>
        <v>2199.9</v>
      </c>
      <c r="AE179" s="1509">
        <f t="shared" si="132"/>
        <v>1200</v>
      </c>
      <c r="AF179" s="1509">
        <f t="shared" si="132"/>
        <v>0</v>
      </c>
      <c r="AG179" s="1509">
        <f t="shared" si="132"/>
        <v>999.9</v>
      </c>
      <c r="AH179" s="1490">
        <f t="shared" si="136"/>
        <v>0</v>
      </c>
      <c r="AI179" s="1636">
        <f t="shared" si="133"/>
        <v>0</v>
      </c>
      <c r="AJ179" s="1636">
        <f t="shared" si="134"/>
        <v>0</v>
      </c>
      <c r="AK179" s="1636">
        <f t="shared" si="135"/>
        <v>0</v>
      </c>
      <c r="AL179" s="1636">
        <f t="shared" si="113"/>
        <v>0</v>
      </c>
      <c r="AM179" s="1636">
        <f t="shared" si="113"/>
        <v>0</v>
      </c>
      <c r="AN179" s="1637"/>
      <c r="AO179" s="1723"/>
      <c r="AP179" s="1638"/>
      <c r="AQ179" s="1638"/>
      <c r="AR179" s="1638"/>
      <c r="AS179" s="1639"/>
      <c r="AT179" s="1638"/>
      <c r="AU179" s="1638"/>
      <c r="AV179" s="1638"/>
      <c r="AW179" s="1639"/>
      <c r="AX179" s="1640"/>
      <c r="AY179" s="1640"/>
      <c r="AZ179" s="1640"/>
      <c r="BA179" s="1641"/>
      <c r="BB179" s="1640"/>
      <c r="BC179" s="1640"/>
      <c r="BD179" s="1640"/>
      <c r="BE179" s="1644"/>
      <c r="BF179" s="1640"/>
      <c r="BG179" s="1640"/>
      <c r="BH179" s="1640"/>
      <c r="BI179" s="1641"/>
      <c r="BJ179" s="1640"/>
      <c r="BK179" s="1640"/>
      <c r="BL179" s="1640"/>
      <c r="BM179" s="1641"/>
      <c r="BN179" s="1640">
        <v>1200</v>
      </c>
      <c r="BO179" s="1640"/>
      <c r="BP179" s="1640"/>
      <c r="BQ179" s="1641"/>
      <c r="BR179" s="1640"/>
      <c r="BS179" s="1640"/>
      <c r="BT179" s="1640"/>
      <c r="BU179" s="1641">
        <v>160.16399999999999</v>
      </c>
      <c r="BV179" s="1640"/>
      <c r="BW179" s="1640"/>
      <c r="BX179" s="1640"/>
      <c r="BY179" s="1641"/>
      <c r="BZ179" s="1640"/>
      <c r="CA179" s="1640"/>
      <c r="CB179" s="1640">
        <v>400</v>
      </c>
      <c r="CC179" s="1641"/>
      <c r="CD179" s="1640"/>
      <c r="CE179" s="1640"/>
      <c r="CF179" s="1640"/>
      <c r="CG179" s="1642"/>
      <c r="CH179" s="1643">
        <v>0</v>
      </c>
      <c r="CI179" s="1643">
        <v>0</v>
      </c>
      <c r="CJ179" s="1643">
        <v>0</v>
      </c>
      <c r="CK179" s="1643">
        <v>599.9</v>
      </c>
    </row>
    <row r="180" spans="1:108" ht="14" x14ac:dyDescent="0.15">
      <c r="A180" s="1688" t="s">
        <v>97</v>
      </c>
      <c r="B180" s="1689" t="s">
        <v>79</v>
      </c>
      <c r="C180" s="1689" t="s">
        <v>100</v>
      </c>
      <c r="D180" s="1689" t="s">
        <v>110</v>
      </c>
      <c r="E180" s="1690">
        <v>4279902</v>
      </c>
      <c r="F180" s="1689"/>
      <c r="G180" s="1667">
        <v>340</v>
      </c>
      <c r="H180" s="1501">
        <f>60+140</f>
        <v>200</v>
      </c>
      <c r="I180" s="1501"/>
      <c r="J180" s="1630"/>
      <c r="K180" s="1630"/>
      <c r="L180" s="1631"/>
      <c r="M180" s="1631"/>
      <c r="N180" s="1631"/>
      <c r="O180" s="1631"/>
      <c r="P180" s="1631"/>
      <c r="Q180" s="1631"/>
      <c r="R180" s="1631"/>
      <c r="S180" s="1631"/>
      <c r="T180" s="1632"/>
      <c r="U180" s="1633"/>
      <c r="V180" s="1633"/>
      <c r="W180" s="1634"/>
      <c r="X180" s="1634"/>
      <c r="Y180" s="1634"/>
      <c r="Z180" s="1635"/>
      <c r="AA180" s="1634"/>
      <c r="AB180" s="1634"/>
      <c r="AC180" s="1508">
        <f t="shared" si="130"/>
        <v>200</v>
      </c>
      <c r="AD180" s="1509">
        <f t="shared" si="131"/>
        <v>0</v>
      </c>
      <c r="AE180" s="1509">
        <f t="shared" si="132"/>
        <v>0</v>
      </c>
      <c r="AF180" s="1509">
        <f t="shared" si="132"/>
        <v>0</v>
      </c>
      <c r="AG180" s="1509">
        <f t="shared" si="132"/>
        <v>0</v>
      </c>
      <c r="AH180" s="1490">
        <f t="shared" si="136"/>
        <v>0</v>
      </c>
      <c r="AI180" s="1636">
        <f t="shared" si="133"/>
        <v>0</v>
      </c>
      <c r="AJ180" s="1636">
        <f t="shared" si="134"/>
        <v>0</v>
      </c>
      <c r="AK180" s="1636">
        <f t="shared" si="135"/>
        <v>0</v>
      </c>
      <c r="AL180" s="1636">
        <f t="shared" si="113"/>
        <v>0</v>
      </c>
      <c r="AM180" s="1636">
        <f t="shared" si="113"/>
        <v>0</v>
      </c>
      <c r="AN180" s="1637"/>
      <c r="AO180" s="1722">
        <v>5</v>
      </c>
      <c r="AP180" s="1638"/>
      <c r="AQ180" s="1638"/>
      <c r="AR180" s="1638"/>
      <c r="AS180" s="1639"/>
      <c r="AT180" s="1638"/>
      <c r="AU180" s="1638"/>
      <c r="AV180" s="1638"/>
      <c r="AW180" s="1639"/>
      <c r="AX180" s="1640"/>
      <c r="AY180" s="1640"/>
      <c r="AZ180" s="1640"/>
      <c r="BA180" s="1641"/>
      <c r="BB180" s="1640"/>
      <c r="BC180" s="1640"/>
      <c r="BD180" s="1640"/>
      <c r="BE180" s="1644"/>
      <c r="BF180" s="1640"/>
      <c r="BG180" s="1640"/>
      <c r="BH180" s="1640"/>
      <c r="BI180" s="1641"/>
      <c r="BJ180" s="1640"/>
      <c r="BK180" s="1640"/>
      <c r="BL180" s="1640"/>
      <c r="BM180" s="1641"/>
      <c r="BN180" s="1640"/>
      <c r="BO180" s="1640"/>
      <c r="BP180" s="1640"/>
      <c r="BQ180" s="1641"/>
      <c r="BR180" s="1640"/>
      <c r="BS180" s="1640"/>
      <c r="BT180" s="1640"/>
      <c r="BU180" s="1641">
        <v>195</v>
      </c>
      <c r="BV180" s="1640"/>
      <c r="BW180" s="1640"/>
      <c r="BX180" s="1640"/>
      <c r="BY180" s="1641"/>
      <c r="BZ180" s="1640"/>
      <c r="CA180" s="1640"/>
      <c r="CB180" s="1640"/>
      <c r="CC180" s="1641"/>
      <c r="CD180" s="1640"/>
      <c r="CE180" s="1640"/>
      <c r="CF180" s="1640"/>
      <c r="CG180" s="1642"/>
      <c r="CH180" s="1643">
        <v>0</v>
      </c>
      <c r="CI180" s="1643">
        <v>0</v>
      </c>
      <c r="CJ180" s="1643">
        <v>0</v>
      </c>
      <c r="CK180" s="1643">
        <v>0</v>
      </c>
    </row>
    <row r="181" spans="1:108" ht="14" x14ac:dyDescent="0.15">
      <c r="A181" s="1528" t="s">
        <v>767</v>
      </c>
      <c r="B181" s="1530" t="s">
        <v>79</v>
      </c>
      <c r="C181" s="1530" t="s">
        <v>100</v>
      </c>
      <c r="D181" s="1530" t="s">
        <v>110</v>
      </c>
      <c r="E181" s="1530" t="s">
        <v>224</v>
      </c>
      <c r="F181" s="1530" t="s">
        <v>768</v>
      </c>
      <c r="G181" s="1600" t="s">
        <v>766</v>
      </c>
      <c r="H181" s="1647">
        <f>I167</f>
        <v>1200</v>
      </c>
      <c r="I181" s="1645"/>
      <c r="J181" s="1630"/>
      <c r="K181" s="1630"/>
      <c r="L181" s="1631"/>
      <c r="M181" s="1631"/>
      <c r="N181" s="1631"/>
      <c r="O181" s="1631"/>
      <c r="P181" s="1631"/>
      <c r="Q181" s="1631"/>
      <c r="R181" s="1631"/>
      <c r="S181" s="1631"/>
      <c r="T181" s="1632"/>
      <c r="U181" s="1633"/>
      <c r="V181" s="1633"/>
      <c r="W181" s="1634"/>
      <c r="X181" s="1634"/>
      <c r="Y181" s="1634"/>
      <c r="Z181" s="1635"/>
      <c r="AA181" s="1634"/>
      <c r="AB181" s="1634"/>
      <c r="AC181" s="1508">
        <f t="shared" si="130"/>
        <v>0</v>
      </c>
      <c r="AD181" s="1509">
        <f t="shared" si="131"/>
        <v>0</v>
      </c>
      <c r="AE181" s="1509"/>
      <c r="AF181" s="1509"/>
      <c r="AG181" s="1509"/>
      <c r="AH181" s="1490">
        <f t="shared" si="136"/>
        <v>0</v>
      </c>
      <c r="AI181" s="1636"/>
      <c r="AJ181" s="1636"/>
      <c r="AK181" s="1636"/>
      <c r="AL181" s="1636">
        <f t="shared" ref="AL181:AM212" si="137">J181-AF181</f>
        <v>0</v>
      </c>
      <c r="AM181" s="1636"/>
      <c r="AN181" s="1712"/>
      <c r="AO181" s="1713"/>
      <c r="AP181" s="1638"/>
      <c r="AQ181" s="1638"/>
      <c r="AR181" s="1638"/>
      <c r="AS181" s="1639"/>
      <c r="AT181" s="1638"/>
      <c r="AU181" s="1638"/>
      <c r="AV181" s="1638"/>
      <c r="AW181" s="1639"/>
      <c r="AX181" s="1640"/>
      <c r="AY181" s="1640"/>
      <c r="AZ181" s="1640"/>
      <c r="BA181" s="1641"/>
      <c r="BB181" s="1640"/>
      <c r="BC181" s="1640"/>
      <c r="BD181" s="1640"/>
      <c r="BE181" s="1644"/>
      <c r="BF181" s="1640"/>
      <c r="BG181" s="1640"/>
      <c r="BH181" s="1640"/>
      <c r="BI181" s="1641"/>
      <c r="BJ181" s="1640"/>
      <c r="BK181" s="1640"/>
      <c r="BL181" s="1640"/>
      <c r="BM181" s="1641"/>
      <c r="BN181" s="1640"/>
      <c r="BO181" s="1640"/>
      <c r="BP181" s="1640"/>
      <c r="BQ181" s="1641"/>
      <c r="BR181" s="1640"/>
      <c r="BS181" s="1640"/>
      <c r="BT181" s="1640"/>
      <c r="BU181" s="1641"/>
      <c r="BV181" s="1640"/>
      <c r="BW181" s="1640"/>
      <c r="BX181" s="1640"/>
      <c r="BY181" s="1641"/>
      <c r="BZ181" s="1640"/>
      <c r="CA181" s="1640"/>
      <c r="CB181" s="1640"/>
      <c r="CC181" s="1641"/>
      <c r="CD181" s="1640"/>
      <c r="CE181" s="1640"/>
      <c r="CF181" s="1640"/>
      <c r="CG181" s="1642"/>
      <c r="CH181" s="1648"/>
      <c r="CI181" s="1648"/>
      <c r="CJ181" s="1643">
        <v>0</v>
      </c>
      <c r="CK181" s="1648"/>
    </row>
    <row r="182" spans="1:108" ht="42.75" customHeight="1" x14ac:dyDescent="0.15">
      <c r="A182" s="1692" t="s">
        <v>1255</v>
      </c>
      <c r="B182" s="1577" t="s">
        <v>79</v>
      </c>
      <c r="C182" s="1577" t="s">
        <v>100</v>
      </c>
      <c r="D182" s="1577" t="s">
        <v>110</v>
      </c>
      <c r="E182" s="1693">
        <v>4279902</v>
      </c>
      <c r="F182" s="1605">
        <v>600</v>
      </c>
      <c r="G182" s="1724"/>
      <c r="H182" s="1694">
        <f>H183+H197</f>
        <v>22515.900000000005</v>
      </c>
      <c r="I182" s="1694">
        <f>I183+I197</f>
        <v>0</v>
      </c>
      <c r="J182" s="1694">
        <f>J183+J197</f>
        <v>152</v>
      </c>
      <c r="K182" s="1694">
        <f>K183+K197</f>
        <v>0</v>
      </c>
      <c r="L182" s="1695"/>
      <c r="M182" s="1695"/>
      <c r="N182" s="1695"/>
      <c r="O182" s="1695"/>
      <c r="P182" s="1695"/>
      <c r="Q182" s="1695"/>
      <c r="R182" s="1695"/>
      <c r="S182" s="1695"/>
      <c r="T182" s="1696"/>
      <c r="U182" s="1697"/>
      <c r="V182" s="1697"/>
      <c r="W182" s="1698"/>
      <c r="X182" s="1698"/>
      <c r="Y182" s="1698"/>
      <c r="Z182" s="1699"/>
      <c r="AA182" s="1698"/>
      <c r="AB182" s="1698"/>
      <c r="AC182" s="1700">
        <f>AC183+AC197</f>
        <v>22515.900000000005</v>
      </c>
      <c r="AD182" s="1700">
        <f>AD183+AD197</f>
        <v>152</v>
      </c>
      <c r="AE182" s="1700">
        <f>AE183+AE197</f>
        <v>0</v>
      </c>
      <c r="AF182" s="1700">
        <f>AF183+AF197</f>
        <v>152</v>
      </c>
      <c r="AG182" s="1700">
        <f>AG183+AG197</f>
        <v>0</v>
      </c>
      <c r="AH182" s="1490">
        <f t="shared" si="136"/>
        <v>0</v>
      </c>
      <c r="AI182" s="1701">
        <f>AI183+AI197</f>
        <v>0</v>
      </c>
      <c r="AJ182" s="1701">
        <f>AJ183+AJ197</f>
        <v>0</v>
      </c>
      <c r="AK182" s="1701">
        <f>AK183+AK197</f>
        <v>0</v>
      </c>
      <c r="AL182" s="1636">
        <f t="shared" si="137"/>
        <v>0</v>
      </c>
      <c r="AM182" s="1701">
        <f>AM183+AM197</f>
        <v>0</v>
      </c>
      <c r="AN182" s="1702"/>
      <c r="AO182" s="1694">
        <f>AO183+AO197</f>
        <v>1667.9</v>
      </c>
      <c r="AP182" s="1694">
        <f t="shared" ref="AP182:AV182" si="138">AP183+AP197</f>
        <v>0</v>
      </c>
      <c r="AQ182" s="1694">
        <f t="shared" si="138"/>
        <v>0</v>
      </c>
      <c r="AR182" s="1694">
        <f t="shared" si="138"/>
        <v>0</v>
      </c>
      <c r="AS182" s="1699">
        <f t="shared" si="138"/>
        <v>1647.1</v>
      </c>
      <c r="AT182" s="1694">
        <f t="shared" si="138"/>
        <v>0</v>
      </c>
      <c r="AU182" s="1694">
        <f t="shared" si="138"/>
        <v>0</v>
      </c>
      <c r="AV182" s="1694">
        <f t="shared" si="138"/>
        <v>0</v>
      </c>
      <c r="AW182" s="1699"/>
      <c r="AX182" s="1694">
        <f>AX183+AX197</f>
        <v>0</v>
      </c>
      <c r="AY182" s="1694">
        <f>AY183+AY197</f>
        <v>0</v>
      </c>
      <c r="AZ182" s="1694">
        <f>AZ183+AZ197</f>
        <v>0</v>
      </c>
      <c r="BA182" s="1702"/>
      <c r="BB182" s="1694">
        <f>BB183+BB197</f>
        <v>0</v>
      </c>
      <c r="BC182" s="1694">
        <f>BC183+BC197</f>
        <v>0</v>
      </c>
      <c r="BD182" s="1694">
        <f>BD183+BD197</f>
        <v>0</v>
      </c>
      <c r="BE182" s="1703"/>
      <c r="BF182" s="1694">
        <f>BF183+BF197</f>
        <v>0</v>
      </c>
      <c r="BG182" s="1694">
        <f>BG183+BG197</f>
        <v>0</v>
      </c>
      <c r="BH182" s="1694">
        <f>BH183+BH197</f>
        <v>0</v>
      </c>
      <c r="BI182" s="1702"/>
      <c r="BJ182" s="1694">
        <f>BJ183+BJ197</f>
        <v>0</v>
      </c>
      <c r="BK182" s="1694">
        <f>BK183+BK197</f>
        <v>0</v>
      </c>
      <c r="BL182" s="1694">
        <f>BL183+BL197</f>
        <v>0</v>
      </c>
      <c r="BM182" s="1702"/>
      <c r="BN182" s="1694">
        <f t="shared" ref="BN182:CB182" si="139">BN183+BN197</f>
        <v>0</v>
      </c>
      <c r="BO182" s="1694">
        <f t="shared" si="139"/>
        <v>0</v>
      </c>
      <c r="BP182" s="1694">
        <f t="shared" si="139"/>
        <v>0</v>
      </c>
      <c r="BQ182" s="1702">
        <f t="shared" si="139"/>
        <v>1728.1499999999999</v>
      </c>
      <c r="BR182" s="1694">
        <f t="shared" si="139"/>
        <v>0</v>
      </c>
      <c r="BS182" s="1694">
        <f t="shared" si="139"/>
        <v>0</v>
      </c>
      <c r="BT182" s="1694">
        <f t="shared" si="139"/>
        <v>0</v>
      </c>
      <c r="BU182" s="1702">
        <f t="shared" si="139"/>
        <v>1475.1999999999998</v>
      </c>
      <c r="BV182" s="1694">
        <f t="shared" si="139"/>
        <v>0</v>
      </c>
      <c r="BW182" s="1694">
        <f t="shared" si="139"/>
        <v>0</v>
      </c>
      <c r="BX182" s="1694">
        <f t="shared" si="139"/>
        <v>0</v>
      </c>
      <c r="BY182" s="1702">
        <f t="shared" si="139"/>
        <v>2491.52</v>
      </c>
      <c r="BZ182" s="1694">
        <f t="shared" si="139"/>
        <v>0</v>
      </c>
      <c r="CA182" s="1694">
        <f t="shared" si="139"/>
        <v>100</v>
      </c>
      <c r="CB182" s="1694">
        <f t="shared" si="139"/>
        <v>0</v>
      </c>
      <c r="CC182" s="1702"/>
      <c r="CD182" s="1694">
        <f>CD183+CD197</f>
        <v>0</v>
      </c>
      <c r="CE182" s="1694">
        <f>CE183+CE197</f>
        <v>0</v>
      </c>
      <c r="CF182" s="1694">
        <f>CF183+CF197</f>
        <v>0</v>
      </c>
      <c r="CG182" s="1704"/>
      <c r="CH182" s="1725">
        <v>2068.84</v>
      </c>
      <c r="CI182" s="1726">
        <v>0</v>
      </c>
      <c r="CJ182" s="1643">
        <v>52</v>
      </c>
      <c r="CK182" s="1726">
        <v>0</v>
      </c>
    </row>
    <row r="183" spans="1:108" ht="47.25" customHeight="1" x14ac:dyDescent="0.15">
      <c r="A183" s="1528" t="s">
        <v>764</v>
      </c>
      <c r="B183" s="1529" t="s">
        <v>79</v>
      </c>
      <c r="C183" s="1529" t="s">
        <v>100</v>
      </c>
      <c r="D183" s="1529" t="s">
        <v>110</v>
      </c>
      <c r="E183" s="1656">
        <v>4279902</v>
      </c>
      <c r="F183" s="1529" t="s">
        <v>765</v>
      </c>
      <c r="G183" s="1687" t="s">
        <v>766</v>
      </c>
      <c r="H183" s="1531">
        <f>H184+H185+H186+H187+H188+H189+H190+H191+H192+H193+H194+H195+H196</f>
        <v>22515.900000000005</v>
      </c>
      <c r="I183" s="1531">
        <f>I184+I185+I186+I187+I188+I189+I190+I191+I192+I193+I194+I195+I196</f>
        <v>0</v>
      </c>
      <c r="J183" s="1531">
        <f>J184+J185+J186+J187+J188+J189+J190+J191+J192+J193+J194+J195+J196</f>
        <v>152</v>
      </c>
      <c r="K183" s="1531">
        <f>K184+K185+K186+K187+K188+K189+K190+K191+K192+K193+K194+K195+K196</f>
        <v>0</v>
      </c>
      <c r="L183" s="1601"/>
      <c r="M183" s="1601"/>
      <c r="N183" s="1601"/>
      <c r="O183" s="1601"/>
      <c r="P183" s="1601"/>
      <c r="Q183" s="1601"/>
      <c r="R183" s="1601"/>
      <c r="S183" s="1601"/>
      <c r="T183" s="1531">
        <f>T184+T185+T186+T187+T188+T189+T190+T191+T192+T193+T194+T195+T196</f>
        <v>2596.4</v>
      </c>
      <c r="U183" s="1533">
        <f>U184+U185+U186+U187+U188+U189+U190+U191+U192+U193+U194+U195+U196</f>
        <v>374.3</v>
      </c>
      <c r="V183" s="1533"/>
      <c r="W183" s="1534"/>
      <c r="X183" s="1534"/>
      <c r="Y183" s="1534"/>
      <c r="Z183" s="1535"/>
      <c r="AA183" s="1534"/>
      <c r="AB183" s="1534"/>
      <c r="AC183" s="1603">
        <f>AC184+AC185+AC186+AC187+AC188+AC189+AC190+AC191+AC192+AC193+AC194+AC195+AC196</f>
        <v>22515.900000000005</v>
      </c>
      <c r="AD183" s="1603">
        <f>AD184+AD185+AD186+AD187+AD188+AD189+AD190+AD191+AD192+AD193+AD194+AD195+AD196</f>
        <v>152</v>
      </c>
      <c r="AE183" s="1603">
        <f>AE184+AE185+AE186+AE187+AE188+AE189+AE190+AE191+AE192+AE193+AE194+AE195+AE196</f>
        <v>0</v>
      </c>
      <c r="AF183" s="1603">
        <f>AF184+AF185+AF186+AF187+AF188+AF189+AF190+AF191+AF192+AF193+AF194+AF195+AF196</f>
        <v>152</v>
      </c>
      <c r="AG183" s="1603">
        <f>AG184+AG185+AG186+AG187+AG188+AG189+AG190+AG191+AG192+AG193+AG194+AG195+AG196</f>
        <v>0</v>
      </c>
      <c r="AH183" s="1490">
        <f t="shared" si="136"/>
        <v>0</v>
      </c>
      <c r="AI183" s="1592">
        <f>AI184+AI185+AI186+AI187+AI188+AI189+AI190+AI191+AI192+AI193+AI194+AI195+AI196</f>
        <v>0</v>
      </c>
      <c r="AJ183" s="1592">
        <f>AJ184+AJ185+AJ186+AJ187+AJ188+AJ189+AJ190+AJ191+AJ192+AJ193+AJ194+AJ195+AJ196</f>
        <v>0</v>
      </c>
      <c r="AK183" s="1592">
        <f>AK184+AK185+AK186+AK187+AK188+AK189+AK190+AK191+AK192+AK193+AK194+AK195+AK196</f>
        <v>0</v>
      </c>
      <c r="AL183" s="1636">
        <f t="shared" si="137"/>
        <v>0</v>
      </c>
      <c r="AM183" s="1537">
        <f>AM184+AM185+AM186+AM187+AM188+AM189+AM190+AM191+AM192+AM193+AM194+AM195+AM196</f>
        <v>0</v>
      </c>
      <c r="AN183" s="1706"/>
      <c r="AO183" s="1707">
        <f>AO184+AO185+AO186+AO187+AO188+AO189+AO190+AO191+AO192+AO193+AO194+AO195+AO196</f>
        <v>1667.9</v>
      </c>
      <c r="AP183" s="1531">
        <f t="shared" ref="AP183:AV183" si="140">AP184+AP185+AP186+AP187+AP188+AP189+AP190+AP191+AP192+AP193+AP194+AP195+AP196</f>
        <v>0</v>
      </c>
      <c r="AQ183" s="1531">
        <f t="shared" si="140"/>
        <v>0</v>
      </c>
      <c r="AR183" s="1531">
        <f t="shared" si="140"/>
        <v>0</v>
      </c>
      <c r="AS183" s="1535">
        <f t="shared" si="140"/>
        <v>1647.1</v>
      </c>
      <c r="AT183" s="1531">
        <f t="shared" si="140"/>
        <v>0</v>
      </c>
      <c r="AU183" s="1531">
        <f t="shared" si="140"/>
        <v>0</v>
      </c>
      <c r="AV183" s="1531">
        <f t="shared" si="140"/>
        <v>0</v>
      </c>
      <c r="AW183" s="1535"/>
      <c r="AX183" s="1531">
        <f>AX184+AX185+AX186+AX187+AX188+AX189+AX190+AX191+AX192+AX193+AX194+AX195+AX196</f>
        <v>0</v>
      </c>
      <c r="AY183" s="1531">
        <f>AY184+AY185+AY186+AY187+AY188+AY189+AY190+AY191+AY192+AY193+AY194+AY195+AY196</f>
        <v>0</v>
      </c>
      <c r="AZ183" s="1531">
        <f>AZ184+AZ185+AZ186+AZ187+AZ188+AZ189+AZ190+AZ191+AZ192+AZ193+AZ194+AZ195+AZ196</f>
        <v>0</v>
      </c>
      <c r="BA183" s="1538"/>
      <c r="BB183" s="1531">
        <f>BB184+BB185+BB186+BB187+BB188+BB189+BB190+BB191+BB192+BB193+BB194+BB195+BB196</f>
        <v>0</v>
      </c>
      <c r="BC183" s="1531">
        <f>BC184+BC185+BC186+BC187+BC188+BC189+BC190+BC191+BC192+BC193+BC194+BC195+BC196</f>
        <v>0</v>
      </c>
      <c r="BD183" s="1531">
        <f>BD184+BD185+BD186+BD187+BD188+BD189+BD190+BD191+BD192+BD193+BD194+BD195+BD196</f>
        <v>0</v>
      </c>
      <c r="BE183" s="1539"/>
      <c r="BF183" s="1531">
        <f>BF184+BF185+BF186+BF187+BF188+BF189+BF190+BF191+BF192+BF193+BF194+BF195+BF196</f>
        <v>0</v>
      </c>
      <c r="BG183" s="1531">
        <f>BG184+BG185+BG186+BG187+BG188+BG189+BG190+BG191+BG192+BG193+BG194+BG195+BG196</f>
        <v>0</v>
      </c>
      <c r="BH183" s="1531">
        <f>BH184+BH185+BH186+BH187+BH188+BH189+BH190+BH191+BH192+BH193+BH194+BH195+BH196</f>
        <v>0</v>
      </c>
      <c r="BI183" s="1538"/>
      <c r="BJ183" s="1531">
        <f>BJ184+BJ185+BJ186+BJ187+BJ188+BJ189+BJ190+BJ191+BJ192+BJ193+BJ194+BJ195+BJ196</f>
        <v>0</v>
      </c>
      <c r="BK183" s="1531">
        <f>BK184+BK185+BK186+BK187+BK188+BK189+BK190+BK191+BK192+BK193+BK194+BK195+BK196</f>
        <v>0</v>
      </c>
      <c r="BL183" s="1531">
        <f>BL184+BL185+BL186+BL187+BL188+BL189+BL190+BL191+BL192+BL193+BL194+BL195+BL196</f>
        <v>0</v>
      </c>
      <c r="BM183" s="1538"/>
      <c r="BN183" s="1531">
        <f t="shared" ref="BN183:CB183" si="141">BN184+BN185+BN186+BN187+BN188+BN189+BN190+BN191+BN192+BN193+BN194+BN195+BN196</f>
        <v>0</v>
      </c>
      <c r="BO183" s="1531">
        <f t="shared" si="141"/>
        <v>0</v>
      </c>
      <c r="BP183" s="1531">
        <f t="shared" si="141"/>
        <v>0</v>
      </c>
      <c r="BQ183" s="1538">
        <f t="shared" si="141"/>
        <v>1728.1499999999999</v>
      </c>
      <c r="BR183" s="1531">
        <f t="shared" si="141"/>
        <v>0</v>
      </c>
      <c r="BS183" s="1531">
        <f t="shared" si="141"/>
        <v>0</v>
      </c>
      <c r="BT183" s="1531">
        <f t="shared" si="141"/>
        <v>0</v>
      </c>
      <c r="BU183" s="1538">
        <f t="shared" si="141"/>
        <v>1475.1999999999998</v>
      </c>
      <c r="BV183" s="1531">
        <f t="shared" si="141"/>
        <v>0</v>
      </c>
      <c r="BW183" s="1531">
        <f t="shared" si="141"/>
        <v>0</v>
      </c>
      <c r="BX183" s="1531">
        <f t="shared" si="141"/>
        <v>0</v>
      </c>
      <c r="BY183" s="1538">
        <f t="shared" si="141"/>
        <v>2491.52</v>
      </c>
      <c r="BZ183" s="1531">
        <f t="shared" si="141"/>
        <v>0</v>
      </c>
      <c r="CA183" s="1531">
        <f t="shared" si="141"/>
        <v>100</v>
      </c>
      <c r="CB183" s="1531">
        <f t="shared" si="141"/>
        <v>0</v>
      </c>
      <c r="CC183" s="1538"/>
      <c r="CD183" s="1531">
        <f>CD184+CD185+CD186+CD187+CD188+CD189+CD190+CD191+CD192+CD193+CD194+CD195+CD196</f>
        <v>0</v>
      </c>
      <c r="CE183" s="1531">
        <f>CE184+CE185+CE186+CE187+CE188+CE189+CE190+CE191+CE192+CE193+CE194+CE195+CE196</f>
        <v>0</v>
      </c>
      <c r="CF183" s="1531">
        <f>CF184+CF185+CF186+CF187+CF188+CF189+CF190+CF191+CF192+CF193+CF194+CF195+CF196</f>
        <v>0</v>
      </c>
      <c r="CG183" s="1705"/>
      <c r="CH183" s="1720">
        <v>2068.84</v>
      </c>
      <c r="CI183" s="1721">
        <v>0</v>
      </c>
      <c r="CJ183" s="1643">
        <v>52</v>
      </c>
      <c r="CK183" s="1727">
        <v>0</v>
      </c>
    </row>
    <row r="184" spans="1:108" ht="14" x14ac:dyDescent="0.15">
      <c r="A184" s="1688" t="s">
        <v>78</v>
      </c>
      <c r="B184" s="1689" t="s">
        <v>79</v>
      </c>
      <c r="C184" s="1689" t="s">
        <v>100</v>
      </c>
      <c r="D184" s="1689" t="s">
        <v>110</v>
      </c>
      <c r="E184" s="1690">
        <v>4279902</v>
      </c>
      <c r="F184" s="1689"/>
      <c r="G184" s="1667">
        <v>211</v>
      </c>
      <c r="H184" s="1501">
        <f>14605.2+T184</f>
        <v>16599.400000000001</v>
      </c>
      <c r="I184" s="1501"/>
      <c r="J184" s="1630"/>
      <c r="K184" s="1630"/>
      <c r="L184" s="1631"/>
      <c r="M184" s="1631"/>
      <c r="N184" s="1631"/>
      <c r="O184" s="1631"/>
      <c r="P184" s="1631"/>
      <c r="Q184" s="1631"/>
      <c r="R184" s="1631"/>
      <c r="S184" s="1631"/>
      <c r="T184" s="1632">
        <v>1994.2</v>
      </c>
      <c r="U184" s="1633"/>
      <c r="V184" s="1633"/>
      <c r="W184" s="1634">
        <f>H184/12</f>
        <v>1383.2833333333335</v>
      </c>
      <c r="X184" s="1634">
        <f>AO184</f>
        <v>1217.0999999999999</v>
      </c>
      <c r="Y184" s="1634">
        <f>CC184</f>
        <v>1636.1</v>
      </c>
      <c r="Z184" s="1635">
        <v>1636.1</v>
      </c>
      <c r="AA184" s="1511">
        <f>AW184</f>
        <v>1217.0999999999999</v>
      </c>
      <c r="AB184" s="1511">
        <f>Z184-AA184</f>
        <v>419</v>
      </c>
      <c r="AC184" s="1508">
        <f t="shared" ref="AC184:AC197" si="142">AO184+AS184+AW184+BA184+BE184+BI184+BM184+BQ184+BU184+BY184+CC184+CH184</f>
        <v>16599.400000000001</v>
      </c>
      <c r="AD184" s="1509">
        <f t="shared" ref="AD184:AD197" si="143">AE184+AF184+AG184</f>
        <v>0</v>
      </c>
      <c r="AE184" s="1509">
        <f t="shared" ref="AE184:AG196" si="144">AP184+AT184+AX184+BB184+BF184+BJ184+BN184+BR184+BV184+BZ184+CD184+CI184</f>
        <v>0</v>
      </c>
      <c r="AF184" s="1509">
        <f t="shared" si="144"/>
        <v>0</v>
      </c>
      <c r="AG184" s="1509">
        <f t="shared" si="144"/>
        <v>0</v>
      </c>
      <c r="AH184" s="1490">
        <f t="shared" si="136"/>
        <v>0</v>
      </c>
      <c r="AI184" s="1636">
        <f t="shared" ref="AI184:AI196" si="145">H184-AC184</f>
        <v>0</v>
      </c>
      <c r="AJ184" s="1636">
        <f t="shared" ref="AJ184:AJ196" si="146">AK184+AL184+AM184</f>
        <v>0</v>
      </c>
      <c r="AK184" s="1636">
        <f t="shared" ref="AK184:AK196" si="147">I184-AE184</f>
        <v>0</v>
      </c>
      <c r="AL184" s="1636">
        <f t="shared" si="137"/>
        <v>0</v>
      </c>
      <c r="AM184" s="1636">
        <f t="shared" si="137"/>
        <v>0</v>
      </c>
      <c r="AN184" s="1637">
        <f>AI184/4</f>
        <v>0</v>
      </c>
      <c r="AO184" s="1722">
        <v>1217.0999999999999</v>
      </c>
      <c r="AP184" s="1638"/>
      <c r="AQ184" s="1638"/>
      <c r="AR184" s="1638"/>
      <c r="AS184" s="1639">
        <v>1217.0999999999999</v>
      </c>
      <c r="AT184" s="1638"/>
      <c r="AU184" s="1638"/>
      <c r="AV184" s="1638"/>
      <c r="AW184" s="1640">
        <v>1217.0999999999999</v>
      </c>
      <c r="AX184" s="1640"/>
      <c r="AY184" s="1640"/>
      <c r="AZ184" s="1640"/>
      <c r="BA184" s="1641">
        <v>1217.0999999999999</v>
      </c>
      <c r="BB184" s="1640"/>
      <c r="BC184" s="1640"/>
      <c r="BD184" s="1640"/>
      <c r="BE184" s="1641">
        <v>1217.0999999999999</v>
      </c>
      <c r="BF184" s="1640"/>
      <c r="BG184" s="1640"/>
      <c r="BH184" s="1640"/>
      <c r="BI184" s="1641">
        <f>184.42+2060</f>
        <v>2244.42</v>
      </c>
      <c r="BJ184" s="1640"/>
      <c r="BK184" s="1640"/>
      <c r="BL184" s="1640"/>
      <c r="BM184" s="1641">
        <v>1032.8</v>
      </c>
      <c r="BN184" s="1640"/>
      <c r="BO184" s="1640"/>
      <c r="BP184" s="1640"/>
      <c r="BQ184" s="1641">
        <v>1217.0999999999999</v>
      </c>
      <c r="BR184" s="1640"/>
      <c r="BS184" s="1640"/>
      <c r="BT184" s="1640"/>
      <c r="BU184" s="1641">
        <v>1006.3</v>
      </c>
      <c r="BV184" s="1640"/>
      <c r="BW184" s="1640"/>
      <c r="BX184" s="1640"/>
      <c r="BY184" s="1641">
        <f>584.9+1323.79</f>
        <v>1908.69</v>
      </c>
      <c r="BZ184" s="1640"/>
      <c r="CA184" s="1640"/>
      <c r="CB184" s="1640"/>
      <c r="CC184" s="1641">
        <v>1636.1</v>
      </c>
      <c r="CD184" s="1640"/>
      <c r="CE184" s="1640"/>
      <c r="CF184" s="1640"/>
      <c r="CG184" s="1642"/>
      <c r="CH184" s="1709">
        <v>1468.49</v>
      </c>
      <c r="CI184" s="1643">
        <v>0</v>
      </c>
      <c r="CJ184" s="1643">
        <v>0</v>
      </c>
      <c r="CK184" s="1643">
        <v>0</v>
      </c>
      <c r="CX184" s="1558">
        <f>H184/12*10-AC184</f>
        <v>-2766.5666666666657</v>
      </c>
      <c r="CY184" s="1558">
        <f>AI184/3</f>
        <v>0</v>
      </c>
      <c r="CZ184" s="1558">
        <f>H184/12</f>
        <v>1383.2833333333335</v>
      </c>
      <c r="DA184" s="1559">
        <f>(H184-T184)/12*10-AC184</f>
        <v>-4428.3999999999996</v>
      </c>
      <c r="DB184" s="1559"/>
      <c r="DC184" s="1559"/>
      <c r="DD184">
        <f>(H184-T184)/12</f>
        <v>1217.1000000000001</v>
      </c>
    </row>
    <row r="185" spans="1:108" ht="14" x14ac:dyDescent="0.15">
      <c r="A185" s="1688" t="s">
        <v>83</v>
      </c>
      <c r="B185" s="1689" t="s">
        <v>79</v>
      </c>
      <c r="C185" s="1689" t="s">
        <v>100</v>
      </c>
      <c r="D185" s="1689" t="s">
        <v>110</v>
      </c>
      <c r="E185" s="1690">
        <v>4279902</v>
      </c>
      <c r="F185" s="1689"/>
      <c r="G185" s="1667">
        <v>212</v>
      </c>
      <c r="H185" s="1501">
        <f>56.4</f>
        <v>56.4</v>
      </c>
      <c r="I185" s="1501"/>
      <c r="J185" s="1630"/>
      <c r="K185" s="1630"/>
      <c r="L185" s="1631"/>
      <c r="M185" s="1631"/>
      <c r="N185" s="1631"/>
      <c r="O185" s="1631"/>
      <c r="P185" s="1631"/>
      <c r="Q185" s="1631"/>
      <c r="R185" s="1631"/>
      <c r="S185" s="1631"/>
      <c r="T185" s="1632"/>
      <c r="U185" s="1633"/>
      <c r="V185" s="1633"/>
      <c r="W185" s="1634"/>
      <c r="X185" s="1634"/>
      <c r="Y185" s="1634"/>
      <c r="Z185" s="1635"/>
      <c r="AA185" s="1634"/>
      <c r="AB185" s="1511">
        <f>Z185-AA185</f>
        <v>0</v>
      </c>
      <c r="AC185" s="1508">
        <f t="shared" si="142"/>
        <v>56.4</v>
      </c>
      <c r="AD185" s="1509">
        <f t="shared" si="143"/>
        <v>0</v>
      </c>
      <c r="AE185" s="1509">
        <f t="shared" si="144"/>
        <v>0</v>
      </c>
      <c r="AF185" s="1509">
        <f t="shared" si="144"/>
        <v>0</v>
      </c>
      <c r="AG185" s="1509">
        <f t="shared" si="144"/>
        <v>0</v>
      </c>
      <c r="AH185" s="1490">
        <f t="shared" si="136"/>
        <v>0</v>
      </c>
      <c r="AI185" s="1636">
        <f t="shared" si="145"/>
        <v>0</v>
      </c>
      <c r="AJ185" s="1636">
        <f t="shared" si="146"/>
        <v>0</v>
      </c>
      <c r="AK185" s="1636">
        <f t="shared" si="147"/>
        <v>0</v>
      </c>
      <c r="AL185" s="1636">
        <f t="shared" si="137"/>
        <v>0</v>
      </c>
      <c r="AM185" s="1636">
        <f t="shared" si="137"/>
        <v>0</v>
      </c>
      <c r="AN185" s="1637"/>
      <c r="AO185" s="1722">
        <f>4.7*2</f>
        <v>9.4</v>
      </c>
      <c r="AP185" s="1638"/>
      <c r="AQ185" s="1638"/>
      <c r="AR185" s="1638"/>
      <c r="AS185" s="1639"/>
      <c r="AT185" s="1638"/>
      <c r="AU185" s="1638"/>
      <c r="AV185" s="1638"/>
      <c r="AW185" s="1640"/>
      <c r="AX185" s="1640"/>
      <c r="AY185" s="1640"/>
      <c r="AZ185" s="1640"/>
      <c r="BA185" s="1641"/>
      <c r="BB185" s="1640"/>
      <c r="BC185" s="1640"/>
      <c r="BD185" s="1640"/>
      <c r="BE185" s="1641"/>
      <c r="BF185" s="1640"/>
      <c r="BG185" s="1640"/>
      <c r="BH185" s="1640"/>
      <c r="BI185" s="1641"/>
      <c r="BJ185" s="1640"/>
      <c r="BK185" s="1640"/>
      <c r="BL185" s="1640"/>
      <c r="BM185" s="1641"/>
      <c r="BN185" s="1640"/>
      <c r="BO185" s="1640"/>
      <c r="BP185" s="1640"/>
      <c r="BQ185" s="1641"/>
      <c r="BR185" s="1640"/>
      <c r="BS185" s="1640"/>
      <c r="BT185" s="1640"/>
      <c r="BU185" s="1641">
        <v>32.9</v>
      </c>
      <c r="BV185" s="1640"/>
      <c r="BW185" s="1640"/>
      <c r="BX185" s="1640"/>
      <c r="BY185" s="1641"/>
      <c r="BZ185" s="1640"/>
      <c r="CA185" s="1640"/>
      <c r="CB185" s="1640"/>
      <c r="CC185" s="1641"/>
      <c r="CD185" s="1640"/>
      <c r="CE185" s="1640"/>
      <c r="CF185" s="1640"/>
      <c r="CG185" s="1642"/>
      <c r="CH185" s="1643">
        <v>14.1</v>
      </c>
      <c r="CI185" s="1643">
        <v>0</v>
      </c>
      <c r="CJ185" s="1643">
        <v>0</v>
      </c>
      <c r="CK185" s="1643">
        <v>0</v>
      </c>
      <c r="CX185" s="1558"/>
      <c r="CY185" s="1558"/>
      <c r="CZ185" s="1558"/>
      <c r="DA185" s="1559"/>
      <c r="DB185" s="1559"/>
      <c r="DC185" s="1559"/>
    </row>
    <row r="186" spans="1:108" ht="14" x14ac:dyDescent="0.15">
      <c r="A186" s="1688" t="s">
        <v>84</v>
      </c>
      <c r="B186" s="1689" t="s">
        <v>79</v>
      </c>
      <c r="C186" s="1689" t="s">
        <v>100</v>
      </c>
      <c r="D186" s="1689" t="s">
        <v>110</v>
      </c>
      <c r="E186" s="1690">
        <v>4279902</v>
      </c>
      <c r="F186" s="1689"/>
      <c r="G186" s="1667">
        <v>213</v>
      </c>
      <c r="H186" s="1501">
        <f>4410.8+T186</f>
        <v>5013</v>
      </c>
      <c r="I186" s="1501"/>
      <c r="J186" s="1630"/>
      <c r="K186" s="1630"/>
      <c r="L186" s="1631"/>
      <c r="M186" s="1631"/>
      <c r="N186" s="1631"/>
      <c r="O186" s="1631"/>
      <c r="P186" s="1631"/>
      <c r="Q186" s="1631"/>
      <c r="R186" s="1631"/>
      <c r="S186" s="1631"/>
      <c r="T186" s="1632">
        <v>602.20000000000005</v>
      </c>
      <c r="U186" s="1633"/>
      <c r="V186" s="1633"/>
      <c r="W186" s="1634">
        <f>H186/12</f>
        <v>417.75</v>
      </c>
      <c r="X186" s="1634">
        <f>AO186</f>
        <v>367.6</v>
      </c>
      <c r="Y186" s="1634">
        <f>CC186</f>
        <v>494.1</v>
      </c>
      <c r="Z186" s="1635">
        <v>494.1</v>
      </c>
      <c r="AA186" s="1511">
        <f>AW186</f>
        <v>367.6</v>
      </c>
      <c r="AB186" s="1511">
        <f>Z186-AA186</f>
        <v>126.5</v>
      </c>
      <c r="AC186" s="1508">
        <f t="shared" si="142"/>
        <v>5013</v>
      </c>
      <c r="AD186" s="1509">
        <f t="shared" si="143"/>
        <v>0</v>
      </c>
      <c r="AE186" s="1509">
        <f t="shared" si="144"/>
        <v>0</v>
      </c>
      <c r="AF186" s="1509">
        <f t="shared" si="144"/>
        <v>0</v>
      </c>
      <c r="AG186" s="1509">
        <f t="shared" si="144"/>
        <v>0</v>
      </c>
      <c r="AH186" s="1490">
        <f t="shared" si="136"/>
        <v>0</v>
      </c>
      <c r="AI186" s="1636">
        <f t="shared" si="145"/>
        <v>0</v>
      </c>
      <c r="AJ186" s="1636">
        <f t="shared" si="146"/>
        <v>0</v>
      </c>
      <c r="AK186" s="1636">
        <f t="shared" si="147"/>
        <v>0</v>
      </c>
      <c r="AL186" s="1636">
        <f t="shared" si="137"/>
        <v>0</v>
      </c>
      <c r="AM186" s="1636">
        <f t="shared" si="137"/>
        <v>0</v>
      </c>
      <c r="AN186" s="1637">
        <f>AI186/4</f>
        <v>0</v>
      </c>
      <c r="AO186" s="1722">
        <v>367.6</v>
      </c>
      <c r="AP186" s="1638"/>
      <c r="AQ186" s="1638"/>
      <c r="AR186" s="1638"/>
      <c r="AS186" s="1639">
        <v>367.6</v>
      </c>
      <c r="AT186" s="1638"/>
      <c r="AU186" s="1638"/>
      <c r="AV186" s="1638"/>
      <c r="AW186" s="1640">
        <v>367.6</v>
      </c>
      <c r="AX186" s="1640"/>
      <c r="AY186" s="1640"/>
      <c r="AZ186" s="1640"/>
      <c r="BA186" s="1641">
        <v>367.6</v>
      </c>
      <c r="BB186" s="1640"/>
      <c r="BC186" s="1640"/>
      <c r="BD186" s="1640"/>
      <c r="BE186" s="1641">
        <v>367.6</v>
      </c>
      <c r="BF186" s="1640"/>
      <c r="BG186" s="1640"/>
      <c r="BH186" s="1640"/>
      <c r="BI186" s="1641">
        <v>622.20000000000005</v>
      </c>
      <c r="BJ186" s="1640"/>
      <c r="BK186" s="1640"/>
      <c r="BL186" s="1640"/>
      <c r="BM186" s="1641">
        <v>367.5</v>
      </c>
      <c r="BN186" s="1640"/>
      <c r="BO186" s="1640"/>
      <c r="BP186" s="1640"/>
      <c r="BQ186" s="1641">
        <v>367.6</v>
      </c>
      <c r="BR186" s="1640"/>
      <c r="BS186" s="1640"/>
      <c r="BT186" s="1640"/>
      <c r="BU186" s="1641">
        <v>303.89999999999998</v>
      </c>
      <c r="BV186" s="1640"/>
      <c r="BW186" s="1640"/>
      <c r="BX186" s="1640"/>
      <c r="BY186" s="1641">
        <f>176.47+399.76</f>
        <v>576.23</v>
      </c>
      <c r="BZ186" s="1640"/>
      <c r="CA186" s="1640"/>
      <c r="CB186" s="1640"/>
      <c r="CC186" s="1641">
        <v>494.1</v>
      </c>
      <c r="CD186" s="1640"/>
      <c r="CE186" s="1640"/>
      <c r="CF186" s="1640"/>
      <c r="CG186" s="1642"/>
      <c r="CH186" s="1643">
        <v>443.47</v>
      </c>
      <c r="CI186" s="1643">
        <v>0</v>
      </c>
      <c r="CJ186" s="1643">
        <v>0</v>
      </c>
      <c r="CK186" s="1643">
        <v>0</v>
      </c>
      <c r="CX186" s="1558">
        <f>H186/12*10-AC186</f>
        <v>-835.5</v>
      </c>
      <c r="CY186" s="1558">
        <f>AI186/3</f>
        <v>0</v>
      </c>
      <c r="CZ186" s="1558">
        <f>H186/12</f>
        <v>417.75</v>
      </c>
      <c r="DA186" s="1559">
        <f>(H186-T186)/12*10-AC186</f>
        <v>-1337.3333333333335</v>
      </c>
      <c r="DB186" s="1559"/>
      <c r="DC186" s="1559"/>
      <c r="DD186">
        <f>(H186-T186)/12</f>
        <v>367.56666666666666</v>
      </c>
    </row>
    <row r="187" spans="1:108" ht="14" x14ac:dyDescent="0.15">
      <c r="A187" s="1688" t="s">
        <v>85</v>
      </c>
      <c r="B187" s="1689" t="s">
        <v>79</v>
      </c>
      <c r="C187" s="1689" t="s">
        <v>100</v>
      </c>
      <c r="D187" s="1689" t="s">
        <v>110</v>
      </c>
      <c r="E187" s="1690">
        <v>4279902</v>
      </c>
      <c r="F187" s="1689"/>
      <c r="G187" s="1667">
        <v>221</v>
      </c>
      <c r="H187" s="1501">
        <v>14.5</v>
      </c>
      <c r="I187" s="1501"/>
      <c r="J187" s="1630"/>
      <c r="K187" s="1630"/>
      <c r="L187" s="1631"/>
      <c r="M187" s="1631"/>
      <c r="N187" s="1631"/>
      <c r="O187" s="1631"/>
      <c r="P187" s="1631"/>
      <c r="Q187" s="1631"/>
      <c r="R187" s="1631"/>
      <c r="S187" s="1631"/>
      <c r="T187" s="1632"/>
      <c r="U187" s="1633"/>
      <c r="V187" s="1633"/>
      <c r="W187" s="1634"/>
      <c r="X187" s="1634"/>
      <c r="Y187" s="1634"/>
      <c r="Z187" s="1635"/>
      <c r="AA187" s="1634"/>
      <c r="AB187" s="1634"/>
      <c r="AC187" s="1508">
        <f t="shared" si="142"/>
        <v>14.5</v>
      </c>
      <c r="AD187" s="1509">
        <f t="shared" si="143"/>
        <v>0</v>
      </c>
      <c r="AE187" s="1509">
        <f t="shared" si="144"/>
        <v>0</v>
      </c>
      <c r="AF187" s="1509">
        <f t="shared" si="144"/>
        <v>0</v>
      </c>
      <c r="AG187" s="1509">
        <f t="shared" si="144"/>
        <v>0</v>
      </c>
      <c r="AH187" s="1490">
        <f t="shared" si="136"/>
        <v>0</v>
      </c>
      <c r="AI187" s="1636">
        <f t="shared" si="145"/>
        <v>0</v>
      </c>
      <c r="AJ187" s="1636">
        <f t="shared" si="146"/>
        <v>0</v>
      </c>
      <c r="AK187" s="1636">
        <f t="shared" si="147"/>
        <v>0</v>
      </c>
      <c r="AL187" s="1636">
        <f t="shared" si="137"/>
        <v>0</v>
      </c>
      <c r="AM187" s="1636">
        <f t="shared" si="137"/>
        <v>0</v>
      </c>
      <c r="AN187" s="1637"/>
      <c r="AO187" s="1722">
        <v>1.2</v>
      </c>
      <c r="AP187" s="1638"/>
      <c r="AQ187" s="1638"/>
      <c r="AR187" s="1638"/>
      <c r="AS187" s="1639"/>
      <c r="AT187" s="1638"/>
      <c r="AU187" s="1638"/>
      <c r="AV187" s="1638"/>
      <c r="AW187" s="1639"/>
      <c r="AX187" s="1640"/>
      <c r="AY187" s="1640"/>
      <c r="AZ187" s="1640"/>
      <c r="BA187" s="1641"/>
      <c r="BB187" s="1640"/>
      <c r="BC187" s="1640"/>
      <c r="BD187" s="1640"/>
      <c r="BE187" s="1644"/>
      <c r="BF187" s="1640"/>
      <c r="BG187" s="1640"/>
      <c r="BH187" s="1640"/>
      <c r="BI187" s="1641"/>
      <c r="BJ187" s="1640"/>
      <c r="BK187" s="1640"/>
      <c r="BL187" s="1640"/>
      <c r="BM187" s="1641"/>
      <c r="BN187" s="1640"/>
      <c r="BO187" s="1640"/>
      <c r="BP187" s="1640"/>
      <c r="BQ187" s="1641"/>
      <c r="BR187" s="1640"/>
      <c r="BS187" s="1640"/>
      <c r="BT187" s="1640"/>
      <c r="BU187" s="1641">
        <v>13.3</v>
      </c>
      <c r="BV187" s="1640"/>
      <c r="BW187" s="1640"/>
      <c r="BX187" s="1640"/>
      <c r="BY187" s="1641"/>
      <c r="BZ187" s="1640"/>
      <c r="CA187" s="1640"/>
      <c r="CB187" s="1640"/>
      <c r="CC187" s="1641"/>
      <c r="CD187" s="1640"/>
      <c r="CE187" s="1640"/>
      <c r="CF187" s="1640"/>
      <c r="CG187" s="1642"/>
      <c r="CH187" s="1643">
        <v>0</v>
      </c>
      <c r="CI187" s="1643">
        <v>0</v>
      </c>
      <c r="CJ187" s="1643">
        <v>0</v>
      </c>
      <c r="CK187" s="1643">
        <v>0</v>
      </c>
    </row>
    <row r="188" spans="1:108" ht="14" x14ac:dyDescent="0.15">
      <c r="A188" s="1688" t="s">
        <v>86</v>
      </c>
      <c r="B188" s="1689" t="s">
        <v>79</v>
      </c>
      <c r="C188" s="1689" t="s">
        <v>100</v>
      </c>
      <c r="D188" s="1689" t="s">
        <v>110</v>
      </c>
      <c r="E188" s="1690">
        <v>4279902</v>
      </c>
      <c r="F188" s="1689"/>
      <c r="G188" s="1667">
        <v>222</v>
      </c>
      <c r="H188" s="1501">
        <f>60-U188+2.524</f>
        <v>7.524</v>
      </c>
      <c r="I188" s="1501"/>
      <c r="J188" s="1630"/>
      <c r="K188" s="1630"/>
      <c r="L188" s="1631"/>
      <c r="M188" s="1631"/>
      <c r="N188" s="1631"/>
      <c r="O188" s="1631"/>
      <c r="P188" s="1631"/>
      <c r="Q188" s="1631"/>
      <c r="R188" s="1631"/>
      <c r="S188" s="1631"/>
      <c r="T188" s="1632"/>
      <c r="U188" s="1633">
        <v>55</v>
      </c>
      <c r="V188" s="1633"/>
      <c r="W188" s="1634"/>
      <c r="X188" s="1634"/>
      <c r="Y188" s="1634"/>
      <c r="Z188" s="1635"/>
      <c r="AA188" s="1634"/>
      <c r="AB188" s="1634"/>
      <c r="AC188" s="1508">
        <f t="shared" si="142"/>
        <v>7.524</v>
      </c>
      <c r="AD188" s="1509">
        <f t="shared" si="143"/>
        <v>0</v>
      </c>
      <c r="AE188" s="1509">
        <f t="shared" si="144"/>
        <v>0</v>
      </c>
      <c r="AF188" s="1509">
        <f t="shared" si="144"/>
        <v>0</v>
      </c>
      <c r="AG188" s="1509">
        <f t="shared" si="144"/>
        <v>0</v>
      </c>
      <c r="AH188" s="1490">
        <f t="shared" si="136"/>
        <v>0</v>
      </c>
      <c r="AI188" s="1636">
        <f t="shared" si="145"/>
        <v>0</v>
      </c>
      <c r="AJ188" s="1636">
        <f t="shared" si="146"/>
        <v>0</v>
      </c>
      <c r="AK188" s="1636">
        <f t="shared" si="147"/>
        <v>0</v>
      </c>
      <c r="AL188" s="1636">
        <f t="shared" si="137"/>
        <v>0</v>
      </c>
      <c r="AM188" s="1636">
        <f t="shared" si="137"/>
        <v>0</v>
      </c>
      <c r="AN188" s="1637"/>
      <c r="AO188" s="1722">
        <v>5</v>
      </c>
      <c r="AP188" s="1638"/>
      <c r="AQ188" s="1638"/>
      <c r="AR188" s="1638"/>
      <c r="AS188" s="1639"/>
      <c r="AT188" s="1638"/>
      <c r="AU188" s="1638"/>
      <c r="AV188" s="1638"/>
      <c r="AW188" s="1639"/>
      <c r="AX188" s="1640"/>
      <c r="AY188" s="1640"/>
      <c r="AZ188" s="1640"/>
      <c r="BA188" s="1641"/>
      <c r="BB188" s="1640"/>
      <c r="BC188" s="1640"/>
      <c r="BD188" s="1640"/>
      <c r="BE188" s="1644"/>
      <c r="BF188" s="1640"/>
      <c r="BG188" s="1640"/>
      <c r="BH188" s="1640"/>
      <c r="BI188" s="1641"/>
      <c r="BJ188" s="1640"/>
      <c r="BK188" s="1640"/>
      <c r="BL188" s="1640"/>
      <c r="BM188" s="1641"/>
      <c r="BN188" s="1640"/>
      <c r="BO188" s="1640"/>
      <c r="BP188" s="1640"/>
      <c r="BQ188" s="1641"/>
      <c r="BR188" s="1640"/>
      <c r="BS188" s="1640"/>
      <c r="BT188" s="1640"/>
      <c r="BU188" s="1641"/>
      <c r="BV188" s="1640"/>
      <c r="BW188" s="1640"/>
      <c r="BX188" s="1640"/>
      <c r="BY188" s="1641"/>
      <c r="BZ188" s="1640"/>
      <c r="CA188" s="1640"/>
      <c r="CB188" s="1640"/>
      <c r="CC188" s="1641"/>
      <c r="CD188" s="1640"/>
      <c r="CE188" s="1640"/>
      <c r="CF188" s="1640"/>
      <c r="CG188" s="1642"/>
      <c r="CH188" s="1643">
        <v>2.524</v>
      </c>
      <c r="CI188" s="1643">
        <v>0</v>
      </c>
      <c r="CJ188" s="1643">
        <v>0</v>
      </c>
      <c r="CK188" s="1643">
        <v>0</v>
      </c>
    </row>
    <row r="189" spans="1:108" ht="14" x14ac:dyDescent="0.15">
      <c r="A189" s="1688" t="s">
        <v>87</v>
      </c>
      <c r="B189" s="1689" t="s">
        <v>79</v>
      </c>
      <c r="C189" s="1689" t="s">
        <v>100</v>
      </c>
      <c r="D189" s="1689" t="s">
        <v>110</v>
      </c>
      <c r="E189" s="1690">
        <v>4279902</v>
      </c>
      <c r="F189" s="1689"/>
      <c r="G189" s="1667">
        <v>223</v>
      </c>
      <c r="H189" s="1501">
        <f>80-44.6</f>
        <v>35.4</v>
      </c>
      <c r="I189" s="1501"/>
      <c r="J189" s="1630"/>
      <c r="K189" s="1630"/>
      <c r="L189" s="1631"/>
      <c r="M189" s="1631"/>
      <c r="N189" s="1631"/>
      <c r="O189" s="1631"/>
      <c r="P189" s="1631"/>
      <c r="Q189" s="1631"/>
      <c r="R189" s="1631"/>
      <c r="S189" s="1631"/>
      <c r="T189" s="1632"/>
      <c r="U189" s="1633"/>
      <c r="V189" s="1633"/>
      <c r="W189" s="1634"/>
      <c r="X189" s="1634"/>
      <c r="Y189" s="1634"/>
      <c r="Z189" s="1635"/>
      <c r="AA189" s="1634"/>
      <c r="AB189" s="1634"/>
      <c r="AC189" s="1508">
        <f t="shared" si="142"/>
        <v>35.4</v>
      </c>
      <c r="AD189" s="1509">
        <f t="shared" si="143"/>
        <v>0</v>
      </c>
      <c r="AE189" s="1509">
        <f t="shared" si="144"/>
        <v>0</v>
      </c>
      <c r="AF189" s="1509">
        <f t="shared" si="144"/>
        <v>0</v>
      </c>
      <c r="AG189" s="1509">
        <f t="shared" si="144"/>
        <v>0</v>
      </c>
      <c r="AH189" s="1490">
        <f t="shared" si="136"/>
        <v>0</v>
      </c>
      <c r="AI189" s="1636">
        <f t="shared" si="145"/>
        <v>0</v>
      </c>
      <c r="AJ189" s="1636">
        <f t="shared" si="146"/>
        <v>0</v>
      </c>
      <c r="AK189" s="1636">
        <f t="shared" si="147"/>
        <v>0</v>
      </c>
      <c r="AL189" s="1636">
        <f t="shared" si="137"/>
        <v>0</v>
      </c>
      <c r="AM189" s="1636">
        <f t="shared" si="137"/>
        <v>0</v>
      </c>
      <c r="AN189" s="1637"/>
      <c r="AO189" s="1722">
        <v>6.7</v>
      </c>
      <c r="AP189" s="1638"/>
      <c r="AQ189" s="1638"/>
      <c r="AR189" s="1638"/>
      <c r="AS189" s="1639">
        <v>6.7</v>
      </c>
      <c r="AT189" s="1638"/>
      <c r="AU189" s="1638"/>
      <c r="AV189" s="1638"/>
      <c r="AW189" s="1639"/>
      <c r="AX189" s="1640"/>
      <c r="AY189" s="1640"/>
      <c r="AZ189" s="1640"/>
      <c r="BA189" s="1641"/>
      <c r="BB189" s="1640"/>
      <c r="BC189" s="1640"/>
      <c r="BD189" s="1640"/>
      <c r="BE189" s="1644">
        <v>6.37</v>
      </c>
      <c r="BF189" s="1640"/>
      <c r="BG189" s="1640"/>
      <c r="BH189" s="1640"/>
      <c r="BI189" s="1641">
        <v>3.2</v>
      </c>
      <c r="BJ189" s="1640"/>
      <c r="BK189" s="1640"/>
      <c r="BL189" s="1640"/>
      <c r="BM189" s="1641"/>
      <c r="BN189" s="1640"/>
      <c r="BO189" s="1640"/>
      <c r="BP189" s="1640"/>
      <c r="BQ189" s="1641">
        <v>3.2</v>
      </c>
      <c r="BR189" s="1640"/>
      <c r="BS189" s="1640"/>
      <c r="BT189" s="1640"/>
      <c r="BU189" s="1641"/>
      <c r="BV189" s="1640"/>
      <c r="BW189" s="1640"/>
      <c r="BX189" s="1640"/>
      <c r="BY189" s="1641">
        <v>6.6</v>
      </c>
      <c r="BZ189" s="1640"/>
      <c r="CA189" s="1640"/>
      <c r="CB189" s="1640"/>
      <c r="CC189" s="1641"/>
      <c r="CD189" s="1640"/>
      <c r="CE189" s="1640"/>
      <c r="CF189" s="1640"/>
      <c r="CG189" s="1642"/>
      <c r="CH189" s="1643">
        <v>2.63</v>
      </c>
      <c r="CI189" s="1643">
        <v>0</v>
      </c>
      <c r="CJ189" s="1643">
        <v>0</v>
      </c>
      <c r="CK189" s="1643">
        <v>0</v>
      </c>
      <c r="CO189" s="1558">
        <f>233/325.88</f>
        <v>0.71498711182030195</v>
      </c>
      <c r="CP189" s="489">
        <v>6.6</v>
      </c>
    </row>
    <row r="190" spans="1:108" ht="14" x14ac:dyDescent="0.15">
      <c r="A190" s="1688" t="s">
        <v>111</v>
      </c>
      <c r="B190" s="1689" t="s">
        <v>79</v>
      </c>
      <c r="C190" s="1689" t="s">
        <v>100</v>
      </c>
      <c r="D190" s="1689" t="s">
        <v>110</v>
      </c>
      <c r="E190" s="1690">
        <v>4279902</v>
      </c>
      <c r="F190" s="1689"/>
      <c r="G190" s="1667">
        <v>224</v>
      </c>
      <c r="H190" s="1501">
        <v>6</v>
      </c>
      <c r="I190" s="1501"/>
      <c r="J190" s="1630"/>
      <c r="K190" s="1630"/>
      <c r="L190" s="1631"/>
      <c r="M190" s="1631"/>
      <c r="N190" s="1631"/>
      <c r="O190" s="1631"/>
      <c r="P190" s="1631"/>
      <c r="Q190" s="1631"/>
      <c r="R190" s="1631"/>
      <c r="S190" s="1631"/>
      <c r="T190" s="1632"/>
      <c r="U190" s="1633"/>
      <c r="V190" s="1633"/>
      <c r="W190" s="1634"/>
      <c r="X190" s="1634"/>
      <c r="Y190" s="1634"/>
      <c r="Z190" s="1635"/>
      <c r="AA190" s="1634"/>
      <c r="AB190" s="1634"/>
      <c r="AC190" s="1508">
        <f t="shared" si="142"/>
        <v>6</v>
      </c>
      <c r="AD190" s="1509">
        <f t="shared" si="143"/>
        <v>0</v>
      </c>
      <c r="AE190" s="1509">
        <f t="shared" si="144"/>
        <v>0</v>
      </c>
      <c r="AF190" s="1509">
        <f t="shared" si="144"/>
        <v>0</v>
      </c>
      <c r="AG190" s="1509">
        <f t="shared" si="144"/>
        <v>0</v>
      </c>
      <c r="AH190" s="1490">
        <f t="shared" si="136"/>
        <v>0</v>
      </c>
      <c r="AI190" s="1636">
        <f t="shared" si="145"/>
        <v>0</v>
      </c>
      <c r="AJ190" s="1636">
        <f t="shared" si="146"/>
        <v>0</v>
      </c>
      <c r="AK190" s="1636">
        <f t="shared" si="147"/>
        <v>0</v>
      </c>
      <c r="AL190" s="1636">
        <f t="shared" si="137"/>
        <v>0</v>
      </c>
      <c r="AM190" s="1636">
        <f t="shared" si="137"/>
        <v>0</v>
      </c>
      <c r="AN190" s="1637"/>
      <c r="AO190" s="1722">
        <v>0.5</v>
      </c>
      <c r="AP190" s="1638"/>
      <c r="AQ190" s="1638"/>
      <c r="AR190" s="1638"/>
      <c r="AS190" s="1639">
        <v>0.5</v>
      </c>
      <c r="AT190" s="1638"/>
      <c r="AU190" s="1638"/>
      <c r="AV190" s="1638"/>
      <c r="AW190" s="1639"/>
      <c r="AX190" s="1640"/>
      <c r="AY190" s="1640"/>
      <c r="AZ190" s="1640"/>
      <c r="BA190" s="1641"/>
      <c r="BB190" s="1640"/>
      <c r="BC190" s="1640"/>
      <c r="BD190" s="1640"/>
      <c r="BE190" s="1644"/>
      <c r="BF190" s="1640"/>
      <c r="BG190" s="1640"/>
      <c r="BH190" s="1640"/>
      <c r="BI190" s="1641"/>
      <c r="BJ190" s="1640"/>
      <c r="BK190" s="1640"/>
      <c r="BL190" s="1640"/>
      <c r="BM190" s="1641"/>
      <c r="BN190" s="1640"/>
      <c r="BO190" s="1640"/>
      <c r="BP190" s="1640"/>
      <c r="BQ190" s="1641"/>
      <c r="BR190" s="1640"/>
      <c r="BS190" s="1640"/>
      <c r="BT190" s="1640"/>
      <c r="BU190" s="1641"/>
      <c r="BV190" s="1640"/>
      <c r="BW190" s="1640"/>
      <c r="BX190" s="1640"/>
      <c r="BY190" s="1641"/>
      <c r="BZ190" s="1640"/>
      <c r="CA190" s="1640"/>
      <c r="CB190" s="1640"/>
      <c r="CC190" s="1641"/>
      <c r="CD190" s="1640"/>
      <c r="CE190" s="1640"/>
      <c r="CF190" s="1640"/>
      <c r="CG190" s="1642"/>
      <c r="CH190" s="1643">
        <v>5</v>
      </c>
      <c r="CI190" s="1643">
        <v>0</v>
      </c>
      <c r="CJ190" s="1643">
        <v>0</v>
      </c>
      <c r="CK190" s="1643">
        <v>0</v>
      </c>
    </row>
    <row r="191" spans="1:108" ht="14" x14ac:dyDescent="0.15">
      <c r="A191" s="1688" t="s">
        <v>90</v>
      </c>
      <c r="B191" s="1689" t="s">
        <v>79</v>
      </c>
      <c r="C191" s="1689" t="s">
        <v>100</v>
      </c>
      <c r="D191" s="1689" t="s">
        <v>110</v>
      </c>
      <c r="E191" s="1690">
        <v>4279902</v>
      </c>
      <c r="F191" s="1689"/>
      <c r="G191" s="1667">
        <v>225</v>
      </c>
      <c r="H191" s="1501">
        <f>50+0.5+14.5-U191-2.524</f>
        <v>59.426000000000002</v>
      </c>
      <c r="I191" s="1501"/>
      <c r="J191" s="1630">
        <f>202-V191</f>
        <v>152</v>
      </c>
      <c r="K191" s="1630"/>
      <c r="L191" s="1631"/>
      <c r="M191" s="1631"/>
      <c r="N191" s="1631"/>
      <c r="O191" s="1631"/>
      <c r="P191" s="1631"/>
      <c r="Q191" s="1631"/>
      <c r="R191" s="1631"/>
      <c r="S191" s="1631"/>
      <c r="T191" s="1632"/>
      <c r="U191" s="1633">
        <v>3.05</v>
      </c>
      <c r="V191" s="1633">
        <v>50</v>
      </c>
      <c r="W191" s="1634"/>
      <c r="X191" s="1634"/>
      <c r="Y191" s="1634"/>
      <c r="Z191" s="1635"/>
      <c r="AA191" s="1634"/>
      <c r="AB191" s="1634"/>
      <c r="AC191" s="1508">
        <f t="shared" si="142"/>
        <v>59.426000000000002</v>
      </c>
      <c r="AD191" s="1509">
        <f t="shared" si="143"/>
        <v>152</v>
      </c>
      <c r="AE191" s="1509">
        <f t="shared" si="144"/>
        <v>0</v>
      </c>
      <c r="AF191" s="1509">
        <f t="shared" si="144"/>
        <v>152</v>
      </c>
      <c r="AG191" s="1509">
        <f t="shared" si="144"/>
        <v>0</v>
      </c>
      <c r="AH191" s="1490">
        <f t="shared" si="136"/>
        <v>0</v>
      </c>
      <c r="AI191" s="1636">
        <f t="shared" si="145"/>
        <v>0</v>
      </c>
      <c r="AJ191" s="1636">
        <f t="shared" si="146"/>
        <v>0</v>
      </c>
      <c r="AK191" s="1636">
        <f t="shared" si="147"/>
        <v>0</v>
      </c>
      <c r="AL191" s="1636">
        <f t="shared" si="137"/>
        <v>0</v>
      </c>
      <c r="AM191" s="1636">
        <f t="shared" si="137"/>
        <v>0</v>
      </c>
      <c r="AN191" s="1637"/>
      <c r="AO191" s="1723"/>
      <c r="AP191" s="1638"/>
      <c r="AQ191" s="1638"/>
      <c r="AR191" s="1638"/>
      <c r="AS191" s="1639"/>
      <c r="AT191" s="1638"/>
      <c r="AU191" s="1638"/>
      <c r="AV191" s="1638"/>
      <c r="AW191" s="1639"/>
      <c r="AX191" s="1640"/>
      <c r="AY191" s="1640"/>
      <c r="AZ191" s="1640"/>
      <c r="BA191" s="1641"/>
      <c r="BB191" s="1640"/>
      <c r="BC191" s="1640"/>
      <c r="BD191" s="1640"/>
      <c r="BE191" s="1644"/>
      <c r="BF191" s="1640"/>
      <c r="BG191" s="1640"/>
      <c r="BH191" s="1640"/>
      <c r="BI191" s="1641"/>
      <c r="BJ191" s="1640"/>
      <c r="BK191" s="1640"/>
      <c r="BL191" s="1640"/>
      <c r="BM191" s="1641"/>
      <c r="BN191" s="1640"/>
      <c r="BO191" s="1640"/>
      <c r="BP191" s="1640"/>
      <c r="BQ191" s="1641">
        <v>50</v>
      </c>
      <c r="BR191" s="1640"/>
      <c r="BS191" s="1640"/>
      <c r="BT191" s="1640"/>
      <c r="BU191" s="1641"/>
      <c r="BV191" s="1640"/>
      <c r="BW191" s="1640"/>
      <c r="BX191" s="1640"/>
      <c r="BY191" s="1641"/>
      <c r="BZ191" s="1640"/>
      <c r="CA191" s="1640">
        <v>100</v>
      </c>
      <c r="CB191" s="1640"/>
      <c r="CC191" s="1641"/>
      <c r="CD191" s="1640"/>
      <c r="CE191" s="1640"/>
      <c r="CF191" s="1640"/>
      <c r="CG191" s="1642"/>
      <c r="CH191" s="1643">
        <v>9.4260000000000002</v>
      </c>
      <c r="CI191" s="1643">
        <v>0</v>
      </c>
      <c r="CJ191" s="1643">
        <v>52</v>
      </c>
      <c r="CK191" s="1643">
        <v>0</v>
      </c>
    </row>
    <row r="192" spans="1:108" ht="14" x14ac:dyDescent="0.15">
      <c r="A192" s="1688" t="s">
        <v>91</v>
      </c>
      <c r="B192" s="1689" t="s">
        <v>79</v>
      </c>
      <c r="C192" s="1689" t="s">
        <v>100</v>
      </c>
      <c r="D192" s="1689" t="s">
        <v>110</v>
      </c>
      <c r="E192" s="1690">
        <v>4279902</v>
      </c>
      <c r="F192" s="1689"/>
      <c r="G192" s="1667">
        <v>226</v>
      </c>
      <c r="H192" s="1501">
        <f>35+50+10.5-U192</f>
        <v>35.049999999999997</v>
      </c>
      <c r="I192" s="1501"/>
      <c r="J192" s="1630"/>
      <c r="K192" s="1630"/>
      <c r="L192" s="1631"/>
      <c r="M192" s="1631"/>
      <c r="N192" s="1631"/>
      <c r="O192" s="1631"/>
      <c r="P192" s="1631"/>
      <c r="Q192" s="1631"/>
      <c r="R192" s="1631"/>
      <c r="S192" s="1631"/>
      <c r="T192" s="1632"/>
      <c r="U192" s="1633">
        <v>60.45</v>
      </c>
      <c r="V192" s="1633"/>
      <c r="W192" s="1634"/>
      <c r="X192" s="1634"/>
      <c r="Y192" s="1634"/>
      <c r="Z192" s="1635"/>
      <c r="AA192" s="1634"/>
      <c r="AB192" s="1634"/>
      <c r="AC192" s="1508">
        <f t="shared" si="142"/>
        <v>35.049999999999997</v>
      </c>
      <c r="AD192" s="1509">
        <f t="shared" si="143"/>
        <v>0</v>
      </c>
      <c r="AE192" s="1509">
        <f t="shared" si="144"/>
        <v>0</v>
      </c>
      <c r="AF192" s="1509">
        <f t="shared" si="144"/>
        <v>0</v>
      </c>
      <c r="AG192" s="1509">
        <f t="shared" si="144"/>
        <v>0</v>
      </c>
      <c r="AH192" s="1490">
        <f t="shared" si="136"/>
        <v>0</v>
      </c>
      <c r="AI192" s="1636">
        <f t="shared" si="145"/>
        <v>0</v>
      </c>
      <c r="AJ192" s="1636">
        <f t="shared" si="146"/>
        <v>0</v>
      </c>
      <c r="AK192" s="1636">
        <f t="shared" si="147"/>
        <v>0</v>
      </c>
      <c r="AL192" s="1636">
        <f t="shared" si="137"/>
        <v>0</v>
      </c>
      <c r="AM192" s="1636">
        <f t="shared" si="137"/>
        <v>0</v>
      </c>
      <c r="AN192" s="1637"/>
      <c r="AO192" s="1723"/>
      <c r="AP192" s="1638"/>
      <c r="AQ192" s="1638"/>
      <c r="AR192" s="1638"/>
      <c r="AS192" s="1639"/>
      <c r="AT192" s="1638"/>
      <c r="AU192" s="1638"/>
      <c r="AV192" s="1638"/>
      <c r="AW192" s="1639"/>
      <c r="AX192" s="1640"/>
      <c r="AY192" s="1640"/>
      <c r="AZ192" s="1640"/>
      <c r="BA192" s="1641"/>
      <c r="BB192" s="1640"/>
      <c r="BC192" s="1640"/>
      <c r="BD192" s="1640"/>
      <c r="BE192" s="1644"/>
      <c r="BF192" s="1640"/>
      <c r="BG192" s="1640"/>
      <c r="BH192" s="1640"/>
      <c r="BI192" s="1641"/>
      <c r="BJ192" s="1640"/>
      <c r="BK192" s="1640"/>
      <c r="BL192" s="1640"/>
      <c r="BM192" s="1641"/>
      <c r="BN192" s="1640"/>
      <c r="BO192" s="1640"/>
      <c r="BP192" s="1640"/>
      <c r="BQ192" s="1641">
        <v>35.049999999999997</v>
      </c>
      <c r="BR192" s="1640"/>
      <c r="BS192" s="1640"/>
      <c r="BT192" s="1640"/>
      <c r="BU192" s="1641"/>
      <c r="BV192" s="1640"/>
      <c r="BW192" s="1640"/>
      <c r="BX192" s="1640"/>
      <c r="BY192" s="1641"/>
      <c r="BZ192" s="1640"/>
      <c r="CA192" s="1640"/>
      <c r="CB192" s="1640"/>
      <c r="CC192" s="1641"/>
      <c r="CD192" s="1640"/>
      <c r="CE192" s="1640"/>
      <c r="CF192" s="1640"/>
      <c r="CG192" s="1642"/>
      <c r="CH192" s="1643">
        <v>0</v>
      </c>
      <c r="CI192" s="1643">
        <v>0</v>
      </c>
      <c r="CJ192" s="1643">
        <v>0</v>
      </c>
      <c r="CK192" s="1643">
        <v>0</v>
      </c>
    </row>
    <row r="193" spans="1:108" ht="14" x14ac:dyDescent="0.15">
      <c r="A193" s="1688" t="s">
        <v>94</v>
      </c>
      <c r="B193" s="1689" t="s">
        <v>79</v>
      </c>
      <c r="C193" s="1689" t="s">
        <v>100</v>
      </c>
      <c r="D193" s="1689" t="s">
        <v>110</v>
      </c>
      <c r="E193" s="1690">
        <v>4279902</v>
      </c>
      <c r="F193" s="1689"/>
      <c r="G193" s="1667">
        <v>290</v>
      </c>
      <c r="H193" s="1501">
        <f>662.6</f>
        <v>662.6</v>
      </c>
      <c r="I193" s="1501"/>
      <c r="J193" s="1630"/>
      <c r="K193" s="1630"/>
      <c r="L193" s="1631"/>
      <c r="M193" s="1631"/>
      <c r="N193" s="1631"/>
      <c r="O193" s="1631"/>
      <c r="P193" s="1631"/>
      <c r="Q193" s="1631"/>
      <c r="R193" s="1631"/>
      <c r="S193" s="1631"/>
      <c r="T193" s="1632"/>
      <c r="U193" s="1633"/>
      <c r="V193" s="1633"/>
      <c r="W193" s="1634"/>
      <c r="X193" s="1634"/>
      <c r="Y193" s="1634"/>
      <c r="Z193" s="1635"/>
      <c r="AA193" s="1634"/>
      <c r="AB193" s="1634"/>
      <c r="AC193" s="1508">
        <f t="shared" si="142"/>
        <v>662.6</v>
      </c>
      <c r="AD193" s="1509">
        <f t="shared" si="143"/>
        <v>0</v>
      </c>
      <c r="AE193" s="1509">
        <f t="shared" si="144"/>
        <v>0</v>
      </c>
      <c r="AF193" s="1509">
        <f t="shared" si="144"/>
        <v>0</v>
      </c>
      <c r="AG193" s="1509">
        <f t="shared" si="144"/>
        <v>0</v>
      </c>
      <c r="AH193" s="1490">
        <f t="shared" si="136"/>
        <v>0</v>
      </c>
      <c r="AI193" s="1636">
        <f t="shared" si="145"/>
        <v>0</v>
      </c>
      <c r="AJ193" s="1636">
        <f t="shared" si="146"/>
        <v>0</v>
      </c>
      <c r="AK193" s="1636">
        <f t="shared" si="147"/>
        <v>0</v>
      </c>
      <c r="AL193" s="1636">
        <f t="shared" si="137"/>
        <v>0</v>
      </c>
      <c r="AM193" s="1636">
        <f t="shared" si="137"/>
        <v>0</v>
      </c>
      <c r="AN193" s="1637"/>
      <c r="AO193" s="1722">
        <v>55.2</v>
      </c>
      <c r="AP193" s="1638"/>
      <c r="AQ193" s="1638"/>
      <c r="AR193" s="1638"/>
      <c r="AS193" s="1639">
        <v>55.2</v>
      </c>
      <c r="AT193" s="1638"/>
      <c r="AU193" s="1638"/>
      <c r="AV193" s="1638"/>
      <c r="AW193" s="1639">
        <v>55</v>
      </c>
      <c r="AX193" s="1640"/>
      <c r="AY193" s="1640"/>
      <c r="AZ193" s="1640"/>
      <c r="BA193" s="1641">
        <v>55</v>
      </c>
      <c r="BB193" s="1640"/>
      <c r="BC193" s="1640"/>
      <c r="BD193" s="1640"/>
      <c r="BE193" s="1644">
        <v>53.6</v>
      </c>
      <c r="BF193" s="1640"/>
      <c r="BG193" s="1640"/>
      <c r="BH193" s="1640"/>
      <c r="BI193" s="1641">
        <v>55</v>
      </c>
      <c r="BJ193" s="1640"/>
      <c r="BK193" s="1640"/>
      <c r="BL193" s="1640"/>
      <c r="BM193" s="1641"/>
      <c r="BN193" s="1640"/>
      <c r="BO193" s="1640"/>
      <c r="BP193" s="1640"/>
      <c r="BQ193" s="1641">
        <v>55.2</v>
      </c>
      <c r="BR193" s="1640"/>
      <c r="BS193" s="1640"/>
      <c r="BT193" s="1640"/>
      <c r="BU193" s="1641">
        <v>109</v>
      </c>
      <c r="BV193" s="1640"/>
      <c r="BW193" s="1640"/>
      <c r="BX193" s="1640"/>
      <c r="BY193" s="1641"/>
      <c r="BZ193" s="1640"/>
      <c r="CA193" s="1640"/>
      <c r="CB193" s="1640"/>
      <c r="CC193" s="1641"/>
      <c r="CD193" s="1640"/>
      <c r="CE193" s="1640"/>
      <c r="CF193" s="1640"/>
      <c r="CG193" s="1642"/>
      <c r="CH193" s="1643">
        <f>117.4+52</f>
        <v>169.4</v>
      </c>
      <c r="CI193" s="1643">
        <v>0</v>
      </c>
      <c r="CJ193" s="1643">
        <v>0</v>
      </c>
      <c r="CK193" s="1643">
        <v>0</v>
      </c>
    </row>
    <row r="194" spans="1:108" ht="14" x14ac:dyDescent="0.15">
      <c r="A194" s="1688" t="s">
        <v>94</v>
      </c>
      <c r="B194" s="1689" t="s">
        <v>79</v>
      </c>
      <c r="C194" s="1689" t="s">
        <v>100</v>
      </c>
      <c r="D194" s="1689" t="s">
        <v>110</v>
      </c>
      <c r="E194" s="1690">
        <v>4279902</v>
      </c>
      <c r="F194" s="1689"/>
      <c r="G194" s="1667" t="s">
        <v>95</v>
      </c>
      <c r="H194" s="1501">
        <f>23.4</f>
        <v>23.4</v>
      </c>
      <c r="I194" s="1501"/>
      <c r="J194" s="1630"/>
      <c r="K194" s="1630"/>
      <c r="L194" s="1631"/>
      <c r="M194" s="1631"/>
      <c r="N194" s="1631"/>
      <c r="O194" s="1631"/>
      <c r="P194" s="1631"/>
      <c r="Q194" s="1631"/>
      <c r="R194" s="1631"/>
      <c r="S194" s="1631"/>
      <c r="T194" s="1632"/>
      <c r="U194" s="1633"/>
      <c r="V194" s="1633"/>
      <c r="W194" s="1634"/>
      <c r="X194" s="1634"/>
      <c r="Y194" s="1634"/>
      <c r="Z194" s="1635"/>
      <c r="AA194" s="1634"/>
      <c r="AB194" s="1634"/>
      <c r="AC194" s="1508">
        <f t="shared" si="142"/>
        <v>23.400000000000002</v>
      </c>
      <c r="AD194" s="1509">
        <f t="shared" si="143"/>
        <v>0</v>
      </c>
      <c r="AE194" s="1509">
        <f t="shared" si="144"/>
        <v>0</v>
      </c>
      <c r="AF194" s="1509">
        <f t="shared" si="144"/>
        <v>0</v>
      </c>
      <c r="AG194" s="1509">
        <f t="shared" si="144"/>
        <v>0</v>
      </c>
      <c r="AH194" s="1490">
        <f t="shared" si="136"/>
        <v>0</v>
      </c>
      <c r="AI194" s="1636">
        <f t="shared" si="145"/>
        <v>0</v>
      </c>
      <c r="AJ194" s="1636">
        <f t="shared" si="146"/>
        <v>0</v>
      </c>
      <c r="AK194" s="1636">
        <f t="shared" si="147"/>
        <v>0</v>
      </c>
      <c r="AL194" s="1636">
        <f t="shared" si="137"/>
        <v>0</v>
      </c>
      <c r="AM194" s="1636">
        <f t="shared" si="137"/>
        <v>0</v>
      </c>
      <c r="AN194" s="1637"/>
      <c r="AO194" s="1722">
        <v>2</v>
      </c>
      <c r="AP194" s="1638"/>
      <c r="AQ194" s="1638"/>
      <c r="AR194" s="1638"/>
      <c r="AS194" s="1639"/>
      <c r="AT194" s="1638"/>
      <c r="AU194" s="1638"/>
      <c r="AV194" s="1638"/>
      <c r="AW194" s="1639"/>
      <c r="AX194" s="1640"/>
      <c r="AY194" s="1640"/>
      <c r="AZ194" s="1640"/>
      <c r="BA194" s="1641"/>
      <c r="BB194" s="1640"/>
      <c r="BC194" s="1640"/>
      <c r="BD194" s="1640"/>
      <c r="BE194" s="1644">
        <v>5.8</v>
      </c>
      <c r="BF194" s="1640"/>
      <c r="BG194" s="1640"/>
      <c r="BH194" s="1640"/>
      <c r="BI194" s="1641"/>
      <c r="BJ194" s="1640"/>
      <c r="BK194" s="1640"/>
      <c r="BL194" s="1640"/>
      <c r="BM194" s="1641"/>
      <c r="BN194" s="1640"/>
      <c r="BO194" s="1640"/>
      <c r="BP194" s="1640"/>
      <c r="BQ194" s="1641"/>
      <c r="BR194" s="1640"/>
      <c r="BS194" s="1640"/>
      <c r="BT194" s="1640"/>
      <c r="BU194" s="1641">
        <v>9.8000000000000007</v>
      </c>
      <c r="BV194" s="1640"/>
      <c r="BW194" s="1640"/>
      <c r="BX194" s="1640"/>
      <c r="BY194" s="1641"/>
      <c r="BZ194" s="1640"/>
      <c r="CA194" s="1640"/>
      <c r="CB194" s="1640"/>
      <c r="CC194" s="1641"/>
      <c r="CD194" s="1640"/>
      <c r="CE194" s="1640"/>
      <c r="CF194" s="1640"/>
      <c r="CG194" s="1642"/>
      <c r="CH194" s="1643">
        <v>5.8</v>
      </c>
      <c r="CI194" s="1643">
        <v>0</v>
      </c>
      <c r="CJ194" s="1643">
        <v>0</v>
      </c>
      <c r="CK194" s="1643">
        <v>0</v>
      </c>
    </row>
    <row r="195" spans="1:108" ht="14.25" customHeight="1" x14ac:dyDescent="0.15">
      <c r="A195" s="1688" t="s">
        <v>96</v>
      </c>
      <c r="B195" s="1689" t="s">
        <v>79</v>
      </c>
      <c r="C195" s="1689" t="s">
        <v>100</v>
      </c>
      <c r="D195" s="1689" t="s">
        <v>110</v>
      </c>
      <c r="E195" s="1690">
        <v>4279902</v>
      </c>
      <c r="F195" s="1689"/>
      <c r="G195" s="1667">
        <v>310</v>
      </c>
      <c r="H195" s="1501">
        <f>200+21-U195</f>
        <v>0</v>
      </c>
      <c r="I195" s="1501"/>
      <c r="J195" s="1630"/>
      <c r="K195" s="1630"/>
      <c r="L195" s="1631"/>
      <c r="M195" s="1631"/>
      <c r="N195" s="1631"/>
      <c r="O195" s="1631"/>
      <c r="P195" s="1631"/>
      <c r="Q195" s="1631"/>
      <c r="R195" s="1631"/>
      <c r="S195" s="1631"/>
      <c r="T195" s="1632"/>
      <c r="U195" s="1633">
        <v>221</v>
      </c>
      <c r="V195" s="1633"/>
      <c r="W195" s="1634"/>
      <c r="X195" s="1634"/>
      <c r="Y195" s="1634"/>
      <c r="Z195" s="1635"/>
      <c r="AA195" s="1634"/>
      <c r="AB195" s="1634"/>
      <c r="AC195" s="1508">
        <f t="shared" si="142"/>
        <v>0</v>
      </c>
      <c r="AD195" s="1509">
        <f t="shared" si="143"/>
        <v>0</v>
      </c>
      <c r="AE195" s="1509">
        <f t="shared" si="144"/>
        <v>0</v>
      </c>
      <c r="AF195" s="1509">
        <f t="shared" si="144"/>
        <v>0</v>
      </c>
      <c r="AG195" s="1509">
        <f t="shared" si="144"/>
        <v>0</v>
      </c>
      <c r="AH195" s="1490">
        <f t="shared" si="136"/>
        <v>0</v>
      </c>
      <c r="AI195" s="1636">
        <f t="shared" si="145"/>
        <v>0</v>
      </c>
      <c r="AJ195" s="1636">
        <f t="shared" si="146"/>
        <v>0</v>
      </c>
      <c r="AK195" s="1636">
        <f t="shared" si="147"/>
        <v>0</v>
      </c>
      <c r="AL195" s="1636">
        <f t="shared" si="137"/>
        <v>0</v>
      </c>
      <c r="AM195" s="1636">
        <f t="shared" si="137"/>
        <v>0</v>
      </c>
      <c r="AN195" s="1637"/>
      <c r="AO195" s="1723"/>
      <c r="AP195" s="1638"/>
      <c r="AQ195" s="1638"/>
      <c r="AR195" s="1638"/>
      <c r="AS195" s="1639"/>
      <c r="AT195" s="1638"/>
      <c r="AU195" s="1638"/>
      <c r="AV195" s="1638"/>
      <c r="AW195" s="1639"/>
      <c r="AX195" s="1640"/>
      <c r="AY195" s="1640"/>
      <c r="AZ195" s="1640"/>
      <c r="BA195" s="1641"/>
      <c r="BB195" s="1640"/>
      <c r="BC195" s="1640"/>
      <c r="BD195" s="1640"/>
      <c r="BE195" s="1644"/>
      <c r="BF195" s="1640"/>
      <c r="BG195" s="1640"/>
      <c r="BH195" s="1640"/>
      <c r="BI195" s="1641"/>
      <c r="BJ195" s="1640"/>
      <c r="BK195" s="1640"/>
      <c r="BL195" s="1640"/>
      <c r="BM195" s="1641"/>
      <c r="BN195" s="1640"/>
      <c r="BO195" s="1640"/>
      <c r="BP195" s="1640"/>
      <c r="BQ195" s="1641"/>
      <c r="BR195" s="1640"/>
      <c r="BS195" s="1640"/>
      <c r="BT195" s="1640"/>
      <c r="BU195" s="1641"/>
      <c r="BV195" s="1640"/>
      <c r="BW195" s="1640"/>
      <c r="BX195" s="1640"/>
      <c r="BY195" s="1641"/>
      <c r="BZ195" s="1640"/>
      <c r="CA195" s="1640"/>
      <c r="CB195" s="1640"/>
      <c r="CC195" s="1641"/>
      <c r="CD195" s="1640"/>
      <c r="CE195" s="1640"/>
      <c r="CF195" s="1640"/>
      <c r="CG195" s="1642"/>
      <c r="CH195" s="1643">
        <v>0</v>
      </c>
      <c r="CI195" s="1643">
        <v>0</v>
      </c>
      <c r="CJ195" s="1643">
        <v>0</v>
      </c>
      <c r="CK195" s="1643">
        <v>0</v>
      </c>
    </row>
    <row r="196" spans="1:108" ht="14" x14ac:dyDescent="0.15">
      <c r="A196" s="1688" t="s">
        <v>97</v>
      </c>
      <c r="B196" s="1689" t="s">
        <v>79</v>
      </c>
      <c r="C196" s="1689" t="s">
        <v>100</v>
      </c>
      <c r="D196" s="1689" t="s">
        <v>110</v>
      </c>
      <c r="E196" s="1690">
        <v>4279902</v>
      </c>
      <c r="F196" s="1689"/>
      <c r="G196" s="1667">
        <v>340</v>
      </c>
      <c r="H196" s="1501">
        <f>38-U196</f>
        <v>3.2000000000000028</v>
      </c>
      <c r="I196" s="1501"/>
      <c r="J196" s="1630"/>
      <c r="K196" s="1630"/>
      <c r="L196" s="1631"/>
      <c r="M196" s="1631"/>
      <c r="N196" s="1631"/>
      <c r="O196" s="1631"/>
      <c r="P196" s="1631"/>
      <c r="Q196" s="1631"/>
      <c r="R196" s="1631"/>
      <c r="S196" s="1631"/>
      <c r="T196" s="1632"/>
      <c r="U196" s="1633">
        <v>34.799999999999997</v>
      </c>
      <c r="V196" s="1633"/>
      <c r="W196" s="1634"/>
      <c r="X196" s="1634"/>
      <c r="Y196" s="1634"/>
      <c r="Z196" s="1635"/>
      <c r="AA196" s="1634"/>
      <c r="AB196" s="1634"/>
      <c r="AC196" s="1508">
        <f t="shared" si="142"/>
        <v>3.2</v>
      </c>
      <c r="AD196" s="1509">
        <f t="shared" si="143"/>
        <v>0</v>
      </c>
      <c r="AE196" s="1509">
        <f t="shared" si="144"/>
        <v>0</v>
      </c>
      <c r="AF196" s="1509">
        <f t="shared" si="144"/>
        <v>0</v>
      </c>
      <c r="AG196" s="1509">
        <f t="shared" si="144"/>
        <v>0</v>
      </c>
      <c r="AH196" s="1490">
        <f t="shared" si="136"/>
        <v>0</v>
      </c>
      <c r="AI196" s="1636">
        <f t="shared" si="145"/>
        <v>0</v>
      </c>
      <c r="AJ196" s="1636">
        <f t="shared" si="146"/>
        <v>0</v>
      </c>
      <c r="AK196" s="1636">
        <f t="shared" si="147"/>
        <v>0</v>
      </c>
      <c r="AL196" s="1636">
        <f t="shared" si="137"/>
        <v>0</v>
      </c>
      <c r="AM196" s="1636">
        <f t="shared" si="137"/>
        <v>0</v>
      </c>
      <c r="AN196" s="1637"/>
      <c r="AO196" s="1722">
        <v>3.2</v>
      </c>
      <c r="AP196" s="1638"/>
      <c r="AQ196" s="1638"/>
      <c r="AR196" s="1638"/>
      <c r="AS196" s="1639"/>
      <c r="AT196" s="1638"/>
      <c r="AU196" s="1638"/>
      <c r="AV196" s="1638"/>
      <c r="AW196" s="1639"/>
      <c r="AX196" s="1640"/>
      <c r="AY196" s="1640"/>
      <c r="AZ196" s="1640"/>
      <c r="BA196" s="1641"/>
      <c r="BB196" s="1640"/>
      <c r="BC196" s="1640"/>
      <c r="BD196" s="1640"/>
      <c r="BE196" s="1644"/>
      <c r="BF196" s="1640"/>
      <c r="BG196" s="1640"/>
      <c r="BH196" s="1640"/>
      <c r="BI196" s="1641"/>
      <c r="BJ196" s="1640"/>
      <c r="BK196" s="1640"/>
      <c r="BL196" s="1640"/>
      <c r="BM196" s="1641"/>
      <c r="BN196" s="1640"/>
      <c r="BO196" s="1640"/>
      <c r="BP196" s="1640"/>
      <c r="BQ196" s="1641"/>
      <c r="BR196" s="1640"/>
      <c r="BS196" s="1640"/>
      <c r="BT196" s="1640"/>
      <c r="BU196" s="1641"/>
      <c r="BV196" s="1640"/>
      <c r="BW196" s="1640"/>
      <c r="BX196" s="1640"/>
      <c r="BY196" s="1641"/>
      <c r="BZ196" s="1640"/>
      <c r="CA196" s="1640"/>
      <c r="CB196" s="1640"/>
      <c r="CC196" s="1641"/>
      <c r="CD196" s="1640"/>
      <c r="CE196" s="1640"/>
      <c r="CF196" s="1640"/>
      <c r="CG196" s="1642"/>
      <c r="CH196" s="1643">
        <v>0</v>
      </c>
      <c r="CI196" s="1643">
        <v>0</v>
      </c>
      <c r="CJ196" s="1643">
        <v>0</v>
      </c>
      <c r="CK196" s="1643">
        <v>0</v>
      </c>
    </row>
    <row r="197" spans="1:108" ht="14" x14ac:dyDescent="0.15">
      <c r="A197" s="1528" t="s">
        <v>767</v>
      </c>
      <c r="B197" s="1530" t="s">
        <v>79</v>
      </c>
      <c r="C197" s="1530" t="s">
        <v>100</v>
      </c>
      <c r="D197" s="1530" t="s">
        <v>110</v>
      </c>
      <c r="E197" s="1530" t="s">
        <v>224</v>
      </c>
      <c r="F197" s="1530" t="s">
        <v>768</v>
      </c>
      <c r="G197" s="1600" t="s">
        <v>766</v>
      </c>
      <c r="H197" s="1647">
        <f>I183</f>
        <v>0</v>
      </c>
      <c r="I197" s="1645"/>
      <c r="J197" s="1630"/>
      <c r="K197" s="1630"/>
      <c r="L197" s="1631"/>
      <c r="M197" s="1631"/>
      <c r="N197" s="1631"/>
      <c r="O197" s="1631"/>
      <c r="P197" s="1631"/>
      <c r="Q197" s="1631"/>
      <c r="R197" s="1631"/>
      <c r="S197" s="1631"/>
      <c r="T197" s="1632"/>
      <c r="U197" s="1633"/>
      <c r="V197" s="1633"/>
      <c r="W197" s="1634"/>
      <c r="X197" s="1634"/>
      <c r="Y197" s="1634"/>
      <c r="Z197" s="1635"/>
      <c r="AA197" s="1634"/>
      <c r="AB197" s="1634"/>
      <c r="AC197" s="1508">
        <f t="shared" si="142"/>
        <v>0</v>
      </c>
      <c r="AD197" s="1509">
        <f t="shared" si="143"/>
        <v>0</v>
      </c>
      <c r="AE197" s="1509"/>
      <c r="AF197" s="1509"/>
      <c r="AG197" s="1509"/>
      <c r="AH197" s="1490">
        <f t="shared" si="136"/>
        <v>0</v>
      </c>
      <c r="AI197" s="1636"/>
      <c r="AJ197" s="1636"/>
      <c r="AK197" s="1636"/>
      <c r="AL197" s="1636">
        <f t="shared" si="137"/>
        <v>0</v>
      </c>
      <c r="AM197" s="1636"/>
      <c r="AN197" s="1712"/>
      <c r="AO197" s="1713"/>
      <c r="AP197" s="1638"/>
      <c r="AQ197" s="1638"/>
      <c r="AR197" s="1638"/>
      <c r="AS197" s="1639"/>
      <c r="AT197" s="1638"/>
      <c r="AU197" s="1638"/>
      <c r="AV197" s="1638"/>
      <c r="AW197" s="1639"/>
      <c r="AX197" s="1640"/>
      <c r="AY197" s="1640"/>
      <c r="AZ197" s="1640"/>
      <c r="BA197" s="1641"/>
      <c r="BB197" s="1640"/>
      <c r="BC197" s="1640"/>
      <c r="BD197" s="1640"/>
      <c r="BE197" s="1644"/>
      <c r="BF197" s="1640"/>
      <c r="BG197" s="1640"/>
      <c r="BH197" s="1640"/>
      <c r="BI197" s="1641"/>
      <c r="BJ197" s="1640"/>
      <c r="BK197" s="1640"/>
      <c r="BL197" s="1640"/>
      <c r="BM197" s="1641"/>
      <c r="BN197" s="1640"/>
      <c r="BO197" s="1640"/>
      <c r="BP197" s="1640"/>
      <c r="BQ197" s="1641"/>
      <c r="BR197" s="1640"/>
      <c r="BS197" s="1640"/>
      <c r="BT197" s="1640"/>
      <c r="BU197" s="1641"/>
      <c r="BV197" s="1640"/>
      <c r="BW197" s="1640"/>
      <c r="BX197" s="1640"/>
      <c r="BY197" s="1641"/>
      <c r="BZ197" s="1640"/>
      <c r="CA197" s="1640"/>
      <c r="CB197" s="1640"/>
      <c r="CC197" s="1641"/>
      <c r="CD197" s="1640"/>
      <c r="CE197" s="1640"/>
      <c r="CF197" s="1640"/>
      <c r="CG197" s="1642"/>
      <c r="CH197" s="1668"/>
      <c r="CI197" s="1669"/>
      <c r="CJ197" s="1669"/>
      <c r="CK197" s="1669"/>
    </row>
    <row r="198" spans="1:108" s="1559" customFormat="1" ht="26" x14ac:dyDescent="0.15">
      <c r="A198" s="1469" t="s">
        <v>773</v>
      </c>
      <c r="B198" s="1516" t="s">
        <v>79</v>
      </c>
      <c r="C198" s="1516" t="s">
        <v>100</v>
      </c>
      <c r="D198" s="1516" t="s">
        <v>117</v>
      </c>
      <c r="E198" s="1516"/>
      <c r="F198" s="1516"/>
      <c r="G198" s="1516"/>
      <c r="H198" s="1620">
        <f>H199</f>
        <v>6747.9</v>
      </c>
      <c r="I198" s="1620">
        <f t="shared" ref="I198:CK200" si="148">I199</f>
        <v>0</v>
      </c>
      <c r="J198" s="1620">
        <f t="shared" si="148"/>
        <v>0</v>
      </c>
      <c r="K198" s="1620">
        <f t="shared" si="148"/>
        <v>0</v>
      </c>
      <c r="L198" s="1621"/>
      <c r="M198" s="1621"/>
      <c r="N198" s="1621"/>
      <c r="O198" s="1621"/>
      <c r="P198" s="1621"/>
      <c r="Q198" s="1621"/>
      <c r="R198" s="1621"/>
      <c r="S198" s="1621"/>
      <c r="T198" s="1622"/>
      <c r="U198" s="1623"/>
      <c r="V198" s="1623"/>
      <c r="W198" s="1624"/>
      <c r="X198" s="1624"/>
      <c r="Y198" s="1624"/>
      <c r="Z198" s="1625"/>
      <c r="AA198" s="1624"/>
      <c r="AB198" s="1624"/>
      <c r="AC198" s="1626">
        <f t="shared" si="148"/>
        <v>6747.8999999999978</v>
      </c>
      <c r="AD198" s="1626">
        <f t="shared" si="148"/>
        <v>0</v>
      </c>
      <c r="AE198" s="1626">
        <f t="shared" si="148"/>
        <v>0</v>
      </c>
      <c r="AF198" s="1626">
        <f t="shared" si="148"/>
        <v>0</v>
      </c>
      <c r="AG198" s="1626">
        <f t="shared" si="148"/>
        <v>0</v>
      </c>
      <c r="AH198" s="1490">
        <f t="shared" si="136"/>
        <v>0</v>
      </c>
      <c r="AI198" s="1627">
        <f t="shared" si="148"/>
        <v>0</v>
      </c>
      <c r="AJ198" s="1627">
        <f t="shared" si="148"/>
        <v>0</v>
      </c>
      <c r="AK198" s="1627">
        <f t="shared" si="148"/>
        <v>0</v>
      </c>
      <c r="AL198" s="1636">
        <f t="shared" si="137"/>
        <v>0</v>
      </c>
      <c r="AM198" s="1627">
        <f t="shared" si="148"/>
        <v>0</v>
      </c>
      <c r="AN198" s="1615"/>
      <c r="AO198" s="1615">
        <f t="shared" si="148"/>
        <v>536.40000000000009</v>
      </c>
      <c r="AP198" s="1615">
        <f t="shared" si="148"/>
        <v>0</v>
      </c>
      <c r="AQ198" s="1615">
        <f t="shared" si="148"/>
        <v>0</v>
      </c>
      <c r="AR198" s="1615">
        <f t="shared" si="148"/>
        <v>0</v>
      </c>
      <c r="AS198" s="1625">
        <f t="shared" si="148"/>
        <v>532.9</v>
      </c>
      <c r="AT198" s="1615">
        <f t="shared" si="148"/>
        <v>0</v>
      </c>
      <c r="AU198" s="1615">
        <f t="shared" si="148"/>
        <v>0</v>
      </c>
      <c r="AV198" s="1615">
        <f t="shared" si="148"/>
        <v>0</v>
      </c>
      <c r="AW198" s="1625">
        <f t="shared" si="148"/>
        <v>0</v>
      </c>
      <c r="AX198" s="1615">
        <f t="shared" si="148"/>
        <v>0</v>
      </c>
      <c r="AY198" s="1615">
        <f t="shared" si="148"/>
        <v>0</v>
      </c>
      <c r="AZ198" s="1615">
        <f t="shared" si="148"/>
        <v>0</v>
      </c>
      <c r="BA198" s="1615">
        <f t="shared" si="148"/>
        <v>0</v>
      </c>
      <c r="BB198" s="1615">
        <f t="shared" si="148"/>
        <v>0</v>
      </c>
      <c r="BC198" s="1615">
        <f t="shared" si="148"/>
        <v>0</v>
      </c>
      <c r="BD198" s="1615">
        <f t="shared" si="148"/>
        <v>0</v>
      </c>
      <c r="BE198" s="1615">
        <f t="shared" si="148"/>
        <v>0</v>
      </c>
      <c r="BF198" s="1615">
        <f t="shared" si="148"/>
        <v>0</v>
      </c>
      <c r="BG198" s="1615">
        <f t="shared" si="148"/>
        <v>0</v>
      </c>
      <c r="BH198" s="1615">
        <f t="shared" si="148"/>
        <v>0</v>
      </c>
      <c r="BI198" s="1615">
        <f t="shared" si="148"/>
        <v>163.54</v>
      </c>
      <c r="BJ198" s="1615">
        <f t="shared" si="148"/>
        <v>0</v>
      </c>
      <c r="BK198" s="1615">
        <f t="shared" si="148"/>
        <v>0</v>
      </c>
      <c r="BL198" s="1615">
        <f t="shared" si="148"/>
        <v>0</v>
      </c>
      <c r="BM198" s="1615">
        <f t="shared" si="148"/>
        <v>901.07999999999993</v>
      </c>
      <c r="BN198" s="1615">
        <f t="shared" si="148"/>
        <v>0</v>
      </c>
      <c r="BO198" s="1615">
        <f t="shared" si="148"/>
        <v>0</v>
      </c>
      <c r="BP198" s="1615">
        <f t="shared" si="148"/>
        <v>0</v>
      </c>
      <c r="BQ198" s="1615">
        <f t="shared" si="148"/>
        <v>567.29999999999995</v>
      </c>
      <c r="BR198" s="1615">
        <f t="shared" si="148"/>
        <v>0</v>
      </c>
      <c r="BS198" s="1615">
        <f t="shared" si="148"/>
        <v>0</v>
      </c>
      <c r="BT198" s="1615">
        <f t="shared" si="148"/>
        <v>0</v>
      </c>
      <c r="BU198" s="1615">
        <f t="shared" si="148"/>
        <v>535.6099999999999</v>
      </c>
      <c r="BV198" s="1615">
        <f t="shared" si="148"/>
        <v>0</v>
      </c>
      <c r="BW198" s="1615">
        <f t="shared" si="148"/>
        <v>0</v>
      </c>
      <c r="BX198" s="1615">
        <f t="shared" si="148"/>
        <v>0</v>
      </c>
      <c r="BY198" s="1615">
        <f t="shared" si="148"/>
        <v>0</v>
      </c>
      <c r="BZ198" s="1615">
        <f t="shared" si="148"/>
        <v>0</v>
      </c>
      <c r="CA198" s="1615">
        <f t="shared" si="148"/>
        <v>0</v>
      </c>
      <c r="CB198" s="1615">
        <f t="shared" si="148"/>
        <v>0</v>
      </c>
      <c r="CC198" s="1615">
        <f t="shared" si="148"/>
        <v>580.9</v>
      </c>
      <c r="CD198" s="1615">
        <f t="shared" si="148"/>
        <v>0</v>
      </c>
      <c r="CE198" s="1615">
        <f t="shared" si="148"/>
        <v>0</v>
      </c>
      <c r="CF198" s="1615">
        <f t="shared" si="148"/>
        <v>0</v>
      </c>
      <c r="CG198" s="1672"/>
      <c r="CH198" s="1615">
        <f t="shared" si="148"/>
        <v>0</v>
      </c>
      <c r="CI198" s="1615">
        <f t="shared" si="148"/>
        <v>0</v>
      </c>
      <c r="CJ198" s="1615">
        <f t="shared" si="148"/>
        <v>0</v>
      </c>
      <c r="CK198" s="1615">
        <f t="shared" si="148"/>
        <v>0</v>
      </c>
      <c r="CL198" s="1558"/>
      <c r="CM198" s="1558"/>
      <c r="CN198" s="1558"/>
      <c r="CO198" s="1558"/>
      <c r="CP198" s="1558"/>
      <c r="CQ198" s="1558"/>
      <c r="CR198" s="1558"/>
      <c r="CS198" s="1558"/>
      <c r="CT198" s="1558"/>
      <c r="CU198" s="1558"/>
      <c r="CV198" s="1558"/>
      <c r="CW198" s="1558"/>
      <c r="CY198" s="1558"/>
    </row>
    <row r="199" spans="1:108" s="1559" customFormat="1" ht="28" x14ac:dyDescent="0.15">
      <c r="A199" s="827" t="s">
        <v>1102</v>
      </c>
      <c r="B199" s="1674" t="s">
        <v>79</v>
      </c>
      <c r="C199" s="1674" t="s">
        <v>100</v>
      </c>
      <c r="D199" s="1674" t="s">
        <v>117</v>
      </c>
      <c r="E199" s="1674" t="s">
        <v>229</v>
      </c>
      <c r="F199" s="1516"/>
      <c r="G199" s="1516"/>
      <c r="H199" s="1728">
        <f>H200</f>
        <v>6747.9</v>
      </c>
      <c r="I199" s="1728">
        <f t="shared" si="148"/>
        <v>0</v>
      </c>
      <c r="J199" s="1728">
        <f t="shared" si="148"/>
        <v>0</v>
      </c>
      <c r="K199" s="1728">
        <f t="shared" si="148"/>
        <v>0</v>
      </c>
      <c r="L199" s="1729"/>
      <c r="M199" s="1729"/>
      <c r="N199" s="1729"/>
      <c r="O199" s="1729"/>
      <c r="P199" s="1729"/>
      <c r="Q199" s="1729"/>
      <c r="R199" s="1729"/>
      <c r="S199" s="1729"/>
      <c r="T199" s="1730"/>
      <c r="U199" s="1731"/>
      <c r="V199" s="1731"/>
      <c r="W199" s="1732"/>
      <c r="X199" s="1732"/>
      <c r="Y199" s="1732"/>
      <c r="Z199" s="1733"/>
      <c r="AA199" s="1732"/>
      <c r="AB199" s="1732"/>
      <c r="AC199" s="1734">
        <f t="shared" si="148"/>
        <v>6747.8999999999978</v>
      </c>
      <c r="AD199" s="1734">
        <f t="shared" si="148"/>
        <v>0</v>
      </c>
      <c r="AE199" s="1734">
        <f t="shared" si="148"/>
        <v>0</v>
      </c>
      <c r="AF199" s="1734">
        <f t="shared" si="148"/>
        <v>0</v>
      </c>
      <c r="AG199" s="1734">
        <f t="shared" si="148"/>
        <v>0</v>
      </c>
      <c r="AH199" s="1490">
        <f t="shared" si="136"/>
        <v>0</v>
      </c>
      <c r="AI199" s="1735">
        <f t="shared" si="148"/>
        <v>0</v>
      </c>
      <c r="AJ199" s="1735">
        <f t="shared" si="148"/>
        <v>0</v>
      </c>
      <c r="AK199" s="1735">
        <f t="shared" si="148"/>
        <v>0</v>
      </c>
      <c r="AL199" s="1636">
        <f t="shared" si="137"/>
        <v>0</v>
      </c>
      <c r="AM199" s="1735">
        <f t="shared" si="148"/>
        <v>0</v>
      </c>
      <c r="AN199" s="1736"/>
      <c r="AO199" s="1736">
        <f t="shared" si="148"/>
        <v>536.40000000000009</v>
      </c>
      <c r="AP199" s="1736">
        <f t="shared" si="148"/>
        <v>0</v>
      </c>
      <c r="AQ199" s="1736">
        <f t="shared" si="148"/>
        <v>0</v>
      </c>
      <c r="AR199" s="1736">
        <f t="shared" si="148"/>
        <v>0</v>
      </c>
      <c r="AS199" s="1733">
        <f t="shared" si="148"/>
        <v>532.9</v>
      </c>
      <c r="AT199" s="1736">
        <f t="shared" si="148"/>
        <v>0</v>
      </c>
      <c r="AU199" s="1736">
        <f t="shared" si="148"/>
        <v>0</v>
      </c>
      <c r="AV199" s="1736">
        <f t="shared" si="148"/>
        <v>0</v>
      </c>
      <c r="AW199" s="1733">
        <f t="shared" si="148"/>
        <v>0</v>
      </c>
      <c r="AX199" s="1736">
        <f t="shared" si="148"/>
        <v>0</v>
      </c>
      <c r="AY199" s="1736">
        <f t="shared" si="148"/>
        <v>0</v>
      </c>
      <c r="AZ199" s="1736">
        <f t="shared" si="148"/>
        <v>0</v>
      </c>
      <c r="BA199" s="1736">
        <f t="shared" si="148"/>
        <v>0</v>
      </c>
      <c r="BB199" s="1736">
        <f t="shared" si="148"/>
        <v>0</v>
      </c>
      <c r="BC199" s="1736">
        <f t="shared" si="148"/>
        <v>0</v>
      </c>
      <c r="BD199" s="1736">
        <f t="shared" si="148"/>
        <v>0</v>
      </c>
      <c r="BE199" s="1736">
        <f t="shared" si="148"/>
        <v>0</v>
      </c>
      <c r="BF199" s="1736">
        <f t="shared" si="148"/>
        <v>0</v>
      </c>
      <c r="BG199" s="1736">
        <f t="shared" si="148"/>
        <v>0</v>
      </c>
      <c r="BH199" s="1736">
        <f t="shared" si="148"/>
        <v>0</v>
      </c>
      <c r="BI199" s="1736">
        <f t="shared" si="148"/>
        <v>163.54</v>
      </c>
      <c r="BJ199" s="1736">
        <f t="shared" si="148"/>
        <v>0</v>
      </c>
      <c r="BK199" s="1736">
        <f t="shared" si="148"/>
        <v>0</v>
      </c>
      <c r="BL199" s="1736">
        <f t="shared" si="148"/>
        <v>0</v>
      </c>
      <c r="BM199" s="1736">
        <f t="shared" si="148"/>
        <v>901.07999999999993</v>
      </c>
      <c r="BN199" s="1736">
        <f t="shared" si="148"/>
        <v>0</v>
      </c>
      <c r="BO199" s="1736">
        <f t="shared" si="148"/>
        <v>0</v>
      </c>
      <c r="BP199" s="1736">
        <f t="shared" si="148"/>
        <v>0</v>
      </c>
      <c r="BQ199" s="1736">
        <f t="shared" si="148"/>
        <v>567.29999999999995</v>
      </c>
      <c r="BR199" s="1736">
        <f t="shared" si="148"/>
        <v>0</v>
      </c>
      <c r="BS199" s="1736">
        <f t="shared" si="148"/>
        <v>0</v>
      </c>
      <c r="BT199" s="1736">
        <f t="shared" si="148"/>
        <v>0</v>
      </c>
      <c r="BU199" s="1736">
        <f t="shared" si="148"/>
        <v>535.6099999999999</v>
      </c>
      <c r="BV199" s="1736">
        <f t="shared" si="148"/>
        <v>0</v>
      </c>
      <c r="BW199" s="1736">
        <f t="shared" si="148"/>
        <v>0</v>
      </c>
      <c r="BX199" s="1736">
        <f t="shared" si="148"/>
        <v>0</v>
      </c>
      <c r="BY199" s="1736">
        <f t="shared" si="148"/>
        <v>0</v>
      </c>
      <c r="BZ199" s="1736">
        <f t="shared" si="148"/>
        <v>0</v>
      </c>
      <c r="CA199" s="1736">
        <f t="shared" si="148"/>
        <v>0</v>
      </c>
      <c r="CB199" s="1736">
        <f t="shared" si="148"/>
        <v>0</v>
      </c>
      <c r="CC199" s="1736">
        <f t="shared" si="148"/>
        <v>580.9</v>
      </c>
      <c r="CD199" s="1736">
        <f t="shared" si="148"/>
        <v>0</v>
      </c>
      <c r="CE199" s="1736">
        <f t="shared" si="148"/>
        <v>0</v>
      </c>
      <c r="CF199" s="1736">
        <f t="shared" si="148"/>
        <v>0</v>
      </c>
      <c r="CG199" s="1737"/>
      <c r="CH199" s="1736">
        <f t="shared" si="148"/>
        <v>0</v>
      </c>
      <c r="CI199" s="1736">
        <f t="shared" si="148"/>
        <v>0</v>
      </c>
      <c r="CJ199" s="1736">
        <f t="shared" si="148"/>
        <v>0</v>
      </c>
      <c r="CK199" s="1736">
        <f t="shared" si="148"/>
        <v>0</v>
      </c>
      <c r="CL199" s="1558"/>
      <c r="CM199" s="1558"/>
      <c r="CN199" s="1558"/>
      <c r="CO199" s="1558"/>
      <c r="CP199" s="1558"/>
      <c r="CQ199" s="1558"/>
      <c r="CR199" s="1558"/>
      <c r="CS199" s="1558"/>
      <c r="CT199" s="1558"/>
      <c r="CU199" s="1558"/>
      <c r="CV199" s="1558"/>
      <c r="CW199" s="1558"/>
      <c r="CY199" s="1558"/>
    </row>
    <row r="200" spans="1:108" s="1559" customFormat="1" ht="52" x14ac:dyDescent="0.15">
      <c r="A200" s="1571" t="s">
        <v>774</v>
      </c>
      <c r="B200" s="1572" t="s">
        <v>79</v>
      </c>
      <c r="C200" s="1572" t="s">
        <v>100</v>
      </c>
      <c r="D200" s="1572" t="s">
        <v>117</v>
      </c>
      <c r="E200" s="1573">
        <v>4299901</v>
      </c>
      <c r="F200" s="1650"/>
      <c r="G200" s="1650"/>
      <c r="H200" s="1738">
        <f>H201</f>
        <v>6747.9</v>
      </c>
      <c r="I200" s="1738">
        <f t="shared" si="148"/>
        <v>0</v>
      </c>
      <c r="J200" s="1738">
        <f t="shared" si="148"/>
        <v>0</v>
      </c>
      <c r="K200" s="1738">
        <f t="shared" si="148"/>
        <v>0</v>
      </c>
      <c r="L200" s="1739"/>
      <c r="M200" s="1739"/>
      <c r="N200" s="1739"/>
      <c r="O200" s="1739"/>
      <c r="P200" s="1739"/>
      <c r="Q200" s="1739"/>
      <c r="R200" s="1739"/>
      <c r="S200" s="1739"/>
      <c r="T200" s="1740"/>
      <c r="U200" s="1741"/>
      <c r="V200" s="1741"/>
      <c r="W200" s="1742"/>
      <c r="X200" s="1742"/>
      <c r="Y200" s="1742"/>
      <c r="Z200" s="1743"/>
      <c r="AA200" s="1742"/>
      <c r="AB200" s="1742"/>
      <c r="AC200" s="1744">
        <f t="shared" si="148"/>
        <v>6747.8999999999978</v>
      </c>
      <c r="AD200" s="1744">
        <f t="shared" si="148"/>
        <v>0</v>
      </c>
      <c r="AE200" s="1744">
        <f t="shared" si="148"/>
        <v>0</v>
      </c>
      <c r="AF200" s="1744">
        <f t="shared" si="148"/>
        <v>0</v>
      </c>
      <c r="AG200" s="1744">
        <f t="shared" si="148"/>
        <v>0</v>
      </c>
      <c r="AH200" s="1490">
        <f t="shared" si="136"/>
        <v>0</v>
      </c>
      <c r="AI200" s="1745">
        <f t="shared" si="148"/>
        <v>0</v>
      </c>
      <c r="AJ200" s="1745">
        <f t="shared" si="148"/>
        <v>0</v>
      </c>
      <c r="AK200" s="1745">
        <f t="shared" si="148"/>
        <v>0</v>
      </c>
      <c r="AL200" s="1636">
        <f t="shared" si="137"/>
        <v>0</v>
      </c>
      <c r="AM200" s="1745">
        <f t="shared" si="148"/>
        <v>0</v>
      </c>
      <c r="AN200" s="1746"/>
      <c r="AO200" s="1746">
        <f t="shared" si="148"/>
        <v>536.40000000000009</v>
      </c>
      <c r="AP200" s="1746">
        <f t="shared" si="148"/>
        <v>0</v>
      </c>
      <c r="AQ200" s="1746">
        <f t="shared" si="148"/>
        <v>0</v>
      </c>
      <c r="AR200" s="1746">
        <f t="shared" si="148"/>
        <v>0</v>
      </c>
      <c r="AS200" s="1743">
        <f t="shared" si="148"/>
        <v>532.9</v>
      </c>
      <c r="AT200" s="1746">
        <f t="shared" si="148"/>
        <v>0</v>
      </c>
      <c r="AU200" s="1746">
        <f t="shared" si="148"/>
        <v>0</v>
      </c>
      <c r="AV200" s="1746">
        <f t="shared" si="148"/>
        <v>0</v>
      </c>
      <c r="AW200" s="1743">
        <f t="shared" si="148"/>
        <v>0</v>
      </c>
      <c r="AX200" s="1746">
        <f t="shared" si="148"/>
        <v>0</v>
      </c>
      <c r="AY200" s="1746">
        <f t="shared" si="148"/>
        <v>0</v>
      </c>
      <c r="AZ200" s="1746">
        <f t="shared" si="148"/>
        <v>0</v>
      </c>
      <c r="BA200" s="1746">
        <f t="shared" si="148"/>
        <v>0</v>
      </c>
      <c r="BB200" s="1746">
        <f t="shared" si="148"/>
        <v>0</v>
      </c>
      <c r="BC200" s="1746">
        <f t="shared" si="148"/>
        <v>0</v>
      </c>
      <c r="BD200" s="1746">
        <f t="shared" si="148"/>
        <v>0</v>
      </c>
      <c r="BE200" s="1746">
        <f t="shared" si="148"/>
        <v>0</v>
      </c>
      <c r="BF200" s="1746">
        <f t="shared" si="148"/>
        <v>0</v>
      </c>
      <c r="BG200" s="1746">
        <f t="shared" si="148"/>
        <v>0</v>
      </c>
      <c r="BH200" s="1746">
        <f t="shared" si="148"/>
        <v>0</v>
      </c>
      <c r="BI200" s="1746">
        <f t="shared" si="148"/>
        <v>163.54</v>
      </c>
      <c r="BJ200" s="1746">
        <f t="shared" si="148"/>
        <v>0</v>
      </c>
      <c r="BK200" s="1746">
        <f t="shared" si="148"/>
        <v>0</v>
      </c>
      <c r="BL200" s="1746">
        <f t="shared" si="148"/>
        <v>0</v>
      </c>
      <c r="BM200" s="1746">
        <f t="shared" si="148"/>
        <v>901.07999999999993</v>
      </c>
      <c r="BN200" s="1746">
        <f t="shared" si="148"/>
        <v>0</v>
      </c>
      <c r="BO200" s="1746">
        <f t="shared" si="148"/>
        <v>0</v>
      </c>
      <c r="BP200" s="1746">
        <f t="shared" si="148"/>
        <v>0</v>
      </c>
      <c r="BQ200" s="1746">
        <f t="shared" si="148"/>
        <v>567.29999999999995</v>
      </c>
      <c r="BR200" s="1746">
        <f t="shared" si="148"/>
        <v>0</v>
      </c>
      <c r="BS200" s="1746">
        <f t="shared" si="148"/>
        <v>0</v>
      </c>
      <c r="BT200" s="1746">
        <f t="shared" si="148"/>
        <v>0</v>
      </c>
      <c r="BU200" s="1746">
        <f t="shared" si="148"/>
        <v>535.6099999999999</v>
      </c>
      <c r="BV200" s="1746">
        <f t="shared" si="148"/>
        <v>0</v>
      </c>
      <c r="BW200" s="1746">
        <f t="shared" si="148"/>
        <v>0</v>
      </c>
      <c r="BX200" s="1746">
        <f t="shared" si="148"/>
        <v>0</v>
      </c>
      <c r="BY200" s="1746">
        <f t="shared" si="148"/>
        <v>0</v>
      </c>
      <c r="BZ200" s="1746">
        <f t="shared" si="148"/>
        <v>0</v>
      </c>
      <c r="CA200" s="1746">
        <f t="shared" si="148"/>
        <v>0</v>
      </c>
      <c r="CB200" s="1746">
        <f t="shared" si="148"/>
        <v>0</v>
      </c>
      <c r="CC200" s="1746">
        <f t="shared" si="148"/>
        <v>580.9</v>
      </c>
      <c r="CD200" s="1746">
        <f t="shared" si="148"/>
        <v>0</v>
      </c>
      <c r="CE200" s="1746">
        <f t="shared" si="148"/>
        <v>0</v>
      </c>
      <c r="CF200" s="1746">
        <f t="shared" si="148"/>
        <v>0</v>
      </c>
      <c r="CG200" s="1747"/>
      <c r="CH200" s="1746">
        <f t="shared" si="148"/>
        <v>0</v>
      </c>
      <c r="CI200" s="1746">
        <f t="shared" si="148"/>
        <v>0</v>
      </c>
      <c r="CJ200" s="1746">
        <f t="shared" si="148"/>
        <v>0</v>
      </c>
      <c r="CK200" s="1746">
        <f t="shared" si="148"/>
        <v>0</v>
      </c>
      <c r="CL200" s="1558"/>
      <c r="CM200" s="1558"/>
      <c r="CN200" s="1558"/>
      <c r="CO200" s="1558"/>
      <c r="CP200" s="1558"/>
      <c r="CQ200" s="1558"/>
      <c r="CR200" s="1558"/>
      <c r="CS200" s="1558"/>
      <c r="CT200" s="1558"/>
      <c r="CU200" s="1558"/>
      <c r="CV200" s="1558"/>
      <c r="CW200" s="1558"/>
      <c r="CY200" s="1558"/>
    </row>
    <row r="201" spans="1:108" s="1559" customFormat="1" ht="26" x14ac:dyDescent="0.15">
      <c r="A201" s="1574" t="s">
        <v>1125</v>
      </c>
      <c r="B201" s="1575" t="s">
        <v>79</v>
      </c>
      <c r="C201" s="1575" t="s">
        <v>100</v>
      </c>
      <c r="D201" s="1575" t="s">
        <v>117</v>
      </c>
      <c r="E201" s="1576">
        <v>4299901</v>
      </c>
      <c r="F201" s="1575">
        <v>600</v>
      </c>
      <c r="G201" s="1605"/>
      <c r="H201" s="1578">
        <f>H202+H216</f>
        <v>6747.9</v>
      </c>
      <c r="I201" s="1578">
        <f t="shared" ref="I201:CK201" si="149">I202+I216</f>
        <v>0</v>
      </c>
      <c r="J201" s="1578">
        <f>J202+J216</f>
        <v>0</v>
      </c>
      <c r="K201" s="1578">
        <f t="shared" si="149"/>
        <v>0</v>
      </c>
      <c r="L201" s="1579"/>
      <c r="M201" s="1579"/>
      <c r="N201" s="1579"/>
      <c r="O201" s="1579"/>
      <c r="P201" s="1579"/>
      <c r="Q201" s="1579"/>
      <c r="R201" s="1579"/>
      <c r="S201" s="1579"/>
      <c r="T201" s="1580"/>
      <c r="U201" s="1581"/>
      <c r="V201" s="1581"/>
      <c r="W201" s="1582"/>
      <c r="X201" s="1582"/>
      <c r="Y201" s="1582"/>
      <c r="Z201" s="1583"/>
      <c r="AA201" s="1582"/>
      <c r="AB201" s="1582"/>
      <c r="AC201" s="1584">
        <f t="shared" si="149"/>
        <v>6747.8999999999978</v>
      </c>
      <c r="AD201" s="1584">
        <f t="shared" si="149"/>
        <v>0</v>
      </c>
      <c r="AE201" s="1584">
        <f t="shared" si="149"/>
        <v>0</v>
      </c>
      <c r="AF201" s="1584">
        <f t="shared" si="149"/>
        <v>0</v>
      </c>
      <c r="AG201" s="1584">
        <f t="shared" si="149"/>
        <v>0</v>
      </c>
      <c r="AH201" s="1490">
        <f t="shared" si="136"/>
        <v>0</v>
      </c>
      <c r="AI201" s="1585">
        <f t="shared" si="149"/>
        <v>0</v>
      </c>
      <c r="AJ201" s="1585">
        <f t="shared" si="149"/>
        <v>0</v>
      </c>
      <c r="AK201" s="1585">
        <f t="shared" si="149"/>
        <v>0</v>
      </c>
      <c r="AL201" s="1636">
        <f t="shared" si="137"/>
        <v>0</v>
      </c>
      <c r="AM201" s="1585">
        <f t="shared" si="149"/>
        <v>0</v>
      </c>
      <c r="AN201" s="1586"/>
      <c r="AO201" s="1586">
        <f t="shared" si="149"/>
        <v>536.40000000000009</v>
      </c>
      <c r="AP201" s="1586">
        <f t="shared" si="149"/>
        <v>0</v>
      </c>
      <c r="AQ201" s="1586">
        <f t="shared" si="149"/>
        <v>0</v>
      </c>
      <c r="AR201" s="1586">
        <f t="shared" si="149"/>
        <v>0</v>
      </c>
      <c r="AS201" s="1583">
        <f t="shared" si="149"/>
        <v>532.9</v>
      </c>
      <c r="AT201" s="1586">
        <f t="shared" si="149"/>
        <v>0</v>
      </c>
      <c r="AU201" s="1586">
        <f t="shared" si="149"/>
        <v>0</v>
      </c>
      <c r="AV201" s="1586">
        <f t="shared" si="149"/>
        <v>0</v>
      </c>
      <c r="AW201" s="1583">
        <f t="shared" si="149"/>
        <v>0</v>
      </c>
      <c r="AX201" s="1586">
        <f t="shared" si="149"/>
        <v>0</v>
      </c>
      <c r="AY201" s="1586">
        <f t="shared" si="149"/>
        <v>0</v>
      </c>
      <c r="AZ201" s="1586">
        <f t="shared" si="149"/>
        <v>0</v>
      </c>
      <c r="BA201" s="1586">
        <f t="shared" si="149"/>
        <v>0</v>
      </c>
      <c r="BB201" s="1586">
        <f t="shared" si="149"/>
        <v>0</v>
      </c>
      <c r="BC201" s="1586">
        <f t="shared" si="149"/>
        <v>0</v>
      </c>
      <c r="BD201" s="1586">
        <f t="shared" si="149"/>
        <v>0</v>
      </c>
      <c r="BE201" s="1511">
        <f t="shared" si="149"/>
        <v>0</v>
      </c>
      <c r="BF201" s="1586">
        <f t="shared" si="149"/>
        <v>0</v>
      </c>
      <c r="BG201" s="1586">
        <f t="shared" si="149"/>
        <v>0</v>
      </c>
      <c r="BH201" s="1586">
        <f t="shared" si="149"/>
        <v>0</v>
      </c>
      <c r="BI201" s="1586">
        <f t="shared" si="149"/>
        <v>163.54</v>
      </c>
      <c r="BJ201" s="1586">
        <f t="shared" si="149"/>
        <v>0</v>
      </c>
      <c r="BK201" s="1586">
        <f t="shared" si="149"/>
        <v>0</v>
      </c>
      <c r="BL201" s="1586">
        <f t="shared" si="149"/>
        <v>0</v>
      </c>
      <c r="BM201" s="1586">
        <f t="shared" si="149"/>
        <v>901.07999999999993</v>
      </c>
      <c r="BN201" s="1586">
        <f t="shared" si="149"/>
        <v>0</v>
      </c>
      <c r="BO201" s="1586">
        <f t="shared" si="149"/>
        <v>0</v>
      </c>
      <c r="BP201" s="1586">
        <f t="shared" si="149"/>
        <v>0</v>
      </c>
      <c r="BQ201" s="1586">
        <f t="shared" si="149"/>
        <v>567.29999999999995</v>
      </c>
      <c r="BR201" s="1586">
        <f t="shared" si="149"/>
        <v>0</v>
      </c>
      <c r="BS201" s="1586">
        <f t="shared" si="149"/>
        <v>0</v>
      </c>
      <c r="BT201" s="1586">
        <f t="shared" si="149"/>
        <v>0</v>
      </c>
      <c r="BU201" s="1586">
        <f>BU202+BU216</f>
        <v>535.6099999999999</v>
      </c>
      <c r="BV201" s="1586">
        <f t="shared" si="149"/>
        <v>0</v>
      </c>
      <c r="BW201" s="1586">
        <f t="shared" si="149"/>
        <v>0</v>
      </c>
      <c r="BX201" s="1586">
        <f t="shared" si="149"/>
        <v>0</v>
      </c>
      <c r="BY201" s="1586">
        <f t="shared" si="149"/>
        <v>0</v>
      </c>
      <c r="BZ201" s="1586">
        <f t="shared" si="149"/>
        <v>0</v>
      </c>
      <c r="CA201" s="1586">
        <f t="shared" si="149"/>
        <v>0</v>
      </c>
      <c r="CB201" s="1586">
        <f t="shared" si="149"/>
        <v>0</v>
      </c>
      <c r="CC201" s="1586">
        <f t="shared" si="149"/>
        <v>580.9</v>
      </c>
      <c r="CD201" s="1586">
        <f t="shared" si="149"/>
        <v>0</v>
      </c>
      <c r="CE201" s="1586">
        <f t="shared" si="149"/>
        <v>0</v>
      </c>
      <c r="CF201" s="1586">
        <f t="shared" si="149"/>
        <v>0</v>
      </c>
      <c r="CG201" s="1587"/>
      <c r="CH201" s="1586">
        <f t="shared" si="149"/>
        <v>0</v>
      </c>
      <c r="CI201" s="1586">
        <f t="shared" si="149"/>
        <v>0</v>
      </c>
      <c r="CJ201" s="1586">
        <f t="shared" si="149"/>
        <v>0</v>
      </c>
      <c r="CK201" s="1586">
        <f t="shared" si="149"/>
        <v>0</v>
      </c>
      <c r="CL201" s="1558"/>
      <c r="CM201" s="1558"/>
      <c r="CN201" s="1558"/>
      <c r="CO201" s="1558"/>
      <c r="CP201" s="1558"/>
      <c r="CQ201" s="1558"/>
      <c r="CR201" s="1558"/>
      <c r="CS201" s="1558"/>
      <c r="CT201" s="1558"/>
      <c r="CU201" s="1558"/>
      <c r="CV201" s="1558"/>
      <c r="CW201" s="1558"/>
      <c r="CY201" s="1558"/>
    </row>
    <row r="202" spans="1:108" s="1559" customFormat="1" ht="52" x14ac:dyDescent="0.15">
      <c r="A202" s="1748" t="s">
        <v>1135</v>
      </c>
      <c r="B202" s="1529" t="s">
        <v>79</v>
      </c>
      <c r="C202" s="1529" t="s">
        <v>100</v>
      </c>
      <c r="D202" s="1529" t="s">
        <v>117</v>
      </c>
      <c r="E202" s="1656">
        <v>4299901</v>
      </c>
      <c r="F202" s="1749" t="s">
        <v>765</v>
      </c>
      <c r="G202" s="1750">
        <v>241</v>
      </c>
      <c r="H202" s="1531">
        <f>H203+H204+H205+H206+H207+H208+H209+H210+H211+H212+H213+H214+H215</f>
        <v>6747.9</v>
      </c>
      <c r="I202" s="1531">
        <f>I203+I204+I205+I206+I207+I208+I209+I210+I211+I212+I213+I214+I215</f>
        <v>0</v>
      </c>
      <c r="J202" s="1531">
        <f>J203+J204+J205+J206+J207+J208+J209+J210+J211+J212+J213+J214+J215</f>
        <v>0</v>
      </c>
      <c r="K202" s="1531">
        <f>K203+K204+K205+K206+K207+K208+K209+K210+K211+K212+K213+K214+K215</f>
        <v>0</v>
      </c>
      <c r="L202" s="1601"/>
      <c r="M202" s="1601"/>
      <c r="N202" s="1601"/>
      <c r="O202" s="1601"/>
      <c r="P202" s="1601"/>
      <c r="Q202" s="1601"/>
      <c r="R202" s="1601"/>
      <c r="S202" s="1601"/>
      <c r="T202" s="1538">
        <f>T203+T204+T205+T206+T207+T208+T209+T210+T211+T212+T213+T214+T215</f>
        <v>145.6</v>
      </c>
      <c r="U202" s="1533"/>
      <c r="V202" s="1533"/>
      <c r="W202" s="1534"/>
      <c r="X202" s="1534"/>
      <c r="Y202" s="1534"/>
      <c r="Z202" s="1535"/>
      <c r="AA202" s="1534"/>
      <c r="AB202" s="1534"/>
      <c r="AC202" s="1538">
        <f>AC203+AC204+AC205+AC206+AC207+AC208+AC209+AC210+AC211+AC212+AC213+AC214+AC215</f>
        <v>6747.8999999999978</v>
      </c>
      <c r="AD202" s="1538">
        <f>AD203+AD204+AD205+AD206+AD207+AD208+AD209+AD210+AD211+AD212+AD213+AD214+AD215</f>
        <v>0</v>
      </c>
      <c r="AE202" s="1538">
        <f>AE203+AE204+AE205+AE206+AE207+AE208+AE209+AE210+AE211+AE212+AE213+AE214+AE215</f>
        <v>0</v>
      </c>
      <c r="AF202" s="1538">
        <f>AF203+AF204+AF205+AF206+AF207+AF208+AF209+AF210+AF211+AF212+AF213+AF214+AF215</f>
        <v>0</v>
      </c>
      <c r="AG202" s="1538">
        <f>AG203+AG204+AG205+AG206+AG207+AG208+AG209+AG210+AG211+AG212+AG213+AG214+AG215</f>
        <v>0</v>
      </c>
      <c r="AH202" s="1490">
        <f t="shared" si="136"/>
        <v>0</v>
      </c>
      <c r="AI202" s="1538">
        <f>AI203+AI204+AI205+AI206+AI207+AI208+AI209+AI210+AI211+AI212+AI213+AI214+AI215</f>
        <v>0</v>
      </c>
      <c r="AJ202" s="1538">
        <f>AJ203+AJ204+AJ205+AJ206+AJ207+AJ208+AJ209+AJ210+AJ211+AJ212+AJ213+AJ214+AJ215</f>
        <v>0</v>
      </c>
      <c r="AK202" s="1538">
        <f>AK203+AK204+AK205+AK206+AK207+AK208+AK209+AK210+AK211+AK212+AK213+AK214+AK215</f>
        <v>0</v>
      </c>
      <c r="AL202" s="1636">
        <f t="shared" si="137"/>
        <v>0</v>
      </c>
      <c r="AM202" s="1538">
        <f>AM203+AM204+AM205+AM206+AM207+AM208+AM209+AM210+AM211+AM212+AM213+AM214+AM215</f>
        <v>0</v>
      </c>
      <c r="AN202" s="1538"/>
      <c r="AO202" s="1538">
        <f>AO203+AO204+AO205+AO206+AO207+AO208+AO209+AO210+AO211+AO212+AO213+AO214+AO215</f>
        <v>536.40000000000009</v>
      </c>
      <c r="AP202" s="1538">
        <f t="shared" ref="AP202:CK202" si="150">AP203+AP204+AP205+AP206+AP207+AP208+AP209+AP210+AP211+AP212+AP213+AP214+AP215</f>
        <v>0</v>
      </c>
      <c r="AQ202" s="1538">
        <f t="shared" si="150"/>
        <v>0</v>
      </c>
      <c r="AR202" s="1538">
        <f t="shared" si="150"/>
        <v>0</v>
      </c>
      <c r="AS202" s="1535">
        <f t="shared" si="150"/>
        <v>532.9</v>
      </c>
      <c r="AT202" s="1538">
        <f t="shared" si="150"/>
        <v>0</v>
      </c>
      <c r="AU202" s="1538">
        <f t="shared" si="150"/>
        <v>0</v>
      </c>
      <c r="AV202" s="1538">
        <f t="shared" si="150"/>
        <v>0</v>
      </c>
      <c r="AW202" s="1535"/>
      <c r="AX202" s="1538">
        <f t="shared" si="150"/>
        <v>0</v>
      </c>
      <c r="AY202" s="1538">
        <f t="shared" si="150"/>
        <v>0</v>
      </c>
      <c r="AZ202" s="1538">
        <f t="shared" si="150"/>
        <v>0</v>
      </c>
      <c r="BA202" s="1538"/>
      <c r="BB202" s="1538">
        <f t="shared" si="150"/>
        <v>0</v>
      </c>
      <c r="BC202" s="1538">
        <f t="shared" si="150"/>
        <v>0</v>
      </c>
      <c r="BD202" s="1538">
        <f t="shared" si="150"/>
        <v>0</v>
      </c>
      <c r="BE202" s="1539"/>
      <c r="BF202" s="1538">
        <f t="shared" si="150"/>
        <v>0</v>
      </c>
      <c r="BG202" s="1538">
        <f t="shared" si="150"/>
        <v>0</v>
      </c>
      <c r="BH202" s="1538">
        <f t="shared" si="150"/>
        <v>0</v>
      </c>
      <c r="BI202" s="1538">
        <f t="shared" si="150"/>
        <v>163.54</v>
      </c>
      <c r="BJ202" s="1538">
        <f t="shared" si="150"/>
        <v>0</v>
      </c>
      <c r="BK202" s="1538">
        <f t="shared" si="150"/>
        <v>0</v>
      </c>
      <c r="BL202" s="1538">
        <f t="shared" si="150"/>
        <v>0</v>
      </c>
      <c r="BM202" s="1538">
        <f t="shared" si="150"/>
        <v>901.07999999999993</v>
      </c>
      <c r="BN202" s="1538">
        <f t="shared" si="150"/>
        <v>0</v>
      </c>
      <c r="BO202" s="1538">
        <f t="shared" si="150"/>
        <v>0</v>
      </c>
      <c r="BP202" s="1538">
        <f t="shared" si="150"/>
        <v>0</v>
      </c>
      <c r="BQ202" s="1538">
        <f t="shared" si="150"/>
        <v>567.29999999999995</v>
      </c>
      <c r="BR202" s="1538">
        <f t="shared" si="150"/>
        <v>0</v>
      </c>
      <c r="BS202" s="1538">
        <f t="shared" si="150"/>
        <v>0</v>
      </c>
      <c r="BT202" s="1538">
        <f t="shared" si="150"/>
        <v>0</v>
      </c>
      <c r="BU202" s="1538">
        <f>BU203+BU204+BU205+BU206+BU207+BU208+BU209+BU210+BU211+BU212+BU213+BU214+BU215</f>
        <v>535.6099999999999</v>
      </c>
      <c r="BV202" s="1538">
        <f t="shared" si="150"/>
        <v>0</v>
      </c>
      <c r="BW202" s="1538">
        <f t="shared" si="150"/>
        <v>0</v>
      </c>
      <c r="BX202" s="1538">
        <f t="shared" si="150"/>
        <v>0</v>
      </c>
      <c r="BY202" s="1538"/>
      <c r="BZ202" s="1538">
        <f t="shared" si="150"/>
        <v>0</v>
      </c>
      <c r="CA202" s="1538">
        <f t="shared" si="150"/>
        <v>0</v>
      </c>
      <c r="CB202" s="1538">
        <f t="shared" si="150"/>
        <v>0</v>
      </c>
      <c r="CC202" s="1538">
        <f t="shared" si="150"/>
        <v>580.9</v>
      </c>
      <c r="CD202" s="1538">
        <f t="shared" si="150"/>
        <v>0</v>
      </c>
      <c r="CE202" s="1538">
        <f t="shared" si="150"/>
        <v>0</v>
      </c>
      <c r="CF202" s="1538">
        <f t="shared" si="150"/>
        <v>0</v>
      </c>
      <c r="CG202" s="1604"/>
      <c r="CH202" s="1706"/>
      <c r="CI202" s="1538">
        <f t="shared" si="150"/>
        <v>0</v>
      </c>
      <c r="CJ202" s="1538">
        <f t="shared" si="150"/>
        <v>0</v>
      </c>
      <c r="CK202" s="1538">
        <f t="shared" si="150"/>
        <v>0</v>
      </c>
      <c r="CL202" s="1558"/>
      <c r="CM202" s="1558"/>
      <c r="CN202" s="1558"/>
      <c r="CO202" s="1558"/>
      <c r="CP202" s="1558"/>
      <c r="CQ202" s="1558"/>
      <c r="CR202" s="1558"/>
      <c r="CS202" s="1558"/>
      <c r="CT202" s="1558"/>
      <c r="CU202" s="1558"/>
      <c r="CV202" s="1558"/>
      <c r="CW202" s="1558"/>
      <c r="CY202" s="1558"/>
    </row>
    <row r="203" spans="1:108" s="1559" customFormat="1" ht="14" x14ac:dyDescent="0.15">
      <c r="A203" s="1751" t="s">
        <v>78</v>
      </c>
      <c r="B203" s="1752" t="s">
        <v>79</v>
      </c>
      <c r="C203" s="1752" t="s">
        <v>100</v>
      </c>
      <c r="D203" s="1752" t="s">
        <v>117</v>
      </c>
      <c r="E203" s="1752" t="s">
        <v>118</v>
      </c>
      <c r="F203" s="1752"/>
      <c r="G203" s="1667">
        <v>211</v>
      </c>
      <c r="H203" s="1502">
        <f>4906.1+T203</f>
        <v>5017.9000000000005</v>
      </c>
      <c r="I203" s="1645"/>
      <c r="J203" s="1630"/>
      <c r="K203" s="1630"/>
      <c r="L203" s="1631"/>
      <c r="M203" s="1631"/>
      <c r="N203" s="1631"/>
      <c r="O203" s="1631"/>
      <c r="P203" s="1631"/>
      <c r="Q203" s="1631"/>
      <c r="R203" s="1631"/>
      <c r="S203" s="1631"/>
      <c r="T203" s="1632">
        <v>111.8</v>
      </c>
      <c r="U203" s="1633"/>
      <c r="V203" s="1633"/>
      <c r="W203" s="1506">
        <f>H203/12*11</f>
        <v>4599.7416666666668</v>
      </c>
      <c r="X203" s="1506">
        <f>AC203</f>
        <v>5017.8999999999987</v>
      </c>
      <c r="Y203" s="1506">
        <f>X203-W203</f>
        <v>418.15833333333194</v>
      </c>
      <c r="Z203" s="1507">
        <f>T203/12*11</f>
        <v>102.48333333333333</v>
      </c>
      <c r="AA203" s="1506">
        <f>Z203+Y203</f>
        <v>520.64166666666529</v>
      </c>
      <c r="AB203" s="1511">
        <f>Z203-AA203</f>
        <v>-418.15833333333194</v>
      </c>
      <c r="AC203" s="1508">
        <f t="shared" ref="AC203:AC219" si="151">AO203+AS203+AW203+BA203+BE203+BI203+BM203+BQ203+BU203+BY203+CC203+CH203</f>
        <v>5017.8999999999987</v>
      </c>
      <c r="AD203" s="1509">
        <f t="shared" ref="AD203:AD216" si="152">AE203+AF203+AG203</f>
        <v>0</v>
      </c>
      <c r="AE203" s="1509">
        <f t="shared" ref="AE203:AG215" si="153">AP203+AT203+AX203+BB203+BF203+BJ203+BN203+BR203+BV203+BZ203+CD203+CI203</f>
        <v>0</v>
      </c>
      <c r="AF203" s="1509">
        <f t="shared" si="153"/>
        <v>0</v>
      </c>
      <c r="AG203" s="1509">
        <f t="shared" si="153"/>
        <v>0</v>
      </c>
      <c r="AH203" s="1490">
        <f t="shared" si="136"/>
        <v>0</v>
      </c>
      <c r="AI203" s="1636">
        <f t="shared" ref="AI203:AI217" si="154">H203-AC203</f>
        <v>0</v>
      </c>
      <c r="AJ203" s="1636">
        <f t="shared" ref="AJ203:AJ215" si="155">AK203+AL203+AM203</f>
        <v>0</v>
      </c>
      <c r="AK203" s="1636">
        <f t="shared" ref="AK203:AK215" si="156">I203-AE203</f>
        <v>0</v>
      </c>
      <c r="AL203" s="1636">
        <f t="shared" si="137"/>
        <v>0</v>
      </c>
      <c r="AM203" s="1636">
        <f t="shared" si="137"/>
        <v>0</v>
      </c>
      <c r="AN203" s="1637">
        <f>H203/12*10-AC203</f>
        <v>-836.31666666666479</v>
      </c>
      <c r="AO203" s="1722">
        <v>408.8</v>
      </c>
      <c r="AP203" s="1753"/>
      <c r="AQ203" s="1753"/>
      <c r="AR203" s="1753"/>
      <c r="AS203" s="1639">
        <f>408.8+0.46</f>
        <v>409.26</v>
      </c>
      <c r="AT203" s="1753"/>
      <c r="AU203" s="1753"/>
      <c r="AV203" s="1753"/>
      <c r="AW203" s="1639">
        <v>408.8</v>
      </c>
      <c r="AX203" s="1641"/>
      <c r="AY203" s="1641"/>
      <c r="AZ203" s="1641"/>
      <c r="BA203" s="1641">
        <v>408.84</v>
      </c>
      <c r="BB203" s="1641"/>
      <c r="BC203" s="1641"/>
      <c r="BD203" s="1641"/>
      <c r="BE203" s="1641">
        <v>408.84</v>
      </c>
      <c r="BF203" s="1641"/>
      <c r="BG203" s="1641"/>
      <c r="BH203" s="1641"/>
      <c r="BI203" s="1641">
        <f>163.54</f>
        <v>163.54</v>
      </c>
      <c r="BJ203" s="1641"/>
      <c r="BK203" s="1641"/>
      <c r="BL203" s="1641"/>
      <c r="BM203" s="1641">
        <f>245.3+408.84</f>
        <v>654.14</v>
      </c>
      <c r="BN203" s="1641"/>
      <c r="BO203" s="1641"/>
      <c r="BP203" s="1641"/>
      <c r="BQ203" s="1641">
        <v>408.83</v>
      </c>
      <c r="BR203" s="1641"/>
      <c r="BS203" s="1641"/>
      <c r="BT203" s="1641"/>
      <c r="BU203" s="1641">
        <v>408.81</v>
      </c>
      <c r="BV203" s="1641"/>
      <c r="BW203" s="1641"/>
      <c r="BX203" s="1641"/>
      <c r="BY203" s="1641">
        <f>367.1+77.75+37.3</f>
        <v>482.15000000000003</v>
      </c>
      <c r="BZ203" s="1641"/>
      <c r="CA203" s="1641"/>
      <c r="CB203" s="1641"/>
      <c r="CC203" s="1641">
        <v>446.2</v>
      </c>
      <c r="CD203" s="1641"/>
      <c r="CE203" s="1641"/>
      <c r="CF203" s="1641"/>
      <c r="CG203" s="1691"/>
      <c r="CH203" s="1643">
        <v>409.69</v>
      </c>
      <c r="CI203" s="1641"/>
      <c r="CJ203" s="1641"/>
      <c r="CK203" s="1641"/>
      <c r="CL203" s="1558"/>
      <c r="CM203" s="1558"/>
      <c r="CN203" s="1558"/>
      <c r="CO203" s="1558"/>
      <c r="CP203" s="1558"/>
      <c r="CQ203" s="1558"/>
      <c r="CR203" s="1558"/>
      <c r="CS203" s="1558"/>
      <c r="CT203" s="1558"/>
      <c r="CU203" s="1558"/>
      <c r="CV203" s="1558"/>
      <c r="CW203" s="1558"/>
      <c r="CX203" s="1558">
        <f>H203/12*10-AC203</f>
        <v>-836.31666666666479</v>
      </c>
      <c r="CY203" s="1558">
        <f>AI203/3</f>
        <v>0</v>
      </c>
      <c r="CZ203" s="1558">
        <f>H203/12</f>
        <v>418.15833333333336</v>
      </c>
      <c r="DA203" s="1559">
        <f>(H203-T203)/12*10-AC203</f>
        <v>-929.48333333333176</v>
      </c>
      <c r="DD203">
        <f>(H203-T203)/12</f>
        <v>408.8416666666667</v>
      </c>
    </row>
    <row r="204" spans="1:108" s="1559" customFormat="1" ht="14" x14ac:dyDescent="0.15">
      <c r="A204" s="1541" t="s">
        <v>83</v>
      </c>
      <c r="B204" s="1523" t="s">
        <v>79</v>
      </c>
      <c r="C204" s="1523" t="s">
        <v>100</v>
      </c>
      <c r="D204" s="1523" t="s">
        <v>117</v>
      </c>
      <c r="E204" s="1523" t="s">
        <v>118</v>
      </c>
      <c r="F204" s="1523"/>
      <c r="G204" s="1667">
        <v>212</v>
      </c>
      <c r="H204" s="1502">
        <f>4.8</f>
        <v>4.8</v>
      </c>
      <c r="I204" s="1645"/>
      <c r="J204" s="1630"/>
      <c r="K204" s="1630"/>
      <c r="L204" s="1631"/>
      <c r="M204" s="1631"/>
      <c r="N204" s="1631"/>
      <c r="O204" s="1631"/>
      <c r="P204" s="1631"/>
      <c r="Q204" s="1631"/>
      <c r="R204" s="1631"/>
      <c r="S204" s="1631"/>
      <c r="T204" s="1632"/>
      <c r="U204" s="1633"/>
      <c r="V204" s="1633"/>
      <c r="W204" s="1506"/>
      <c r="X204" s="1506"/>
      <c r="Y204" s="1506"/>
      <c r="Z204" s="1507"/>
      <c r="AA204" s="1506"/>
      <c r="AB204" s="1511">
        <f>Z204-AA204</f>
        <v>0</v>
      </c>
      <c r="AC204" s="1508">
        <f t="shared" si="151"/>
        <v>4.8</v>
      </c>
      <c r="AD204" s="1509">
        <f t="shared" si="152"/>
        <v>0</v>
      </c>
      <c r="AE204" s="1509">
        <f t="shared" si="153"/>
        <v>0</v>
      </c>
      <c r="AF204" s="1509">
        <f t="shared" si="153"/>
        <v>0</v>
      </c>
      <c r="AG204" s="1509">
        <f t="shared" si="153"/>
        <v>0</v>
      </c>
      <c r="AH204" s="1490">
        <f t="shared" si="136"/>
        <v>0</v>
      </c>
      <c r="AI204" s="1636">
        <f t="shared" si="154"/>
        <v>0</v>
      </c>
      <c r="AJ204" s="1636">
        <f t="shared" si="155"/>
        <v>0</v>
      </c>
      <c r="AK204" s="1636">
        <f t="shared" si="156"/>
        <v>0</v>
      </c>
      <c r="AL204" s="1636">
        <f t="shared" si="137"/>
        <v>0</v>
      </c>
      <c r="AM204" s="1636">
        <f t="shared" si="137"/>
        <v>0</v>
      </c>
      <c r="AN204" s="1637"/>
      <c r="AO204" s="1722">
        <f>0.4+0.4</f>
        <v>0.8</v>
      </c>
      <c r="AP204" s="1753"/>
      <c r="AQ204" s="1753"/>
      <c r="AR204" s="1753"/>
      <c r="AS204" s="1639"/>
      <c r="AT204" s="1753"/>
      <c r="AU204" s="1753"/>
      <c r="AV204" s="1753"/>
      <c r="AW204" s="1639"/>
      <c r="AX204" s="1641"/>
      <c r="AY204" s="1641"/>
      <c r="AZ204" s="1641"/>
      <c r="BA204" s="1641"/>
      <c r="BB204" s="1641"/>
      <c r="BC204" s="1641"/>
      <c r="BD204" s="1641"/>
      <c r="BE204" s="1641"/>
      <c r="BF204" s="1641"/>
      <c r="BG204" s="1641"/>
      <c r="BH204" s="1641"/>
      <c r="BI204" s="1641"/>
      <c r="BJ204" s="1641"/>
      <c r="BK204" s="1641"/>
      <c r="BL204" s="1641"/>
      <c r="BM204" s="1641"/>
      <c r="BN204" s="1641"/>
      <c r="BO204" s="1641"/>
      <c r="BP204" s="1641"/>
      <c r="BQ204" s="1641"/>
      <c r="BR204" s="1641"/>
      <c r="BS204" s="1641"/>
      <c r="BT204" s="1641"/>
      <c r="BU204" s="1641"/>
      <c r="BV204" s="1641"/>
      <c r="BW204" s="1641"/>
      <c r="BX204" s="1641"/>
      <c r="BY204" s="1641"/>
      <c r="BZ204" s="1641"/>
      <c r="CA204" s="1641"/>
      <c r="CB204" s="1641"/>
      <c r="CC204" s="1641"/>
      <c r="CD204" s="1641"/>
      <c r="CE204" s="1641"/>
      <c r="CF204" s="1641"/>
      <c r="CG204" s="1691"/>
      <c r="CH204" s="1643">
        <v>4</v>
      </c>
      <c r="CI204" s="1641"/>
      <c r="CJ204" s="1641"/>
      <c r="CK204" s="1641"/>
      <c r="CL204" s="1558"/>
      <c r="CM204" s="1558"/>
      <c r="CN204" s="1558"/>
      <c r="CO204" s="1558"/>
      <c r="CP204" s="1558"/>
      <c r="CQ204" s="1558"/>
      <c r="CR204" s="1558"/>
      <c r="CS204" s="1558"/>
      <c r="CT204" s="1558"/>
      <c r="CU204" s="1558"/>
      <c r="CV204" s="1558"/>
      <c r="CW204" s="1558"/>
      <c r="CX204" s="1558"/>
      <c r="CY204" s="1558"/>
      <c r="CZ204" s="1558"/>
      <c r="DD204"/>
    </row>
    <row r="205" spans="1:108" s="1559" customFormat="1" ht="14" x14ac:dyDescent="0.15">
      <c r="A205" s="1541" t="s">
        <v>84</v>
      </c>
      <c r="B205" s="1523" t="s">
        <v>79</v>
      </c>
      <c r="C205" s="1523" t="s">
        <v>100</v>
      </c>
      <c r="D205" s="1523" t="s">
        <v>117</v>
      </c>
      <c r="E205" s="1523" t="s">
        <v>118</v>
      </c>
      <c r="F205" s="1523"/>
      <c r="G205" s="1667">
        <v>213</v>
      </c>
      <c r="H205" s="1502">
        <f>1481.6+T205</f>
        <v>1515.3999999999999</v>
      </c>
      <c r="I205" s="1645"/>
      <c r="J205" s="1630"/>
      <c r="K205" s="1630"/>
      <c r="L205" s="1631"/>
      <c r="M205" s="1631"/>
      <c r="N205" s="1631"/>
      <c r="O205" s="1631"/>
      <c r="P205" s="1631"/>
      <c r="Q205" s="1631"/>
      <c r="R205" s="1631"/>
      <c r="S205" s="1631"/>
      <c r="T205" s="1632">
        <v>33.799999999999997</v>
      </c>
      <c r="U205" s="1633"/>
      <c r="V205" s="1633"/>
      <c r="W205" s="1506">
        <f>H205/12*11</f>
        <v>1389.1166666666666</v>
      </c>
      <c r="X205" s="1506">
        <f>AC205</f>
        <v>1515.4</v>
      </c>
      <c r="Y205" s="1506">
        <f>X205-W205</f>
        <v>126.28333333333353</v>
      </c>
      <c r="Z205" s="1507">
        <f>T205/12*11</f>
        <v>30.983333333333331</v>
      </c>
      <c r="AA205" s="1506">
        <f>Z205+Y205</f>
        <v>157.26666666666685</v>
      </c>
      <c r="AB205" s="1511">
        <f>Z205-AA205</f>
        <v>-126.28333333333352</v>
      </c>
      <c r="AC205" s="1508">
        <f t="shared" si="151"/>
        <v>1515.4</v>
      </c>
      <c r="AD205" s="1509">
        <f t="shared" si="152"/>
        <v>0</v>
      </c>
      <c r="AE205" s="1509">
        <f t="shared" si="153"/>
        <v>0</v>
      </c>
      <c r="AF205" s="1509">
        <f t="shared" si="153"/>
        <v>0</v>
      </c>
      <c r="AG205" s="1509">
        <f t="shared" si="153"/>
        <v>0</v>
      </c>
      <c r="AH205" s="1490">
        <f t="shared" si="136"/>
        <v>0</v>
      </c>
      <c r="AI205" s="1636">
        <f t="shared" si="154"/>
        <v>0</v>
      </c>
      <c r="AJ205" s="1636">
        <f t="shared" si="155"/>
        <v>0</v>
      </c>
      <c r="AK205" s="1636">
        <f t="shared" si="156"/>
        <v>0</v>
      </c>
      <c r="AL205" s="1636">
        <f t="shared" si="137"/>
        <v>0</v>
      </c>
      <c r="AM205" s="1636">
        <f t="shared" si="137"/>
        <v>0</v>
      </c>
      <c r="AN205" s="1637">
        <f>H205/12*10-AC205</f>
        <v>-252.56666666666683</v>
      </c>
      <c r="AO205" s="1722">
        <v>123.5</v>
      </c>
      <c r="AP205" s="1753"/>
      <c r="AQ205" s="1753"/>
      <c r="AR205" s="1753"/>
      <c r="AS205" s="1639">
        <f>123.5+0.14</f>
        <v>123.64</v>
      </c>
      <c r="AT205" s="1753"/>
      <c r="AU205" s="1753"/>
      <c r="AV205" s="1753"/>
      <c r="AW205" s="1639">
        <v>123.5</v>
      </c>
      <c r="AX205" s="1641"/>
      <c r="AY205" s="1641"/>
      <c r="AZ205" s="1641"/>
      <c r="BA205" s="1641">
        <v>123.47</v>
      </c>
      <c r="BB205" s="1641"/>
      <c r="BC205" s="1641"/>
      <c r="BD205" s="1641"/>
      <c r="BE205" s="1641">
        <v>123.47</v>
      </c>
      <c r="BF205" s="1641"/>
      <c r="BG205" s="1641"/>
      <c r="BH205" s="1641"/>
      <c r="BI205" s="1641"/>
      <c r="BJ205" s="1641"/>
      <c r="BK205" s="1641"/>
      <c r="BL205" s="1641"/>
      <c r="BM205" s="1641">
        <f>123.47+123.47</f>
        <v>246.94</v>
      </c>
      <c r="BN205" s="1641"/>
      <c r="BO205" s="1641"/>
      <c r="BP205" s="1641"/>
      <c r="BQ205" s="1641">
        <v>123.47</v>
      </c>
      <c r="BR205" s="1641"/>
      <c r="BS205" s="1641"/>
      <c r="BT205" s="1641"/>
      <c r="BU205" s="1641">
        <v>123.5</v>
      </c>
      <c r="BV205" s="1641"/>
      <c r="BW205" s="1641"/>
      <c r="BX205" s="1641"/>
      <c r="BY205" s="1641">
        <f>87.46+11.2</f>
        <v>98.66</v>
      </c>
      <c r="BZ205" s="1641"/>
      <c r="CA205" s="1641"/>
      <c r="CB205" s="1641"/>
      <c r="CC205" s="1641">
        <v>134.69999999999999</v>
      </c>
      <c r="CD205" s="1641"/>
      <c r="CE205" s="1641"/>
      <c r="CF205" s="1641"/>
      <c r="CG205" s="1691"/>
      <c r="CH205" s="1643">
        <v>170.55</v>
      </c>
      <c r="CI205" s="1641"/>
      <c r="CJ205" s="1641"/>
      <c r="CK205" s="1641"/>
      <c r="CL205" s="1558"/>
      <c r="CM205" s="1558"/>
      <c r="CN205" s="1558"/>
      <c r="CO205" s="1558"/>
      <c r="CP205" s="1558"/>
      <c r="CQ205" s="1558"/>
      <c r="CR205" s="1558"/>
      <c r="CS205" s="1558"/>
      <c r="CT205" s="1558"/>
      <c r="CU205" s="1558"/>
      <c r="CV205" s="1558"/>
      <c r="CW205" s="1558"/>
      <c r="CX205" s="1558">
        <f>H205/12*10-AC205</f>
        <v>-252.56666666666683</v>
      </c>
      <c r="CY205" s="1558">
        <f>AI205/3</f>
        <v>0</v>
      </c>
      <c r="CZ205" s="1558">
        <f>H205/12</f>
        <v>126.28333333333332</v>
      </c>
      <c r="DA205" s="1559">
        <f>(H205-T205)/12*10-AC205</f>
        <v>-280.73333333333358</v>
      </c>
      <c r="DD205">
        <f>(H205-T205)/12</f>
        <v>123.46666666666665</v>
      </c>
    </row>
    <row r="206" spans="1:108" s="1559" customFormat="1" ht="14" x14ac:dyDescent="0.15">
      <c r="A206" s="1541" t="s">
        <v>85</v>
      </c>
      <c r="B206" s="1523" t="s">
        <v>79</v>
      </c>
      <c r="C206" s="1523" t="s">
        <v>100</v>
      </c>
      <c r="D206" s="1523" t="s">
        <v>117</v>
      </c>
      <c r="E206" s="1523" t="s">
        <v>118</v>
      </c>
      <c r="F206" s="1523"/>
      <c r="G206" s="1667">
        <v>221</v>
      </c>
      <c r="H206" s="1502">
        <v>31.7</v>
      </c>
      <c r="I206" s="1645"/>
      <c r="J206" s="1630"/>
      <c r="K206" s="1630"/>
      <c r="L206" s="1631"/>
      <c r="M206" s="1631"/>
      <c r="N206" s="1631"/>
      <c r="O206" s="1631"/>
      <c r="P206" s="1631"/>
      <c r="Q206" s="1631"/>
      <c r="R206" s="1631"/>
      <c r="S206" s="1631"/>
      <c r="T206" s="1632"/>
      <c r="U206" s="1633"/>
      <c r="V206" s="1633"/>
      <c r="W206" s="1634"/>
      <c r="X206" s="1634"/>
      <c r="Y206" s="1634"/>
      <c r="Z206" s="1635"/>
      <c r="AA206" s="1634"/>
      <c r="AB206" s="1634"/>
      <c r="AC206" s="1508">
        <f t="shared" si="151"/>
        <v>31.700000000000003</v>
      </c>
      <c r="AD206" s="1509">
        <f t="shared" si="152"/>
        <v>0</v>
      </c>
      <c r="AE206" s="1509">
        <f t="shared" si="153"/>
        <v>0</v>
      </c>
      <c r="AF206" s="1509">
        <f t="shared" si="153"/>
        <v>0</v>
      </c>
      <c r="AG206" s="1509">
        <f t="shared" si="153"/>
        <v>0</v>
      </c>
      <c r="AH206" s="1490">
        <f t="shared" si="136"/>
        <v>0</v>
      </c>
      <c r="AI206" s="1636">
        <f t="shared" si="154"/>
        <v>0</v>
      </c>
      <c r="AJ206" s="1636">
        <f t="shared" si="155"/>
        <v>0</v>
      </c>
      <c r="AK206" s="1636">
        <f t="shared" si="156"/>
        <v>0</v>
      </c>
      <c r="AL206" s="1636">
        <f t="shared" si="137"/>
        <v>0</v>
      </c>
      <c r="AM206" s="1636">
        <f t="shared" si="137"/>
        <v>0</v>
      </c>
      <c r="AN206" s="1637"/>
      <c r="AO206" s="1722">
        <v>2.6</v>
      </c>
      <c r="AP206" s="1753"/>
      <c r="AQ206" s="1753"/>
      <c r="AR206" s="1753"/>
      <c r="AS206" s="1639"/>
      <c r="AT206" s="1753"/>
      <c r="AU206" s="1753"/>
      <c r="AV206" s="1753"/>
      <c r="AW206" s="1639"/>
      <c r="AX206" s="1641"/>
      <c r="AY206" s="1641"/>
      <c r="AZ206" s="1641"/>
      <c r="BA206" s="1641"/>
      <c r="BB206" s="1641"/>
      <c r="BC206" s="1641"/>
      <c r="BD206" s="1641"/>
      <c r="BE206" s="1644"/>
      <c r="BF206" s="1641"/>
      <c r="BG206" s="1641"/>
      <c r="BH206" s="1641"/>
      <c r="BI206" s="1641"/>
      <c r="BJ206" s="1641"/>
      <c r="BK206" s="1641"/>
      <c r="BL206" s="1641"/>
      <c r="BM206" s="1641"/>
      <c r="BN206" s="1641"/>
      <c r="BO206" s="1641"/>
      <c r="BP206" s="1641"/>
      <c r="BQ206" s="1641"/>
      <c r="BR206" s="1641"/>
      <c r="BS206" s="1641"/>
      <c r="BT206" s="1641"/>
      <c r="BU206" s="1641"/>
      <c r="BV206" s="1641"/>
      <c r="BW206" s="1641"/>
      <c r="BX206" s="1641"/>
      <c r="BY206" s="1641"/>
      <c r="BZ206" s="1641"/>
      <c r="CA206" s="1641"/>
      <c r="CB206" s="1641"/>
      <c r="CC206" s="1641"/>
      <c r="CD206" s="1641"/>
      <c r="CE206" s="1641"/>
      <c r="CF206" s="1641"/>
      <c r="CG206" s="1691"/>
      <c r="CH206" s="1643">
        <v>29.1</v>
      </c>
      <c r="CI206" s="1641"/>
      <c r="CJ206" s="1641"/>
      <c r="CK206" s="1641"/>
      <c r="CL206" s="1558"/>
      <c r="CM206" s="1558"/>
      <c r="CN206" s="1558"/>
      <c r="CO206" s="1558"/>
      <c r="CP206" s="1558"/>
      <c r="CQ206" s="1558"/>
      <c r="CR206" s="1558"/>
      <c r="CS206" s="1558"/>
      <c r="CT206" s="1558"/>
      <c r="CU206" s="1558"/>
      <c r="CV206" s="1558"/>
      <c r="CW206" s="1558"/>
      <c r="CY206" s="1558"/>
    </row>
    <row r="207" spans="1:108" s="1559" customFormat="1" ht="14" x14ac:dyDescent="0.15">
      <c r="A207" s="1541" t="s">
        <v>86</v>
      </c>
      <c r="B207" s="1523" t="s">
        <v>79</v>
      </c>
      <c r="C207" s="1523" t="s">
        <v>100</v>
      </c>
      <c r="D207" s="1523" t="s">
        <v>117</v>
      </c>
      <c r="E207" s="1523" t="s">
        <v>118</v>
      </c>
      <c r="F207" s="1523"/>
      <c r="G207" s="1667">
        <v>222</v>
      </c>
      <c r="H207" s="1502">
        <v>0</v>
      </c>
      <c r="I207" s="1645"/>
      <c r="J207" s="1630"/>
      <c r="K207" s="1630"/>
      <c r="L207" s="1631"/>
      <c r="M207" s="1631"/>
      <c r="N207" s="1631"/>
      <c r="O207" s="1631"/>
      <c r="P207" s="1631"/>
      <c r="Q207" s="1631"/>
      <c r="R207" s="1631"/>
      <c r="S207" s="1631"/>
      <c r="T207" s="1632"/>
      <c r="U207" s="1633"/>
      <c r="V207" s="1633"/>
      <c r="W207" s="1634"/>
      <c r="X207" s="1634"/>
      <c r="Y207" s="1634"/>
      <c r="Z207" s="1635"/>
      <c r="AA207" s="1634"/>
      <c r="AB207" s="1634"/>
      <c r="AC207" s="1508">
        <f t="shared" si="151"/>
        <v>0</v>
      </c>
      <c r="AD207" s="1509">
        <f t="shared" si="152"/>
        <v>0</v>
      </c>
      <c r="AE207" s="1509">
        <f t="shared" si="153"/>
        <v>0</v>
      </c>
      <c r="AF207" s="1509">
        <f t="shared" si="153"/>
        <v>0</v>
      </c>
      <c r="AG207" s="1509">
        <f t="shared" si="153"/>
        <v>0</v>
      </c>
      <c r="AH207" s="1490">
        <f t="shared" si="136"/>
        <v>0</v>
      </c>
      <c r="AI207" s="1636">
        <f t="shared" si="154"/>
        <v>0</v>
      </c>
      <c r="AJ207" s="1636">
        <f t="shared" si="155"/>
        <v>0</v>
      </c>
      <c r="AK207" s="1636">
        <f t="shared" si="156"/>
        <v>0</v>
      </c>
      <c r="AL207" s="1636">
        <f t="shared" si="137"/>
        <v>0</v>
      </c>
      <c r="AM207" s="1636">
        <f t="shared" si="137"/>
        <v>0</v>
      </c>
      <c r="AN207" s="1637"/>
      <c r="AO207" s="1722">
        <v>0</v>
      </c>
      <c r="AP207" s="1753"/>
      <c r="AQ207" s="1753"/>
      <c r="AR207" s="1753"/>
      <c r="AS207" s="1639"/>
      <c r="AT207" s="1753"/>
      <c r="AU207" s="1753"/>
      <c r="AV207" s="1753"/>
      <c r="AW207" s="1639"/>
      <c r="AX207" s="1641"/>
      <c r="AY207" s="1641"/>
      <c r="AZ207" s="1641"/>
      <c r="BA207" s="1641"/>
      <c r="BB207" s="1641"/>
      <c r="BC207" s="1641"/>
      <c r="BD207" s="1641"/>
      <c r="BE207" s="1644"/>
      <c r="BF207" s="1641"/>
      <c r="BG207" s="1641"/>
      <c r="BH207" s="1641"/>
      <c r="BI207" s="1641"/>
      <c r="BJ207" s="1641"/>
      <c r="BK207" s="1641"/>
      <c r="BL207" s="1641"/>
      <c r="BM207" s="1641"/>
      <c r="BN207" s="1641"/>
      <c r="BO207" s="1641"/>
      <c r="BP207" s="1641"/>
      <c r="BQ207" s="1641"/>
      <c r="BR207" s="1641"/>
      <c r="BS207" s="1641"/>
      <c r="BT207" s="1641"/>
      <c r="BU207" s="1641"/>
      <c r="BV207" s="1641"/>
      <c r="BW207" s="1641"/>
      <c r="BX207" s="1641"/>
      <c r="BY207" s="1641"/>
      <c r="BZ207" s="1641"/>
      <c r="CA207" s="1641"/>
      <c r="CB207" s="1641"/>
      <c r="CC207" s="1641"/>
      <c r="CD207" s="1641"/>
      <c r="CE207" s="1641"/>
      <c r="CF207" s="1641"/>
      <c r="CG207" s="1691"/>
      <c r="CH207" s="1643">
        <v>0</v>
      </c>
      <c r="CI207" s="1641"/>
      <c r="CJ207" s="1641"/>
      <c r="CK207" s="1641"/>
      <c r="CL207" s="1558"/>
      <c r="CM207" s="1558"/>
      <c r="CN207" s="1558"/>
      <c r="CO207" s="1558"/>
      <c r="CP207" s="1558"/>
      <c r="CQ207" s="1558"/>
      <c r="CR207" s="1558"/>
      <c r="CS207" s="1558"/>
      <c r="CT207" s="1558"/>
      <c r="CU207" s="1558"/>
      <c r="CV207" s="1558"/>
      <c r="CW207" s="1558"/>
      <c r="CY207" s="1558"/>
    </row>
    <row r="208" spans="1:108" s="1559" customFormat="1" ht="14" x14ac:dyDescent="0.15">
      <c r="A208" s="1541" t="s">
        <v>87</v>
      </c>
      <c r="B208" s="1523" t="s">
        <v>79</v>
      </c>
      <c r="C208" s="1523" t="s">
        <v>100</v>
      </c>
      <c r="D208" s="1523" t="s">
        <v>117</v>
      </c>
      <c r="E208" s="1523" t="s">
        <v>118</v>
      </c>
      <c r="F208" s="1523"/>
      <c r="G208" s="1667">
        <v>223</v>
      </c>
      <c r="H208" s="1502">
        <v>0</v>
      </c>
      <c r="I208" s="1645"/>
      <c r="J208" s="1630"/>
      <c r="K208" s="1630"/>
      <c r="L208" s="1631"/>
      <c r="M208" s="1631"/>
      <c r="N208" s="1631"/>
      <c r="O208" s="1631"/>
      <c r="P208" s="1631"/>
      <c r="Q208" s="1631"/>
      <c r="R208" s="1631"/>
      <c r="S208" s="1631"/>
      <c r="T208" s="1632"/>
      <c r="U208" s="1633"/>
      <c r="V208" s="1633"/>
      <c r="W208" s="1634"/>
      <c r="X208" s="1634"/>
      <c r="Y208" s="1634"/>
      <c r="Z208" s="1635"/>
      <c r="AA208" s="1634"/>
      <c r="AB208" s="1634"/>
      <c r="AC208" s="1508">
        <f t="shared" si="151"/>
        <v>0</v>
      </c>
      <c r="AD208" s="1509">
        <f t="shared" si="152"/>
        <v>0</v>
      </c>
      <c r="AE208" s="1509">
        <f t="shared" si="153"/>
        <v>0</v>
      </c>
      <c r="AF208" s="1509">
        <f t="shared" si="153"/>
        <v>0</v>
      </c>
      <c r="AG208" s="1509">
        <f t="shared" si="153"/>
        <v>0</v>
      </c>
      <c r="AH208" s="1490">
        <f t="shared" si="136"/>
        <v>0</v>
      </c>
      <c r="AI208" s="1636">
        <f t="shared" si="154"/>
        <v>0</v>
      </c>
      <c r="AJ208" s="1636">
        <f t="shared" si="155"/>
        <v>0</v>
      </c>
      <c r="AK208" s="1636">
        <f t="shared" si="156"/>
        <v>0</v>
      </c>
      <c r="AL208" s="1636">
        <f t="shared" si="137"/>
        <v>0</v>
      </c>
      <c r="AM208" s="1636">
        <f t="shared" si="137"/>
        <v>0</v>
      </c>
      <c r="AN208" s="1637"/>
      <c r="AO208" s="1722">
        <v>0</v>
      </c>
      <c r="AP208" s="1753"/>
      <c r="AQ208" s="1753"/>
      <c r="AR208" s="1753"/>
      <c r="AS208" s="1639"/>
      <c r="AT208" s="1753"/>
      <c r="AU208" s="1753"/>
      <c r="AV208" s="1753"/>
      <c r="AW208" s="1639"/>
      <c r="AX208" s="1641"/>
      <c r="AY208" s="1641"/>
      <c r="AZ208" s="1641"/>
      <c r="BA208" s="1641"/>
      <c r="BB208" s="1641"/>
      <c r="BC208" s="1641"/>
      <c r="BD208" s="1641"/>
      <c r="BE208" s="1644"/>
      <c r="BF208" s="1641"/>
      <c r="BG208" s="1641"/>
      <c r="BH208" s="1641"/>
      <c r="BI208" s="1641"/>
      <c r="BJ208" s="1641"/>
      <c r="BK208" s="1641"/>
      <c r="BL208" s="1641"/>
      <c r="BM208" s="1641"/>
      <c r="BN208" s="1641"/>
      <c r="BO208" s="1641"/>
      <c r="BP208" s="1641"/>
      <c r="BQ208" s="1641"/>
      <c r="BR208" s="1641"/>
      <c r="BS208" s="1641"/>
      <c r="BT208" s="1641"/>
      <c r="BU208" s="1641"/>
      <c r="BV208" s="1641"/>
      <c r="BW208" s="1641"/>
      <c r="BX208" s="1641"/>
      <c r="BY208" s="1641"/>
      <c r="BZ208" s="1641"/>
      <c r="CA208" s="1641"/>
      <c r="CB208" s="1641"/>
      <c r="CC208" s="1641"/>
      <c r="CD208" s="1641"/>
      <c r="CE208" s="1641"/>
      <c r="CF208" s="1641"/>
      <c r="CG208" s="1691"/>
      <c r="CH208" s="1643">
        <v>0</v>
      </c>
      <c r="CI208" s="1641"/>
      <c r="CJ208" s="1641"/>
      <c r="CK208" s="1641"/>
      <c r="CL208" s="1558"/>
      <c r="CM208" s="1558"/>
      <c r="CN208" s="1558"/>
      <c r="CO208" s="1558"/>
      <c r="CP208" s="1558"/>
      <c r="CQ208" s="1558"/>
      <c r="CR208" s="1558"/>
      <c r="CS208" s="1558"/>
      <c r="CT208" s="1558"/>
      <c r="CU208" s="1558"/>
      <c r="CV208" s="1558"/>
      <c r="CW208" s="1558"/>
      <c r="CY208" s="1558"/>
    </row>
    <row r="209" spans="1:103" s="1559" customFormat="1" ht="14" x14ac:dyDescent="0.15">
      <c r="A209" s="1541" t="s">
        <v>111</v>
      </c>
      <c r="B209" s="1523" t="s">
        <v>79</v>
      </c>
      <c r="C209" s="1523" t="s">
        <v>100</v>
      </c>
      <c r="D209" s="1523" t="s">
        <v>117</v>
      </c>
      <c r="E209" s="1523" t="s">
        <v>118</v>
      </c>
      <c r="F209" s="1523"/>
      <c r="G209" s="1667">
        <v>224</v>
      </c>
      <c r="H209" s="1502">
        <v>0</v>
      </c>
      <c r="I209" s="1645"/>
      <c r="J209" s="1630"/>
      <c r="K209" s="1630"/>
      <c r="L209" s="1631"/>
      <c r="M209" s="1631"/>
      <c r="N209" s="1631"/>
      <c r="O209" s="1631"/>
      <c r="P209" s="1631"/>
      <c r="Q209" s="1631"/>
      <c r="R209" s="1631"/>
      <c r="S209" s="1631"/>
      <c r="T209" s="1632"/>
      <c r="U209" s="1633"/>
      <c r="V209" s="1633"/>
      <c r="W209" s="1634"/>
      <c r="X209" s="1634"/>
      <c r="Y209" s="1634"/>
      <c r="Z209" s="1635"/>
      <c r="AA209" s="1634"/>
      <c r="AB209" s="1634"/>
      <c r="AC209" s="1508">
        <f t="shared" si="151"/>
        <v>0</v>
      </c>
      <c r="AD209" s="1509">
        <f t="shared" si="152"/>
        <v>0</v>
      </c>
      <c r="AE209" s="1509">
        <f t="shared" si="153"/>
        <v>0</v>
      </c>
      <c r="AF209" s="1509">
        <f t="shared" si="153"/>
        <v>0</v>
      </c>
      <c r="AG209" s="1509">
        <f t="shared" si="153"/>
        <v>0</v>
      </c>
      <c r="AH209" s="1490">
        <f t="shared" si="136"/>
        <v>0</v>
      </c>
      <c r="AI209" s="1636">
        <f t="shared" si="154"/>
        <v>0</v>
      </c>
      <c r="AJ209" s="1636">
        <f t="shared" si="155"/>
        <v>0</v>
      </c>
      <c r="AK209" s="1636">
        <f t="shared" si="156"/>
        <v>0</v>
      </c>
      <c r="AL209" s="1636">
        <f t="shared" si="137"/>
        <v>0</v>
      </c>
      <c r="AM209" s="1636">
        <f t="shared" si="137"/>
        <v>0</v>
      </c>
      <c r="AN209" s="1637"/>
      <c r="AO209" s="1722">
        <v>0</v>
      </c>
      <c r="AP209" s="1753"/>
      <c r="AQ209" s="1753"/>
      <c r="AR209" s="1753"/>
      <c r="AS209" s="1639"/>
      <c r="AT209" s="1753"/>
      <c r="AU209" s="1753"/>
      <c r="AV209" s="1753"/>
      <c r="AW209" s="1639"/>
      <c r="AX209" s="1641"/>
      <c r="AY209" s="1641"/>
      <c r="AZ209" s="1641"/>
      <c r="BA209" s="1641"/>
      <c r="BB209" s="1641"/>
      <c r="BC209" s="1641"/>
      <c r="BD209" s="1641"/>
      <c r="BE209" s="1644"/>
      <c r="BF209" s="1641"/>
      <c r="BG209" s="1641"/>
      <c r="BH209" s="1641"/>
      <c r="BI209" s="1641"/>
      <c r="BJ209" s="1641"/>
      <c r="BK209" s="1641"/>
      <c r="BL209" s="1641"/>
      <c r="BM209" s="1641"/>
      <c r="BN209" s="1641"/>
      <c r="BO209" s="1641"/>
      <c r="BP209" s="1641"/>
      <c r="BQ209" s="1641"/>
      <c r="BR209" s="1641"/>
      <c r="BS209" s="1641"/>
      <c r="BT209" s="1641"/>
      <c r="BU209" s="1641"/>
      <c r="BV209" s="1641"/>
      <c r="BW209" s="1641"/>
      <c r="BX209" s="1641"/>
      <c r="BY209" s="1641"/>
      <c r="BZ209" s="1641"/>
      <c r="CA209" s="1641"/>
      <c r="CB209" s="1641"/>
      <c r="CC209" s="1641"/>
      <c r="CD209" s="1641"/>
      <c r="CE209" s="1641"/>
      <c r="CF209" s="1641"/>
      <c r="CG209" s="1691"/>
      <c r="CH209" s="1643">
        <v>0</v>
      </c>
      <c r="CI209" s="1641"/>
      <c r="CJ209" s="1641"/>
      <c r="CK209" s="1641"/>
      <c r="CL209" s="1558"/>
      <c r="CM209" s="1558"/>
      <c r="CN209" s="1558"/>
      <c r="CO209" s="1558"/>
      <c r="CP209" s="1558"/>
      <c r="CQ209" s="1558"/>
      <c r="CR209" s="1558"/>
      <c r="CS209" s="1558"/>
      <c r="CT209" s="1558"/>
      <c r="CU209" s="1558"/>
      <c r="CV209" s="1558"/>
      <c r="CW209" s="1558"/>
      <c r="CY209" s="1558"/>
    </row>
    <row r="210" spans="1:103" s="1559" customFormat="1" ht="14" x14ac:dyDescent="0.15">
      <c r="A210" s="1541" t="s">
        <v>90</v>
      </c>
      <c r="B210" s="1523" t="s">
        <v>79</v>
      </c>
      <c r="C210" s="1523" t="s">
        <v>100</v>
      </c>
      <c r="D210" s="1523" t="s">
        <v>117</v>
      </c>
      <c r="E210" s="1523" t="s">
        <v>118</v>
      </c>
      <c r="F210" s="1523"/>
      <c r="G210" s="1667">
        <v>225</v>
      </c>
      <c r="H210" s="1502">
        <v>0</v>
      </c>
      <c r="I210" s="1645"/>
      <c r="J210" s="1630"/>
      <c r="K210" s="1630"/>
      <c r="L210" s="1631"/>
      <c r="M210" s="1631"/>
      <c r="N210" s="1631"/>
      <c r="O210" s="1631"/>
      <c r="P210" s="1631"/>
      <c r="Q210" s="1631"/>
      <c r="R210" s="1631"/>
      <c r="S210" s="1631"/>
      <c r="T210" s="1632"/>
      <c r="U210" s="1633"/>
      <c r="V210" s="1633"/>
      <c r="W210" s="1634"/>
      <c r="X210" s="1634"/>
      <c r="Y210" s="1634"/>
      <c r="Z210" s="1635"/>
      <c r="AA210" s="1634"/>
      <c r="AB210" s="1634"/>
      <c r="AC210" s="1508">
        <f t="shared" si="151"/>
        <v>0</v>
      </c>
      <c r="AD210" s="1509">
        <f t="shared" si="152"/>
        <v>0</v>
      </c>
      <c r="AE210" s="1509">
        <f t="shared" si="153"/>
        <v>0</v>
      </c>
      <c r="AF210" s="1509">
        <f t="shared" si="153"/>
        <v>0</v>
      </c>
      <c r="AG210" s="1509">
        <f t="shared" si="153"/>
        <v>0</v>
      </c>
      <c r="AH210" s="1490">
        <f t="shared" si="136"/>
        <v>0</v>
      </c>
      <c r="AI210" s="1636">
        <f t="shared" si="154"/>
        <v>0</v>
      </c>
      <c r="AJ210" s="1636">
        <f t="shared" si="155"/>
        <v>0</v>
      </c>
      <c r="AK210" s="1636">
        <f t="shared" si="156"/>
        <v>0</v>
      </c>
      <c r="AL210" s="1636">
        <f t="shared" si="137"/>
        <v>0</v>
      </c>
      <c r="AM210" s="1636">
        <f t="shared" si="137"/>
        <v>0</v>
      </c>
      <c r="AN210" s="1637"/>
      <c r="AO210" s="1723"/>
      <c r="AP210" s="1753"/>
      <c r="AQ210" s="1753"/>
      <c r="AR210" s="1753"/>
      <c r="AS210" s="1639"/>
      <c r="AT210" s="1753"/>
      <c r="AU210" s="1753"/>
      <c r="AV210" s="1753"/>
      <c r="AW210" s="1639"/>
      <c r="AX210" s="1641"/>
      <c r="AY210" s="1641"/>
      <c r="AZ210" s="1641"/>
      <c r="BA210" s="1641"/>
      <c r="BB210" s="1641"/>
      <c r="BC210" s="1641"/>
      <c r="BD210" s="1641"/>
      <c r="BE210" s="1644"/>
      <c r="BF210" s="1641"/>
      <c r="BG210" s="1641"/>
      <c r="BH210" s="1641"/>
      <c r="BI210" s="1641"/>
      <c r="BJ210" s="1641"/>
      <c r="BK210" s="1641"/>
      <c r="BL210" s="1641"/>
      <c r="BM210" s="1641"/>
      <c r="BN210" s="1641"/>
      <c r="BO210" s="1641"/>
      <c r="BP210" s="1641"/>
      <c r="BQ210" s="1641"/>
      <c r="BR210" s="1641"/>
      <c r="BS210" s="1641"/>
      <c r="BT210" s="1641"/>
      <c r="BU210" s="1641"/>
      <c r="BV210" s="1641"/>
      <c r="BW210" s="1641"/>
      <c r="BX210" s="1641"/>
      <c r="BY210" s="1641"/>
      <c r="BZ210" s="1641"/>
      <c r="CA210" s="1641"/>
      <c r="CB210" s="1641"/>
      <c r="CC210" s="1641"/>
      <c r="CD210" s="1641"/>
      <c r="CE210" s="1641"/>
      <c r="CF210" s="1641"/>
      <c r="CG210" s="1691"/>
      <c r="CH210" s="1643">
        <v>0</v>
      </c>
      <c r="CI210" s="1641"/>
      <c r="CJ210" s="1641"/>
      <c r="CK210" s="1641"/>
      <c r="CL210" s="1558"/>
      <c r="CM210" s="1558"/>
      <c r="CN210" s="1558"/>
      <c r="CO210" s="1558"/>
      <c r="CP210" s="1558"/>
      <c r="CQ210" s="1558"/>
      <c r="CR210" s="1558"/>
      <c r="CS210" s="1558"/>
      <c r="CT210" s="1558"/>
      <c r="CU210" s="1558"/>
      <c r="CV210" s="1558"/>
      <c r="CW210" s="1558"/>
      <c r="CY210" s="1558"/>
    </row>
    <row r="211" spans="1:103" s="1559" customFormat="1" ht="14" x14ac:dyDescent="0.15">
      <c r="A211" s="1541" t="s">
        <v>91</v>
      </c>
      <c r="B211" s="1523" t="s">
        <v>79</v>
      </c>
      <c r="C211" s="1523" t="s">
        <v>100</v>
      </c>
      <c r="D211" s="1523" t="s">
        <v>117</v>
      </c>
      <c r="E211" s="1523" t="s">
        <v>118</v>
      </c>
      <c r="F211" s="1523"/>
      <c r="G211" s="1667">
        <v>226</v>
      </c>
      <c r="H211" s="1501">
        <f>35+100</f>
        <v>135</v>
      </c>
      <c r="I211" s="1645"/>
      <c r="J211" s="1630"/>
      <c r="K211" s="1630"/>
      <c r="L211" s="1631"/>
      <c r="M211" s="1631"/>
      <c r="N211" s="1631"/>
      <c r="O211" s="1631"/>
      <c r="P211" s="1631"/>
      <c r="Q211" s="1631"/>
      <c r="R211" s="1631"/>
      <c r="S211" s="1631"/>
      <c r="T211" s="1632"/>
      <c r="U211" s="1633"/>
      <c r="V211" s="1633"/>
      <c r="W211" s="1634"/>
      <c r="X211" s="1634"/>
      <c r="Y211" s="1634"/>
      <c r="Z211" s="1635"/>
      <c r="AA211" s="1634"/>
      <c r="AB211" s="1634"/>
      <c r="AC211" s="1508">
        <f t="shared" si="151"/>
        <v>135</v>
      </c>
      <c r="AD211" s="1509">
        <f t="shared" si="152"/>
        <v>0</v>
      </c>
      <c r="AE211" s="1509">
        <f t="shared" si="153"/>
        <v>0</v>
      </c>
      <c r="AF211" s="1509">
        <f t="shared" si="153"/>
        <v>0</v>
      </c>
      <c r="AG211" s="1509">
        <f t="shared" si="153"/>
        <v>0</v>
      </c>
      <c r="AH211" s="1490">
        <f t="shared" si="136"/>
        <v>0</v>
      </c>
      <c r="AI211" s="1636">
        <f t="shared" si="154"/>
        <v>0</v>
      </c>
      <c r="AJ211" s="1636">
        <f t="shared" si="155"/>
        <v>0</v>
      </c>
      <c r="AK211" s="1636">
        <f t="shared" si="156"/>
        <v>0</v>
      </c>
      <c r="AL211" s="1636">
        <f t="shared" si="137"/>
        <v>0</v>
      </c>
      <c r="AM211" s="1636">
        <f t="shared" si="137"/>
        <v>0</v>
      </c>
      <c r="AN211" s="1637"/>
      <c r="AO211" s="1723"/>
      <c r="AP211" s="1753"/>
      <c r="AQ211" s="1753"/>
      <c r="AR211" s="1753"/>
      <c r="AS211" s="1639"/>
      <c r="AT211" s="1753"/>
      <c r="AU211" s="1753"/>
      <c r="AV211" s="1753"/>
      <c r="AW211" s="1639"/>
      <c r="AX211" s="1641"/>
      <c r="AY211" s="1641"/>
      <c r="AZ211" s="1641"/>
      <c r="BA211" s="1641"/>
      <c r="BB211" s="1641"/>
      <c r="BC211" s="1641"/>
      <c r="BD211" s="1641"/>
      <c r="BE211" s="1644"/>
      <c r="BF211" s="1641"/>
      <c r="BG211" s="1641"/>
      <c r="BH211" s="1641"/>
      <c r="BI211" s="1641"/>
      <c r="BJ211" s="1641"/>
      <c r="BK211" s="1641"/>
      <c r="BL211" s="1641"/>
      <c r="BM211" s="1641"/>
      <c r="BN211" s="1641"/>
      <c r="BO211" s="1641"/>
      <c r="BP211" s="1641"/>
      <c r="BQ211" s="1641">
        <v>35</v>
      </c>
      <c r="BR211" s="1641"/>
      <c r="BS211" s="1641"/>
      <c r="BT211" s="1641"/>
      <c r="BU211" s="1641"/>
      <c r="BV211" s="1641"/>
      <c r="BW211" s="1641"/>
      <c r="BX211" s="1641"/>
      <c r="BY211" s="1641"/>
      <c r="BZ211" s="1641"/>
      <c r="CA211" s="1641"/>
      <c r="CB211" s="1641"/>
      <c r="CC211" s="1641"/>
      <c r="CD211" s="1641"/>
      <c r="CE211" s="1641"/>
      <c r="CF211" s="1641"/>
      <c r="CG211" s="1691"/>
      <c r="CH211" s="1643">
        <v>100</v>
      </c>
      <c r="CI211" s="1641"/>
      <c r="CJ211" s="1641"/>
      <c r="CK211" s="1641"/>
      <c r="CL211" s="1558"/>
      <c r="CM211" s="1558"/>
      <c r="CN211" s="1558"/>
      <c r="CO211" s="1558"/>
      <c r="CP211" s="1558"/>
      <c r="CQ211" s="1558"/>
      <c r="CR211" s="1558"/>
      <c r="CS211" s="1558"/>
      <c r="CT211" s="1558"/>
      <c r="CU211" s="1558"/>
      <c r="CV211" s="1558"/>
      <c r="CW211" s="1558"/>
      <c r="CY211" s="1558"/>
    </row>
    <row r="212" spans="1:103" s="1559" customFormat="1" ht="14" x14ac:dyDescent="0.15">
      <c r="A212" s="1541" t="s">
        <v>94</v>
      </c>
      <c r="B212" s="1523" t="s">
        <v>79</v>
      </c>
      <c r="C212" s="1523" t="s">
        <v>100</v>
      </c>
      <c r="D212" s="1523" t="s">
        <v>117</v>
      </c>
      <c r="E212" s="1523" t="s">
        <v>118</v>
      </c>
      <c r="F212" s="1523"/>
      <c r="G212" s="1667">
        <v>290</v>
      </c>
      <c r="H212" s="1502">
        <f>7.9</f>
        <v>7.9</v>
      </c>
      <c r="I212" s="1645"/>
      <c r="J212" s="1630"/>
      <c r="K212" s="1630"/>
      <c r="L212" s="1631"/>
      <c r="M212" s="1631"/>
      <c r="N212" s="1631"/>
      <c r="O212" s="1631"/>
      <c r="P212" s="1631"/>
      <c r="Q212" s="1631"/>
      <c r="R212" s="1631"/>
      <c r="S212" s="1631"/>
      <c r="T212" s="1632"/>
      <c r="U212" s="1633"/>
      <c r="V212" s="1633"/>
      <c r="W212" s="1634"/>
      <c r="X212" s="1634"/>
      <c r="Y212" s="1634"/>
      <c r="Z212" s="1635"/>
      <c r="AA212" s="1634"/>
      <c r="AB212" s="1634"/>
      <c r="AC212" s="1508">
        <f t="shared" si="151"/>
        <v>7.8999999999999995</v>
      </c>
      <c r="AD212" s="1509">
        <f t="shared" si="152"/>
        <v>0</v>
      </c>
      <c r="AE212" s="1509">
        <f t="shared" si="153"/>
        <v>0</v>
      </c>
      <c r="AF212" s="1509">
        <f t="shared" si="153"/>
        <v>0</v>
      </c>
      <c r="AG212" s="1509">
        <f t="shared" si="153"/>
        <v>0</v>
      </c>
      <c r="AH212" s="1490">
        <f t="shared" si="136"/>
        <v>0</v>
      </c>
      <c r="AI212" s="1636">
        <f t="shared" si="154"/>
        <v>0</v>
      </c>
      <c r="AJ212" s="1636">
        <f t="shared" si="155"/>
        <v>0</v>
      </c>
      <c r="AK212" s="1636">
        <f t="shared" si="156"/>
        <v>0</v>
      </c>
      <c r="AL212" s="1636">
        <f t="shared" si="137"/>
        <v>0</v>
      </c>
      <c r="AM212" s="1636">
        <f t="shared" si="137"/>
        <v>0</v>
      </c>
      <c r="AN212" s="1637"/>
      <c r="AO212" s="1722">
        <v>0.7</v>
      </c>
      <c r="AP212" s="1753"/>
      <c r="AQ212" s="1753"/>
      <c r="AR212" s="1753"/>
      <c r="AS212" s="1639"/>
      <c r="AT212" s="1753"/>
      <c r="AU212" s="1753"/>
      <c r="AV212" s="1753"/>
      <c r="AW212" s="1639"/>
      <c r="AX212" s="1641"/>
      <c r="AY212" s="1641"/>
      <c r="AZ212" s="1641"/>
      <c r="BA212" s="1641"/>
      <c r="BB212" s="1641"/>
      <c r="BC212" s="1641"/>
      <c r="BD212" s="1641"/>
      <c r="BE212" s="1644">
        <v>1.9</v>
      </c>
      <c r="BF212" s="1641"/>
      <c r="BG212" s="1641"/>
      <c r="BH212" s="1641"/>
      <c r="BI212" s="1641"/>
      <c r="BJ212" s="1641"/>
      <c r="BK212" s="1641"/>
      <c r="BL212" s="1641"/>
      <c r="BM212" s="1641"/>
      <c r="BN212" s="1641"/>
      <c r="BO212" s="1641"/>
      <c r="BP212" s="1641"/>
      <c r="BQ212" s="1641"/>
      <c r="BR212" s="1641"/>
      <c r="BS212" s="1641"/>
      <c r="BT212" s="1641"/>
      <c r="BU212" s="1641">
        <v>3.3</v>
      </c>
      <c r="BV212" s="1641"/>
      <c r="BW212" s="1641"/>
      <c r="BX212" s="1641"/>
      <c r="BY212" s="1641"/>
      <c r="BZ212" s="1641"/>
      <c r="CA212" s="1641"/>
      <c r="CB212" s="1641"/>
      <c r="CC212" s="1641"/>
      <c r="CD212" s="1641"/>
      <c r="CE212" s="1641"/>
      <c r="CF212" s="1641"/>
      <c r="CG212" s="1691"/>
      <c r="CH212" s="1643">
        <v>2</v>
      </c>
      <c r="CI212" s="1641"/>
      <c r="CJ212" s="1641"/>
      <c r="CK212" s="1641"/>
      <c r="CL212" s="1558"/>
      <c r="CM212" s="1558"/>
      <c r="CN212" s="1558"/>
      <c r="CO212" s="1558"/>
      <c r="CP212" s="1558"/>
      <c r="CQ212" s="1558"/>
      <c r="CR212" s="1558"/>
      <c r="CS212" s="1558"/>
      <c r="CT212" s="1558"/>
      <c r="CU212" s="1558"/>
      <c r="CV212" s="1558"/>
      <c r="CW212" s="1558"/>
      <c r="CY212" s="1558"/>
    </row>
    <row r="213" spans="1:103" s="1559" customFormat="1" ht="14.25" customHeight="1" x14ac:dyDescent="0.15">
      <c r="A213" s="1541" t="s">
        <v>94</v>
      </c>
      <c r="B213" s="1523" t="s">
        <v>79</v>
      </c>
      <c r="C213" s="1523" t="s">
        <v>100</v>
      </c>
      <c r="D213" s="1523" t="s">
        <v>117</v>
      </c>
      <c r="E213" s="1523" t="s">
        <v>118</v>
      </c>
      <c r="F213" s="1523"/>
      <c r="G213" s="1667" t="s">
        <v>95</v>
      </c>
      <c r="H213" s="1502">
        <v>0</v>
      </c>
      <c r="I213" s="1645"/>
      <c r="J213" s="1630"/>
      <c r="K213" s="1630"/>
      <c r="L213" s="1631"/>
      <c r="M213" s="1631"/>
      <c r="N213" s="1631"/>
      <c r="O213" s="1631"/>
      <c r="P213" s="1631"/>
      <c r="Q213" s="1631"/>
      <c r="R213" s="1631"/>
      <c r="S213" s="1631"/>
      <c r="T213" s="1632"/>
      <c r="U213" s="1633"/>
      <c r="V213" s="1633"/>
      <c r="W213" s="1634"/>
      <c r="X213" s="1634"/>
      <c r="Y213" s="1634"/>
      <c r="Z213" s="1635"/>
      <c r="AA213" s="1634"/>
      <c r="AB213" s="1634"/>
      <c r="AC213" s="1508">
        <f t="shared" si="151"/>
        <v>0</v>
      </c>
      <c r="AD213" s="1509">
        <f t="shared" si="152"/>
        <v>0</v>
      </c>
      <c r="AE213" s="1509">
        <f t="shared" si="153"/>
        <v>0</v>
      </c>
      <c r="AF213" s="1509">
        <f t="shared" si="153"/>
        <v>0</v>
      </c>
      <c r="AG213" s="1509">
        <f t="shared" si="153"/>
        <v>0</v>
      </c>
      <c r="AH213" s="1490">
        <f t="shared" si="136"/>
        <v>0</v>
      </c>
      <c r="AI213" s="1636">
        <f t="shared" si="154"/>
        <v>0</v>
      </c>
      <c r="AJ213" s="1636">
        <f t="shared" si="155"/>
        <v>0</v>
      </c>
      <c r="AK213" s="1636">
        <f t="shared" si="156"/>
        <v>0</v>
      </c>
      <c r="AL213" s="1636">
        <f t="shared" ref="AL213:AM215" si="157">J213-AF213</f>
        <v>0</v>
      </c>
      <c r="AM213" s="1636">
        <f t="shared" si="157"/>
        <v>0</v>
      </c>
      <c r="AN213" s="1637"/>
      <c r="AO213" s="1722">
        <v>0</v>
      </c>
      <c r="AP213" s="1753"/>
      <c r="AQ213" s="1753"/>
      <c r="AR213" s="1753"/>
      <c r="AS213" s="1639"/>
      <c r="AT213" s="1753"/>
      <c r="AU213" s="1753"/>
      <c r="AV213" s="1753"/>
      <c r="AW213" s="1639"/>
      <c r="AX213" s="1641"/>
      <c r="AY213" s="1641"/>
      <c r="AZ213" s="1641"/>
      <c r="BA213" s="1641"/>
      <c r="BB213" s="1641"/>
      <c r="BC213" s="1641"/>
      <c r="BD213" s="1641"/>
      <c r="BE213" s="1644"/>
      <c r="BF213" s="1641"/>
      <c r="BG213" s="1641"/>
      <c r="BH213" s="1641"/>
      <c r="BI213" s="1641"/>
      <c r="BJ213" s="1641"/>
      <c r="BK213" s="1641"/>
      <c r="BL213" s="1641"/>
      <c r="BM213" s="1641"/>
      <c r="BN213" s="1641"/>
      <c r="BO213" s="1641"/>
      <c r="BP213" s="1641"/>
      <c r="BQ213" s="1641"/>
      <c r="BR213" s="1641"/>
      <c r="BS213" s="1641"/>
      <c r="BT213" s="1641"/>
      <c r="BU213" s="1641"/>
      <c r="BV213" s="1641"/>
      <c r="BW213" s="1641"/>
      <c r="BX213" s="1641"/>
      <c r="BY213" s="1641"/>
      <c r="BZ213" s="1641"/>
      <c r="CA213" s="1641"/>
      <c r="CB213" s="1641"/>
      <c r="CC213" s="1641"/>
      <c r="CD213" s="1641"/>
      <c r="CE213" s="1641"/>
      <c r="CF213" s="1641"/>
      <c r="CG213" s="1691"/>
      <c r="CH213" s="1643">
        <v>0</v>
      </c>
      <c r="CI213" s="1641"/>
      <c r="CJ213" s="1641"/>
      <c r="CK213" s="1641"/>
      <c r="CL213" s="1558"/>
      <c r="CM213" s="1558"/>
      <c r="CN213" s="1558"/>
      <c r="CO213" s="1558"/>
      <c r="CP213" s="1558"/>
      <c r="CQ213" s="1558"/>
      <c r="CR213" s="1558"/>
      <c r="CS213" s="1558"/>
      <c r="CT213" s="1558"/>
      <c r="CU213" s="1558"/>
      <c r="CV213" s="1558"/>
      <c r="CW213" s="1558"/>
      <c r="CY213" s="1558"/>
    </row>
    <row r="214" spans="1:103" s="1559" customFormat="1" ht="14" x14ac:dyDescent="0.15">
      <c r="A214" s="1541" t="s">
        <v>96</v>
      </c>
      <c r="B214" s="1523" t="s">
        <v>79</v>
      </c>
      <c r="C214" s="1523" t="s">
        <v>100</v>
      </c>
      <c r="D214" s="1523" t="s">
        <v>117</v>
      </c>
      <c r="E214" s="1523" t="s">
        <v>118</v>
      </c>
      <c r="F214" s="1523"/>
      <c r="G214" s="1667">
        <v>310</v>
      </c>
      <c r="H214" s="1652">
        <f>135.2-100</f>
        <v>35.199999999999989</v>
      </c>
      <c r="I214" s="1645"/>
      <c r="J214" s="1630"/>
      <c r="K214" s="1630"/>
      <c r="L214" s="1631"/>
      <c r="M214" s="1631"/>
      <c r="N214" s="1631"/>
      <c r="O214" s="1631"/>
      <c r="P214" s="1631"/>
      <c r="Q214" s="1631"/>
      <c r="R214" s="1631"/>
      <c r="S214" s="1631"/>
      <c r="T214" s="1632"/>
      <c r="U214" s="1633"/>
      <c r="V214" s="1633"/>
      <c r="W214" s="1634"/>
      <c r="X214" s="1634"/>
      <c r="Y214" s="1634"/>
      <c r="Z214" s="1635"/>
      <c r="AA214" s="1634"/>
      <c r="AB214" s="1634"/>
      <c r="AC214" s="1508">
        <f t="shared" si="151"/>
        <v>35.200000000000003</v>
      </c>
      <c r="AD214" s="1509">
        <f t="shared" si="152"/>
        <v>0</v>
      </c>
      <c r="AE214" s="1509">
        <f t="shared" si="153"/>
        <v>0</v>
      </c>
      <c r="AF214" s="1509">
        <f t="shared" si="153"/>
        <v>0</v>
      </c>
      <c r="AG214" s="1509">
        <f t="shared" si="153"/>
        <v>0</v>
      </c>
      <c r="AH214" s="1490">
        <f t="shared" si="136"/>
        <v>0</v>
      </c>
      <c r="AI214" s="1636">
        <f t="shared" si="154"/>
        <v>0</v>
      </c>
      <c r="AJ214" s="1636">
        <f t="shared" si="155"/>
        <v>0</v>
      </c>
      <c r="AK214" s="1636">
        <f t="shared" si="156"/>
        <v>0</v>
      </c>
      <c r="AL214" s="1636">
        <f t="shared" si="157"/>
        <v>0</v>
      </c>
      <c r="AM214" s="1636">
        <f t="shared" si="157"/>
        <v>0</v>
      </c>
      <c r="AN214" s="1637"/>
      <c r="AO214" s="1723"/>
      <c r="AP214" s="1753"/>
      <c r="AQ214" s="1753"/>
      <c r="AR214" s="1753"/>
      <c r="AS214" s="1639"/>
      <c r="AT214" s="1753"/>
      <c r="AU214" s="1753"/>
      <c r="AV214" s="1753"/>
      <c r="AW214" s="1639"/>
      <c r="AX214" s="1641"/>
      <c r="AY214" s="1641"/>
      <c r="AZ214" s="1641"/>
      <c r="BA214" s="1641"/>
      <c r="BB214" s="1641"/>
      <c r="BC214" s="1641"/>
      <c r="BD214" s="1641"/>
      <c r="BE214" s="1644"/>
      <c r="BF214" s="1641"/>
      <c r="BG214" s="1641"/>
      <c r="BH214" s="1641"/>
      <c r="BI214" s="1641"/>
      <c r="BJ214" s="1641"/>
      <c r="BK214" s="1641"/>
      <c r="BL214" s="1641"/>
      <c r="BM214" s="1641"/>
      <c r="BN214" s="1641"/>
      <c r="BO214" s="1641"/>
      <c r="BP214" s="1641"/>
      <c r="BQ214" s="1641"/>
      <c r="BR214" s="1641"/>
      <c r="BS214" s="1641"/>
      <c r="BT214" s="1641"/>
      <c r="BU214" s="1641"/>
      <c r="BV214" s="1641"/>
      <c r="BW214" s="1641"/>
      <c r="BX214" s="1641"/>
      <c r="BY214" s="1641"/>
      <c r="BZ214" s="1641"/>
      <c r="CA214" s="1641"/>
      <c r="CB214" s="1641"/>
      <c r="CC214" s="1641"/>
      <c r="CD214" s="1641"/>
      <c r="CE214" s="1641"/>
      <c r="CF214" s="1641"/>
      <c r="CG214" s="1691"/>
      <c r="CH214" s="1643">
        <v>35.200000000000003</v>
      </c>
      <c r="CI214" s="1641"/>
      <c r="CJ214" s="1641"/>
      <c r="CK214" s="1641"/>
      <c r="CL214" s="1558"/>
      <c r="CM214" s="1558"/>
      <c r="CN214" s="1558"/>
      <c r="CO214" s="1558"/>
      <c r="CP214" s="1558"/>
      <c r="CQ214" s="1558"/>
      <c r="CR214" s="1558"/>
      <c r="CS214" s="1558"/>
      <c r="CT214" s="1558"/>
      <c r="CU214" s="1558"/>
      <c r="CV214" s="1558"/>
      <c r="CW214" s="1558"/>
      <c r="CY214" s="1558"/>
    </row>
    <row r="215" spans="1:103" s="1559" customFormat="1" ht="14" x14ac:dyDescent="0.15">
      <c r="A215" s="1541" t="s">
        <v>97</v>
      </c>
      <c r="B215" s="1523" t="s">
        <v>79</v>
      </c>
      <c r="C215" s="1523" t="s">
        <v>100</v>
      </c>
      <c r="D215" s="1523" t="s">
        <v>117</v>
      </c>
      <c r="E215" s="1523" t="s">
        <v>118</v>
      </c>
      <c r="F215" s="1523"/>
      <c r="G215" s="1667">
        <v>340</v>
      </c>
      <c r="H215" s="1501">
        <v>0</v>
      </c>
      <c r="I215" s="1645"/>
      <c r="J215" s="1630"/>
      <c r="K215" s="1630"/>
      <c r="L215" s="1631"/>
      <c r="M215" s="1631"/>
      <c r="N215" s="1631"/>
      <c r="O215" s="1631"/>
      <c r="P215" s="1631"/>
      <c r="Q215" s="1631"/>
      <c r="R215" s="1631"/>
      <c r="S215" s="1631"/>
      <c r="T215" s="1632"/>
      <c r="U215" s="1633"/>
      <c r="V215" s="1633"/>
      <c r="W215" s="1634"/>
      <c r="X215" s="1634"/>
      <c r="Y215" s="1634"/>
      <c r="Z215" s="1635"/>
      <c r="AA215" s="1634"/>
      <c r="AB215" s="1634"/>
      <c r="AC215" s="1508">
        <f t="shared" si="151"/>
        <v>0</v>
      </c>
      <c r="AD215" s="1509">
        <f t="shared" si="152"/>
        <v>0</v>
      </c>
      <c r="AE215" s="1509">
        <f t="shared" si="153"/>
        <v>0</v>
      </c>
      <c r="AF215" s="1509">
        <f t="shared" si="153"/>
        <v>0</v>
      </c>
      <c r="AG215" s="1509">
        <f t="shared" si="153"/>
        <v>0</v>
      </c>
      <c r="AH215" s="1490">
        <f t="shared" si="136"/>
        <v>0</v>
      </c>
      <c r="AI215" s="1636">
        <f t="shared" si="154"/>
        <v>0</v>
      </c>
      <c r="AJ215" s="1636">
        <f t="shared" si="155"/>
        <v>0</v>
      </c>
      <c r="AK215" s="1636">
        <f t="shared" si="156"/>
        <v>0</v>
      </c>
      <c r="AL215" s="1636">
        <f t="shared" si="157"/>
        <v>0</v>
      </c>
      <c r="AM215" s="1636">
        <f t="shared" si="157"/>
        <v>0</v>
      </c>
      <c r="AN215" s="1637"/>
      <c r="AO215" s="1722">
        <v>0</v>
      </c>
      <c r="AP215" s="1753"/>
      <c r="AQ215" s="1753"/>
      <c r="AR215" s="1753"/>
      <c r="AS215" s="1639"/>
      <c r="AT215" s="1753"/>
      <c r="AU215" s="1753"/>
      <c r="AV215" s="1753"/>
      <c r="AW215" s="1639"/>
      <c r="AX215" s="1641"/>
      <c r="AY215" s="1641"/>
      <c r="AZ215" s="1641"/>
      <c r="BA215" s="1641"/>
      <c r="BB215" s="1641"/>
      <c r="BC215" s="1641"/>
      <c r="BD215" s="1641"/>
      <c r="BE215" s="1644"/>
      <c r="BF215" s="1641"/>
      <c r="BG215" s="1641"/>
      <c r="BH215" s="1641"/>
      <c r="BI215" s="1641"/>
      <c r="BJ215" s="1641"/>
      <c r="BK215" s="1641"/>
      <c r="BL215" s="1641"/>
      <c r="BM215" s="1641"/>
      <c r="BN215" s="1641"/>
      <c r="BO215" s="1641"/>
      <c r="BP215" s="1641"/>
      <c r="BQ215" s="1641"/>
      <c r="BR215" s="1641"/>
      <c r="BS215" s="1641"/>
      <c r="BT215" s="1641"/>
      <c r="BU215" s="1641"/>
      <c r="BV215" s="1641"/>
      <c r="BW215" s="1641"/>
      <c r="BX215" s="1641"/>
      <c r="BY215" s="1641"/>
      <c r="BZ215" s="1641"/>
      <c r="CA215" s="1641"/>
      <c r="CB215" s="1641"/>
      <c r="CC215" s="1641"/>
      <c r="CD215" s="1641"/>
      <c r="CE215" s="1641"/>
      <c r="CF215" s="1641"/>
      <c r="CG215" s="1691"/>
      <c r="CH215" s="1643">
        <v>0</v>
      </c>
      <c r="CI215" s="1641"/>
      <c r="CJ215" s="1641"/>
      <c r="CK215" s="1641"/>
      <c r="CL215" s="1558"/>
      <c r="CM215" s="1558"/>
      <c r="CN215" s="1558"/>
      <c r="CO215" s="1558"/>
      <c r="CP215" s="1558"/>
      <c r="CQ215" s="1558"/>
      <c r="CR215" s="1558"/>
      <c r="CS215" s="1558"/>
      <c r="CT215" s="1558"/>
      <c r="CU215" s="1558"/>
      <c r="CV215" s="1558"/>
      <c r="CW215" s="1558"/>
      <c r="CY215" s="1558"/>
    </row>
    <row r="216" spans="1:103" s="1559" customFormat="1" ht="14" x14ac:dyDescent="0.15">
      <c r="A216" s="1528" t="s">
        <v>767</v>
      </c>
      <c r="B216" s="1530" t="s">
        <v>79</v>
      </c>
      <c r="C216" s="1530" t="s">
        <v>100</v>
      </c>
      <c r="D216" s="1530" t="s">
        <v>117</v>
      </c>
      <c r="E216" s="1530" t="s">
        <v>229</v>
      </c>
      <c r="F216" s="1530" t="s">
        <v>768</v>
      </c>
      <c r="G216" s="1600" t="s">
        <v>766</v>
      </c>
      <c r="H216" s="1647">
        <f>I202</f>
        <v>0</v>
      </c>
      <c r="I216" s="1645"/>
      <c r="J216" s="1630"/>
      <c r="K216" s="1630"/>
      <c r="L216" s="1631"/>
      <c r="M216" s="1631"/>
      <c r="N216" s="1631"/>
      <c r="O216" s="1631"/>
      <c r="P216" s="1631"/>
      <c r="Q216" s="1631"/>
      <c r="R216" s="1631"/>
      <c r="S216" s="1631"/>
      <c r="T216" s="1632"/>
      <c r="U216" s="1633"/>
      <c r="V216" s="1633"/>
      <c r="W216" s="1634"/>
      <c r="X216" s="1634"/>
      <c r="Y216" s="1634"/>
      <c r="Z216" s="1635"/>
      <c r="AA216" s="1634"/>
      <c r="AB216" s="1634"/>
      <c r="AC216" s="1508">
        <f t="shared" si="151"/>
        <v>0</v>
      </c>
      <c r="AD216" s="1509">
        <f t="shared" si="152"/>
        <v>0</v>
      </c>
      <c r="AE216" s="1509"/>
      <c r="AF216" s="1509"/>
      <c r="AG216" s="1509"/>
      <c r="AH216" s="1490">
        <f t="shared" si="136"/>
        <v>0</v>
      </c>
      <c r="AI216" s="1636">
        <f t="shared" si="154"/>
        <v>0</v>
      </c>
      <c r="AJ216" s="1636"/>
      <c r="AK216" s="1636"/>
      <c r="AL216" s="1636">
        <f>J216-AF216</f>
        <v>0</v>
      </c>
      <c r="AM216" s="1636"/>
      <c r="AN216" s="1712"/>
      <c r="AO216" s="1712"/>
      <c r="AP216" s="1753"/>
      <c r="AQ216" s="1753"/>
      <c r="AR216" s="1753"/>
      <c r="AS216" s="1639"/>
      <c r="AT216" s="1753"/>
      <c r="AU216" s="1753"/>
      <c r="AV216" s="1753"/>
      <c r="AW216" s="1639"/>
      <c r="AX216" s="1641"/>
      <c r="AY216" s="1641"/>
      <c r="AZ216" s="1641"/>
      <c r="BA216" s="1641"/>
      <c r="BB216" s="1641"/>
      <c r="BC216" s="1641"/>
      <c r="BD216" s="1641"/>
      <c r="BE216" s="1644"/>
      <c r="BF216" s="1641"/>
      <c r="BG216" s="1641"/>
      <c r="BH216" s="1641"/>
      <c r="BI216" s="1641"/>
      <c r="BJ216" s="1641"/>
      <c r="BK216" s="1641"/>
      <c r="BL216" s="1641"/>
      <c r="BM216" s="1641"/>
      <c r="BN216" s="1641"/>
      <c r="BO216" s="1641"/>
      <c r="BP216" s="1641"/>
      <c r="BQ216" s="1641"/>
      <c r="BR216" s="1641"/>
      <c r="BS216" s="1641"/>
      <c r="BT216" s="1641"/>
      <c r="BU216" s="1641"/>
      <c r="BV216" s="1641"/>
      <c r="BW216" s="1641"/>
      <c r="BX216" s="1641"/>
      <c r="BY216" s="1641"/>
      <c r="BZ216" s="1641"/>
      <c r="CA216" s="1641"/>
      <c r="CB216" s="1641"/>
      <c r="CC216" s="1641"/>
      <c r="CD216" s="1641"/>
      <c r="CE216" s="1641"/>
      <c r="CF216" s="1641"/>
      <c r="CG216" s="1691"/>
      <c r="CH216" s="1643">
        <v>0</v>
      </c>
      <c r="CI216" s="1641"/>
      <c r="CJ216" s="1641"/>
      <c r="CK216" s="1641"/>
      <c r="CL216" s="1558"/>
      <c r="CM216" s="1558"/>
      <c r="CN216" s="1558"/>
      <c r="CO216" s="1558"/>
      <c r="CP216" s="1558"/>
      <c r="CQ216" s="1558"/>
      <c r="CR216" s="1558"/>
      <c r="CS216" s="1558"/>
      <c r="CT216" s="1558"/>
      <c r="CU216" s="1558"/>
      <c r="CV216" s="1558"/>
      <c r="CW216" s="1558"/>
      <c r="CY216" s="1558"/>
    </row>
    <row r="217" spans="1:103" s="1767" customFormat="1" ht="16" x14ac:dyDescent="0.15">
      <c r="A217" s="1528" t="s">
        <v>1136</v>
      </c>
      <c r="B217" s="1754" t="s">
        <v>79</v>
      </c>
      <c r="C217" s="1754" t="s">
        <v>100</v>
      </c>
      <c r="D217" s="1754" t="s">
        <v>120</v>
      </c>
      <c r="E217" s="1754" t="s">
        <v>121</v>
      </c>
      <c r="F217" s="1754" t="s">
        <v>171</v>
      </c>
      <c r="G217" s="1754" t="s">
        <v>95</v>
      </c>
      <c r="H217" s="1755">
        <f>536+252</f>
        <v>788</v>
      </c>
      <c r="I217" s="1630"/>
      <c r="J217" s="1630"/>
      <c r="K217" s="1630"/>
      <c r="L217" s="1631"/>
      <c r="M217" s="1631"/>
      <c r="N217" s="1631"/>
      <c r="O217" s="1631"/>
      <c r="P217" s="1631"/>
      <c r="Q217" s="1631"/>
      <c r="R217" s="1631"/>
      <c r="S217" s="1631"/>
      <c r="T217" s="1632"/>
      <c r="U217" s="1633"/>
      <c r="V217" s="1633"/>
      <c r="W217" s="1634"/>
      <c r="X217" s="1634"/>
      <c r="Y217" s="1634"/>
      <c r="Z217" s="1635"/>
      <c r="AA217" s="1634"/>
      <c r="AB217" s="1634"/>
      <c r="AC217" s="1508">
        <f t="shared" si="151"/>
        <v>778</v>
      </c>
      <c r="AD217" s="1756"/>
      <c r="AE217" s="1756"/>
      <c r="AF217" s="1756"/>
      <c r="AG217" s="1756"/>
      <c r="AH217" s="1490">
        <f t="shared" si="136"/>
        <v>0</v>
      </c>
      <c r="AI217" s="1636">
        <f t="shared" si="154"/>
        <v>10</v>
      </c>
      <c r="AJ217" s="1757"/>
      <c r="AK217" s="1757"/>
      <c r="AL217" s="1636">
        <f>J217-AF217</f>
        <v>0</v>
      </c>
      <c r="AM217" s="1757"/>
      <c r="AN217" s="1712"/>
      <c r="AO217" s="1758"/>
      <c r="AP217" s="1759"/>
      <c r="AQ217" s="1759"/>
      <c r="AR217" s="1759"/>
      <c r="AS217" s="1760"/>
      <c r="AT217" s="1759"/>
      <c r="AU217" s="1759"/>
      <c r="AV217" s="1759"/>
      <c r="AW217" s="1761">
        <v>536</v>
      </c>
      <c r="AX217" s="1761"/>
      <c r="AY217" s="1761"/>
      <c r="AZ217" s="1761"/>
      <c r="BA217" s="1762"/>
      <c r="BB217" s="1761"/>
      <c r="BC217" s="1761"/>
      <c r="BD217" s="1761"/>
      <c r="BE217" s="1763"/>
      <c r="BF217" s="1761"/>
      <c r="BG217" s="1761"/>
      <c r="BH217" s="1761"/>
      <c r="BI217" s="1762"/>
      <c r="BJ217" s="1761"/>
      <c r="BK217" s="1761"/>
      <c r="BL217" s="1761"/>
      <c r="BM217" s="1762"/>
      <c r="BN217" s="1761"/>
      <c r="BO217" s="1761"/>
      <c r="BP217" s="1761"/>
      <c r="BQ217" s="1762"/>
      <c r="BR217" s="1761"/>
      <c r="BS217" s="1761"/>
      <c r="BT217" s="1761"/>
      <c r="BU217" s="1762"/>
      <c r="BV217" s="1761"/>
      <c r="BW217" s="1761"/>
      <c r="BX217" s="1761"/>
      <c r="BY217" s="1762">
        <v>-10</v>
      </c>
      <c r="BZ217" s="1761"/>
      <c r="CA217" s="1761"/>
      <c r="CB217" s="1761"/>
      <c r="CC217" s="1762"/>
      <c r="CD217" s="1761"/>
      <c r="CE217" s="1761"/>
      <c r="CF217" s="1761"/>
      <c r="CG217" s="1764"/>
      <c r="CH217" s="1765">
        <v>252</v>
      </c>
      <c r="CI217" s="1761"/>
      <c r="CJ217" s="1761"/>
      <c r="CK217" s="1761"/>
      <c r="CL217" s="1766"/>
      <c r="CM217" s="1766"/>
      <c r="CN217" s="1766"/>
      <c r="CO217" s="1766"/>
      <c r="CP217" s="1766"/>
      <c r="CQ217" s="1766"/>
      <c r="CR217" s="1766"/>
      <c r="CS217" s="1766"/>
      <c r="CT217" s="1766"/>
      <c r="CU217" s="1766"/>
      <c r="CV217" s="1766"/>
      <c r="CW217" s="1766"/>
      <c r="CY217" s="1766"/>
    </row>
    <row r="218" spans="1:103" s="1767" customFormat="1" ht="16" x14ac:dyDescent="0.15">
      <c r="A218" s="1528" t="s">
        <v>253</v>
      </c>
      <c r="B218" s="1754" t="s">
        <v>79</v>
      </c>
      <c r="C218" s="1754" t="s">
        <v>100</v>
      </c>
      <c r="D218" s="1754" t="s">
        <v>120</v>
      </c>
      <c r="E218" s="1754" t="s">
        <v>209</v>
      </c>
      <c r="F218" s="1754" t="s">
        <v>269</v>
      </c>
      <c r="G218" s="1754" t="s">
        <v>1256</v>
      </c>
      <c r="H218" s="1755">
        <f>400-100</f>
        <v>300</v>
      </c>
      <c r="I218" s="1630"/>
      <c r="J218" s="1630"/>
      <c r="K218" s="1630"/>
      <c r="L218" s="1631"/>
      <c r="M218" s="1631"/>
      <c r="N218" s="1631"/>
      <c r="O218" s="1631"/>
      <c r="P218" s="1631"/>
      <c r="Q218" s="1631"/>
      <c r="R218" s="1631"/>
      <c r="S218" s="1631"/>
      <c r="T218" s="1632"/>
      <c r="U218" s="1633"/>
      <c r="V218" s="1633"/>
      <c r="W218" s="1634"/>
      <c r="X218" s="1634"/>
      <c r="Y218" s="1634"/>
      <c r="Z218" s="1635"/>
      <c r="AA218" s="1634"/>
      <c r="AB218" s="1634"/>
      <c r="AC218" s="1508">
        <f t="shared" si="151"/>
        <v>300</v>
      </c>
      <c r="AD218" s="1756"/>
      <c r="AE218" s="1756"/>
      <c r="AF218" s="1756"/>
      <c r="AG218" s="1756"/>
      <c r="AH218" s="1490">
        <f t="shared" si="136"/>
        <v>0</v>
      </c>
      <c r="AI218" s="1636"/>
      <c r="AJ218" s="1757"/>
      <c r="AK218" s="1757"/>
      <c r="AL218" s="1636">
        <f>J218-AF218</f>
        <v>0</v>
      </c>
      <c r="AM218" s="1757"/>
      <c r="AN218" s="1712"/>
      <c r="AO218" s="1758"/>
      <c r="AP218" s="1759"/>
      <c r="AQ218" s="1759"/>
      <c r="AR218" s="1759"/>
      <c r="AS218" s="1760"/>
      <c r="AT218" s="1759"/>
      <c r="AU218" s="1759"/>
      <c r="AV218" s="1759"/>
      <c r="AW218" s="1761"/>
      <c r="AX218" s="1761"/>
      <c r="AY218" s="1761"/>
      <c r="AZ218" s="1761"/>
      <c r="BA218" s="1762"/>
      <c r="BB218" s="1761"/>
      <c r="BC218" s="1761"/>
      <c r="BD218" s="1761"/>
      <c r="BE218" s="1763"/>
      <c r="BF218" s="1761"/>
      <c r="BG218" s="1761"/>
      <c r="BH218" s="1761"/>
      <c r="BI218" s="1762"/>
      <c r="BJ218" s="1761"/>
      <c r="BK218" s="1761"/>
      <c r="BL218" s="1761"/>
      <c r="BM218" s="1762">
        <f>400-100</f>
        <v>300</v>
      </c>
      <c r="BN218" s="1761"/>
      <c r="BO218" s="1761"/>
      <c r="BP218" s="1761"/>
      <c r="BQ218" s="1762"/>
      <c r="BR218" s="1761"/>
      <c r="BS218" s="1761"/>
      <c r="BT218" s="1761"/>
      <c r="BU218" s="1762"/>
      <c r="BV218" s="1761"/>
      <c r="BW218" s="1761"/>
      <c r="BX218" s="1761"/>
      <c r="BY218" s="1762"/>
      <c r="BZ218" s="1761"/>
      <c r="CA218" s="1761"/>
      <c r="CB218" s="1761"/>
      <c r="CC218" s="1762"/>
      <c r="CD218" s="1761"/>
      <c r="CE218" s="1761"/>
      <c r="CF218" s="1761"/>
      <c r="CG218" s="1764"/>
      <c r="CH218" s="1762"/>
      <c r="CI218" s="1761"/>
      <c r="CJ218" s="1761"/>
      <c r="CK218" s="1761"/>
      <c r="CL218" s="1766"/>
      <c r="CM218" s="1766"/>
      <c r="CN218" s="1766"/>
      <c r="CO218" s="1766"/>
      <c r="CP218" s="1766"/>
      <c r="CQ218" s="1766"/>
      <c r="CR218" s="1766"/>
      <c r="CS218" s="1766"/>
      <c r="CT218" s="1766"/>
      <c r="CU218" s="1766"/>
      <c r="CV218" s="1766"/>
      <c r="CW218" s="1766"/>
      <c r="CY218" s="1766"/>
    </row>
    <row r="219" spans="1:103" s="1767" customFormat="1" ht="16" x14ac:dyDescent="0.15">
      <c r="A219" s="1528"/>
      <c r="B219" s="1754" t="s">
        <v>79</v>
      </c>
      <c r="C219" s="1754" t="s">
        <v>100</v>
      </c>
      <c r="D219" s="1754" t="s">
        <v>120</v>
      </c>
      <c r="E219" s="1754" t="s">
        <v>209</v>
      </c>
      <c r="F219" s="1754" t="s">
        <v>269</v>
      </c>
      <c r="G219" s="1754" t="s">
        <v>95</v>
      </c>
      <c r="H219" s="1755">
        <f>100+100+2900-1500</f>
        <v>1600</v>
      </c>
      <c r="I219" s="1630"/>
      <c r="J219" s="1630"/>
      <c r="K219" s="1630"/>
      <c r="L219" s="1631"/>
      <c r="M219" s="1631"/>
      <c r="N219" s="1631"/>
      <c r="O219" s="1631"/>
      <c r="P219" s="1631"/>
      <c r="Q219" s="1631"/>
      <c r="R219" s="1631"/>
      <c r="S219" s="1631"/>
      <c r="T219" s="1632"/>
      <c r="U219" s="1633"/>
      <c r="V219" s="1633"/>
      <c r="W219" s="1634"/>
      <c r="X219" s="1634"/>
      <c r="Y219" s="1634"/>
      <c r="Z219" s="1635"/>
      <c r="AA219" s="1634"/>
      <c r="AB219" s="1634"/>
      <c r="AC219" s="1508">
        <f t="shared" si="151"/>
        <v>1600</v>
      </c>
      <c r="AD219" s="1756"/>
      <c r="AE219" s="1756"/>
      <c r="AF219" s="1756"/>
      <c r="AG219" s="1756"/>
      <c r="AH219" s="1490">
        <f t="shared" si="136"/>
        <v>0</v>
      </c>
      <c r="AI219" s="1636"/>
      <c r="AJ219" s="1757"/>
      <c r="AK219" s="1757"/>
      <c r="AL219" s="1636">
        <f>J219-AF219</f>
        <v>0</v>
      </c>
      <c r="AM219" s="1757"/>
      <c r="AN219" s="1712"/>
      <c r="AO219" s="1758"/>
      <c r="AP219" s="1759"/>
      <c r="AQ219" s="1759"/>
      <c r="AR219" s="1759"/>
      <c r="AS219" s="1760"/>
      <c r="AT219" s="1759"/>
      <c r="AU219" s="1759"/>
      <c r="AV219" s="1759"/>
      <c r="AW219" s="1761"/>
      <c r="AX219" s="1761"/>
      <c r="AY219" s="1761"/>
      <c r="AZ219" s="1761"/>
      <c r="BA219" s="1762"/>
      <c r="BB219" s="1761"/>
      <c r="BC219" s="1761"/>
      <c r="BD219" s="1761"/>
      <c r="BE219" s="1763"/>
      <c r="BF219" s="1761"/>
      <c r="BG219" s="1761"/>
      <c r="BH219" s="1761"/>
      <c r="BI219" s="1762"/>
      <c r="BJ219" s="1761"/>
      <c r="BK219" s="1761"/>
      <c r="BL219" s="1761"/>
      <c r="BM219" s="1762">
        <f>100+100</f>
        <v>200</v>
      </c>
      <c r="BN219" s="1761"/>
      <c r="BO219" s="1761"/>
      <c r="BP219" s="1761"/>
      <c r="BQ219" s="1762"/>
      <c r="BR219" s="1761"/>
      <c r="BS219" s="1761"/>
      <c r="BT219" s="1761"/>
      <c r="BU219" s="1762"/>
      <c r="BV219" s="1761"/>
      <c r="BW219" s="1761"/>
      <c r="BX219" s="1761"/>
      <c r="BY219" s="1762"/>
      <c r="BZ219" s="1761"/>
      <c r="CA219" s="1761"/>
      <c r="CB219" s="1761"/>
      <c r="CC219" s="1762"/>
      <c r="CD219" s="1761"/>
      <c r="CE219" s="1761"/>
      <c r="CF219" s="1761"/>
      <c r="CG219" s="1764"/>
      <c r="CH219" s="1762">
        <f>2900-1500</f>
        <v>1400</v>
      </c>
      <c r="CI219" s="1761"/>
      <c r="CJ219" s="1761"/>
      <c r="CK219" s="1761"/>
      <c r="CL219" s="1766"/>
      <c r="CM219" s="1766"/>
      <c r="CN219" s="1766"/>
      <c r="CO219" s="1766"/>
      <c r="CP219" s="1766"/>
      <c r="CQ219" s="1766"/>
      <c r="CR219" s="1766"/>
      <c r="CS219" s="1766"/>
      <c r="CT219" s="1766"/>
      <c r="CU219" s="1766"/>
      <c r="CV219" s="1766"/>
      <c r="CW219" s="1766"/>
      <c r="CY219" s="1766"/>
    </row>
    <row r="220" spans="1:103" s="1559" customFormat="1" ht="16" x14ac:dyDescent="0.15">
      <c r="A220" s="1768"/>
      <c r="B220" s="1769" t="s">
        <v>79</v>
      </c>
      <c r="C220" s="1769" t="s">
        <v>100</v>
      </c>
      <c r="D220" s="1769" t="s">
        <v>120</v>
      </c>
      <c r="E220" s="1769" t="s">
        <v>209</v>
      </c>
      <c r="F220" s="1769" t="s">
        <v>768</v>
      </c>
      <c r="G220" s="1769" t="s">
        <v>766</v>
      </c>
      <c r="H220" s="1770">
        <v>1500</v>
      </c>
      <c r="I220" s="1637"/>
      <c r="J220" s="1637"/>
      <c r="K220" s="1637"/>
      <c r="L220" s="1631"/>
      <c r="M220" s="1631"/>
      <c r="N220" s="1631"/>
      <c r="O220" s="1631"/>
      <c r="P220" s="1631"/>
      <c r="Q220" s="1631"/>
      <c r="R220" s="1631"/>
      <c r="S220" s="1631"/>
      <c r="T220" s="1637"/>
      <c r="U220" s="1637"/>
      <c r="V220" s="1637"/>
      <c r="W220" s="1637"/>
      <c r="X220" s="1637"/>
      <c r="Y220" s="1637"/>
      <c r="Z220" s="1637"/>
      <c r="AA220" s="1637"/>
      <c r="AB220" s="1637"/>
      <c r="AC220" s="1637"/>
      <c r="AD220" s="1771"/>
      <c r="AE220" s="1771"/>
      <c r="AF220" s="1771"/>
      <c r="AG220" s="1771"/>
      <c r="AH220" s="1772"/>
      <c r="AI220" s="1637"/>
      <c r="AJ220" s="1637"/>
      <c r="AK220" s="1637"/>
      <c r="AL220" s="1637"/>
      <c r="AM220" s="1637"/>
      <c r="AN220" s="1712"/>
      <c r="AO220" s="1712"/>
      <c r="AP220" s="1773"/>
      <c r="AQ220" s="1773"/>
      <c r="AR220" s="1773"/>
      <c r="AS220" s="1762"/>
      <c r="AT220" s="1773"/>
      <c r="AU220" s="1773"/>
      <c r="AV220" s="1773"/>
      <c r="AW220" s="1762"/>
      <c r="AX220" s="1762"/>
      <c r="AY220" s="1762"/>
      <c r="AZ220" s="1762"/>
      <c r="BA220" s="1762"/>
      <c r="BB220" s="1762"/>
      <c r="BC220" s="1762"/>
      <c r="BD220" s="1762"/>
      <c r="BE220" s="1763"/>
      <c r="BF220" s="1762"/>
      <c r="BG220" s="1762"/>
      <c r="BH220" s="1762"/>
      <c r="BI220" s="1762"/>
      <c r="BJ220" s="1762"/>
      <c r="BK220" s="1762"/>
      <c r="BL220" s="1762"/>
      <c r="BM220" s="1762"/>
      <c r="BN220" s="1762"/>
      <c r="BO220" s="1762"/>
      <c r="BP220" s="1762"/>
      <c r="BQ220" s="1762"/>
      <c r="BR220" s="1762"/>
      <c r="BS220" s="1762"/>
      <c r="BT220" s="1762"/>
      <c r="BU220" s="1762"/>
      <c r="BV220" s="1762"/>
      <c r="BW220" s="1762"/>
      <c r="BX220" s="1762"/>
      <c r="BY220" s="1762"/>
      <c r="BZ220" s="1762"/>
      <c r="CA220" s="1762"/>
      <c r="CB220" s="1762"/>
      <c r="CC220" s="1762"/>
      <c r="CD220" s="1762"/>
      <c r="CE220" s="1762"/>
      <c r="CF220" s="1762"/>
      <c r="CG220" s="1691"/>
      <c r="CH220" s="1762">
        <v>1500</v>
      </c>
      <c r="CI220" s="1762"/>
      <c r="CJ220" s="1762"/>
      <c r="CK220" s="1762"/>
      <c r="CL220" s="1558"/>
      <c r="CM220" s="1558"/>
      <c r="CN220" s="1558"/>
      <c r="CO220" s="1558"/>
      <c r="CP220" s="1558"/>
      <c r="CQ220" s="1558"/>
      <c r="CR220" s="1558"/>
      <c r="CS220" s="1558"/>
      <c r="CT220" s="1558"/>
      <c r="CU220" s="1558"/>
      <c r="CV220" s="1558"/>
      <c r="CW220" s="1558"/>
      <c r="CY220" s="1558"/>
    </row>
    <row r="221" spans="1:103" s="1527" customFormat="1" ht="18" x14ac:dyDescent="0.15">
      <c r="A221" s="1774" t="s">
        <v>1104</v>
      </c>
      <c r="B221" s="1775" t="s">
        <v>79</v>
      </c>
      <c r="C221" s="1775" t="s">
        <v>80</v>
      </c>
      <c r="D221" s="1482"/>
      <c r="E221" s="1470"/>
      <c r="F221" s="1470"/>
      <c r="G221" s="1470"/>
      <c r="H221" s="1517">
        <f>H239+H222+H951</f>
        <v>1281577.31305</v>
      </c>
      <c r="I221" s="1517">
        <f>I239+I222+I951</f>
        <v>367215.23</v>
      </c>
      <c r="J221" s="1517">
        <f>J239+J222+J951</f>
        <v>13689.92</v>
      </c>
      <c r="K221" s="1517">
        <f>K239+K222+K951</f>
        <v>54000.1</v>
      </c>
      <c r="L221" s="1518"/>
      <c r="M221" s="1518"/>
      <c r="N221" s="1518"/>
      <c r="O221" s="1518">
        <f>O239+O222+O951</f>
        <v>128.715</v>
      </c>
      <c r="P221" s="1518"/>
      <c r="Q221" s="1518"/>
      <c r="R221" s="1518"/>
      <c r="S221" s="1518"/>
      <c r="T221" s="1776"/>
      <c r="U221" s="1588"/>
      <c r="V221" s="1588"/>
      <c r="W221" s="1589"/>
      <c r="X221" s="1589"/>
      <c r="Y221" s="1589"/>
      <c r="Z221" s="1590"/>
      <c r="AA221" s="1589"/>
      <c r="AB221" s="1589"/>
      <c r="AC221" s="1532">
        <f t="shared" ref="AC221:AI221" si="158">AC239+AC222+AC951</f>
        <v>885865.17205000005</v>
      </c>
      <c r="AD221" s="1532">
        <f t="shared" si="158"/>
        <v>307905.25021999993</v>
      </c>
      <c r="AE221" s="1532">
        <f t="shared" si="158"/>
        <v>241215.23021999997</v>
      </c>
      <c r="AF221" s="1532">
        <f t="shared" si="158"/>
        <v>13689.92</v>
      </c>
      <c r="AG221" s="1532">
        <f t="shared" si="158"/>
        <v>53000.1</v>
      </c>
      <c r="AH221" s="1532">
        <f t="shared" si="158"/>
        <v>85382.517000000007</v>
      </c>
      <c r="AI221" s="1532">
        <f t="shared" si="158"/>
        <v>4.9999999999999503</v>
      </c>
      <c r="AJ221" s="1532">
        <f>AJ239+AJ222+AJ951</f>
        <v>126999.99978</v>
      </c>
      <c r="AK221" s="1532">
        <f>AK239+AK222+AK951</f>
        <v>125999.99978</v>
      </c>
      <c r="AL221" s="1636">
        <f>J221-AF221</f>
        <v>0</v>
      </c>
      <c r="AM221" s="1532">
        <f>AM239+AM222+AM951</f>
        <v>2000</v>
      </c>
      <c r="AN221" s="1539"/>
      <c r="AO221" s="1532">
        <f t="shared" ref="AO221:CK221" si="159">AO239+AO222+AO951</f>
        <v>70664.926999999996</v>
      </c>
      <c r="AP221" s="1532">
        <f t="shared" si="159"/>
        <v>1595.1799999999998</v>
      </c>
      <c r="AQ221" s="1532">
        <f t="shared" si="159"/>
        <v>149.6</v>
      </c>
      <c r="AR221" s="1532">
        <f t="shared" si="159"/>
        <v>0</v>
      </c>
      <c r="AS221" s="1590">
        <f t="shared" si="159"/>
        <v>60768.9</v>
      </c>
      <c r="AT221" s="1532">
        <f t="shared" si="159"/>
        <v>100</v>
      </c>
      <c r="AU221" s="1532">
        <f t="shared" si="159"/>
        <v>0</v>
      </c>
      <c r="AV221" s="1532">
        <f t="shared" si="159"/>
        <v>0</v>
      </c>
      <c r="AW221" s="1590">
        <f t="shared" si="159"/>
        <v>62542.400000000001</v>
      </c>
      <c r="AX221" s="1532">
        <f t="shared" si="159"/>
        <v>18018.2</v>
      </c>
      <c r="AY221" s="1532">
        <f t="shared" si="159"/>
        <v>0</v>
      </c>
      <c r="AZ221" s="1532">
        <f t="shared" si="159"/>
        <v>0</v>
      </c>
      <c r="BA221" s="1539">
        <f t="shared" si="159"/>
        <v>88930.235000000001</v>
      </c>
      <c r="BB221" s="1532">
        <f t="shared" si="159"/>
        <v>15010</v>
      </c>
      <c r="BC221" s="1532">
        <f t="shared" si="159"/>
        <v>0</v>
      </c>
      <c r="BD221" s="1532">
        <f t="shared" si="159"/>
        <v>3720</v>
      </c>
      <c r="BE221" s="1539">
        <f t="shared" si="159"/>
        <v>83585.809049999967</v>
      </c>
      <c r="BF221" s="1532">
        <f t="shared" si="159"/>
        <v>10962.369999999999</v>
      </c>
      <c r="BG221" s="1532">
        <f t="shared" si="159"/>
        <v>0</v>
      </c>
      <c r="BH221" s="1532">
        <f t="shared" si="159"/>
        <v>8067.7289999999994</v>
      </c>
      <c r="BI221" s="1539">
        <f t="shared" si="159"/>
        <v>60321.637000000017</v>
      </c>
      <c r="BJ221" s="1532">
        <f t="shared" si="159"/>
        <v>17337.215</v>
      </c>
      <c r="BK221" s="1532">
        <f t="shared" si="159"/>
        <v>0</v>
      </c>
      <c r="BL221" s="1532">
        <f t="shared" si="159"/>
        <v>9999.9000000000015</v>
      </c>
      <c r="BM221" s="1539">
        <f t="shared" si="159"/>
        <v>114264.51499999998</v>
      </c>
      <c r="BN221" s="1532">
        <f t="shared" si="159"/>
        <v>22568.03</v>
      </c>
      <c r="BO221" s="1532">
        <f t="shared" si="159"/>
        <v>0</v>
      </c>
      <c r="BP221" s="1532">
        <f t="shared" si="159"/>
        <v>24200.1</v>
      </c>
      <c r="BQ221" s="1539">
        <f t="shared" si="159"/>
        <v>70614.64999999998</v>
      </c>
      <c r="BR221" s="1532">
        <f t="shared" si="159"/>
        <v>14010.7</v>
      </c>
      <c r="BS221" s="1532">
        <f t="shared" si="159"/>
        <v>0</v>
      </c>
      <c r="BT221" s="1532">
        <f t="shared" si="159"/>
        <v>900</v>
      </c>
      <c r="BU221" s="1539">
        <f t="shared" si="159"/>
        <v>63120.21</v>
      </c>
      <c r="BV221" s="1532">
        <f t="shared" si="159"/>
        <v>31536.433219999999</v>
      </c>
      <c r="BW221" s="1532">
        <f t="shared" si="159"/>
        <v>5279.7</v>
      </c>
      <c r="BX221" s="1532">
        <f t="shared" si="159"/>
        <v>17454.471000000001</v>
      </c>
      <c r="BY221" s="1539">
        <f t="shared" si="159"/>
        <v>51730.275000000009</v>
      </c>
      <c r="BZ221" s="1532">
        <f t="shared" si="159"/>
        <v>8983.4380000000019</v>
      </c>
      <c r="CA221" s="1532">
        <f t="shared" si="159"/>
        <v>1326.5</v>
      </c>
      <c r="CB221" s="1532">
        <f t="shared" si="159"/>
        <v>2600</v>
      </c>
      <c r="CC221" s="1539">
        <f t="shared" si="159"/>
        <v>81323.102999999974</v>
      </c>
      <c r="CD221" s="1532">
        <f t="shared" si="159"/>
        <v>933.07799999999997</v>
      </c>
      <c r="CE221" s="1532">
        <f t="shared" si="159"/>
        <v>0</v>
      </c>
      <c r="CF221" s="1532">
        <f t="shared" si="159"/>
        <v>0</v>
      </c>
      <c r="CG221" s="1777"/>
      <c r="CH221" s="1539">
        <f t="shared" si="159"/>
        <v>49133.715999999993</v>
      </c>
      <c r="CI221" s="1532">
        <f t="shared" si="159"/>
        <v>76160.58600000001</v>
      </c>
      <c r="CJ221" s="1532">
        <f t="shared" si="159"/>
        <v>6934.119999999999</v>
      </c>
      <c r="CK221" s="1532">
        <f t="shared" si="159"/>
        <v>13057.900000000001</v>
      </c>
      <c r="CL221" s="1526"/>
      <c r="CM221" s="1526"/>
      <c r="CN221" s="1526"/>
      <c r="CO221" s="1526"/>
      <c r="CP221" s="1526"/>
      <c r="CQ221" s="1526"/>
      <c r="CR221" s="1526"/>
      <c r="CS221" s="1526"/>
      <c r="CT221" s="1526"/>
      <c r="CU221" s="1526"/>
      <c r="CV221" s="1526"/>
      <c r="CW221" s="1526"/>
      <c r="CY221" s="1526"/>
    </row>
    <row r="222" spans="1:103" s="1527" customFormat="1" ht="18" x14ac:dyDescent="0.15">
      <c r="A222" s="1774" t="s">
        <v>1137</v>
      </c>
      <c r="B222" s="1775" t="s">
        <v>79</v>
      </c>
      <c r="C222" s="1775" t="s">
        <v>80</v>
      </c>
      <c r="D222" s="1775" t="s">
        <v>125</v>
      </c>
      <c r="E222" s="1470"/>
      <c r="F222" s="1470"/>
      <c r="G222" s="1470"/>
      <c r="H222" s="1517">
        <f>H223+H279+H981+H980+H935+H986+H988+H990</f>
        <v>1247348.24205</v>
      </c>
      <c r="I222" s="1517">
        <f>I223+I279+I981+I980+I949+I935</f>
        <v>367215.23</v>
      </c>
      <c r="J222" s="1517">
        <f>J223+J279+J981+J980+J949+J935</f>
        <v>13540.32</v>
      </c>
      <c r="K222" s="1517">
        <f>K223+K279+K981+K980+K949+K935</f>
        <v>54000.1</v>
      </c>
      <c r="L222" s="1518"/>
      <c r="M222" s="1518"/>
      <c r="N222" s="1518"/>
      <c r="O222" s="1518">
        <f>O223+O279+O981+O980+O949+O935</f>
        <v>128.715</v>
      </c>
      <c r="P222" s="1518"/>
      <c r="Q222" s="1518"/>
      <c r="R222" s="1518"/>
      <c r="S222" s="1518"/>
      <c r="T222" s="1776"/>
      <c r="U222" s="1588">
        <f>U223+U279+U981+U980+U949+U935</f>
        <v>0</v>
      </c>
      <c r="V222" s="1588"/>
      <c r="W222" s="1532"/>
      <c r="X222" s="1532"/>
      <c r="Y222" s="1532"/>
      <c r="Z222" s="1590"/>
      <c r="AA222" s="1532"/>
      <c r="AB222" s="1532"/>
      <c r="AC222" s="1532">
        <f t="shared" ref="AC222:AI222" si="160">AC223+AC279+AC981+AC980+AC935+AC986+AC988+AC990</f>
        <v>852133.01205000002</v>
      </c>
      <c r="AD222" s="1532">
        <f t="shared" si="160"/>
        <v>307755.65021999995</v>
      </c>
      <c r="AE222" s="1532">
        <f t="shared" si="160"/>
        <v>241215.23021999997</v>
      </c>
      <c r="AF222" s="1532">
        <f t="shared" si="160"/>
        <v>13540.32</v>
      </c>
      <c r="AG222" s="1532">
        <f t="shared" si="160"/>
        <v>53000.1</v>
      </c>
      <c r="AH222" s="1532">
        <f t="shared" si="160"/>
        <v>85382.517000000007</v>
      </c>
      <c r="AI222" s="1532">
        <f t="shared" si="160"/>
        <v>7.1054273576010019E-15</v>
      </c>
      <c r="AJ222" s="1532">
        <f>AJ223</f>
        <v>126999.99978</v>
      </c>
      <c r="AK222" s="1532">
        <f>AK223+AK279+AK981+AK980+AK949+AK935</f>
        <v>125999.99978</v>
      </c>
      <c r="AL222" s="1532">
        <f>AL223+AL279+AL981+AL980+AL949+AL935</f>
        <v>0</v>
      </c>
      <c r="AM222" s="1532">
        <f>AM223+AM279+AM981+AM980+AM949+AM935</f>
        <v>2000</v>
      </c>
      <c r="AN222" s="1539"/>
      <c r="AO222" s="1532">
        <f t="shared" ref="AO222:CN222" si="161">AO223+AO279+AO981+AO980+AO949+AO935</f>
        <v>67361.7</v>
      </c>
      <c r="AP222" s="1532">
        <f t="shared" si="161"/>
        <v>1595.1799999999998</v>
      </c>
      <c r="AQ222" s="1532">
        <f t="shared" si="161"/>
        <v>0</v>
      </c>
      <c r="AR222" s="1532">
        <f t="shared" si="161"/>
        <v>0</v>
      </c>
      <c r="AS222" s="1590">
        <f t="shared" si="161"/>
        <v>58765.700000000004</v>
      </c>
      <c r="AT222" s="1532">
        <f t="shared" si="161"/>
        <v>100</v>
      </c>
      <c r="AU222" s="1532">
        <f t="shared" si="161"/>
        <v>0</v>
      </c>
      <c r="AV222" s="1532">
        <f t="shared" si="161"/>
        <v>0</v>
      </c>
      <c r="AW222" s="1532">
        <f t="shared" si="161"/>
        <v>59958.1</v>
      </c>
      <c r="AX222" s="1532">
        <f t="shared" si="161"/>
        <v>18018.2</v>
      </c>
      <c r="AY222" s="1532">
        <f t="shared" si="161"/>
        <v>0</v>
      </c>
      <c r="AZ222" s="1532">
        <f t="shared" si="161"/>
        <v>0</v>
      </c>
      <c r="BA222" s="1539">
        <f t="shared" si="161"/>
        <v>85226.31</v>
      </c>
      <c r="BB222" s="1532">
        <f t="shared" si="161"/>
        <v>15010</v>
      </c>
      <c r="BC222" s="1532">
        <f t="shared" si="161"/>
        <v>0</v>
      </c>
      <c r="BD222" s="1532">
        <f t="shared" si="161"/>
        <v>3720</v>
      </c>
      <c r="BE222" s="1539">
        <f t="shared" si="161"/>
        <v>81361.170049999972</v>
      </c>
      <c r="BF222" s="1532">
        <f t="shared" si="161"/>
        <v>10962.369999999999</v>
      </c>
      <c r="BG222" s="1532">
        <f t="shared" si="161"/>
        <v>0</v>
      </c>
      <c r="BH222" s="1532">
        <f t="shared" si="161"/>
        <v>8067.7289999999994</v>
      </c>
      <c r="BI222" s="1539">
        <f t="shared" si="161"/>
        <v>59255.737000000016</v>
      </c>
      <c r="BJ222" s="1532">
        <f t="shared" si="161"/>
        <v>17337.215</v>
      </c>
      <c r="BK222" s="1532">
        <f t="shared" si="161"/>
        <v>0</v>
      </c>
      <c r="BL222" s="1532">
        <f t="shared" si="161"/>
        <v>9999.9000000000015</v>
      </c>
      <c r="BM222" s="1539">
        <f t="shared" si="161"/>
        <v>108339.16999999998</v>
      </c>
      <c r="BN222" s="1532">
        <f t="shared" si="161"/>
        <v>22568.03</v>
      </c>
      <c r="BO222" s="1532">
        <f t="shared" si="161"/>
        <v>0</v>
      </c>
      <c r="BP222" s="1532">
        <f t="shared" si="161"/>
        <v>24200.1</v>
      </c>
      <c r="BQ222" s="1539">
        <f t="shared" si="161"/>
        <v>67774.749999999985</v>
      </c>
      <c r="BR222" s="1532">
        <f t="shared" si="161"/>
        <v>14010.7</v>
      </c>
      <c r="BS222" s="1532">
        <f t="shared" si="161"/>
        <v>0</v>
      </c>
      <c r="BT222" s="1532">
        <f t="shared" si="161"/>
        <v>900</v>
      </c>
      <c r="BU222" s="1539">
        <f t="shared" si="161"/>
        <v>62580.71</v>
      </c>
      <c r="BV222" s="1532">
        <f t="shared" si="161"/>
        <v>31536.433219999999</v>
      </c>
      <c r="BW222" s="1532">
        <f t="shared" si="161"/>
        <v>5279.7</v>
      </c>
      <c r="BX222" s="1532">
        <f t="shared" si="161"/>
        <v>17454.471000000001</v>
      </c>
      <c r="BY222" s="1539">
        <f t="shared" si="161"/>
        <v>47845.700000000012</v>
      </c>
      <c r="BZ222" s="1532">
        <f t="shared" si="161"/>
        <v>8983.4380000000019</v>
      </c>
      <c r="CA222" s="1532">
        <f t="shared" si="161"/>
        <v>1326.5</v>
      </c>
      <c r="CB222" s="1532">
        <f t="shared" si="161"/>
        <v>2600</v>
      </c>
      <c r="CC222" s="1539">
        <f t="shared" si="161"/>
        <v>78815.282999999981</v>
      </c>
      <c r="CD222" s="1532">
        <f t="shared" si="161"/>
        <v>933.07799999999997</v>
      </c>
      <c r="CE222" s="1532">
        <f t="shared" si="161"/>
        <v>0</v>
      </c>
      <c r="CF222" s="1532">
        <f t="shared" si="161"/>
        <v>0</v>
      </c>
      <c r="CG222" s="1777"/>
      <c r="CH222" s="1539">
        <f t="shared" si="161"/>
        <v>45993.366999999991</v>
      </c>
      <c r="CI222" s="1532">
        <f t="shared" si="161"/>
        <v>76160.58600000001</v>
      </c>
      <c r="CJ222" s="1532">
        <f t="shared" si="161"/>
        <v>6934.119999999999</v>
      </c>
      <c r="CK222" s="1532">
        <f t="shared" si="161"/>
        <v>13057.900000000001</v>
      </c>
      <c r="CL222" s="1532"/>
      <c r="CM222" s="1532">
        <f t="shared" si="161"/>
        <v>0</v>
      </c>
      <c r="CN222" s="1532">
        <f t="shared" si="161"/>
        <v>0</v>
      </c>
      <c r="CO222" s="1778"/>
      <c r="CP222" s="1778"/>
      <c r="CQ222" s="1778"/>
      <c r="CR222" s="1778"/>
      <c r="CS222" s="1778"/>
      <c r="CT222" s="1778"/>
      <c r="CU222" s="1778"/>
      <c r="CV222" s="1778"/>
      <c r="CW222" s="1778"/>
      <c r="CY222" s="1526"/>
    </row>
    <row r="223" spans="1:103" s="1527" customFormat="1" ht="26" x14ac:dyDescent="0.15">
      <c r="A223" s="1779" t="s">
        <v>1125</v>
      </c>
      <c r="B223" s="1780" t="s">
        <v>79</v>
      </c>
      <c r="C223" s="1780" t="s">
        <v>80</v>
      </c>
      <c r="D223" s="1780" t="s">
        <v>125</v>
      </c>
      <c r="E223" s="1780"/>
      <c r="F223" s="1780">
        <v>600</v>
      </c>
      <c r="G223" s="1781"/>
      <c r="H223" s="1502">
        <f>H224+H238</f>
        <v>1187994.5879500001</v>
      </c>
      <c r="I223" s="1502">
        <f>I224+I238+I625</f>
        <v>367215.23</v>
      </c>
      <c r="J223" s="1502">
        <f>J224+J238+J625</f>
        <v>13540.32</v>
      </c>
      <c r="K223" s="1502">
        <f>K224+K238+K625</f>
        <v>26000.1</v>
      </c>
      <c r="L223" s="1503"/>
      <c r="M223" s="1503"/>
      <c r="N223" s="1503"/>
      <c r="O223" s="1503">
        <f>O224+O238+O625</f>
        <v>128.715</v>
      </c>
      <c r="P223" s="1503"/>
      <c r="Q223" s="1503"/>
      <c r="R223" s="1503"/>
      <c r="S223" s="1503"/>
      <c r="T223" s="1504"/>
      <c r="U223" s="1505"/>
      <c r="V223" s="1505"/>
      <c r="W223" s="1506"/>
      <c r="X223" s="1506"/>
      <c r="Y223" s="1506"/>
      <c r="Z223" s="1507"/>
      <c r="AA223" s="1506"/>
      <c r="AB223" s="1506"/>
      <c r="AC223" s="1524">
        <f t="shared" ref="AC223:CM223" si="162">AC224+AC238+AC987+AC989+AC991+AC949</f>
        <v>792779.35794999998</v>
      </c>
      <c r="AD223" s="1524">
        <f t="shared" si="162"/>
        <v>307755.65021999995</v>
      </c>
      <c r="AE223" s="1524">
        <f t="shared" si="162"/>
        <v>241215.23021999997</v>
      </c>
      <c r="AF223" s="1524">
        <f t="shared" si="162"/>
        <v>13540.32</v>
      </c>
      <c r="AG223" s="1524">
        <f t="shared" si="162"/>
        <v>53000.1</v>
      </c>
      <c r="AH223" s="1524">
        <f t="shared" si="162"/>
        <v>54561.762900000002</v>
      </c>
      <c r="AI223" s="1524">
        <f t="shared" si="162"/>
        <v>7.1054273576010019E-15</v>
      </c>
      <c r="AJ223" s="1524">
        <f t="shared" si="162"/>
        <v>126999.99978</v>
      </c>
      <c r="AK223" s="1524">
        <f t="shared" si="162"/>
        <v>125999.99978</v>
      </c>
      <c r="AL223" s="1524">
        <f t="shared" si="162"/>
        <v>0</v>
      </c>
      <c r="AM223" s="1524">
        <f t="shared" si="162"/>
        <v>1000</v>
      </c>
      <c r="AN223" s="1524">
        <f t="shared" si="162"/>
        <v>0</v>
      </c>
      <c r="AO223" s="1524">
        <f t="shared" si="162"/>
        <v>65253.599999999991</v>
      </c>
      <c r="AP223" s="1524">
        <f t="shared" si="162"/>
        <v>1595.1799999999998</v>
      </c>
      <c r="AQ223" s="1524">
        <f t="shared" si="162"/>
        <v>0</v>
      </c>
      <c r="AR223" s="1524">
        <f t="shared" si="162"/>
        <v>0</v>
      </c>
      <c r="AS223" s="1507">
        <f t="shared" si="162"/>
        <v>58007.600000000006</v>
      </c>
      <c r="AT223" s="1524">
        <f t="shared" si="162"/>
        <v>100</v>
      </c>
      <c r="AU223" s="1524">
        <f t="shared" si="162"/>
        <v>0</v>
      </c>
      <c r="AV223" s="1524">
        <f t="shared" si="162"/>
        <v>0</v>
      </c>
      <c r="AW223" s="1524">
        <f t="shared" si="162"/>
        <v>59258.1</v>
      </c>
      <c r="AX223" s="1524">
        <f t="shared" si="162"/>
        <v>18018.2</v>
      </c>
      <c r="AY223" s="1524">
        <f t="shared" si="162"/>
        <v>0</v>
      </c>
      <c r="AZ223" s="1524">
        <f t="shared" si="162"/>
        <v>0</v>
      </c>
      <c r="BA223" s="1511">
        <f t="shared" si="162"/>
        <v>75189.11</v>
      </c>
      <c r="BB223" s="1524">
        <f t="shared" si="162"/>
        <v>15010</v>
      </c>
      <c r="BC223" s="1524">
        <f t="shared" si="162"/>
        <v>0</v>
      </c>
      <c r="BD223" s="1524">
        <f t="shared" si="162"/>
        <v>2480</v>
      </c>
      <c r="BE223" s="1511">
        <f t="shared" si="162"/>
        <v>77863.770049999977</v>
      </c>
      <c r="BF223" s="1524">
        <f t="shared" si="162"/>
        <v>10962.369999999999</v>
      </c>
      <c r="BG223" s="1524">
        <f t="shared" si="162"/>
        <v>0</v>
      </c>
      <c r="BH223" s="1524">
        <f t="shared" si="162"/>
        <v>5378.4859999999999</v>
      </c>
      <c r="BI223" s="1511">
        <f t="shared" si="162"/>
        <v>55222.437000000013</v>
      </c>
      <c r="BJ223" s="1524">
        <f t="shared" si="162"/>
        <v>17337.215</v>
      </c>
      <c r="BK223" s="1524">
        <f t="shared" si="162"/>
        <v>0</v>
      </c>
      <c r="BL223" s="1524">
        <f t="shared" si="162"/>
        <v>6666.6</v>
      </c>
      <c r="BM223" s="1511">
        <f t="shared" si="162"/>
        <v>102604.16999999998</v>
      </c>
      <c r="BN223" s="1524">
        <f t="shared" si="162"/>
        <v>22568.03</v>
      </c>
      <c r="BO223" s="1524">
        <f t="shared" si="162"/>
        <v>0</v>
      </c>
      <c r="BP223" s="1524">
        <f t="shared" si="162"/>
        <v>16133.4</v>
      </c>
      <c r="BQ223" s="1511">
        <f t="shared" si="162"/>
        <v>66774.749999999985</v>
      </c>
      <c r="BR223" s="1524">
        <f t="shared" si="162"/>
        <v>14010.7</v>
      </c>
      <c r="BS223" s="1524">
        <f t="shared" si="162"/>
        <v>0</v>
      </c>
      <c r="BT223" s="1524">
        <f t="shared" si="162"/>
        <v>600</v>
      </c>
      <c r="BU223" s="1511">
        <f t="shared" si="162"/>
        <v>61822.71</v>
      </c>
      <c r="BV223" s="1524">
        <f t="shared" si="162"/>
        <v>31536.433219999999</v>
      </c>
      <c r="BW223" s="1524">
        <f t="shared" si="162"/>
        <v>5279.7</v>
      </c>
      <c r="BX223" s="1524">
        <f t="shared" si="162"/>
        <v>11636.314</v>
      </c>
      <c r="BY223" s="1511">
        <f t="shared" si="162"/>
        <v>42937.700000000012</v>
      </c>
      <c r="BZ223" s="1524">
        <f t="shared" si="162"/>
        <v>8983.4380000000019</v>
      </c>
      <c r="CA223" s="1524">
        <f t="shared" si="162"/>
        <v>1326.5</v>
      </c>
      <c r="CB223" s="1524">
        <f t="shared" si="162"/>
        <v>1600</v>
      </c>
      <c r="CC223" s="1524">
        <f t="shared" si="162"/>
        <v>78008.082999999984</v>
      </c>
      <c r="CD223" s="1524">
        <f t="shared" si="162"/>
        <v>933.07799999999997</v>
      </c>
      <c r="CE223" s="1524">
        <f t="shared" si="162"/>
        <v>0</v>
      </c>
      <c r="CF223" s="1524">
        <f t="shared" si="162"/>
        <v>0</v>
      </c>
      <c r="CG223" s="1524">
        <f t="shared" si="162"/>
        <v>12675.9609</v>
      </c>
      <c r="CH223" s="1524">
        <f t="shared" si="162"/>
        <v>44432.066999999995</v>
      </c>
      <c r="CI223" s="1524">
        <f t="shared" si="162"/>
        <v>76160.58600000001</v>
      </c>
      <c r="CJ223" s="1524">
        <f t="shared" si="162"/>
        <v>6934.119999999999</v>
      </c>
      <c r="CK223" s="1524">
        <f t="shared" si="162"/>
        <v>8505.3000000000011</v>
      </c>
      <c r="CL223" s="1524">
        <f t="shared" si="162"/>
        <v>0</v>
      </c>
      <c r="CM223" s="1524">
        <f t="shared" si="162"/>
        <v>0</v>
      </c>
      <c r="CN223" s="1782">
        <f>CN224+CN238+CN625</f>
        <v>0</v>
      </c>
      <c r="CO223" s="1783"/>
      <c r="CP223" s="1783"/>
      <c r="CQ223" s="1783"/>
      <c r="CR223" s="1783"/>
      <c r="CS223" s="1783"/>
      <c r="CT223" s="1783"/>
      <c r="CU223" s="1783"/>
      <c r="CV223" s="1783"/>
      <c r="CW223" s="1783"/>
      <c r="CY223" s="1526"/>
    </row>
    <row r="224" spans="1:103" s="1496" customFormat="1" ht="39" x14ac:dyDescent="0.15">
      <c r="A224" s="1528" t="s">
        <v>764</v>
      </c>
      <c r="B224" s="1529" t="s">
        <v>79</v>
      </c>
      <c r="C224" s="1529" t="s">
        <v>80</v>
      </c>
      <c r="D224" s="1530" t="s">
        <v>125</v>
      </c>
      <c r="E224" s="1530"/>
      <c r="F224" s="1530" t="s">
        <v>765</v>
      </c>
      <c r="G224" s="1530" t="s">
        <v>766</v>
      </c>
      <c r="H224" s="1517">
        <f>H225+H226+H227+H228+H229+H230+H231+H232+H233+H234+H235+H236+H237+H625</f>
        <v>780103.39705000003</v>
      </c>
      <c r="I224" s="1517">
        <f>I225+I226+I227+I228+I229+I230+I231+I232+I233+I234+I235+I236+I237</f>
        <v>367215.23</v>
      </c>
      <c r="J224" s="1517">
        <f>J225+J226+J227+J228+J229+J230+J231+J232+J233+J234+J235+J236+J237</f>
        <v>13540.32</v>
      </c>
      <c r="K224" s="1517">
        <f t="shared" ref="K224:CK224" si="163">K225+K226+K227+K228+K229+K230+K231+K232+K233+K234+K235+K236+K237</f>
        <v>26000.1</v>
      </c>
      <c r="L224" s="1517">
        <f t="shared" si="163"/>
        <v>390</v>
      </c>
      <c r="M224" s="1517">
        <f t="shared" si="163"/>
        <v>63</v>
      </c>
      <c r="N224" s="1517">
        <f t="shared" si="163"/>
        <v>1350</v>
      </c>
      <c r="O224" s="1517">
        <f t="shared" si="163"/>
        <v>128.715</v>
      </c>
      <c r="P224" s="1517">
        <f t="shared" si="163"/>
        <v>3300</v>
      </c>
      <c r="Q224" s="1517">
        <f t="shared" si="163"/>
        <v>9247.2454999999991</v>
      </c>
      <c r="R224" s="1517">
        <f t="shared" si="163"/>
        <v>1000</v>
      </c>
      <c r="S224" s="1601">
        <f>S225+S226+S227+S228+S229+S230+S231+S232+S233+S234+S235+S236+S237</f>
        <v>15330.96</v>
      </c>
      <c r="T224" s="1602"/>
      <c r="U224" s="1533"/>
      <c r="V224" s="1533"/>
      <c r="W224" s="1534"/>
      <c r="X224" s="1534"/>
      <c r="Y224" s="1534"/>
      <c r="Z224" s="1535"/>
      <c r="AA224" s="1534"/>
      <c r="AB224" s="1534"/>
      <c r="AC224" s="1536">
        <f t="shared" ref="AC224:AI224" si="164">AC225+AC226+AC227+AC228+AC229+AC230+AC231+AC232+AC233+AC234+AC235+AC236+AC237+AC625</f>
        <v>780103.39705000003</v>
      </c>
      <c r="AD224" s="1536">
        <f t="shared" si="164"/>
        <v>280755.65021999995</v>
      </c>
      <c r="AE224" s="1536">
        <f t="shared" si="164"/>
        <v>241215.23021999997</v>
      </c>
      <c r="AF224" s="1536">
        <f t="shared" si="164"/>
        <v>13540.32</v>
      </c>
      <c r="AG224" s="1536">
        <f t="shared" si="164"/>
        <v>26000.1</v>
      </c>
      <c r="AH224" s="1536">
        <f t="shared" si="164"/>
        <v>41885.802000000003</v>
      </c>
      <c r="AI224" s="1536">
        <f t="shared" si="164"/>
        <v>7.1054273576010019E-15</v>
      </c>
      <c r="AJ224" s="1537">
        <f>AK224+AM224</f>
        <v>125999.99978</v>
      </c>
      <c r="AK224" s="1537">
        <f t="shared" si="163"/>
        <v>125999.99978</v>
      </c>
      <c r="AL224" s="1636">
        <f>J224-AF224</f>
        <v>0</v>
      </c>
      <c r="AM224" s="1537">
        <f t="shared" si="163"/>
        <v>0</v>
      </c>
      <c r="AN224" s="1538"/>
      <c r="AO224" s="1536">
        <f t="shared" si="163"/>
        <v>65253.599999999991</v>
      </c>
      <c r="AP224" s="1536">
        <f t="shared" si="163"/>
        <v>1595.1799999999998</v>
      </c>
      <c r="AQ224" s="1536">
        <f t="shared" si="163"/>
        <v>0</v>
      </c>
      <c r="AR224" s="1536">
        <f t="shared" si="163"/>
        <v>0</v>
      </c>
      <c r="AS224" s="1535">
        <f t="shared" si="163"/>
        <v>58007.600000000006</v>
      </c>
      <c r="AT224" s="1536">
        <f t="shared" si="163"/>
        <v>100</v>
      </c>
      <c r="AU224" s="1536">
        <f t="shared" si="163"/>
        <v>0</v>
      </c>
      <c r="AV224" s="1536">
        <f t="shared" si="163"/>
        <v>0</v>
      </c>
      <c r="AW224" s="1535">
        <f t="shared" si="163"/>
        <v>59258.1</v>
      </c>
      <c r="AX224" s="1536">
        <f t="shared" si="163"/>
        <v>18018.2</v>
      </c>
      <c r="AY224" s="1536">
        <f t="shared" si="163"/>
        <v>0</v>
      </c>
      <c r="AZ224" s="1536">
        <f t="shared" si="163"/>
        <v>0</v>
      </c>
      <c r="BA224" s="1538">
        <f t="shared" si="163"/>
        <v>73949.11</v>
      </c>
      <c r="BB224" s="1536">
        <f t="shared" si="163"/>
        <v>15010</v>
      </c>
      <c r="BC224" s="1536">
        <f t="shared" si="163"/>
        <v>0</v>
      </c>
      <c r="BD224" s="1536">
        <f t="shared" si="163"/>
        <v>1240</v>
      </c>
      <c r="BE224" s="1539">
        <f t="shared" si="163"/>
        <v>75066.370049999983</v>
      </c>
      <c r="BF224" s="1536">
        <f t="shared" si="163"/>
        <v>10962.369999999999</v>
      </c>
      <c r="BG224" s="1536">
        <f t="shared" si="163"/>
        <v>0</v>
      </c>
      <c r="BH224" s="1536">
        <f t="shared" si="163"/>
        <v>2689.2429999999999</v>
      </c>
      <c r="BI224" s="1538">
        <f t="shared" si="163"/>
        <v>51889.13700000001</v>
      </c>
      <c r="BJ224" s="1536">
        <f t="shared" si="163"/>
        <v>17337.215</v>
      </c>
      <c r="BK224" s="1536">
        <f t="shared" si="163"/>
        <v>0</v>
      </c>
      <c r="BL224" s="1536">
        <f t="shared" si="163"/>
        <v>3333.3</v>
      </c>
      <c r="BM224" s="1538">
        <f t="shared" si="163"/>
        <v>102604.16999999998</v>
      </c>
      <c r="BN224" s="1536">
        <f t="shared" si="163"/>
        <v>22568.03</v>
      </c>
      <c r="BO224" s="1536">
        <f t="shared" si="163"/>
        <v>0</v>
      </c>
      <c r="BP224" s="1536">
        <f t="shared" si="163"/>
        <v>8066.7</v>
      </c>
      <c r="BQ224" s="1538">
        <f t="shared" si="163"/>
        <v>66774.749999999985</v>
      </c>
      <c r="BR224" s="1536">
        <f t="shared" si="163"/>
        <v>14010.7</v>
      </c>
      <c r="BS224" s="1536">
        <f t="shared" si="163"/>
        <v>0</v>
      </c>
      <c r="BT224" s="1536">
        <f t="shared" si="163"/>
        <v>300</v>
      </c>
      <c r="BU224" s="1538">
        <f t="shared" si="163"/>
        <v>61822.71</v>
      </c>
      <c r="BV224" s="1536">
        <f t="shared" si="163"/>
        <v>31536.433219999999</v>
      </c>
      <c r="BW224" s="1536">
        <f t="shared" si="163"/>
        <v>5279.7</v>
      </c>
      <c r="BX224" s="1536">
        <f t="shared" si="163"/>
        <v>5818.1570000000002</v>
      </c>
      <c r="BY224" s="1538">
        <f t="shared" si="163"/>
        <v>42937.700000000012</v>
      </c>
      <c r="BZ224" s="1536">
        <f t="shared" si="163"/>
        <v>8983.4380000000019</v>
      </c>
      <c r="CA224" s="1536">
        <f t="shared" si="163"/>
        <v>1326.5</v>
      </c>
      <c r="CB224" s="1536">
        <f t="shared" si="163"/>
        <v>600</v>
      </c>
      <c r="CC224" s="1538">
        <f t="shared" si="163"/>
        <v>78008.082999999984</v>
      </c>
      <c r="CD224" s="1536">
        <f t="shared" si="163"/>
        <v>933.07799999999997</v>
      </c>
      <c r="CE224" s="1536">
        <f t="shared" si="163"/>
        <v>0</v>
      </c>
      <c r="CF224" s="1536">
        <f t="shared" si="163"/>
        <v>0</v>
      </c>
      <c r="CG224" s="1540"/>
      <c r="CH224" s="1538">
        <f t="shared" si="163"/>
        <v>44432.066999999995</v>
      </c>
      <c r="CI224" s="1536">
        <f t="shared" si="163"/>
        <v>76160.58600000001</v>
      </c>
      <c r="CJ224" s="1536">
        <f t="shared" si="163"/>
        <v>6934.119999999999</v>
      </c>
      <c r="CK224" s="1536">
        <f t="shared" si="163"/>
        <v>3952.7000000000003</v>
      </c>
      <c r="CL224" s="1495"/>
      <c r="CM224" s="1495"/>
      <c r="CN224" s="1495"/>
      <c r="CO224" s="1495"/>
      <c r="CP224" s="1495"/>
      <c r="CQ224" s="1495"/>
      <c r="CR224" s="1495"/>
      <c r="CS224" s="1495"/>
      <c r="CT224" s="1495"/>
      <c r="CU224" s="1495"/>
      <c r="CV224" s="1495"/>
      <c r="CW224" s="1495"/>
      <c r="CY224" s="1495"/>
    </row>
    <row r="225" spans="1:103" s="1496" customFormat="1" x14ac:dyDescent="0.15">
      <c r="A225" s="1541" t="s">
        <v>78</v>
      </c>
      <c r="B225" s="1523" t="s">
        <v>79</v>
      </c>
      <c r="C225" s="1523" t="s">
        <v>80</v>
      </c>
      <c r="D225" s="1523" t="s">
        <v>125</v>
      </c>
      <c r="E225" s="1784"/>
      <c r="F225" s="1523"/>
      <c r="G225" s="1523">
        <v>211</v>
      </c>
      <c r="H225" s="1502">
        <f>H288+H305+H322+H340+H438+H520</f>
        <v>519341.5</v>
      </c>
      <c r="I225" s="1502">
        <f>I265+I340+I438+I520</f>
        <v>0</v>
      </c>
      <c r="J225" s="1502">
        <f t="shared" ref="J225:S237" si="165">J265+J340+J438+J520</f>
        <v>0</v>
      </c>
      <c r="K225" s="1502">
        <f t="shared" si="165"/>
        <v>0</v>
      </c>
      <c r="L225" s="1502">
        <f t="shared" si="165"/>
        <v>0</v>
      </c>
      <c r="M225" s="1502">
        <f t="shared" si="165"/>
        <v>0</v>
      </c>
      <c r="N225" s="1502">
        <f t="shared" si="165"/>
        <v>0</v>
      </c>
      <c r="O225" s="1502">
        <f t="shared" si="165"/>
        <v>0</v>
      </c>
      <c r="P225" s="1502">
        <f t="shared" si="165"/>
        <v>0</v>
      </c>
      <c r="Q225" s="1502">
        <f t="shared" si="165"/>
        <v>0</v>
      </c>
      <c r="R225" s="1503">
        <f t="shared" si="165"/>
        <v>0</v>
      </c>
      <c r="S225" s="1503">
        <f t="shared" si="165"/>
        <v>0</v>
      </c>
      <c r="T225" s="1504"/>
      <c r="U225" s="1505"/>
      <c r="V225" s="1505"/>
      <c r="W225" s="1506"/>
      <c r="X225" s="1506"/>
      <c r="Y225" s="1506"/>
      <c r="Z225" s="1507"/>
      <c r="AA225" s="1506"/>
      <c r="AB225" s="1506"/>
      <c r="AC225" s="1524">
        <f t="shared" ref="AC225:AI237" si="166">AC288+AC305+AC322+AC340+AC438+AC520</f>
        <v>519341.5</v>
      </c>
      <c r="AD225" s="1524">
        <f t="shared" si="166"/>
        <v>0</v>
      </c>
      <c r="AE225" s="1524">
        <f t="shared" si="166"/>
        <v>0</v>
      </c>
      <c r="AF225" s="1524">
        <f t="shared" si="166"/>
        <v>0</v>
      </c>
      <c r="AG225" s="1524">
        <f t="shared" si="166"/>
        <v>0</v>
      </c>
      <c r="AH225" s="1524">
        <f t="shared" si="166"/>
        <v>16901.823</v>
      </c>
      <c r="AI225" s="1524">
        <f t="shared" si="166"/>
        <v>0</v>
      </c>
      <c r="AJ225" s="1510">
        <f t="shared" ref="AJ225:CK229" si="167">AJ265+AJ340+AJ438+AJ520</f>
        <v>0</v>
      </c>
      <c r="AK225" s="1510">
        <f t="shared" si="167"/>
        <v>0</v>
      </c>
      <c r="AL225" s="1510">
        <f t="shared" si="167"/>
        <v>0</v>
      </c>
      <c r="AM225" s="1510">
        <f t="shared" si="167"/>
        <v>0</v>
      </c>
      <c r="AN225" s="1511"/>
      <c r="AO225" s="1524">
        <f t="shared" si="167"/>
        <v>42951.8</v>
      </c>
      <c r="AP225" s="1524">
        <f t="shared" si="167"/>
        <v>0</v>
      </c>
      <c r="AQ225" s="1524">
        <f t="shared" si="167"/>
        <v>0</v>
      </c>
      <c r="AR225" s="1524">
        <f t="shared" si="167"/>
        <v>0</v>
      </c>
      <c r="AS225" s="1507">
        <f t="shared" si="167"/>
        <v>42956.5</v>
      </c>
      <c r="AT225" s="1524">
        <f t="shared" si="167"/>
        <v>0</v>
      </c>
      <c r="AU225" s="1524">
        <f t="shared" si="167"/>
        <v>0</v>
      </c>
      <c r="AV225" s="1524">
        <f t="shared" si="167"/>
        <v>0</v>
      </c>
      <c r="AW225" s="1507">
        <f t="shared" si="167"/>
        <v>42944.207999999999</v>
      </c>
      <c r="AX225" s="1524">
        <f t="shared" si="167"/>
        <v>0</v>
      </c>
      <c r="AY225" s="1524">
        <f t="shared" si="167"/>
        <v>0</v>
      </c>
      <c r="AZ225" s="1524">
        <f t="shared" si="167"/>
        <v>0</v>
      </c>
      <c r="BA225" s="1511">
        <f t="shared" si="167"/>
        <v>42956.369999999995</v>
      </c>
      <c r="BB225" s="1524">
        <f t="shared" si="167"/>
        <v>0</v>
      </c>
      <c r="BC225" s="1524">
        <f t="shared" si="167"/>
        <v>0</v>
      </c>
      <c r="BD225" s="1524">
        <f t="shared" si="167"/>
        <v>0</v>
      </c>
      <c r="BE225" s="1511">
        <f t="shared" si="167"/>
        <v>48369.14</v>
      </c>
      <c r="BF225" s="1524">
        <f t="shared" si="167"/>
        <v>0</v>
      </c>
      <c r="BG225" s="1524">
        <f t="shared" si="167"/>
        <v>0</v>
      </c>
      <c r="BH225" s="1524">
        <f t="shared" si="167"/>
        <v>0</v>
      </c>
      <c r="BI225" s="1511">
        <f t="shared" si="167"/>
        <v>29432.525000000001</v>
      </c>
      <c r="BJ225" s="1524">
        <f t="shared" si="167"/>
        <v>0</v>
      </c>
      <c r="BK225" s="1524">
        <f t="shared" si="167"/>
        <v>0</v>
      </c>
      <c r="BL225" s="1524">
        <f t="shared" si="167"/>
        <v>0</v>
      </c>
      <c r="BM225" s="1511">
        <f t="shared" si="167"/>
        <v>73447.680999999982</v>
      </c>
      <c r="BN225" s="1524">
        <f t="shared" si="167"/>
        <v>0</v>
      </c>
      <c r="BO225" s="1524">
        <f t="shared" si="167"/>
        <v>0</v>
      </c>
      <c r="BP225" s="1524">
        <f t="shared" si="167"/>
        <v>0</v>
      </c>
      <c r="BQ225" s="1511">
        <f t="shared" si="167"/>
        <v>45541.619999999995</v>
      </c>
      <c r="BR225" s="1524">
        <f t="shared" si="167"/>
        <v>0</v>
      </c>
      <c r="BS225" s="1524">
        <f t="shared" si="167"/>
        <v>0</v>
      </c>
      <c r="BT225" s="1524">
        <f t="shared" si="167"/>
        <v>0</v>
      </c>
      <c r="BU225" s="1511">
        <f t="shared" si="167"/>
        <v>39710.299999999996</v>
      </c>
      <c r="BV225" s="1524">
        <f t="shared" si="167"/>
        <v>0</v>
      </c>
      <c r="BW225" s="1524">
        <f t="shared" si="167"/>
        <v>0</v>
      </c>
      <c r="BX225" s="1524">
        <f t="shared" si="167"/>
        <v>0</v>
      </c>
      <c r="BY225" s="1511">
        <f t="shared" si="167"/>
        <v>33797.640000000007</v>
      </c>
      <c r="BZ225" s="1524">
        <f t="shared" si="167"/>
        <v>0</v>
      </c>
      <c r="CA225" s="1524">
        <f t="shared" si="167"/>
        <v>0</v>
      </c>
      <c r="CB225" s="1524">
        <f t="shared" si="167"/>
        <v>0</v>
      </c>
      <c r="CC225" s="1511">
        <f t="shared" si="167"/>
        <v>58278.329999999987</v>
      </c>
      <c r="CD225" s="1524">
        <f t="shared" si="167"/>
        <v>0</v>
      </c>
      <c r="CE225" s="1524">
        <f t="shared" si="167"/>
        <v>0</v>
      </c>
      <c r="CF225" s="1524">
        <f t="shared" si="167"/>
        <v>0</v>
      </c>
      <c r="CG225" s="1525"/>
      <c r="CH225" s="1511">
        <f t="shared" si="167"/>
        <v>18955.385999999999</v>
      </c>
      <c r="CI225" s="1524">
        <f t="shared" si="167"/>
        <v>0</v>
      </c>
      <c r="CJ225" s="1524">
        <f t="shared" si="167"/>
        <v>0</v>
      </c>
      <c r="CK225" s="1524">
        <f t="shared" si="167"/>
        <v>0</v>
      </c>
      <c r="CL225" s="1495"/>
      <c r="CM225" s="1495"/>
      <c r="CN225" s="1495"/>
      <c r="CO225" s="1495"/>
      <c r="CP225" s="1495"/>
      <c r="CQ225" s="1495"/>
      <c r="CR225" s="1495"/>
      <c r="CS225" s="1495"/>
      <c r="CT225" s="1495"/>
      <c r="CU225" s="1495"/>
      <c r="CV225" s="1495"/>
      <c r="CW225" s="1495"/>
      <c r="CY225" s="1495"/>
    </row>
    <row r="226" spans="1:103" s="1496" customFormat="1" x14ac:dyDescent="0.15">
      <c r="A226" s="1541" t="s">
        <v>83</v>
      </c>
      <c r="B226" s="1523" t="s">
        <v>79</v>
      </c>
      <c r="C226" s="1523" t="s">
        <v>80</v>
      </c>
      <c r="D226" s="1523" t="s">
        <v>125</v>
      </c>
      <c r="E226" s="1784"/>
      <c r="F226" s="1523"/>
      <c r="G226" s="1523">
        <v>212</v>
      </c>
      <c r="H226" s="1502">
        <f t="shared" ref="H226:H237" si="168">H289+H306+H323+H341+H439+H521</f>
        <v>107</v>
      </c>
      <c r="I226" s="1502">
        <f t="shared" ref="I226:I237" si="169">I266+I341+I439+I521</f>
        <v>21.7</v>
      </c>
      <c r="J226" s="1502">
        <f t="shared" si="165"/>
        <v>0</v>
      </c>
      <c r="K226" s="1502">
        <f t="shared" si="165"/>
        <v>26</v>
      </c>
      <c r="L226" s="1502">
        <f t="shared" si="165"/>
        <v>0</v>
      </c>
      <c r="M226" s="1502">
        <f t="shared" si="165"/>
        <v>0</v>
      </c>
      <c r="N226" s="1502">
        <f t="shared" si="165"/>
        <v>0</v>
      </c>
      <c r="O226" s="1502">
        <f t="shared" si="165"/>
        <v>0</v>
      </c>
      <c r="P226" s="1502">
        <f t="shared" si="165"/>
        <v>0</v>
      </c>
      <c r="Q226" s="1502">
        <f t="shared" si="165"/>
        <v>0</v>
      </c>
      <c r="R226" s="1503">
        <f t="shared" si="165"/>
        <v>0</v>
      </c>
      <c r="S226" s="1503">
        <f t="shared" si="165"/>
        <v>0</v>
      </c>
      <c r="T226" s="1504"/>
      <c r="U226" s="1505"/>
      <c r="V226" s="1505"/>
      <c r="W226" s="1506"/>
      <c r="X226" s="1506"/>
      <c r="Y226" s="1506"/>
      <c r="Z226" s="1507"/>
      <c r="AA226" s="1506"/>
      <c r="AB226" s="1506"/>
      <c r="AC226" s="1524">
        <f t="shared" si="166"/>
        <v>107</v>
      </c>
      <c r="AD226" s="1524">
        <f t="shared" si="166"/>
        <v>47.7</v>
      </c>
      <c r="AE226" s="1524">
        <f t="shared" si="166"/>
        <v>21.7</v>
      </c>
      <c r="AF226" s="1524">
        <f t="shared" si="166"/>
        <v>0</v>
      </c>
      <c r="AG226" s="1524">
        <f t="shared" si="166"/>
        <v>26</v>
      </c>
      <c r="AH226" s="1524">
        <f t="shared" si="166"/>
        <v>4.08</v>
      </c>
      <c r="AI226" s="1524">
        <f t="shared" si="166"/>
        <v>0</v>
      </c>
      <c r="AJ226" s="1510">
        <f t="shared" si="167"/>
        <v>0</v>
      </c>
      <c r="AK226" s="1510">
        <f t="shared" si="167"/>
        <v>0</v>
      </c>
      <c r="AL226" s="1510">
        <f t="shared" si="167"/>
        <v>0</v>
      </c>
      <c r="AM226" s="1510">
        <f t="shared" si="167"/>
        <v>0</v>
      </c>
      <c r="AN226" s="1511"/>
      <c r="AO226" s="1524">
        <f t="shared" si="167"/>
        <v>17.920000000000002</v>
      </c>
      <c r="AP226" s="1524">
        <f t="shared" si="167"/>
        <v>0</v>
      </c>
      <c r="AQ226" s="1524">
        <f t="shared" si="167"/>
        <v>0</v>
      </c>
      <c r="AR226" s="1524">
        <f t="shared" si="167"/>
        <v>0</v>
      </c>
      <c r="AS226" s="1507">
        <f t="shared" si="167"/>
        <v>0</v>
      </c>
      <c r="AT226" s="1524">
        <f t="shared" si="167"/>
        <v>0</v>
      </c>
      <c r="AU226" s="1524">
        <f t="shared" si="167"/>
        <v>0</v>
      </c>
      <c r="AV226" s="1524">
        <f t="shared" si="167"/>
        <v>0</v>
      </c>
      <c r="AW226" s="1507">
        <f t="shared" si="167"/>
        <v>0</v>
      </c>
      <c r="AX226" s="1524">
        <f t="shared" si="167"/>
        <v>0</v>
      </c>
      <c r="AY226" s="1524">
        <f t="shared" si="167"/>
        <v>0</v>
      </c>
      <c r="AZ226" s="1524">
        <f t="shared" si="167"/>
        <v>0</v>
      </c>
      <c r="BA226" s="1511">
        <f t="shared" si="167"/>
        <v>0</v>
      </c>
      <c r="BB226" s="1524">
        <f t="shared" si="167"/>
        <v>0</v>
      </c>
      <c r="BC226" s="1524">
        <f t="shared" si="167"/>
        <v>0</v>
      </c>
      <c r="BD226" s="1524">
        <f t="shared" si="167"/>
        <v>0</v>
      </c>
      <c r="BE226" s="1511">
        <f t="shared" si="167"/>
        <v>0</v>
      </c>
      <c r="BF226" s="1524">
        <f t="shared" si="167"/>
        <v>0</v>
      </c>
      <c r="BG226" s="1524">
        <f t="shared" si="167"/>
        <v>0</v>
      </c>
      <c r="BH226" s="1524">
        <f t="shared" si="167"/>
        <v>26</v>
      </c>
      <c r="BI226" s="1511">
        <f t="shared" si="167"/>
        <v>85</v>
      </c>
      <c r="BJ226" s="1524">
        <f t="shared" si="167"/>
        <v>3</v>
      </c>
      <c r="BK226" s="1524">
        <f t="shared" si="167"/>
        <v>0</v>
      </c>
      <c r="BL226" s="1524">
        <f t="shared" si="167"/>
        <v>0</v>
      </c>
      <c r="BM226" s="1511">
        <f t="shared" si="167"/>
        <v>0</v>
      </c>
      <c r="BN226" s="1524">
        <f t="shared" si="167"/>
        <v>0</v>
      </c>
      <c r="BO226" s="1524">
        <f t="shared" si="167"/>
        <v>0</v>
      </c>
      <c r="BP226" s="1524">
        <f t="shared" si="167"/>
        <v>0</v>
      </c>
      <c r="BQ226" s="1511">
        <f t="shared" si="167"/>
        <v>0</v>
      </c>
      <c r="BR226" s="1524">
        <f t="shared" si="167"/>
        <v>0</v>
      </c>
      <c r="BS226" s="1524">
        <f t="shared" si="167"/>
        <v>0</v>
      </c>
      <c r="BT226" s="1524">
        <f t="shared" si="167"/>
        <v>0</v>
      </c>
      <c r="BU226" s="1511">
        <f t="shared" si="167"/>
        <v>0</v>
      </c>
      <c r="BV226" s="1524">
        <f t="shared" si="167"/>
        <v>0</v>
      </c>
      <c r="BW226" s="1524">
        <f t="shared" si="167"/>
        <v>0</v>
      </c>
      <c r="BX226" s="1524">
        <f t="shared" si="167"/>
        <v>0</v>
      </c>
      <c r="BY226" s="1511">
        <f t="shared" si="167"/>
        <v>0</v>
      </c>
      <c r="BZ226" s="1524">
        <f t="shared" si="167"/>
        <v>14.7</v>
      </c>
      <c r="CA226" s="1524">
        <f t="shared" si="167"/>
        <v>0</v>
      </c>
      <c r="CB226" s="1524">
        <f t="shared" si="167"/>
        <v>0</v>
      </c>
      <c r="CC226" s="1511">
        <f t="shared" si="167"/>
        <v>0</v>
      </c>
      <c r="CD226" s="1524">
        <f t="shared" si="167"/>
        <v>0</v>
      </c>
      <c r="CE226" s="1524">
        <f t="shared" si="167"/>
        <v>0</v>
      </c>
      <c r="CF226" s="1524">
        <f t="shared" si="167"/>
        <v>0</v>
      </c>
      <c r="CG226" s="1525"/>
      <c r="CH226" s="1511">
        <f t="shared" si="167"/>
        <v>4.08</v>
      </c>
      <c r="CI226" s="1524">
        <f t="shared" si="167"/>
        <v>4</v>
      </c>
      <c r="CJ226" s="1524">
        <f t="shared" si="167"/>
        <v>0</v>
      </c>
      <c r="CK226" s="1524">
        <f t="shared" si="167"/>
        <v>0</v>
      </c>
      <c r="CL226" s="1495"/>
      <c r="CM226" s="1495"/>
      <c r="CN226" s="1495"/>
      <c r="CO226" s="1495"/>
      <c r="CP226" s="1495"/>
      <c r="CQ226" s="1495"/>
      <c r="CR226" s="1495"/>
      <c r="CS226" s="1495"/>
      <c r="CT226" s="1495"/>
      <c r="CU226" s="1495"/>
      <c r="CV226" s="1495"/>
      <c r="CW226" s="1495"/>
      <c r="CY226" s="1495"/>
    </row>
    <row r="227" spans="1:103" s="1496" customFormat="1" x14ac:dyDescent="0.15">
      <c r="A227" s="1541" t="s">
        <v>84</v>
      </c>
      <c r="B227" s="1523" t="s">
        <v>79</v>
      </c>
      <c r="C227" s="1523" t="s">
        <v>80</v>
      </c>
      <c r="D227" s="1523" t="s">
        <v>125</v>
      </c>
      <c r="E227" s="1784"/>
      <c r="F227" s="1523"/>
      <c r="G227" s="1523">
        <v>213</v>
      </c>
      <c r="H227" s="1502">
        <f t="shared" si="168"/>
        <v>156758.88</v>
      </c>
      <c r="I227" s="1502">
        <f t="shared" si="169"/>
        <v>0</v>
      </c>
      <c r="J227" s="1502">
        <f t="shared" si="165"/>
        <v>0</v>
      </c>
      <c r="K227" s="1502">
        <f t="shared" si="165"/>
        <v>0</v>
      </c>
      <c r="L227" s="1502">
        <f t="shared" si="165"/>
        <v>0</v>
      </c>
      <c r="M227" s="1502">
        <f t="shared" si="165"/>
        <v>0</v>
      </c>
      <c r="N227" s="1502">
        <f t="shared" si="165"/>
        <v>0</v>
      </c>
      <c r="O227" s="1502">
        <f t="shared" si="165"/>
        <v>0</v>
      </c>
      <c r="P227" s="1502">
        <f t="shared" si="165"/>
        <v>0</v>
      </c>
      <c r="Q227" s="1502">
        <f t="shared" si="165"/>
        <v>0</v>
      </c>
      <c r="R227" s="1503">
        <f t="shared" si="165"/>
        <v>0</v>
      </c>
      <c r="S227" s="1503">
        <f t="shared" si="165"/>
        <v>0</v>
      </c>
      <c r="T227" s="1504"/>
      <c r="U227" s="1505"/>
      <c r="V227" s="1505"/>
      <c r="W227" s="1506"/>
      <c r="X227" s="1506"/>
      <c r="Y227" s="1506"/>
      <c r="Z227" s="1507"/>
      <c r="AA227" s="1506"/>
      <c r="AB227" s="1506"/>
      <c r="AC227" s="1524">
        <f t="shared" si="166"/>
        <v>156758.88</v>
      </c>
      <c r="AD227" s="1524">
        <f t="shared" si="166"/>
        <v>0</v>
      </c>
      <c r="AE227" s="1524">
        <f t="shared" si="166"/>
        <v>0</v>
      </c>
      <c r="AF227" s="1524">
        <f t="shared" si="166"/>
        <v>0</v>
      </c>
      <c r="AG227" s="1524">
        <f t="shared" si="166"/>
        <v>0</v>
      </c>
      <c r="AH227" s="1524">
        <f t="shared" si="166"/>
        <v>6433.152</v>
      </c>
      <c r="AI227" s="1524">
        <f t="shared" si="166"/>
        <v>0</v>
      </c>
      <c r="AJ227" s="1510">
        <f t="shared" si="167"/>
        <v>0</v>
      </c>
      <c r="AK227" s="1510">
        <f t="shared" si="167"/>
        <v>0</v>
      </c>
      <c r="AL227" s="1510">
        <f t="shared" si="167"/>
        <v>0</v>
      </c>
      <c r="AM227" s="1510">
        <f t="shared" si="167"/>
        <v>0</v>
      </c>
      <c r="AN227" s="1511"/>
      <c r="AO227" s="1524">
        <f t="shared" si="167"/>
        <v>12971.800000000001</v>
      </c>
      <c r="AP227" s="1524">
        <f t="shared" si="167"/>
        <v>0</v>
      </c>
      <c r="AQ227" s="1524">
        <f t="shared" si="167"/>
        <v>0</v>
      </c>
      <c r="AR227" s="1524">
        <f t="shared" si="167"/>
        <v>0</v>
      </c>
      <c r="AS227" s="1507">
        <f t="shared" si="167"/>
        <v>12973.300000000001</v>
      </c>
      <c r="AT227" s="1524">
        <f t="shared" si="167"/>
        <v>0</v>
      </c>
      <c r="AU227" s="1524">
        <f t="shared" si="167"/>
        <v>0</v>
      </c>
      <c r="AV227" s="1524">
        <f t="shared" si="167"/>
        <v>0</v>
      </c>
      <c r="AW227" s="1507">
        <f t="shared" si="167"/>
        <v>12972.7</v>
      </c>
      <c r="AX227" s="1524">
        <f t="shared" si="167"/>
        <v>0</v>
      </c>
      <c r="AY227" s="1524">
        <f t="shared" si="167"/>
        <v>0</v>
      </c>
      <c r="AZ227" s="1524">
        <f t="shared" si="167"/>
        <v>0</v>
      </c>
      <c r="BA227" s="1511">
        <f t="shared" si="167"/>
        <v>12972.740000000002</v>
      </c>
      <c r="BB227" s="1524">
        <f t="shared" si="167"/>
        <v>0</v>
      </c>
      <c r="BC227" s="1524">
        <f t="shared" si="167"/>
        <v>0</v>
      </c>
      <c r="BD227" s="1524">
        <f t="shared" si="167"/>
        <v>0</v>
      </c>
      <c r="BE227" s="1511">
        <f t="shared" si="167"/>
        <v>14607.540000000003</v>
      </c>
      <c r="BF227" s="1524">
        <f t="shared" si="167"/>
        <v>0</v>
      </c>
      <c r="BG227" s="1524">
        <f t="shared" si="167"/>
        <v>0</v>
      </c>
      <c r="BH227" s="1524">
        <f t="shared" si="167"/>
        <v>0</v>
      </c>
      <c r="BI227" s="1511">
        <f t="shared" si="167"/>
        <v>3910.3150000000001</v>
      </c>
      <c r="BJ227" s="1524">
        <f t="shared" si="167"/>
        <v>0</v>
      </c>
      <c r="BK227" s="1524">
        <f t="shared" si="167"/>
        <v>0</v>
      </c>
      <c r="BL227" s="1524">
        <f t="shared" si="167"/>
        <v>0</v>
      </c>
      <c r="BM227" s="1511">
        <f t="shared" si="167"/>
        <v>27397.689000000002</v>
      </c>
      <c r="BN227" s="1524">
        <f t="shared" si="167"/>
        <v>0</v>
      </c>
      <c r="BO227" s="1524">
        <f t="shared" si="167"/>
        <v>0</v>
      </c>
      <c r="BP227" s="1524">
        <f t="shared" si="167"/>
        <v>0</v>
      </c>
      <c r="BQ227" s="1511">
        <f t="shared" si="167"/>
        <v>13759.269999999999</v>
      </c>
      <c r="BR227" s="1524">
        <f t="shared" si="167"/>
        <v>0</v>
      </c>
      <c r="BS227" s="1524">
        <f t="shared" si="167"/>
        <v>0</v>
      </c>
      <c r="BT227" s="1524">
        <f t="shared" si="167"/>
        <v>0</v>
      </c>
      <c r="BU227" s="1511">
        <f t="shared" si="167"/>
        <v>12007.580000000002</v>
      </c>
      <c r="BV227" s="1524">
        <f t="shared" si="167"/>
        <v>0</v>
      </c>
      <c r="BW227" s="1524">
        <f t="shared" si="167"/>
        <v>0</v>
      </c>
      <c r="BX227" s="1524">
        <f t="shared" si="167"/>
        <v>0</v>
      </c>
      <c r="BY227" s="1511">
        <f t="shared" si="167"/>
        <v>7389.0500000000011</v>
      </c>
      <c r="BZ227" s="1524">
        <f t="shared" si="167"/>
        <v>0</v>
      </c>
      <c r="CA227" s="1524">
        <f t="shared" si="167"/>
        <v>0</v>
      </c>
      <c r="CB227" s="1524">
        <f t="shared" si="167"/>
        <v>0</v>
      </c>
      <c r="CC227" s="1511">
        <f t="shared" si="167"/>
        <v>18525.922999999995</v>
      </c>
      <c r="CD227" s="1524">
        <f t="shared" si="167"/>
        <v>0</v>
      </c>
      <c r="CE227" s="1524">
        <f t="shared" si="167"/>
        <v>0</v>
      </c>
      <c r="CF227" s="1524">
        <f t="shared" si="167"/>
        <v>0</v>
      </c>
      <c r="CG227" s="1525"/>
      <c r="CH227" s="1511">
        <f t="shared" si="167"/>
        <v>7270.973</v>
      </c>
      <c r="CI227" s="1524">
        <f t="shared" si="167"/>
        <v>0</v>
      </c>
      <c r="CJ227" s="1524">
        <f t="shared" si="167"/>
        <v>0</v>
      </c>
      <c r="CK227" s="1524">
        <f t="shared" si="167"/>
        <v>0</v>
      </c>
      <c r="CL227" s="1495"/>
      <c r="CM227" s="1495"/>
      <c r="CN227" s="1495"/>
      <c r="CO227" s="1495"/>
      <c r="CP227" s="1495"/>
      <c r="CQ227" s="1495"/>
      <c r="CR227" s="1495"/>
      <c r="CS227" s="1495"/>
      <c r="CT227" s="1495"/>
      <c r="CU227" s="1495"/>
      <c r="CV227" s="1495"/>
      <c r="CW227" s="1495"/>
      <c r="CY227" s="1495"/>
    </row>
    <row r="228" spans="1:103" s="1496" customFormat="1" x14ac:dyDescent="0.15">
      <c r="A228" s="1541" t="s">
        <v>85</v>
      </c>
      <c r="B228" s="1523" t="s">
        <v>79</v>
      </c>
      <c r="C228" s="1523" t="s">
        <v>80</v>
      </c>
      <c r="D228" s="1523" t="s">
        <v>125</v>
      </c>
      <c r="E228" s="1784"/>
      <c r="F228" s="1523"/>
      <c r="G228" s="1523">
        <v>221</v>
      </c>
      <c r="H228" s="1502">
        <f t="shared" si="168"/>
        <v>591.1</v>
      </c>
      <c r="I228" s="1502">
        <f t="shared" si="169"/>
        <v>0</v>
      </c>
      <c r="J228" s="1502">
        <f t="shared" si="165"/>
        <v>0</v>
      </c>
      <c r="K228" s="1502">
        <f t="shared" si="165"/>
        <v>0</v>
      </c>
      <c r="L228" s="1502">
        <f t="shared" si="165"/>
        <v>0</v>
      </c>
      <c r="M228" s="1502">
        <f t="shared" si="165"/>
        <v>0</v>
      </c>
      <c r="N228" s="1502">
        <f t="shared" si="165"/>
        <v>0</v>
      </c>
      <c r="O228" s="1502">
        <f t="shared" si="165"/>
        <v>0</v>
      </c>
      <c r="P228" s="1502">
        <f t="shared" si="165"/>
        <v>0</v>
      </c>
      <c r="Q228" s="1502">
        <f t="shared" si="165"/>
        <v>0</v>
      </c>
      <c r="R228" s="1503">
        <f t="shared" si="165"/>
        <v>0</v>
      </c>
      <c r="S228" s="1503">
        <f t="shared" si="165"/>
        <v>0</v>
      </c>
      <c r="T228" s="1504"/>
      <c r="U228" s="1505"/>
      <c r="V228" s="1505"/>
      <c r="W228" s="1506"/>
      <c r="X228" s="1506"/>
      <c r="Y228" s="1506"/>
      <c r="Z228" s="1507"/>
      <c r="AA228" s="1506"/>
      <c r="AB228" s="1506"/>
      <c r="AC228" s="1524">
        <f t="shared" si="166"/>
        <v>591.1</v>
      </c>
      <c r="AD228" s="1524">
        <f t="shared" si="166"/>
        <v>0</v>
      </c>
      <c r="AE228" s="1524">
        <f t="shared" si="166"/>
        <v>0</v>
      </c>
      <c r="AF228" s="1524">
        <f t="shared" si="166"/>
        <v>0</v>
      </c>
      <c r="AG228" s="1524">
        <f t="shared" si="166"/>
        <v>0</v>
      </c>
      <c r="AH228" s="1524">
        <f t="shared" si="166"/>
        <v>341.90000000000003</v>
      </c>
      <c r="AI228" s="1524">
        <f t="shared" si="166"/>
        <v>0</v>
      </c>
      <c r="AJ228" s="1510">
        <f t="shared" si="167"/>
        <v>0</v>
      </c>
      <c r="AK228" s="1510">
        <f t="shared" si="167"/>
        <v>0</v>
      </c>
      <c r="AL228" s="1510">
        <f t="shared" si="167"/>
        <v>0</v>
      </c>
      <c r="AM228" s="1510">
        <f t="shared" si="167"/>
        <v>0</v>
      </c>
      <c r="AN228" s="1511"/>
      <c r="AO228" s="1524">
        <f t="shared" si="167"/>
        <v>49.100000000000009</v>
      </c>
      <c r="AP228" s="1524">
        <f t="shared" si="167"/>
        <v>0</v>
      </c>
      <c r="AQ228" s="1524">
        <f t="shared" si="167"/>
        <v>0</v>
      </c>
      <c r="AR228" s="1524">
        <f t="shared" si="167"/>
        <v>0</v>
      </c>
      <c r="AS228" s="1507">
        <f t="shared" si="167"/>
        <v>0</v>
      </c>
      <c r="AT228" s="1524">
        <f t="shared" si="167"/>
        <v>0</v>
      </c>
      <c r="AU228" s="1524">
        <f t="shared" si="167"/>
        <v>0</v>
      </c>
      <c r="AV228" s="1524">
        <f t="shared" si="167"/>
        <v>0</v>
      </c>
      <c r="AW228" s="1507">
        <f t="shared" si="167"/>
        <v>0</v>
      </c>
      <c r="AX228" s="1524">
        <f t="shared" si="167"/>
        <v>0</v>
      </c>
      <c r="AY228" s="1524">
        <f t="shared" si="167"/>
        <v>0</v>
      </c>
      <c r="AZ228" s="1524">
        <f t="shared" si="167"/>
        <v>0</v>
      </c>
      <c r="BA228" s="1511">
        <f t="shared" si="167"/>
        <v>0</v>
      </c>
      <c r="BB228" s="1524">
        <f t="shared" si="167"/>
        <v>0</v>
      </c>
      <c r="BC228" s="1524">
        <f t="shared" si="167"/>
        <v>0</v>
      </c>
      <c r="BD228" s="1524">
        <f t="shared" si="167"/>
        <v>0</v>
      </c>
      <c r="BE228" s="1511">
        <f t="shared" si="167"/>
        <v>169.7</v>
      </c>
      <c r="BF228" s="1524">
        <f t="shared" si="167"/>
        <v>0</v>
      </c>
      <c r="BG228" s="1524">
        <f t="shared" si="167"/>
        <v>0</v>
      </c>
      <c r="BH228" s="1524">
        <f t="shared" si="167"/>
        <v>0</v>
      </c>
      <c r="BI228" s="1511">
        <f t="shared" si="167"/>
        <v>0</v>
      </c>
      <c r="BJ228" s="1524">
        <f t="shared" si="167"/>
        <v>0</v>
      </c>
      <c r="BK228" s="1524">
        <f t="shared" si="167"/>
        <v>0</v>
      </c>
      <c r="BL228" s="1524">
        <f t="shared" si="167"/>
        <v>0</v>
      </c>
      <c r="BM228" s="1511">
        <f t="shared" si="167"/>
        <v>0</v>
      </c>
      <c r="BN228" s="1524">
        <f t="shared" si="167"/>
        <v>0</v>
      </c>
      <c r="BO228" s="1524">
        <f t="shared" si="167"/>
        <v>0</v>
      </c>
      <c r="BP228" s="1524">
        <f t="shared" si="167"/>
        <v>0</v>
      </c>
      <c r="BQ228" s="1511">
        <f t="shared" si="167"/>
        <v>0</v>
      </c>
      <c r="BR228" s="1524">
        <f t="shared" si="167"/>
        <v>0</v>
      </c>
      <c r="BS228" s="1524">
        <f t="shared" si="167"/>
        <v>0</v>
      </c>
      <c r="BT228" s="1524">
        <f t="shared" si="167"/>
        <v>0</v>
      </c>
      <c r="BU228" s="1511">
        <f t="shared" si="167"/>
        <v>0</v>
      </c>
      <c r="BV228" s="1524">
        <f t="shared" si="167"/>
        <v>0</v>
      </c>
      <c r="BW228" s="1524">
        <f t="shared" si="167"/>
        <v>0</v>
      </c>
      <c r="BX228" s="1524">
        <f t="shared" si="167"/>
        <v>0</v>
      </c>
      <c r="BY228" s="1511">
        <f t="shared" si="167"/>
        <v>0</v>
      </c>
      <c r="BZ228" s="1524">
        <f t="shared" si="167"/>
        <v>0</v>
      </c>
      <c r="CA228" s="1524">
        <f t="shared" si="167"/>
        <v>0</v>
      </c>
      <c r="CB228" s="1524">
        <f t="shared" si="167"/>
        <v>0</v>
      </c>
      <c r="CC228" s="1511">
        <f t="shared" si="167"/>
        <v>0</v>
      </c>
      <c r="CD228" s="1524">
        <f t="shared" si="167"/>
        <v>0</v>
      </c>
      <c r="CE228" s="1524">
        <f t="shared" si="167"/>
        <v>0</v>
      </c>
      <c r="CF228" s="1524">
        <f t="shared" si="167"/>
        <v>0</v>
      </c>
      <c r="CG228" s="1525"/>
      <c r="CH228" s="1511">
        <f t="shared" si="167"/>
        <v>372.30000000000007</v>
      </c>
      <c r="CI228" s="1524">
        <f t="shared" si="167"/>
        <v>0</v>
      </c>
      <c r="CJ228" s="1524">
        <f t="shared" si="167"/>
        <v>0</v>
      </c>
      <c r="CK228" s="1524">
        <f t="shared" si="167"/>
        <v>0</v>
      </c>
      <c r="CL228" s="1495"/>
      <c r="CM228" s="1495"/>
      <c r="CN228" s="1495"/>
      <c r="CO228" s="1495"/>
      <c r="CP228" s="1495"/>
      <c r="CQ228" s="1495"/>
      <c r="CR228" s="1495"/>
      <c r="CS228" s="1495"/>
      <c r="CT228" s="1495"/>
      <c r="CU228" s="1495"/>
      <c r="CV228" s="1495"/>
      <c r="CW228" s="1495"/>
      <c r="CY228" s="1495"/>
    </row>
    <row r="229" spans="1:103" s="1496" customFormat="1" x14ac:dyDescent="0.15">
      <c r="A229" s="1541" t="s">
        <v>86</v>
      </c>
      <c r="B229" s="1523" t="s">
        <v>79</v>
      </c>
      <c r="C229" s="1523" t="s">
        <v>80</v>
      </c>
      <c r="D229" s="1523" t="s">
        <v>125</v>
      </c>
      <c r="E229" s="1784"/>
      <c r="F229" s="1523"/>
      <c r="G229" s="1523">
        <v>222</v>
      </c>
      <c r="H229" s="1502">
        <f t="shared" si="168"/>
        <v>568</v>
      </c>
      <c r="I229" s="1502">
        <f t="shared" si="169"/>
        <v>2223</v>
      </c>
      <c r="J229" s="1502">
        <f t="shared" si="165"/>
        <v>0</v>
      </c>
      <c r="K229" s="1502">
        <f t="shared" si="165"/>
        <v>245</v>
      </c>
      <c r="L229" s="1502">
        <f t="shared" si="165"/>
        <v>0</v>
      </c>
      <c r="M229" s="1502">
        <f t="shared" si="165"/>
        <v>0</v>
      </c>
      <c r="N229" s="1502">
        <f t="shared" si="165"/>
        <v>0</v>
      </c>
      <c r="O229" s="1502">
        <f t="shared" si="165"/>
        <v>0</v>
      </c>
      <c r="P229" s="1502">
        <f t="shared" si="165"/>
        <v>0</v>
      </c>
      <c r="Q229" s="1502">
        <f t="shared" si="165"/>
        <v>0</v>
      </c>
      <c r="R229" s="1503">
        <f t="shared" si="165"/>
        <v>0</v>
      </c>
      <c r="S229" s="1503">
        <f t="shared" si="165"/>
        <v>0</v>
      </c>
      <c r="T229" s="1504"/>
      <c r="U229" s="1505"/>
      <c r="V229" s="1505"/>
      <c r="W229" s="1506"/>
      <c r="X229" s="1506"/>
      <c r="Y229" s="1506"/>
      <c r="Z229" s="1507"/>
      <c r="AA229" s="1506"/>
      <c r="AB229" s="1506"/>
      <c r="AC229" s="1524">
        <f t="shared" si="166"/>
        <v>568</v>
      </c>
      <c r="AD229" s="1524">
        <f t="shared" si="166"/>
        <v>2468</v>
      </c>
      <c r="AE229" s="1524">
        <f t="shared" si="166"/>
        <v>2223</v>
      </c>
      <c r="AF229" s="1524">
        <f t="shared" si="166"/>
        <v>0</v>
      </c>
      <c r="AG229" s="1524">
        <f t="shared" si="166"/>
        <v>245</v>
      </c>
      <c r="AH229" s="1524">
        <f t="shared" si="166"/>
        <v>130.19999999999999</v>
      </c>
      <c r="AI229" s="1524">
        <f t="shared" si="166"/>
        <v>0</v>
      </c>
      <c r="AJ229" s="1510">
        <f t="shared" si="167"/>
        <v>0</v>
      </c>
      <c r="AK229" s="1510">
        <f t="shared" si="167"/>
        <v>0</v>
      </c>
      <c r="AL229" s="1510">
        <f t="shared" si="167"/>
        <v>0</v>
      </c>
      <c r="AM229" s="1510">
        <f t="shared" si="167"/>
        <v>0</v>
      </c>
      <c r="AN229" s="1511"/>
      <c r="AO229" s="1524">
        <f t="shared" si="167"/>
        <v>93.2</v>
      </c>
      <c r="AP229" s="1524">
        <f t="shared" si="167"/>
        <v>0</v>
      </c>
      <c r="AQ229" s="1524">
        <f t="shared" si="167"/>
        <v>0</v>
      </c>
      <c r="AR229" s="1524">
        <f t="shared" si="167"/>
        <v>0</v>
      </c>
      <c r="AS229" s="1507">
        <f t="shared" si="167"/>
        <v>0</v>
      </c>
      <c r="AT229" s="1524">
        <f t="shared" si="167"/>
        <v>0</v>
      </c>
      <c r="AU229" s="1524">
        <f t="shared" si="167"/>
        <v>0</v>
      </c>
      <c r="AV229" s="1524">
        <f t="shared" si="167"/>
        <v>0</v>
      </c>
      <c r="AW229" s="1507">
        <f t="shared" si="167"/>
        <v>0</v>
      </c>
      <c r="AX229" s="1524">
        <f t="shared" si="167"/>
        <v>0</v>
      </c>
      <c r="AY229" s="1524">
        <f t="shared" si="167"/>
        <v>0</v>
      </c>
      <c r="AZ229" s="1524">
        <f t="shared" si="167"/>
        <v>0</v>
      </c>
      <c r="BA229" s="1511">
        <f t="shared" si="167"/>
        <v>0</v>
      </c>
      <c r="BB229" s="1524">
        <f t="shared" si="167"/>
        <v>0</v>
      </c>
      <c r="BC229" s="1524">
        <f t="shared" si="167"/>
        <v>0</v>
      </c>
      <c r="BD229" s="1524">
        <f t="shared" si="167"/>
        <v>0</v>
      </c>
      <c r="BE229" s="1511">
        <f t="shared" si="167"/>
        <v>254.7</v>
      </c>
      <c r="BF229" s="1524">
        <f t="shared" si="167"/>
        <v>0</v>
      </c>
      <c r="BG229" s="1524">
        <f t="shared" si="167"/>
        <v>0</v>
      </c>
      <c r="BH229" s="1524">
        <f t="shared" si="167"/>
        <v>170</v>
      </c>
      <c r="BI229" s="1511">
        <f t="shared" si="167"/>
        <v>0</v>
      </c>
      <c r="BJ229" s="1524">
        <f t="shared" si="167"/>
        <v>84</v>
      </c>
      <c r="BK229" s="1524">
        <f t="shared" si="167"/>
        <v>0</v>
      </c>
      <c r="BL229" s="1524">
        <f t="shared" si="167"/>
        <v>0</v>
      </c>
      <c r="BM229" s="1511">
        <f t="shared" si="167"/>
        <v>0</v>
      </c>
      <c r="BN229" s="1524">
        <f t="shared" si="167"/>
        <v>0</v>
      </c>
      <c r="BO229" s="1524">
        <f t="shared" si="167"/>
        <v>0</v>
      </c>
      <c r="BP229" s="1524">
        <f t="shared" si="167"/>
        <v>0</v>
      </c>
      <c r="BQ229" s="1511">
        <f t="shared" si="167"/>
        <v>16.600000000000001</v>
      </c>
      <c r="BR229" s="1524">
        <f t="shared" si="167"/>
        <v>0</v>
      </c>
      <c r="BS229" s="1524">
        <f t="shared" si="167"/>
        <v>0</v>
      </c>
      <c r="BT229" s="1524">
        <f t="shared" si="167"/>
        <v>0</v>
      </c>
      <c r="BU229" s="1511">
        <f t="shared" si="167"/>
        <v>0</v>
      </c>
      <c r="BV229" s="1524">
        <f t="shared" si="167"/>
        <v>0</v>
      </c>
      <c r="BW229" s="1524">
        <f t="shared" si="167"/>
        <v>0</v>
      </c>
      <c r="BX229" s="1524">
        <f t="shared" si="167"/>
        <v>0</v>
      </c>
      <c r="BY229" s="1511">
        <f t="shared" si="167"/>
        <v>0</v>
      </c>
      <c r="BZ229" s="1524">
        <f t="shared" si="167"/>
        <v>555</v>
      </c>
      <c r="CA229" s="1524">
        <f t="shared" si="167"/>
        <v>0</v>
      </c>
      <c r="CB229" s="1524">
        <f t="shared" si="167"/>
        <v>0</v>
      </c>
      <c r="CC229" s="1511">
        <f t="shared" si="167"/>
        <v>0</v>
      </c>
      <c r="CD229" s="1524">
        <f t="shared" si="167"/>
        <v>0</v>
      </c>
      <c r="CE229" s="1524">
        <f t="shared" si="167"/>
        <v>0</v>
      </c>
      <c r="CF229" s="1524">
        <f>CF269+CF344+CF442+CF524</f>
        <v>0</v>
      </c>
      <c r="CG229" s="1525"/>
      <c r="CH229" s="1511">
        <f>CH269+CH344+CH442+CH524</f>
        <v>203.5</v>
      </c>
      <c r="CI229" s="1524">
        <f>CI269+CI344+CI442+CI524</f>
        <v>1584</v>
      </c>
      <c r="CJ229" s="1524">
        <f>CJ269+CJ344+CJ442+CJ524</f>
        <v>0</v>
      </c>
      <c r="CK229" s="1524">
        <f>CK269+CK344+CK442+CK524</f>
        <v>75</v>
      </c>
      <c r="CL229" s="1495"/>
      <c r="CM229" s="1495"/>
      <c r="CN229" s="1495"/>
      <c r="CO229" s="1495"/>
      <c r="CP229" s="1495"/>
      <c r="CQ229" s="1495"/>
      <c r="CR229" s="1495"/>
      <c r="CS229" s="1495"/>
      <c r="CT229" s="1495"/>
      <c r="CU229" s="1495"/>
      <c r="CV229" s="1495"/>
      <c r="CW229" s="1495"/>
      <c r="CY229" s="1495"/>
    </row>
    <row r="230" spans="1:103" s="1496" customFormat="1" x14ac:dyDescent="0.15">
      <c r="A230" s="1541" t="s">
        <v>87</v>
      </c>
      <c r="B230" s="1523" t="s">
        <v>79</v>
      </c>
      <c r="C230" s="1523" t="s">
        <v>80</v>
      </c>
      <c r="D230" s="1523" t="s">
        <v>125</v>
      </c>
      <c r="E230" s="1784"/>
      <c r="F230" s="1523"/>
      <c r="G230" s="1523">
        <v>223</v>
      </c>
      <c r="H230" s="1502">
        <f t="shared" si="168"/>
        <v>14039.1</v>
      </c>
      <c r="I230" s="1502">
        <f t="shared" si="169"/>
        <v>0</v>
      </c>
      <c r="J230" s="1502">
        <f t="shared" si="165"/>
        <v>0</v>
      </c>
      <c r="K230" s="1502">
        <f t="shared" si="165"/>
        <v>0</v>
      </c>
      <c r="L230" s="1502">
        <f t="shared" si="165"/>
        <v>0</v>
      </c>
      <c r="M230" s="1502">
        <f t="shared" si="165"/>
        <v>0</v>
      </c>
      <c r="N230" s="1502">
        <f t="shared" si="165"/>
        <v>0</v>
      </c>
      <c r="O230" s="1502">
        <f t="shared" si="165"/>
        <v>0</v>
      </c>
      <c r="P230" s="1502">
        <f t="shared" si="165"/>
        <v>0</v>
      </c>
      <c r="Q230" s="1502">
        <f t="shared" si="165"/>
        <v>0</v>
      </c>
      <c r="R230" s="1503">
        <f t="shared" si="165"/>
        <v>0</v>
      </c>
      <c r="S230" s="1503">
        <f t="shared" si="165"/>
        <v>0</v>
      </c>
      <c r="T230" s="1504"/>
      <c r="U230" s="1505"/>
      <c r="V230" s="1505"/>
      <c r="W230" s="1506"/>
      <c r="X230" s="1506"/>
      <c r="Y230" s="1506"/>
      <c r="Z230" s="1507"/>
      <c r="AA230" s="1506"/>
      <c r="AB230" s="1506"/>
      <c r="AC230" s="1524">
        <f t="shared" si="166"/>
        <v>14039.1</v>
      </c>
      <c r="AD230" s="1524">
        <f t="shared" si="166"/>
        <v>0</v>
      </c>
      <c r="AE230" s="1524">
        <f t="shared" si="166"/>
        <v>0</v>
      </c>
      <c r="AF230" s="1524">
        <f t="shared" si="166"/>
        <v>0</v>
      </c>
      <c r="AG230" s="1524">
        <f t="shared" si="166"/>
        <v>0</v>
      </c>
      <c r="AH230" s="1524">
        <f t="shared" si="166"/>
        <v>1876.37</v>
      </c>
      <c r="AI230" s="1524">
        <f t="shared" si="166"/>
        <v>0</v>
      </c>
      <c r="AJ230" s="1510">
        <f t="shared" ref="AJ230:CK234" si="170">AJ270+AJ345+AJ443+AJ525</f>
        <v>0</v>
      </c>
      <c r="AK230" s="1510">
        <f t="shared" si="170"/>
        <v>0</v>
      </c>
      <c r="AL230" s="1510">
        <f t="shared" si="170"/>
        <v>0</v>
      </c>
      <c r="AM230" s="1510">
        <f t="shared" si="170"/>
        <v>0</v>
      </c>
      <c r="AN230" s="1511"/>
      <c r="AO230" s="1524">
        <f t="shared" si="170"/>
        <v>1345</v>
      </c>
      <c r="AP230" s="1524">
        <f t="shared" si="170"/>
        <v>0</v>
      </c>
      <c r="AQ230" s="1524">
        <f t="shared" si="170"/>
        <v>0</v>
      </c>
      <c r="AR230" s="1524">
        <f t="shared" si="170"/>
        <v>0</v>
      </c>
      <c r="AS230" s="1507">
        <f t="shared" si="170"/>
        <v>1244.3000000000002</v>
      </c>
      <c r="AT230" s="1524">
        <f t="shared" si="170"/>
        <v>0</v>
      </c>
      <c r="AU230" s="1524">
        <f t="shared" si="170"/>
        <v>0</v>
      </c>
      <c r="AV230" s="1524">
        <f t="shared" si="170"/>
        <v>0</v>
      </c>
      <c r="AW230" s="1507">
        <f t="shared" si="170"/>
        <v>0</v>
      </c>
      <c r="AX230" s="1524">
        <f t="shared" si="170"/>
        <v>0</v>
      </c>
      <c r="AY230" s="1524">
        <f t="shared" si="170"/>
        <v>0</v>
      </c>
      <c r="AZ230" s="1524">
        <f t="shared" si="170"/>
        <v>0</v>
      </c>
      <c r="BA230" s="1511">
        <f t="shared" si="170"/>
        <v>0</v>
      </c>
      <c r="BB230" s="1524">
        <f t="shared" si="170"/>
        <v>0</v>
      </c>
      <c r="BC230" s="1524">
        <f t="shared" si="170"/>
        <v>0</v>
      </c>
      <c r="BD230" s="1524">
        <f t="shared" si="170"/>
        <v>0</v>
      </c>
      <c r="BE230" s="1511">
        <f t="shared" si="170"/>
        <v>2845.08</v>
      </c>
      <c r="BF230" s="1524">
        <f t="shared" si="170"/>
        <v>0</v>
      </c>
      <c r="BG230" s="1524">
        <f t="shared" si="170"/>
        <v>0</v>
      </c>
      <c r="BH230" s="1524">
        <f t="shared" si="170"/>
        <v>0</v>
      </c>
      <c r="BI230" s="1511">
        <f t="shared" si="170"/>
        <v>1475.57</v>
      </c>
      <c r="BJ230" s="1524">
        <f t="shared" si="170"/>
        <v>0</v>
      </c>
      <c r="BK230" s="1524">
        <f t="shared" si="170"/>
        <v>0</v>
      </c>
      <c r="BL230" s="1524">
        <f t="shared" si="170"/>
        <v>0</v>
      </c>
      <c r="BM230" s="1511">
        <f t="shared" si="170"/>
        <v>40</v>
      </c>
      <c r="BN230" s="1524">
        <f t="shared" si="170"/>
        <v>0</v>
      </c>
      <c r="BO230" s="1524">
        <f t="shared" si="170"/>
        <v>0</v>
      </c>
      <c r="BP230" s="1524">
        <f t="shared" si="170"/>
        <v>0</v>
      </c>
      <c r="BQ230" s="1511">
        <f t="shared" si="170"/>
        <v>1429.6999999999998</v>
      </c>
      <c r="BR230" s="1524">
        <f t="shared" si="170"/>
        <v>0</v>
      </c>
      <c r="BS230" s="1524">
        <f t="shared" si="170"/>
        <v>0</v>
      </c>
      <c r="BT230" s="1524">
        <f t="shared" si="170"/>
        <v>0</v>
      </c>
      <c r="BU230" s="1511">
        <f t="shared" si="170"/>
        <v>2048.25</v>
      </c>
      <c r="BV230" s="1524">
        <f t="shared" si="170"/>
        <v>0</v>
      </c>
      <c r="BW230" s="1524">
        <f t="shared" si="170"/>
        <v>0</v>
      </c>
      <c r="BX230" s="1524">
        <f t="shared" si="170"/>
        <v>0</v>
      </c>
      <c r="BY230" s="1511">
        <f t="shared" si="170"/>
        <v>1669.25</v>
      </c>
      <c r="BZ230" s="1524">
        <f t="shared" si="170"/>
        <v>0</v>
      </c>
      <c r="CA230" s="1524">
        <f t="shared" si="170"/>
        <v>0</v>
      </c>
      <c r="CB230" s="1524">
        <f t="shared" si="170"/>
        <v>0</v>
      </c>
      <c r="CC230" s="1511">
        <f t="shared" si="170"/>
        <v>-29</v>
      </c>
      <c r="CD230" s="1524">
        <f t="shared" si="170"/>
        <v>0</v>
      </c>
      <c r="CE230" s="1524">
        <f t="shared" si="170"/>
        <v>0</v>
      </c>
      <c r="CF230" s="1524">
        <f t="shared" si="170"/>
        <v>0</v>
      </c>
      <c r="CG230" s="1525"/>
      <c r="CH230" s="1511">
        <f t="shared" si="170"/>
        <v>1970.95</v>
      </c>
      <c r="CI230" s="1524">
        <f t="shared" si="170"/>
        <v>0</v>
      </c>
      <c r="CJ230" s="1524">
        <f t="shared" si="170"/>
        <v>0</v>
      </c>
      <c r="CK230" s="1524">
        <f t="shared" si="170"/>
        <v>0</v>
      </c>
      <c r="CL230" s="1495"/>
      <c r="CM230" s="1495"/>
      <c r="CN230" s="1495"/>
      <c r="CO230" s="1495"/>
      <c r="CP230" s="1495"/>
      <c r="CQ230" s="1495"/>
      <c r="CR230" s="1495"/>
      <c r="CS230" s="1495"/>
      <c r="CT230" s="1495"/>
      <c r="CU230" s="1495"/>
      <c r="CV230" s="1495"/>
      <c r="CW230" s="1495"/>
      <c r="CY230" s="1495"/>
    </row>
    <row r="231" spans="1:103" s="1496" customFormat="1" x14ac:dyDescent="0.15">
      <c r="A231" s="1541" t="s">
        <v>111</v>
      </c>
      <c r="B231" s="1523" t="s">
        <v>79</v>
      </c>
      <c r="C231" s="1523" t="s">
        <v>80</v>
      </c>
      <c r="D231" s="1523" t="s">
        <v>125</v>
      </c>
      <c r="E231" s="1784"/>
      <c r="F231" s="1523"/>
      <c r="G231" s="1523">
        <v>224</v>
      </c>
      <c r="H231" s="1502">
        <f t="shared" si="168"/>
        <v>2417.4459999999999</v>
      </c>
      <c r="I231" s="1502">
        <f t="shared" si="169"/>
        <v>70</v>
      </c>
      <c r="J231" s="1502">
        <f t="shared" si="165"/>
        <v>0</v>
      </c>
      <c r="K231" s="1502">
        <f t="shared" si="165"/>
        <v>0</v>
      </c>
      <c r="L231" s="1502">
        <f t="shared" si="165"/>
        <v>0</v>
      </c>
      <c r="M231" s="1502">
        <f t="shared" si="165"/>
        <v>0</v>
      </c>
      <c r="N231" s="1502">
        <f t="shared" si="165"/>
        <v>0</v>
      </c>
      <c r="O231" s="1502">
        <f t="shared" si="165"/>
        <v>0</v>
      </c>
      <c r="P231" s="1502">
        <f t="shared" si="165"/>
        <v>0</v>
      </c>
      <c r="Q231" s="1502">
        <f t="shared" si="165"/>
        <v>0</v>
      </c>
      <c r="R231" s="1503">
        <f t="shared" si="165"/>
        <v>0</v>
      </c>
      <c r="S231" s="1503">
        <f t="shared" si="165"/>
        <v>0</v>
      </c>
      <c r="T231" s="1504"/>
      <c r="U231" s="1505"/>
      <c r="V231" s="1505"/>
      <c r="W231" s="1506"/>
      <c r="X231" s="1506"/>
      <c r="Y231" s="1506"/>
      <c r="Z231" s="1507"/>
      <c r="AA231" s="1506"/>
      <c r="AB231" s="1506"/>
      <c r="AC231" s="1524">
        <f t="shared" si="166"/>
        <v>2417.4459999999999</v>
      </c>
      <c r="AD231" s="1524">
        <f t="shared" si="166"/>
        <v>70</v>
      </c>
      <c r="AE231" s="1524">
        <f t="shared" si="166"/>
        <v>70</v>
      </c>
      <c r="AF231" s="1524">
        <f t="shared" si="166"/>
        <v>0</v>
      </c>
      <c r="AG231" s="1524">
        <f t="shared" si="166"/>
        <v>0</v>
      </c>
      <c r="AH231" s="1524">
        <f t="shared" si="166"/>
        <v>569.4</v>
      </c>
      <c r="AI231" s="1524">
        <f t="shared" si="166"/>
        <v>0</v>
      </c>
      <c r="AJ231" s="1510">
        <f t="shared" si="170"/>
        <v>0</v>
      </c>
      <c r="AK231" s="1510">
        <f t="shared" si="170"/>
        <v>0</v>
      </c>
      <c r="AL231" s="1510">
        <f t="shared" si="170"/>
        <v>0</v>
      </c>
      <c r="AM231" s="1510">
        <f t="shared" si="170"/>
        <v>0</v>
      </c>
      <c r="AN231" s="1511"/>
      <c r="AO231" s="1524">
        <f t="shared" si="170"/>
        <v>133.5</v>
      </c>
      <c r="AP231" s="1524">
        <f t="shared" si="170"/>
        <v>0</v>
      </c>
      <c r="AQ231" s="1524">
        <f t="shared" si="170"/>
        <v>0</v>
      </c>
      <c r="AR231" s="1524">
        <f t="shared" si="170"/>
        <v>0</v>
      </c>
      <c r="AS231" s="1507">
        <f t="shared" si="170"/>
        <v>133.5</v>
      </c>
      <c r="AT231" s="1524">
        <f t="shared" si="170"/>
        <v>0</v>
      </c>
      <c r="AU231" s="1524">
        <f t="shared" si="170"/>
        <v>0</v>
      </c>
      <c r="AV231" s="1524">
        <f t="shared" si="170"/>
        <v>0</v>
      </c>
      <c r="AW231" s="1507">
        <f t="shared" si="170"/>
        <v>300</v>
      </c>
      <c r="AX231" s="1524">
        <f t="shared" si="170"/>
        <v>0</v>
      </c>
      <c r="AY231" s="1524">
        <f t="shared" si="170"/>
        <v>0</v>
      </c>
      <c r="AZ231" s="1524">
        <f t="shared" si="170"/>
        <v>0</v>
      </c>
      <c r="BA231" s="1511">
        <f t="shared" si="170"/>
        <v>0</v>
      </c>
      <c r="BB231" s="1524">
        <f t="shared" si="170"/>
        <v>0</v>
      </c>
      <c r="BC231" s="1524">
        <f t="shared" si="170"/>
        <v>0</v>
      </c>
      <c r="BD231" s="1524">
        <f t="shared" si="170"/>
        <v>0</v>
      </c>
      <c r="BE231" s="1511">
        <f t="shared" si="170"/>
        <v>0</v>
      </c>
      <c r="BF231" s="1524">
        <f t="shared" si="170"/>
        <v>0</v>
      </c>
      <c r="BG231" s="1524">
        <f t="shared" si="170"/>
        <v>0</v>
      </c>
      <c r="BH231" s="1524">
        <f t="shared" si="170"/>
        <v>0</v>
      </c>
      <c r="BI231" s="1511">
        <f t="shared" si="170"/>
        <v>0</v>
      </c>
      <c r="BJ231" s="1524">
        <f t="shared" si="170"/>
        <v>70</v>
      </c>
      <c r="BK231" s="1524">
        <f t="shared" si="170"/>
        <v>0</v>
      </c>
      <c r="BL231" s="1524">
        <f t="shared" si="170"/>
        <v>0</v>
      </c>
      <c r="BM231" s="1511">
        <f t="shared" si="170"/>
        <v>0</v>
      </c>
      <c r="BN231" s="1524">
        <f t="shared" si="170"/>
        <v>0</v>
      </c>
      <c r="BO231" s="1524">
        <f t="shared" si="170"/>
        <v>0</v>
      </c>
      <c r="BP231" s="1524">
        <f t="shared" si="170"/>
        <v>0</v>
      </c>
      <c r="BQ231" s="1511">
        <f t="shared" si="170"/>
        <v>250</v>
      </c>
      <c r="BR231" s="1524">
        <f t="shared" si="170"/>
        <v>0</v>
      </c>
      <c r="BS231" s="1524">
        <f t="shared" si="170"/>
        <v>0</v>
      </c>
      <c r="BT231" s="1524">
        <f t="shared" si="170"/>
        <v>0</v>
      </c>
      <c r="BU231" s="1511">
        <f t="shared" si="170"/>
        <v>693</v>
      </c>
      <c r="BV231" s="1524">
        <f t="shared" si="170"/>
        <v>0</v>
      </c>
      <c r="BW231" s="1524">
        <f t="shared" si="170"/>
        <v>0</v>
      </c>
      <c r="BX231" s="1524">
        <f t="shared" si="170"/>
        <v>0</v>
      </c>
      <c r="BY231" s="1511">
        <f t="shared" si="170"/>
        <v>0</v>
      </c>
      <c r="BZ231" s="1524">
        <f t="shared" si="170"/>
        <v>0</v>
      </c>
      <c r="CA231" s="1524">
        <f t="shared" si="170"/>
        <v>0</v>
      </c>
      <c r="CB231" s="1524">
        <f t="shared" si="170"/>
        <v>0</v>
      </c>
      <c r="CC231" s="1511">
        <f t="shared" si="170"/>
        <v>206</v>
      </c>
      <c r="CD231" s="1524">
        <f t="shared" si="170"/>
        <v>0</v>
      </c>
      <c r="CE231" s="1524">
        <f t="shared" si="170"/>
        <v>0</v>
      </c>
      <c r="CF231" s="1524">
        <f t="shared" si="170"/>
        <v>0</v>
      </c>
      <c r="CG231" s="1525"/>
      <c r="CH231" s="1511">
        <f t="shared" si="170"/>
        <v>701.44600000000003</v>
      </c>
      <c r="CI231" s="1524">
        <f t="shared" si="170"/>
        <v>0</v>
      </c>
      <c r="CJ231" s="1524">
        <f t="shared" si="170"/>
        <v>0</v>
      </c>
      <c r="CK231" s="1524">
        <f t="shared" si="170"/>
        <v>0</v>
      </c>
      <c r="CL231" s="1495"/>
      <c r="CM231" s="1495"/>
      <c r="CN231" s="1495"/>
      <c r="CO231" s="1495"/>
      <c r="CP231" s="1495"/>
      <c r="CQ231" s="1495"/>
      <c r="CR231" s="1495"/>
      <c r="CS231" s="1495"/>
      <c r="CT231" s="1495"/>
      <c r="CU231" s="1495"/>
      <c r="CV231" s="1495"/>
      <c r="CW231" s="1495"/>
      <c r="CY231" s="1495"/>
    </row>
    <row r="232" spans="1:103" s="1496" customFormat="1" x14ac:dyDescent="0.15">
      <c r="A232" s="1541" t="s">
        <v>90</v>
      </c>
      <c r="B232" s="1523" t="s">
        <v>79</v>
      </c>
      <c r="C232" s="1523" t="s">
        <v>80</v>
      </c>
      <c r="D232" s="1523" t="s">
        <v>125</v>
      </c>
      <c r="E232" s="1784"/>
      <c r="F232" s="1523"/>
      <c r="G232" s="1523">
        <v>225</v>
      </c>
      <c r="H232" s="1502">
        <f t="shared" si="168"/>
        <v>33692.454000000005</v>
      </c>
      <c r="I232" s="1502">
        <f t="shared" si="169"/>
        <v>199336.8</v>
      </c>
      <c r="J232" s="1502">
        <f t="shared" si="165"/>
        <v>6805.48</v>
      </c>
      <c r="K232" s="1502">
        <f t="shared" si="165"/>
        <v>10490.865</v>
      </c>
      <c r="L232" s="1502">
        <f t="shared" si="165"/>
        <v>120</v>
      </c>
      <c r="M232" s="1502">
        <f t="shared" si="165"/>
        <v>0</v>
      </c>
      <c r="N232" s="1502">
        <f t="shared" si="165"/>
        <v>0</v>
      </c>
      <c r="O232" s="1502">
        <f t="shared" si="165"/>
        <v>0</v>
      </c>
      <c r="P232" s="1502">
        <f t="shared" si="165"/>
        <v>0</v>
      </c>
      <c r="Q232" s="1502">
        <f t="shared" si="165"/>
        <v>0</v>
      </c>
      <c r="R232" s="1503">
        <f t="shared" si="165"/>
        <v>0</v>
      </c>
      <c r="S232" s="1503">
        <f t="shared" si="165"/>
        <v>0</v>
      </c>
      <c r="T232" s="1504"/>
      <c r="U232" s="1505"/>
      <c r="V232" s="1505"/>
      <c r="W232" s="1506"/>
      <c r="X232" s="1506"/>
      <c r="Y232" s="1506"/>
      <c r="Z232" s="1507"/>
      <c r="AA232" s="1506"/>
      <c r="AB232" s="1506"/>
      <c r="AC232" s="1524">
        <f t="shared" si="166"/>
        <v>33692.454000000005</v>
      </c>
      <c r="AD232" s="1524">
        <f t="shared" si="166"/>
        <v>90633.14499999999</v>
      </c>
      <c r="AE232" s="1524">
        <f t="shared" si="166"/>
        <v>73336.800000000003</v>
      </c>
      <c r="AF232" s="1524">
        <f t="shared" si="166"/>
        <v>6805.48</v>
      </c>
      <c r="AG232" s="1524">
        <f t="shared" si="166"/>
        <v>10490.865</v>
      </c>
      <c r="AH232" s="1524">
        <f t="shared" si="166"/>
        <v>719</v>
      </c>
      <c r="AI232" s="1524">
        <f t="shared" si="166"/>
        <v>0</v>
      </c>
      <c r="AJ232" s="1510">
        <f t="shared" si="170"/>
        <v>126000</v>
      </c>
      <c r="AK232" s="1510">
        <f t="shared" si="170"/>
        <v>126000</v>
      </c>
      <c r="AL232" s="1510">
        <f t="shared" si="170"/>
        <v>0</v>
      </c>
      <c r="AM232" s="1510">
        <f t="shared" si="170"/>
        <v>0</v>
      </c>
      <c r="AN232" s="1511"/>
      <c r="AO232" s="1524">
        <f t="shared" si="170"/>
        <v>0</v>
      </c>
      <c r="AP232" s="1524">
        <f t="shared" si="170"/>
        <v>0</v>
      </c>
      <c r="AQ232" s="1524">
        <f t="shared" si="170"/>
        <v>0</v>
      </c>
      <c r="AR232" s="1524">
        <f t="shared" si="170"/>
        <v>0</v>
      </c>
      <c r="AS232" s="1507">
        <f t="shared" si="170"/>
        <v>0</v>
      </c>
      <c r="AT232" s="1524">
        <f t="shared" si="170"/>
        <v>0</v>
      </c>
      <c r="AU232" s="1524">
        <f t="shared" si="170"/>
        <v>0</v>
      </c>
      <c r="AV232" s="1524">
        <f t="shared" si="170"/>
        <v>0</v>
      </c>
      <c r="AW232" s="1507">
        <f t="shared" si="170"/>
        <v>0</v>
      </c>
      <c r="AX232" s="1524">
        <f t="shared" si="170"/>
        <v>0</v>
      </c>
      <c r="AY232" s="1524">
        <f t="shared" si="170"/>
        <v>0</v>
      </c>
      <c r="AZ232" s="1524">
        <f t="shared" si="170"/>
        <v>0</v>
      </c>
      <c r="BA232" s="1511">
        <f t="shared" si="170"/>
        <v>14900</v>
      </c>
      <c r="BB232" s="1524">
        <f t="shared" si="170"/>
        <v>10000</v>
      </c>
      <c r="BC232" s="1524">
        <f t="shared" si="170"/>
        <v>0</v>
      </c>
      <c r="BD232" s="1524">
        <f t="shared" si="170"/>
        <v>0</v>
      </c>
      <c r="BE232" s="1511">
        <f t="shared" si="170"/>
        <v>46.3</v>
      </c>
      <c r="BF232" s="1524">
        <f t="shared" si="170"/>
        <v>0</v>
      </c>
      <c r="BG232" s="1524">
        <f t="shared" si="170"/>
        <v>0</v>
      </c>
      <c r="BH232" s="1524">
        <f t="shared" si="170"/>
        <v>0</v>
      </c>
      <c r="BI232" s="1511">
        <f t="shared" si="170"/>
        <v>14740</v>
      </c>
      <c r="BJ232" s="1524">
        <f t="shared" si="170"/>
        <v>2800</v>
      </c>
      <c r="BK232" s="1524">
        <f t="shared" si="170"/>
        <v>0</v>
      </c>
      <c r="BL232" s="1524">
        <f t="shared" si="170"/>
        <v>3333.3</v>
      </c>
      <c r="BM232" s="1511">
        <f t="shared" si="170"/>
        <v>0</v>
      </c>
      <c r="BN232" s="1524">
        <f t="shared" si="170"/>
        <v>0</v>
      </c>
      <c r="BO232" s="1524">
        <f t="shared" si="170"/>
        <v>0</v>
      </c>
      <c r="BP232" s="1524">
        <f t="shared" si="170"/>
        <v>4918.7</v>
      </c>
      <c r="BQ232" s="1511">
        <f t="shared" si="170"/>
        <v>2077.1000000000004</v>
      </c>
      <c r="BR232" s="1524">
        <f t="shared" si="170"/>
        <v>0</v>
      </c>
      <c r="BS232" s="1524">
        <f t="shared" si="170"/>
        <v>0</v>
      </c>
      <c r="BT232" s="1524">
        <f t="shared" si="170"/>
        <v>0</v>
      </c>
      <c r="BU232" s="1511">
        <f t="shared" si="170"/>
        <v>0</v>
      </c>
      <c r="BV232" s="1524">
        <f t="shared" si="170"/>
        <v>0</v>
      </c>
      <c r="BW232" s="1524">
        <f t="shared" si="170"/>
        <v>1000</v>
      </c>
      <c r="BX232" s="1524">
        <f t="shared" si="170"/>
        <v>0</v>
      </c>
      <c r="BY232" s="1511">
        <f t="shared" si="170"/>
        <v>0</v>
      </c>
      <c r="BZ232" s="1524">
        <f t="shared" si="170"/>
        <v>0</v>
      </c>
      <c r="CA232" s="1524">
        <f t="shared" si="170"/>
        <v>1026.5</v>
      </c>
      <c r="CB232" s="1524">
        <f t="shared" si="170"/>
        <v>600</v>
      </c>
      <c r="CC232" s="1511">
        <f t="shared" si="170"/>
        <v>0</v>
      </c>
      <c r="CD232" s="1524">
        <f t="shared" si="170"/>
        <v>0</v>
      </c>
      <c r="CE232" s="1524">
        <f t="shared" si="170"/>
        <v>0</v>
      </c>
      <c r="CF232" s="1524">
        <f t="shared" si="170"/>
        <v>0</v>
      </c>
      <c r="CG232" s="1525"/>
      <c r="CH232" s="1511">
        <f t="shared" si="170"/>
        <v>1929.0540000000001</v>
      </c>
      <c r="CI232" s="1524">
        <f t="shared" si="170"/>
        <v>36536.800000000003</v>
      </c>
      <c r="CJ232" s="1524">
        <f t="shared" si="170"/>
        <v>4778.9799999999996</v>
      </c>
      <c r="CK232" s="1524">
        <f t="shared" si="170"/>
        <v>1638.865</v>
      </c>
      <c r="CL232" s="1495"/>
      <c r="CM232" s="1495"/>
      <c r="CN232" s="1495"/>
      <c r="CO232" s="1495"/>
      <c r="CP232" s="1495"/>
      <c r="CQ232" s="1495"/>
      <c r="CR232" s="1495"/>
      <c r="CS232" s="1495"/>
      <c r="CT232" s="1495"/>
      <c r="CU232" s="1495"/>
      <c r="CV232" s="1495"/>
      <c r="CW232" s="1495"/>
      <c r="CY232" s="1495"/>
    </row>
    <row r="233" spans="1:103" s="1496" customFormat="1" x14ac:dyDescent="0.15">
      <c r="A233" s="1541" t="s">
        <v>91</v>
      </c>
      <c r="B233" s="1523" t="s">
        <v>79</v>
      </c>
      <c r="C233" s="1523" t="s">
        <v>80</v>
      </c>
      <c r="D233" s="1523" t="s">
        <v>125</v>
      </c>
      <c r="E233" s="1784"/>
      <c r="F233" s="1523"/>
      <c r="G233" s="1523">
        <v>226</v>
      </c>
      <c r="H233" s="1502">
        <f t="shared" si="168"/>
        <v>28384.105049999998</v>
      </c>
      <c r="I233" s="1502">
        <f t="shared" si="169"/>
        <v>81002.777999999991</v>
      </c>
      <c r="J233" s="1502">
        <f t="shared" si="165"/>
        <v>6734.8399999999992</v>
      </c>
      <c r="K233" s="1502">
        <f t="shared" si="165"/>
        <v>6683.2449999999999</v>
      </c>
      <c r="L233" s="1502">
        <f t="shared" si="165"/>
        <v>270</v>
      </c>
      <c r="M233" s="1502">
        <f t="shared" si="165"/>
        <v>63</v>
      </c>
      <c r="N233" s="1502">
        <f t="shared" si="165"/>
        <v>1350</v>
      </c>
      <c r="O233" s="1502">
        <f t="shared" si="165"/>
        <v>128.715</v>
      </c>
      <c r="P233" s="1502">
        <f t="shared" si="165"/>
        <v>3300</v>
      </c>
      <c r="Q233" s="1502">
        <f t="shared" si="165"/>
        <v>9247.2454999999991</v>
      </c>
      <c r="R233" s="1503">
        <f t="shared" si="165"/>
        <v>1000</v>
      </c>
      <c r="S233" s="1503">
        <f t="shared" si="165"/>
        <v>15330.96</v>
      </c>
      <c r="T233" s="1504"/>
      <c r="U233" s="1505"/>
      <c r="V233" s="1505"/>
      <c r="W233" s="1506"/>
      <c r="X233" s="1506"/>
      <c r="Y233" s="1506"/>
      <c r="Z233" s="1507"/>
      <c r="AA233" s="1506"/>
      <c r="AB233" s="1506"/>
      <c r="AC233" s="1524">
        <f t="shared" si="166"/>
        <v>28384.105049999998</v>
      </c>
      <c r="AD233" s="1524">
        <f t="shared" si="166"/>
        <v>94420.863219999999</v>
      </c>
      <c r="AE233" s="1524">
        <f t="shared" si="166"/>
        <v>81002.778219999993</v>
      </c>
      <c r="AF233" s="1524">
        <f t="shared" si="166"/>
        <v>6734.8399999999992</v>
      </c>
      <c r="AG233" s="1524">
        <f t="shared" si="166"/>
        <v>6683.2450000000008</v>
      </c>
      <c r="AH233" s="1524">
        <f t="shared" si="166"/>
        <v>9084.469000000001</v>
      </c>
      <c r="AI233" s="1524">
        <f t="shared" si="166"/>
        <v>0</v>
      </c>
      <c r="AJ233" s="1510">
        <f t="shared" si="170"/>
        <v>-2.1999999983746132E-4</v>
      </c>
      <c r="AK233" s="1510">
        <f t="shared" si="170"/>
        <v>-2.1999999983746132E-4</v>
      </c>
      <c r="AL233" s="1510">
        <f t="shared" si="170"/>
        <v>0</v>
      </c>
      <c r="AM233" s="1510">
        <f t="shared" si="170"/>
        <v>0</v>
      </c>
      <c r="AN233" s="1511"/>
      <c r="AO233" s="1524">
        <f t="shared" si="170"/>
        <v>6055.8799999999992</v>
      </c>
      <c r="AP233" s="1524">
        <f t="shared" si="170"/>
        <v>1564.6</v>
      </c>
      <c r="AQ233" s="1524">
        <f t="shared" si="170"/>
        <v>0</v>
      </c>
      <c r="AR233" s="1524">
        <f t="shared" si="170"/>
        <v>0</v>
      </c>
      <c r="AS233" s="1507">
        <f t="shared" si="170"/>
        <v>700</v>
      </c>
      <c r="AT233" s="1524">
        <f t="shared" si="170"/>
        <v>0</v>
      </c>
      <c r="AU233" s="1524">
        <f t="shared" si="170"/>
        <v>0</v>
      </c>
      <c r="AV233" s="1524">
        <f t="shared" si="170"/>
        <v>0</v>
      </c>
      <c r="AW233" s="1507">
        <f t="shared" si="170"/>
        <v>2845.7</v>
      </c>
      <c r="AX233" s="1524">
        <f t="shared" si="170"/>
        <v>2018.2</v>
      </c>
      <c r="AY233" s="1524">
        <f t="shared" si="170"/>
        <v>0</v>
      </c>
      <c r="AZ233" s="1524">
        <f t="shared" si="170"/>
        <v>0</v>
      </c>
      <c r="BA233" s="1511">
        <f t="shared" si="170"/>
        <v>3035</v>
      </c>
      <c r="BB233" s="1524">
        <f t="shared" si="170"/>
        <v>4880</v>
      </c>
      <c r="BC233" s="1524">
        <f t="shared" si="170"/>
        <v>0</v>
      </c>
      <c r="BD233" s="1524">
        <f t="shared" si="170"/>
        <v>1240</v>
      </c>
      <c r="BE233" s="1511">
        <f t="shared" si="170"/>
        <v>2118.6040499999999</v>
      </c>
      <c r="BF233" s="1524">
        <f t="shared" si="170"/>
        <v>10190</v>
      </c>
      <c r="BG233" s="1524">
        <f t="shared" si="170"/>
        <v>0</v>
      </c>
      <c r="BH233" s="1524">
        <f t="shared" si="170"/>
        <v>2301.2429999999999</v>
      </c>
      <c r="BI233" s="1511">
        <f t="shared" si="170"/>
        <v>611.42699999999991</v>
      </c>
      <c r="BJ233" s="1524">
        <f t="shared" si="170"/>
        <v>13261.415000000001</v>
      </c>
      <c r="BK233" s="1524">
        <f t="shared" si="170"/>
        <v>0</v>
      </c>
      <c r="BL233" s="1524">
        <f t="shared" si="170"/>
        <v>0</v>
      </c>
      <c r="BM233" s="1511">
        <f t="shared" si="170"/>
        <v>247.5</v>
      </c>
      <c r="BN233" s="1524">
        <f t="shared" si="170"/>
        <v>4950</v>
      </c>
      <c r="BO233" s="1524">
        <f t="shared" si="170"/>
        <v>0</v>
      </c>
      <c r="BP233" s="1524">
        <f t="shared" si="170"/>
        <v>340</v>
      </c>
      <c r="BQ233" s="1511">
        <f t="shared" si="170"/>
        <v>3573.9579999999996</v>
      </c>
      <c r="BR233" s="1524">
        <f t="shared" si="170"/>
        <v>8338.7000000000007</v>
      </c>
      <c r="BS233" s="1524">
        <f t="shared" si="170"/>
        <v>0</v>
      </c>
      <c r="BT233" s="1524">
        <f t="shared" si="170"/>
        <v>0</v>
      </c>
      <c r="BU233" s="1511">
        <f t="shared" si="170"/>
        <v>1586.48</v>
      </c>
      <c r="BV233" s="1524">
        <f t="shared" si="170"/>
        <v>5209.4432199999992</v>
      </c>
      <c r="BW233" s="1524">
        <f t="shared" si="170"/>
        <v>4279.7</v>
      </c>
      <c r="BX233" s="1524">
        <f t="shared" si="170"/>
        <v>710</v>
      </c>
      <c r="BY233" s="1511">
        <f t="shared" si="170"/>
        <v>111.50999999999999</v>
      </c>
      <c r="BZ233" s="1524">
        <f t="shared" si="170"/>
        <v>6212.2110000000011</v>
      </c>
      <c r="CA233" s="1524">
        <f t="shared" si="170"/>
        <v>300</v>
      </c>
      <c r="CB233" s="1524">
        <f t="shared" si="170"/>
        <v>0</v>
      </c>
      <c r="CC233" s="1511">
        <f t="shared" si="170"/>
        <v>997.83</v>
      </c>
      <c r="CD233" s="1524">
        <f t="shared" si="170"/>
        <v>0</v>
      </c>
      <c r="CE233" s="1524">
        <f t="shared" si="170"/>
        <v>0</v>
      </c>
      <c r="CF233" s="1524">
        <f t="shared" si="170"/>
        <v>0</v>
      </c>
      <c r="CG233" s="1525"/>
      <c r="CH233" s="1511">
        <f t="shared" si="170"/>
        <v>6500.2159999999994</v>
      </c>
      <c r="CI233" s="1524">
        <f t="shared" si="170"/>
        <v>24378.209000000003</v>
      </c>
      <c r="CJ233" s="1524">
        <f t="shared" si="170"/>
        <v>2155.14</v>
      </c>
      <c r="CK233" s="1524">
        <f t="shared" si="170"/>
        <v>2092.002</v>
      </c>
      <c r="CL233" s="1495"/>
      <c r="CM233" s="1495"/>
      <c r="CN233" s="1495"/>
      <c r="CO233" s="1495"/>
      <c r="CP233" s="1495"/>
      <c r="CQ233" s="1495"/>
      <c r="CR233" s="1495"/>
      <c r="CS233" s="1495"/>
      <c r="CT233" s="1495"/>
      <c r="CU233" s="1495"/>
      <c r="CV233" s="1495"/>
      <c r="CW233" s="1495"/>
      <c r="CY233" s="1495"/>
    </row>
    <row r="234" spans="1:103" s="1496" customFormat="1" x14ac:dyDescent="0.15">
      <c r="A234" s="1541" t="s">
        <v>94</v>
      </c>
      <c r="B234" s="1523" t="s">
        <v>79</v>
      </c>
      <c r="C234" s="1523" t="s">
        <v>80</v>
      </c>
      <c r="D234" s="1523" t="s">
        <v>125</v>
      </c>
      <c r="E234" s="1784"/>
      <c r="F234" s="1523"/>
      <c r="G234" s="1523">
        <v>290</v>
      </c>
      <c r="H234" s="1502">
        <f t="shared" si="168"/>
        <v>13841.104000000003</v>
      </c>
      <c r="I234" s="1502">
        <f t="shared" si="169"/>
        <v>150</v>
      </c>
      <c r="J234" s="1502">
        <f t="shared" si="165"/>
        <v>0</v>
      </c>
      <c r="K234" s="1502">
        <f t="shared" si="165"/>
        <v>0</v>
      </c>
      <c r="L234" s="1502">
        <f t="shared" si="165"/>
        <v>0</v>
      </c>
      <c r="M234" s="1502">
        <f t="shared" si="165"/>
        <v>0</v>
      </c>
      <c r="N234" s="1502">
        <f t="shared" si="165"/>
        <v>0</v>
      </c>
      <c r="O234" s="1502">
        <f t="shared" si="165"/>
        <v>0</v>
      </c>
      <c r="P234" s="1502">
        <f t="shared" si="165"/>
        <v>0</v>
      </c>
      <c r="Q234" s="1502">
        <f t="shared" si="165"/>
        <v>0</v>
      </c>
      <c r="R234" s="1503">
        <f t="shared" si="165"/>
        <v>0</v>
      </c>
      <c r="S234" s="1503">
        <f t="shared" si="165"/>
        <v>0</v>
      </c>
      <c r="T234" s="1504"/>
      <c r="U234" s="1505"/>
      <c r="V234" s="1505"/>
      <c r="W234" s="1506"/>
      <c r="X234" s="1506"/>
      <c r="Y234" s="1506"/>
      <c r="Z234" s="1507"/>
      <c r="AA234" s="1506"/>
      <c r="AB234" s="1506"/>
      <c r="AC234" s="1524">
        <f t="shared" si="166"/>
        <v>13841.104000000003</v>
      </c>
      <c r="AD234" s="1524">
        <f t="shared" si="166"/>
        <v>150</v>
      </c>
      <c r="AE234" s="1524">
        <f t="shared" si="166"/>
        <v>150</v>
      </c>
      <c r="AF234" s="1524">
        <f t="shared" si="166"/>
        <v>0</v>
      </c>
      <c r="AG234" s="1524">
        <f t="shared" si="166"/>
        <v>0</v>
      </c>
      <c r="AH234" s="1524">
        <f t="shared" si="166"/>
        <v>3335.0160000000005</v>
      </c>
      <c r="AI234" s="1524">
        <f t="shared" si="166"/>
        <v>7.1054273576010019E-15</v>
      </c>
      <c r="AJ234" s="1510">
        <f t="shared" si="170"/>
        <v>0</v>
      </c>
      <c r="AK234" s="1510">
        <f t="shared" si="170"/>
        <v>0</v>
      </c>
      <c r="AL234" s="1510">
        <f t="shared" si="170"/>
        <v>0</v>
      </c>
      <c r="AM234" s="1510">
        <f t="shared" si="170"/>
        <v>0</v>
      </c>
      <c r="AN234" s="1511"/>
      <c r="AO234" s="1524">
        <f t="shared" si="170"/>
        <v>1151.2</v>
      </c>
      <c r="AP234" s="1524">
        <f t="shared" si="170"/>
        <v>0</v>
      </c>
      <c r="AQ234" s="1524">
        <f t="shared" si="170"/>
        <v>0</v>
      </c>
      <c r="AR234" s="1524">
        <f t="shared" si="170"/>
        <v>0</v>
      </c>
      <c r="AS234" s="1507">
        <f t="shared" si="170"/>
        <v>0</v>
      </c>
      <c r="AT234" s="1524">
        <f t="shared" si="170"/>
        <v>0</v>
      </c>
      <c r="AU234" s="1524">
        <f t="shared" si="170"/>
        <v>0</v>
      </c>
      <c r="AV234" s="1524">
        <f t="shared" si="170"/>
        <v>0</v>
      </c>
      <c r="AW234" s="1507">
        <f t="shared" si="170"/>
        <v>1.1919999999999999</v>
      </c>
      <c r="AX234" s="1524">
        <f t="shared" si="170"/>
        <v>0</v>
      </c>
      <c r="AY234" s="1524">
        <f t="shared" si="170"/>
        <v>0</v>
      </c>
      <c r="AZ234" s="1524">
        <f t="shared" si="170"/>
        <v>0</v>
      </c>
      <c r="BA234" s="1511">
        <f t="shared" si="170"/>
        <v>0</v>
      </c>
      <c r="BB234" s="1524">
        <f t="shared" si="170"/>
        <v>0</v>
      </c>
      <c r="BC234" s="1524">
        <f t="shared" si="170"/>
        <v>0</v>
      </c>
      <c r="BD234" s="1524">
        <f t="shared" si="170"/>
        <v>0</v>
      </c>
      <c r="BE234" s="1511">
        <f t="shared" si="170"/>
        <v>3598.0460000000003</v>
      </c>
      <c r="BF234" s="1524">
        <f t="shared" si="170"/>
        <v>0</v>
      </c>
      <c r="BG234" s="1524">
        <f t="shared" si="170"/>
        <v>0</v>
      </c>
      <c r="BH234" s="1524">
        <f t="shared" si="170"/>
        <v>0</v>
      </c>
      <c r="BI234" s="1511">
        <f t="shared" si="170"/>
        <v>47.5</v>
      </c>
      <c r="BJ234" s="1524">
        <f t="shared" si="170"/>
        <v>0</v>
      </c>
      <c r="BK234" s="1524">
        <f t="shared" si="170"/>
        <v>0</v>
      </c>
      <c r="BL234" s="1524">
        <f t="shared" si="170"/>
        <v>0</v>
      </c>
      <c r="BM234" s="1511">
        <f t="shared" si="170"/>
        <v>13.8</v>
      </c>
      <c r="BN234" s="1524">
        <f t="shared" si="170"/>
        <v>0</v>
      </c>
      <c r="BO234" s="1524">
        <f t="shared" si="170"/>
        <v>0</v>
      </c>
      <c r="BP234" s="1524">
        <f t="shared" si="170"/>
        <v>0</v>
      </c>
      <c r="BQ234" s="1511">
        <f t="shared" si="170"/>
        <v>26.150000000000002</v>
      </c>
      <c r="BR234" s="1524">
        <f t="shared" si="170"/>
        <v>0</v>
      </c>
      <c r="BS234" s="1524">
        <f t="shared" si="170"/>
        <v>0</v>
      </c>
      <c r="BT234" s="1524">
        <f t="shared" si="170"/>
        <v>0</v>
      </c>
      <c r="BU234" s="1511">
        <f t="shared" si="170"/>
        <v>5777.0999999999995</v>
      </c>
      <c r="BV234" s="1524">
        <f t="shared" si="170"/>
        <v>0</v>
      </c>
      <c r="BW234" s="1524">
        <f t="shared" si="170"/>
        <v>0</v>
      </c>
      <c r="BX234" s="1524">
        <f t="shared" si="170"/>
        <v>0</v>
      </c>
      <c r="BY234" s="1511">
        <f t="shared" si="170"/>
        <v>-156.6</v>
      </c>
      <c r="BZ234" s="1524">
        <f t="shared" si="170"/>
        <v>0</v>
      </c>
      <c r="CA234" s="1524">
        <f t="shared" si="170"/>
        <v>0</v>
      </c>
      <c r="CB234" s="1524">
        <f t="shared" si="170"/>
        <v>0</v>
      </c>
      <c r="CC234" s="1511">
        <f t="shared" si="170"/>
        <v>0</v>
      </c>
      <c r="CD234" s="1524">
        <f t="shared" si="170"/>
        <v>0</v>
      </c>
      <c r="CE234" s="1524">
        <f t="shared" si="170"/>
        <v>0</v>
      </c>
      <c r="CF234" s="1524">
        <f>CF274+CF349+CF447+CF529</f>
        <v>0</v>
      </c>
      <c r="CG234" s="1525"/>
      <c r="CH234" s="1511">
        <f>CH274+CH349+CH447+CH529</f>
        <v>3382.7160000000003</v>
      </c>
      <c r="CI234" s="1524">
        <f>CI274+CI349+CI447+CI529</f>
        <v>150</v>
      </c>
      <c r="CJ234" s="1524">
        <f>CJ274+CJ349+CJ447+CJ529</f>
        <v>0</v>
      </c>
      <c r="CK234" s="1524">
        <f>CK274+CK349+CK447+CK529</f>
        <v>0</v>
      </c>
      <c r="CL234" s="1495"/>
      <c r="CM234" s="1495"/>
      <c r="CN234" s="1495"/>
      <c r="CO234" s="1495"/>
      <c r="CP234" s="1495"/>
      <c r="CQ234" s="1495"/>
      <c r="CR234" s="1495"/>
      <c r="CS234" s="1495"/>
      <c r="CT234" s="1495"/>
      <c r="CU234" s="1495"/>
      <c r="CV234" s="1495"/>
      <c r="CW234" s="1495"/>
      <c r="CY234" s="1495"/>
    </row>
    <row r="235" spans="1:103" s="1496" customFormat="1" x14ac:dyDescent="0.15">
      <c r="A235" s="1541" t="s">
        <v>94</v>
      </c>
      <c r="B235" s="1523" t="s">
        <v>79</v>
      </c>
      <c r="C235" s="1523" t="s">
        <v>80</v>
      </c>
      <c r="D235" s="1523" t="s">
        <v>125</v>
      </c>
      <c r="E235" s="1784"/>
      <c r="F235" s="1523"/>
      <c r="G235" s="1523">
        <v>290</v>
      </c>
      <c r="H235" s="1502">
        <f t="shared" si="168"/>
        <v>0</v>
      </c>
      <c r="I235" s="1502">
        <f t="shared" si="169"/>
        <v>0</v>
      </c>
      <c r="J235" s="1502">
        <f t="shared" si="165"/>
        <v>0</v>
      </c>
      <c r="K235" s="1502">
        <f t="shared" si="165"/>
        <v>0</v>
      </c>
      <c r="L235" s="1502">
        <f t="shared" si="165"/>
        <v>0</v>
      </c>
      <c r="M235" s="1502">
        <f t="shared" si="165"/>
        <v>0</v>
      </c>
      <c r="N235" s="1502">
        <f t="shared" si="165"/>
        <v>0</v>
      </c>
      <c r="O235" s="1502">
        <f t="shared" si="165"/>
        <v>0</v>
      </c>
      <c r="P235" s="1502">
        <f t="shared" si="165"/>
        <v>0</v>
      </c>
      <c r="Q235" s="1502">
        <f t="shared" si="165"/>
        <v>0</v>
      </c>
      <c r="R235" s="1503">
        <f t="shared" si="165"/>
        <v>0</v>
      </c>
      <c r="S235" s="1503">
        <f t="shared" si="165"/>
        <v>0</v>
      </c>
      <c r="T235" s="1504"/>
      <c r="U235" s="1505"/>
      <c r="V235" s="1505"/>
      <c r="W235" s="1506"/>
      <c r="X235" s="1506"/>
      <c r="Y235" s="1506"/>
      <c r="Z235" s="1507"/>
      <c r="AA235" s="1506"/>
      <c r="AB235" s="1506"/>
      <c r="AC235" s="1524">
        <f t="shared" si="166"/>
        <v>0</v>
      </c>
      <c r="AD235" s="1524">
        <f t="shared" si="166"/>
        <v>0</v>
      </c>
      <c r="AE235" s="1524">
        <f t="shared" si="166"/>
        <v>0</v>
      </c>
      <c r="AF235" s="1524">
        <f t="shared" si="166"/>
        <v>0</v>
      </c>
      <c r="AG235" s="1524">
        <f t="shared" si="166"/>
        <v>0</v>
      </c>
      <c r="AH235" s="1524">
        <f t="shared" si="166"/>
        <v>0</v>
      </c>
      <c r="AI235" s="1524">
        <f t="shared" si="166"/>
        <v>0</v>
      </c>
      <c r="AJ235" s="1510">
        <f t="shared" ref="AJ235:CK237" si="171">AJ275+AJ350+AJ448+AJ530</f>
        <v>0</v>
      </c>
      <c r="AK235" s="1510">
        <f t="shared" si="171"/>
        <v>0</v>
      </c>
      <c r="AL235" s="1510">
        <f t="shared" si="171"/>
        <v>0</v>
      </c>
      <c r="AM235" s="1510">
        <f t="shared" si="171"/>
        <v>0</v>
      </c>
      <c r="AN235" s="1511"/>
      <c r="AO235" s="1524">
        <f t="shared" si="171"/>
        <v>0</v>
      </c>
      <c r="AP235" s="1524">
        <f t="shared" si="171"/>
        <v>0</v>
      </c>
      <c r="AQ235" s="1524">
        <f t="shared" si="171"/>
        <v>0</v>
      </c>
      <c r="AR235" s="1524">
        <f t="shared" si="171"/>
        <v>0</v>
      </c>
      <c r="AS235" s="1507">
        <f t="shared" si="171"/>
        <v>0</v>
      </c>
      <c r="AT235" s="1524">
        <f t="shared" si="171"/>
        <v>0</v>
      </c>
      <c r="AU235" s="1524">
        <f t="shared" si="171"/>
        <v>0</v>
      </c>
      <c r="AV235" s="1524">
        <f t="shared" si="171"/>
        <v>0</v>
      </c>
      <c r="AW235" s="1507">
        <f t="shared" si="171"/>
        <v>0</v>
      </c>
      <c r="AX235" s="1524">
        <f t="shared" si="171"/>
        <v>0</v>
      </c>
      <c r="AY235" s="1524">
        <f t="shared" si="171"/>
        <v>0</v>
      </c>
      <c r="AZ235" s="1524">
        <f t="shared" si="171"/>
        <v>0</v>
      </c>
      <c r="BA235" s="1511">
        <f t="shared" si="171"/>
        <v>0</v>
      </c>
      <c r="BB235" s="1524">
        <f t="shared" si="171"/>
        <v>0</v>
      </c>
      <c r="BC235" s="1524">
        <f t="shared" si="171"/>
        <v>0</v>
      </c>
      <c r="BD235" s="1524">
        <f t="shared" si="171"/>
        <v>0</v>
      </c>
      <c r="BE235" s="1511">
        <f t="shared" si="171"/>
        <v>0</v>
      </c>
      <c r="BF235" s="1524">
        <f t="shared" si="171"/>
        <v>0</v>
      </c>
      <c r="BG235" s="1524">
        <f t="shared" si="171"/>
        <v>0</v>
      </c>
      <c r="BH235" s="1524">
        <f t="shared" si="171"/>
        <v>0</v>
      </c>
      <c r="BI235" s="1511">
        <f t="shared" si="171"/>
        <v>0</v>
      </c>
      <c r="BJ235" s="1524">
        <f t="shared" si="171"/>
        <v>0</v>
      </c>
      <c r="BK235" s="1524">
        <f t="shared" si="171"/>
        <v>0</v>
      </c>
      <c r="BL235" s="1524">
        <f t="shared" si="171"/>
        <v>0</v>
      </c>
      <c r="BM235" s="1511">
        <f t="shared" si="171"/>
        <v>0</v>
      </c>
      <c r="BN235" s="1524">
        <f t="shared" si="171"/>
        <v>0</v>
      </c>
      <c r="BO235" s="1524">
        <f t="shared" si="171"/>
        <v>0</v>
      </c>
      <c r="BP235" s="1524">
        <f t="shared" si="171"/>
        <v>0</v>
      </c>
      <c r="BQ235" s="1511">
        <f t="shared" si="171"/>
        <v>0</v>
      </c>
      <c r="BR235" s="1524">
        <f t="shared" si="171"/>
        <v>0</v>
      </c>
      <c r="BS235" s="1524">
        <f t="shared" si="171"/>
        <v>0</v>
      </c>
      <c r="BT235" s="1524">
        <f t="shared" si="171"/>
        <v>0</v>
      </c>
      <c r="BU235" s="1511">
        <f t="shared" si="171"/>
        <v>0</v>
      </c>
      <c r="BV235" s="1524">
        <f t="shared" si="171"/>
        <v>0</v>
      </c>
      <c r="BW235" s="1524">
        <f t="shared" si="171"/>
        <v>0</v>
      </c>
      <c r="BX235" s="1524">
        <f t="shared" si="171"/>
        <v>0</v>
      </c>
      <c r="BY235" s="1511">
        <f t="shared" si="171"/>
        <v>0</v>
      </c>
      <c r="BZ235" s="1524">
        <f t="shared" si="171"/>
        <v>0</v>
      </c>
      <c r="CA235" s="1524">
        <f t="shared" si="171"/>
        <v>0</v>
      </c>
      <c r="CB235" s="1524">
        <f t="shared" si="171"/>
        <v>0</v>
      </c>
      <c r="CC235" s="1511">
        <f t="shared" si="171"/>
        <v>0</v>
      </c>
      <c r="CD235" s="1524">
        <f t="shared" si="171"/>
        <v>0</v>
      </c>
      <c r="CE235" s="1524">
        <f t="shared" si="171"/>
        <v>0</v>
      </c>
      <c r="CF235" s="1524">
        <f t="shared" si="171"/>
        <v>0</v>
      </c>
      <c r="CG235" s="1525"/>
      <c r="CH235" s="1511">
        <f t="shared" si="171"/>
        <v>0</v>
      </c>
      <c r="CI235" s="1524">
        <f t="shared" si="171"/>
        <v>0</v>
      </c>
      <c r="CJ235" s="1524">
        <f t="shared" si="171"/>
        <v>0</v>
      </c>
      <c r="CK235" s="1524">
        <f t="shared" si="171"/>
        <v>0</v>
      </c>
      <c r="CL235" s="1495"/>
      <c r="CM235" s="1495"/>
      <c r="CN235" s="1495"/>
      <c r="CO235" s="1495"/>
      <c r="CP235" s="1495"/>
      <c r="CQ235" s="1495"/>
      <c r="CR235" s="1495"/>
      <c r="CS235" s="1495"/>
      <c r="CT235" s="1495"/>
      <c r="CU235" s="1495"/>
      <c r="CV235" s="1495"/>
      <c r="CW235" s="1495"/>
      <c r="CY235" s="1495"/>
    </row>
    <row r="236" spans="1:103" s="1496" customFormat="1" x14ac:dyDescent="0.15">
      <c r="A236" s="1541" t="s">
        <v>96</v>
      </c>
      <c r="B236" s="1523" t="s">
        <v>79</v>
      </c>
      <c r="C236" s="1523" t="s">
        <v>80</v>
      </c>
      <c r="D236" s="1523" t="s">
        <v>125</v>
      </c>
      <c r="E236" s="1784"/>
      <c r="F236" s="1523"/>
      <c r="G236" s="1523">
        <v>310</v>
      </c>
      <c r="H236" s="1502">
        <f t="shared" si="168"/>
        <v>5386.5259999999998</v>
      </c>
      <c r="I236" s="1502">
        <f t="shared" si="169"/>
        <v>84210.952000000005</v>
      </c>
      <c r="J236" s="1502">
        <f t="shared" si="165"/>
        <v>0</v>
      </c>
      <c r="K236" s="1502">
        <f t="shared" si="165"/>
        <v>8514.99</v>
      </c>
      <c r="L236" s="1502">
        <f t="shared" si="165"/>
        <v>0</v>
      </c>
      <c r="M236" s="1502">
        <f t="shared" si="165"/>
        <v>0</v>
      </c>
      <c r="N236" s="1502">
        <f t="shared" si="165"/>
        <v>0</v>
      </c>
      <c r="O236" s="1502">
        <f t="shared" si="165"/>
        <v>0</v>
      </c>
      <c r="P236" s="1502">
        <f t="shared" si="165"/>
        <v>0</v>
      </c>
      <c r="Q236" s="1502">
        <f t="shared" si="165"/>
        <v>0</v>
      </c>
      <c r="R236" s="1503">
        <f t="shared" si="165"/>
        <v>0</v>
      </c>
      <c r="S236" s="1503">
        <f t="shared" si="165"/>
        <v>0</v>
      </c>
      <c r="T236" s="1504"/>
      <c r="U236" s="1505"/>
      <c r="V236" s="1505"/>
      <c r="W236" s="1506"/>
      <c r="X236" s="1506"/>
      <c r="Y236" s="1506"/>
      <c r="Z236" s="1507"/>
      <c r="AA236" s="1506"/>
      <c r="AB236" s="1506"/>
      <c r="AC236" s="1524">
        <f t="shared" si="166"/>
        <v>5386.5259999999998</v>
      </c>
      <c r="AD236" s="1524">
        <f t="shared" si="166"/>
        <v>92725.94200000001</v>
      </c>
      <c r="AE236" s="1524">
        <f t="shared" si="166"/>
        <v>84210.952000000005</v>
      </c>
      <c r="AF236" s="1524">
        <f t="shared" si="166"/>
        <v>0</v>
      </c>
      <c r="AG236" s="1524">
        <f t="shared" si="166"/>
        <v>8514.99</v>
      </c>
      <c r="AH236" s="1524">
        <f t="shared" si="166"/>
        <v>983.03</v>
      </c>
      <c r="AI236" s="1524">
        <f t="shared" si="166"/>
        <v>0</v>
      </c>
      <c r="AJ236" s="1510">
        <f t="shared" si="171"/>
        <v>0</v>
      </c>
      <c r="AK236" s="1510">
        <f t="shared" si="171"/>
        <v>0</v>
      </c>
      <c r="AL236" s="1510">
        <f t="shared" si="171"/>
        <v>0</v>
      </c>
      <c r="AM236" s="1510">
        <f t="shared" si="171"/>
        <v>0</v>
      </c>
      <c r="AN236" s="1511"/>
      <c r="AO236" s="1524">
        <f t="shared" si="171"/>
        <v>0</v>
      </c>
      <c r="AP236" s="1524">
        <f t="shared" si="171"/>
        <v>30.58</v>
      </c>
      <c r="AQ236" s="1524">
        <f t="shared" si="171"/>
        <v>0</v>
      </c>
      <c r="AR236" s="1524">
        <f t="shared" si="171"/>
        <v>0</v>
      </c>
      <c r="AS236" s="1507">
        <f t="shared" si="171"/>
        <v>0</v>
      </c>
      <c r="AT236" s="1524">
        <f t="shared" si="171"/>
        <v>100</v>
      </c>
      <c r="AU236" s="1524">
        <f t="shared" si="171"/>
        <v>0</v>
      </c>
      <c r="AV236" s="1524">
        <f t="shared" si="171"/>
        <v>0</v>
      </c>
      <c r="AW236" s="1507">
        <f t="shared" si="171"/>
        <v>48</v>
      </c>
      <c r="AX236" s="1524">
        <f t="shared" si="171"/>
        <v>16000</v>
      </c>
      <c r="AY236" s="1524">
        <f t="shared" si="171"/>
        <v>0</v>
      </c>
      <c r="AZ236" s="1524">
        <f t="shared" si="171"/>
        <v>0</v>
      </c>
      <c r="BA236" s="1511">
        <f t="shared" si="171"/>
        <v>30</v>
      </c>
      <c r="BB236" s="1524">
        <f t="shared" si="171"/>
        <v>130</v>
      </c>
      <c r="BC236" s="1524">
        <f t="shared" si="171"/>
        <v>0</v>
      </c>
      <c r="BD236" s="1524">
        <f t="shared" si="171"/>
        <v>0</v>
      </c>
      <c r="BE236" s="1511">
        <f t="shared" si="171"/>
        <v>1640.3440000000001</v>
      </c>
      <c r="BF236" s="1524">
        <f t="shared" si="171"/>
        <v>772.36999999999989</v>
      </c>
      <c r="BG236" s="1524">
        <f t="shared" si="171"/>
        <v>0</v>
      </c>
      <c r="BH236" s="1524">
        <f t="shared" si="171"/>
        <v>192</v>
      </c>
      <c r="BI236" s="1511">
        <f t="shared" si="171"/>
        <v>1286.8</v>
      </c>
      <c r="BJ236" s="1524">
        <f t="shared" si="171"/>
        <v>1118.8</v>
      </c>
      <c r="BK236" s="1524">
        <f t="shared" si="171"/>
        <v>0</v>
      </c>
      <c r="BL236" s="1524">
        <f t="shared" si="171"/>
        <v>0</v>
      </c>
      <c r="BM236" s="1511">
        <f t="shared" si="171"/>
        <v>755</v>
      </c>
      <c r="BN236" s="1524">
        <f t="shared" si="171"/>
        <v>17618.03</v>
      </c>
      <c r="BO236" s="1524">
        <f t="shared" si="171"/>
        <v>0</v>
      </c>
      <c r="BP236" s="1524">
        <f t="shared" si="171"/>
        <v>2808</v>
      </c>
      <c r="BQ236" s="1511">
        <f t="shared" si="171"/>
        <v>4.8000000000000001E-2</v>
      </c>
      <c r="BR236" s="1524">
        <f t="shared" si="171"/>
        <v>5672</v>
      </c>
      <c r="BS236" s="1524">
        <f t="shared" si="171"/>
        <v>0</v>
      </c>
      <c r="BT236" s="1524">
        <f t="shared" si="171"/>
        <v>300</v>
      </c>
      <c r="BU236" s="1511">
        <f t="shared" si="171"/>
        <v>0</v>
      </c>
      <c r="BV236" s="1524">
        <f t="shared" si="171"/>
        <v>26326.99</v>
      </c>
      <c r="BW236" s="1524">
        <f t="shared" si="171"/>
        <v>0</v>
      </c>
      <c r="BX236" s="1524">
        <f t="shared" si="171"/>
        <v>5108.1570000000002</v>
      </c>
      <c r="BY236" s="1511">
        <f t="shared" si="171"/>
        <v>19.350000000000001</v>
      </c>
      <c r="BZ236" s="1524">
        <f t="shared" si="171"/>
        <v>2201.527</v>
      </c>
      <c r="CA236" s="1524">
        <f t="shared" si="171"/>
        <v>0</v>
      </c>
      <c r="CB236" s="1524">
        <f t="shared" si="171"/>
        <v>0</v>
      </c>
      <c r="CC236" s="1511">
        <f t="shared" si="171"/>
        <v>0</v>
      </c>
      <c r="CD236" s="1524">
        <f t="shared" si="171"/>
        <v>933.07799999999997</v>
      </c>
      <c r="CE236" s="1524">
        <f t="shared" si="171"/>
        <v>0</v>
      </c>
      <c r="CF236" s="1524">
        <f t="shared" si="171"/>
        <v>0</v>
      </c>
      <c r="CG236" s="1525"/>
      <c r="CH236" s="1511">
        <f t="shared" si="171"/>
        <v>1606.9839999999999</v>
      </c>
      <c r="CI236" s="1524">
        <f t="shared" si="171"/>
        <v>13307.577000000001</v>
      </c>
      <c r="CJ236" s="1524">
        <f t="shared" si="171"/>
        <v>0</v>
      </c>
      <c r="CK236" s="1524">
        <f t="shared" si="171"/>
        <v>106.833</v>
      </c>
      <c r="CL236" s="1495"/>
      <c r="CM236" s="1495"/>
      <c r="CN236" s="1495"/>
      <c r="CO236" s="1495"/>
      <c r="CP236" s="1495"/>
      <c r="CQ236" s="1495"/>
      <c r="CR236" s="1495"/>
      <c r="CS236" s="1495"/>
      <c r="CT236" s="1495"/>
      <c r="CU236" s="1495"/>
      <c r="CV236" s="1495"/>
      <c r="CW236" s="1495"/>
      <c r="CY236" s="1495"/>
    </row>
    <row r="237" spans="1:103" s="1496" customFormat="1" x14ac:dyDescent="0.15">
      <c r="A237" s="1541" t="s">
        <v>97</v>
      </c>
      <c r="B237" s="1523" t="s">
        <v>79</v>
      </c>
      <c r="C237" s="1523" t="s">
        <v>80</v>
      </c>
      <c r="D237" s="1523" t="s">
        <v>125</v>
      </c>
      <c r="E237" s="1784"/>
      <c r="F237" s="1523"/>
      <c r="G237" s="1523">
        <v>340</v>
      </c>
      <c r="H237" s="1502">
        <f t="shared" si="168"/>
        <v>4876.1820000000007</v>
      </c>
      <c r="I237" s="1502">
        <f t="shared" si="169"/>
        <v>200</v>
      </c>
      <c r="J237" s="1502">
        <f t="shared" si="165"/>
        <v>0</v>
      </c>
      <c r="K237" s="1502">
        <f t="shared" si="165"/>
        <v>40</v>
      </c>
      <c r="L237" s="1502">
        <f t="shared" si="165"/>
        <v>0</v>
      </c>
      <c r="M237" s="1502">
        <f t="shared" si="165"/>
        <v>0</v>
      </c>
      <c r="N237" s="1502">
        <f t="shared" si="165"/>
        <v>0</v>
      </c>
      <c r="O237" s="1502">
        <f t="shared" si="165"/>
        <v>0</v>
      </c>
      <c r="P237" s="1502">
        <f t="shared" si="165"/>
        <v>0</v>
      </c>
      <c r="Q237" s="1502">
        <f t="shared" si="165"/>
        <v>0</v>
      </c>
      <c r="R237" s="1503">
        <f t="shared" si="165"/>
        <v>0</v>
      </c>
      <c r="S237" s="1503">
        <f t="shared" si="165"/>
        <v>0</v>
      </c>
      <c r="T237" s="1504"/>
      <c r="U237" s="1505"/>
      <c r="V237" s="1505"/>
      <c r="W237" s="1506"/>
      <c r="X237" s="1506"/>
      <c r="Y237" s="1506"/>
      <c r="Z237" s="1507"/>
      <c r="AA237" s="1506"/>
      <c r="AB237" s="1506"/>
      <c r="AC237" s="1524">
        <f t="shared" si="166"/>
        <v>4876.1820000000007</v>
      </c>
      <c r="AD237" s="1524">
        <f t="shared" si="166"/>
        <v>240</v>
      </c>
      <c r="AE237" s="1524">
        <f t="shared" si="166"/>
        <v>200</v>
      </c>
      <c r="AF237" s="1524">
        <f t="shared" si="166"/>
        <v>0</v>
      </c>
      <c r="AG237" s="1524">
        <f t="shared" si="166"/>
        <v>40</v>
      </c>
      <c r="AH237" s="1524">
        <f t="shared" si="166"/>
        <v>1507.3620000000001</v>
      </c>
      <c r="AI237" s="1524">
        <f t="shared" si="166"/>
        <v>0</v>
      </c>
      <c r="AJ237" s="1510">
        <f t="shared" si="171"/>
        <v>0</v>
      </c>
      <c r="AK237" s="1510">
        <f t="shared" si="171"/>
        <v>0</v>
      </c>
      <c r="AL237" s="1510">
        <f t="shared" si="171"/>
        <v>0</v>
      </c>
      <c r="AM237" s="1510">
        <f t="shared" si="171"/>
        <v>0</v>
      </c>
      <c r="AN237" s="1511"/>
      <c r="AO237" s="1524">
        <f t="shared" si="171"/>
        <v>484.2000000000001</v>
      </c>
      <c r="AP237" s="1524">
        <f t="shared" si="171"/>
        <v>0</v>
      </c>
      <c r="AQ237" s="1524">
        <f t="shared" si="171"/>
        <v>0</v>
      </c>
      <c r="AR237" s="1524">
        <f t="shared" si="171"/>
        <v>0</v>
      </c>
      <c r="AS237" s="1507">
        <f t="shared" si="171"/>
        <v>0</v>
      </c>
      <c r="AT237" s="1524">
        <f t="shared" si="171"/>
        <v>0</v>
      </c>
      <c r="AU237" s="1524">
        <f t="shared" si="171"/>
        <v>0</v>
      </c>
      <c r="AV237" s="1524">
        <f t="shared" si="171"/>
        <v>0</v>
      </c>
      <c r="AW237" s="1507">
        <f t="shared" si="171"/>
        <v>146.30000000000001</v>
      </c>
      <c r="AX237" s="1524">
        <f t="shared" si="171"/>
        <v>0</v>
      </c>
      <c r="AY237" s="1524">
        <f t="shared" si="171"/>
        <v>0</v>
      </c>
      <c r="AZ237" s="1524">
        <f t="shared" si="171"/>
        <v>0</v>
      </c>
      <c r="BA237" s="1511">
        <f t="shared" si="171"/>
        <v>55</v>
      </c>
      <c r="BB237" s="1524">
        <f t="shared" si="171"/>
        <v>0</v>
      </c>
      <c r="BC237" s="1524">
        <f t="shared" si="171"/>
        <v>0</v>
      </c>
      <c r="BD237" s="1524">
        <f t="shared" si="171"/>
        <v>0</v>
      </c>
      <c r="BE237" s="1511">
        <f t="shared" si="171"/>
        <v>1416.9160000000002</v>
      </c>
      <c r="BF237" s="1524">
        <f t="shared" si="171"/>
        <v>0</v>
      </c>
      <c r="BG237" s="1524">
        <f t="shared" si="171"/>
        <v>0</v>
      </c>
      <c r="BH237" s="1524">
        <f t="shared" si="171"/>
        <v>0</v>
      </c>
      <c r="BI237" s="1511">
        <f t="shared" si="171"/>
        <v>300</v>
      </c>
      <c r="BJ237" s="1524">
        <f t="shared" si="171"/>
        <v>0</v>
      </c>
      <c r="BK237" s="1524">
        <f t="shared" si="171"/>
        <v>0</v>
      </c>
      <c r="BL237" s="1524">
        <f t="shared" si="171"/>
        <v>0</v>
      </c>
      <c r="BM237" s="1511">
        <f t="shared" si="171"/>
        <v>702.5</v>
      </c>
      <c r="BN237" s="1524">
        <f t="shared" si="171"/>
        <v>0</v>
      </c>
      <c r="BO237" s="1524">
        <f t="shared" si="171"/>
        <v>0</v>
      </c>
      <c r="BP237" s="1524">
        <f t="shared" si="171"/>
        <v>0</v>
      </c>
      <c r="BQ237" s="1511">
        <f t="shared" si="171"/>
        <v>100.304</v>
      </c>
      <c r="BR237" s="1524">
        <f t="shared" si="171"/>
        <v>0</v>
      </c>
      <c r="BS237" s="1524">
        <f t="shared" si="171"/>
        <v>0</v>
      </c>
      <c r="BT237" s="1524">
        <f t="shared" si="171"/>
        <v>0</v>
      </c>
      <c r="BU237" s="1511">
        <f t="shared" si="171"/>
        <v>0</v>
      </c>
      <c r="BV237" s="1524">
        <f t="shared" si="171"/>
        <v>0</v>
      </c>
      <c r="BW237" s="1524">
        <f t="shared" si="171"/>
        <v>0</v>
      </c>
      <c r="BX237" s="1524">
        <f t="shared" si="171"/>
        <v>0</v>
      </c>
      <c r="BY237" s="1511">
        <f t="shared" si="171"/>
        <v>107.5</v>
      </c>
      <c r="BZ237" s="1524">
        <f t="shared" si="171"/>
        <v>0</v>
      </c>
      <c r="CA237" s="1524">
        <f t="shared" si="171"/>
        <v>0</v>
      </c>
      <c r="CB237" s="1524">
        <f t="shared" si="171"/>
        <v>0</v>
      </c>
      <c r="CC237" s="1511">
        <f t="shared" si="171"/>
        <v>29</v>
      </c>
      <c r="CD237" s="1524">
        <f t="shared" si="171"/>
        <v>0</v>
      </c>
      <c r="CE237" s="1524">
        <f t="shared" si="171"/>
        <v>0</v>
      </c>
      <c r="CF237" s="1524">
        <f t="shared" si="171"/>
        <v>0</v>
      </c>
      <c r="CG237" s="1525"/>
      <c r="CH237" s="1511">
        <f t="shared" si="171"/>
        <v>1534.462</v>
      </c>
      <c r="CI237" s="1524">
        <f t="shared" si="171"/>
        <v>200</v>
      </c>
      <c r="CJ237" s="1524">
        <f t="shared" si="171"/>
        <v>0</v>
      </c>
      <c r="CK237" s="1524">
        <f t="shared" si="171"/>
        <v>40</v>
      </c>
      <c r="CL237" s="1495"/>
      <c r="CM237" s="1495"/>
      <c r="CN237" s="1495"/>
      <c r="CO237" s="1495"/>
      <c r="CP237" s="1495"/>
      <c r="CQ237" s="1495"/>
      <c r="CR237" s="1495"/>
      <c r="CS237" s="1495"/>
      <c r="CT237" s="1495"/>
      <c r="CU237" s="1495"/>
      <c r="CV237" s="1495"/>
      <c r="CW237" s="1495"/>
      <c r="CY237" s="1495"/>
    </row>
    <row r="238" spans="1:103" s="1496" customFormat="1" ht="14" x14ac:dyDescent="0.15">
      <c r="A238" s="1528" t="s">
        <v>767</v>
      </c>
      <c r="B238" s="1749" t="s">
        <v>79</v>
      </c>
      <c r="C238" s="1749" t="s">
        <v>80</v>
      </c>
      <c r="D238" s="1749" t="s">
        <v>125</v>
      </c>
      <c r="E238" s="1785"/>
      <c r="F238" s="1530" t="s">
        <v>768</v>
      </c>
      <c r="G238" s="1542" t="s">
        <v>766</v>
      </c>
      <c r="H238" s="1543">
        <f>H278+H353+H451+H533+H987+H989+H991+H949</f>
        <v>407891.19089999999</v>
      </c>
      <c r="I238" s="1531"/>
      <c r="J238" s="1531"/>
      <c r="K238" s="1531"/>
      <c r="L238" s="1601"/>
      <c r="M238" s="1601"/>
      <c r="N238" s="1601"/>
      <c r="O238" s="1601"/>
      <c r="P238" s="1601"/>
      <c r="Q238" s="1601"/>
      <c r="R238" s="1601"/>
      <c r="S238" s="1601"/>
      <c r="T238" s="1602"/>
      <c r="U238" s="1533"/>
      <c r="V238" s="1533"/>
      <c r="W238" s="1534"/>
      <c r="X238" s="1534"/>
      <c r="Y238" s="1534"/>
      <c r="Z238" s="1535"/>
      <c r="AA238" s="1534"/>
      <c r="AB238" s="1534"/>
      <c r="AC238" s="1544"/>
      <c r="AD238" s="1603"/>
      <c r="AE238" s="1603"/>
      <c r="AF238" s="1603"/>
      <c r="AG238" s="1603"/>
      <c r="AH238" s="1490">
        <f t="shared" si="136"/>
        <v>0</v>
      </c>
      <c r="AI238" s="1544">
        <f>AI278+AI353+AI451+AI533+AI987+AI989+AI991+AI949</f>
        <v>0</v>
      </c>
      <c r="AJ238" s="1537"/>
      <c r="AK238" s="1537"/>
      <c r="AL238" s="1636">
        <f>J238-AF238</f>
        <v>0</v>
      </c>
      <c r="AM238" s="1537"/>
      <c r="AN238" s="1538"/>
      <c r="AO238" s="1536"/>
      <c r="AP238" s="1536"/>
      <c r="AQ238" s="1536"/>
      <c r="AR238" s="1536"/>
      <c r="AS238" s="1535"/>
      <c r="AT238" s="1536"/>
      <c r="AU238" s="1536"/>
      <c r="AV238" s="1536"/>
      <c r="AW238" s="1535"/>
      <c r="AX238" s="1536"/>
      <c r="AY238" s="1536"/>
      <c r="AZ238" s="1536"/>
      <c r="BA238" s="1538"/>
      <c r="BB238" s="1536"/>
      <c r="BC238" s="1536"/>
      <c r="BD238" s="1536"/>
      <c r="BE238" s="1539"/>
      <c r="BF238" s="1536"/>
      <c r="BG238" s="1536"/>
      <c r="BH238" s="1536"/>
      <c r="BI238" s="1538"/>
      <c r="BJ238" s="1536"/>
      <c r="BK238" s="1536"/>
      <c r="BL238" s="1536"/>
      <c r="BM238" s="1538"/>
      <c r="BN238" s="1536"/>
      <c r="BO238" s="1536"/>
      <c r="BP238" s="1536"/>
      <c r="BQ238" s="1538"/>
      <c r="BR238" s="1536"/>
      <c r="BS238" s="1536"/>
      <c r="BT238" s="1536"/>
      <c r="BU238" s="1538"/>
      <c r="BV238" s="1536"/>
      <c r="BW238" s="1536"/>
      <c r="BX238" s="1536"/>
      <c r="BY238" s="1538"/>
      <c r="BZ238" s="1536"/>
      <c r="CA238" s="1536"/>
      <c r="CB238" s="1536"/>
      <c r="CC238" s="1538"/>
      <c r="CD238" s="1536"/>
      <c r="CE238" s="1536"/>
      <c r="CF238" s="1536"/>
      <c r="CG238" s="1540"/>
      <c r="CH238" s="1538"/>
      <c r="CI238" s="1536"/>
      <c r="CJ238" s="1536"/>
      <c r="CK238" s="1536"/>
      <c r="CL238" s="1495"/>
      <c r="CM238" s="1495"/>
      <c r="CN238" s="1495"/>
      <c r="CO238" s="1495"/>
      <c r="CP238" s="1495"/>
      <c r="CQ238" s="1495"/>
      <c r="CR238" s="1495"/>
      <c r="CS238" s="1495"/>
      <c r="CT238" s="1495"/>
      <c r="CU238" s="1495"/>
      <c r="CV238" s="1495"/>
      <c r="CW238" s="1495"/>
      <c r="CY238" s="1495"/>
    </row>
    <row r="239" spans="1:103" s="1793" customFormat="1" ht="112" x14ac:dyDescent="0.15">
      <c r="A239" s="1546" t="s">
        <v>1138</v>
      </c>
      <c r="B239" s="1775" t="s">
        <v>79</v>
      </c>
      <c r="C239" s="1775" t="s">
        <v>80</v>
      </c>
      <c r="D239" s="1775" t="s">
        <v>125</v>
      </c>
      <c r="E239" s="1482" t="s">
        <v>1257</v>
      </c>
      <c r="F239" s="1482"/>
      <c r="G239" s="1542"/>
      <c r="H239" s="1707">
        <f>H240+H241+H242</f>
        <v>4087.5</v>
      </c>
      <c r="I239" s="1707">
        <f t="shared" ref="I239:CK239" si="172">I240+I241+I242</f>
        <v>0</v>
      </c>
      <c r="J239" s="1707">
        <f t="shared" si="172"/>
        <v>0</v>
      </c>
      <c r="K239" s="1707">
        <f t="shared" si="172"/>
        <v>0</v>
      </c>
      <c r="L239" s="1786"/>
      <c r="M239" s="1786"/>
      <c r="N239" s="1786"/>
      <c r="O239" s="1786"/>
      <c r="P239" s="1786"/>
      <c r="Q239" s="1786"/>
      <c r="R239" s="1786"/>
      <c r="S239" s="1786"/>
      <c r="T239" s="1787"/>
      <c r="U239" s="1788"/>
      <c r="V239" s="1788"/>
      <c r="W239" s="1789"/>
      <c r="X239" s="1789"/>
      <c r="Y239" s="1789"/>
      <c r="Z239" s="1790"/>
      <c r="AA239" s="1789"/>
      <c r="AB239" s="1789"/>
      <c r="AC239" s="1707">
        <f t="shared" si="172"/>
        <v>4087.5</v>
      </c>
      <c r="AD239" s="1707">
        <f t="shared" si="172"/>
        <v>0</v>
      </c>
      <c r="AE239" s="1707">
        <f t="shared" si="172"/>
        <v>0</v>
      </c>
      <c r="AF239" s="1707">
        <f t="shared" si="172"/>
        <v>0</v>
      </c>
      <c r="AG239" s="1707">
        <f t="shared" si="172"/>
        <v>0</v>
      </c>
      <c r="AH239" s="1490">
        <f t="shared" si="136"/>
        <v>0</v>
      </c>
      <c r="AI239" s="1707">
        <f t="shared" si="172"/>
        <v>0</v>
      </c>
      <c r="AJ239" s="1707">
        <f t="shared" si="172"/>
        <v>0</v>
      </c>
      <c r="AK239" s="1707">
        <f t="shared" si="172"/>
        <v>0</v>
      </c>
      <c r="AL239" s="1636">
        <f>J239-AF239</f>
        <v>0</v>
      </c>
      <c r="AM239" s="1707">
        <f t="shared" si="172"/>
        <v>0</v>
      </c>
      <c r="AN239" s="1706"/>
      <c r="AO239" s="1707">
        <f t="shared" si="172"/>
        <v>1021.875</v>
      </c>
      <c r="AP239" s="1707">
        <f t="shared" si="172"/>
        <v>0</v>
      </c>
      <c r="AQ239" s="1707">
        <f t="shared" si="172"/>
        <v>0</v>
      </c>
      <c r="AR239" s="1707">
        <f t="shared" si="172"/>
        <v>0</v>
      </c>
      <c r="AS239" s="1790">
        <f t="shared" si="172"/>
        <v>0</v>
      </c>
      <c r="AT239" s="1707">
        <f t="shared" si="172"/>
        <v>0</v>
      </c>
      <c r="AU239" s="1707">
        <f t="shared" si="172"/>
        <v>0</v>
      </c>
      <c r="AV239" s="1707">
        <f t="shared" si="172"/>
        <v>0</v>
      </c>
      <c r="AW239" s="1790">
        <f t="shared" si="172"/>
        <v>0</v>
      </c>
      <c r="AX239" s="1707">
        <f t="shared" si="172"/>
        <v>0</v>
      </c>
      <c r="AY239" s="1707">
        <f t="shared" si="172"/>
        <v>0</v>
      </c>
      <c r="AZ239" s="1707">
        <f t="shared" si="172"/>
        <v>0</v>
      </c>
      <c r="BA239" s="1706">
        <f t="shared" si="172"/>
        <v>1021.875</v>
      </c>
      <c r="BB239" s="1707">
        <f t="shared" si="172"/>
        <v>0</v>
      </c>
      <c r="BC239" s="1707">
        <f t="shared" si="172"/>
        <v>0</v>
      </c>
      <c r="BD239" s="1707">
        <f t="shared" si="172"/>
        <v>0</v>
      </c>
      <c r="BE239" s="1717">
        <f t="shared" si="172"/>
        <v>0</v>
      </c>
      <c r="BF239" s="1707">
        <f t="shared" si="172"/>
        <v>0</v>
      </c>
      <c r="BG239" s="1707">
        <f t="shared" si="172"/>
        <v>0</v>
      </c>
      <c r="BH239" s="1707">
        <f t="shared" si="172"/>
        <v>0</v>
      </c>
      <c r="BI239" s="1706">
        <f t="shared" si="172"/>
        <v>0</v>
      </c>
      <c r="BJ239" s="1707">
        <f t="shared" si="172"/>
        <v>0</v>
      </c>
      <c r="BK239" s="1707">
        <f t="shared" si="172"/>
        <v>0</v>
      </c>
      <c r="BL239" s="1707">
        <f t="shared" si="172"/>
        <v>0</v>
      </c>
      <c r="BM239" s="1706">
        <f t="shared" si="172"/>
        <v>1021.875</v>
      </c>
      <c r="BN239" s="1707">
        <f t="shared" si="172"/>
        <v>0</v>
      </c>
      <c r="BO239" s="1707">
        <f t="shared" si="172"/>
        <v>0</v>
      </c>
      <c r="BP239" s="1707">
        <f t="shared" si="172"/>
        <v>0</v>
      </c>
      <c r="BQ239" s="1706">
        <f t="shared" si="172"/>
        <v>95</v>
      </c>
      <c r="BR239" s="1707">
        <f t="shared" si="172"/>
        <v>0</v>
      </c>
      <c r="BS239" s="1707">
        <f t="shared" si="172"/>
        <v>0</v>
      </c>
      <c r="BT239" s="1707">
        <f t="shared" si="172"/>
        <v>0</v>
      </c>
      <c r="BU239" s="1706">
        <f t="shared" si="172"/>
        <v>0</v>
      </c>
      <c r="BV239" s="1707">
        <f t="shared" si="172"/>
        <v>0</v>
      </c>
      <c r="BW239" s="1707">
        <f t="shared" si="172"/>
        <v>0</v>
      </c>
      <c r="BX239" s="1707">
        <f t="shared" si="172"/>
        <v>0</v>
      </c>
      <c r="BY239" s="1706">
        <f t="shared" si="172"/>
        <v>926.875</v>
      </c>
      <c r="BZ239" s="1707">
        <f t="shared" si="172"/>
        <v>0</v>
      </c>
      <c r="CA239" s="1707">
        <f t="shared" si="172"/>
        <v>0</v>
      </c>
      <c r="CB239" s="1707">
        <f t="shared" si="172"/>
        <v>0</v>
      </c>
      <c r="CC239" s="1706">
        <f t="shared" si="172"/>
        <v>0</v>
      </c>
      <c r="CD239" s="1707">
        <f t="shared" si="172"/>
        <v>0</v>
      </c>
      <c r="CE239" s="1707">
        <f t="shared" si="172"/>
        <v>0</v>
      </c>
      <c r="CF239" s="1707">
        <f t="shared" si="172"/>
        <v>0</v>
      </c>
      <c r="CG239" s="1791"/>
      <c r="CH239" s="1706">
        <f t="shared" si="172"/>
        <v>0</v>
      </c>
      <c r="CI239" s="1707">
        <f t="shared" si="172"/>
        <v>0</v>
      </c>
      <c r="CJ239" s="1707">
        <f t="shared" si="172"/>
        <v>0</v>
      </c>
      <c r="CK239" s="1707">
        <f t="shared" si="172"/>
        <v>0</v>
      </c>
      <c r="CL239" s="1792"/>
      <c r="CM239" s="1792"/>
      <c r="CN239" s="1792"/>
      <c r="CO239" s="1792"/>
      <c r="CP239" s="1792"/>
      <c r="CQ239" s="1792"/>
      <c r="CR239" s="1792"/>
      <c r="CS239" s="1792"/>
      <c r="CT239" s="1792"/>
      <c r="CU239" s="1792"/>
      <c r="CV239" s="1792"/>
      <c r="CW239" s="1792"/>
      <c r="CY239" s="1792"/>
    </row>
    <row r="240" spans="1:103" s="1793" customFormat="1" ht="84" x14ac:dyDescent="0.15">
      <c r="A240" s="1794" t="s">
        <v>1139</v>
      </c>
      <c r="B240" s="1795" t="s">
        <v>79</v>
      </c>
      <c r="C240" s="1795" t="s">
        <v>80</v>
      </c>
      <c r="D240" s="1795" t="s">
        <v>110</v>
      </c>
      <c r="E240" s="1754" t="s">
        <v>1258</v>
      </c>
      <c r="F240" s="1542" t="s">
        <v>1259</v>
      </c>
      <c r="G240" s="1542"/>
      <c r="H240" s="1707">
        <f>H243+H244+H245+H246+H247</f>
        <v>3243.9</v>
      </c>
      <c r="I240" s="1707">
        <f t="shared" ref="I240:CK240" si="173">I243+I244+I245+I246+I247</f>
        <v>0</v>
      </c>
      <c r="J240" s="1707">
        <f t="shared" si="173"/>
        <v>0</v>
      </c>
      <c r="K240" s="1707">
        <f t="shared" si="173"/>
        <v>0</v>
      </c>
      <c r="L240" s="1786"/>
      <c r="M240" s="1786"/>
      <c r="N240" s="1786"/>
      <c r="O240" s="1786"/>
      <c r="P240" s="1786"/>
      <c r="Q240" s="1786"/>
      <c r="R240" s="1786"/>
      <c r="S240" s="1786"/>
      <c r="T240" s="1787"/>
      <c r="U240" s="1788"/>
      <c r="V240" s="1788"/>
      <c r="W240" s="1789"/>
      <c r="X240" s="1789"/>
      <c r="Y240" s="1789"/>
      <c r="Z240" s="1790"/>
      <c r="AA240" s="1789"/>
      <c r="AB240" s="1789"/>
      <c r="AC240" s="1707">
        <f t="shared" si="173"/>
        <v>3243.9</v>
      </c>
      <c r="AD240" s="1707">
        <f t="shared" si="173"/>
        <v>0</v>
      </c>
      <c r="AE240" s="1707">
        <f t="shared" si="173"/>
        <v>0</v>
      </c>
      <c r="AF240" s="1707">
        <f t="shared" si="173"/>
        <v>0</v>
      </c>
      <c r="AG240" s="1707">
        <f t="shared" si="173"/>
        <v>0</v>
      </c>
      <c r="AH240" s="1490">
        <f t="shared" si="136"/>
        <v>0</v>
      </c>
      <c r="AI240" s="1707">
        <f t="shared" si="173"/>
        <v>0</v>
      </c>
      <c r="AJ240" s="1707">
        <f t="shared" si="173"/>
        <v>0</v>
      </c>
      <c r="AK240" s="1707">
        <f t="shared" si="173"/>
        <v>0</v>
      </c>
      <c r="AL240" s="1636">
        <f>J240-AF240</f>
        <v>0</v>
      </c>
      <c r="AM240" s="1707">
        <f t="shared" si="173"/>
        <v>0</v>
      </c>
      <c r="AN240" s="1706"/>
      <c r="AO240" s="1707">
        <f>AO243+AO244+AO245+AO246+AO247</f>
        <v>797.97500000000002</v>
      </c>
      <c r="AP240" s="1707">
        <f t="shared" si="173"/>
        <v>0</v>
      </c>
      <c r="AQ240" s="1707">
        <f t="shared" si="173"/>
        <v>0</v>
      </c>
      <c r="AR240" s="1707">
        <f t="shared" si="173"/>
        <v>0</v>
      </c>
      <c r="AS240" s="1790">
        <f t="shared" si="173"/>
        <v>0</v>
      </c>
      <c r="AT240" s="1707">
        <f t="shared" si="173"/>
        <v>0</v>
      </c>
      <c r="AU240" s="1707">
        <f t="shared" si="173"/>
        <v>0</v>
      </c>
      <c r="AV240" s="1707">
        <f t="shared" si="173"/>
        <v>0</v>
      </c>
      <c r="AW240" s="1790">
        <f t="shared" si="173"/>
        <v>0</v>
      </c>
      <c r="AX240" s="1707">
        <f t="shared" si="173"/>
        <v>0</v>
      </c>
      <c r="AY240" s="1707">
        <f t="shared" si="173"/>
        <v>0</v>
      </c>
      <c r="AZ240" s="1707">
        <f t="shared" si="173"/>
        <v>0</v>
      </c>
      <c r="BA240" s="1706">
        <f t="shared" si="173"/>
        <v>797.97500000000002</v>
      </c>
      <c r="BB240" s="1707">
        <f t="shared" si="173"/>
        <v>0</v>
      </c>
      <c r="BC240" s="1707">
        <f t="shared" si="173"/>
        <v>0</v>
      </c>
      <c r="BD240" s="1707">
        <f t="shared" si="173"/>
        <v>0</v>
      </c>
      <c r="BE240" s="1717">
        <f t="shared" si="173"/>
        <v>0</v>
      </c>
      <c r="BF240" s="1707">
        <f t="shared" si="173"/>
        <v>0</v>
      </c>
      <c r="BG240" s="1707">
        <f t="shared" si="173"/>
        <v>0</v>
      </c>
      <c r="BH240" s="1707">
        <f t="shared" si="173"/>
        <v>0</v>
      </c>
      <c r="BI240" s="1706">
        <f t="shared" si="173"/>
        <v>0</v>
      </c>
      <c r="BJ240" s="1707">
        <f t="shared" si="173"/>
        <v>0</v>
      </c>
      <c r="BK240" s="1707">
        <f t="shared" si="173"/>
        <v>0</v>
      </c>
      <c r="BL240" s="1707">
        <f t="shared" si="173"/>
        <v>0</v>
      </c>
      <c r="BM240" s="1706">
        <f t="shared" si="173"/>
        <v>797.97500000000002</v>
      </c>
      <c r="BN240" s="1707">
        <f t="shared" si="173"/>
        <v>0</v>
      </c>
      <c r="BO240" s="1707">
        <f t="shared" si="173"/>
        <v>0</v>
      </c>
      <c r="BP240" s="1707">
        <f t="shared" si="173"/>
        <v>0</v>
      </c>
      <c r="BQ240" s="1706">
        <f t="shared" si="173"/>
        <v>25</v>
      </c>
      <c r="BR240" s="1707">
        <f t="shared" si="173"/>
        <v>0</v>
      </c>
      <c r="BS240" s="1707">
        <f t="shared" si="173"/>
        <v>0</v>
      </c>
      <c r="BT240" s="1707">
        <f t="shared" si="173"/>
        <v>0</v>
      </c>
      <c r="BU240" s="1706">
        <f t="shared" si="173"/>
        <v>50</v>
      </c>
      <c r="BV240" s="1707">
        <f t="shared" si="173"/>
        <v>0</v>
      </c>
      <c r="BW240" s="1707">
        <f t="shared" si="173"/>
        <v>0</v>
      </c>
      <c r="BX240" s="1707">
        <f t="shared" si="173"/>
        <v>0</v>
      </c>
      <c r="BY240" s="1706">
        <f t="shared" si="173"/>
        <v>772.97500000000002</v>
      </c>
      <c r="BZ240" s="1707">
        <f t="shared" si="173"/>
        <v>0</v>
      </c>
      <c r="CA240" s="1707">
        <f t="shared" si="173"/>
        <v>0</v>
      </c>
      <c r="CB240" s="1707">
        <f t="shared" si="173"/>
        <v>0</v>
      </c>
      <c r="CC240" s="1706">
        <f t="shared" si="173"/>
        <v>2</v>
      </c>
      <c r="CD240" s="1707">
        <f t="shared" si="173"/>
        <v>0</v>
      </c>
      <c r="CE240" s="1707">
        <f t="shared" si="173"/>
        <v>0</v>
      </c>
      <c r="CF240" s="1707">
        <f t="shared" si="173"/>
        <v>0</v>
      </c>
      <c r="CG240" s="1791"/>
      <c r="CH240" s="1706">
        <f t="shared" si="173"/>
        <v>0</v>
      </c>
      <c r="CI240" s="1707">
        <f t="shared" si="173"/>
        <v>0</v>
      </c>
      <c r="CJ240" s="1707">
        <f t="shared" si="173"/>
        <v>0</v>
      </c>
      <c r="CK240" s="1707">
        <f t="shared" si="173"/>
        <v>0</v>
      </c>
      <c r="CL240" s="1792"/>
      <c r="CM240" s="1792"/>
      <c r="CN240" s="1792"/>
      <c r="CO240" s="1792"/>
      <c r="CP240" s="1792"/>
      <c r="CQ240" s="1792"/>
      <c r="CR240" s="1792"/>
      <c r="CS240" s="1792"/>
      <c r="CT240" s="1792"/>
      <c r="CU240" s="1792"/>
      <c r="CV240" s="1792"/>
      <c r="CW240" s="1792"/>
      <c r="CY240" s="1792"/>
    </row>
    <row r="241" spans="1:103" s="1793" customFormat="1" ht="28" x14ac:dyDescent="0.15">
      <c r="A241" s="1794" t="s">
        <v>1099</v>
      </c>
      <c r="B241" s="1522" t="s">
        <v>79</v>
      </c>
      <c r="C241" s="1522" t="s">
        <v>80</v>
      </c>
      <c r="D241" s="1522" t="s">
        <v>110</v>
      </c>
      <c r="E241" s="1523" t="s">
        <v>1258</v>
      </c>
      <c r="F241" s="1542" t="s">
        <v>1260</v>
      </c>
      <c r="G241" s="1542"/>
      <c r="H241" s="1707">
        <f>H249+H250+H251+H252+H248</f>
        <v>843.6</v>
      </c>
      <c r="I241" s="1707">
        <f t="shared" ref="I241:CK241" si="174">I249+I250+I251+I252+I248</f>
        <v>0</v>
      </c>
      <c r="J241" s="1707">
        <f t="shared" si="174"/>
        <v>0</v>
      </c>
      <c r="K241" s="1707">
        <f t="shared" si="174"/>
        <v>0</v>
      </c>
      <c r="L241" s="1786"/>
      <c r="M241" s="1786"/>
      <c r="N241" s="1786"/>
      <c r="O241" s="1786"/>
      <c r="P241" s="1786"/>
      <c r="Q241" s="1786"/>
      <c r="R241" s="1786"/>
      <c r="S241" s="1786"/>
      <c r="T241" s="1787"/>
      <c r="U241" s="1788">
        <f t="shared" si="174"/>
        <v>0</v>
      </c>
      <c r="V241" s="1788"/>
      <c r="W241" s="1707"/>
      <c r="X241" s="1707"/>
      <c r="Y241" s="1707"/>
      <c r="Z241" s="1790"/>
      <c r="AA241" s="1707"/>
      <c r="AB241" s="1707"/>
      <c r="AC241" s="1707">
        <f t="shared" si="174"/>
        <v>843.6</v>
      </c>
      <c r="AD241" s="1707">
        <f t="shared" si="174"/>
        <v>0</v>
      </c>
      <c r="AE241" s="1707">
        <f t="shared" si="174"/>
        <v>0</v>
      </c>
      <c r="AF241" s="1707">
        <f t="shared" si="174"/>
        <v>0</v>
      </c>
      <c r="AG241" s="1707">
        <f t="shared" si="174"/>
        <v>0</v>
      </c>
      <c r="AH241" s="1490">
        <f t="shared" si="136"/>
        <v>0</v>
      </c>
      <c r="AI241" s="1707">
        <f t="shared" si="174"/>
        <v>0</v>
      </c>
      <c r="AJ241" s="1707">
        <f t="shared" si="174"/>
        <v>0</v>
      </c>
      <c r="AK241" s="1707">
        <f t="shared" si="174"/>
        <v>0</v>
      </c>
      <c r="AL241" s="1707">
        <f t="shared" si="174"/>
        <v>0</v>
      </c>
      <c r="AM241" s="1707">
        <f t="shared" si="174"/>
        <v>0</v>
      </c>
      <c r="AN241" s="1706"/>
      <c r="AO241" s="1707">
        <f t="shared" si="174"/>
        <v>223.9</v>
      </c>
      <c r="AP241" s="1707">
        <f t="shared" si="174"/>
        <v>0</v>
      </c>
      <c r="AQ241" s="1707">
        <f t="shared" si="174"/>
        <v>0</v>
      </c>
      <c r="AR241" s="1707">
        <f t="shared" si="174"/>
        <v>0</v>
      </c>
      <c r="AS241" s="1790">
        <f t="shared" si="174"/>
        <v>0</v>
      </c>
      <c r="AT241" s="1707">
        <f t="shared" si="174"/>
        <v>0</v>
      </c>
      <c r="AU241" s="1707">
        <f t="shared" si="174"/>
        <v>0</v>
      </c>
      <c r="AV241" s="1707">
        <f t="shared" si="174"/>
        <v>0</v>
      </c>
      <c r="AW241" s="1707">
        <f t="shared" si="174"/>
        <v>0</v>
      </c>
      <c r="AX241" s="1707">
        <f t="shared" si="174"/>
        <v>0</v>
      </c>
      <c r="AY241" s="1707">
        <f t="shared" si="174"/>
        <v>0</v>
      </c>
      <c r="AZ241" s="1707">
        <f t="shared" si="174"/>
        <v>0</v>
      </c>
      <c r="BA241" s="1706">
        <f t="shared" si="174"/>
        <v>223.9</v>
      </c>
      <c r="BB241" s="1707">
        <f t="shared" si="174"/>
        <v>0</v>
      </c>
      <c r="BC241" s="1707">
        <f t="shared" si="174"/>
        <v>0</v>
      </c>
      <c r="BD241" s="1707">
        <f t="shared" si="174"/>
        <v>0</v>
      </c>
      <c r="BE241" s="1706">
        <f t="shared" si="174"/>
        <v>0</v>
      </c>
      <c r="BF241" s="1707">
        <f t="shared" si="174"/>
        <v>0</v>
      </c>
      <c r="BG241" s="1707">
        <f t="shared" si="174"/>
        <v>0</v>
      </c>
      <c r="BH241" s="1707">
        <f t="shared" si="174"/>
        <v>0</v>
      </c>
      <c r="BI241" s="1706">
        <f t="shared" si="174"/>
        <v>0</v>
      </c>
      <c r="BJ241" s="1707">
        <f t="shared" si="174"/>
        <v>0</v>
      </c>
      <c r="BK241" s="1707">
        <f t="shared" si="174"/>
        <v>0</v>
      </c>
      <c r="BL241" s="1707">
        <f t="shared" si="174"/>
        <v>0</v>
      </c>
      <c r="BM241" s="1706">
        <f t="shared" si="174"/>
        <v>223.9</v>
      </c>
      <c r="BN241" s="1707">
        <f t="shared" si="174"/>
        <v>0</v>
      </c>
      <c r="BO241" s="1707">
        <f t="shared" si="174"/>
        <v>0</v>
      </c>
      <c r="BP241" s="1707">
        <f t="shared" si="174"/>
        <v>0</v>
      </c>
      <c r="BQ241" s="1706">
        <f t="shared" si="174"/>
        <v>70</v>
      </c>
      <c r="BR241" s="1707">
        <f t="shared" si="174"/>
        <v>0</v>
      </c>
      <c r="BS241" s="1707">
        <f t="shared" si="174"/>
        <v>0</v>
      </c>
      <c r="BT241" s="1707">
        <f t="shared" si="174"/>
        <v>0</v>
      </c>
      <c r="BU241" s="1706">
        <f t="shared" si="174"/>
        <v>-50</v>
      </c>
      <c r="BV241" s="1707">
        <f t="shared" si="174"/>
        <v>0</v>
      </c>
      <c r="BW241" s="1707">
        <f t="shared" si="174"/>
        <v>0</v>
      </c>
      <c r="BX241" s="1707">
        <f t="shared" si="174"/>
        <v>0</v>
      </c>
      <c r="BY241" s="1706">
        <f t="shared" si="174"/>
        <v>153.9</v>
      </c>
      <c r="BZ241" s="1707">
        <f t="shared" si="174"/>
        <v>0</v>
      </c>
      <c r="CA241" s="1707">
        <f t="shared" si="174"/>
        <v>0</v>
      </c>
      <c r="CB241" s="1707">
        <f t="shared" si="174"/>
        <v>0</v>
      </c>
      <c r="CC241" s="1706">
        <f t="shared" si="174"/>
        <v>-2</v>
      </c>
      <c r="CD241" s="1707">
        <f t="shared" si="174"/>
        <v>0</v>
      </c>
      <c r="CE241" s="1707">
        <f t="shared" si="174"/>
        <v>0</v>
      </c>
      <c r="CF241" s="1707">
        <f t="shared" si="174"/>
        <v>0</v>
      </c>
      <c r="CG241" s="1791"/>
      <c r="CH241" s="1706">
        <f t="shared" si="174"/>
        <v>0</v>
      </c>
      <c r="CI241" s="1707">
        <f t="shared" si="174"/>
        <v>0</v>
      </c>
      <c r="CJ241" s="1707">
        <f t="shared" si="174"/>
        <v>0</v>
      </c>
      <c r="CK241" s="1707">
        <f t="shared" si="174"/>
        <v>0</v>
      </c>
      <c r="CL241" s="1792"/>
      <c r="CM241" s="1792"/>
      <c r="CN241" s="1792"/>
      <c r="CO241" s="1792"/>
      <c r="CP241" s="1792"/>
      <c r="CQ241" s="1792"/>
      <c r="CR241" s="1792"/>
      <c r="CS241" s="1792"/>
      <c r="CT241" s="1792"/>
      <c r="CU241" s="1792"/>
      <c r="CV241" s="1792"/>
      <c r="CW241" s="1792"/>
      <c r="CY241" s="1792"/>
    </row>
    <row r="242" spans="1:103" s="1793" customFormat="1" ht="14" x14ac:dyDescent="0.15">
      <c r="A242" s="1794" t="s">
        <v>1114</v>
      </c>
      <c r="B242" s="1522" t="s">
        <v>79</v>
      </c>
      <c r="C242" s="1522" t="s">
        <v>80</v>
      </c>
      <c r="D242" s="1522" t="s">
        <v>110</v>
      </c>
      <c r="E242" s="1523" t="s">
        <v>1258</v>
      </c>
      <c r="F242" s="1542" t="s">
        <v>1261</v>
      </c>
      <c r="G242" s="1542"/>
      <c r="H242" s="1707">
        <v>0</v>
      </c>
      <c r="I242" s="1707">
        <v>0</v>
      </c>
      <c r="J242" s="1707">
        <v>0</v>
      </c>
      <c r="K242" s="1707">
        <v>0</v>
      </c>
      <c r="L242" s="1786"/>
      <c r="M242" s="1786"/>
      <c r="N242" s="1786"/>
      <c r="O242" s="1786"/>
      <c r="P242" s="1786"/>
      <c r="Q242" s="1786"/>
      <c r="R242" s="1786"/>
      <c r="S242" s="1786"/>
      <c r="T242" s="1787"/>
      <c r="U242" s="1788"/>
      <c r="V242" s="1788"/>
      <c r="W242" s="1789"/>
      <c r="X242" s="1789"/>
      <c r="Y242" s="1789"/>
      <c r="Z242" s="1790"/>
      <c r="AA242" s="1789"/>
      <c r="AB242" s="1789"/>
      <c r="AC242" s="1707">
        <v>0</v>
      </c>
      <c r="AD242" s="1707">
        <v>0</v>
      </c>
      <c r="AE242" s="1707">
        <v>0</v>
      </c>
      <c r="AF242" s="1707">
        <v>0</v>
      </c>
      <c r="AG242" s="1707">
        <v>0</v>
      </c>
      <c r="AH242" s="1490">
        <f t="shared" ref="AH242:AH261" si="175">CG242+CL242</f>
        <v>0</v>
      </c>
      <c r="AI242" s="1707">
        <v>0</v>
      </c>
      <c r="AJ242" s="1707">
        <v>0</v>
      </c>
      <c r="AK242" s="1707">
        <v>0</v>
      </c>
      <c r="AL242" s="1636">
        <f t="shared" ref="AL242:AL247" si="176">J242-AF242</f>
        <v>0</v>
      </c>
      <c r="AM242" s="1707">
        <v>0</v>
      </c>
      <c r="AN242" s="1706"/>
      <c r="AO242" s="1707">
        <v>0</v>
      </c>
      <c r="AP242" s="1707">
        <v>0</v>
      </c>
      <c r="AQ242" s="1707">
        <v>0</v>
      </c>
      <c r="AR242" s="1707">
        <v>0</v>
      </c>
      <c r="AS242" s="1790">
        <v>0</v>
      </c>
      <c r="AT242" s="1707">
        <v>0</v>
      </c>
      <c r="AU242" s="1707">
        <v>0</v>
      </c>
      <c r="AV242" s="1707">
        <v>0</v>
      </c>
      <c r="AW242" s="1790">
        <v>0</v>
      </c>
      <c r="AX242" s="1707">
        <v>0</v>
      </c>
      <c r="AY242" s="1707">
        <v>0</v>
      </c>
      <c r="AZ242" s="1707">
        <v>0</v>
      </c>
      <c r="BA242" s="1706">
        <v>0</v>
      </c>
      <c r="BB242" s="1707">
        <v>0</v>
      </c>
      <c r="BC242" s="1707">
        <v>0</v>
      </c>
      <c r="BD242" s="1707">
        <v>0</v>
      </c>
      <c r="BE242" s="1717">
        <v>0</v>
      </c>
      <c r="BF242" s="1707">
        <v>0</v>
      </c>
      <c r="BG242" s="1707">
        <v>0</v>
      </c>
      <c r="BH242" s="1707">
        <v>0</v>
      </c>
      <c r="BI242" s="1706">
        <v>0</v>
      </c>
      <c r="BJ242" s="1707">
        <v>0</v>
      </c>
      <c r="BK242" s="1707">
        <v>0</v>
      </c>
      <c r="BL242" s="1707">
        <v>0</v>
      </c>
      <c r="BM242" s="1706">
        <v>0</v>
      </c>
      <c r="BN242" s="1707">
        <v>0</v>
      </c>
      <c r="BO242" s="1707">
        <v>0</v>
      </c>
      <c r="BP242" s="1707">
        <v>0</v>
      </c>
      <c r="BQ242" s="1706">
        <v>0</v>
      </c>
      <c r="BR242" s="1707">
        <v>0</v>
      </c>
      <c r="BS242" s="1707">
        <v>0</v>
      </c>
      <c r="BT242" s="1707">
        <v>0</v>
      </c>
      <c r="BU242" s="1706">
        <v>0</v>
      </c>
      <c r="BV242" s="1707">
        <v>0</v>
      </c>
      <c r="BW242" s="1707">
        <v>0</v>
      </c>
      <c r="BX242" s="1707">
        <v>0</v>
      </c>
      <c r="BY242" s="1706">
        <v>0</v>
      </c>
      <c r="BZ242" s="1707">
        <v>0</v>
      </c>
      <c r="CA242" s="1707">
        <v>0</v>
      </c>
      <c r="CB242" s="1707">
        <v>0</v>
      </c>
      <c r="CC242" s="1706">
        <v>0</v>
      </c>
      <c r="CD242" s="1707">
        <v>0</v>
      </c>
      <c r="CE242" s="1707">
        <v>0</v>
      </c>
      <c r="CF242" s="1707">
        <v>0</v>
      </c>
      <c r="CG242" s="1791"/>
      <c r="CH242" s="1706">
        <v>0</v>
      </c>
      <c r="CI242" s="1707">
        <v>0</v>
      </c>
      <c r="CJ242" s="1707">
        <v>0</v>
      </c>
      <c r="CK242" s="1707">
        <v>0</v>
      </c>
      <c r="CL242" s="1796"/>
      <c r="CM242" s="1796">
        <v>0</v>
      </c>
      <c r="CN242" s="1796">
        <v>0</v>
      </c>
      <c r="CO242" s="1797"/>
      <c r="CP242" s="1797"/>
      <c r="CQ242" s="1797"/>
      <c r="CR242" s="1797"/>
      <c r="CS242" s="1797"/>
      <c r="CT242" s="1797"/>
      <c r="CU242" s="1797"/>
      <c r="CV242" s="1797"/>
      <c r="CW242" s="1797"/>
      <c r="CY242" s="1792"/>
    </row>
    <row r="243" spans="1:103" s="1793" customFormat="1" ht="14" x14ac:dyDescent="0.15">
      <c r="A243" s="1541" t="s">
        <v>78</v>
      </c>
      <c r="B243" s="1522" t="s">
        <v>79</v>
      </c>
      <c r="C243" s="1522" t="s">
        <v>80</v>
      </c>
      <c r="D243" s="1522" t="s">
        <v>110</v>
      </c>
      <c r="E243" s="1523" t="s">
        <v>1258</v>
      </c>
      <c r="F243" s="1523" t="s">
        <v>1140</v>
      </c>
      <c r="G243" s="1523">
        <v>211</v>
      </c>
      <c r="H243" s="1738">
        <v>2354.8000000000002</v>
      </c>
      <c r="I243" s="1707"/>
      <c r="J243" s="1707"/>
      <c r="K243" s="1707"/>
      <c r="L243" s="1786"/>
      <c r="M243" s="1786"/>
      <c r="N243" s="1786"/>
      <c r="O243" s="1786"/>
      <c r="P243" s="1786"/>
      <c r="Q243" s="1786"/>
      <c r="R243" s="1786"/>
      <c r="S243" s="1786"/>
      <c r="T243" s="1787"/>
      <c r="U243" s="1788"/>
      <c r="V243" s="1788"/>
      <c r="W243" s="1789"/>
      <c r="X243" s="1789"/>
      <c r="Y243" s="1789"/>
      <c r="Z243" s="1790"/>
      <c r="AA243" s="1789"/>
      <c r="AB243" s="1789"/>
      <c r="AC243" s="1798">
        <f t="shared" ref="AC243:AC252" si="177">AO243+AS243+AW243+BA243+BE243+BI243+BM243+BQ243+BU243+BY243+CC243+CH243</f>
        <v>2354.8000000000002</v>
      </c>
      <c r="AD243" s="1799">
        <f t="shared" ref="AD243:AD251" si="178">AE243+AF243+AG243</f>
        <v>0</v>
      </c>
      <c r="AE243" s="1799">
        <f t="shared" ref="AE243:AG252" si="179">AP243+AT243+AX243+BB243+BF243+BJ243+BN243+BR243+BV243+BZ243+CD243+CI243</f>
        <v>0</v>
      </c>
      <c r="AF243" s="1799">
        <f t="shared" si="179"/>
        <v>0</v>
      </c>
      <c r="AG243" s="1799">
        <f t="shared" si="179"/>
        <v>0</v>
      </c>
      <c r="AH243" s="1490">
        <f t="shared" si="175"/>
        <v>0</v>
      </c>
      <c r="AI243" s="1798">
        <f t="shared" ref="AI243:AI252" si="180">H243-AC243</f>
        <v>0</v>
      </c>
      <c r="AJ243" s="1798">
        <f t="shared" ref="AJ243:AJ251" si="181">AK243+AL243+AM243</f>
        <v>0</v>
      </c>
      <c r="AK243" s="1798">
        <f>I243-AE243</f>
        <v>0</v>
      </c>
      <c r="AL243" s="1636">
        <f t="shared" si="176"/>
        <v>0</v>
      </c>
      <c r="AM243" s="1800"/>
      <c r="AN243" s="1706"/>
      <c r="AO243" s="1738">
        <v>588.70000000000005</v>
      </c>
      <c r="AP243" s="1707"/>
      <c r="AQ243" s="1707"/>
      <c r="AR243" s="1707"/>
      <c r="AS243" s="1790"/>
      <c r="AT243" s="1707"/>
      <c r="AU243" s="1707"/>
      <c r="AV243" s="1707"/>
      <c r="AW243" s="1790"/>
      <c r="AX243" s="1707"/>
      <c r="AY243" s="1707"/>
      <c r="AZ243" s="1707"/>
      <c r="BA243" s="1746">
        <v>588.70000000000005</v>
      </c>
      <c r="BB243" s="1707"/>
      <c r="BC243" s="1707"/>
      <c r="BD243" s="1707"/>
      <c r="BE243" s="1717"/>
      <c r="BF243" s="1707"/>
      <c r="BG243" s="1707"/>
      <c r="BH243" s="1707"/>
      <c r="BI243" s="1706"/>
      <c r="BJ243" s="1707"/>
      <c r="BK243" s="1707"/>
      <c r="BL243" s="1707"/>
      <c r="BM243" s="1746">
        <v>588.70000000000005</v>
      </c>
      <c r="BN243" s="1707"/>
      <c r="BO243" s="1707"/>
      <c r="BP243" s="1707"/>
      <c r="BQ243" s="1706"/>
      <c r="BR243" s="1707"/>
      <c r="BS243" s="1707"/>
      <c r="BT243" s="1707"/>
      <c r="BU243" s="1706"/>
      <c r="BV243" s="1707"/>
      <c r="BW243" s="1707"/>
      <c r="BX243" s="1707"/>
      <c r="BY243" s="1801">
        <v>588.70000000000005</v>
      </c>
      <c r="BZ243" s="1707"/>
      <c r="CA243" s="1707"/>
      <c r="CB243" s="1707"/>
      <c r="CC243" s="1706"/>
      <c r="CD243" s="1707"/>
      <c r="CE243" s="1707"/>
      <c r="CF243" s="1707"/>
      <c r="CG243" s="1791"/>
      <c r="CH243" s="1706"/>
      <c r="CI243" s="1707"/>
      <c r="CJ243" s="1707"/>
      <c r="CK243" s="1707"/>
      <c r="CL243" s="1792"/>
      <c r="CM243" s="1792"/>
      <c r="CN243" s="1792"/>
      <c r="CO243" s="1792"/>
      <c r="CP243" s="1792"/>
      <c r="CQ243" s="1792"/>
      <c r="CR243" s="1792"/>
      <c r="CS243" s="1792"/>
      <c r="CT243" s="1792"/>
      <c r="CU243" s="1792"/>
      <c r="CV243" s="1792"/>
      <c r="CW243" s="1792"/>
      <c r="CY243" s="1792"/>
    </row>
    <row r="244" spans="1:103" s="1793" customFormat="1" ht="14" x14ac:dyDescent="0.15">
      <c r="A244" s="1541" t="s">
        <v>84</v>
      </c>
      <c r="B244" s="1522" t="s">
        <v>79</v>
      </c>
      <c r="C244" s="1522" t="s">
        <v>80</v>
      </c>
      <c r="D244" s="1522" t="s">
        <v>110</v>
      </c>
      <c r="E244" s="1523" t="s">
        <v>1258</v>
      </c>
      <c r="F244" s="1523" t="s">
        <v>1262</v>
      </c>
      <c r="G244" s="1523">
        <v>213</v>
      </c>
      <c r="H244" s="1738">
        <v>711.1</v>
      </c>
      <c r="I244" s="1707"/>
      <c r="J244" s="1707"/>
      <c r="K244" s="1707"/>
      <c r="L244" s="1786"/>
      <c r="M244" s="1786"/>
      <c r="N244" s="1786"/>
      <c r="O244" s="1786"/>
      <c r="P244" s="1786"/>
      <c r="Q244" s="1786"/>
      <c r="R244" s="1786"/>
      <c r="S244" s="1786"/>
      <c r="T244" s="1787"/>
      <c r="U244" s="1788"/>
      <c r="V244" s="1788"/>
      <c r="W244" s="1789"/>
      <c r="X244" s="1789"/>
      <c r="Y244" s="1789"/>
      <c r="Z244" s="1790"/>
      <c r="AA244" s="1789"/>
      <c r="AB244" s="1789"/>
      <c r="AC244" s="1798">
        <f t="shared" si="177"/>
        <v>711.1</v>
      </c>
      <c r="AD244" s="1799">
        <f t="shared" si="178"/>
        <v>0</v>
      </c>
      <c r="AE244" s="1799">
        <f t="shared" si="179"/>
        <v>0</v>
      </c>
      <c r="AF244" s="1799">
        <f t="shared" si="179"/>
        <v>0</v>
      </c>
      <c r="AG244" s="1799">
        <f t="shared" si="179"/>
        <v>0</v>
      </c>
      <c r="AH244" s="1490">
        <f t="shared" si="175"/>
        <v>0</v>
      </c>
      <c r="AI244" s="1798">
        <f t="shared" si="180"/>
        <v>0</v>
      </c>
      <c r="AJ244" s="1798">
        <f t="shared" si="181"/>
        <v>0</v>
      </c>
      <c r="AK244" s="1798">
        <f>I244-AE244</f>
        <v>0</v>
      </c>
      <c r="AL244" s="1636">
        <f t="shared" si="176"/>
        <v>0</v>
      </c>
      <c r="AM244" s="1800"/>
      <c r="AN244" s="1706"/>
      <c r="AO244" s="1738">
        <v>177.77500000000001</v>
      </c>
      <c r="AP244" s="1707"/>
      <c r="AQ244" s="1707"/>
      <c r="AR244" s="1707"/>
      <c r="AS244" s="1790"/>
      <c r="AT244" s="1707"/>
      <c r="AU244" s="1707"/>
      <c r="AV244" s="1707"/>
      <c r="AW244" s="1790"/>
      <c r="AX244" s="1707"/>
      <c r="AY244" s="1707"/>
      <c r="AZ244" s="1707"/>
      <c r="BA244" s="1746">
        <v>177.77500000000001</v>
      </c>
      <c r="BB244" s="1707"/>
      <c r="BC244" s="1707"/>
      <c r="BD244" s="1707"/>
      <c r="BE244" s="1717"/>
      <c r="BF244" s="1707"/>
      <c r="BG244" s="1707"/>
      <c r="BH244" s="1707"/>
      <c r="BI244" s="1706"/>
      <c r="BJ244" s="1707"/>
      <c r="BK244" s="1707"/>
      <c r="BL244" s="1707"/>
      <c r="BM244" s="1746">
        <v>177.77500000000001</v>
      </c>
      <c r="BN244" s="1707"/>
      <c r="BO244" s="1707"/>
      <c r="BP244" s="1707"/>
      <c r="BQ244" s="1706"/>
      <c r="BR244" s="1707"/>
      <c r="BS244" s="1707"/>
      <c r="BT244" s="1707"/>
      <c r="BU244" s="1706"/>
      <c r="BV244" s="1707"/>
      <c r="BW244" s="1707"/>
      <c r="BX244" s="1707"/>
      <c r="BY244" s="1801">
        <v>177.77500000000001</v>
      </c>
      <c r="BZ244" s="1707"/>
      <c r="CA244" s="1707"/>
      <c r="CB244" s="1707"/>
      <c r="CC244" s="1706"/>
      <c r="CD244" s="1707"/>
      <c r="CE244" s="1707"/>
      <c r="CF244" s="1707"/>
      <c r="CG244" s="1791"/>
      <c r="CH244" s="1706"/>
      <c r="CI244" s="1707"/>
      <c r="CJ244" s="1707"/>
      <c r="CK244" s="1707"/>
      <c r="CL244" s="1792"/>
      <c r="CM244" s="1792"/>
      <c r="CN244" s="1792"/>
      <c r="CO244" s="1792"/>
      <c r="CP244" s="1792"/>
      <c r="CQ244" s="1792"/>
      <c r="CR244" s="1792"/>
      <c r="CS244" s="1792"/>
      <c r="CT244" s="1792"/>
      <c r="CU244" s="1792"/>
      <c r="CV244" s="1792"/>
      <c r="CW244" s="1792"/>
      <c r="CY244" s="1792"/>
    </row>
    <row r="245" spans="1:103" s="1793" customFormat="1" ht="14" x14ac:dyDescent="0.15">
      <c r="A245" s="1541" t="s">
        <v>83</v>
      </c>
      <c r="B245" s="1522" t="s">
        <v>79</v>
      </c>
      <c r="C245" s="1522" t="s">
        <v>80</v>
      </c>
      <c r="D245" s="1522" t="s">
        <v>110</v>
      </c>
      <c r="E245" s="1523" t="s">
        <v>1258</v>
      </c>
      <c r="F245" s="1523" t="s">
        <v>1263</v>
      </c>
      <c r="G245" s="1523">
        <v>212</v>
      </c>
      <c r="H245" s="1738">
        <f>8+2</f>
        <v>10</v>
      </c>
      <c r="I245" s="1707"/>
      <c r="J245" s="1707"/>
      <c r="K245" s="1707"/>
      <c r="L245" s="1786"/>
      <c r="M245" s="1786"/>
      <c r="N245" s="1786"/>
      <c r="O245" s="1786"/>
      <c r="P245" s="1786"/>
      <c r="Q245" s="1786"/>
      <c r="R245" s="1786"/>
      <c r="S245" s="1786"/>
      <c r="T245" s="1787"/>
      <c r="U245" s="1788"/>
      <c r="V245" s="1788"/>
      <c r="W245" s="1789"/>
      <c r="X245" s="1789"/>
      <c r="Y245" s="1789"/>
      <c r="Z245" s="1790"/>
      <c r="AA245" s="1789"/>
      <c r="AB245" s="1789"/>
      <c r="AC245" s="1798">
        <f t="shared" si="177"/>
        <v>10</v>
      </c>
      <c r="AD245" s="1799">
        <f t="shared" si="178"/>
        <v>0</v>
      </c>
      <c r="AE245" s="1799">
        <f t="shared" si="179"/>
        <v>0</v>
      </c>
      <c r="AF245" s="1799">
        <f t="shared" si="179"/>
        <v>0</v>
      </c>
      <c r="AG245" s="1799">
        <f t="shared" si="179"/>
        <v>0</v>
      </c>
      <c r="AH245" s="1490">
        <f t="shared" si="175"/>
        <v>0</v>
      </c>
      <c r="AI245" s="1798">
        <f t="shared" si="180"/>
        <v>0</v>
      </c>
      <c r="AJ245" s="1798">
        <f t="shared" si="181"/>
        <v>0</v>
      </c>
      <c r="AK245" s="1798">
        <f>I245-AE245</f>
        <v>0</v>
      </c>
      <c r="AL245" s="1636">
        <f t="shared" si="176"/>
        <v>0</v>
      </c>
      <c r="AM245" s="1800"/>
      <c r="AN245" s="1706"/>
      <c r="AO245" s="1738">
        <v>2</v>
      </c>
      <c r="AP245" s="1707"/>
      <c r="AQ245" s="1707"/>
      <c r="AR245" s="1707"/>
      <c r="AS245" s="1790"/>
      <c r="AT245" s="1707"/>
      <c r="AU245" s="1707"/>
      <c r="AV245" s="1707"/>
      <c r="AW245" s="1790"/>
      <c r="AX245" s="1707"/>
      <c r="AY245" s="1707"/>
      <c r="AZ245" s="1707"/>
      <c r="BA245" s="1746">
        <v>2</v>
      </c>
      <c r="BB245" s="1707"/>
      <c r="BC245" s="1707"/>
      <c r="BD245" s="1707"/>
      <c r="BE245" s="1717"/>
      <c r="BF245" s="1707"/>
      <c r="BG245" s="1707"/>
      <c r="BH245" s="1707"/>
      <c r="BI245" s="1706"/>
      <c r="BJ245" s="1707"/>
      <c r="BK245" s="1707"/>
      <c r="BL245" s="1707"/>
      <c r="BM245" s="1746">
        <v>2</v>
      </c>
      <c r="BN245" s="1707"/>
      <c r="BO245" s="1707"/>
      <c r="BP245" s="1707"/>
      <c r="BQ245" s="1706"/>
      <c r="BR245" s="1707"/>
      <c r="BS245" s="1707"/>
      <c r="BT245" s="1707"/>
      <c r="BU245" s="1706"/>
      <c r="BV245" s="1707"/>
      <c r="BW245" s="1707"/>
      <c r="BX245" s="1707"/>
      <c r="BY245" s="1801">
        <v>2</v>
      </c>
      <c r="BZ245" s="1707"/>
      <c r="CA245" s="1707"/>
      <c r="CB245" s="1707"/>
      <c r="CC245" s="1706">
        <v>2</v>
      </c>
      <c r="CD245" s="1707"/>
      <c r="CE245" s="1707"/>
      <c r="CF245" s="1707"/>
      <c r="CG245" s="1791"/>
      <c r="CH245" s="1706"/>
      <c r="CI245" s="1707"/>
      <c r="CJ245" s="1707"/>
      <c r="CK245" s="1707"/>
      <c r="CL245" s="1792"/>
      <c r="CM245" s="1792"/>
      <c r="CN245" s="1792"/>
      <c r="CO245" s="1792"/>
      <c r="CP245" s="1792"/>
      <c r="CQ245" s="1792"/>
      <c r="CR245" s="1792"/>
      <c r="CS245" s="1792"/>
      <c r="CT245" s="1792"/>
      <c r="CU245" s="1792"/>
      <c r="CV245" s="1792"/>
      <c r="CW245" s="1792"/>
      <c r="CY245" s="1792"/>
    </row>
    <row r="246" spans="1:103" s="1793" customFormat="1" ht="14" x14ac:dyDescent="0.15">
      <c r="A246" s="1541" t="s">
        <v>86</v>
      </c>
      <c r="B246" s="1522" t="s">
        <v>79</v>
      </c>
      <c r="C246" s="1522" t="s">
        <v>80</v>
      </c>
      <c r="D246" s="1522" t="s">
        <v>110</v>
      </c>
      <c r="E246" s="1523" t="s">
        <v>1258</v>
      </c>
      <c r="F246" s="1523" t="s">
        <v>1263</v>
      </c>
      <c r="G246" s="1523">
        <v>222</v>
      </c>
      <c r="H246" s="1738">
        <f>18+50</f>
        <v>68</v>
      </c>
      <c r="I246" s="1707"/>
      <c r="J246" s="1707"/>
      <c r="K246" s="1707"/>
      <c r="L246" s="1786"/>
      <c r="M246" s="1786"/>
      <c r="N246" s="1786"/>
      <c r="O246" s="1786"/>
      <c r="P246" s="1786"/>
      <c r="Q246" s="1786"/>
      <c r="R246" s="1786"/>
      <c r="S246" s="1786"/>
      <c r="T246" s="1787"/>
      <c r="U246" s="1788"/>
      <c r="V246" s="1788"/>
      <c r="W246" s="1789"/>
      <c r="X246" s="1789"/>
      <c r="Y246" s="1789"/>
      <c r="Z246" s="1790"/>
      <c r="AA246" s="1789"/>
      <c r="AB246" s="1789"/>
      <c r="AC246" s="1798">
        <f t="shared" si="177"/>
        <v>68</v>
      </c>
      <c r="AD246" s="1799">
        <f t="shared" si="178"/>
        <v>0</v>
      </c>
      <c r="AE246" s="1799">
        <f t="shared" si="179"/>
        <v>0</v>
      </c>
      <c r="AF246" s="1799">
        <f t="shared" si="179"/>
        <v>0</v>
      </c>
      <c r="AG246" s="1799">
        <f t="shared" si="179"/>
        <v>0</v>
      </c>
      <c r="AH246" s="1490">
        <f t="shared" si="175"/>
        <v>0</v>
      </c>
      <c r="AI246" s="1798">
        <f t="shared" si="180"/>
        <v>0</v>
      </c>
      <c r="AJ246" s="1798">
        <f t="shared" si="181"/>
        <v>0</v>
      </c>
      <c r="AK246" s="1798">
        <f>I246-AE246</f>
        <v>0</v>
      </c>
      <c r="AL246" s="1636">
        <f t="shared" si="176"/>
        <v>0</v>
      </c>
      <c r="AM246" s="1800"/>
      <c r="AN246" s="1706"/>
      <c r="AO246" s="1738">
        <v>4.5</v>
      </c>
      <c r="AP246" s="1707"/>
      <c r="AQ246" s="1707"/>
      <c r="AR246" s="1707"/>
      <c r="AS246" s="1790"/>
      <c r="AT246" s="1707"/>
      <c r="AU246" s="1707"/>
      <c r="AV246" s="1707"/>
      <c r="AW246" s="1790"/>
      <c r="AX246" s="1707"/>
      <c r="AY246" s="1707"/>
      <c r="AZ246" s="1707"/>
      <c r="BA246" s="1746">
        <v>4.5</v>
      </c>
      <c r="BB246" s="1707"/>
      <c r="BC246" s="1707"/>
      <c r="BD246" s="1707"/>
      <c r="BE246" s="1717"/>
      <c r="BF246" s="1707"/>
      <c r="BG246" s="1707"/>
      <c r="BH246" s="1707"/>
      <c r="BI246" s="1706"/>
      <c r="BJ246" s="1707"/>
      <c r="BK246" s="1707"/>
      <c r="BL246" s="1707"/>
      <c r="BM246" s="1746">
        <v>4.5</v>
      </c>
      <c r="BN246" s="1707"/>
      <c r="BO246" s="1707"/>
      <c r="BP246" s="1707"/>
      <c r="BQ246" s="1706"/>
      <c r="BR246" s="1707"/>
      <c r="BS246" s="1707"/>
      <c r="BT246" s="1707"/>
      <c r="BU246" s="1706">
        <v>50</v>
      </c>
      <c r="BV246" s="1707"/>
      <c r="BW246" s="1707"/>
      <c r="BX246" s="1707"/>
      <c r="BY246" s="1801">
        <v>4.5</v>
      </c>
      <c r="BZ246" s="1707"/>
      <c r="CA246" s="1707"/>
      <c r="CB246" s="1707"/>
      <c r="CC246" s="1706"/>
      <c r="CD246" s="1707"/>
      <c r="CE246" s="1707"/>
      <c r="CF246" s="1707"/>
      <c r="CG246" s="1791"/>
      <c r="CH246" s="1706"/>
      <c r="CI246" s="1707"/>
      <c r="CJ246" s="1707"/>
      <c r="CK246" s="1707"/>
      <c r="CL246" s="1792"/>
      <c r="CM246" s="1792"/>
      <c r="CN246" s="1792"/>
      <c r="CO246" s="1792"/>
      <c r="CP246" s="1792"/>
      <c r="CQ246" s="1792"/>
      <c r="CR246" s="1792"/>
      <c r="CS246" s="1792"/>
      <c r="CT246" s="1792"/>
      <c r="CU246" s="1792"/>
      <c r="CV246" s="1792"/>
      <c r="CW246" s="1792"/>
      <c r="CY246" s="1792"/>
    </row>
    <row r="247" spans="1:103" s="1793" customFormat="1" ht="14" x14ac:dyDescent="0.15">
      <c r="A247" s="1541" t="s">
        <v>91</v>
      </c>
      <c r="B247" s="1522" t="s">
        <v>79</v>
      </c>
      <c r="C247" s="1522" t="s">
        <v>80</v>
      </c>
      <c r="D247" s="1522" t="s">
        <v>110</v>
      </c>
      <c r="E247" s="1523" t="s">
        <v>1258</v>
      </c>
      <c r="F247" s="1523" t="s">
        <v>1263</v>
      </c>
      <c r="G247" s="1523" t="s">
        <v>198</v>
      </c>
      <c r="H247" s="1738">
        <v>100</v>
      </c>
      <c r="I247" s="1707"/>
      <c r="J247" s="1707"/>
      <c r="K247" s="1707"/>
      <c r="L247" s="1786"/>
      <c r="M247" s="1786"/>
      <c r="N247" s="1786"/>
      <c r="O247" s="1786"/>
      <c r="P247" s="1786"/>
      <c r="Q247" s="1786"/>
      <c r="R247" s="1786"/>
      <c r="S247" s="1786"/>
      <c r="T247" s="1787"/>
      <c r="U247" s="1788"/>
      <c r="V247" s="1788"/>
      <c r="W247" s="1789"/>
      <c r="X247" s="1789"/>
      <c r="Y247" s="1789"/>
      <c r="Z247" s="1790"/>
      <c r="AA247" s="1789"/>
      <c r="AB247" s="1789"/>
      <c r="AC247" s="1798">
        <f t="shared" si="177"/>
        <v>100</v>
      </c>
      <c r="AD247" s="1799">
        <f t="shared" si="178"/>
        <v>0</v>
      </c>
      <c r="AE247" s="1799">
        <f t="shared" si="179"/>
        <v>0</v>
      </c>
      <c r="AF247" s="1799">
        <f t="shared" si="179"/>
        <v>0</v>
      </c>
      <c r="AG247" s="1799">
        <f t="shared" si="179"/>
        <v>0</v>
      </c>
      <c r="AH247" s="1490">
        <f t="shared" si="175"/>
        <v>0</v>
      </c>
      <c r="AI247" s="1798">
        <f t="shared" si="180"/>
        <v>0</v>
      </c>
      <c r="AJ247" s="1798">
        <f t="shared" si="181"/>
        <v>0</v>
      </c>
      <c r="AK247" s="1798">
        <f>I247-AE247</f>
        <v>0</v>
      </c>
      <c r="AL247" s="1636">
        <f t="shared" si="176"/>
        <v>0</v>
      </c>
      <c r="AM247" s="1800"/>
      <c r="AN247" s="1706"/>
      <c r="AO247" s="1738">
        <v>25</v>
      </c>
      <c r="AP247" s="1707"/>
      <c r="AQ247" s="1707"/>
      <c r="AR247" s="1707"/>
      <c r="AS247" s="1790"/>
      <c r="AT247" s="1707"/>
      <c r="AU247" s="1707"/>
      <c r="AV247" s="1707"/>
      <c r="AW247" s="1790"/>
      <c r="AX247" s="1707"/>
      <c r="AY247" s="1707"/>
      <c r="AZ247" s="1707"/>
      <c r="BA247" s="1746">
        <v>25</v>
      </c>
      <c r="BB247" s="1707"/>
      <c r="BC247" s="1707"/>
      <c r="BD247" s="1707"/>
      <c r="BE247" s="1717"/>
      <c r="BF247" s="1707"/>
      <c r="BG247" s="1707"/>
      <c r="BH247" s="1707"/>
      <c r="BI247" s="1706"/>
      <c r="BJ247" s="1707"/>
      <c r="BK247" s="1707"/>
      <c r="BL247" s="1707"/>
      <c r="BM247" s="1746">
        <v>25</v>
      </c>
      <c r="BN247" s="1707"/>
      <c r="BO247" s="1707"/>
      <c r="BP247" s="1707"/>
      <c r="BQ247" s="1706">
        <v>25</v>
      </c>
      <c r="BR247" s="1707"/>
      <c r="BS247" s="1707"/>
      <c r="BT247" s="1707"/>
      <c r="BU247" s="1706"/>
      <c r="BV247" s="1707"/>
      <c r="BW247" s="1707"/>
      <c r="BX247" s="1707"/>
      <c r="BY247" s="1801">
        <v>0</v>
      </c>
      <c r="BZ247" s="1707"/>
      <c r="CA247" s="1707"/>
      <c r="CB247" s="1707"/>
      <c r="CC247" s="1706"/>
      <c r="CD247" s="1707"/>
      <c r="CE247" s="1707"/>
      <c r="CF247" s="1707"/>
      <c r="CG247" s="1791"/>
      <c r="CH247" s="1706"/>
      <c r="CI247" s="1707"/>
      <c r="CJ247" s="1707"/>
      <c r="CK247" s="1707"/>
      <c r="CL247" s="1792"/>
      <c r="CM247" s="1792"/>
      <c r="CN247" s="1792"/>
      <c r="CO247" s="1792"/>
      <c r="CP247" s="1792"/>
      <c r="CQ247" s="1792"/>
      <c r="CR247" s="1792"/>
      <c r="CS247" s="1792"/>
      <c r="CT247" s="1792"/>
      <c r="CU247" s="1792"/>
      <c r="CV247" s="1792"/>
      <c r="CW247" s="1792"/>
      <c r="CY247" s="1792"/>
    </row>
    <row r="248" spans="1:103" s="1793" customFormat="1" ht="14" x14ac:dyDescent="0.15">
      <c r="A248" s="1541" t="s">
        <v>90</v>
      </c>
      <c r="B248" s="1522" t="s">
        <v>79</v>
      </c>
      <c r="C248" s="1522" t="s">
        <v>80</v>
      </c>
      <c r="D248" s="1522" t="s">
        <v>110</v>
      </c>
      <c r="E248" s="1523" t="s">
        <v>1258</v>
      </c>
      <c r="F248" s="1523" t="s">
        <v>1247</v>
      </c>
      <c r="G248" s="1523" t="s">
        <v>165</v>
      </c>
      <c r="H248" s="1738">
        <v>100</v>
      </c>
      <c r="I248" s="1707"/>
      <c r="J248" s="1707"/>
      <c r="K248" s="1707"/>
      <c r="L248" s="1786"/>
      <c r="M248" s="1786"/>
      <c r="N248" s="1786"/>
      <c r="O248" s="1786"/>
      <c r="P248" s="1786"/>
      <c r="Q248" s="1786"/>
      <c r="R248" s="1786"/>
      <c r="S248" s="1786"/>
      <c r="T248" s="1787"/>
      <c r="U248" s="1788"/>
      <c r="V248" s="1788"/>
      <c r="W248" s="1789"/>
      <c r="X248" s="1789"/>
      <c r="Y248" s="1789"/>
      <c r="Z248" s="1790"/>
      <c r="AA248" s="1789"/>
      <c r="AB248" s="1789"/>
      <c r="AC248" s="1798">
        <f t="shared" si="177"/>
        <v>100</v>
      </c>
      <c r="AD248" s="1799"/>
      <c r="AE248" s="1799"/>
      <c r="AF248" s="1799"/>
      <c r="AG248" s="1799"/>
      <c r="AH248" s="1490">
        <f t="shared" si="175"/>
        <v>0</v>
      </c>
      <c r="AI248" s="1798">
        <f t="shared" si="180"/>
        <v>0</v>
      </c>
      <c r="AJ248" s="1798"/>
      <c r="AK248" s="1798"/>
      <c r="AL248" s="1636"/>
      <c r="AM248" s="1800"/>
      <c r="AN248" s="1706"/>
      <c r="AO248" s="1738"/>
      <c r="AP248" s="1707"/>
      <c r="AQ248" s="1707"/>
      <c r="AR248" s="1707"/>
      <c r="AS248" s="1790"/>
      <c r="AT248" s="1707"/>
      <c r="AU248" s="1707"/>
      <c r="AV248" s="1707"/>
      <c r="AW248" s="1790"/>
      <c r="AX248" s="1707"/>
      <c r="AY248" s="1707"/>
      <c r="AZ248" s="1707"/>
      <c r="BA248" s="1746"/>
      <c r="BB248" s="1707"/>
      <c r="BC248" s="1707"/>
      <c r="BD248" s="1707"/>
      <c r="BE248" s="1717"/>
      <c r="BF248" s="1707"/>
      <c r="BG248" s="1707"/>
      <c r="BH248" s="1707"/>
      <c r="BI248" s="1706"/>
      <c r="BJ248" s="1707"/>
      <c r="BK248" s="1707"/>
      <c r="BL248" s="1707"/>
      <c r="BM248" s="1746"/>
      <c r="BN248" s="1707"/>
      <c r="BO248" s="1707"/>
      <c r="BP248" s="1707"/>
      <c r="BQ248" s="1706"/>
      <c r="BR248" s="1707"/>
      <c r="BS248" s="1707"/>
      <c r="BT248" s="1707"/>
      <c r="BU248" s="1706">
        <v>100</v>
      </c>
      <c r="BV248" s="1707"/>
      <c r="BW248" s="1707"/>
      <c r="BX248" s="1707"/>
      <c r="BY248" s="1801">
        <v>0</v>
      </c>
      <c r="BZ248" s="1707"/>
      <c r="CA248" s="1707"/>
      <c r="CB248" s="1707"/>
      <c r="CC248" s="1706"/>
      <c r="CD248" s="1707"/>
      <c r="CE248" s="1707"/>
      <c r="CF248" s="1707"/>
      <c r="CG248" s="1791"/>
      <c r="CH248" s="1706"/>
      <c r="CI248" s="1707"/>
      <c r="CJ248" s="1707"/>
      <c r="CK248" s="1707"/>
      <c r="CL248" s="1792"/>
      <c r="CM248" s="1792"/>
      <c r="CN248" s="1792"/>
      <c r="CO248" s="1792"/>
      <c r="CP248" s="1792"/>
      <c r="CQ248" s="1792"/>
      <c r="CR248" s="1792"/>
      <c r="CS248" s="1792"/>
      <c r="CT248" s="1792"/>
      <c r="CU248" s="1792"/>
      <c r="CV248" s="1792"/>
      <c r="CW248" s="1792"/>
      <c r="CY248" s="1792"/>
    </row>
    <row r="249" spans="1:103" s="1793" customFormat="1" ht="14" x14ac:dyDescent="0.15">
      <c r="A249" s="1541" t="s">
        <v>90</v>
      </c>
      <c r="B249" s="1522" t="s">
        <v>79</v>
      </c>
      <c r="C249" s="1522" t="s">
        <v>80</v>
      </c>
      <c r="D249" s="1522" t="s">
        <v>110</v>
      </c>
      <c r="E249" s="1523" t="s">
        <v>1258</v>
      </c>
      <c r="F249" s="1523" t="s">
        <v>1247</v>
      </c>
      <c r="G249" s="1523">
        <v>225</v>
      </c>
      <c r="H249" s="1738">
        <f>50-2</f>
        <v>48</v>
      </c>
      <c r="I249" s="1707"/>
      <c r="J249" s="1707"/>
      <c r="K249" s="1707"/>
      <c r="L249" s="1786"/>
      <c r="M249" s="1786"/>
      <c r="N249" s="1786"/>
      <c r="O249" s="1786"/>
      <c r="P249" s="1786"/>
      <c r="Q249" s="1786"/>
      <c r="R249" s="1786"/>
      <c r="S249" s="1786"/>
      <c r="T249" s="1787"/>
      <c r="U249" s="1788"/>
      <c r="V249" s="1788"/>
      <c r="W249" s="1789"/>
      <c r="X249" s="1789"/>
      <c r="Y249" s="1789"/>
      <c r="Z249" s="1790"/>
      <c r="AA249" s="1789"/>
      <c r="AB249" s="1789"/>
      <c r="AC249" s="1798">
        <f t="shared" si="177"/>
        <v>48</v>
      </c>
      <c r="AD249" s="1799">
        <f t="shared" si="178"/>
        <v>0</v>
      </c>
      <c r="AE249" s="1799">
        <f t="shared" si="179"/>
        <v>0</v>
      </c>
      <c r="AF249" s="1799">
        <f t="shared" si="179"/>
        <v>0</v>
      </c>
      <c r="AG249" s="1799">
        <f t="shared" si="179"/>
        <v>0</v>
      </c>
      <c r="AH249" s="1490">
        <f t="shared" si="175"/>
        <v>0</v>
      </c>
      <c r="AI249" s="1798">
        <f t="shared" si="180"/>
        <v>0</v>
      </c>
      <c r="AJ249" s="1798">
        <f t="shared" si="181"/>
        <v>0</v>
      </c>
      <c r="AK249" s="1798">
        <f t="shared" ref="AK249:AM264" si="182">I249-AE249</f>
        <v>0</v>
      </c>
      <c r="AL249" s="1636">
        <f t="shared" si="182"/>
        <v>0</v>
      </c>
      <c r="AM249" s="1800"/>
      <c r="AN249" s="1706"/>
      <c r="AO249" s="1738">
        <v>12.5</v>
      </c>
      <c r="AP249" s="1707"/>
      <c r="AQ249" s="1707"/>
      <c r="AR249" s="1707"/>
      <c r="AS249" s="1790"/>
      <c r="AT249" s="1707"/>
      <c r="AU249" s="1707"/>
      <c r="AV249" s="1707"/>
      <c r="AW249" s="1790"/>
      <c r="AX249" s="1707"/>
      <c r="AY249" s="1707"/>
      <c r="AZ249" s="1707"/>
      <c r="BA249" s="1746">
        <v>12.5</v>
      </c>
      <c r="BB249" s="1707"/>
      <c r="BC249" s="1707"/>
      <c r="BD249" s="1707"/>
      <c r="BE249" s="1717"/>
      <c r="BF249" s="1707"/>
      <c r="BG249" s="1707"/>
      <c r="BH249" s="1707"/>
      <c r="BI249" s="1706"/>
      <c r="BJ249" s="1707"/>
      <c r="BK249" s="1707"/>
      <c r="BL249" s="1707"/>
      <c r="BM249" s="1746">
        <v>12.5</v>
      </c>
      <c r="BN249" s="1707"/>
      <c r="BO249" s="1707"/>
      <c r="BP249" s="1707"/>
      <c r="BQ249" s="1706"/>
      <c r="BR249" s="1707"/>
      <c r="BS249" s="1707"/>
      <c r="BT249" s="1707"/>
      <c r="BU249" s="1706"/>
      <c r="BV249" s="1707"/>
      <c r="BW249" s="1707"/>
      <c r="BX249" s="1707"/>
      <c r="BY249" s="1801">
        <v>12.5</v>
      </c>
      <c r="BZ249" s="1707"/>
      <c r="CA249" s="1707"/>
      <c r="CB249" s="1707"/>
      <c r="CC249" s="1706">
        <v>-2</v>
      </c>
      <c r="CD249" s="1707"/>
      <c r="CE249" s="1707"/>
      <c r="CF249" s="1707"/>
      <c r="CG249" s="1791"/>
      <c r="CH249" s="1706"/>
      <c r="CI249" s="1707"/>
      <c r="CJ249" s="1707"/>
      <c r="CK249" s="1707"/>
      <c r="CL249" s="1792"/>
      <c r="CM249" s="1792"/>
      <c r="CN249" s="1792"/>
      <c r="CO249" s="1792"/>
      <c r="CP249" s="1792"/>
      <c r="CQ249" s="1792"/>
      <c r="CR249" s="1792"/>
      <c r="CS249" s="1792"/>
      <c r="CT249" s="1792"/>
      <c r="CU249" s="1792"/>
      <c r="CV249" s="1792"/>
      <c r="CW249" s="1792"/>
      <c r="CY249" s="1792"/>
    </row>
    <row r="250" spans="1:103" s="1793" customFormat="1" ht="14" x14ac:dyDescent="0.15">
      <c r="A250" s="1541" t="s">
        <v>91</v>
      </c>
      <c r="B250" s="1522" t="s">
        <v>79</v>
      </c>
      <c r="C250" s="1522" t="s">
        <v>80</v>
      </c>
      <c r="D250" s="1522" t="s">
        <v>110</v>
      </c>
      <c r="E250" s="1523" t="s">
        <v>1258</v>
      </c>
      <c r="F250" s="1523" t="s">
        <v>1247</v>
      </c>
      <c r="G250" s="1523">
        <v>226</v>
      </c>
      <c r="H250" s="1738">
        <f>504.7-150</f>
        <v>354.7</v>
      </c>
      <c r="I250" s="1707"/>
      <c r="J250" s="1707"/>
      <c r="K250" s="1707"/>
      <c r="L250" s="1786"/>
      <c r="M250" s="1786"/>
      <c r="N250" s="1786"/>
      <c r="O250" s="1786"/>
      <c r="P250" s="1786"/>
      <c r="Q250" s="1786"/>
      <c r="R250" s="1786"/>
      <c r="S250" s="1786"/>
      <c r="T250" s="1787"/>
      <c r="U250" s="1788"/>
      <c r="V250" s="1788"/>
      <c r="W250" s="1789"/>
      <c r="X250" s="1789"/>
      <c r="Y250" s="1789"/>
      <c r="Z250" s="1790"/>
      <c r="AA250" s="1789"/>
      <c r="AB250" s="1789"/>
      <c r="AC250" s="1798">
        <f t="shared" si="177"/>
        <v>354.7</v>
      </c>
      <c r="AD250" s="1799">
        <f t="shared" si="178"/>
        <v>0</v>
      </c>
      <c r="AE250" s="1799">
        <f t="shared" si="179"/>
        <v>0</v>
      </c>
      <c r="AF250" s="1799">
        <f t="shared" si="179"/>
        <v>0</v>
      </c>
      <c r="AG250" s="1799">
        <f t="shared" si="179"/>
        <v>0</v>
      </c>
      <c r="AH250" s="1490">
        <f t="shared" si="175"/>
        <v>0</v>
      </c>
      <c r="AI250" s="1798">
        <f t="shared" si="180"/>
        <v>0</v>
      </c>
      <c r="AJ250" s="1798">
        <f t="shared" si="181"/>
        <v>0</v>
      </c>
      <c r="AK250" s="1798">
        <f t="shared" si="182"/>
        <v>0</v>
      </c>
      <c r="AL250" s="1636">
        <f t="shared" si="182"/>
        <v>0</v>
      </c>
      <c r="AM250" s="1800"/>
      <c r="AN250" s="1706"/>
      <c r="AO250" s="1738">
        <v>126.175</v>
      </c>
      <c r="AP250" s="1707"/>
      <c r="AQ250" s="1707"/>
      <c r="AR250" s="1707"/>
      <c r="AS250" s="1790"/>
      <c r="AT250" s="1707"/>
      <c r="AU250" s="1707"/>
      <c r="AV250" s="1707"/>
      <c r="AW250" s="1790"/>
      <c r="AX250" s="1707"/>
      <c r="AY250" s="1707"/>
      <c r="AZ250" s="1707"/>
      <c r="BA250" s="1746">
        <v>126.175</v>
      </c>
      <c r="BB250" s="1707"/>
      <c r="BC250" s="1707"/>
      <c r="BD250" s="1707"/>
      <c r="BE250" s="1717"/>
      <c r="BF250" s="1707"/>
      <c r="BG250" s="1707"/>
      <c r="BH250" s="1707"/>
      <c r="BI250" s="1706"/>
      <c r="BJ250" s="1707"/>
      <c r="BK250" s="1707"/>
      <c r="BL250" s="1707"/>
      <c r="BM250" s="1746">
        <v>126.175</v>
      </c>
      <c r="BN250" s="1707"/>
      <c r="BO250" s="1707"/>
      <c r="BP250" s="1707"/>
      <c r="BQ250" s="1706">
        <v>70</v>
      </c>
      <c r="BR250" s="1707"/>
      <c r="BS250" s="1707"/>
      <c r="BT250" s="1707"/>
      <c r="BU250" s="1706">
        <v>-150</v>
      </c>
      <c r="BV250" s="1707"/>
      <c r="BW250" s="1707"/>
      <c r="BX250" s="1707"/>
      <c r="BY250" s="1801">
        <v>56.174999999999997</v>
      </c>
      <c r="BZ250" s="1707"/>
      <c r="CA250" s="1707"/>
      <c r="CB250" s="1707"/>
      <c r="CC250" s="1706"/>
      <c r="CD250" s="1707"/>
      <c r="CE250" s="1707"/>
      <c r="CF250" s="1707"/>
      <c r="CG250" s="1791"/>
      <c r="CH250" s="1706"/>
      <c r="CI250" s="1707"/>
      <c r="CJ250" s="1707"/>
      <c r="CK250" s="1707"/>
      <c r="CL250" s="1792"/>
      <c r="CM250" s="1792"/>
      <c r="CN250" s="1792"/>
      <c r="CO250" s="1792"/>
      <c r="CP250" s="1792"/>
      <c r="CQ250" s="1792"/>
      <c r="CR250" s="1792"/>
      <c r="CS250" s="1792"/>
      <c r="CT250" s="1792"/>
      <c r="CU250" s="1792"/>
      <c r="CV250" s="1792"/>
      <c r="CW250" s="1792"/>
      <c r="CY250" s="1792"/>
    </row>
    <row r="251" spans="1:103" s="1793" customFormat="1" ht="14" x14ac:dyDescent="0.15">
      <c r="A251" s="1541" t="s">
        <v>96</v>
      </c>
      <c r="B251" s="1522" t="s">
        <v>79</v>
      </c>
      <c r="C251" s="1522" t="s">
        <v>80</v>
      </c>
      <c r="D251" s="1522" t="s">
        <v>110</v>
      </c>
      <c r="E251" s="1523" t="s">
        <v>1258</v>
      </c>
      <c r="F251" s="1523" t="s">
        <v>1247</v>
      </c>
      <c r="G251" s="1523">
        <v>310</v>
      </c>
      <c r="H251" s="1738">
        <f>121.9+60</f>
        <v>181.9</v>
      </c>
      <c r="I251" s="1707"/>
      <c r="J251" s="1707"/>
      <c r="K251" s="1707"/>
      <c r="L251" s="1786"/>
      <c r="M251" s="1786"/>
      <c r="N251" s="1786"/>
      <c r="O251" s="1786"/>
      <c r="P251" s="1786"/>
      <c r="Q251" s="1786"/>
      <c r="R251" s="1786"/>
      <c r="S251" s="1786"/>
      <c r="T251" s="1787"/>
      <c r="U251" s="1788"/>
      <c r="V251" s="1788"/>
      <c r="W251" s="1789"/>
      <c r="X251" s="1789"/>
      <c r="Y251" s="1789"/>
      <c r="Z251" s="1790"/>
      <c r="AA251" s="1789"/>
      <c r="AB251" s="1789"/>
      <c r="AC251" s="1798">
        <f t="shared" si="177"/>
        <v>181.9</v>
      </c>
      <c r="AD251" s="1799">
        <f t="shared" si="178"/>
        <v>0</v>
      </c>
      <c r="AE251" s="1799">
        <f t="shared" si="179"/>
        <v>0</v>
      </c>
      <c r="AF251" s="1799">
        <f t="shared" si="179"/>
        <v>0</v>
      </c>
      <c r="AG251" s="1799">
        <f t="shared" si="179"/>
        <v>0</v>
      </c>
      <c r="AH251" s="1490">
        <f t="shared" si="175"/>
        <v>0</v>
      </c>
      <c r="AI251" s="1798">
        <f t="shared" si="180"/>
        <v>0</v>
      </c>
      <c r="AJ251" s="1798">
        <f t="shared" si="181"/>
        <v>0</v>
      </c>
      <c r="AK251" s="1798">
        <f t="shared" si="182"/>
        <v>0</v>
      </c>
      <c r="AL251" s="1636">
        <f t="shared" si="182"/>
        <v>0</v>
      </c>
      <c r="AM251" s="1800"/>
      <c r="AN251" s="1706"/>
      <c r="AO251" s="1738">
        <v>30.475000000000001</v>
      </c>
      <c r="AP251" s="1707"/>
      <c r="AQ251" s="1707"/>
      <c r="AR251" s="1707"/>
      <c r="AS251" s="1790"/>
      <c r="AT251" s="1707"/>
      <c r="AU251" s="1707"/>
      <c r="AV251" s="1707"/>
      <c r="AW251" s="1790"/>
      <c r="AX251" s="1707"/>
      <c r="AY251" s="1707"/>
      <c r="AZ251" s="1707"/>
      <c r="BA251" s="1746">
        <v>30.475000000000001</v>
      </c>
      <c r="BB251" s="1707"/>
      <c r="BC251" s="1707"/>
      <c r="BD251" s="1707"/>
      <c r="BE251" s="1717"/>
      <c r="BF251" s="1707"/>
      <c r="BG251" s="1707"/>
      <c r="BH251" s="1707"/>
      <c r="BI251" s="1706"/>
      <c r="BJ251" s="1707"/>
      <c r="BK251" s="1707"/>
      <c r="BL251" s="1707"/>
      <c r="BM251" s="1746">
        <v>30.475000000000001</v>
      </c>
      <c r="BN251" s="1707"/>
      <c r="BO251" s="1707"/>
      <c r="BP251" s="1707"/>
      <c r="BQ251" s="1706"/>
      <c r="BR251" s="1707"/>
      <c r="BS251" s="1707"/>
      <c r="BT251" s="1707"/>
      <c r="BU251" s="1706"/>
      <c r="BV251" s="1707"/>
      <c r="BW251" s="1707"/>
      <c r="BX251" s="1707"/>
      <c r="BY251" s="1801">
        <v>30.475000000000001</v>
      </c>
      <c r="BZ251" s="1707"/>
      <c r="CA251" s="1707"/>
      <c r="CB251" s="1707"/>
      <c r="CC251" s="1706"/>
      <c r="CD251" s="1707"/>
      <c r="CE251" s="1707"/>
      <c r="CF251" s="1707"/>
      <c r="CG251" s="1791"/>
      <c r="CH251" s="1706">
        <v>60</v>
      </c>
      <c r="CI251" s="1707"/>
      <c r="CJ251" s="1707"/>
      <c r="CK251" s="1707"/>
      <c r="CL251" s="1792"/>
      <c r="CM251" s="1792"/>
      <c r="CN251" s="1792"/>
      <c r="CO251" s="1792"/>
      <c r="CP251" s="1792"/>
      <c r="CQ251" s="1792"/>
      <c r="CR251" s="1792"/>
      <c r="CS251" s="1792"/>
      <c r="CT251" s="1792"/>
      <c r="CU251" s="1792"/>
      <c r="CV251" s="1792"/>
      <c r="CW251" s="1792"/>
      <c r="CY251" s="1792"/>
    </row>
    <row r="252" spans="1:103" s="1793" customFormat="1" ht="14" x14ac:dyDescent="0.15">
      <c r="A252" s="1541" t="s">
        <v>97</v>
      </c>
      <c r="B252" s="1522" t="s">
        <v>79</v>
      </c>
      <c r="C252" s="1522" t="s">
        <v>80</v>
      </c>
      <c r="D252" s="1522" t="s">
        <v>110</v>
      </c>
      <c r="E252" s="1523" t="s">
        <v>1258</v>
      </c>
      <c r="F252" s="1523" t="s">
        <v>1247</v>
      </c>
      <c r="G252" s="1523">
        <v>340</v>
      </c>
      <c r="H252" s="1738">
        <f>219-60</f>
        <v>159</v>
      </c>
      <c r="I252" s="1707"/>
      <c r="J252" s="1707"/>
      <c r="K252" s="1707"/>
      <c r="L252" s="1786"/>
      <c r="M252" s="1786"/>
      <c r="N252" s="1786"/>
      <c r="O252" s="1786"/>
      <c r="P252" s="1786"/>
      <c r="Q252" s="1786"/>
      <c r="R252" s="1786"/>
      <c r="S252" s="1786"/>
      <c r="T252" s="1787"/>
      <c r="U252" s="1788"/>
      <c r="V252" s="1788"/>
      <c r="W252" s="1789"/>
      <c r="X252" s="1789"/>
      <c r="Y252" s="1789"/>
      <c r="Z252" s="1790"/>
      <c r="AA252" s="1789"/>
      <c r="AB252" s="1789"/>
      <c r="AC252" s="1798">
        <f t="shared" si="177"/>
        <v>159</v>
      </c>
      <c r="AD252" s="1799">
        <f>AE252+AF252+AG252</f>
        <v>0</v>
      </c>
      <c r="AE252" s="1799">
        <f t="shared" si="179"/>
        <v>0</v>
      </c>
      <c r="AF252" s="1799">
        <f t="shared" si="179"/>
        <v>0</v>
      </c>
      <c r="AG252" s="1799">
        <f t="shared" si="179"/>
        <v>0</v>
      </c>
      <c r="AH252" s="1490">
        <f t="shared" si="175"/>
        <v>0</v>
      </c>
      <c r="AI252" s="1798">
        <f t="shared" si="180"/>
        <v>0</v>
      </c>
      <c r="AJ252" s="1798">
        <f>AK252+AL252+AM252</f>
        <v>0</v>
      </c>
      <c r="AK252" s="1798">
        <f t="shared" si="182"/>
        <v>0</v>
      </c>
      <c r="AL252" s="1636">
        <f t="shared" si="182"/>
        <v>0</v>
      </c>
      <c r="AM252" s="1800"/>
      <c r="AN252" s="1706"/>
      <c r="AO252" s="1738">
        <v>54.75</v>
      </c>
      <c r="AP252" s="1707"/>
      <c r="AQ252" s="1707"/>
      <c r="AR252" s="1707"/>
      <c r="AS252" s="1790"/>
      <c r="AT252" s="1707"/>
      <c r="AU252" s="1707"/>
      <c r="AV252" s="1707"/>
      <c r="AW252" s="1790"/>
      <c r="AX252" s="1707"/>
      <c r="AY252" s="1707"/>
      <c r="AZ252" s="1707"/>
      <c r="BA252" s="1746">
        <v>54.75</v>
      </c>
      <c r="BB252" s="1707"/>
      <c r="BC252" s="1707"/>
      <c r="BD252" s="1707"/>
      <c r="BE252" s="1717"/>
      <c r="BF252" s="1707"/>
      <c r="BG252" s="1707"/>
      <c r="BH252" s="1707"/>
      <c r="BI252" s="1706"/>
      <c r="BJ252" s="1707"/>
      <c r="BK252" s="1707"/>
      <c r="BL252" s="1707"/>
      <c r="BM252" s="1746">
        <v>54.75</v>
      </c>
      <c r="BN252" s="1707"/>
      <c r="BO252" s="1707"/>
      <c r="BP252" s="1707"/>
      <c r="BQ252" s="1706"/>
      <c r="BR252" s="1707"/>
      <c r="BS252" s="1707"/>
      <c r="BT252" s="1707"/>
      <c r="BU252" s="1706"/>
      <c r="BV252" s="1707"/>
      <c r="BW252" s="1707"/>
      <c r="BX252" s="1707"/>
      <c r="BY252" s="1801">
        <v>54.75</v>
      </c>
      <c r="BZ252" s="1707"/>
      <c r="CA252" s="1707"/>
      <c r="CB252" s="1707"/>
      <c r="CC252" s="1706"/>
      <c r="CD252" s="1707"/>
      <c r="CE252" s="1707"/>
      <c r="CF252" s="1707"/>
      <c r="CG252" s="1791"/>
      <c r="CH252" s="1706">
        <v>-60</v>
      </c>
      <c r="CI252" s="1707"/>
      <c r="CJ252" s="1707"/>
      <c r="CK252" s="1707"/>
      <c r="CL252" s="1792"/>
      <c r="CM252" s="1792"/>
      <c r="CN252" s="1792"/>
      <c r="CO252" s="1792"/>
      <c r="CP252" s="1792"/>
      <c r="CQ252" s="1792"/>
      <c r="CR252" s="1792"/>
      <c r="CS252" s="1792"/>
      <c r="CT252" s="1792"/>
      <c r="CU252" s="1792"/>
      <c r="CV252" s="1792"/>
      <c r="CW252" s="1792"/>
      <c r="CY252" s="1792"/>
    </row>
    <row r="253" spans="1:103" s="1808" customFormat="1" ht="14.5" customHeight="1" x14ac:dyDescent="0.15">
      <c r="A253" s="1802" t="s">
        <v>970</v>
      </c>
      <c r="B253" s="1803" t="s">
        <v>79</v>
      </c>
      <c r="C253" s="1803" t="s">
        <v>80</v>
      </c>
      <c r="D253" s="1803" t="s">
        <v>125</v>
      </c>
      <c r="E253" s="1470" t="s">
        <v>1257</v>
      </c>
      <c r="F253" s="1470" t="s">
        <v>1264</v>
      </c>
      <c r="G253" s="1542"/>
      <c r="H253" s="1707">
        <f>H254+H255+H256+H257+H258+H259+H260+H261</f>
        <v>4087.5000000000005</v>
      </c>
      <c r="I253" s="1707">
        <f t="shared" ref="I253:CK253" si="183">I254+I255+I256+I257+I258+I259+I260+I261</f>
        <v>0</v>
      </c>
      <c r="J253" s="1707">
        <f t="shared" si="183"/>
        <v>0</v>
      </c>
      <c r="K253" s="1707">
        <f t="shared" si="183"/>
        <v>0</v>
      </c>
      <c r="L253" s="1786"/>
      <c r="M253" s="1786"/>
      <c r="N253" s="1786"/>
      <c r="O253" s="1786"/>
      <c r="P253" s="1786"/>
      <c r="Q253" s="1786"/>
      <c r="R253" s="1786"/>
      <c r="S253" s="1786"/>
      <c r="T253" s="1787"/>
      <c r="U253" s="1788"/>
      <c r="V253" s="1788"/>
      <c r="W253" s="1789"/>
      <c r="X253" s="1789"/>
      <c r="Y253" s="1789"/>
      <c r="Z253" s="1790"/>
      <c r="AA253" s="1789"/>
      <c r="AB253" s="1789"/>
      <c r="AC253" s="1804">
        <f t="shared" ref="AC253:AI253" si="184">SUM(AC243:AC252)</f>
        <v>4087.5</v>
      </c>
      <c r="AD253" s="1804">
        <f t="shared" si="184"/>
        <v>0</v>
      </c>
      <c r="AE253" s="1804">
        <f t="shared" si="184"/>
        <v>0</v>
      </c>
      <c r="AF253" s="1804">
        <f t="shared" si="184"/>
        <v>0</v>
      </c>
      <c r="AG253" s="1804">
        <f t="shared" si="184"/>
        <v>0</v>
      </c>
      <c r="AH253" s="1490">
        <f t="shared" si="175"/>
        <v>0</v>
      </c>
      <c r="AI253" s="1804">
        <f t="shared" si="184"/>
        <v>0</v>
      </c>
      <c r="AJ253" s="1804">
        <f t="shared" si="183"/>
        <v>0</v>
      </c>
      <c r="AK253" s="1804">
        <f t="shared" si="183"/>
        <v>0</v>
      </c>
      <c r="AL253" s="1636">
        <f t="shared" si="182"/>
        <v>0</v>
      </c>
      <c r="AM253" s="1804">
        <f t="shared" si="183"/>
        <v>0</v>
      </c>
      <c r="AN253" s="1706"/>
      <c r="AO253" s="1804">
        <f t="shared" si="183"/>
        <v>0</v>
      </c>
      <c r="AP253" s="1804">
        <f t="shared" si="183"/>
        <v>0</v>
      </c>
      <c r="AQ253" s="1804">
        <f t="shared" si="183"/>
        <v>0</v>
      </c>
      <c r="AR253" s="1804">
        <f t="shared" si="183"/>
        <v>0</v>
      </c>
      <c r="AS253" s="1790">
        <f t="shared" si="183"/>
        <v>0</v>
      </c>
      <c r="AT253" s="1804">
        <f t="shared" si="183"/>
        <v>0</v>
      </c>
      <c r="AU253" s="1804">
        <f t="shared" si="183"/>
        <v>0</v>
      </c>
      <c r="AV253" s="1804">
        <f t="shared" si="183"/>
        <v>0</v>
      </c>
      <c r="AW253" s="1790">
        <f t="shared" si="183"/>
        <v>0</v>
      </c>
      <c r="AX253" s="1804">
        <f t="shared" si="183"/>
        <v>0</v>
      </c>
      <c r="AY253" s="1804">
        <f t="shared" si="183"/>
        <v>0</v>
      </c>
      <c r="AZ253" s="1804">
        <f t="shared" si="183"/>
        <v>0</v>
      </c>
      <c r="BA253" s="1706">
        <f t="shared" si="183"/>
        <v>0</v>
      </c>
      <c r="BB253" s="1804">
        <f t="shared" si="183"/>
        <v>0</v>
      </c>
      <c r="BC253" s="1804">
        <f t="shared" si="183"/>
        <v>0</v>
      </c>
      <c r="BD253" s="1804">
        <f t="shared" si="183"/>
        <v>0</v>
      </c>
      <c r="BE253" s="1717">
        <f t="shared" si="183"/>
        <v>0</v>
      </c>
      <c r="BF253" s="1804">
        <f t="shared" si="183"/>
        <v>0</v>
      </c>
      <c r="BG253" s="1804">
        <f t="shared" si="183"/>
        <v>0</v>
      </c>
      <c r="BH253" s="1804">
        <f t="shared" si="183"/>
        <v>0</v>
      </c>
      <c r="BI253" s="1706">
        <f t="shared" si="183"/>
        <v>0</v>
      </c>
      <c r="BJ253" s="1804">
        <f t="shared" si="183"/>
        <v>0</v>
      </c>
      <c r="BK253" s="1804">
        <f t="shared" si="183"/>
        <v>0</v>
      </c>
      <c r="BL253" s="1804">
        <f t="shared" si="183"/>
        <v>0</v>
      </c>
      <c r="BM253" s="1706">
        <f t="shared" si="183"/>
        <v>0</v>
      </c>
      <c r="BN253" s="1804">
        <f t="shared" si="183"/>
        <v>0</v>
      </c>
      <c r="BO253" s="1804">
        <f t="shared" si="183"/>
        <v>0</v>
      </c>
      <c r="BP253" s="1804">
        <f t="shared" si="183"/>
        <v>0</v>
      </c>
      <c r="BQ253" s="1706">
        <f t="shared" si="183"/>
        <v>0</v>
      </c>
      <c r="BR253" s="1804">
        <f t="shared" si="183"/>
        <v>0</v>
      </c>
      <c r="BS253" s="1804">
        <f t="shared" si="183"/>
        <v>0</v>
      </c>
      <c r="BT253" s="1804">
        <f t="shared" si="183"/>
        <v>0</v>
      </c>
      <c r="BU253" s="1706">
        <f t="shared" si="183"/>
        <v>0</v>
      </c>
      <c r="BV253" s="1804">
        <f t="shared" si="183"/>
        <v>0</v>
      </c>
      <c r="BW253" s="1804">
        <f t="shared" si="183"/>
        <v>0</v>
      </c>
      <c r="BX253" s="1804">
        <f t="shared" si="183"/>
        <v>0</v>
      </c>
      <c r="BY253" s="1805">
        <f t="shared" si="183"/>
        <v>0</v>
      </c>
      <c r="BZ253" s="1804">
        <f t="shared" si="183"/>
        <v>0</v>
      </c>
      <c r="CA253" s="1804">
        <f t="shared" si="183"/>
        <v>0</v>
      </c>
      <c r="CB253" s="1804">
        <f t="shared" si="183"/>
        <v>0</v>
      </c>
      <c r="CC253" s="1706">
        <f t="shared" si="183"/>
        <v>0</v>
      </c>
      <c r="CD253" s="1804">
        <f t="shared" si="183"/>
        <v>0</v>
      </c>
      <c r="CE253" s="1804">
        <f t="shared" si="183"/>
        <v>0</v>
      </c>
      <c r="CF253" s="1804">
        <f t="shared" si="183"/>
        <v>0</v>
      </c>
      <c r="CG253" s="1806"/>
      <c r="CH253" s="1706">
        <f t="shared" si="183"/>
        <v>0</v>
      </c>
      <c r="CI253" s="1804">
        <f t="shared" si="183"/>
        <v>0</v>
      </c>
      <c r="CJ253" s="1804">
        <f t="shared" si="183"/>
        <v>0</v>
      </c>
      <c r="CK253" s="1804">
        <f t="shared" si="183"/>
        <v>0</v>
      </c>
      <c r="CL253" s="1807"/>
      <c r="CM253" s="1807"/>
      <c r="CN253" s="1807"/>
      <c r="CO253" s="1807"/>
      <c r="CP253" s="1807"/>
      <c r="CQ253" s="1807"/>
      <c r="CR253" s="1807"/>
      <c r="CS253" s="1807"/>
      <c r="CT253" s="1807"/>
      <c r="CU253" s="1807"/>
      <c r="CV253" s="1807"/>
      <c r="CW253" s="1807"/>
      <c r="CY253" s="1807"/>
    </row>
    <row r="254" spans="1:103" s="1820" customFormat="1" ht="14.5" customHeight="1" x14ac:dyDescent="0.15">
      <c r="A254" s="1541" t="s">
        <v>124</v>
      </c>
      <c r="B254" s="1522" t="s">
        <v>79</v>
      </c>
      <c r="C254" s="1522" t="s">
        <v>80</v>
      </c>
      <c r="D254" s="1522" t="s">
        <v>125</v>
      </c>
      <c r="E254" s="1523" t="s">
        <v>1257</v>
      </c>
      <c r="F254" s="1523" t="s">
        <v>1264</v>
      </c>
      <c r="G254" s="1667">
        <v>211</v>
      </c>
      <c r="H254" s="1548">
        <v>2354.8000000000002</v>
      </c>
      <c r="I254" s="1809"/>
      <c r="J254" s="1809"/>
      <c r="K254" s="1809"/>
      <c r="L254" s="1810"/>
      <c r="M254" s="1810"/>
      <c r="N254" s="1810"/>
      <c r="O254" s="1810"/>
      <c r="P254" s="1810"/>
      <c r="Q254" s="1810"/>
      <c r="R254" s="1810"/>
      <c r="S254" s="1810"/>
      <c r="T254" s="1811"/>
      <c r="U254" s="1812"/>
      <c r="V254" s="1812"/>
      <c r="W254" s="1813"/>
      <c r="X254" s="1813"/>
      <c r="Y254" s="1813"/>
      <c r="Z254" s="1814"/>
      <c r="AA254" s="1813"/>
      <c r="AB254" s="1813"/>
      <c r="AC254" s="1798">
        <f t="shared" ref="AC254:AC261" si="185">AO254+AS254+AW254+BA254+BE254+BI254+BM254+BQ254+BU254+BY254+CC254+CH254</f>
        <v>0</v>
      </c>
      <c r="AD254" s="1799">
        <f t="shared" ref="AD254:AD261" si="186">AE254+AF254+AG254</f>
        <v>0</v>
      </c>
      <c r="AE254" s="1799">
        <f t="shared" ref="AE254:AG261" si="187">AP254+AT254+AX254+BB254+BF254+BJ254+BN254+BR254+BV254+BZ254+CD254+CI254</f>
        <v>0</v>
      </c>
      <c r="AF254" s="1799">
        <f t="shared" si="187"/>
        <v>0</v>
      </c>
      <c r="AG254" s="1799">
        <f t="shared" si="187"/>
        <v>0</v>
      </c>
      <c r="AH254" s="1490">
        <f t="shared" si="175"/>
        <v>0</v>
      </c>
      <c r="AI254" s="1798">
        <f t="shared" ref="AI254:AI261" si="188">H254-AC254</f>
        <v>2354.8000000000002</v>
      </c>
      <c r="AJ254" s="1798">
        <f t="shared" ref="AJ254:AJ261" si="189">AK254+AL254+AM254</f>
        <v>0</v>
      </c>
      <c r="AK254" s="1798">
        <f t="shared" ref="AK254:AK261" si="190">I254-AE254</f>
        <v>0</v>
      </c>
      <c r="AL254" s="1636">
        <f t="shared" si="182"/>
        <v>0</v>
      </c>
      <c r="AM254" s="1798">
        <f t="shared" si="182"/>
        <v>0</v>
      </c>
      <c r="AN254" s="1815"/>
      <c r="AO254" s="1816"/>
      <c r="AP254" s="1816"/>
      <c r="AQ254" s="1816"/>
      <c r="AR254" s="1816"/>
      <c r="AS254" s="1814"/>
      <c r="AT254" s="1816"/>
      <c r="AU254" s="1816"/>
      <c r="AV254" s="1816"/>
      <c r="AW254" s="1814"/>
      <c r="AX254" s="1816"/>
      <c r="AY254" s="1816"/>
      <c r="AZ254" s="1816"/>
      <c r="BA254" s="1817"/>
      <c r="BB254" s="1816"/>
      <c r="BC254" s="1816"/>
      <c r="BD254" s="1816"/>
      <c r="BE254" s="1746"/>
      <c r="BF254" s="1816"/>
      <c r="BG254" s="1816"/>
      <c r="BH254" s="1816"/>
      <c r="BI254" s="1817"/>
      <c r="BJ254" s="1816"/>
      <c r="BK254" s="1816"/>
      <c r="BL254" s="1816"/>
      <c r="BM254" s="1817"/>
      <c r="BN254" s="1816"/>
      <c r="BO254" s="1816"/>
      <c r="BP254" s="1816"/>
      <c r="BQ254" s="1817"/>
      <c r="BR254" s="1816"/>
      <c r="BS254" s="1816"/>
      <c r="BT254" s="1816"/>
      <c r="BU254" s="1817"/>
      <c r="BV254" s="1816"/>
      <c r="BW254" s="1816"/>
      <c r="BX254" s="1816"/>
      <c r="BY254" s="1817"/>
      <c r="BZ254" s="1816"/>
      <c r="CA254" s="1816"/>
      <c r="CB254" s="1816"/>
      <c r="CC254" s="1817"/>
      <c r="CD254" s="1816"/>
      <c r="CE254" s="1816"/>
      <c r="CF254" s="1816"/>
      <c r="CG254" s="1818"/>
      <c r="CH254" s="1817"/>
      <c r="CI254" s="1816"/>
      <c r="CJ254" s="1816"/>
      <c r="CK254" s="1816"/>
      <c r="CL254" s="1819"/>
      <c r="CM254" s="1819"/>
      <c r="CN254" s="1819"/>
      <c r="CO254" s="1819"/>
      <c r="CP254" s="1819"/>
      <c r="CQ254" s="1819"/>
      <c r="CR254" s="1819"/>
      <c r="CS254" s="1819"/>
      <c r="CT254" s="1819"/>
      <c r="CU254" s="1819"/>
      <c r="CV254" s="1819"/>
      <c r="CW254" s="1819"/>
      <c r="CY254" s="1819"/>
    </row>
    <row r="255" spans="1:103" s="1820" customFormat="1" ht="14.5" customHeight="1" x14ac:dyDescent="0.15">
      <c r="A255" s="1541" t="s">
        <v>83</v>
      </c>
      <c r="B255" s="1522" t="s">
        <v>79</v>
      </c>
      <c r="C255" s="1522" t="s">
        <v>80</v>
      </c>
      <c r="D255" s="1522" t="s">
        <v>125</v>
      </c>
      <c r="E255" s="1523" t="s">
        <v>1257</v>
      </c>
      <c r="F255" s="1523" t="s">
        <v>1264</v>
      </c>
      <c r="G255" s="1667">
        <v>212</v>
      </c>
      <c r="H255" s="1548">
        <v>8</v>
      </c>
      <c r="I255" s="1809"/>
      <c r="J255" s="1809"/>
      <c r="K255" s="1809"/>
      <c r="L255" s="1810"/>
      <c r="M255" s="1810"/>
      <c r="N255" s="1810"/>
      <c r="O255" s="1810"/>
      <c r="P255" s="1810"/>
      <c r="Q255" s="1810"/>
      <c r="R255" s="1810"/>
      <c r="S255" s="1810"/>
      <c r="T255" s="1811"/>
      <c r="U255" s="1812"/>
      <c r="V255" s="1812"/>
      <c r="W255" s="1813"/>
      <c r="X255" s="1813"/>
      <c r="Y255" s="1813"/>
      <c r="Z255" s="1814"/>
      <c r="AA255" s="1813"/>
      <c r="AB255" s="1813"/>
      <c r="AC255" s="1798">
        <f t="shared" si="185"/>
        <v>0</v>
      </c>
      <c r="AD255" s="1799">
        <f t="shared" si="186"/>
        <v>0</v>
      </c>
      <c r="AE255" s="1799">
        <f t="shared" si="187"/>
        <v>0</v>
      </c>
      <c r="AF255" s="1799">
        <f t="shared" si="187"/>
        <v>0</v>
      </c>
      <c r="AG255" s="1799">
        <f t="shared" si="187"/>
        <v>0</v>
      </c>
      <c r="AH255" s="1490">
        <f t="shared" si="175"/>
        <v>0</v>
      </c>
      <c r="AI255" s="1798">
        <f t="shared" si="188"/>
        <v>8</v>
      </c>
      <c r="AJ255" s="1798">
        <f t="shared" si="189"/>
        <v>0</v>
      </c>
      <c r="AK255" s="1798">
        <f t="shared" si="190"/>
        <v>0</v>
      </c>
      <c r="AL255" s="1636">
        <f t="shared" si="182"/>
        <v>0</v>
      </c>
      <c r="AM255" s="1798">
        <f t="shared" si="182"/>
        <v>0</v>
      </c>
      <c r="AN255" s="1815"/>
      <c r="AO255" s="1816"/>
      <c r="AP255" s="1816"/>
      <c r="AQ255" s="1816"/>
      <c r="AR255" s="1816"/>
      <c r="AS255" s="1814"/>
      <c r="AT255" s="1816"/>
      <c r="AU255" s="1816"/>
      <c r="AV255" s="1816"/>
      <c r="AW255" s="1814"/>
      <c r="AX255" s="1816"/>
      <c r="AY255" s="1816"/>
      <c r="AZ255" s="1816"/>
      <c r="BA255" s="1817"/>
      <c r="BB255" s="1816"/>
      <c r="BC255" s="1816"/>
      <c r="BD255" s="1816"/>
      <c r="BE255" s="1746"/>
      <c r="BF255" s="1816"/>
      <c r="BG255" s="1816"/>
      <c r="BH255" s="1816"/>
      <c r="BI255" s="1817"/>
      <c r="BJ255" s="1816"/>
      <c r="BK255" s="1816"/>
      <c r="BL255" s="1816"/>
      <c r="BM255" s="1817"/>
      <c r="BN255" s="1816"/>
      <c r="BO255" s="1816"/>
      <c r="BP255" s="1816"/>
      <c r="BQ255" s="1817"/>
      <c r="BR255" s="1816"/>
      <c r="BS255" s="1816"/>
      <c r="BT255" s="1816"/>
      <c r="BU255" s="1817"/>
      <c r="BV255" s="1816"/>
      <c r="BW255" s="1816"/>
      <c r="BX255" s="1816"/>
      <c r="BY255" s="1817"/>
      <c r="BZ255" s="1816"/>
      <c r="CA255" s="1816"/>
      <c r="CB255" s="1816"/>
      <c r="CC255" s="1817"/>
      <c r="CD255" s="1816"/>
      <c r="CE255" s="1816"/>
      <c r="CF255" s="1816"/>
      <c r="CG255" s="1818"/>
      <c r="CH255" s="1817"/>
      <c r="CI255" s="1816"/>
      <c r="CJ255" s="1816"/>
      <c r="CK255" s="1816"/>
      <c r="CL255" s="1819"/>
      <c r="CM255" s="1819"/>
      <c r="CN255" s="1819"/>
      <c r="CO255" s="1819"/>
      <c r="CP255" s="1819"/>
      <c r="CQ255" s="1819"/>
      <c r="CR255" s="1819"/>
      <c r="CS255" s="1819"/>
      <c r="CT255" s="1819"/>
      <c r="CU255" s="1819"/>
      <c r="CV255" s="1819"/>
      <c r="CW255" s="1819"/>
      <c r="CY255" s="1819"/>
    </row>
    <row r="256" spans="1:103" s="1820" customFormat="1" ht="14.5" customHeight="1" x14ac:dyDescent="0.15">
      <c r="A256" s="1541" t="s">
        <v>84</v>
      </c>
      <c r="B256" s="1522" t="s">
        <v>79</v>
      </c>
      <c r="C256" s="1522" t="s">
        <v>80</v>
      </c>
      <c r="D256" s="1522" t="s">
        <v>125</v>
      </c>
      <c r="E256" s="1523" t="s">
        <v>1257</v>
      </c>
      <c r="F256" s="1523" t="s">
        <v>1264</v>
      </c>
      <c r="G256" s="1667">
        <v>213</v>
      </c>
      <c r="H256" s="1548">
        <v>711.1</v>
      </c>
      <c r="I256" s="1809"/>
      <c r="J256" s="1809"/>
      <c r="K256" s="1809"/>
      <c r="L256" s="1810"/>
      <c r="M256" s="1810"/>
      <c r="N256" s="1810"/>
      <c r="O256" s="1810"/>
      <c r="P256" s="1810"/>
      <c r="Q256" s="1810"/>
      <c r="R256" s="1810"/>
      <c r="S256" s="1810"/>
      <c r="T256" s="1811"/>
      <c r="U256" s="1812"/>
      <c r="V256" s="1812"/>
      <c r="W256" s="1813"/>
      <c r="X256" s="1813"/>
      <c r="Y256" s="1813"/>
      <c r="Z256" s="1814"/>
      <c r="AA256" s="1813"/>
      <c r="AB256" s="1813"/>
      <c r="AC256" s="1798">
        <f t="shared" si="185"/>
        <v>0</v>
      </c>
      <c r="AD256" s="1799">
        <f t="shared" si="186"/>
        <v>0</v>
      </c>
      <c r="AE256" s="1799">
        <f t="shared" si="187"/>
        <v>0</v>
      </c>
      <c r="AF256" s="1799">
        <f t="shared" si="187"/>
        <v>0</v>
      </c>
      <c r="AG256" s="1799">
        <f t="shared" si="187"/>
        <v>0</v>
      </c>
      <c r="AH256" s="1490">
        <f t="shared" si="175"/>
        <v>0</v>
      </c>
      <c r="AI256" s="1798">
        <f t="shared" si="188"/>
        <v>711.1</v>
      </c>
      <c r="AJ256" s="1798">
        <f t="shared" si="189"/>
        <v>0</v>
      </c>
      <c r="AK256" s="1798">
        <f t="shared" si="190"/>
        <v>0</v>
      </c>
      <c r="AL256" s="1636">
        <f t="shared" si="182"/>
        <v>0</v>
      </c>
      <c r="AM256" s="1798">
        <f t="shared" si="182"/>
        <v>0</v>
      </c>
      <c r="AN256" s="1815"/>
      <c r="AO256" s="1816"/>
      <c r="AP256" s="1816"/>
      <c r="AQ256" s="1816"/>
      <c r="AR256" s="1816"/>
      <c r="AS256" s="1814"/>
      <c r="AT256" s="1816"/>
      <c r="AU256" s="1816"/>
      <c r="AV256" s="1816"/>
      <c r="AW256" s="1814"/>
      <c r="AX256" s="1816"/>
      <c r="AY256" s="1816"/>
      <c r="AZ256" s="1816"/>
      <c r="BA256" s="1817"/>
      <c r="BB256" s="1816"/>
      <c r="BC256" s="1816"/>
      <c r="BD256" s="1816"/>
      <c r="BE256" s="1746"/>
      <c r="BF256" s="1816"/>
      <c r="BG256" s="1816"/>
      <c r="BH256" s="1816"/>
      <c r="BI256" s="1817"/>
      <c r="BJ256" s="1816"/>
      <c r="BK256" s="1816"/>
      <c r="BL256" s="1816"/>
      <c r="BM256" s="1817"/>
      <c r="BN256" s="1816"/>
      <c r="BO256" s="1816"/>
      <c r="BP256" s="1816"/>
      <c r="BQ256" s="1817"/>
      <c r="BR256" s="1816"/>
      <c r="BS256" s="1816"/>
      <c r="BT256" s="1816"/>
      <c r="BU256" s="1817"/>
      <c r="BV256" s="1816"/>
      <c r="BW256" s="1816"/>
      <c r="BX256" s="1816"/>
      <c r="BY256" s="1817"/>
      <c r="BZ256" s="1816"/>
      <c r="CA256" s="1816"/>
      <c r="CB256" s="1816"/>
      <c r="CC256" s="1817"/>
      <c r="CD256" s="1816"/>
      <c r="CE256" s="1816"/>
      <c r="CF256" s="1816"/>
      <c r="CG256" s="1818"/>
      <c r="CH256" s="1817"/>
      <c r="CI256" s="1816"/>
      <c r="CJ256" s="1816"/>
      <c r="CK256" s="1816"/>
      <c r="CL256" s="1819"/>
      <c r="CM256" s="1819"/>
      <c r="CN256" s="1819"/>
      <c r="CO256" s="1819"/>
      <c r="CP256" s="1819"/>
      <c r="CQ256" s="1819"/>
      <c r="CR256" s="1819"/>
      <c r="CS256" s="1819"/>
      <c r="CT256" s="1819"/>
      <c r="CU256" s="1819"/>
      <c r="CV256" s="1819"/>
      <c r="CW256" s="1819"/>
      <c r="CY256" s="1819"/>
    </row>
    <row r="257" spans="1:103" s="1820" customFormat="1" ht="14.5" customHeight="1" x14ac:dyDescent="0.15">
      <c r="A257" s="1541" t="s">
        <v>86</v>
      </c>
      <c r="B257" s="1522" t="s">
        <v>79</v>
      </c>
      <c r="C257" s="1522" t="s">
        <v>80</v>
      </c>
      <c r="D257" s="1522" t="s">
        <v>125</v>
      </c>
      <c r="E257" s="1523" t="s">
        <v>1257</v>
      </c>
      <c r="F257" s="1523" t="s">
        <v>1264</v>
      </c>
      <c r="G257" s="1667">
        <v>222</v>
      </c>
      <c r="H257" s="1548">
        <v>18</v>
      </c>
      <c r="I257" s="1809"/>
      <c r="J257" s="1809"/>
      <c r="K257" s="1809"/>
      <c r="L257" s="1810"/>
      <c r="M257" s="1810"/>
      <c r="N257" s="1810"/>
      <c r="O257" s="1810"/>
      <c r="P257" s="1810"/>
      <c r="Q257" s="1810"/>
      <c r="R257" s="1810"/>
      <c r="S257" s="1810"/>
      <c r="T257" s="1811"/>
      <c r="U257" s="1812"/>
      <c r="V257" s="1812"/>
      <c r="W257" s="1813"/>
      <c r="X257" s="1813"/>
      <c r="Y257" s="1813"/>
      <c r="Z257" s="1814"/>
      <c r="AA257" s="1813"/>
      <c r="AB257" s="1813"/>
      <c r="AC257" s="1798">
        <f t="shared" si="185"/>
        <v>0</v>
      </c>
      <c r="AD257" s="1799">
        <f t="shared" si="186"/>
        <v>0</v>
      </c>
      <c r="AE257" s="1799">
        <f t="shared" si="187"/>
        <v>0</v>
      </c>
      <c r="AF257" s="1799">
        <f t="shared" si="187"/>
        <v>0</v>
      </c>
      <c r="AG257" s="1799">
        <f t="shared" si="187"/>
        <v>0</v>
      </c>
      <c r="AH257" s="1490">
        <f t="shared" si="175"/>
        <v>0</v>
      </c>
      <c r="AI257" s="1798">
        <f t="shared" si="188"/>
        <v>18</v>
      </c>
      <c r="AJ257" s="1798">
        <f t="shared" si="189"/>
        <v>0</v>
      </c>
      <c r="AK257" s="1798">
        <f t="shared" si="190"/>
        <v>0</v>
      </c>
      <c r="AL257" s="1636">
        <f t="shared" si="182"/>
        <v>0</v>
      </c>
      <c r="AM257" s="1798">
        <f t="shared" si="182"/>
        <v>0</v>
      </c>
      <c r="AN257" s="1815"/>
      <c r="AO257" s="1816"/>
      <c r="AP257" s="1816"/>
      <c r="AQ257" s="1816"/>
      <c r="AR257" s="1816"/>
      <c r="AS257" s="1814"/>
      <c r="AT257" s="1816"/>
      <c r="AU257" s="1816"/>
      <c r="AV257" s="1816"/>
      <c r="AW257" s="1814"/>
      <c r="AX257" s="1816"/>
      <c r="AY257" s="1816"/>
      <c r="AZ257" s="1816"/>
      <c r="BA257" s="1817"/>
      <c r="BB257" s="1816"/>
      <c r="BC257" s="1816"/>
      <c r="BD257" s="1816"/>
      <c r="BE257" s="1746"/>
      <c r="BF257" s="1816"/>
      <c r="BG257" s="1816"/>
      <c r="BH257" s="1816"/>
      <c r="BI257" s="1817"/>
      <c r="BJ257" s="1816"/>
      <c r="BK257" s="1816"/>
      <c r="BL257" s="1816"/>
      <c r="BM257" s="1817"/>
      <c r="BN257" s="1816"/>
      <c r="BO257" s="1816"/>
      <c r="BP257" s="1816"/>
      <c r="BQ257" s="1817"/>
      <c r="BR257" s="1816"/>
      <c r="BS257" s="1816"/>
      <c r="BT257" s="1816"/>
      <c r="BU257" s="1817"/>
      <c r="BV257" s="1816"/>
      <c r="BW257" s="1816"/>
      <c r="BX257" s="1816"/>
      <c r="BY257" s="1817"/>
      <c r="BZ257" s="1816"/>
      <c r="CA257" s="1816"/>
      <c r="CB257" s="1816"/>
      <c r="CC257" s="1817"/>
      <c r="CD257" s="1816"/>
      <c r="CE257" s="1816"/>
      <c r="CF257" s="1816"/>
      <c r="CG257" s="1818"/>
      <c r="CH257" s="1817"/>
      <c r="CI257" s="1816"/>
      <c r="CJ257" s="1816"/>
      <c r="CK257" s="1816"/>
      <c r="CL257" s="1819"/>
      <c r="CM257" s="1819"/>
      <c r="CN257" s="1819"/>
      <c r="CO257" s="1819"/>
      <c r="CP257" s="1819"/>
      <c r="CQ257" s="1819"/>
      <c r="CR257" s="1819"/>
      <c r="CS257" s="1819"/>
      <c r="CT257" s="1819"/>
      <c r="CU257" s="1819"/>
      <c r="CV257" s="1819"/>
      <c r="CW257" s="1819"/>
      <c r="CY257" s="1819"/>
    </row>
    <row r="258" spans="1:103" s="1820" customFormat="1" ht="14.5" customHeight="1" x14ac:dyDescent="0.15">
      <c r="A258" s="1541" t="s">
        <v>90</v>
      </c>
      <c r="B258" s="1522" t="s">
        <v>79</v>
      </c>
      <c r="C258" s="1522" t="s">
        <v>80</v>
      </c>
      <c r="D258" s="1522" t="s">
        <v>125</v>
      </c>
      <c r="E258" s="1523" t="s">
        <v>1257</v>
      </c>
      <c r="F258" s="1523" t="s">
        <v>1264</v>
      </c>
      <c r="G258" s="1667">
        <v>225</v>
      </c>
      <c r="H258" s="1548">
        <v>50</v>
      </c>
      <c r="I258" s="1809"/>
      <c r="J258" s="1809"/>
      <c r="K258" s="1809"/>
      <c r="L258" s="1810"/>
      <c r="M258" s="1810"/>
      <c r="N258" s="1810"/>
      <c r="O258" s="1810"/>
      <c r="P258" s="1810"/>
      <c r="Q258" s="1810"/>
      <c r="R258" s="1810"/>
      <c r="S258" s="1810"/>
      <c r="T258" s="1811"/>
      <c r="U258" s="1812"/>
      <c r="V258" s="1812"/>
      <c r="W258" s="1813"/>
      <c r="X258" s="1813"/>
      <c r="Y258" s="1813"/>
      <c r="Z258" s="1814"/>
      <c r="AA258" s="1813"/>
      <c r="AB258" s="1813"/>
      <c r="AC258" s="1798">
        <f t="shared" si="185"/>
        <v>0</v>
      </c>
      <c r="AD258" s="1799">
        <f t="shared" si="186"/>
        <v>0</v>
      </c>
      <c r="AE258" s="1799">
        <f t="shared" si="187"/>
        <v>0</v>
      </c>
      <c r="AF258" s="1799">
        <f t="shared" si="187"/>
        <v>0</v>
      </c>
      <c r="AG258" s="1799">
        <f t="shared" si="187"/>
        <v>0</v>
      </c>
      <c r="AH258" s="1490">
        <f t="shared" si="175"/>
        <v>0</v>
      </c>
      <c r="AI258" s="1798">
        <f t="shared" si="188"/>
        <v>50</v>
      </c>
      <c r="AJ258" s="1798">
        <f t="shared" si="189"/>
        <v>0</v>
      </c>
      <c r="AK258" s="1798">
        <f t="shared" si="190"/>
        <v>0</v>
      </c>
      <c r="AL258" s="1636">
        <f t="shared" si="182"/>
        <v>0</v>
      </c>
      <c r="AM258" s="1798">
        <f t="shared" si="182"/>
        <v>0</v>
      </c>
      <c r="AN258" s="1815"/>
      <c r="AO258" s="1816"/>
      <c r="AP258" s="1816"/>
      <c r="AQ258" s="1816"/>
      <c r="AR258" s="1816"/>
      <c r="AS258" s="1814"/>
      <c r="AT258" s="1816"/>
      <c r="AU258" s="1816"/>
      <c r="AV258" s="1816"/>
      <c r="AW258" s="1814"/>
      <c r="AX258" s="1816"/>
      <c r="AY258" s="1816"/>
      <c r="AZ258" s="1816"/>
      <c r="BA258" s="1817"/>
      <c r="BB258" s="1816"/>
      <c r="BC258" s="1816"/>
      <c r="BD258" s="1816"/>
      <c r="BE258" s="1746"/>
      <c r="BF258" s="1816"/>
      <c r="BG258" s="1816"/>
      <c r="BH258" s="1816"/>
      <c r="BI258" s="1817"/>
      <c r="BJ258" s="1816"/>
      <c r="BK258" s="1816"/>
      <c r="BL258" s="1816"/>
      <c r="BM258" s="1817"/>
      <c r="BN258" s="1816"/>
      <c r="BO258" s="1816"/>
      <c r="BP258" s="1816"/>
      <c r="BQ258" s="1817"/>
      <c r="BR258" s="1816"/>
      <c r="BS258" s="1816"/>
      <c r="BT258" s="1816"/>
      <c r="BU258" s="1817"/>
      <c r="BV258" s="1816"/>
      <c r="BW258" s="1816"/>
      <c r="BX258" s="1816"/>
      <c r="BY258" s="1817"/>
      <c r="BZ258" s="1816"/>
      <c r="CA258" s="1816"/>
      <c r="CB258" s="1816"/>
      <c r="CC258" s="1817"/>
      <c r="CD258" s="1816"/>
      <c r="CE258" s="1816"/>
      <c r="CF258" s="1816"/>
      <c r="CG258" s="1818"/>
      <c r="CH258" s="1817"/>
      <c r="CI258" s="1816"/>
      <c r="CJ258" s="1816"/>
      <c r="CK258" s="1816"/>
      <c r="CL258" s="1819"/>
      <c r="CM258" s="1819"/>
      <c r="CN258" s="1819"/>
      <c r="CO258" s="1819"/>
      <c r="CP258" s="1819"/>
      <c r="CQ258" s="1819"/>
      <c r="CR258" s="1819"/>
      <c r="CS258" s="1819"/>
      <c r="CT258" s="1819"/>
      <c r="CU258" s="1819"/>
      <c r="CV258" s="1819"/>
      <c r="CW258" s="1819"/>
      <c r="CY258" s="1819"/>
    </row>
    <row r="259" spans="1:103" s="1820" customFormat="1" ht="14.5" customHeight="1" x14ac:dyDescent="0.15">
      <c r="A259" s="1541" t="s">
        <v>91</v>
      </c>
      <c r="B259" s="1522" t="s">
        <v>79</v>
      </c>
      <c r="C259" s="1522" t="s">
        <v>80</v>
      </c>
      <c r="D259" s="1522" t="s">
        <v>125</v>
      </c>
      <c r="E259" s="1523" t="s">
        <v>1257</v>
      </c>
      <c r="F259" s="1523" t="s">
        <v>1264</v>
      </c>
      <c r="G259" s="1667">
        <v>226</v>
      </c>
      <c r="H259" s="1548">
        <v>604.70000000000005</v>
      </c>
      <c r="I259" s="1809"/>
      <c r="J259" s="1809"/>
      <c r="K259" s="1809"/>
      <c r="L259" s="1810"/>
      <c r="M259" s="1810"/>
      <c r="N259" s="1810"/>
      <c r="O259" s="1810"/>
      <c r="P259" s="1810"/>
      <c r="Q259" s="1810"/>
      <c r="R259" s="1810"/>
      <c r="S259" s="1810"/>
      <c r="T259" s="1811"/>
      <c r="U259" s="1812"/>
      <c r="V259" s="1812"/>
      <c r="W259" s="1813"/>
      <c r="X259" s="1813"/>
      <c r="Y259" s="1813"/>
      <c r="Z259" s="1814"/>
      <c r="AA259" s="1813"/>
      <c r="AB259" s="1813"/>
      <c r="AC259" s="1798">
        <f t="shared" si="185"/>
        <v>0</v>
      </c>
      <c r="AD259" s="1799">
        <f t="shared" si="186"/>
        <v>0</v>
      </c>
      <c r="AE259" s="1799">
        <f t="shared" si="187"/>
        <v>0</v>
      </c>
      <c r="AF259" s="1799">
        <f t="shared" si="187"/>
        <v>0</v>
      </c>
      <c r="AG259" s="1799">
        <f t="shared" si="187"/>
        <v>0</v>
      </c>
      <c r="AH259" s="1490">
        <f t="shared" si="175"/>
        <v>0</v>
      </c>
      <c r="AI259" s="1798">
        <f t="shared" si="188"/>
        <v>604.70000000000005</v>
      </c>
      <c r="AJ259" s="1798">
        <f t="shared" si="189"/>
        <v>0</v>
      </c>
      <c r="AK259" s="1798">
        <f t="shared" si="190"/>
        <v>0</v>
      </c>
      <c r="AL259" s="1636">
        <f t="shared" si="182"/>
        <v>0</v>
      </c>
      <c r="AM259" s="1798">
        <f t="shared" si="182"/>
        <v>0</v>
      </c>
      <c r="AN259" s="1815"/>
      <c r="AO259" s="1816"/>
      <c r="AP259" s="1816"/>
      <c r="AQ259" s="1816"/>
      <c r="AR259" s="1816"/>
      <c r="AS259" s="1814"/>
      <c r="AT259" s="1816"/>
      <c r="AU259" s="1816"/>
      <c r="AV259" s="1816"/>
      <c r="AW259" s="1814"/>
      <c r="AX259" s="1816"/>
      <c r="AY259" s="1816"/>
      <c r="AZ259" s="1816"/>
      <c r="BA259" s="1817"/>
      <c r="BB259" s="1816"/>
      <c r="BC259" s="1816"/>
      <c r="BD259" s="1816"/>
      <c r="BE259" s="1746"/>
      <c r="BF259" s="1816"/>
      <c r="BG259" s="1816"/>
      <c r="BH259" s="1816"/>
      <c r="BI259" s="1817"/>
      <c r="BJ259" s="1816"/>
      <c r="BK259" s="1816"/>
      <c r="BL259" s="1816"/>
      <c r="BM259" s="1817"/>
      <c r="BN259" s="1816"/>
      <c r="BO259" s="1816"/>
      <c r="BP259" s="1816"/>
      <c r="BQ259" s="1817"/>
      <c r="BR259" s="1816"/>
      <c r="BS259" s="1816"/>
      <c r="BT259" s="1816"/>
      <c r="BU259" s="1817"/>
      <c r="BV259" s="1816"/>
      <c r="BW259" s="1816"/>
      <c r="BX259" s="1816"/>
      <c r="BY259" s="1817"/>
      <c r="BZ259" s="1816"/>
      <c r="CA259" s="1816"/>
      <c r="CB259" s="1816"/>
      <c r="CC259" s="1817"/>
      <c r="CD259" s="1816"/>
      <c r="CE259" s="1816"/>
      <c r="CF259" s="1816"/>
      <c r="CG259" s="1818"/>
      <c r="CH259" s="1817"/>
      <c r="CI259" s="1816"/>
      <c r="CJ259" s="1816"/>
      <c r="CK259" s="1816"/>
      <c r="CL259" s="1819"/>
      <c r="CM259" s="1819"/>
      <c r="CN259" s="1819"/>
      <c r="CO259" s="1819"/>
      <c r="CP259" s="1819"/>
      <c r="CQ259" s="1819"/>
      <c r="CR259" s="1819"/>
      <c r="CS259" s="1819"/>
      <c r="CT259" s="1819"/>
      <c r="CU259" s="1819"/>
      <c r="CV259" s="1819"/>
      <c r="CW259" s="1819"/>
      <c r="CY259" s="1819"/>
    </row>
    <row r="260" spans="1:103" s="1820" customFormat="1" ht="14.5" customHeight="1" x14ac:dyDescent="0.15">
      <c r="A260" s="1541" t="s">
        <v>96</v>
      </c>
      <c r="B260" s="1522" t="s">
        <v>79</v>
      </c>
      <c r="C260" s="1522" t="s">
        <v>80</v>
      </c>
      <c r="D260" s="1522" t="s">
        <v>125</v>
      </c>
      <c r="E260" s="1523" t="s">
        <v>1257</v>
      </c>
      <c r="F260" s="1523" t="s">
        <v>1264</v>
      </c>
      <c r="G260" s="1667">
        <v>310</v>
      </c>
      <c r="H260" s="1548">
        <v>121.9</v>
      </c>
      <c r="I260" s="1809"/>
      <c r="J260" s="1809"/>
      <c r="K260" s="1809"/>
      <c r="L260" s="1810"/>
      <c r="M260" s="1810"/>
      <c r="N260" s="1810"/>
      <c r="O260" s="1810"/>
      <c r="P260" s="1810"/>
      <c r="Q260" s="1810"/>
      <c r="R260" s="1810"/>
      <c r="S260" s="1810"/>
      <c r="T260" s="1811"/>
      <c r="U260" s="1812"/>
      <c r="V260" s="1812"/>
      <c r="W260" s="1813"/>
      <c r="X260" s="1813"/>
      <c r="Y260" s="1813"/>
      <c r="Z260" s="1814"/>
      <c r="AA260" s="1813"/>
      <c r="AB260" s="1813"/>
      <c r="AC260" s="1798">
        <f t="shared" si="185"/>
        <v>0</v>
      </c>
      <c r="AD260" s="1799">
        <f t="shared" si="186"/>
        <v>0</v>
      </c>
      <c r="AE260" s="1799">
        <f t="shared" si="187"/>
        <v>0</v>
      </c>
      <c r="AF260" s="1799">
        <f t="shared" si="187"/>
        <v>0</v>
      </c>
      <c r="AG260" s="1799">
        <f t="shared" si="187"/>
        <v>0</v>
      </c>
      <c r="AH260" s="1490">
        <f t="shared" si="175"/>
        <v>0</v>
      </c>
      <c r="AI260" s="1798">
        <f t="shared" si="188"/>
        <v>121.9</v>
      </c>
      <c r="AJ260" s="1798">
        <f t="shared" si="189"/>
        <v>0</v>
      </c>
      <c r="AK260" s="1798">
        <f t="shared" si="190"/>
        <v>0</v>
      </c>
      <c r="AL260" s="1636">
        <f t="shared" si="182"/>
        <v>0</v>
      </c>
      <c r="AM260" s="1798">
        <f t="shared" si="182"/>
        <v>0</v>
      </c>
      <c r="AN260" s="1815"/>
      <c r="AO260" s="1816"/>
      <c r="AP260" s="1816"/>
      <c r="AQ260" s="1816"/>
      <c r="AR260" s="1816"/>
      <c r="AS260" s="1814"/>
      <c r="AT260" s="1816"/>
      <c r="AU260" s="1816"/>
      <c r="AV260" s="1816"/>
      <c r="AW260" s="1814"/>
      <c r="AX260" s="1816"/>
      <c r="AY260" s="1816"/>
      <c r="AZ260" s="1816"/>
      <c r="BA260" s="1817"/>
      <c r="BB260" s="1816"/>
      <c r="BC260" s="1816"/>
      <c r="BD260" s="1816"/>
      <c r="BE260" s="1746"/>
      <c r="BF260" s="1816"/>
      <c r="BG260" s="1816"/>
      <c r="BH260" s="1816"/>
      <c r="BI260" s="1817"/>
      <c r="BJ260" s="1816"/>
      <c r="BK260" s="1816"/>
      <c r="BL260" s="1816"/>
      <c r="BM260" s="1817"/>
      <c r="BN260" s="1816"/>
      <c r="BO260" s="1816"/>
      <c r="BP260" s="1816"/>
      <c r="BQ260" s="1817"/>
      <c r="BR260" s="1816"/>
      <c r="BS260" s="1816"/>
      <c r="BT260" s="1816"/>
      <c r="BU260" s="1817"/>
      <c r="BV260" s="1816"/>
      <c r="BW260" s="1816"/>
      <c r="BX260" s="1816"/>
      <c r="BY260" s="1817"/>
      <c r="BZ260" s="1816"/>
      <c r="CA260" s="1816"/>
      <c r="CB260" s="1816"/>
      <c r="CC260" s="1817"/>
      <c r="CD260" s="1816"/>
      <c r="CE260" s="1816"/>
      <c r="CF260" s="1816"/>
      <c r="CG260" s="1818"/>
      <c r="CH260" s="1817"/>
      <c r="CI260" s="1816"/>
      <c r="CJ260" s="1816"/>
      <c r="CK260" s="1816"/>
      <c r="CL260" s="1819"/>
      <c r="CM260" s="1819"/>
      <c r="CN260" s="1819"/>
      <c r="CO260" s="1819"/>
      <c r="CP260" s="1819"/>
      <c r="CQ260" s="1819"/>
      <c r="CR260" s="1819"/>
      <c r="CS260" s="1819"/>
      <c r="CT260" s="1819"/>
      <c r="CU260" s="1819"/>
      <c r="CV260" s="1819"/>
      <c r="CW260" s="1819"/>
      <c r="CY260" s="1819"/>
    </row>
    <row r="261" spans="1:103" s="1820" customFormat="1" ht="14.5" customHeight="1" x14ac:dyDescent="0.15">
      <c r="A261" s="1541" t="s">
        <v>97</v>
      </c>
      <c r="B261" s="1522" t="s">
        <v>79</v>
      </c>
      <c r="C261" s="1522" t="s">
        <v>80</v>
      </c>
      <c r="D261" s="1522" t="s">
        <v>125</v>
      </c>
      <c r="E261" s="1523" t="s">
        <v>1257</v>
      </c>
      <c r="F261" s="1523" t="s">
        <v>1264</v>
      </c>
      <c r="G261" s="1667">
        <v>340</v>
      </c>
      <c r="H261" s="1548">
        <v>219</v>
      </c>
      <c r="I261" s="1809"/>
      <c r="J261" s="1809"/>
      <c r="K261" s="1809"/>
      <c r="L261" s="1810"/>
      <c r="M261" s="1810"/>
      <c r="N261" s="1810"/>
      <c r="O261" s="1810"/>
      <c r="P261" s="1810"/>
      <c r="Q261" s="1810"/>
      <c r="R261" s="1810"/>
      <c r="S261" s="1810"/>
      <c r="T261" s="1811"/>
      <c r="U261" s="1812"/>
      <c r="V261" s="1812"/>
      <c r="W261" s="1813"/>
      <c r="X261" s="1813"/>
      <c r="Y261" s="1813"/>
      <c r="Z261" s="1814"/>
      <c r="AA261" s="1813"/>
      <c r="AB261" s="1813"/>
      <c r="AC261" s="1798">
        <f t="shared" si="185"/>
        <v>0</v>
      </c>
      <c r="AD261" s="1799">
        <f t="shared" si="186"/>
        <v>0</v>
      </c>
      <c r="AE261" s="1799">
        <f t="shared" si="187"/>
        <v>0</v>
      </c>
      <c r="AF261" s="1799">
        <f t="shared" si="187"/>
        <v>0</v>
      </c>
      <c r="AG261" s="1799">
        <f t="shared" si="187"/>
        <v>0</v>
      </c>
      <c r="AH261" s="1490">
        <f t="shared" si="175"/>
        <v>0</v>
      </c>
      <c r="AI261" s="1798">
        <f t="shared" si="188"/>
        <v>219</v>
      </c>
      <c r="AJ261" s="1798">
        <f t="shared" si="189"/>
        <v>0</v>
      </c>
      <c r="AK261" s="1798">
        <f t="shared" si="190"/>
        <v>0</v>
      </c>
      <c r="AL261" s="1636">
        <f t="shared" si="182"/>
        <v>0</v>
      </c>
      <c r="AM261" s="1798">
        <f t="shared" si="182"/>
        <v>0</v>
      </c>
      <c r="AN261" s="1815"/>
      <c r="AO261" s="1816"/>
      <c r="AP261" s="1816"/>
      <c r="AQ261" s="1816"/>
      <c r="AR261" s="1816"/>
      <c r="AS261" s="1814"/>
      <c r="AT261" s="1816"/>
      <c r="AU261" s="1816"/>
      <c r="AV261" s="1816"/>
      <c r="AW261" s="1814"/>
      <c r="AX261" s="1816"/>
      <c r="AY261" s="1816"/>
      <c r="AZ261" s="1816"/>
      <c r="BA261" s="1817"/>
      <c r="BB261" s="1816"/>
      <c r="BC261" s="1816"/>
      <c r="BD261" s="1816"/>
      <c r="BE261" s="1746"/>
      <c r="BF261" s="1816"/>
      <c r="BG261" s="1816"/>
      <c r="BH261" s="1816"/>
      <c r="BI261" s="1817"/>
      <c r="BJ261" s="1816"/>
      <c r="BK261" s="1816"/>
      <c r="BL261" s="1816"/>
      <c r="BM261" s="1817"/>
      <c r="BN261" s="1816"/>
      <c r="BO261" s="1816"/>
      <c r="BP261" s="1816"/>
      <c r="BQ261" s="1817"/>
      <c r="BR261" s="1816"/>
      <c r="BS261" s="1816"/>
      <c r="BT261" s="1816"/>
      <c r="BU261" s="1817"/>
      <c r="BV261" s="1816"/>
      <c r="BW261" s="1816"/>
      <c r="BX261" s="1816"/>
      <c r="BY261" s="1817"/>
      <c r="BZ261" s="1816"/>
      <c r="CA261" s="1816"/>
      <c r="CB261" s="1816"/>
      <c r="CC261" s="1817"/>
      <c r="CD261" s="1816"/>
      <c r="CE261" s="1816"/>
      <c r="CF261" s="1816"/>
      <c r="CG261" s="1818"/>
      <c r="CH261" s="1817"/>
      <c r="CI261" s="1816"/>
      <c r="CJ261" s="1816"/>
      <c r="CK261" s="1816"/>
      <c r="CL261" s="1819"/>
      <c r="CM261" s="1819"/>
      <c r="CN261" s="1819"/>
      <c r="CO261" s="1819"/>
      <c r="CP261" s="1819"/>
      <c r="CQ261" s="1819"/>
      <c r="CR261" s="1819"/>
      <c r="CS261" s="1819"/>
      <c r="CT261" s="1819"/>
      <c r="CU261" s="1819"/>
      <c r="CV261" s="1819"/>
      <c r="CW261" s="1819"/>
      <c r="CY261" s="1819"/>
    </row>
    <row r="262" spans="1:103" s="1559" customFormat="1" ht="39" x14ac:dyDescent="0.15">
      <c r="A262" s="1528" t="s">
        <v>1265</v>
      </c>
      <c r="B262" s="1803" t="s">
        <v>79</v>
      </c>
      <c r="C262" s="1803" t="s">
        <v>80</v>
      </c>
      <c r="D262" s="1803" t="s">
        <v>125</v>
      </c>
      <c r="E262" s="1803" t="s">
        <v>231</v>
      </c>
      <c r="F262" s="1530"/>
      <c r="G262" s="1542"/>
      <c r="H262" s="1707">
        <f>H279+H263</f>
        <v>158966.59999999998</v>
      </c>
      <c r="I262" s="1707">
        <f>I279+I263</f>
        <v>75203.3</v>
      </c>
      <c r="J262" s="1707">
        <f t="shared" ref="J262:CK262" si="191">J279+J263</f>
        <v>375</v>
      </c>
      <c r="K262" s="1707">
        <f t="shared" si="191"/>
        <v>16838.864999999998</v>
      </c>
      <c r="L262" s="1786"/>
      <c r="M262" s="1786"/>
      <c r="N262" s="1786"/>
      <c r="O262" s="1786"/>
      <c r="P262" s="1786"/>
      <c r="Q262" s="1786"/>
      <c r="R262" s="1786"/>
      <c r="S262" s="1786"/>
      <c r="T262" s="1787"/>
      <c r="U262" s="1788"/>
      <c r="V262" s="1788"/>
      <c r="W262" s="1789"/>
      <c r="X262" s="1789"/>
      <c r="Y262" s="1789"/>
      <c r="Z262" s="1790"/>
      <c r="AA262" s="1789"/>
      <c r="AB262" s="1789"/>
      <c r="AC262" s="1706">
        <f t="shared" si="191"/>
        <v>83763.299999999988</v>
      </c>
      <c r="AD262" s="1706">
        <f>AD279+AD263</f>
        <v>92417.165219999995</v>
      </c>
      <c r="AE262" s="1706">
        <f>AE279+AE263</f>
        <v>75203.300220000005</v>
      </c>
      <c r="AF262" s="1706">
        <f>AF279+AF263</f>
        <v>375</v>
      </c>
      <c r="AG262" s="1706">
        <f>AG279+AG263</f>
        <v>16838.864999999998</v>
      </c>
      <c r="AH262" s="1706">
        <f>AH279+AH263</f>
        <v>0</v>
      </c>
      <c r="AI262" s="1706">
        <f t="shared" si="191"/>
        <v>0</v>
      </c>
      <c r="AJ262" s="1706">
        <f t="shared" si="191"/>
        <v>-2.1999999989930075E-4</v>
      </c>
      <c r="AK262" s="1706">
        <f t="shared" si="191"/>
        <v>-2.1999999989930075E-4</v>
      </c>
      <c r="AL262" s="1636">
        <f t="shared" si="182"/>
        <v>0</v>
      </c>
      <c r="AM262" s="1706">
        <f t="shared" si="191"/>
        <v>0</v>
      </c>
      <c r="AN262" s="1706"/>
      <c r="AO262" s="1706">
        <f t="shared" si="191"/>
        <v>6084.9999999999991</v>
      </c>
      <c r="AP262" s="1706">
        <f t="shared" si="191"/>
        <v>1431.3</v>
      </c>
      <c r="AQ262" s="1706">
        <f t="shared" si="191"/>
        <v>0</v>
      </c>
      <c r="AR262" s="1706">
        <f t="shared" si="191"/>
        <v>0</v>
      </c>
      <c r="AS262" s="1790">
        <f t="shared" si="191"/>
        <v>5291.5</v>
      </c>
      <c r="AT262" s="1706">
        <f t="shared" si="191"/>
        <v>0</v>
      </c>
      <c r="AU262" s="1706">
        <f t="shared" si="191"/>
        <v>0</v>
      </c>
      <c r="AV262" s="1706">
        <f t="shared" si="191"/>
        <v>0</v>
      </c>
      <c r="AW262" s="1790">
        <f t="shared" si="191"/>
        <v>6552.2</v>
      </c>
      <c r="AX262" s="1706">
        <f t="shared" si="191"/>
        <v>0</v>
      </c>
      <c r="AY262" s="1706">
        <f t="shared" si="191"/>
        <v>0</v>
      </c>
      <c r="AZ262" s="1706">
        <f t="shared" si="191"/>
        <v>0</v>
      </c>
      <c r="BA262" s="1706">
        <f t="shared" si="191"/>
        <v>15769.380000000001</v>
      </c>
      <c r="BB262" s="1706">
        <f t="shared" si="191"/>
        <v>10760</v>
      </c>
      <c r="BC262" s="1706">
        <f t="shared" si="191"/>
        <v>0</v>
      </c>
      <c r="BD262" s="1706">
        <f t="shared" si="191"/>
        <v>1240</v>
      </c>
      <c r="BE262" s="1717">
        <f t="shared" si="191"/>
        <v>9711.4800000000014</v>
      </c>
      <c r="BF262" s="1706">
        <f t="shared" si="191"/>
        <v>7135</v>
      </c>
      <c r="BG262" s="1706">
        <f t="shared" si="191"/>
        <v>0</v>
      </c>
      <c r="BH262" s="1706">
        <f t="shared" si="191"/>
        <v>2300</v>
      </c>
      <c r="BI262" s="1706">
        <f t="shared" si="191"/>
        <v>5760.0300000000007</v>
      </c>
      <c r="BJ262" s="1706">
        <f t="shared" si="191"/>
        <v>16813.215</v>
      </c>
      <c r="BK262" s="1706">
        <f t="shared" si="191"/>
        <v>0</v>
      </c>
      <c r="BL262" s="1706">
        <f t="shared" si="191"/>
        <v>3333.3</v>
      </c>
      <c r="BM262" s="1706">
        <f t="shared" si="191"/>
        <v>8790.8700000000008</v>
      </c>
      <c r="BN262" s="1706">
        <f t="shared" si="191"/>
        <v>10516.03</v>
      </c>
      <c r="BO262" s="1706">
        <f t="shared" si="191"/>
        <v>0</v>
      </c>
      <c r="BP262" s="1706">
        <f t="shared" si="191"/>
        <v>7726.7</v>
      </c>
      <c r="BQ262" s="1706">
        <f t="shared" si="191"/>
        <v>4726.5</v>
      </c>
      <c r="BR262" s="1706">
        <f t="shared" si="191"/>
        <v>1703.7</v>
      </c>
      <c r="BS262" s="1706">
        <f t="shared" si="191"/>
        <v>0</v>
      </c>
      <c r="BT262" s="1706">
        <f t="shared" si="191"/>
        <v>0</v>
      </c>
      <c r="BU262" s="1706">
        <f t="shared" si="191"/>
        <v>4631.08</v>
      </c>
      <c r="BV262" s="1706">
        <f t="shared" si="191"/>
        <v>19657.264220000001</v>
      </c>
      <c r="BW262" s="1706">
        <f t="shared" si="191"/>
        <v>0</v>
      </c>
      <c r="BX262" s="1706">
        <f t="shared" si="191"/>
        <v>0</v>
      </c>
      <c r="BY262" s="1706">
        <f t="shared" si="191"/>
        <v>10515.8</v>
      </c>
      <c r="BZ262" s="1706">
        <f t="shared" si="191"/>
        <v>0</v>
      </c>
      <c r="CA262" s="1706">
        <f t="shared" si="191"/>
        <v>300</v>
      </c>
      <c r="CB262" s="1706">
        <f t="shared" si="191"/>
        <v>600</v>
      </c>
      <c r="CC262" s="1706">
        <f t="shared" si="191"/>
        <v>1151.28</v>
      </c>
      <c r="CD262" s="1706">
        <f t="shared" si="191"/>
        <v>0</v>
      </c>
      <c r="CE262" s="1706">
        <f t="shared" si="191"/>
        <v>0</v>
      </c>
      <c r="CF262" s="1706">
        <f t="shared" si="191"/>
        <v>0</v>
      </c>
      <c r="CG262" s="1821"/>
      <c r="CH262" s="1706">
        <f t="shared" si="191"/>
        <v>4778.18</v>
      </c>
      <c r="CI262" s="1706">
        <f t="shared" si="191"/>
        <v>7186.7910000000002</v>
      </c>
      <c r="CJ262" s="1706">
        <f t="shared" si="191"/>
        <v>75</v>
      </c>
      <c r="CK262" s="1706">
        <f t="shared" si="191"/>
        <v>1638.865</v>
      </c>
      <c r="CL262" s="1558"/>
      <c r="CM262" s="1558"/>
      <c r="CN262" s="1558"/>
      <c r="CO262" s="1558"/>
      <c r="CP262" s="1558"/>
      <c r="CQ262" s="1558"/>
      <c r="CR262" s="1558"/>
      <c r="CS262" s="1558"/>
      <c r="CT262" s="1558"/>
      <c r="CU262" s="1558"/>
      <c r="CV262" s="1558"/>
      <c r="CW262" s="1558"/>
      <c r="CY262" s="1558"/>
    </row>
    <row r="263" spans="1:103" s="1559" customFormat="1" ht="26" x14ac:dyDescent="0.15">
      <c r="A263" s="1779" t="s">
        <v>1125</v>
      </c>
      <c r="B263" s="1780" t="s">
        <v>79</v>
      </c>
      <c r="C263" s="1780" t="s">
        <v>80</v>
      </c>
      <c r="D263" s="1780" t="s">
        <v>125</v>
      </c>
      <c r="E263" s="1780" t="s">
        <v>231</v>
      </c>
      <c r="F263" s="1781">
        <v>600</v>
      </c>
      <c r="G263" s="1781"/>
      <c r="H263" s="1578">
        <f>H264+H278</f>
        <v>143481.19999999998</v>
      </c>
      <c r="I263" s="1578">
        <f t="shared" ref="I263:CK263" si="192">I264+I278</f>
        <v>75203.3</v>
      </c>
      <c r="J263" s="1578">
        <f>J264+J278</f>
        <v>375</v>
      </c>
      <c r="K263" s="1578">
        <f t="shared" si="192"/>
        <v>16838.864999999998</v>
      </c>
      <c r="L263" s="1579"/>
      <c r="M263" s="1579"/>
      <c r="N263" s="1579"/>
      <c r="O263" s="1579"/>
      <c r="P263" s="1579"/>
      <c r="Q263" s="1579"/>
      <c r="R263" s="1579"/>
      <c r="S263" s="1579"/>
      <c r="T263" s="1580"/>
      <c r="U263" s="1581"/>
      <c r="V263" s="1581"/>
      <c r="W263" s="1582"/>
      <c r="X263" s="1582"/>
      <c r="Y263" s="1582"/>
      <c r="Z263" s="1583"/>
      <c r="AA263" s="1582"/>
      <c r="AB263" s="1582"/>
      <c r="AC263" s="1584">
        <f t="shared" si="192"/>
        <v>68277.89999999998</v>
      </c>
      <c r="AD263" s="1584">
        <f>AD264+AD278</f>
        <v>92417.165219999995</v>
      </c>
      <c r="AE263" s="1584">
        <f>AE264+AE278</f>
        <v>75203.300220000005</v>
      </c>
      <c r="AF263" s="1584">
        <f>AF264+AF278</f>
        <v>375</v>
      </c>
      <c r="AG263" s="1584">
        <f>AG264+AG278</f>
        <v>16838.864999999998</v>
      </c>
      <c r="AH263" s="1584">
        <f>AH264+AH278</f>
        <v>0</v>
      </c>
      <c r="AI263" s="1585">
        <f t="shared" si="192"/>
        <v>0</v>
      </c>
      <c r="AJ263" s="1585">
        <f t="shared" si="192"/>
        <v>-2.1999999989930075E-4</v>
      </c>
      <c r="AK263" s="1585">
        <f t="shared" si="192"/>
        <v>-2.1999999989930075E-4</v>
      </c>
      <c r="AL263" s="1636">
        <f t="shared" si="182"/>
        <v>0</v>
      </c>
      <c r="AM263" s="1585">
        <f t="shared" si="192"/>
        <v>0</v>
      </c>
      <c r="AN263" s="1586"/>
      <c r="AO263" s="1586">
        <f t="shared" si="192"/>
        <v>4734.9999999999991</v>
      </c>
      <c r="AP263" s="1586">
        <f t="shared" si="192"/>
        <v>1431.3</v>
      </c>
      <c r="AQ263" s="1586">
        <f t="shared" si="192"/>
        <v>0</v>
      </c>
      <c r="AR263" s="1586">
        <f t="shared" si="192"/>
        <v>0</v>
      </c>
      <c r="AS263" s="1583">
        <f t="shared" si="192"/>
        <v>5291.5</v>
      </c>
      <c r="AT263" s="1586">
        <f t="shared" si="192"/>
        <v>0</v>
      </c>
      <c r="AU263" s="1586">
        <f t="shared" si="192"/>
        <v>0</v>
      </c>
      <c r="AV263" s="1586">
        <f t="shared" si="192"/>
        <v>0</v>
      </c>
      <c r="AW263" s="1583">
        <f t="shared" si="192"/>
        <v>6552.2</v>
      </c>
      <c r="AX263" s="1586">
        <f t="shared" si="192"/>
        <v>0</v>
      </c>
      <c r="AY263" s="1586">
        <f t="shared" si="192"/>
        <v>0</v>
      </c>
      <c r="AZ263" s="1586">
        <f t="shared" si="192"/>
        <v>0</v>
      </c>
      <c r="BA263" s="1586">
        <f t="shared" si="192"/>
        <v>7672.18</v>
      </c>
      <c r="BB263" s="1586">
        <f t="shared" si="192"/>
        <v>10760</v>
      </c>
      <c r="BC263" s="1586">
        <f t="shared" si="192"/>
        <v>0</v>
      </c>
      <c r="BD263" s="1586">
        <f t="shared" si="192"/>
        <v>1240</v>
      </c>
      <c r="BE263" s="1511">
        <f t="shared" si="192"/>
        <v>9711.4800000000014</v>
      </c>
      <c r="BF263" s="1586">
        <f t="shared" si="192"/>
        <v>7135</v>
      </c>
      <c r="BG263" s="1586">
        <f t="shared" si="192"/>
        <v>0</v>
      </c>
      <c r="BH263" s="1586">
        <f t="shared" si="192"/>
        <v>2300</v>
      </c>
      <c r="BI263" s="1586">
        <f t="shared" si="192"/>
        <v>5760.0300000000007</v>
      </c>
      <c r="BJ263" s="1586">
        <f t="shared" si="192"/>
        <v>16813.215</v>
      </c>
      <c r="BK263" s="1586">
        <f t="shared" si="192"/>
        <v>0</v>
      </c>
      <c r="BL263" s="1586">
        <f t="shared" si="192"/>
        <v>3333.3</v>
      </c>
      <c r="BM263" s="1586">
        <f t="shared" si="192"/>
        <v>7705.8700000000008</v>
      </c>
      <c r="BN263" s="1586">
        <f t="shared" si="192"/>
        <v>10516.03</v>
      </c>
      <c r="BO263" s="1586">
        <f t="shared" si="192"/>
        <v>0</v>
      </c>
      <c r="BP263" s="1586">
        <f t="shared" si="192"/>
        <v>7726.7</v>
      </c>
      <c r="BQ263" s="1586">
        <f t="shared" si="192"/>
        <v>4726.5</v>
      </c>
      <c r="BR263" s="1586">
        <f t="shared" si="192"/>
        <v>1703.7</v>
      </c>
      <c r="BS263" s="1586">
        <f t="shared" si="192"/>
        <v>0</v>
      </c>
      <c r="BT263" s="1586">
        <f t="shared" si="192"/>
        <v>0</v>
      </c>
      <c r="BU263" s="1586">
        <f t="shared" si="192"/>
        <v>4631.08</v>
      </c>
      <c r="BV263" s="1586">
        <f t="shared" si="192"/>
        <v>19657.264220000001</v>
      </c>
      <c r="BW263" s="1586">
        <f t="shared" si="192"/>
        <v>0</v>
      </c>
      <c r="BX263" s="1586">
        <f t="shared" si="192"/>
        <v>0</v>
      </c>
      <c r="BY263" s="1586">
        <f t="shared" si="192"/>
        <v>6365.7999999999993</v>
      </c>
      <c r="BZ263" s="1586">
        <f t="shared" si="192"/>
        <v>0</v>
      </c>
      <c r="CA263" s="1586">
        <f t="shared" si="192"/>
        <v>300</v>
      </c>
      <c r="CB263" s="1586">
        <f t="shared" si="192"/>
        <v>600</v>
      </c>
      <c r="CC263" s="1586">
        <f t="shared" si="192"/>
        <v>1151.28</v>
      </c>
      <c r="CD263" s="1586">
        <f t="shared" si="192"/>
        <v>0</v>
      </c>
      <c r="CE263" s="1586">
        <f t="shared" si="192"/>
        <v>0</v>
      </c>
      <c r="CF263" s="1586">
        <f t="shared" si="192"/>
        <v>0</v>
      </c>
      <c r="CG263" s="1587"/>
      <c r="CH263" s="1586">
        <f t="shared" si="192"/>
        <v>3974.98</v>
      </c>
      <c r="CI263" s="1586">
        <f t="shared" si="192"/>
        <v>7186.7910000000002</v>
      </c>
      <c r="CJ263" s="1586">
        <f t="shared" si="192"/>
        <v>75</v>
      </c>
      <c r="CK263" s="1586">
        <f t="shared" si="192"/>
        <v>1638.865</v>
      </c>
      <c r="CL263" s="1558"/>
      <c r="CM263" s="1558"/>
      <c r="CN263" s="1558"/>
      <c r="CO263" s="1558"/>
      <c r="CP263" s="1558"/>
      <c r="CQ263" s="1558"/>
      <c r="CR263" s="1558"/>
      <c r="CS263" s="1558"/>
      <c r="CT263" s="1558"/>
      <c r="CU263" s="1558"/>
      <c r="CV263" s="1558"/>
      <c r="CW263" s="1558"/>
      <c r="CY263" s="1558"/>
    </row>
    <row r="264" spans="1:103" s="1559" customFormat="1" ht="52" x14ac:dyDescent="0.15">
      <c r="A264" s="1748" t="s">
        <v>1135</v>
      </c>
      <c r="B264" s="1749" t="s">
        <v>79</v>
      </c>
      <c r="C264" s="1749" t="s">
        <v>80</v>
      </c>
      <c r="D264" s="1749" t="s">
        <v>125</v>
      </c>
      <c r="E264" s="1749" t="s">
        <v>231</v>
      </c>
      <c r="F264" s="1530" t="s">
        <v>765</v>
      </c>
      <c r="G264" s="1530" t="s">
        <v>766</v>
      </c>
      <c r="H264" s="1531">
        <f>H265+H266+H267+H268+H269+H270+H271+H272+H273+H274+H275+H276+H277</f>
        <v>68277.89999999998</v>
      </c>
      <c r="I264" s="1531">
        <f t="shared" ref="I264:CK264" si="193">I265+I266+I267+I268+I269+I270+I271+I272+I273+I274+I275+I276+I277</f>
        <v>75203.3</v>
      </c>
      <c r="J264" s="1531">
        <f>J265+J266+J267+J268+J269+J270+J271+J272+J273+J274+J275+J276+J277</f>
        <v>375</v>
      </c>
      <c r="K264" s="1531">
        <f t="shared" si="193"/>
        <v>16838.864999999998</v>
      </c>
      <c r="L264" s="1601"/>
      <c r="M264" s="1601"/>
      <c r="N264" s="1601"/>
      <c r="O264" s="1601"/>
      <c r="P264" s="1601"/>
      <c r="Q264" s="1601"/>
      <c r="R264" s="1601"/>
      <c r="S264" s="1601"/>
      <c r="T264" s="1602"/>
      <c r="U264" s="1533"/>
      <c r="V264" s="1533"/>
      <c r="W264" s="1534"/>
      <c r="X264" s="1534"/>
      <c r="Y264" s="1534"/>
      <c r="Z264" s="1535"/>
      <c r="AA264" s="1534"/>
      <c r="AB264" s="1534"/>
      <c r="AC264" s="1603">
        <f t="shared" si="193"/>
        <v>68277.89999999998</v>
      </c>
      <c r="AD264" s="1603">
        <f>AD265+AD266+AD267+AD268+AD269+AD270+AD271+AD272+AD273+AD274+AD275+AD276+AD277</f>
        <v>92417.165219999995</v>
      </c>
      <c r="AE264" s="1603">
        <f>AE265+AE266+AE267+AE268+AE269+AE270+AE271+AE272+AE273+AE274+AE275+AE276+AE277</f>
        <v>75203.300220000005</v>
      </c>
      <c r="AF264" s="1603">
        <f>AF265+AF266+AF267+AF268+AF269+AF270+AF271+AF272+AF273+AF274+AF275+AF276+AF277</f>
        <v>375</v>
      </c>
      <c r="AG264" s="1603">
        <f>AG265+AG266+AG267+AG268+AG269+AG270+AG271+AG272+AG273+AG274+AG275+AG276+AG277</f>
        <v>16838.864999999998</v>
      </c>
      <c r="AH264" s="1603">
        <f>AH265+AH266+AH267+AH268+AH269+AH270+AH271+AH272+AH273+AH274+AH275+AH276+AH277</f>
        <v>0</v>
      </c>
      <c r="AI264" s="1537">
        <f t="shared" si="193"/>
        <v>0</v>
      </c>
      <c r="AJ264" s="1537">
        <f t="shared" si="193"/>
        <v>-2.1999999989930075E-4</v>
      </c>
      <c r="AK264" s="1537">
        <f t="shared" si="193"/>
        <v>-2.1999999989930075E-4</v>
      </c>
      <c r="AL264" s="1636">
        <f t="shared" si="182"/>
        <v>0</v>
      </c>
      <c r="AM264" s="1592">
        <f t="shared" si="193"/>
        <v>0</v>
      </c>
      <c r="AN264" s="1538"/>
      <c r="AO264" s="1538">
        <f t="shared" si="193"/>
        <v>4734.9999999999991</v>
      </c>
      <c r="AP264" s="1538">
        <f t="shared" si="193"/>
        <v>1431.3</v>
      </c>
      <c r="AQ264" s="1538">
        <f t="shared" si="193"/>
        <v>0</v>
      </c>
      <c r="AR264" s="1538">
        <f t="shared" si="193"/>
        <v>0</v>
      </c>
      <c r="AS264" s="1535">
        <f t="shared" si="193"/>
        <v>5291.5</v>
      </c>
      <c r="AT264" s="1538">
        <f t="shared" si="193"/>
        <v>0</v>
      </c>
      <c r="AU264" s="1538">
        <f t="shared" si="193"/>
        <v>0</v>
      </c>
      <c r="AV264" s="1538">
        <f t="shared" si="193"/>
        <v>0</v>
      </c>
      <c r="AW264" s="1535">
        <f t="shared" si="193"/>
        <v>6552.2</v>
      </c>
      <c r="AX264" s="1538">
        <f t="shared" si="193"/>
        <v>0</v>
      </c>
      <c r="AY264" s="1538">
        <f t="shared" si="193"/>
        <v>0</v>
      </c>
      <c r="AZ264" s="1538">
        <f t="shared" si="193"/>
        <v>0</v>
      </c>
      <c r="BA264" s="1538">
        <f t="shared" si="193"/>
        <v>7672.18</v>
      </c>
      <c r="BB264" s="1538">
        <f t="shared" si="193"/>
        <v>10760</v>
      </c>
      <c r="BC264" s="1538">
        <f t="shared" si="193"/>
        <v>0</v>
      </c>
      <c r="BD264" s="1538">
        <f t="shared" si="193"/>
        <v>1240</v>
      </c>
      <c r="BE264" s="1539">
        <f t="shared" si="193"/>
        <v>9711.4800000000014</v>
      </c>
      <c r="BF264" s="1538">
        <f t="shared" si="193"/>
        <v>7135</v>
      </c>
      <c r="BG264" s="1538">
        <f t="shared" si="193"/>
        <v>0</v>
      </c>
      <c r="BH264" s="1538">
        <f t="shared" si="193"/>
        <v>2300</v>
      </c>
      <c r="BI264" s="1538">
        <f t="shared" si="193"/>
        <v>5760.0300000000007</v>
      </c>
      <c r="BJ264" s="1538">
        <f t="shared" si="193"/>
        <v>16813.215</v>
      </c>
      <c r="BK264" s="1538">
        <f t="shared" si="193"/>
        <v>0</v>
      </c>
      <c r="BL264" s="1538">
        <f t="shared" si="193"/>
        <v>3333.3</v>
      </c>
      <c r="BM264" s="1538">
        <f t="shared" si="193"/>
        <v>7705.8700000000008</v>
      </c>
      <c r="BN264" s="1538">
        <f t="shared" si="193"/>
        <v>10516.03</v>
      </c>
      <c r="BO264" s="1538">
        <f t="shared" si="193"/>
        <v>0</v>
      </c>
      <c r="BP264" s="1538">
        <f t="shared" si="193"/>
        <v>7726.7</v>
      </c>
      <c r="BQ264" s="1538">
        <f t="shared" si="193"/>
        <v>4726.5</v>
      </c>
      <c r="BR264" s="1538">
        <f t="shared" si="193"/>
        <v>1703.7</v>
      </c>
      <c r="BS264" s="1538">
        <f t="shared" si="193"/>
        <v>0</v>
      </c>
      <c r="BT264" s="1538">
        <f t="shared" si="193"/>
        <v>0</v>
      </c>
      <c r="BU264" s="1538">
        <f t="shared" si="193"/>
        <v>4631.08</v>
      </c>
      <c r="BV264" s="1538">
        <f t="shared" si="193"/>
        <v>19657.264220000001</v>
      </c>
      <c r="BW264" s="1538">
        <f t="shared" si="193"/>
        <v>0</v>
      </c>
      <c r="BX264" s="1538">
        <f t="shared" si="193"/>
        <v>0</v>
      </c>
      <c r="BY264" s="1538">
        <f t="shared" si="193"/>
        <v>6365.7999999999993</v>
      </c>
      <c r="BZ264" s="1538">
        <f t="shared" si="193"/>
        <v>0</v>
      </c>
      <c r="CA264" s="1538">
        <f t="shared" si="193"/>
        <v>300</v>
      </c>
      <c r="CB264" s="1538">
        <f t="shared" si="193"/>
        <v>600</v>
      </c>
      <c r="CC264" s="1538">
        <f t="shared" si="193"/>
        <v>1151.28</v>
      </c>
      <c r="CD264" s="1538">
        <f t="shared" si="193"/>
        <v>0</v>
      </c>
      <c r="CE264" s="1538">
        <f t="shared" si="193"/>
        <v>0</v>
      </c>
      <c r="CF264" s="1538">
        <f t="shared" si="193"/>
        <v>0</v>
      </c>
      <c r="CG264" s="1604"/>
      <c r="CH264" s="1538">
        <f t="shared" si="193"/>
        <v>3974.98</v>
      </c>
      <c r="CI264" s="1538">
        <f t="shared" si="193"/>
        <v>7186.7910000000002</v>
      </c>
      <c r="CJ264" s="1538">
        <f t="shared" si="193"/>
        <v>75</v>
      </c>
      <c r="CK264" s="1538">
        <f t="shared" si="193"/>
        <v>1638.865</v>
      </c>
      <c r="CL264" s="1558"/>
      <c r="CM264" s="1558"/>
      <c r="CN264" s="1558"/>
      <c r="CO264" s="1558"/>
      <c r="CP264" s="1558"/>
      <c r="CQ264" s="1558"/>
      <c r="CR264" s="1558"/>
      <c r="CS264" s="1558"/>
      <c r="CT264" s="1558"/>
      <c r="CU264" s="1558"/>
      <c r="CV264" s="1558"/>
      <c r="CW264" s="1558"/>
      <c r="CY264" s="1558"/>
    </row>
    <row r="265" spans="1:103" s="1559" customFormat="1" x14ac:dyDescent="0.15">
      <c r="A265" s="1541" t="s">
        <v>124</v>
      </c>
      <c r="B265" s="1523" t="s">
        <v>79</v>
      </c>
      <c r="C265" s="1523" t="s">
        <v>80</v>
      </c>
      <c r="D265" s="1523" t="s">
        <v>125</v>
      </c>
      <c r="E265" s="1523" t="s">
        <v>231</v>
      </c>
      <c r="F265" s="1530"/>
      <c r="G265" s="1667">
        <v>211</v>
      </c>
      <c r="H265" s="1822">
        <f t="shared" ref="H265:BS269" si="194">H288+H305+H322</f>
        <v>41956</v>
      </c>
      <c r="I265" s="1822">
        <f t="shared" si="194"/>
        <v>0</v>
      </c>
      <c r="J265" s="1822">
        <f t="shared" si="194"/>
        <v>0</v>
      </c>
      <c r="K265" s="1822">
        <f t="shared" si="194"/>
        <v>0</v>
      </c>
      <c r="L265" s="1822">
        <f t="shared" si="194"/>
        <v>0</v>
      </c>
      <c r="M265" s="1822">
        <f t="shared" si="194"/>
        <v>0</v>
      </c>
      <c r="N265" s="1822">
        <f t="shared" si="194"/>
        <v>0</v>
      </c>
      <c r="O265" s="1822">
        <f t="shared" si="194"/>
        <v>0</v>
      </c>
      <c r="P265" s="1822">
        <f t="shared" si="194"/>
        <v>0</v>
      </c>
      <c r="Q265" s="1822">
        <f t="shared" si="194"/>
        <v>0</v>
      </c>
      <c r="R265" s="1822">
        <f t="shared" si="194"/>
        <v>0</v>
      </c>
      <c r="S265" s="1823">
        <f t="shared" si="194"/>
        <v>0</v>
      </c>
      <c r="T265" s="1824"/>
      <c r="U265" s="1825"/>
      <c r="V265" s="1825"/>
      <c r="W265" s="1826"/>
      <c r="X265" s="1826"/>
      <c r="Y265" s="1826"/>
      <c r="Z265" s="1827"/>
      <c r="AA265" s="1826"/>
      <c r="AB265" s="1826"/>
      <c r="AC265" s="1828">
        <f t="shared" si="194"/>
        <v>41955.999999999993</v>
      </c>
      <c r="AD265" s="1828">
        <f t="shared" si="194"/>
        <v>0</v>
      </c>
      <c r="AE265" s="1828">
        <f t="shared" si="194"/>
        <v>0</v>
      </c>
      <c r="AF265" s="1828">
        <f t="shared" si="194"/>
        <v>0</v>
      </c>
      <c r="AG265" s="1828">
        <f t="shared" si="194"/>
        <v>0</v>
      </c>
      <c r="AH265" s="1828">
        <f t="shared" si="194"/>
        <v>0</v>
      </c>
      <c r="AI265" s="1829">
        <f t="shared" si="194"/>
        <v>0</v>
      </c>
      <c r="AJ265" s="1829">
        <f t="shared" si="194"/>
        <v>0</v>
      </c>
      <c r="AK265" s="1829">
        <f t="shared" si="194"/>
        <v>0</v>
      </c>
      <c r="AL265" s="1636">
        <f t="shared" ref="AL265:AM328" si="195">J265-AF265</f>
        <v>0</v>
      </c>
      <c r="AM265" s="1829">
        <f t="shared" si="194"/>
        <v>0</v>
      </c>
      <c r="AN265" s="1830"/>
      <c r="AO265" s="1830">
        <f t="shared" si="194"/>
        <v>3496.2999999999997</v>
      </c>
      <c r="AP265" s="1830">
        <f t="shared" si="194"/>
        <v>0</v>
      </c>
      <c r="AQ265" s="1830">
        <f t="shared" si="194"/>
        <v>0</v>
      </c>
      <c r="AR265" s="1830">
        <f t="shared" si="194"/>
        <v>0</v>
      </c>
      <c r="AS265" s="1827">
        <f t="shared" si="194"/>
        <v>3496.3999999999996</v>
      </c>
      <c r="AT265" s="1830">
        <f t="shared" si="194"/>
        <v>0</v>
      </c>
      <c r="AU265" s="1830">
        <f t="shared" si="194"/>
        <v>0</v>
      </c>
      <c r="AV265" s="1830">
        <f t="shared" si="194"/>
        <v>0</v>
      </c>
      <c r="AW265" s="1827">
        <f t="shared" si="194"/>
        <v>3496.3</v>
      </c>
      <c r="AX265" s="1830">
        <f t="shared" si="194"/>
        <v>0</v>
      </c>
      <c r="AY265" s="1830">
        <f t="shared" si="194"/>
        <v>0</v>
      </c>
      <c r="AZ265" s="1830">
        <f t="shared" si="194"/>
        <v>0</v>
      </c>
      <c r="BA265" s="1830">
        <f t="shared" si="194"/>
        <v>3496.24</v>
      </c>
      <c r="BB265" s="1830">
        <f t="shared" si="194"/>
        <v>0</v>
      </c>
      <c r="BC265" s="1830">
        <f t="shared" si="194"/>
        <v>0</v>
      </c>
      <c r="BD265" s="1830">
        <f t="shared" si="194"/>
        <v>0</v>
      </c>
      <c r="BE265" s="1511">
        <f t="shared" si="194"/>
        <v>3496.24</v>
      </c>
      <c r="BF265" s="1830">
        <f t="shared" si="194"/>
        <v>0</v>
      </c>
      <c r="BG265" s="1830">
        <f t="shared" si="194"/>
        <v>0</v>
      </c>
      <c r="BH265" s="1830">
        <f t="shared" si="194"/>
        <v>0</v>
      </c>
      <c r="BI265" s="1830">
        <f t="shared" si="194"/>
        <v>4325.1500000000005</v>
      </c>
      <c r="BJ265" s="1830">
        <f t="shared" si="194"/>
        <v>0</v>
      </c>
      <c r="BK265" s="1830">
        <f t="shared" si="194"/>
        <v>0</v>
      </c>
      <c r="BL265" s="1830">
        <f t="shared" si="194"/>
        <v>0</v>
      </c>
      <c r="BM265" s="1830">
        <f t="shared" si="194"/>
        <v>5593.9900000000007</v>
      </c>
      <c r="BN265" s="1830">
        <f t="shared" si="194"/>
        <v>0</v>
      </c>
      <c r="BO265" s="1830">
        <f t="shared" si="194"/>
        <v>0</v>
      </c>
      <c r="BP265" s="1830">
        <f t="shared" si="194"/>
        <v>0</v>
      </c>
      <c r="BQ265" s="1830">
        <f t="shared" si="194"/>
        <v>3561.23</v>
      </c>
      <c r="BR265" s="1830">
        <f t="shared" si="194"/>
        <v>0</v>
      </c>
      <c r="BS265" s="1830">
        <f t="shared" si="194"/>
        <v>0</v>
      </c>
      <c r="BT265" s="1830">
        <f t="shared" ref="BT265:CF265" si="196">BT288+BT305+BT322</f>
        <v>0</v>
      </c>
      <c r="BU265" s="1830">
        <f t="shared" si="196"/>
        <v>3496.3</v>
      </c>
      <c r="BV265" s="1830">
        <f t="shared" si="196"/>
        <v>0</v>
      </c>
      <c r="BW265" s="1830">
        <f t="shared" si="196"/>
        <v>0</v>
      </c>
      <c r="BX265" s="1830">
        <f t="shared" si="196"/>
        <v>0</v>
      </c>
      <c r="BY265" s="1830">
        <f t="shared" si="196"/>
        <v>5327.5</v>
      </c>
      <c r="BZ265" s="1830">
        <f t="shared" si="196"/>
        <v>0</v>
      </c>
      <c r="CA265" s="1830">
        <f t="shared" si="196"/>
        <v>0</v>
      </c>
      <c r="CB265" s="1830">
        <f t="shared" si="196"/>
        <v>0</v>
      </c>
      <c r="CC265" s="1830">
        <f t="shared" si="196"/>
        <v>883.8</v>
      </c>
      <c r="CD265" s="1830">
        <f t="shared" si="196"/>
        <v>0</v>
      </c>
      <c r="CE265" s="1830">
        <f t="shared" si="196"/>
        <v>0</v>
      </c>
      <c r="CF265" s="1830">
        <f t="shared" si="196"/>
        <v>0</v>
      </c>
      <c r="CG265" s="1831"/>
      <c r="CH265" s="1830">
        <f t="shared" ref="CH265:CK277" si="197">CH288+CH305+CH322</f>
        <v>1286.5499999999997</v>
      </c>
      <c r="CI265" s="1830">
        <f t="shared" si="197"/>
        <v>0</v>
      </c>
      <c r="CJ265" s="1830">
        <f t="shared" si="197"/>
        <v>0</v>
      </c>
      <c r="CK265" s="1830">
        <f t="shared" si="197"/>
        <v>0</v>
      </c>
      <c r="CL265" s="1558"/>
      <c r="CM265" s="1558"/>
      <c r="CN265" s="1558"/>
      <c r="CO265" s="1558"/>
      <c r="CP265" s="1558"/>
      <c r="CQ265" s="1558"/>
      <c r="CR265" s="1558"/>
      <c r="CS265" s="1558"/>
      <c r="CT265" s="1558"/>
      <c r="CU265" s="1558"/>
      <c r="CV265" s="1558"/>
      <c r="CW265" s="1558"/>
      <c r="CY265" s="1558"/>
    </row>
    <row r="266" spans="1:103" s="1559" customFormat="1" x14ac:dyDescent="0.15">
      <c r="A266" s="1541" t="s">
        <v>83</v>
      </c>
      <c r="B266" s="1523" t="s">
        <v>79</v>
      </c>
      <c r="C266" s="1523" t="s">
        <v>80</v>
      </c>
      <c r="D266" s="1523" t="s">
        <v>125</v>
      </c>
      <c r="E266" s="1523" t="s">
        <v>231</v>
      </c>
      <c r="F266" s="1523"/>
      <c r="G266" s="1667">
        <v>212</v>
      </c>
      <c r="H266" s="1822">
        <f t="shared" si="194"/>
        <v>102</v>
      </c>
      <c r="I266" s="1822">
        <f>I289+I306+I323</f>
        <v>0</v>
      </c>
      <c r="J266" s="1822">
        <f>J289+J306+J323</f>
        <v>0</v>
      </c>
      <c r="K266" s="1822">
        <f>K289+K306+K323</f>
        <v>0</v>
      </c>
      <c r="L266" s="1822">
        <f t="shared" si="194"/>
        <v>0</v>
      </c>
      <c r="M266" s="1822">
        <f t="shared" si="194"/>
        <v>0</v>
      </c>
      <c r="N266" s="1822">
        <f t="shared" si="194"/>
        <v>0</v>
      </c>
      <c r="O266" s="1822">
        <f t="shared" si="194"/>
        <v>0</v>
      </c>
      <c r="P266" s="1822">
        <f t="shared" si="194"/>
        <v>0</v>
      </c>
      <c r="Q266" s="1822">
        <f t="shared" si="194"/>
        <v>0</v>
      </c>
      <c r="R266" s="1822">
        <f t="shared" si="194"/>
        <v>0</v>
      </c>
      <c r="S266" s="1823">
        <f t="shared" si="194"/>
        <v>0</v>
      </c>
      <c r="T266" s="1824"/>
      <c r="U266" s="1825"/>
      <c r="V266" s="1825"/>
      <c r="W266" s="1826"/>
      <c r="X266" s="1826"/>
      <c r="Y266" s="1826"/>
      <c r="Z266" s="1827"/>
      <c r="AA266" s="1826"/>
      <c r="AB266" s="1826"/>
      <c r="AC266" s="1828">
        <f>AC289+AC306+AC323</f>
        <v>102</v>
      </c>
      <c r="AD266" s="1828">
        <f t="shared" si="194"/>
        <v>0</v>
      </c>
      <c r="AE266" s="1828">
        <f t="shared" si="194"/>
        <v>0</v>
      </c>
      <c r="AF266" s="1828">
        <f t="shared" si="194"/>
        <v>0</v>
      </c>
      <c r="AG266" s="1828">
        <f t="shared" si="194"/>
        <v>0</v>
      </c>
      <c r="AH266" s="1828">
        <f t="shared" si="194"/>
        <v>0</v>
      </c>
      <c r="AI266" s="1829">
        <f>AI289+AI306+AI323</f>
        <v>0</v>
      </c>
      <c r="AJ266" s="1829">
        <f>AJ289+AJ306+AJ323</f>
        <v>0</v>
      </c>
      <c r="AK266" s="1829">
        <f>AK289+AK306+AK323</f>
        <v>0</v>
      </c>
      <c r="AL266" s="1636">
        <f t="shared" si="195"/>
        <v>0</v>
      </c>
      <c r="AM266" s="1829">
        <f>AM289+AM306+AM323</f>
        <v>0</v>
      </c>
      <c r="AN266" s="1830"/>
      <c r="AO266" s="1830">
        <f>AO289+AO306+AO323</f>
        <v>17</v>
      </c>
      <c r="AP266" s="1830">
        <f>AP289+AP306+AP323</f>
        <v>0</v>
      </c>
      <c r="AQ266" s="1830">
        <f t="shared" si="194"/>
        <v>0</v>
      </c>
      <c r="AR266" s="1830">
        <f t="shared" si="194"/>
        <v>0</v>
      </c>
      <c r="AS266" s="1827">
        <f t="shared" si="194"/>
        <v>0</v>
      </c>
      <c r="AT266" s="1830">
        <f t="shared" si="194"/>
        <v>0</v>
      </c>
      <c r="AU266" s="1830">
        <f t="shared" si="194"/>
        <v>0</v>
      </c>
      <c r="AV266" s="1830">
        <f t="shared" si="194"/>
        <v>0</v>
      </c>
      <c r="AW266" s="1827">
        <f t="shared" si="194"/>
        <v>0</v>
      </c>
      <c r="AX266" s="1830">
        <f t="shared" si="194"/>
        <v>0</v>
      </c>
      <c r="AY266" s="1830">
        <f t="shared" si="194"/>
        <v>0</v>
      </c>
      <c r="AZ266" s="1830">
        <f t="shared" si="194"/>
        <v>0</v>
      </c>
      <c r="BA266" s="1830">
        <f t="shared" si="194"/>
        <v>0</v>
      </c>
      <c r="BB266" s="1830">
        <f t="shared" si="194"/>
        <v>0</v>
      </c>
      <c r="BC266" s="1830">
        <f t="shared" si="194"/>
        <v>0</v>
      </c>
      <c r="BD266" s="1830">
        <f t="shared" si="194"/>
        <v>0</v>
      </c>
      <c r="BE266" s="1511">
        <f t="shared" si="194"/>
        <v>0</v>
      </c>
      <c r="BF266" s="1830">
        <f t="shared" si="194"/>
        <v>0</v>
      </c>
      <c r="BG266" s="1830">
        <f t="shared" si="194"/>
        <v>0</v>
      </c>
      <c r="BH266" s="1830">
        <f t="shared" si="194"/>
        <v>0</v>
      </c>
      <c r="BI266" s="1830">
        <f t="shared" si="194"/>
        <v>85</v>
      </c>
      <c r="BJ266" s="1830">
        <f t="shared" si="194"/>
        <v>0</v>
      </c>
      <c r="BK266" s="1830">
        <f t="shared" si="194"/>
        <v>0</v>
      </c>
      <c r="BL266" s="1830">
        <f t="shared" si="194"/>
        <v>0</v>
      </c>
      <c r="BM266" s="1830">
        <f t="shared" si="194"/>
        <v>0</v>
      </c>
      <c r="BN266" s="1830">
        <f t="shared" si="194"/>
        <v>0</v>
      </c>
      <c r="BO266" s="1830">
        <f t="shared" si="194"/>
        <v>0</v>
      </c>
      <c r="BP266" s="1830">
        <f t="shared" si="194"/>
        <v>0</v>
      </c>
      <c r="BQ266" s="1830">
        <f t="shared" si="194"/>
        <v>0</v>
      </c>
      <c r="BR266" s="1830">
        <f t="shared" si="194"/>
        <v>0</v>
      </c>
      <c r="BS266" s="1830">
        <f t="shared" si="194"/>
        <v>0</v>
      </c>
      <c r="BT266" s="1830">
        <f t="shared" ref="BT266:CF266" si="198">BT289+BT306+BT323</f>
        <v>0</v>
      </c>
      <c r="BU266" s="1830">
        <f t="shared" si="198"/>
        <v>0</v>
      </c>
      <c r="BV266" s="1830">
        <f t="shared" si="198"/>
        <v>0</v>
      </c>
      <c r="BW266" s="1830">
        <f t="shared" si="198"/>
        <v>0</v>
      </c>
      <c r="BX266" s="1830">
        <f t="shared" si="198"/>
        <v>0</v>
      </c>
      <c r="BY266" s="1830">
        <f t="shared" si="198"/>
        <v>0</v>
      </c>
      <c r="BZ266" s="1830">
        <f t="shared" si="198"/>
        <v>0</v>
      </c>
      <c r="CA266" s="1830">
        <f t="shared" si="198"/>
        <v>0</v>
      </c>
      <c r="CB266" s="1830">
        <f t="shared" si="198"/>
        <v>0</v>
      </c>
      <c r="CC266" s="1830">
        <f t="shared" si="198"/>
        <v>0</v>
      </c>
      <c r="CD266" s="1830">
        <f t="shared" si="198"/>
        <v>0</v>
      </c>
      <c r="CE266" s="1830">
        <f t="shared" si="198"/>
        <v>0</v>
      </c>
      <c r="CF266" s="1830">
        <f t="shared" si="198"/>
        <v>0</v>
      </c>
      <c r="CG266" s="1831"/>
      <c r="CH266" s="1830">
        <f t="shared" si="197"/>
        <v>0</v>
      </c>
      <c r="CI266" s="1830">
        <f t="shared" si="197"/>
        <v>0</v>
      </c>
      <c r="CJ266" s="1830">
        <f t="shared" si="197"/>
        <v>0</v>
      </c>
      <c r="CK266" s="1830">
        <f t="shared" si="197"/>
        <v>0</v>
      </c>
      <c r="CL266" s="1558"/>
      <c r="CM266" s="1558"/>
      <c r="CN266" s="1558"/>
      <c r="CO266" s="1558"/>
      <c r="CP266" s="1558"/>
      <c r="CQ266" s="1558"/>
      <c r="CR266" s="1558"/>
      <c r="CS266" s="1558"/>
      <c r="CT266" s="1558"/>
      <c r="CU266" s="1558"/>
      <c r="CV266" s="1558"/>
      <c r="CW266" s="1558"/>
      <c r="CY266" s="1558"/>
    </row>
    <row r="267" spans="1:103" s="1559" customFormat="1" x14ac:dyDescent="0.15">
      <c r="A267" s="1541" t="s">
        <v>84</v>
      </c>
      <c r="B267" s="1523" t="s">
        <v>79</v>
      </c>
      <c r="C267" s="1523" t="s">
        <v>80</v>
      </c>
      <c r="D267" s="1523" t="s">
        <v>125</v>
      </c>
      <c r="E267" s="1523" t="s">
        <v>231</v>
      </c>
      <c r="F267" s="1523"/>
      <c r="G267" s="1667">
        <v>213</v>
      </c>
      <c r="H267" s="1822">
        <f t="shared" si="194"/>
        <v>12670.6</v>
      </c>
      <c r="I267" s="1822">
        <f t="shared" si="194"/>
        <v>0</v>
      </c>
      <c r="J267" s="1822">
        <f t="shared" si="194"/>
        <v>0</v>
      </c>
      <c r="K267" s="1822">
        <f t="shared" si="194"/>
        <v>0</v>
      </c>
      <c r="L267" s="1822">
        <f t="shared" si="194"/>
        <v>0</v>
      </c>
      <c r="M267" s="1822">
        <f t="shared" si="194"/>
        <v>0</v>
      </c>
      <c r="N267" s="1822">
        <f t="shared" si="194"/>
        <v>0</v>
      </c>
      <c r="O267" s="1822">
        <f t="shared" si="194"/>
        <v>0</v>
      </c>
      <c r="P267" s="1822">
        <f t="shared" si="194"/>
        <v>0</v>
      </c>
      <c r="Q267" s="1822">
        <f t="shared" si="194"/>
        <v>0</v>
      </c>
      <c r="R267" s="1822">
        <f t="shared" si="194"/>
        <v>0</v>
      </c>
      <c r="S267" s="1823">
        <f t="shared" si="194"/>
        <v>0</v>
      </c>
      <c r="T267" s="1824"/>
      <c r="U267" s="1825"/>
      <c r="V267" s="1825"/>
      <c r="W267" s="1826"/>
      <c r="X267" s="1826"/>
      <c r="Y267" s="1826"/>
      <c r="Z267" s="1827"/>
      <c r="AA267" s="1826"/>
      <c r="AB267" s="1826"/>
      <c r="AC267" s="1828">
        <f t="shared" si="194"/>
        <v>12670.6</v>
      </c>
      <c r="AD267" s="1828">
        <f t="shared" si="194"/>
        <v>0</v>
      </c>
      <c r="AE267" s="1828">
        <f t="shared" si="194"/>
        <v>0</v>
      </c>
      <c r="AF267" s="1828">
        <f t="shared" si="194"/>
        <v>0</v>
      </c>
      <c r="AG267" s="1828">
        <f t="shared" si="194"/>
        <v>0</v>
      </c>
      <c r="AH267" s="1828">
        <f t="shared" si="194"/>
        <v>0</v>
      </c>
      <c r="AI267" s="1829">
        <f t="shared" si="194"/>
        <v>0</v>
      </c>
      <c r="AJ267" s="1829">
        <f t="shared" si="194"/>
        <v>0</v>
      </c>
      <c r="AK267" s="1829">
        <f t="shared" si="194"/>
        <v>0</v>
      </c>
      <c r="AL267" s="1636">
        <f t="shared" si="195"/>
        <v>0</v>
      </c>
      <c r="AM267" s="1829">
        <f t="shared" si="194"/>
        <v>0</v>
      </c>
      <c r="AN267" s="1830"/>
      <c r="AO267" s="1830">
        <f t="shared" si="194"/>
        <v>1055.9000000000001</v>
      </c>
      <c r="AP267" s="1830">
        <f t="shared" si="194"/>
        <v>0</v>
      </c>
      <c r="AQ267" s="1830">
        <f t="shared" si="194"/>
        <v>0</v>
      </c>
      <c r="AR267" s="1830">
        <f t="shared" si="194"/>
        <v>0</v>
      </c>
      <c r="AS267" s="1827">
        <f t="shared" si="194"/>
        <v>1056</v>
      </c>
      <c r="AT267" s="1830">
        <f t="shared" si="194"/>
        <v>0</v>
      </c>
      <c r="AU267" s="1830">
        <f t="shared" si="194"/>
        <v>0</v>
      </c>
      <c r="AV267" s="1830">
        <f t="shared" si="194"/>
        <v>0</v>
      </c>
      <c r="AW267" s="1827">
        <f t="shared" si="194"/>
        <v>1055.8999999999999</v>
      </c>
      <c r="AX267" s="1830">
        <f t="shared" si="194"/>
        <v>0</v>
      </c>
      <c r="AY267" s="1830">
        <f t="shared" si="194"/>
        <v>0</v>
      </c>
      <c r="AZ267" s="1830">
        <f t="shared" si="194"/>
        <v>0</v>
      </c>
      <c r="BA267" s="1830">
        <f t="shared" si="194"/>
        <v>1055.94</v>
      </c>
      <c r="BB267" s="1830">
        <f t="shared" si="194"/>
        <v>0</v>
      </c>
      <c r="BC267" s="1830">
        <f t="shared" si="194"/>
        <v>0</v>
      </c>
      <c r="BD267" s="1830">
        <f t="shared" si="194"/>
        <v>0</v>
      </c>
      <c r="BE267" s="1511">
        <f t="shared" si="194"/>
        <v>1055.94</v>
      </c>
      <c r="BF267" s="1830">
        <f t="shared" si="194"/>
        <v>0</v>
      </c>
      <c r="BG267" s="1830">
        <f t="shared" si="194"/>
        <v>0</v>
      </c>
      <c r="BH267" s="1830">
        <f t="shared" si="194"/>
        <v>0</v>
      </c>
      <c r="BI267" s="1830">
        <f t="shared" si="194"/>
        <v>1199.46</v>
      </c>
      <c r="BJ267" s="1830">
        <f t="shared" si="194"/>
        <v>0</v>
      </c>
      <c r="BK267" s="1830">
        <f t="shared" si="194"/>
        <v>0</v>
      </c>
      <c r="BL267" s="1830">
        <f t="shared" si="194"/>
        <v>0</v>
      </c>
      <c r="BM267" s="1830">
        <f t="shared" si="194"/>
        <v>2111.88</v>
      </c>
      <c r="BN267" s="1830">
        <f t="shared" si="194"/>
        <v>0</v>
      </c>
      <c r="BO267" s="1830">
        <f t="shared" si="194"/>
        <v>0</v>
      </c>
      <c r="BP267" s="1830">
        <f t="shared" si="194"/>
        <v>0</v>
      </c>
      <c r="BQ267" s="1830">
        <f t="shared" si="194"/>
        <v>1071.5700000000002</v>
      </c>
      <c r="BR267" s="1830">
        <f t="shared" si="194"/>
        <v>0</v>
      </c>
      <c r="BS267" s="1830">
        <f t="shared" si="194"/>
        <v>0</v>
      </c>
      <c r="BT267" s="1830">
        <f t="shared" ref="BT267:CF267" si="199">BT290+BT307+BT324</f>
        <v>0</v>
      </c>
      <c r="BU267" s="1830">
        <f t="shared" si="199"/>
        <v>1055.8799999999999</v>
      </c>
      <c r="BV267" s="1830">
        <f t="shared" si="199"/>
        <v>0</v>
      </c>
      <c r="BW267" s="1830">
        <f t="shared" si="199"/>
        <v>0</v>
      </c>
      <c r="BX267" s="1830">
        <f t="shared" si="199"/>
        <v>0</v>
      </c>
      <c r="BY267" s="1830">
        <f t="shared" si="199"/>
        <v>990.9</v>
      </c>
      <c r="BZ267" s="1830">
        <f t="shared" si="199"/>
        <v>0</v>
      </c>
      <c r="CA267" s="1830">
        <f t="shared" si="199"/>
        <v>0</v>
      </c>
      <c r="CB267" s="1830">
        <f t="shared" si="199"/>
        <v>0</v>
      </c>
      <c r="CC267" s="1830">
        <f t="shared" si="199"/>
        <v>267.48</v>
      </c>
      <c r="CD267" s="1830">
        <f t="shared" si="199"/>
        <v>0</v>
      </c>
      <c r="CE267" s="1830">
        <f t="shared" si="199"/>
        <v>0</v>
      </c>
      <c r="CF267" s="1830">
        <f t="shared" si="199"/>
        <v>0</v>
      </c>
      <c r="CG267" s="1831"/>
      <c r="CH267" s="1830">
        <f t="shared" si="197"/>
        <v>693.75</v>
      </c>
      <c r="CI267" s="1830">
        <f t="shared" si="197"/>
        <v>0</v>
      </c>
      <c r="CJ267" s="1830">
        <f t="shared" si="197"/>
        <v>0</v>
      </c>
      <c r="CK267" s="1830">
        <f t="shared" si="197"/>
        <v>0</v>
      </c>
      <c r="CL267" s="1558"/>
      <c r="CM267" s="1558"/>
      <c r="CN267" s="1558"/>
      <c r="CO267" s="1558"/>
      <c r="CP267" s="1558"/>
      <c r="CQ267" s="1558"/>
      <c r="CR267" s="1558"/>
      <c r="CS267" s="1558"/>
      <c r="CT267" s="1558"/>
      <c r="CU267" s="1558"/>
      <c r="CV267" s="1558"/>
      <c r="CW267" s="1558"/>
      <c r="CY267" s="1558"/>
    </row>
    <row r="268" spans="1:103" s="1559" customFormat="1" x14ac:dyDescent="0.15">
      <c r="A268" s="1541" t="s">
        <v>85</v>
      </c>
      <c r="B268" s="1523" t="s">
        <v>79</v>
      </c>
      <c r="C268" s="1523" t="s">
        <v>80</v>
      </c>
      <c r="D268" s="1523" t="s">
        <v>125</v>
      </c>
      <c r="E268" s="1523" t="s">
        <v>231</v>
      </c>
      <c r="F268" s="1523"/>
      <c r="G268" s="1667">
        <v>221</v>
      </c>
      <c r="H268" s="1822">
        <f t="shared" si="194"/>
        <v>218.29999999999998</v>
      </c>
      <c r="I268" s="1822">
        <f t="shared" si="194"/>
        <v>0</v>
      </c>
      <c r="J268" s="1822">
        <f t="shared" si="194"/>
        <v>0</v>
      </c>
      <c r="K268" s="1822">
        <f t="shared" si="194"/>
        <v>0</v>
      </c>
      <c r="L268" s="1822">
        <f t="shared" si="194"/>
        <v>0</v>
      </c>
      <c r="M268" s="1822">
        <f t="shared" si="194"/>
        <v>0</v>
      </c>
      <c r="N268" s="1822">
        <f t="shared" si="194"/>
        <v>0</v>
      </c>
      <c r="O268" s="1822">
        <f t="shared" si="194"/>
        <v>0</v>
      </c>
      <c r="P268" s="1822">
        <f t="shared" si="194"/>
        <v>0</v>
      </c>
      <c r="Q268" s="1822">
        <f t="shared" si="194"/>
        <v>0</v>
      </c>
      <c r="R268" s="1822">
        <f t="shared" si="194"/>
        <v>0</v>
      </c>
      <c r="S268" s="1823">
        <f t="shared" si="194"/>
        <v>0</v>
      </c>
      <c r="T268" s="1824"/>
      <c r="U268" s="1825"/>
      <c r="V268" s="1825"/>
      <c r="W268" s="1826"/>
      <c r="X268" s="1826"/>
      <c r="Y268" s="1826"/>
      <c r="Z268" s="1827"/>
      <c r="AA268" s="1826"/>
      <c r="AB268" s="1826"/>
      <c r="AC268" s="1828">
        <f t="shared" si="194"/>
        <v>218.3</v>
      </c>
      <c r="AD268" s="1828">
        <f t="shared" si="194"/>
        <v>0</v>
      </c>
      <c r="AE268" s="1828">
        <f t="shared" si="194"/>
        <v>0</v>
      </c>
      <c r="AF268" s="1828">
        <f t="shared" si="194"/>
        <v>0</v>
      </c>
      <c r="AG268" s="1828">
        <f t="shared" si="194"/>
        <v>0</v>
      </c>
      <c r="AH268" s="1828">
        <f t="shared" si="194"/>
        <v>0</v>
      </c>
      <c r="AI268" s="1829">
        <f t="shared" si="194"/>
        <v>0</v>
      </c>
      <c r="AJ268" s="1829">
        <f t="shared" si="194"/>
        <v>0</v>
      </c>
      <c r="AK268" s="1829">
        <f t="shared" si="194"/>
        <v>0</v>
      </c>
      <c r="AL268" s="1636">
        <f t="shared" si="195"/>
        <v>0</v>
      </c>
      <c r="AM268" s="1829">
        <f t="shared" si="194"/>
        <v>0</v>
      </c>
      <c r="AN268" s="1830"/>
      <c r="AO268" s="1830">
        <f t="shared" si="194"/>
        <v>18.200000000000003</v>
      </c>
      <c r="AP268" s="1830">
        <f t="shared" si="194"/>
        <v>0</v>
      </c>
      <c r="AQ268" s="1830">
        <f t="shared" si="194"/>
        <v>0</v>
      </c>
      <c r="AR268" s="1830">
        <f t="shared" si="194"/>
        <v>0</v>
      </c>
      <c r="AS268" s="1827">
        <f t="shared" si="194"/>
        <v>0</v>
      </c>
      <c r="AT268" s="1830">
        <f t="shared" si="194"/>
        <v>0</v>
      </c>
      <c r="AU268" s="1830">
        <f t="shared" si="194"/>
        <v>0</v>
      </c>
      <c r="AV268" s="1830">
        <f t="shared" si="194"/>
        <v>0</v>
      </c>
      <c r="AW268" s="1827">
        <f t="shared" si="194"/>
        <v>0</v>
      </c>
      <c r="AX268" s="1830">
        <f t="shared" si="194"/>
        <v>0</v>
      </c>
      <c r="AY268" s="1830">
        <f t="shared" si="194"/>
        <v>0</v>
      </c>
      <c r="AZ268" s="1830">
        <f t="shared" si="194"/>
        <v>0</v>
      </c>
      <c r="BA268" s="1830">
        <f t="shared" si="194"/>
        <v>0</v>
      </c>
      <c r="BB268" s="1830">
        <f t="shared" si="194"/>
        <v>0</v>
      </c>
      <c r="BC268" s="1830">
        <f t="shared" si="194"/>
        <v>0</v>
      </c>
      <c r="BD268" s="1830">
        <f t="shared" si="194"/>
        <v>0</v>
      </c>
      <c r="BE268" s="1511">
        <f t="shared" si="194"/>
        <v>169.7</v>
      </c>
      <c r="BF268" s="1830">
        <f t="shared" si="194"/>
        <v>0</v>
      </c>
      <c r="BG268" s="1830">
        <f t="shared" si="194"/>
        <v>0</v>
      </c>
      <c r="BH268" s="1830">
        <f t="shared" si="194"/>
        <v>0</v>
      </c>
      <c r="BI268" s="1830">
        <f t="shared" si="194"/>
        <v>0</v>
      </c>
      <c r="BJ268" s="1830">
        <f t="shared" si="194"/>
        <v>0</v>
      </c>
      <c r="BK268" s="1830">
        <f t="shared" si="194"/>
        <v>0</v>
      </c>
      <c r="BL268" s="1830">
        <f t="shared" si="194"/>
        <v>0</v>
      </c>
      <c r="BM268" s="1830">
        <f t="shared" si="194"/>
        <v>0</v>
      </c>
      <c r="BN268" s="1830">
        <f t="shared" si="194"/>
        <v>0</v>
      </c>
      <c r="BO268" s="1830">
        <f t="shared" si="194"/>
        <v>0</v>
      </c>
      <c r="BP268" s="1830">
        <f t="shared" si="194"/>
        <v>0</v>
      </c>
      <c r="BQ268" s="1830">
        <f t="shared" si="194"/>
        <v>0</v>
      </c>
      <c r="BR268" s="1830">
        <f t="shared" si="194"/>
        <v>0</v>
      </c>
      <c r="BS268" s="1830">
        <f t="shared" si="194"/>
        <v>0</v>
      </c>
      <c r="BT268" s="1830">
        <f t="shared" ref="BT268:CF268" si="200">BT291+BT308+BT325</f>
        <v>0</v>
      </c>
      <c r="BU268" s="1830">
        <f t="shared" si="200"/>
        <v>0</v>
      </c>
      <c r="BV268" s="1830">
        <f t="shared" si="200"/>
        <v>0</v>
      </c>
      <c r="BW268" s="1830">
        <f t="shared" si="200"/>
        <v>0</v>
      </c>
      <c r="BX268" s="1830">
        <f t="shared" si="200"/>
        <v>0</v>
      </c>
      <c r="BY268" s="1830">
        <f t="shared" si="200"/>
        <v>0</v>
      </c>
      <c r="BZ268" s="1830">
        <f t="shared" si="200"/>
        <v>0</v>
      </c>
      <c r="CA268" s="1830">
        <f t="shared" si="200"/>
        <v>0</v>
      </c>
      <c r="CB268" s="1830">
        <f t="shared" si="200"/>
        <v>0</v>
      </c>
      <c r="CC268" s="1830">
        <f t="shared" si="200"/>
        <v>0</v>
      </c>
      <c r="CD268" s="1830">
        <f t="shared" si="200"/>
        <v>0</v>
      </c>
      <c r="CE268" s="1830">
        <f t="shared" si="200"/>
        <v>0</v>
      </c>
      <c r="CF268" s="1830">
        <f t="shared" si="200"/>
        <v>0</v>
      </c>
      <c r="CG268" s="1831"/>
      <c r="CH268" s="1830">
        <f t="shared" si="197"/>
        <v>30.400000000000002</v>
      </c>
      <c r="CI268" s="1830">
        <f t="shared" si="197"/>
        <v>0</v>
      </c>
      <c r="CJ268" s="1830">
        <f t="shared" si="197"/>
        <v>0</v>
      </c>
      <c r="CK268" s="1830">
        <f t="shared" si="197"/>
        <v>0</v>
      </c>
      <c r="CL268" s="1558"/>
      <c r="CM268" s="1558"/>
      <c r="CN268" s="1558"/>
      <c r="CO268" s="1558"/>
      <c r="CP268" s="1558"/>
      <c r="CQ268" s="1558"/>
      <c r="CR268" s="1558"/>
      <c r="CS268" s="1558"/>
      <c r="CT268" s="1558"/>
      <c r="CU268" s="1558"/>
      <c r="CV268" s="1558"/>
      <c r="CW268" s="1558"/>
      <c r="CY268" s="1558"/>
    </row>
    <row r="269" spans="1:103" s="1559" customFormat="1" ht="15" customHeight="1" x14ac:dyDescent="0.15">
      <c r="A269" s="1541" t="s">
        <v>86</v>
      </c>
      <c r="B269" s="1523" t="s">
        <v>79</v>
      </c>
      <c r="C269" s="1523" t="s">
        <v>80</v>
      </c>
      <c r="D269" s="1523" t="s">
        <v>125</v>
      </c>
      <c r="E269" s="1523" t="s">
        <v>231</v>
      </c>
      <c r="F269" s="1523"/>
      <c r="G269" s="1667">
        <v>222</v>
      </c>
      <c r="H269" s="1822">
        <f t="shared" si="194"/>
        <v>176</v>
      </c>
      <c r="I269" s="1822">
        <f t="shared" si="194"/>
        <v>0</v>
      </c>
      <c r="J269" s="1822">
        <f t="shared" si="194"/>
        <v>0</v>
      </c>
      <c r="K269" s="1822">
        <f t="shared" si="194"/>
        <v>0</v>
      </c>
      <c r="L269" s="1822">
        <f t="shared" si="194"/>
        <v>0</v>
      </c>
      <c r="M269" s="1822">
        <f t="shared" si="194"/>
        <v>0</v>
      </c>
      <c r="N269" s="1822">
        <f t="shared" si="194"/>
        <v>0</v>
      </c>
      <c r="O269" s="1822">
        <f t="shared" si="194"/>
        <v>0</v>
      </c>
      <c r="P269" s="1822">
        <f t="shared" si="194"/>
        <v>0</v>
      </c>
      <c r="Q269" s="1822">
        <f t="shared" si="194"/>
        <v>0</v>
      </c>
      <c r="R269" s="1822">
        <f t="shared" si="194"/>
        <v>0</v>
      </c>
      <c r="S269" s="1823">
        <f t="shared" si="194"/>
        <v>0</v>
      </c>
      <c r="T269" s="1824"/>
      <c r="U269" s="1825"/>
      <c r="V269" s="1825"/>
      <c r="W269" s="1826"/>
      <c r="X269" s="1826"/>
      <c r="Y269" s="1826"/>
      <c r="Z269" s="1827"/>
      <c r="AA269" s="1826"/>
      <c r="AB269" s="1826"/>
      <c r="AC269" s="1828">
        <f t="shared" si="194"/>
        <v>176</v>
      </c>
      <c r="AD269" s="1828">
        <f t="shared" si="194"/>
        <v>0</v>
      </c>
      <c r="AE269" s="1828">
        <f t="shared" si="194"/>
        <v>0</v>
      </c>
      <c r="AF269" s="1828">
        <f t="shared" si="194"/>
        <v>0</v>
      </c>
      <c r="AG269" s="1828">
        <f t="shared" si="194"/>
        <v>0</v>
      </c>
      <c r="AH269" s="1828">
        <f t="shared" si="194"/>
        <v>0</v>
      </c>
      <c r="AI269" s="1829">
        <f t="shared" si="194"/>
        <v>0</v>
      </c>
      <c r="AJ269" s="1829">
        <f t="shared" si="194"/>
        <v>0</v>
      </c>
      <c r="AK269" s="1829">
        <f t="shared" si="194"/>
        <v>0</v>
      </c>
      <c r="AL269" s="1636">
        <f t="shared" si="195"/>
        <v>0</v>
      </c>
      <c r="AM269" s="1829">
        <f t="shared" si="194"/>
        <v>0</v>
      </c>
      <c r="AN269" s="1830"/>
      <c r="AO269" s="1830">
        <f t="shared" si="194"/>
        <v>14.7</v>
      </c>
      <c r="AP269" s="1830">
        <f t="shared" si="194"/>
        <v>0</v>
      </c>
      <c r="AQ269" s="1830">
        <f t="shared" si="194"/>
        <v>0</v>
      </c>
      <c r="AR269" s="1830">
        <f t="shared" si="194"/>
        <v>0</v>
      </c>
      <c r="AS269" s="1827">
        <f t="shared" si="194"/>
        <v>0</v>
      </c>
      <c r="AT269" s="1830">
        <f t="shared" si="194"/>
        <v>0</v>
      </c>
      <c r="AU269" s="1830">
        <f t="shared" si="194"/>
        <v>0</v>
      </c>
      <c r="AV269" s="1830">
        <f t="shared" si="194"/>
        <v>0</v>
      </c>
      <c r="AW269" s="1827">
        <f t="shared" si="194"/>
        <v>0</v>
      </c>
      <c r="AX269" s="1830">
        <f t="shared" si="194"/>
        <v>0</v>
      </c>
      <c r="AY269" s="1830">
        <f t="shared" si="194"/>
        <v>0</v>
      </c>
      <c r="AZ269" s="1830">
        <f t="shared" si="194"/>
        <v>0</v>
      </c>
      <c r="BA269" s="1830">
        <f t="shared" si="194"/>
        <v>0</v>
      </c>
      <c r="BB269" s="1830">
        <f t="shared" si="194"/>
        <v>0</v>
      </c>
      <c r="BC269" s="1830">
        <f t="shared" si="194"/>
        <v>0</v>
      </c>
      <c r="BD269" s="1830">
        <f t="shared" si="194"/>
        <v>0</v>
      </c>
      <c r="BE269" s="1511">
        <f t="shared" si="194"/>
        <v>88</v>
      </c>
      <c r="BF269" s="1830">
        <f t="shared" si="194"/>
        <v>0</v>
      </c>
      <c r="BG269" s="1830">
        <f t="shared" si="194"/>
        <v>0</v>
      </c>
      <c r="BH269" s="1830">
        <f t="shared" si="194"/>
        <v>0</v>
      </c>
      <c r="BI269" s="1830">
        <f t="shared" si="194"/>
        <v>0</v>
      </c>
      <c r="BJ269" s="1830">
        <f t="shared" si="194"/>
        <v>0</v>
      </c>
      <c r="BK269" s="1830">
        <f t="shared" si="194"/>
        <v>0</v>
      </c>
      <c r="BL269" s="1830">
        <f t="shared" si="194"/>
        <v>0</v>
      </c>
      <c r="BM269" s="1830">
        <f t="shared" si="194"/>
        <v>0</v>
      </c>
      <c r="BN269" s="1830">
        <f t="shared" si="194"/>
        <v>0</v>
      </c>
      <c r="BO269" s="1830">
        <f t="shared" si="194"/>
        <v>0</v>
      </c>
      <c r="BP269" s="1830">
        <f t="shared" si="194"/>
        <v>0</v>
      </c>
      <c r="BQ269" s="1830">
        <f t="shared" si="194"/>
        <v>0</v>
      </c>
      <c r="BR269" s="1830">
        <f t="shared" si="194"/>
        <v>0</v>
      </c>
      <c r="BS269" s="1830">
        <f t="shared" si="194"/>
        <v>0</v>
      </c>
      <c r="BT269" s="1830">
        <f t="shared" ref="BT269:CF269" si="201">BT292+BT309+BT326</f>
        <v>0</v>
      </c>
      <c r="BU269" s="1830">
        <f t="shared" si="201"/>
        <v>0</v>
      </c>
      <c r="BV269" s="1830">
        <f t="shared" si="201"/>
        <v>0</v>
      </c>
      <c r="BW269" s="1830">
        <f t="shared" si="201"/>
        <v>0</v>
      </c>
      <c r="BX269" s="1830">
        <f t="shared" si="201"/>
        <v>0</v>
      </c>
      <c r="BY269" s="1830">
        <f t="shared" si="201"/>
        <v>0</v>
      </c>
      <c r="BZ269" s="1830">
        <f t="shared" si="201"/>
        <v>0</v>
      </c>
      <c r="CA269" s="1830">
        <f t="shared" si="201"/>
        <v>0</v>
      </c>
      <c r="CB269" s="1830">
        <f t="shared" si="201"/>
        <v>0</v>
      </c>
      <c r="CC269" s="1830">
        <f t="shared" si="201"/>
        <v>0</v>
      </c>
      <c r="CD269" s="1830">
        <f t="shared" si="201"/>
        <v>0</v>
      </c>
      <c r="CE269" s="1830">
        <f t="shared" si="201"/>
        <v>0</v>
      </c>
      <c r="CF269" s="1830">
        <f t="shared" si="201"/>
        <v>0</v>
      </c>
      <c r="CG269" s="1831"/>
      <c r="CH269" s="1830">
        <f t="shared" si="197"/>
        <v>73.3</v>
      </c>
      <c r="CI269" s="1830">
        <f t="shared" si="197"/>
        <v>0</v>
      </c>
      <c r="CJ269" s="1830">
        <f t="shared" si="197"/>
        <v>0</v>
      </c>
      <c r="CK269" s="1830">
        <f t="shared" si="197"/>
        <v>0</v>
      </c>
      <c r="CL269" s="1558"/>
      <c r="CM269" s="1558"/>
      <c r="CN269" s="1558"/>
      <c r="CO269" s="1558"/>
      <c r="CP269" s="1558"/>
      <c r="CQ269" s="1558"/>
      <c r="CR269" s="1558"/>
      <c r="CS269" s="1558"/>
      <c r="CT269" s="1558"/>
      <c r="CU269" s="1558"/>
      <c r="CV269" s="1558"/>
      <c r="CW269" s="1558"/>
      <c r="CY269" s="1558"/>
    </row>
    <row r="270" spans="1:103" s="1559" customFormat="1" x14ac:dyDescent="0.15">
      <c r="A270" s="1541" t="s">
        <v>87</v>
      </c>
      <c r="B270" s="1523" t="s">
        <v>79</v>
      </c>
      <c r="C270" s="1523" t="s">
        <v>80</v>
      </c>
      <c r="D270" s="1523" t="s">
        <v>125</v>
      </c>
      <c r="E270" s="1523" t="s">
        <v>231</v>
      </c>
      <c r="F270" s="1523"/>
      <c r="G270" s="1667">
        <v>223</v>
      </c>
      <c r="H270" s="1822">
        <f t="shared" ref="H270:BS274" si="202">H293+H310+H327</f>
        <v>471.59999999999997</v>
      </c>
      <c r="I270" s="1822">
        <f t="shared" si="202"/>
        <v>0</v>
      </c>
      <c r="J270" s="1822">
        <f t="shared" si="202"/>
        <v>0</v>
      </c>
      <c r="K270" s="1822">
        <f t="shared" si="202"/>
        <v>0</v>
      </c>
      <c r="L270" s="1822">
        <f t="shared" si="202"/>
        <v>0</v>
      </c>
      <c r="M270" s="1822">
        <f t="shared" si="202"/>
        <v>0</v>
      </c>
      <c r="N270" s="1822">
        <f t="shared" si="202"/>
        <v>0</v>
      </c>
      <c r="O270" s="1822">
        <f t="shared" si="202"/>
        <v>0</v>
      </c>
      <c r="P270" s="1822">
        <f t="shared" si="202"/>
        <v>0</v>
      </c>
      <c r="Q270" s="1822">
        <f t="shared" si="202"/>
        <v>0</v>
      </c>
      <c r="R270" s="1822">
        <f t="shared" si="202"/>
        <v>0</v>
      </c>
      <c r="S270" s="1823">
        <f t="shared" si="202"/>
        <v>0</v>
      </c>
      <c r="T270" s="1824"/>
      <c r="U270" s="1825"/>
      <c r="V270" s="1825"/>
      <c r="W270" s="1826"/>
      <c r="X270" s="1826"/>
      <c r="Y270" s="1826"/>
      <c r="Z270" s="1827"/>
      <c r="AA270" s="1826"/>
      <c r="AB270" s="1826"/>
      <c r="AC270" s="1828">
        <f t="shared" si="202"/>
        <v>471.6</v>
      </c>
      <c r="AD270" s="1828">
        <f t="shared" si="202"/>
        <v>0</v>
      </c>
      <c r="AE270" s="1828">
        <f t="shared" si="202"/>
        <v>0</v>
      </c>
      <c r="AF270" s="1828">
        <f t="shared" si="202"/>
        <v>0</v>
      </c>
      <c r="AG270" s="1828">
        <f t="shared" si="202"/>
        <v>0</v>
      </c>
      <c r="AH270" s="1828">
        <f t="shared" si="202"/>
        <v>0</v>
      </c>
      <c r="AI270" s="1829">
        <f t="shared" si="202"/>
        <v>0</v>
      </c>
      <c r="AJ270" s="1829">
        <f t="shared" si="202"/>
        <v>0</v>
      </c>
      <c r="AK270" s="1829">
        <f t="shared" si="202"/>
        <v>0</v>
      </c>
      <c r="AL270" s="1636">
        <f t="shared" si="195"/>
        <v>0</v>
      </c>
      <c r="AM270" s="1829">
        <f t="shared" si="202"/>
        <v>0</v>
      </c>
      <c r="AN270" s="1830"/>
      <c r="AO270" s="1830">
        <f t="shared" si="202"/>
        <v>39.200000000000003</v>
      </c>
      <c r="AP270" s="1830">
        <f t="shared" si="202"/>
        <v>0</v>
      </c>
      <c r="AQ270" s="1830">
        <f t="shared" si="202"/>
        <v>0</v>
      </c>
      <c r="AR270" s="1830">
        <f t="shared" si="202"/>
        <v>0</v>
      </c>
      <c r="AS270" s="1827">
        <f t="shared" si="202"/>
        <v>39.1</v>
      </c>
      <c r="AT270" s="1830">
        <f t="shared" si="202"/>
        <v>0</v>
      </c>
      <c r="AU270" s="1830">
        <f t="shared" si="202"/>
        <v>0</v>
      </c>
      <c r="AV270" s="1830">
        <f t="shared" si="202"/>
        <v>0</v>
      </c>
      <c r="AW270" s="1827">
        <f t="shared" si="202"/>
        <v>0</v>
      </c>
      <c r="AX270" s="1830">
        <f t="shared" si="202"/>
        <v>0</v>
      </c>
      <c r="AY270" s="1830">
        <f t="shared" si="202"/>
        <v>0</v>
      </c>
      <c r="AZ270" s="1830">
        <f t="shared" si="202"/>
        <v>0</v>
      </c>
      <c r="BA270" s="1830">
        <f t="shared" si="202"/>
        <v>0</v>
      </c>
      <c r="BB270" s="1830">
        <f t="shared" si="202"/>
        <v>0</v>
      </c>
      <c r="BC270" s="1830">
        <f t="shared" si="202"/>
        <v>0</v>
      </c>
      <c r="BD270" s="1830">
        <f t="shared" si="202"/>
        <v>0</v>
      </c>
      <c r="BE270" s="1511">
        <f t="shared" si="202"/>
        <v>124.69999999999999</v>
      </c>
      <c r="BF270" s="1830">
        <f t="shared" si="202"/>
        <v>0</v>
      </c>
      <c r="BG270" s="1830">
        <f t="shared" si="202"/>
        <v>0</v>
      </c>
      <c r="BH270" s="1830">
        <f t="shared" si="202"/>
        <v>0</v>
      </c>
      <c r="BI270" s="1830">
        <f t="shared" si="202"/>
        <v>102.92</v>
      </c>
      <c r="BJ270" s="1830">
        <f t="shared" si="202"/>
        <v>0</v>
      </c>
      <c r="BK270" s="1830">
        <f t="shared" si="202"/>
        <v>0</v>
      </c>
      <c r="BL270" s="1830">
        <f t="shared" si="202"/>
        <v>0</v>
      </c>
      <c r="BM270" s="1830">
        <f t="shared" si="202"/>
        <v>0</v>
      </c>
      <c r="BN270" s="1830">
        <f t="shared" si="202"/>
        <v>0</v>
      </c>
      <c r="BO270" s="1830">
        <f t="shared" si="202"/>
        <v>0</v>
      </c>
      <c r="BP270" s="1830">
        <f t="shared" si="202"/>
        <v>0</v>
      </c>
      <c r="BQ270" s="1830">
        <f t="shared" si="202"/>
        <v>23.7</v>
      </c>
      <c r="BR270" s="1830">
        <f t="shared" si="202"/>
        <v>0</v>
      </c>
      <c r="BS270" s="1830">
        <f t="shared" si="202"/>
        <v>0</v>
      </c>
      <c r="BT270" s="1830">
        <f t="shared" ref="BT270:CF270" si="203">BT293+BT310+BT327</f>
        <v>0</v>
      </c>
      <c r="BU270" s="1830">
        <f t="shared" si="203"/>
        <v>0</v>
      </c>
      <c r="BV270" s="1830">
        <f t="shared" si="203"/>
        <v>0</v>
      </c>
      <c r="BW270" s="1830">
        <f t="shared" si="203"/>
        <v>0</v>
      </c>
      <c r="BX270" s="1830">
        <f t="shared" si="203"/>
        <v>0</v>
      </c>
      <c r="BY270" s="1830">
        <f t="shared" si="203"/>
        <v>47.4</v>
      </c>
      <c r="BZ270" s="1830">
        <f t="shared" si="203"/>
        <v>0</v>
      </c>
      <c r="CA270" s="1830">
        <f t="shared" si="203"/>
        <v>0</v>
      </c>
      <c r="CB270" s="1830">
        <f t="shared" si="203"/>
        <v>0</v>
      </c>
      <c r="CC270" s="1830">
        <f t="shared" si="203"/>
        <v>0</v>
      </c>
      <c r="CD270" s="1830">
        <f t="shared" si="203"/>
        <v>0</v>
      </c>
      <c r="CE270" s="1830">
        <f t="shared" si="203"/>
        <v>0</v>
      </c>
      <c r="CF270" s="1830">
        <f t="shared" si="203"/>
        <v>0</v>
      </c>
      <c r="CG270" s="1831"/>
      <c r="CH270" s="1830">
        <f t="shared" si="197"/>
        <v>94.58</v>
      </c>
      <c r="CI270" s="1830">
        <f t="shared" si="197"/>
        <v>0</v>
      </c>
      <c r="CJ270" s="1830">
        <f t="shared" si="197"/>
        <v>0</v>
      </c>
      <c r="CK270" s="1830">
        <f t="shared" si="197"/>
        <v>0</v>
      </c>
      <c r="CL270" s="1558"/>
      <c r="CM270" s="1558"/>
      <c r="CN270" s="1558"/>
      <c r="CO270" s="1558"/>
      <c r="CP270" s="1558"/>
      <c r="CQ270" s="1558"/>
      <c r="CR270" s="1558"/>
      <c r="CS270" s="1558"/>
      <c r="CT270" s="1558"/>
      <c r="CU270" s="1558"/>
      <c r="CV270" s="1558"/>
      <c r="CW270" s="1558"/>
      <c r="CY270" s="1558"/>
    </row>
    <row r="271" spans="1:103" s="1559" customFormat="1" x14ac:dyDescent="0.15">
      <c r="A271" s="1541" t="s">
        <v>111</v>
      </c>
      <c r="B271" s="1523" t="s">
        <v>79</v>
      </c>
      <c r="C271" s="1523" t="s">
        <v>80</v>
      </c>
      <c r="D271" s="1523" t="s">
        <v>125</v>
      </c>
      <c r="E271" s="1523" t="s">
        <v>231</v>
      </c>
      <c r="F271" s="1523"/>
      <c r="G271" s="1667">
        <v>224</v>
      </c>
      <c r="H271" s="1822">
        <f t="shared" si="202"/>
        <v>0</v>
      </c>
      <c r="I271" s="1822">
        <f t="shared" si="202"/>
        <v>0</v>
      </c>
      <c r="J271" s="1822">
        <f t="shared" si="202"/>
        <v>0</v>
      </c>
      <c r="K271" s="1822">
        <f t="shared" si="202"/>
        <v>0</v>
      </c>
      <c r="L271" s="1822">
        <f t="shared" si="202"/>
        <v>0</v>
      </c>
      <c r="M271" s="1822">
        <f t="shared" si="202"/>
        <v>0</v>
      </c>
      <c r="N271" s="1822">
        <f t="shared" si="202"/>
        <v>0</v>
      </c>
      <c r="O271" s="1822">
        <f t="shared" si="202"/>
        <v>0</v>
      </c>
      <c r="P271" s="1822">
        <f t="shared" si="202"/>
        <v>0</v>
      </c>
      <c r="Q271" s="1822">
        <f t="shared" si="202"/>
        <v>0</v>
      </c>
      <c r="R271" s="1822">
        <f t="shared" si="202"/>
        <v>0</v>
      </c>
      <c r="S271" s="1823">
        <f t="shared" si="202"/>
        <v>0</v>
      </c>
      <c r="T271" s="1824"/>
      <c r="U271" s="1825"/>
      <c r="V271" s="1825"/>
      <c r="W271" s="1826"/>
      <c r="X271" s="1826"/>
      <c r="Y271" s="1826"/>
      <c r="Z271" s="1827"/>
      <c r="AA271" s="1826"/>
      <c r="AB271" s="1826"/>
      <c r="AC271" s="1828">
        <f t="shared" si="202"/>
        <v>0</v>
      </c>
      <c r="AD271" s="1828">
        <f t="shared" si="202"/>
        <v>0</v>
      </c>
      <c r="AE271" s="1828">
        <f t="shared" si="202"/>
        <v>0</v>
      </c>
      <c r="AF271" s="1828">
        <f t="shared" si="202"/>
        <v>0</v>
      </c>
      <c r="AG271" s="1828">
        <f t="shared" si="202"/>
        <v>0</v>
      </c>
      <c r="AH271" s="1828">
        <f t="shared" si="202"/>
        <v>0</v>
      </c>
      <c r="AI271" s="1829">
        <f t="shared" si="202"/>
        <v>0</v>
      </c>
      <c r="AJ271" s="1829">
        <f t="shared" si="202"/>
        <v>0</v>
      </c>
      <c r="AK271" s="1829">
        <f t="shared" si="202"/>
        <v>0</v>
      </c>
      <c r="AL271" s="1636">
        <f t="shared" si="195"/>
        <v>0</v>
      </c>
      <c r="AM271" s="1829">
        <f t="shared" si="202"/>
        <v>0</v>
      </c>
      <c r="AN271" s="1830"/>
      <c r="AO271" s="1830">
        <f t="shared" si="202"/>
        <v>0</v>
      </c>
      <c r="AP271" s="1830">
        <f t="shared" si="202"/>
        <v>0</v>
      </c>
      <c r="AQ271" s="1830">
        <f t="shared" si="202"/>
        <v>0</v>
      </c>
      <c r="AR271" s="1830">
        <f t="shared" si="202"/>
        <v>0</v>
      </c>
      <c r="AS271" s="1827">
        <f t="shared" si="202"/>
        <v>0</v>
      </c>
      <c r="AT271" s="1830">
        <f t="shared" si="202"/>
        <v>0</v>
      </c>
      <c r="AU271" s="1830">
        <f t="shared" si="202"/>
        <v>0</v>
      </c>
      <c r="AV271" s="1830">
        <f t="shared" si="202"/>
        <v>0</v>
      </c>
      <c r="AW271" s="1827">
        <f t="shared" si="202"/>
        <v>0</v>
      </c>
      <c r="AX271" s="1830">
        <f t="shared" si="202"/>
        <v>0</v>
      </c>
      <c r="AY271" s="1830">
        <f t="shared" si="202"/>
        <v>0</v>
      </c>
      <c r="AZ271" s="1830">
        <f t="shared" si="202"/>
        <v>0</v>
      </c>
      <c r="BA271" s="1830">
        <f t="shared" si="202"/>
        <v>0</v>
      </c>
      <c r="BB271" s="1830">
        <f t="shared" si="202"/>
        <v>0</v>
      </c>
      <c r="BC271" s="1830">
        <f t="shared" si="202"/>
        <v>0</v>
      </c>
      <c r="BD271" s="1830">
        <f t="shared" si="202"/>
        <v>0</v>
      </c>
      <c r="BE271" s="1511">
        <f t="shared" si="202"/>
        <v>0</v>
      </c>
      <c r="BF271" s="1830">
        <f t="shared" si="202"/>
        <v>0</v>
      </c>
      <c r="BG271" s="1830">
        <f t="shared" si="202"/>
        <v>0</v>
      </c>
      <c r="BH271" s="1830">
        <f t="shared" si="202"/>
        <v>0</v>
      </c>
      <c r="BI271" s="1830">
        <f t="shared" si="202"/>
        <v>0</v>
      </c>
      <c r="BJ271" s="1830">
        <f t="shared" si="202"/>
        <v>0</v>
      </c>
      <c r="BK271" s="1830">
        <f t="shared" si="202"/>
        <v>0</v>
      </c>
      <c r="BL271" s="1830">
        <f t="shared" si="202"/>
        <v>0</v>
      </c>
      <c r="BM271" s="1830">
        <f t="shared" si="202"/>
        <v>0</v>
      </c>
      <c r="BN271" s="1830">
        <f t="shared" si="202"/>
        <v>0</v>
      </c>
      <c r="BO271" s="1830">
        <f t="shared" si="202"/>
        <v>0</v>
      </c>
      <c r="BP271" s="1830">
        <f t="shared" si="202"/>
        <v>0</v>
      </c>
      <c r="BQ271" s="1830">
        <f t="shared" si="202"/>
        <v>0</v>
      </c>
      <c r="BR271" s="1830">
        <f t="shared" si="202"/>
        <v>0</v>
      </c>
      <c r="BS271" s="1830">
        <f t="shared" si="202"/>
        <v>0</v>
      </c>
      <c r="BT271" s="1830">
        <f t="shared" ref="BT271:CF271" si="204">BT294+BT311+BT328</f>
        <v>0</v>
      </c>
      <c r="BU271" s="1830">
        <f t="shared" si="204"/>
        <v>0</v>
      </c>
      <c r="BV271" s="1830">
        <f t="shared" si="204"/>
        <v>0</v>
      </c>
      <c r="BW271" s="1830">
        <f t="shared" si="204"/>
        <v>0</v>
      </c>
      <c r="BX271" s="1830">
        <f t="shared" si="204"/>
        <v>0</v>
      </c>
      <c r="BY271" s="1830">
        <f t="shared" si="204"/>
        <v>0</v>
      </c>
      <c r="BZ271" s="1830">
        <f t="shared" si="204"/>
        <v>0</v>
      </c>
      <c r="CA271" s="1830">
        <f t="shared" si="204"/>
        <v>0</v>
      </c>
      <c r="CB271" s="1830">
        <f t="shared" si="204"/>
        <v>0</v>
      </c>
      <c r="CC271" s="1830">
        <f t="shared" si="204"/>
        <v>0</v>
      </c>
      <c r="CD271" s="1830">
        <f t="shared" si="204"/>
        <v>0</v>
      </c>
      <c r="CE271" s="1830">
        <f t="shared" si="204"/>
        <v>0</v>
      </c>
      <c r="CF271" s="1830">
        <f t="shared" si="204"/>
        <v>0</v>
      </c>
      <c r="CG271" s="1831"/>
      <c r="CH271" s="1830">
        <f t="shared" si="197"/>
        <v>0</v>
      </c>
      <c r="CI271" s="1830">
        <f t="shared" si="197"/>
        <v>0</v>
      </c>
      <c r="CJ271" s="1830">
        <f t="shared" si="197"/>
        <v>0</v>
      </c>
      <c r="CK271" s="1830">
        <f t="shared" si="197"/>
        <v>0</v>
      </c>
      <c r="CL271" s="1558"/>
      <c r="CM271" s="1558"/>
      <c r="CN271" s="1558"/>
      <c r="CO271" s="1558"/>
      <c r="CP271" s="1558"/>
      <c r="CQ271" s="1558"/>
      <c r="CR271" s="1558"/>
      <c r="CS271" s="1558"/>
      <c r="CT271" s="1558"/>
      <c r="CU271" s="1558"/>
      <c r="CV271" s="1558"/>
      <c r="CW271" s="1558"/>
      <c r="CY271" s="1558"/>
    </row>
    <row r="272" spans="1:103" s="1559" customFormat="1" x14ac:dyDescent="0.15">
      <c r="A272" s="1541" t="s">
        <v>90</v>
      </c>
      <c r="B272" s="1523" t="s">
        <v>79</v>
      </c>
      <c r="C272" s="1523" t="s">
        <v>80</v>
      </c>
      <c r="D272" s="1523" t="s">
        <v>125</v>
      </c>
      <c r="E272" s="1523" t="s">
        <v>231</v>
      </c>
      <c r="F272" s="1523"/>
      <c r="G272" s="1667">
        <v>225</v>
      </c>
      <c r="H272" s="1822">
        <f t="shared" si="202"/>
        <v>45.353999999999999</v>
      </c>
      <c r="I272" s="1822">
        <f t="shared" si="202"/>
        <v>18800</v>
      </c>
      <c r="J272" s="1822">
        <f t="shared" si="202"/>
        <v>75</v>
      </c>
      <c r="K272" s="1822">
        <f t="shared" si="202"/>
        <v>10490.865</v>
      </c>
      <c r="L272" s="1822">
        <f t="shared" si="202"/>
        <v>120</v>
      </c>
      <c r="M272" s="1822">
        <f t="shared" si="202"/>
        <v>0</v>
      </c>
      <c r="N272" s="1822">
        <f t="shared" si="202"/>
        <v>0</v>
      </c>
      <c r="O272" s="1822">
        <f t="shared" si="202"/>
        <v>0</v>
      </c>
      <c r="P272" s="1822">
        <f t="shared" si="202"/>
        <v>0</v>
      </c>
      <c r="Q272" s="1822">
        <f t="shared" si="202"/>
        <v>0</v>
      </c>
      <c r="R272" s="1822">
        <f t="shared" si="202"/>
        <v>0</v>
      </c>
      <c r="S272" s="1823">
        <f t="shared" si="202"/>
        <v>0</v>
      </c>
      <c r="T272" s="1824"/>
      <c r="U272" s="1825"/>
      <c r="V272" s="1825"/>
      <c r="W272" s="1826"/>
      <c r="X272" s="1826"/>
      <c r="Y272" s="1826"/>
      <c r="Z272" s="1827"/>
      <c r="AA272" s="1826"/>
      <c r="AB272" s="1826"/>
      <c r="AC272" s="1828">
        <f t="shared" si="202"/>
        <v>45.353999999999999</v>
      </c>
      <c r="AD272" s="1828">
        <f t="shared" si="202"/>
        <v>29365.864999999998</v>
      </c>
      <c r="AE272" s="1828">
        <f t="shared" si="202"/>
        <v>18800</v>
      </c>
      <c r="AF272" s="1828">
        <f t="shared" si="202"/>
        <v>75</v>
      </c>
      <c r="AG272" s="1828">
        <f t="shared" si="202"/>
        <v>10490.865</v>
      </c>
      <c r="AH272" s="1828">
        <f t="shared" si="202"/>
        <v>0</v>
      </c>
      <c r="AI272" s="1829">
        <f t="shared" si="202"/>
        <v>0</v>
      </c>
      <c r="AJ272" s="1829">
        <f t="shared" si="202"/>
        <v>0</v>
      </c>
      <c r="AK272" s="1829">
        <f t="shared" si="202"/>
        <v>0</v>
      </c>
      <c r="AL272" s="1636">
        <f t="shared" si="195"/>
        <v>0</v>
      </c>
      <c r="AM272" s="1829">
        <f t="shared" si="202"/>
        <v>0</v>
      </c>
      <c r="AN272" s="1830"/>
      <c r="AO272" s="1830">
        <f t="shared" si="202"/>
        <v>0</v>
      </c>
      <c r="AP272" s="1830">
        <f t="shared" si="202"/>
        <v>0</v>
      </c>
      <c r="AQ272" s="1830">
        <f t="shared" si="202"/>
        <v>0</v>
      </c>
      <c r="AR272" s="1830">
        <f t="shared" si="202"/>
        <v>0</v>
      </c>
      <c r="AS272" s="1827">
        <f t="shared" si="202"/>
        <v>0</v>
      </c>
      <c r="AT272" s="1830">
        <f t="shared" si="202"/>
        <v>0</v>
      </c>
      <c r="AU272" s="1830">
        <f t="shared" si="202"/>
        <v>0</v>
      </c>
      <c r="AV272" s="1830">
        <f t="shared" si="202"/>
        <v>0</v>
      </c>
      <c r="AW272" s="1827">
        <f t="shared" si="202"/>
        <v>0</v>
      </c>
      <c r="AX272" s="1830">
        <f t="shared" si="202"/>
        <v>0</v>
      </c>
      <c r="AY272" s="1830">
        <f t="shared" si="202"/>
        <v>0</v>
      </c>
      <c r="AZ272" s="1830">
        <f t="shared" si="202"/>
        <v>0</v>
      </c>
      <c r="BA272" s="1830">
        <f t="shared" si="202"/>
        <v>0</v>
      </c>
      <c r="BB272" s="1830">
        <f t="shared" si="202"/>
        <v>10000</v>
      </c>
      <c r="BC272" s="1830">
        <f t="shared" si="202"/>
        <v>0</v>
      </c>
      <c r="BD272" s="1830">
        <f t="shared" si="202"/>
        <v>0</v>
      </c>
      <c r="BE272" s="1511">
        <f t="shared" si="202"/>
        <v>35.299999999999997</v>
      </c>
      <c r="BF272" s="1830">
        <f t="shared" si="202"/>
        <v>0</v>
      </c>
      <c r="BG272" s="1830">
        <f t="shared" si="202"/>
        <v>0</v>
      </c>
      <c r="BH272" s="1830">
        <f t="shared" si="202"/>
        <v>0</v>
      </c>
      <c r="BI272" s="1830">
        <f t="shared" si="202"/>
        <v>0</v>
      </c>
      <c r="BJ272" s="1830">
        <f t="shared" si="202"/>
        <v>2800</v>
      </c>
      <c r="BK272" s="1830">
        <f t="shared" si="202"/>
        <v>0</v>
      </c>
      <c r="BL272" s="1830">
        <f t="shared" si="202"/>
        <v>3333.3</v>
      </c>
      <c r="BM272" s="1830">
        <f t="shared" si="202"/>
        <v>0</v>
      </c>
      <c r="BN272" s="1830">
        <f t="shared" si="202"/>
        <v>0</v>
      </c>
      <c r="BO272" s="1830">
        <f t="shared" si="202"/>
        <v>0</v>
      </c>
      <c r="BP272" s="1830">
        <f t="shared" si="202"/>
        <v>4918.7</v>
      </c>
      <c r="BQ272" s="1830">
        <f t="shared" si="202"/>
        <v>0</v>
      </c>
      <c r="BR272" s="1830">
        <f t="shared" si="202"/>
        <v>0</v>
      </c>
      <c r="BS272" s="1830">
        <f t="shared" si="202"/>
        <v>0</v>
      </c>
      <c r="BT272" s="1830">
        <f t="shared" ref="BT272:CF272" si="205">BT295+BT312+BT329</f>
        <v>0</v>
      </c>
      <c r="BU272" s="1830">
        <f t="shared" si="205"/>
        <v>0</v>
      </c>
      <c r="BV272" s="1830">
        <f t="shared" si="205"/>
        <v>0</v>
      </c>
      <c r="BW272" s="1830">
        <f t="shared" si="205"/>
        <v>0</v>
      </c>
      <c r="BX272" s="1830">
        <f t="shared" si="205"/>
        <v>0</v>
      </c>
      <c r="BY272" s="1830">
        <f t="shared" si="205"/>
        <v>0</v>
      </c>
      <c r="BZ272" s="1830">
        <f t="shared" si="205"/>
        <v>0</v>
      </c>
      <c r="CA272" s="1830">
        <f t="shared" si="205"/>
        <v>0</v>
      </c>
      <c r="CB272" s="1830">
        <f t="shared" si="205"/>
        <v>600</v>
      </c>
      <c r="CC272" s="1830">
        <f t="shared" si="205"/>
        <v>0</v>
      </c>
      <c r="CD272" s="1830">
        <f t="shared" si="205"/>
        <v>0</v>
      </c>
      <c r="CE272" s="1830">
        <f t="shared" si="205"/>
        <v>0</v>
      </c>
      <c r="CF272" s="1830">
        <f t="shared" si="205"/>
        <v>0</v>
      </c>
      <c r="CG272" s="1831"/>
      <c r="CH272" s="1830">
        <f t="shared" si="197"/>
        <v>10.054</v>
      </c>
      <c r="CI272" s="1830">
        <f t="shared" si="197"/>
        <v>6000</v>
      </c>
      <c r="CJ272" s="1830">
        <f t="shared" si="197"/>
        <v>75</v>
      </c>
      <c r="CK272" s="1830">
        <f t="shared" si="197"/>
        <v>1638.865</v>
      </c>
      <c r="CL272" s="1558"/>
      <c r="CM272" s="1558"/>
      <c r="CN272" s="1558"/>
      <c r="CO272" s="1558"/>
      <c r="CP272" s="1558"/>
      <c r="CQ272" s="1558"/>
      <c r="CR272" s="1558"/>
      <c r="CS272" s="1558"/>
      <c r="CT272" s="1558"/>
      <c r="CU272" s="1558"/>
      <c r="CV272" s="1558"/>
      <c r="CW272" s="1558"/>
      <c r="CY272" s="1558"/>
    </row>
    <row r="273" spans="1:107" s="1559" customFormat="1" x14ac:dyDescent="0.15">
      <c r="A273" s="1541" t="s">
        <v>91</v>
      </c>
      <c r="B273" s="1523" t="s">
        <v>79</v>
      </c>
      <c r="C273" s="1523" t="s">
        <v>80</v>
      </c>
      <c r="D273" s="1523" t="s">
        <v>125</v>
      </c>
      <c r="E273" s="1523" t="s">
        <v>231</v>
      </c>
      <c r="F273" s="1523"/>
      <c r="G273" s="1667">
        <v>226</v>
      </c>
      <c r="H273" s="1822">
        <f t="shared" si="202"/>
        <v>9650.732</v>
      </c>
      <c r="I273" s="1822">
        <f t="shared" si="202"/>
        <v>25221.3</v>
      </c>
      <c r="J273" s="1822">
        <f t="shared" si="202"/>
        <v>300</v>
      </c>
      <c r="K273" s="1822">
        <f t="shared" si="202"/>
        <v>3348</v>
      </c>
      <c r="L273" s="1822">
        <f t="shared" si="202"/>
        <v>270</v>
      </c>
      <c r="M273" s="1822">
        <f t="shared" si="202"/>
        <v>0</v>
      </c>
      <c r="N273" s="1822">
        <f t="shared" si="202"/>
        <v>0</v>
      </c>
      <c r="O273" s="1822">
        <f t="shared" si="202"/>
        <v>0</v>
      </c>
      <c r="P273" s="1822">
        <f t="shared" si="202"/>
        <v>0</v>
      </c>
      <c r="Q273" s="1822">
        <f t="shared" si="202"/>
        <v>0</v>
      </c>
      <c r="R273" s="1822">
        <f t="shared" si="202"/>
        <v>0</v>
      </c>
      <c r="S273" s="1823">
        <f t="shared" si="202"/>
        <v>0</v>
      </c>
      <c r="T273" s="1824"/>
      <c r="U273" s="1825"/>
      <c r="V273" s="1825"/>
      <c r="W273" s="1826"/>
      <c r="X273" s="1826"/>
      <c r="Y273" s="1826"/>
      <c r="Z273" s="1827"/>
      <c r="AA273" s="1826"/>
      <c r="AB273" s="1826"/>
      <c r="AC273" s="1828">
        <f t="shared" si="202"/>
        <v>9650.732</v>
      </c>
      <c r="AD273" s="1828">
        <f t="shared" si="202"/>
        <v>28869.300220000001</v>
      </c>
      <c r="AE273" s="1828">
        <f t="shared" si="202"/>
        <v>25221.300220000001</v>
      </c>
      <c r="AF273" s="1828">
        <f t="shared" si="202"/>
        <v>300</v>
      </c>
      <c r="AG273" s="1828">
        <f t="shared" si="202"/>
        <v>3348</v>
      </c>
      <c r="AH273" s="1828">
        <f t="shared" si="202"/>
        <v>0</v>
      </c>
      <c r="AI273" s="1829">
        <f t="shared" si="202"/>
        <v>0</v>
      </c>
      <c r="AJ273" s="1829">
        <f t="shared" si="202"/>
        <v>-2.1999999989930075E-4</v>
      </c>
      <c r="AK273" s="1829">
        <f t="shared" si="202"/>
        <v>-2.1999999989930075E-4</v>
      </c>
      <c r="AL273" s="1636">
        <f t="shared" si="195"/>
        <v>0</v>
      </c>
      <c r="AM273" s="1829">
        <f t="shared" si="202"/>
        <v>0</v>
      </c>
      <c r="AN273" s="1830"/>
      <c r="AO273" s="1830">
        <f t="shared" si="202"/>
        <v>0</v>
      </c>
      <c r="AP273" s="1830">
        <f t="shared" si="202"/>
        <v>1431.3</v>
      </c>
      <c r="AQ273" s="1830">
        <f t="shared" si="202"/>
        <v>0</v>
      </c>
      <c r="AR273" s="1830">
        <f t="shared" si="202"/>
        <v>0</v>
      </c>
      <c r="AS273" s="1827">
        <f t="shared" si="202"/>
        <v>700</v>
      </c>
      <c r="AT273" s="1830">
        <f t="shared" si="202"/>
        <v>0</v>
      </c>
      <c r="AU273" s="1830">
        <f t="shared" si="202"/>
        <v>0</v>
      </c>
      <c r="AV273" s="1830">
        <f t="shared" si="202"/>
        <v>0</v>
      </c>
      <c r="AW273" s="1827">
        <f t="shared" si="202"/>
        <v>2000</v>
      </c>
      <c r="AX273" s="1830">
        <f t="shared" si="202"/>
        <v>0</v>
      </c>
      <c r="AY273" s="1830">
        <f t="shared" si="202"/>
        <v>0</v>
      </c>
      <c r="AZ273" s="1830">
        <f t="shared" si="202"/>
        <v>0</v>
      </c>
      <c r="BA273" s="1830">
        <f t="shared" si="202"/>
        <v>3120</v>
      </c>
      <c r="BB273" s="1830">
        <f t="shared" si="202"/>
        <v>760</v>
      </c>
      <c r="BC273" s="1830">
        <f t="shared" si="202"/>
        <v>0</v>
      </c>
      <c r="BD273" s="1830">
        <f t="shared" si="202"/>
        <v>1240</v>
      </c>
      <c r="BE273" s="1511">
        <f t="shared" si="202"/>
        <v>2373.14</v>
      </c>
      <c r="BF273" s="1830">
        <f t="shared" si="202"/>
        <v>7134.3</v>
      </c>
      <c r="BG273" s="1830">
        <f t="shared" si="202"/>
        <v>0</v>
      </c>
      <c r="BH273" s="1830">
        <f t="shared" si="202"/>
        <v>2108</v>
      </c>
      <c r="BI273" s="1830">
        <f t="shared" si="202"/>
        <v>0</v>
      </c>
      <c r="BJ273" s="1830">
        <f t="shared" si="202"/>
        <v>12894.415000000001</v>
      </c>
      <c r="BK273" s="1830">
        <f t="shared" si="202"/>
        <v>0</v>
      </c>
      <c r="BL273" s="1830">
        <f t="shared" si="202"/>
        <v>0</v>
      </c>
      <c r="BM273" s="1830">
        <f t="shared" si="202"/>
        <v>0</v>
      </c>
      <c r="BN273" s="1830">
        <f t="shared" si="202"/>
        <v>0</v>
      </c>
      <c r="BO273" s="1830">
        <f t="shared" si="202"/>
        <v>0</v>
      </c>
      <c r="BP273" s="1830">
        <f t="shared" si="202"/>
        <v>0</v>
      </c>
      <c r="BQ273" s="1830">
        <f t="shared" si="202"/>
        <v>70</v>
      </c>
      <c r="BR273" s="1830">
        <f t="shared" si="202"/>
        <v>1703.7</v>
      </c>
      <c r="BS273" s="1830">
        <f t="shared" si="202"/>
        <v>0</v>
      </c>
      <c r="BT273" s="1830">
        <f t="shared" ref="BT273:CF273" si="206">BT296+BT313+BT330</f>
        <v>0</v>
      </c>
      <c r="BU273" s="1830">
        <f t="shared" si="206"/>
        <v>0</v>
      </c>
      <c r="BV273" s="1830">
        <f t="shared" si="206"/>
        <v>110.79422</v>
      </c>
      <c r="BW273" s="1830">
        <f t="shared" si="206"/>
        <v>0</v>
      </c>
      <c r="BX273" s="1830">
        <f t="shared" si="206"/>
        <v>0</v>
      </c>
      <c r="BY273" s="1830">
        <f t="shared" si="206"/>
        <v>0</v>
      </c>
      <c r="BZ273" s="1830">
        <f t="shared" si="206"/>
        <v>0</v>
      </c>
      <c r="CA273" s="1830">
        <f t="shared" si="206"/>
        <v>300</v>
      </c>
      <c r="CB273" s="1830">
        <f t="shared" si="206"/>
        <v>0</v>
      </c>
      <c r="CC273" s="1830">
        <f t="shared" si="206"/>
        <v>0</v>
      </c>
      <c r="CD273" s="1830">
        <f t="shared" si="206"/>
        <v>0</v>
      </c>
      <c r="CE273" s="1830">
        <f t="shared" si="206"/>
        <v>0</v>
      </c>
      <c r="CF273" s="1830">
        <f t="shared" si="206"/>
        <v>0</v>
      </c>
      <c r="CG273" s="1831"/>
      <c r="CH273" s="1830">
        <f t="shared" si="197"/>
        <v>1387.5920000000001</v>
      </c>
      <c r="CI273" s="1830">
        <f t="shared" si="197"/>
        <v>1186.7909999999999</v>
      </c>
      <c r="CJ273" s="1830">
        <f t="shared" si="197"/>
        <v>0</v>
      </c>
      <c r="CK273" s="1830">
        <f t="shared" si="197"/>
        <v>0</v>
      </c>
      <c r="CL273" s="1558"/>
      <c r="CM273" s="1558"/>
      <c r="CN273" s="1558"/>
      <c r="CO273" s="1558"/>
      <c r="CP273" s="1558"/>
      <c r="CQ273" s="1558"/>
      <c r="CR273" s="1558"/>
      <c r="CS273" s="1558"/>
      <c r="CT273" s="1558"/>
      <c r="CU273" s="1558"/>
      <c r="CV273" s="1558"/>
      <c r="CW273" s="1558"/>
      <c r="CY273" s="1558"/>
    </row>
    <row r="274" spans="1:107" s="1559" customFormat="1" x14ac:dyDescent="0.15">
      <c r="A274" s="1541" t="s">
        <v>94</v>
      </c>
      <c r="B274" s="1523" t="s">
        <v>79</v>
      </c>
      <c r="C274" s="1523" t="s">
        <v>80</v>
      </c>
      <c r="D274" s="1523" t="s">
        <v>125</v>
      </c>
      <c r="E274" s="1523" t="s">
        <v>231</v>
      </c>
      <c r="F274" s="1523"/>
      <c r="G274" s="1667">
        <v>290</v>
      </c>
      <c r="H274" s="1822">
        <f t="shared" si="202"/>
        <v>260.89999999999998</v>
      </c>
      <c r="I274" s="1822">
        <f t="shared" si="202"/>
        <v>0</v>
      </c>
      <c r="J274" s="1822">
        <f t="shared" si="202"/>
        <v>0</v>
      </c>
      <c r="K274" s="1822">
        <f t="shared" si="202"/>
        <v>0</v>
      </c>
      <c r="L274" s="1822">
        <f t="shared" si="202"/>
        <v>0</v>
      </c>
      <c r="M274" s="1822">
        <f t="shared" si="202"/>
        <v>0</v>
      </c>
      <c r="N274" s="1822">
        <f t="shared" si="202"/>
        <v>0</v>
      </c>
      <c r="O274" s="1822">
        <f t="shared" si="202"/>
        <v>0</v>
      </c>
      <c r="P274" s="1822">
        <f t="shared" si="202"/>
        <v>0</v>
      </c>
      <c r="Q274" s="1822">
        <f t="shared" si="202"/>
        <v>0</v>
      </c>
      <c r="R274" s="1822">
        <f t="shared" si="202"/>
        <v>0</v>
      </c>
      <c r="S274" s="1823">
        <f t="shared" si="202"/>
        <v>0</v>
      </c>
      <c r="T274" s="1824"/>
      <c r="U274" s="1825"/>
      <c r="V274" s="1825"/>
      <c r="W274" s="1826"/>
      <c r="X274" s="1826"/>
      <c r="Y274" s="1826"/>
      <c r="Z274" s="1827"/>
      <c r="AA274" s="1826"/>
      <c r="AB274" s="1826"/>
      <c r="AC274" s="1828">
        <f t="shared" si="202"/>
        <v>260.89999999999998</v>
      </c>
      <c r="AD274" s="1828">
        <f t="shared" si="202"/>
        <v>0</v>
      </c>
      <c r="AE274" s="1828">
        <f t="shared" si="202"/>
        <v>0</v>
      </c>
      <c r="AF274" s="1828">
        <f t="shared" si="202"/>
        <v>0</v>
      </c>
      <c r="AG274" s="1828">
        <f t="shared" si="202"/>
        <v>0</v>
      </c>
      <c r="AH274" s="1828">
        <f t="shared" si="202"/>
        <v>0</v>
      </c>
      <c r="AI274" s="1829">
        <f t="shared" si="202"/>
        <v>0</v>
      </c>
      <c r="AJ274" s="1829">
        <f t="shared" si="202"/>
        <v>0</v>
      </c>
      <c r="AK274" s="1829">
        <f t="shared" si="202"/>
        <v>0</v>
      </c>
      <c r="AL274" s="1636">
        <f t="shared" si="195"/>
        <v>0</v>
      </c>
      <c r="AM274" s="1829">
        <f t="shared" si="202"/>
        <v>0</v>
      </c>
      <c r="AN274" s="1830"/>
      <c r="AO274" s="1830">
        <f t="shared" si="202"/>
        <v>21.7</v>
      </c>
      <c r="AP274" s="1830">
        <f t="shared" si="202"/>
        <v>0</v>
      </c>
      <c r="AQ274" s="1830">
        <f t="shared" si="202"/>
        <v>0</v>
      </c>
      <c r="AR274" s="1830">
        <f t="shared" si="202"/>
        <v>0</v>
      </c>
      <c r="AS274" s="1827">
        <f t="shared" si="202"/>
        <v>0</v>
      </c>
      <c r="AT274" s="1830">
        <f t="shared" si="202"/>
        <v>0</v>
      </c>
      <c r="AU274" s="1830">
        <f t="shared" si="202"/>
        <v>0</v>
      </c>
      <c r="AV274" s="1830">
        <f t="shared" si="202"/>
        <v>0</v>
      </c>
      <c r="AW274" s="1827">
        <f t="shared" si="202"/>
        <v>0</v>
      </c>
      <c r="AX274" s="1830">
        <f t="shared" si="202"/>
        <v>0</v>
      </c>
      <c r="AY274" s="1830">
        <f t="shared" si="202"/>
        <v>0</v>
      </c>
      <c r="AZ274" s="1830">
        <f t="shared" si="202"/>
        <v>0</v>
      </c>
      <c r="BA274" s="1830">
        <f t="shared" si="202"/>
        <v>0</v>
      </c>
      <c r="BB274" s="1830">
        <f t="shared" si="202"/>
        <v>0</v>
      </c>
      <c r="BC274" s="1830">
        <f t="shared" si="202"/>
        <v>0</v>
      </c>
      <c r="BD274" s="1830">
        <f t="shared" si="202"/>
        <v>0</v>
      </c>
      <c r="BE274" s="1511">
        <f t="shared" si="202"/>
        <v>65.100000000000009</v>
      </c>
      <c r="BF274" s="1830">
        <f t="shared" si="202"/>
        <v>0</v>
      </c>
      <c r="BG274" s="1830">
        <f t="shared" si="202"/>
        <v>0</v>
      </c>
      <c r="BH274" s="1830">
        <f t="shared" si="202"/>
        <v>0</v>
      </c>
      <c r="BI274" s="1830">
        <f t="shared" si="202"/>
        <v>47.5</v>
      </c>
      <c r="BJ274" s="1830">
        <f t="shared" ref="BJ274:BS274" si="207">BJ297+BJ314+BJ331</f>
        <v>0</v>
      </c>
      <c r="BK274" s="1830">
        <f t="shared" si="207"/>
        <v>0</v>
      </c>
      <c r="BL274" s="1830">
        <f t="shared" si="207"/>
        <v>0</v>
      </c>
      <c r="BM274" s="1830">
        <f t="shared" si="207"/>
        <v>0</v>
      </c>
      <c r="BN274" s="1830">
        <f t="shared" si="207"/>
        <v>0</v>
      </c>
      <c r="BO274" s="1830">
        <f t="shared" si="207"/>
        <v>0</v>
      </c>
      <c r="BP274" s="1830">
        <f t="shared" si="207"/>
        <v>0</v>
      </c>
      <c r="BQ274" s="1830">
        <f t="shared" si="207"/>
        <v>0</v>
      </c>
      <c r="BR274" s="1830">
        <f t="shared" si="207"/>
        <v>0</v>
      </c>
      <c r="BS274" s="1830">
        <f t="shared" si="207"/>
        <v>0</v>
      </c>
      <c r="BT274" s="1830">
        <f t="shared" ref="BT274:CF274" si="208">BT297+BT314+BT331</f>
        <v>0</v>
      </c>
      <c r="BU274" s="1830">
        <f t="shared" si="208"/>
        <v>78.899999999999991</v>
      </c>
      <c r="BV274" s="1830">
        <f t="shared" si="208"/>
        <v>0</v>
      </c>
      <c r="BW274" s="1830">
        <f t="shared" si="208"/>
        <v>0</v>
      </c>
      <c r="BX274" s="1830">
        <f t="shared" si="208"/>
        <v>0</v>
      </c>
      <c r="BY274" s="1830">
        <f t="shared" si="208"/>
        <v>0</v>
      </c>
      <c r="BZ274" s="1830">
        <f t="shared" si="208"/>
        <v>0</v>
      </c>
      <c r="CA274" s="1830">
        <f t="shared" si="208"/>
        <v>0</v>
      </c>
      <c r="CB274" s="1830">
        <f t="shared" si="208"/>
        <v>0</v>
      </c>
      <c r="CC274" s="1830">
        <f t="shared" si="208"/>
        <v>0</v>
      </c>
      <c r="CD274" s="1830">
        <f t="shared" si="208"/>
        <v>0</v>
      </c>
      <c r="CE274" s="1830">
        <f t="shared" si="208"/>
        <v>0</v>
      </c>
      <c r="CF274" s="1830">
        <f t="shared" si="208"/>
        <v>0</v>
      </c>
      <c r="CG274" s="1831"/>
      <c r="CH274" s="1830">
        <f t="shared" si="197"/>
        <v>47.7</v>
      </c>
      <c r="CI274" s="1830">
        <f t="shared" si="197"/>
        <v>0</v>
      </c>
      <c r="CJ274" s="1830">
        <f t="shared" si="197"/>
        <v>0</v>
      </c>
      <c r="CK274" s="1830">
        <f t="shared" si="197"/>
        <v>0</v>
      </c>
      <c r="CL274" s="1558"/>
      <c r="CM274" s="1558"/>
      <c r="CN274" s="1558"/>
      <c r="CO274" s="1558"/>
      <c r="CP274" s="1558"/>
      <c r="CQ274" s="1558"/>
      <c r="CR274" s="1558"/>
      <c r="CS274" s="1558"/>
      <c r="CT274" s="1558"/>
      <c r="CU274" s="1558"/>
      <c r="CV274" s="1558"/>
      <c r="CW274" s="1558"/>
      <c r="CY274" s="1558"/>
    </row>
    <row r="275" spans="1:107" s="1559" customFormat="1" x14ac:dyDescent="0.15">
      <c r="A275" s="1541" t="s">
        <v>94</v>
      </c>
      <c r="B275" s="1523" t="s">
        <v>79</v>
      </c>
      <c r="C275" s="1523" t="s">
        <v>80</v>
      </c>
      <c r="D275" s="1523" t="s">
        <v>125</v>
      </c>
      <c r="E275" s="1523" t="s">
        <v>231</v>
      </c>
      <c r="F275" s="1523"/>
      <c r="G275" s="1667" t="s">
        <v>95</v>
      </c>
      <c r="H275" s="1822">
        <f t="shared" ref="H275:BS278" si="209">H298+H315+H332</f>
        <v>0</v>
      </c>
      <c r="I275" s="1822">
        <f t="shared" si="209"/>
        <v>0</v>
      </c>
      <c r="J275" s="1822">
        <f t="shared" si="209"/>
        <v>0</v>
      </c>
      <c r="K275" s="1822">
        <f t="shared" si="209"/>
        <v>0</v>
      </c>
      <c r="L275" s="1822">
        <f t="shared" si="209"/>
        <v>0</v>
      </c>
      <c r="M275" s="1822">
        <f t="shared" si="209"/>
        <v>0</v>
      </c>
      <c r="N275" s="1822">
        <f t="shared" si="209"/>
        <v>0</v>
      </c>
      <c r="O275" s="1822">
        <f t="shared" si="209"/>
        <v>0</v>
      </c>
      <c r="P275" s="1822">
        <f t="shared" si="209"/>
        <v>0</v>
      </c>
      <c r="Q275" s="1822">
        <f t="shared" si="209"/>
        <v>0</v>
      </c>
      <c r="R275" s="1822">
        <f t="shared" si="209"/>
        <v>0</v>
      </c>
      <c r="S275" s="1823">
        <f t="shared" si="209"/>
        <v>0</v>
      </c>
      <c r="T275" s="1824"/>
      <c r="U275" s="1825"/>
      <c r="V275" s="1825"/>
      <c r="W275" s="1826"/>
      <c r="X275" s="1826"/>
      <c r="Y275" s="1826"/>
      <c r="Z275" s="1827"/>
      <c r="AA275" s="1826"/>
      <c r="AB275" s="1826"/>
      <c r="AC275" s="1828">
        <f t="shared" si="209"/>
        <v>0</v>
      </c>
      <c r="AD275" s="1828">
        <f t="shared" si="209"/>
        <v>0</v>
      </c>
      <c r="AE275" s="1828">
        <f t="shared" si="209"/>
        <v>0</v>
      </c>
      <c r="AF275" s="1828">
        <f t="shared" si="209"/>
        <v>0</v>
      </c>
      <c r="AG275" s="1828">
        <f t="shared" si="209"/>
        <v>0</v>
      </c>
      <c r="AH275" s="1828">
        <f t="shared" si="209"/>
        <v>0</v>
      </c>
      <c r="AI275" s="1829">
        <f t="shared" si="209"/>
        <v>0</v>
      </c>
      <c r="AJ275" s="1829">
        <f t="shared" si="209"/>
        <v>0</v>
      </c>
      <c r="AK275" s="1829">
        <f t="shared" si="209"/>
        <v>0</v>
      </c>
      <c r="AL275" s="1636">
        <f t="shared" si="195"/>
        <v>0</v>
      </c>
      <c r="AM275" s="1829">
        <f t="shared" si="209"/>
        <v>0</v>
      </c>
      <c r="AN275" s="1830"/>
      <c r="AO275" s="1830">
        <f t="shared" si="209"/>
        <v>0</v>
      </c>
      <c r="AP275" s="1830">
        <f t="shared" si="209"/>
        <v>0</v>
      </c>
      <c r="AQ275" s="1830">
        <f t="shared" si="209"/>
        <v>0</v>
      </c>
      <c r="AR275" s="1830">
        <f t="shared" si="209"/>
        <v>0</v>
      </c>
      <c r="AS275" s="1827">
        <f t="shared" si="209"/>
        <v>0</v>
      </c>
      <c r="AT275" s="1830">
        <f t="shared" si="209"/>
        <v>0</v>
      </c>
      <c r="AU275" s="1830">
        <f t="shared" si="209"/>
        <v>0</v>
      </c>
      <c r="AV275" s="1830">
        <f t="shared" si="209"/>
        <v>0</v>
      </c>
      <c r="AW275" s="1827">
        <f t="shared" si="209"/>
        <v>0</v>
      </c>
      <c r="AX275" s="1830">
        <f t="shared" si="209"/>
        <v>0</v>
      </c>
      <c r="AY275" s="1830">
        <f t="shared" si="209"/>
        <v>0</v>
      </c>
      <c r="AZ275" s="1830">
        <f t="shared" si="209"/>
        <v>0</v>
      </c>
      <c r="BA275" s="1830">
        <f t="shared" si="209"/>
        <v>0</v>
      </c>
      <c r="BB275" s="1830">
        <f t="shared" si="209"/>
        <v>0</v>
      </c>
      <c r="BC275" s="1830">
        <f t="shared" si="209"/>
        <v>0</v>
      </c>
      <c r="BD275" s="1830">
        <f t="shared" si="209"/>
        <v>0</v>
      </c>
      <c r="BE275" s="1511">
        <f t="shared" si="209"/>
        <v>0</v>
      </c>
      <c r="BF275" s="1830">
        <f t="shared" si="209"/>
        <v>0</v>
      </c>
      <c r="BG275" s="1830">
        <f t="shared" si="209"/>
        <v>0</v>
      </c>
      <c r="BH275" s="1830">
        <f t="shared" si="209"/>
        <v>0</v>
      </c>
      <c r="BI275" s="1830">
        <f t="shared" si="209"/>
        <v>0</v>
      </c>
      <c r="BJ275" s="1830">
        <f t="shared" si="209"/>
        <v>0</v>
      </c>
      <c r="BK275" s="1830">
        <f t="shared" si="209"/>
        <v>0</v>
      </c>
      <c r="BL275" s="1830">
        <f t="shared" si="209"/>
        <v>0</v>
      </c>
      <c r="BM275" s="1830">
        <f t="shared" si="209"/>
        <v>0</v>
      </c>
      <c r="BN275" s="1830">
        <f t="shared" si="209"/>
        <v>0</v>
      </c>
      <c r="BO275" s="1830">
        <f t="shared" si="209"/>
        <v>0</v>
      </c>
      <c r="BP275" s="1830">
        <f t="shared" si="209"/>
        <v>0</v>
      </c>
      <c r="BQ275" s="1830">
        <f t="shared" si="209"/>
        <v>0</v>
      </c>
      <c r="BR275" s="1830">
        <f t="shared" si="209"/>
        <v>0</v>
      </c>
      <c r="BS275" s="1830">
        <f t="shared" si="209"/>
        <v>0</v>
      </c>
      <c r="BT275" s="1830">
        <f t="shared" ref="BT275:CF275" si="210">BT298+BT315+BT332</f>
        <v>0</v>
      </c>
      <c r="BU275" s="1830">
        <f t="shared" si="210"/>
        <v>0</v>
      </c>
      <c r="BV275" s="1830">
        <f t="shared" si="210"/>
        <v>0</v>
      </c>
      <c r="BW275" s="1830">
        <f t="shared" si="210"/>
        <v>0</v>
      </c>
      <c r="BX275" s="1830">
        <f t="shared" si="210"/>
        <v>0</v>
      </c>
      <c r="BY275" s="1830">
        <f t="shared" si="210"/>
        <v>0</v>
      </c>
      <c r="BZ275" s="1830">
        <f t="shared" si="210"/>
        <v>0</v>
      </c>
      <c r="CA275" s="1830">
        <f t="shared" si="210"/>
        <v>0</v>
      </c>
      <c r="CB275" s="1830">
        <f t="shared" si="210"/>
        <v>0</v>
      </c>
      <c r="CC275" s="1830">
        <f t="shared" si="210"/>
        <v>0</v>
      </c>
      <c r="CD275" s="1830">
        <f t="shared" si="210"/>
        <v>0</v>
      </c>
      <c r="CE275" s="1830">
        <f t="shared" si="210"/>
        <v>0</v>
      </c>
      <c r="CF275" s="1830">
        <f t="shared" si="210"/>
        <v>0</v>
      </c>
      <c r="CG275" s="1831"/>
      <c r="CH275" s="1830">
        <f t="shared" si="197"/>
        <v>0</v>
      </c>
      <c r="CI275" s="1830">
        <f t="shared" si="197"/>
        <v>0</v>
      </c>
      <c r="CJ275" s="1830">
        <f t="shared" si="197"/>
        <v>0</v>
      </c>
      <c r="CK275" s="1830">
        <f t="shared" si="197"/>
        <v>0</v>
      </c>
      <c r="CL275" s="1558"/>
      <c r="CM275" s="1558"/>
      <c r="CN275" s="1558"/>
      <c r="CO275" s="1558"/>
      <c r="CP275" s="1558"/>
      <c r="CQ275" s="1558"/>
      <c r="CR275" s="1558"/>
      <c r="CS275" s="1558"/>
      <c r="CT275" s="1558"/>
      <c r="CU275" s="1558"/>
      <c r="CV275" s="1558"/>
      <c r="CW275" s="1558"/>
      <c r="CY275" s="1558"/>
    </row>
    <row r="276" spans="1:107" s="1559" customFormat="1" x14ac:dyDescent="0.15">
      <c r="A276" s="1541" t="s">
        <v>96</v>
      </c>
      <c r="B276" s="1523" t="s">
        <v>79</v>
      </c>
      <c r="C276" s="1523" t="s">
        <v>80</v>
      </c>
      <c r="D276" s="1523" t="s">
        <v>125</v>
      </c>
      <c r="E276" s="1523" t="s">
        <v>231</v>
      </c>
      <c r="F276" s="1523"/>
      <c r="G276" s="1667">
        <v>310</v>
      </c>
      <c r="H276" s="1822">
        <f t="shared" si="209"/>
        <v>1862.2339999999999</v>
      </c>
      <c r="I276" s="1822">
        <f t="shared" si="209"/>
        <v>31182</v>
      </c>
      <c r="J276" s="1822">
        <f t="shared" si="209"/>
        <v>0</v>
      </c>
      <c r="K276" s="1822">
        <f t="shared" si="209"/>
        <v>3000</v>
      </c>
      <c r="L276" s="1822">
        <f t="shared" si="209"/>
        <v>0</v>
      </c>
      <c r="M276" s="1822">
        <f t="shared" si="209"/>
        <v>0</v>
      </c>
      <c r="N276" s="1822">
        <f t="shared" si="209"/>
        <v>0</v>
      </c>
      <c r="O276" s="1822">
        <f t="shared" si="209"/>
        <v>0</v>
      </c>
      <c r="P276" s="1822">
        <f t="shared" si="209"/>
        <v>0</v>
      </c>
      <c r="Q276" s="1822">
        <f t="shared" si="209"/>
        <v>0</v>
      </c>
      <c r="R276" s="1822">
        <f t="shared" si="209"/>
        <v>0</v>
      </c>
      <c r="S276" s="1823">
        <f t="shared" si="209"/>
        <v>0</v>
      </c>
      <c r="T276" s="1824"/>
      <c r="U276" s="1825"/>
      <c r="V276" s="1825"/>
      <c r="W276" s="1826"/>
      <c r="X276" s="1826"/>
      <c r="Y276" s="1826"/>
      <c r="Z276" s="1827"/>
      <c r="AA276" s="1826"/>
      <c r="AB276" s="1826"/>
      <c r="AC276" s="1828">
        <f t="shared" si="209"/>
        <v>1862.2339999999999</v>
      </c>
      <c r="AD276" s="1828">
        <f t="shared" si="209"/>
        <v>34182</v>
      </c>
      <c r="AE276" s="1828">
        <f t="shared" si="209"/>
        <v>31182</v>
      </c>
      <c r="AF276" s="1828">
        <f t="shared" si="209"/>
        <v>0</v>
      </c>
      <c r="AG276" s="1828">
        <f t="shared" si="209"/>
        <v>3000</v>
      </c>
      <c r="AH276" s="1828">
        <f t="shared" si="209"/>
        <v>0</v>
      </c>
      <c r="AI276" s="1829">
        <f t="shared" si="209"/>
        <v>0</v>
      </c>
      <c r="AJ276" s="1829">
        <f t="shared" si="209"/>
        <v>0</v>
      </c>
      <c r="AK276" s="1829">
        <f t="shared" si="209"/>
        <v>0</v>
      </c>
      <c r="AL276" s="1636">
        <f t="shared" si="195"/>
        <v>0</v>
      </c>
      <c r="AM276" s="1829">
        <f t="shared" si="209"/>
        <v>0</v>
      </c>
      <c r="AN276" s="1830"/>
      <c r="AO276" s="1830">
        <f t="shared" si="209"/>
        <v>0</v>
      </c>
      <c r="AP276" s="1830">
        <f t="shared" si="209"/>
        <v>0</v>
      </c>
      <c r="AQ276" s="1830">
        <f t="shared" si="209"/>
        <v>0</v>
      </c>
      <c r="AR276" s="1830">
        <f t="shared" si="209"/>
        <v>0</v>
      </c>
      <c r="AS276" s="1827">
        <f t="shared" si="209"/>
        <v>0</v>
      </c>
      <c r="AT276" s="1830">
        <f t="shared" si="209"/>
        <v>0</v>
      </c>
      <c r="AU276" s="1830">
        <f t="shared" si="209"/>
        <v>0</v>
      </c>
      <c r="AV276" s="1830">
        <f t="shared" si="209"/>
        <v>0</v>
      </c>
      <c r="AW276" s="1827">
        <f t="shared" si="209"/>
        <v>0</v>
      </c>
      <c r="AX276" s="1830">
        <f t="shared" si="209"/>
        <v>0</v>
      </c>
      <c r="AY276" s="1830">
        <f t="shared" si="209"/>
        <v>0</v>
      </c>
      <c r="AZ276" s="1830">
        <f t="shared" si="209"/>
        <v>0</v>
      </c>
      <c r="BA276" s="1830">
        <f t="shared" si="209"/>
        <v>0</v>
      </c>
      <c r="BB276" s="1830">
        <f t="shared" si="209"/>
        <v>0</v>
      </c>
      <c r="BC276" s="1830">
        <f t="shared" si="209"/>
        <v>0</v>
      </c>
      <c r="BD276" s="1830">
        <f t="shared" si="209"/>
        <v>0</v>
      </c>
      <c r="BE276" s="1511">
        <f t="shared" si="209"/>
        <v>1538.28</v>
      </c>
      <c r="BF276" s="1830">
        <f t="shared" si="209"/>
        <v>0.7</v>
      </c>
      <c r="BG276" s="1830">
        <f t="shared" si="209"/>
        <v>0</v>
      </c>
      <c r="BH276" s="1830">
        <f t="shared" si="209"/>
        <v>192</v>
      </c>
      <c r="BI276" s="1830">
        <f t="shared" si="209"/>
        <v>0</v>
      </c>
      <c r="BJ276" s="1830">
        <f t="shared" si="209"/>
        <v>1118.8</v>
      </c>
      <c r="BK276" s="1830">
        <f t="shared" si="209"/>
        <v>0</v>
      </c>
      <c r="BL276" s="1830">
        <f t="shared" si="209"/>
        <v>0</v>
      </c>
      <c r="BM276" s="1830">
        <f t="shared" si="209"/>
        <v>0</v>
      </c>
      <c r="BN276" s="1830">
        <f t="shared" si="209"/>
        <v>10516.03</v>
      </c>
      <c r="BO276" s="1830">
        <f t="shared" si="209"/>
        <v>0</v>
      </c>
      <c r="BP276" s="1830">
        <f t="shared" si="209"/>
        <v>2808</v>
      </c>
      <c r="BQ276" s="1830">
        <f t="shared" si="209"/>
        <v>0</v>
      </c>
      <c r="BR276" s="1830">
        <f t="shared" si="209"/>
        <v>0</v>
      </c>
      <c r="BS276" s="1830">
        <f t="shared" si="209"/>
        <v>0</v>
      </c>
      <c r="BT276" s="1830">
        <f t="shared" ref="BT276:CF276" si="211">BT299+BT316+BT333</f>
        <v>0</v>
      </c>
      <c r="BU276" s="1830">
        <f t="shared" si="211"/>
        <v>0</v>
      </c>
      <c r="BV276" s="1830">
        <f t="shared" si="211"/>
        <v>19546.47</v>
      </c>
      <c r="BW276" s="1830">
        <f t="shared" si="211"/>
        <v>0</v>
      </c>
      <c r="BX276" s="1830">
        <f t="shared" si="211"/>
        <v>0</v>
      </c>
      <c r="BY276" s="1830">
        <f t="shared" si="211"/>
        <v>0</v>
      </c>
      <c r="BZ276" s="1830">
        <f t="shared" si="211"/>
        <v>0</v>
      </c>
      <c r="CA276" s="1830">
        <f t="shared" si="211"/>
        <v>0</v>
      </c>
      <c r="CB276" s="1830">
        <f t="shared" si="211"/>
        <v>0</v>
      </c>
      <c r="CC276" s="1830">
        <f t="shared" si="211"/>
        <v>0</v>
      </c>
      <c r="CD276" s="1830">
        <f t="shared" si="211"/>
        <v>0</v>
      </c>
      <c r="CE276" s="1830">
        <f t="shared" si="211"/>
        <v>0</v>
      </c>
      <c r="CF276" s="1830">
        <f t="shared" si="211"/>
        <v>0</v>
      </c>
      <c r="CG276" s="1831"/>
      <c r="CH276" s="1830">
        <f t="shared" si="197"/>
        <v>323.95400000000001</v>
      </c>
      <c r="CI276" s="1830">
        <f t="shared" si="197"/>
        <v>0</v>
      </c>
      <c r="CJ276" s="1830">
        <f t="shared" si="197"/>
        <v>0</v>
      </c>
      <c r="CK276" s="1830">
        <f t="shared" si="197"/>
        <v>0</v>
      </c>
      <c r="CL276" s="1558"/>
      <c r="CM276" s="1558"/>
      <c r="CN276" s="1558"/>
      <c r="CO276" s="1558"/>
      <c r="CP276" s="1558"/>
      <c r="CQ276" s="1558"/>
      <c r="CR276" s="1558"/>
      <c r="CS276" s="1558"/>
      <c r="CT276" s="1558"/>
      <c r="CU276" s="1558"/>
      <c r="CV276" s="1558"/>
      <c r="CW276" s="1558"/>
      <c r="CY276" s="1558"/>
    </row>
    <row r="277" spans="1:107" s="1559" customFormat="1" x14ac:dyDescent="0.15">
      <c r="A277" s="1541" t="s">
        <v>97</v>
      </c>
      <c r="B277" s="1523" t="s">
        <v>79</v>
      </c>
      <c r="C277" s="1523" t="s">
        <v>80</v>
      </c>
      <c r="D277" s="1523" t="s">
        <v>125</v>
      </c>
      <c r="E277" s="1523" t="s">
        <v>231</v>
      </c>
      <c r="F277" s="1523"/>
      <c r="G277" s="1667">
        <v>340</v>
      </c>
      <c r="H277" s="1822">
        <f t="shared" si="209"/>
        <v>864.18000000000006</v>
      </c>
      <c r="I277" s="1822">
        <f t="shared" si="209"/>
        <v>0</v>
      </c>
      <c r="J277" s="1822">
        <f t="shared" si="209"/>
        <v>0</v>
      </c>
      <c r="K277" s="1822">
        <f t="shared" si="209"/>
        <v>0</v>
      </c>
      <c r="L277" s="1822">
        <f t="shared" si="209"/>
        <v>0</v>
      </c>
      <c r="M277" s="1822">
        <f t="shared" si="209"/>
        <v>0</v>
      </c>
      <c r="N277" s="1822">
        <f t="shared" si="209"/>
        <v>0</v>
      </c>
      <c r="O277" s="1822">
        <f t="shared" si="209"/>
        <v>0</v>
      </c>
      <c r="P277" s="1822">
        <f t="shared" si="209"/>
        <v>0</v>
      </c>
      <c r="Q277" s="1822">
        <f t="shared" si="209"/>
        <v>0</v>
      </c>
      <c r="R277" s="1822">
        <f t="shared" si="209"/>
        <v>0</v>
      </c>
      <c r="S277" s="1823">
        <f t="shared" si="209"/>
        <v>0</v>
      </c>
      <c r="T277" s="1824"/>
      <c r="U277" s="1825"/>
      <c r="V277" s="1825"/>
      <c r="W277" s="1826"/>
      <c r="X277" s="1826"/>
      <c r="Y277" s="1826"/>
      <c r="Z277" s="1827"/>
      <c r="AA277" s="1826"/>
      <c r="AB277" s="1826"/>
      <c r="AC277" s="1828">
        <f t="shared" si="209"/>
        <v>864.18000000000006</v>
      </c>
      <c r="AD277" s="1828">
        <f t="shared" si="209"/>
        <v>0</v>
      </c>
      <c r="AE277" s="1828">
        <f t="shared" si="209"/>
        <v>0</v>
      </c>
      <c r="AF277" s="1828">
        <f t="shared" si="209"/>
        <v>0</v>
      </c>
      <c r="AG277" s="1828">
        <f t="shared" si="209"/>
        <v>0</v>
      </c>
      <c r="AH277" s="1828">
        <f t="shared" si="209"/>
        <v>0</v>
      </c>
      <c r="AI277" s="1829">
        <f t="shared" si="209"/>
        <v>0</v>
      </c>
      <c r="AJ277" s="1829">
        <f t="shared" si="209"/>
        <v>0</v>
      </c>
      <c r="AK277" s="1829">
        <f t="shared" si="209"/>
        <v>0</v>
      </c>
      <c r="AL277" s="1636">
        <f t="shared" si="195"/>
        <v>0</v>
      </c>
      <c r="AM277" s="1829">
        <f t="shared" si="209"/>
        <v>0</v>
      </c>
      <c r="AN277" s="1830"/>
      <c r="AO277" s="1830">
        <f t="shared" si="209"/>
        <v>72</v>
      </c>
      <c r="AP277" s="1830">
        <f t="shared" si="209"/>
        <v>0</v>
      </c>
      <c r="AQ277" s="1830">
        <f t="shared" si="209"/>
        <v>0</v>
      </c>
      <c r="AR277" s="1830">
        <f t="shared" si="209"/>
        <v>0</v>
      </c>
      <c r="AS277" s="1827">
        <f t="shared" si="209"/>
        <v>0</v>
      </c>
      <c r="AT277" s="1830">
        <f t="shared" si="209"/>
        <v>0</v>
      </c>
      <c r="AU277" s="1830">
        <f t="shared" si="209"/>
        <v>0</v>
      </c>
      <c r="AV277" s="1830">
        <f t="shared" si="209"/>
        <v>0</v>
      </c>
      <c r="AW277" s="1827">
        <f t="shared" si="209"/>
        <v>0</v>
      </c>
      <c r="AX277" s="1830">
        <f t="shared" si="209"/>
        <v>0</v>
      </c>
      <c r="AY277" s="1830">
        <f t="shared" si="209"/>
        <v>0</v>
      </c>
      <c r="AZ277" s="1830">
        <f t="shared" si="209"/>
        <v>0</v>
      </c>
      <c r="BA277" s="1830">
        <f t="shared" si="209"/>
        <v>0</v>
      </c>
      <c r="BB277" s="1830">
        <f t="shared" si="209"/>
        <v>0</v>
      </c>
      <c r="BC277" s="1830">
        <f t="shared" si="209"/>
        <v>0</v>
      </c>
      <c r="BD277" s="1830">
        <f t="shared" si="209"/>
        <v>0</v>
      </c>
      <c r="BE277" s="1511">
        <f t="shared" si="209"/>
        <v>765.08</v>
      </c>
      <c r="BF277" s="1830">
        <f t="shared" si="209"/>
        <v>0</v>
      </c>
      <c r="BG277" s="1830">
        <f t="shared" si="209"/>
        <v>0</v>
      </c>
      <c r="BH277" s="1830">
        <f t="shared" si="209"/>
        <v>0</v>
      </c>
      <c r="BI277" s="1830">
        <f t="shared" si="209"/>
        <v>0</v>
      </c>
      <c r="BJ277" s="1830">
        <f t="shared" si="209"/>
        <v>0</v>
      </c>
      <c r="BK277" s="1830">
        <f t="shared" si="209"/>
        <v>0</v>
      </c>
      <c r="BL277" s="1830">
        <f t="shared" si="209"/>
        <v>0</v>
      </c>
      <c r="BM277" s="1830">
        <f t="shared" si="209"/>
        <v>0</v>
      </c>
      <c r="BN277" s="1830">
        <f t="shared" si="209"/>
        <v>0</v>
      </c>
      <c r="BO277" s="1830">
        <f t="shared" si="209"/>
        <v>0</v>
      </c>
      <c r="BP277" s="1830">
        <f t="shared" si="209"/>
        <v>0</v>
      </c>
      <c r="BQ277" s="1830">
        <f t="shared" si="209"/>
        <v>0</v>
      </c>
      <c r="BR277" s="1830">
        <f t="shared" si="209"/>
        <v>0</v>
      </c>
      <c r="BS277" s="1830">
        <f t="shared" si="209"/>
        <v>0</v>
      </c>
      <c r="BT277" s="1830">
        <f t="shared" ref="BT277:CF277" si="212">BT300+BT317+BT334</f>
        <v>0</v>
      </c>
      <c r="BU277" s="1830">
        <f t="shared" si="212"/>
        <v>0</v>
      </c>
      <c r="BV277" s="1830">
        <f t="shared" si="212"/>
        <v>0</v>
      </c>
      <c r="BW277" s="1830">
        <f t="shared" si="212"/>
        <v>0</v>
      </c>
      <c r="BX277" s="1830">
        <f t="shared" si="212"/>
        <v>0</v>
      </c>
      <c r="BY277" s="1830">
        <f t="shared" si="212"/>
        <v>0</v>
      </c>
      <c r="BZ277" s="1830">
        <f t="shared" si="212"/>
        <v>0</v>
      </c>
      <c r="CA277" s="1830">
        <f t="shared" si="212"/>
        <v>0</v>
      </c>
      <c r="CB277" s="1830">
        <f t="shared" si="212"/>
        <v>0</v>
      </c>
      <c r="CC277" s="1830">
        <f t="shared" si="212"/>
        <v>0</v>
      </c>
      <c r="CD277" s="1830">
        <f t="shared" si="212"/>
        <v>0</v>
      </c>
      <c r="CE277" s="1830">
        <f t="shared" si="212"/>
        <v>0</v>
      </c>
      <c r="CF277" s="1830">
        <f t="shared" si="212"/>
        <v>0</v>
      </c>
      <c r="CG277" s="1831"/>
      <c r="CH277" s="1830">
        <f t="shared" si="197"/>
        <v>27.1</v>
      </c>
      <c r="CI277" s="1830">
        <f t="shared" si="197"/>
        <v>0</v>
      </c>
      <c r="CJ277" s="1830">
        <f t="shared" si="197"/>
        <v>0</v>
      </c>
      <c r="CK277" s="1830">
        <f t="shared" si="197"/>
        <v>0</v>
      </c>
      <c r="CL277" s="1558"/>
      <c r="CM277" s="1558"/>
      <c r="CN277" s="1558"/>
      <c r="CO277" s="1558"/>
      <c r="CP277" s="1558"/>
      <c r="CQ277" s="1558"/>
      <c r="CR277" s="1558"/>
      <c r="CS277" s="1558"/>
      <c r="CT277" s="1558"/>
      <c r="CU277" s="1558"/>
      <c r="CV277" s="1558"/>
      <c r="CW277" s="1558"/>
      <c r="CY277" s="1558"/>
    </row>
    <row r="278" spans="1:107" s="1559" customFormat="1" ht="14" x14ac:dyDescent="0.15">
      <c r="A278" s="1528" t="s">
        <v>767</v>
      </c>
      <c r="B278" s="1530" t="s">
        <v>79</v>
      </c>
      <c r="C278" s="1530" t="s">
        <v>80</v>
      </c>
      <c r="D278" s="1530" t="s">
        <v>125</v>
      </c>
      <c r="E278" s="1832">
        <v>4400000</v>
      </c>
      <c r="F278" s="1530">
        <v>612</v>
      </c>
      <c r="G278" s="1530" t="s">
        <v>766</v>
      </c>
      <c r="H278" s="1543">
        <f t="shared" si="209"/>
        <v>75203.3</v>
      </c>
      <c r="I278" s="1531"/>
      <c r="J278" s="1531"/>
      <c r="K278" s="1531"/>
      <c r="L278" s="1601"/>
      <c r="M278" s="1601"/>
      <c r="N278" s="1601"/>
      <c r="O278" s="1601"/>
      <c r="P278" s="1601"/>
      <c r="Q278" s="1601"/>
      <c r="R278" s="1601"/>
      <c r="S278" s="1601"/>
      <c r="T278" s="1602"/>
      <c r="U278" s="1533"/>
      <c r="V278" s="1533"/>
      <c r="W278" s="1534"/>
      <c r="X278" s="1534"/>
      <c r="Y278" s="1534"/>
      <c r="Z278" s="1535"/>
      <c r="AA278" s="1534"/>
      <c r="AB278" s="1534"/>
      <c r="AC278" s="1603"/>
      <c r="AD278" s="1603"/>
      <c r="AE278" s="1603"/>
      <c r="AF278" s="1603"/>
      <c r="AG278" s="1603"/>
      <c r="AH278" s="1490">
        <f t="shared" ref="AH278:AH337" si="213">CG278+CL278</f>
        <v>0</v>
      </c>
      <c r="AI278" s="1537"/>
      <c r="AJ278" s="1537"/>
      <c r="AK278" s="1537"/>
      <c r="AL278" s="1636">
        <f t="shared" si="195"/>
        <v>0</v>
      </c>
      <c r="AM278" s="1537"/>
      <c r="AN278" s="1538"/>
      <c r="AO278" s="1538"/>
      <c r="AP278" s="1538"/>
      <c r="AQ278" s="1538"/>
      <c r="AR278" s="1538"/>
      <c r="AS278" s="1535"/>
      <c r="AT278" s="1538"/>
      <c r="AU278" s="1538"/>
      <c r="AV278" s="1538"/>
      <c r="AW278" s="1535"/>
      <c r="AX278" s="1538"/>
      <c r="AY278" s="1538"/>
      <c r="AZ278" s="1538"/>
      <c r="BA278" s="1538"/>
      <c r="BB278" s="1538"/>
      <c r="BC278" s="1538"/>
      <c r="BD278" s="1538"/>
      <c r="BE278" s="1539"/>
      <c r="BF278" s="1538"/>
      <c r="BG278" s="1538"/>
      <c r="BH278" s="1538"/>
      <c r="BI278" s="1538"/>
      <c r="BJ278" s="1538"/>
      <c r="BK278" s="1538"/>
      <c r="BL278" s="1538"/>
      <c r="BM278" s="1538"/>
      <c r="BN278" s="1538"/>
      <c r="BO278" s="1538"/>
      <c r="BP278" s="1538"/>
      <c r="BQ278" s="1538"/>
      <c r="BR278" s="1538"/>
      <c r="BS278" s="1538"/>
      <c r="BT278" s="1538"/>
      <c r="BU278" s="1538"/>
      <c r="BV278" s="1538"/>
      <c r="BW278" s="1538"/>
      <c r="BX278" s="1538"/>
      <c r="BY278" s="1538"/>
      <c r="BZ278" s="1538"/>
      <c r="CA278" s="1538"/>
      <c r="CB278" s="1538"/>
      <c r="CC278" s="1538"/>
      <c r="CD278" s="1538"/>
      <c r="CE278" s="1538"/>
      <c r="CF278" s="1538"/>
      <c r="CG278" s="1604"/>
      <c r="CH278" s="1538"/>
      <c r="CI278" s="1538"/>
      <c r="CJ278" s="1538"/>
      <c r="CK278" s="1538"/>
      <c r="CL278" s="1558"/>
      <c r="CM278" s="1558"/>
      <c r="CN278" s="1558"/>
      <c r="CO278" s="1558"/>
      <c r="CP278" s="1558"/>
      <c r="CQ278" s="1558"/>
      <c r="CR278" s="1558"/>
      <c r="CS278" s="1558"/>
      <c r="CT278" s="1558"/>
      <c r="CU278" s="1558"/>
      <c r="CV278" s="1558"/>
      <c r="CW278" s="1558"/>
      <c r="CY278" s="1558"/>
    </row>
    <row r="279" spans="1:107" s="1842" customFormat="1" ht="26" x14ac:dyDescent="0.15">
      <c r="A279" s="1802" t="s">
        <v>778</v>
      </c>
      <c r="B279" s="1803" t="s">
        <v>79</v>
      </c>
      <c r="C279" s="1803" t="s">
        <v>80</v>
      </c>
      <c r="D279" s="1803" t="s">
        <v>125</v>
      </c>
      <c r="E279" s="1803" t="s">
        <v>779</v>
      </c>
      <c r="F279" s="1803"/>
      <c r="G279" s="1470"/>
      <c r="H279" s="1718">
        <f>H280</f>
        <v>15485.400000000001</v>
      </c>
      <c r="I279" s="1718">
        <f t="shared" ref="I279:CK279" si="214">I280</f>
        <v>0</v>
      </c>
      <c r="J279" s="1718"/>
      <c r="K279" s="1718">
        <f t="shared" si="214"/>
        <v>0</v>
      </c>
      <c r="L279" s="1833"/>
      <c r="M279" s="1833"/>
      <c r="N279" s="1833"/>
      <c r="O279" s="1833"/>
      <c r="P279" s="1833"/>
      <c r="Q279" s="1833"/>
      <c r="R279" s="1833"/>
      <c r="S279" s="1833"/>
      <c r="T279" s="1834"/>
      <c r="U279" s="1835"/>
      <c r="V279" s="1835"/>
      <c r="W279" s="1836"/>
      <c r="X279" s="1836"/>
      <c r="Y279" s="1836"/>
      <c r="Z279" s="1837"/>
      <c r="AA279" s="1836"/>
      <c r="AB279" s="1836"/>
      <c r="AC279" s="1838">
        <f t="shared" si="214"/>
        <v>15485.400000000001</v>
      </c>
      <c r="AD279" s="1838">
        <f t="shared" si="214"/>
        <v>0</v>
      </c>
      <c r="AE279" s="1838">
        <f t="shared" si="214"/>
        <v>0</v>
      </c>
      <c r="AF279" s="1838">
        <f t="shared" si="214"/>
        <v>0</v>
      </c>
      <c r="AG279" s="1838">
        <f t="shared" si="214"/>
        <v>0</v>
      </c>
      <c r="AH279" s="1490">
        <f t="shared" si="213"/>
        <v>0</v>
      </c>
      <c r="AI279" s="1839">
        <f t="shared" si="214"/>
        <v>0</v>
      </c>
      <c r="AJ279" s="1839">
        <f t="shared" si="214"/>
        <v>0</v>
      </c>
      <c r="AK279" s="1839">
        <f t="shared" si="214"/>
        <v>0</v>
      </c>
      <c r="AL279" s="1636">
        <f t="shared" si="195"/>
        <v>0</v>
      </c>
      <c r="AM279" s="1839">
        <f t="shared" si="214"/>
        <v>0</v>
      </c>
      <c r="AN279" s="1717"/>
      <c r="AO279" s="1718">
        <f t="shared" si="214"/>
        <v>1350</v>
      </c>
      <c r="AP279" s="1718">
        <f t="shared" si="214"/>
        <v>0</v>
      </c>
      <c r="AQ279" s="1718">
        <f t="shared" si="214"/>
        <v>0</v>
      </c>
      <c r="AR279" s="1718">
        <f t="shared" si="214"/>
        <v>0</v>
      </c>
      <c r="AS279" s="1837">
        <f t="shared" si="214"/>
        <v>0</v>
      </c>
      <c r="AT279" s="1718">
        <f t="shared" si="214"/>
        <v>0</v>
      </c>
      <c r="AU279" s="1718">
        <f t="shared" si="214"/>
        <v>0</v>
      </c>
      <c r="AV279" s="1718">
        <f t="shared" si="214"/>
        <v>0</v>
      </c>
      <c r="AW279" s="1837">
        <f t="shared" si="214"/>
        <v>0</v>
      </c>
      <c r="AX279" s="1718">
        <f t="shared" si="214"/>
        <v>0</v>
      </c>
      <c r="AY279" s="1718">
        <f t="shared" si="214"/>
        <v>0</v>
      </c>
      <c r="AZ279" s="1718">
        <f t="shared" si="214"/>
        <v>0</v>
      </c>
      <c r="BA279" s="1717">
        <f t="shared" si="214"/>
        <v>8097.2</v>
      </c>
      <c r="BB279" s="1718">
        <f t="shared" si="214"/>
        <v>0</v>
      </c>
      <c r="BC279" s="1718">
        <f t="shared" si="214"/>
        <v>0</v>
      </c>
      <c r="BD279" s="1718">
        <f t="shared" si="214"/>
        <v>0</v>
      </c>
      <c r="BE279" s="1717">
        <f t="shared" si="214"/>
        <v>0</v>
      </c>
      <c r="BF279" s="1718">
        <f t="shared" si="214"/>
        <v>0</v>
      </c>
      <c r="BG279" s="1718">
        <f t="shared" si="214"/>
        <v>0</v>
      </c>
      <c r="BH279" s="1718">
        <f t="shared" si="214"/>
        <v>0</v>
      </c>
      <c r="BI279" s="1717">
        <f t="shared" si="214"/>
        <v>0</v>
      </c>
      <c r="BJ279" s="1718">
        <f t="shared" si="214"/>
        <v>0</v>
      </c>
      <c r="BK279" s="1718">
        <f t="shared" si="214"/>
        <v>0</v>
      </c>
      <c r="BL279" s="1718">
        <f t="shared" si="214"/>
        <v>0</v>
      </c>
      <c r="BM279" s="1717">
        <f t="shared" si="214"/>
        <v>1085</v>
      </c>
      <c r="BN279" s="1718">
        <f t="shared" si="214"/>
        <v>0</v>
      </c>
      <c r="BO279" s="1718">
        <f t="shared" si="214"/>
        <v>0</v>
      </c>
      <c r="BP279" s="1718">
        <f t="shared" si="214"/>
        <v>0</v>
      </c>
      <c r="BQ279" s="1717">
        <f t="shared" si="214"/>
        <v>0</v>
      </c>
      <c r="BR279" s="1718">
        <f t="shared" si="214"/>
        <v>0</v>
      </c>
      <c r="BS279" s="1718">
        <f t="shared" si="214"/>
        <v>0</v>
      </c>
      <c r="BT279" s="1718">
        <f t="shared" si="214"/>
        <v>0</v>
      </c>
      <c r="BU279" s="1717">
        <f t="shared" si="214"/>
        <v>0</v>
      </c>
      <c r="BV279" s="1718">
        <f t="shared" si="214"/>
        <v>0</v>
      </c>
      <c r="BW279" s="1718">
        <f t="shared" si="214"/>
        <v>0</v>
      </c>
      <c r="BX279" s="1718">
        <f t="shared" si="214"/>
        <v>0</v>
      </c>
      <c r="BY279" s="1717">
        <f t="shared" si="214"/>
        <v>4150</v>
      </c>
      <c r="BZ279" s="1718">
        <f t="shared" si="214"/>
        <v>0</v>
      </c>
      <c r="CA279" s="1718">
        <f t="shared" si="214"/>
        <v>0</v>
      </c>
      <c r="CB279" s="1718">
        <f t="shared" si="214"/>
        <v>0</v>
      </c>
      <c r="CC279" s="1717">
        <f t="shared" si="214"/>
        <v>0</v>
      </c>
      <c r="CD279" s="1718">
        <f t="shared" si="214"/>
        <v>0</v>
      </c>
      <c r="CE279" s="1718">
        <f t="shared" si="214"/>
        <v>0</v>
      </c>
      <c r="CF279" s="1718">
        <f t="shared" si="214"/>
        <v>0</v>
      </c>
      <c r="CG279" s="1840"/>
      <c r="CH279" s="1717">
        <f t="shared" si="214"/>
        <v>803.2</v>
      </c>
      <c r="CI279" s="1718">
        <f t="shared" si="214"/>
        <v>0</v>
      </c>
      <c r="CJ279" s="1718">
        <f t="shared" si="214"/>
        <v>0</v>
      </c>
      <c r="CK279" s="1718">
        <f t="shared" si="214"/>
        <v>0</v>
      </c>
      <c r="CL279" s="1841"/>
      <c r="CM279" s="1841"/>
      <c r="CN279" s="1841"/>
      <c r="CO279" s="1841"/>
      <c r="CP279" s="1841"/>
      <c r="CQ279" s="1841"/>
      <c r="CR279" s="1841"/>
      <c r="CS279" s="1841"/>
      <c r="CT279" s="1841"/>
      <c r="CU279" s="1841"/>
      <c r="CV279" s="1841"/>
      <c r="CW279" s="1841"/>
      <c r="CY279" s="1841"/>
    </row>
    <row r="280" spans="1:107" ht="28" x14ac:dyDescent="0.15">
      <c r="A280" s="1546" t="s">
        <v>1099</v>
      </c>
      <c r="B280" s="1547" t="s">
        <v>79</v>
      </c>
      <c r="C280" s="1547" t="s">
        <v>80</v>
      </c>
      <c r="D280" s="1547" t="s">
        <v>125</v>
      </c>
      <c r="E280" s="1547" t="s">
        <v>779</v>
      </c>
      <c r="F280" s="1547" t="s">
        <v>1260</v>
      </c>
      <c r="G280" s="1439"/>
      <c r="H280" s="1843">
        <f>H281+H284</f>
        <v>15485.400000000001</v>
      </c>
      <c r="I280" s="1843">
        <f>I281+I284</f>
        <v>0</v>
      </c>
      <c r="J280" s="1843">
        <f>J281+J284</f>
        <v>0</v>
      </c>
      <c r="K280" s="1843">
        <f>K281+K284</f>
        <v>0</v>
      </c>
      <c r="L280" s="1844"/>
      <c r="M280" s="1844"/>
      <c r="N280" s="1844"/>
      <c r="O280" s="1844"/>
      <c r="P280" s="1844"/>
      <c r="Q280" s="1844"/>
      <c r="R280" s="1844"/>
      <c r="S280" s="1844"/>
      <c r="T280" s="1845"/>
      <c r="U280" s="1846"/>
      <c r="V280" s="1846"/>
      <c r="W280" s="1847"/>
      <c r="X280" s="1847"/>
      <c r="Y280" s="1847"/>
      <c r="Z280" s="1848"/>
      <c r="AA280" s="1847"/>
      <c r="AB280" s="1847"/>
      <c r="AC280" s="1843">
        <f t="shared" ref="AC280:CK280" si="215">AC281+AC284</f>
        <v>15485.400000000001</v>
      </c>
      <c r="AD280" s="1843">
        <f t="shared" si="215"/>
        <v>0</v>
      </c>
      <c r="AE280" s="1843">
        <f t="shared" si="215"/>
        <v>0</v>
      </c>
      <c r="AF280" s="1843">
        <f t="shared" si="215"/>
        <v>0</v>
      </c>
      <c r="AG280" s="1843">
        <f t="shared" si="215"/>
        <v>0</v>
      </c>
      <c r="AH280" s="1490">
        <f t="shared" si="213"/>
        <v>0</v>
      </c>
      <c r="AI280" s="1843">
        <f t="shared" si="215"/>
        <v>0</v>
      </c>
      <c r="AJ280" s="1843">
        <f t="shared" si="215"/>
        <v>0</v>
      </c>
      <c r="AK280" s="1843">
        <f t="shared" si="215"/>
        <v>0</v>
      </c>
      <c r="AL280" s="1636">
        <f t="shared" si="195"/>
        <v>0</v>
      </c>
      <c r="AM280" s="1843">
        <f t="shared" si="215"/>
        <v>0</v>
      </c>
      <c r="AN280" s="1849"/>
      <c r="AO280" s="1843">
        <f t="shared" si="215"/>
        <v>1350</v>
      </c>
      <c r="AP280" s="1843">
        <f t="shared" si="215"/>
        <v>0</v>
      </c>
      <c r="AQ280" s="1843">
        <f t="shared" si="215"/>
        <v>0</v>
      </c>
      <c r="AR280" s="1843">
        <f t="shared" si="215"/>
        <v>0</v>
      </c>
      <c r="AS280" s="1848">
        <f t="shared" si="215"/>
        <v>0</v>
      </c>
      <c r="AT280" s="1843">
        <f t="shared" si="215"/>
        <v>0</v>
      </c>
      <c r="AU280" s="1843">
        <f t="shared" si="215"/>
        <v>0</v>
      </c>
      <c r="AV280" s="1843">
        <f t="shared" si="215"/>
        <v>0</v>
      </c>
      <c r="AW280" s="1843">
        <f t="shared" si="215"/>
        <v>0</v>
      </c>
      <c r="AX280" s="1843">
        <f t="shared" si="215"/>
        <v>0</v>
      </c>
      <c r="AY280" s="1843">
        <f t="shared" si="215"/>
        <v>0</v>
      </c>
      <c r="AZ280" s="1843">
        <f t="shared" si="215"/>
        <v>0</v>
      </c>
      <c r="BA280" s="1849">
        <f t="shared" si="215"/>
        <v>8097.2</v>
      </c>
      <c r="BB280" s="1843">
        <f t="shared" si="215"/>
        <v>0</v>
      </c>
      <c r="BC280" s="1843">
        <f t="shared" si="215"/>
        <v>0</v>
      </c>
      <c r="BD280" s="1843">
        <f t="shared" si="215"/>
        <v>0</v>
      </c>
      <c r="BE280" s="1717">
        <f t="shared" si="215"/>
        <v>0</v>
      </c>
      <c r="BF280" s="1843">
        <f t="shared" si="215"/>
        <v>0</v>
      </c>
      <c r="BG280" s="1843">
        <f t="shared" si="215"/>
        <v>0</v>
      </c>
      <c r="BH280" s="1843">
        <f t="shared" si="215"/>
        <v>0</v>
      </c>
      <c r="BI280" s="1849">
        <f t="shared" si="215"/>
        <v>0</v>
      </c>
      <c r="BJ280" s="1843">
        <f t="shared" si="215"/>
        <v>0</v>
      </c>
      <c r="BK280" s="1843">
        <f t="shared" si="215"/>
        <v>0</v>
      </c>
      <c r="BL280" s="1843">
        <f t="shared" si="215"/>
        <v>0</v>
      </c>
      <c r="BM280" s="1849">
        <f t="shared" si="215"/>
        <v>1085</v>
      </c>
      <c r="BN280" s="1843">
        <f t="shared" si="215"/>
        <v>0</v>
      </c>
      <c r="BO280" s="1843">
        <f t="shared" si="215"/>
        <v>0</v>
      </c>
      <c r="BP280" s="1843">
        <f t="shared" si="215"/>
        <v>0</v>
      </c>
      <c r="BQ280" s="1849">
        <f t="shared" si="215"/>
        <v>0</v>
      </c>
      <c r="BR280" s="1843">
        <f t="shared" si="215"/>
        <v>0</v>
      </c>
      <c r="BS280" s="1843">
        <f t="shared" si="215"/>
        <v>0</v>
      </c>
      <c r="BT280" s="1843">
        <f t="shared" si="215"/>
        <v>0</v>
      </c>
      <c r="BU280" s="1849">
        <f t="shared" si="215"/>
        <v>0</v>
      </c>
      <c r="BV280" s="1843">
        <f t="shared" si="215"/>
        <v>0</v>
      </c>
      <c r="BW280" s="1843">
        <f t="shared" si="215"/>
        <v>0</v>
      </c>
      <c r="BX280" s="1843">
        <f t="shared" si="215"/>
        <v>0</v>
      </c>
      <c r="BY280" s="1849">
        <f t="shared" si="215"/>
        <v>4150</v>
      </c>
      <c r="BZ280" s="1843">
        <f t="shared" si="215"/>
        <v>0</v>
      </c>
      <c r="CA280" s="1843">
        <f t="shared" si="215"/>
        <v>0</v>
      </c>
      <c r="CB280" s="1843">
        <f t="shared" si="215"/>
        <v>0</v>
      </c>
      <c r="CC280" s="1849">
        <f t="shared" si="215"/>
        <v>0</v>
      </c>
      <c r="CD280" s="1843">
        <f t="shared" si="215"/>
        <v>0</v>
      </c>
      <c r="CE280" s="1843">
        <f t="shared" si="215"/>
        <v>0</v>
      </c>
      <c r="CF280" s="1843">
        <f t="shared" si="215"/>
        <v>0</v>
      </c>
      <c r="CG280" s="1850"/>
      <c r="CH280" s="1849">
        <f t="shared" si="215"/>
        <v>803.2</v>
      </c>
      <c r="CI280" s="1843">
        <f t="shared" si="215"/>
        <v>0</v>
      </c>
      <c r="CJ280" s="1843">
        <f t="shared" si="215"/>
        <v>0</v>
      </c>
      <c r="CK280" s="1843">
        <f t="shared" si="215"/>
        <v>0</v>
      </c>
    </row>
    <row r="281" spans="1:107" ht="14" x14ac:dyDescent="0.15">
      <c r="A281" s="1541" t="s">
        <v>91</v>
      </c>
      <c r="B281" s="1522" t="s">
        <v>79</v>
      </c>
      <c r="C281" s="1522" t="s">
        <v>80</v>
      </c>
      <c r="D281" s="1522" t="s">
        <v>125</v>
      </c>
      <c r="E281" s="1522" t="s">
        <v>779</v>
      </c>
      <c r="F281" s="1522" t="s">
        <v>1247</v>
      </c>
      <c r="G281" s="1523" t="s">
        <v>198</v>
      </c>
      <c r="H281" s="1851">
        <f>25506.4+1350-1800-100-7271-1350+2000-200-U281-3950-200</f>
        <v>9985.4000000000015</v>
      </c>
      <c r="I281" s="1645"/>
      <c r="J281" s="1630"/>
      <c r="K281" s="1630"/>
      <c r="L281" s="1631"/>
      <c r="M281" s="1631"/>
      <c r="N281" s="1631"/>
      <c r="O281" s="1631"/>
      <c r="P281" s="1631"/>
      <c r="Q281" s="1631"/>
      <c r="R281" s="1631"/>
      <c r="S281" s="1631"/>
      <c r="T281" s="1632"/>
      <c r="U281" s="1633">
        <v>4000</v>
      </c>
      <c r="V281" s="1633"/>
      <c r="W281" s="1634"/>
      <c r="X281" s="1634"/>
      <c r="Y281" s="1634"/>
      <c r="Z281" s="1635"/>
      <c r="AA281" s="1634"/>
      <c r="AB281" s="1634"/>
      <c r="AC281" s="1508">
        <f>AO281+AS281+AW281+BA281+BE281+BI281+BM281+BQ281+BU281+BY281+CC281+CH281</f>
        <v>9985.4000000000015</v>
      </c>
      <c r="AD281" s="1509">
        <f>AE281+AF281+AG281</f>
        <v>0</v>
      </c>
      <c r="AE281" s="1509">
        <f>AP281+AT281+AX281+BB281+BF281+BJ281+BN281+BR281+BV281+BZ281+CD281+CI281</f>
        <v>0</v>
      </c>
      <c r="AF281" s="1509">
        <f>AQ281+AU281+AY281+BC281+BG281+BK281+BO281+BS281+BW281+CA281+CE281+CJ281</f>
        <v>0</v>
      </c>
      <c r="AG281" s="1509">
        <f>AR281+AV281+AZ281+BD281+BH281+BL281+BP281+BT281+BX281+CB281+CF281+CK281</f>
        <v>0</v>
      </c>
      <c r="AH281" s="1490">
        <f t="shared" si="213"/>
        <v>0</v>
      </c>
      <c r="AI281" s="1636">
        <f>H281-AC281</f>
        <v>0</v>
      </c>
      <c r="AJ281" s="1636">
        <f>AK281+AL281+AM281</f>
        <v>0</v>
      </c>
      <c r="AK281" s="1636">
        <f>I281-AE281</f>
        <v>0</v>
      </c>
      <c r="AL281" s="1636">
        <f t="shared" si="195"/>
        <v>0</v>
      </c>
      <c r="AM281" s="1636">
        <f>K281-AG281</f>
        <v>0</v>
      </c>
      <c r="AN281" s="1637"/>
      <c r="AO281" s="1630">
        <v>1350</v>
      </c>
      <c r="AP281" s="1638"/>
      <c r="AQ281" s="1638"/>
      <c r="AR281" s="1638"/>
      <c r="AS281" s="1639"/>
      <c r="AT281" s="1638"/>
      <c r="AU281" s="1638"/>
      <c r="AV281" s="1638"/>
      <c r="AW281" s="1639">
        <v>-1350</v>
      </c>
      <c r="AX281" s="1640"/>
      <c r="AY281" s="1640"/>
      <c r="AZ281" s="1640"/>
      <c r="BA281" s="1641">
        <f>800+5297.2+2000</f>
        <v>8097.2</v>
      </c>
      <c r="BB281" s="1640"/>
      <c r="BC281" s="1640"/>
      <c r="BD281" s="1640"/>
      <c r="BE281" s="1644"/>
      <c r="BF281" s="1640"/>
      <c r="BG281" s="1640"/>
      <c r="BH281" s="1640"/>
      <c r="BI281" s="1641"/>
      <c r="BJ281" s="1640"/>
      <c r="BK281" s="1640"/>
      <c r="BL281" s="1640"/>
      <c r="BM281" s="1641">
        <f>545+540</f>
        <v>1085</v>
      </c>
      <c r="BN281" s="1640"/>
      <c r="BO281" s="1640"/>
      <c r="BP281" s="1640"/>
      <c r="BQ281" s="1641"/>
      <c r="BR281" s="1640"/>
      <c r="BS281" s="1640"/>
      <c r="BT281" s="1640"/>
      <c r="BU281" s="1641"/>
      <c r="BV281" s="1640"/>
      <c r="BW281" s="1640"/>
      <c r="BX281" s="1640"/>
      <c r="BY281" s="1641"/>
      <c r="BZ281" s="1640"/>
      <c r="CA281" s="1640"/>
      <c r="CB281" s="1640"/>
      <c r="CC281" s="1641"/>
      <c r="CD281" s="1640"/>
      <c r="CE281" s="1640"/>
      <c r="CF281" s="1640"/>
      <c r="CG281" s="1642"/>
      <c r="CH281" s="1641">
        <v>803.2</v>
      </c>
      <c r="CI281" s="1640"/>
      <c r="CJ281" s="1640"/>
      <c r="CK281" s="1640"/>
    </row>
    <row r="282" spans="1:107" s="1842" customFormat="1" ht="14" hidden="1" x14ac:dyDescent="0.15">
      <c r="A282" s="1521" t="s">
        <v>781</v>
      </c>
      <c r="B282" s="1522" t="s">
        <v>79</v>
      </c>
      <c r="C282" s="1522" t="s">
        <v>80</v>
      </c>
      <c r="D282" s="1522" t="s">
        <v>125</v>
      </c>
      <c r="E282" s="1522" t="s">
        <v>779</v>
      </c>
      <c r="F282" s="1522" t="s">
        <v>1247</v>
      </c>
      <c r="G282" s="1523" t="s">
        <v>198</v>
      </c>
      <c r="H282" s="1471">
        <f>H283</f>
        <v>0</v>
      </c>
      <c r="I282" s="1718" t="e">
        <f>I283</f>
        <v>#REF!</v>
      </c>
      <c r="J282" s="1718"/>
      <c r="K282" s="1718" t="e">
        <f>K283</f>
        <v>#REF!</v>
      </c>
      <c r="L282" s="1833"/>
      <c r="M282" s="1833"/>
      <c r="N282" s="1833"/>
      <c r="O282" s="1833"/>
      <c r="P282" s="1833"/>
      <c r="Q282" s="1833"/>
      <c r="R282" s="1833"/>
      <c r="S282" s="1833"/>
      <c r="T282" s="1834"/>
      <c r="U282" s="1835"/>
      <c r="V282" s="1835"/>
      <c r="W282" s="1836"/>
      <c r="X282" s="1836"/>
      <c r="Y282" s="1836"/>
      <c r="Z282" s="1837"/>
      <c r="AA282" s="1836"/>
      <c r="AB282" s="1836"/>
      <c r="AC282" s="1508" t="e">
        <f>AO282+AS282+AW282+BA282+BE282+BI282+BM282+BQ282+BU282+BY282+CC282+CH282</f>
        <v>#REF!</v>
      </c>
      <c r="AD282" s="1838" t="e">
        <f>AD283</f>
        <v>#REF!</v>
      </c>
      <c r="AE282" s="1838" t="e">
        <f>AE283</f>
        <v>#REF!</v>
      </c>
      <c r="AF282" s="1838" t="e">
        <f>AF283</f>
        <v>#REF!</v>
      </c>
      <c r="AG282" s="1838" t="e">
        <f>AG283</f>
        <v>#REF!</v>
      </c>
      <c r="AH282" s="1490">
        <f t="shared" si="213"/>
        <v>0</v>
      </c>
      <c r="AI282" s="1636" t="e">
        <f>H282-AC282</f>
        <v>#REF!</v>
      </c>
      <c r="AJ282" s="1839" t="e">
        <f>AJ283</f>
        <v>#REF!</v>
      </c>
      <c r="AK282" s="1839" t="e">
        <f>AK283</f>
        <v>#REF!</v>
      </c>
      <c r="AL282" s="1636" t="e">
        <f t="shared" si="195"/>
        <v>#REF!</v>
      </c>
      <c r="AM282" s="1839" t="e">
        <f>AM283</f>
        <v>#REF!</v>
      </c>
      <c r="AN282" s="1717"/>
      <c r="AO282" s="1718" t="e">
        <f t="shared" ref="AO282:CN282" si="216">AO283</f>
        <v>#REF!</v>
      </c>
      <c r="AP282" s="1718" t="e">
        <f t="shared" si="216"/>
        <v>#REF!</v>
      </c>
      <c r="AQ282" s="1718" t="e">
        <f t="shared" si="216"/>
        <v>#REF!</v>
      </c>
      <c r="AR282" s="1718" t="e">
        <f t="shared" si="216"/>
        <v>#REF!</v>
      </c>
      <c r="AS282" s="1837" t="e">
        <f t="shared" si="216"/>
        <v>#REF!</v>
      </c>
      <c r="AT282" s="1718" t="e">
        <f t="shared" si="216"/>
        <v>#REF!</v>
      </c>
      <c r="AU282" s="1718" t="e">
        <f t="shared" si="216"/>
        <v>#REF!</v>
      </c>
      <c r="AV282" s="1718" t="e">
        <f t="shared" si="216"/>
        <v>#REF!</v>
      </c>
      <c r="AW282" s="1837" t="e">
        <f t="shared" si="216"/>
        <v>#REF!</v>
      </c>
      <c r="AX282" s="1718" t="e">
        <f t="shared" si="216"/>
        <v>#REF!</v>
      </c>
      <c r="AY282" s="1718" t="e">
        <f t="shared" si="216"/>
        <v>#REF!</v>
      </c>
      <c r="AZ282" s="1718" t="e">
        <f t="shared" si="216"/>
        <v>#REF!</v>
      </c>
      <c r="BA282" s="1717" t="e">
        <f t="shared" si="216"/>
        <v>#REF!</v>
      </c>
      <c r="BB282" s="1718" t="e">
        <f t="shared" si="216"/>
        <v>#REF!</v>
      </c>
      <c r="BC282" s="1718" t="e">
        <f t="shared" si="216"/>
        <v>#REF!</v>
      </c>
      <c r="BD282" s="1718" t="e">
        <f t="shared" si="216"/>
        <v>#REF!</v>
      </c>
      <c r="BE282" s="1717" t="e">
        <f t="shared" si="216"/>
        <v>#REF!</v>
      </c>
      <c r="BF282" s="1718" t="e">
        <f t="shared" si="216"/>
        <v>#REF!</v>
      </c>
      <c r="BG282" s="1718" t="e">
        <f t="shared" si="216"/>
        <v>#REF!</v>
      </c>
      <c r="BH282" s="1718" t="e">
        <f t="shared" si="216"/>
        <v>#REF!</v>
      </c>
      <c r="BI282" s="1717" t="e">
        <f t="shared" si="216"/>
        <v>#REF!</v>
      </c>
      <c r="BJ282" s="1718" t="e">
        <f t="shared" si="216"/>
        <v>#REF!</v>
      </c>
      <c r="BK282" s="1718" t="e">
        <f t="shared" si="216"/>
        <v>#REF!</v>
      </c>
      <c r="BL282" s="1718" t="e">
        <f t="shared" si="216"/>
        <v>#REF!</v>
      </c>
      <c r="BM282" s="1717" t="e">
        <f t="shared" si="216"/>
        <v>#REF!</v>
      </c>
      <c r="BN282" s="1718" t="e">
        <f t="shared" si="216"/>
        <v>#REF!</v>
      </c>
      <c r="BO282" s="1718" t="e">
        <f t="shared" si="216"/>
        <v>#REF!</v>
      </c>
      <c r="BP282" s="1718" t="e">
        <f t="shared" si="216"/>
        <v>#REF!</v>
      </c>
      <c r="BQ282" s="1717" t="e">
        <f t="shared" si="216"/>
        <v>#REF!</v>
      </c>
      <c r="BR282" s="1718" t="e">
        <f t="shared" si="216"/>
        <v>#REF!</v>
      </c>
      <c r="BS282" s="1718" t="e">
        <f t="shared" si="216"/>
        <v>#REF!</v>
      </c>
      <c r="BT282" s="1718" t="e">
        <f t="shared" si="216"/>
        <v>#REF!</v>
      </c>
      <c r="BU282" s="1717" t="e">
        <f t="shared" si="216"/>
        <v>#REF!</v>
      </c>
      <c r="BV282" s="1718" t="e">
        <f t="shared" si="216"/>
        <v>#REF!</v>
      </c>
      <c r="BW282" s="1718" t="e">
        <f t="shared" si="216"/>
        <v>#REF!</v>
      </c>
      <c r="BX282" s="1718" t="e">
        <f t="shared" si="216"/>
        <v>#REF!</v>
      </c>
      <c r="BY282" s="1717" t="e">
        <f t="shared" si="216"/>
        <v>#REF!</v>
      </c>
      <c r="BZ282" s="1718" t="e">
        <f t="shared" si="216"/>
        <v>#REF!</v>
      </c>
      <c r="CA282" s="1718" t="e">
        <f t="shared" si="216"/>
        <v>#REF!</v>
      </c>
      <c r="CB282" s="1718" t="e">
        <f t="shared" si="216"/>
        <v>#REF!</v>
      </c>
      <c r="CC282" s="1717" t="e">
        <f t="shared" si="216"/>
        <v>#REF!</v>
      </c>
      <c r="CD282" s="1718" t="e">
        <f t="shared" si="216"/>
        <v>#REF!</v>
      </c>
      <c r="CE282" s="1718" t="e">
        <f t="shared" si="216"/>
        <v>#REF!</v>
      </c>
      <c r="CF282" s="1718" t="e">
        <f t="shared" si="216"/>
        <v>#REF!</v>
      </c>
      <c r="CG282" s="1840"/>
      <c r="CH282" s="1717" t="e">
        <f t="shared" si="216"/>
        <v>#REF!</v>
      </c>
      <c r="CI282" s="1718" t="e">
        <f t="shared" si="216"/>
        <v>#REF!</v>
      </c>
      <c r="CJ282" s="1718" t="e">
        <f t="shared" si="216"/>
        <v>#REF!</v>
      </c>
      <c r="CK282" s="1718" t="e">
        <f t="shared" si="216"/>
        <v>#REF!</v>
      </c>
      <c r="CL282" s="1852"/>
      <c r="CM282" s="1852" t="e">
        <f t="shared" si="216"/>
        <v>#REF!</v>
      </c>
      <c r="CN282" s="1852" t="e">
        <f t="shared" si="216"/>
        <v>#REF!</v>
      </c>
      <c r="CO282" s="1853"/>
      <c r="CP282" s="1853"/>
      <c r="CQ282" s="1853"/>
      <c r="CR282" s="1853"/>
      <c r="CS282" s="1853"/>
      <c r="CT282" s="1853"/>
      <c r="CU282" s="1853"/>
      <c r="CV282" s="1853"/>
      <c r="CW282" s="1853"/>
      <c r="CY282" s="1841"/>
    </row>
    <row r="283" spans="1:107" ht="14" hidden="1" x14ac:dyDescent="0.15">
      <c r="A283" s="1521" t="s">
        <v>781</v>
      </c>
      <c r="B283" s="1522" t="s">
        <v>79</v>
      </c>
      <c r="C283" s="1522" t="s">
        <v>80</v>
      </c>
      <c r="D283" s="1522" t="s">
        <v>125</v>
      </c>
      <c r="E283" s="1522" t="s">
        <v>779</v>
      </c>
      <c r="F283" s="1522" t="s">
        <v>1247</v>
      </c>
      <c r="G283" s="1523" t="s">
        <v>198</v>
      </c>
      <c r="H283" s="1854">
        <v>0</v>
      </c>
      <c r="I283" s="1843" t="e">
        <f>#REF!+#REF!+#REF!+#REF!+#REF!+#REF!+#REF!+#REF!+#REF!+#REF!</f>
        <v>#REF!</v>
      </c>
      <c r="J283" s="1843"/>
      <c r="K283" s="1843" t="e">
        <f>#REF!+#REF!+#REF!+#REF!+#REF!+#REF!+#REF!+#REF!+#REF!+#REF!</f>
        <v>#REF!</v>
      </c>
      <c r="L283" s="1844"/>
      <c r="M283" s="1844"/>
      <c r="N283" s="1844"/>
      <c r="O283" s="1844"/>
      <c r="P283" s="1844"/>
      <c r="Q283" s="1844"/>
      <c r="R283" s="1844"/>
      <c r="S283" s="1844"/>
      <c r="T283" s="1845"/>
      <c r="U283" s="1846"/>
      <c r="V283" s="1846"/>
      <c r="W283" s="1847"/>
      <c r="X283" s="1847"/>
      <c r="Y283" s="1847"/>
      <c r="Z283" s="1848"/>
      <c r="AA283" s="1847"/>
      <c r="AB283" s="1847"/>
      <c r="AC283" s="1508" t="e">
        <f>AO283+AS283+AW283+BA283+BE283+BI283+BM283+BQ283+BU283+BY283+CC283+CH283</f>
        <v>#REF!</v>
      </c>
      <c r="AD283" s="1855" t="e">
        <f>#REF!+#REF!+#REF!+#REF!+#REF!+#REF!+#REF!+#REF!+#REF!+#REF!</f>
        <v>#REF!</v>
      </c>
      <c r="AE283" s="1855" t="e">
        <f>#REF!+#REF!+#REF!+#REF!+#REF!+#REF!+#REF!+#REF!+#REF!+#REF!</f>
        <v>#REF!</v>
      </c>
      <c r="AF283" s="1855" t="e">
        <f>#REF!+#REF!+#REF!+#REF!+#REF!+#REF!+#REF!+#REF!+#REF!+#REF!</f>
        <v>#REF!</v>
      </c>
      <c r="AG283" s="1855" t="e">
        <f>#REF!+#REF!+#REF!+#REF!+#REF!+#REF!+#REF!+#REF!+#REF!+#REF!</f>
        <v>#REF!</v>
      </c>
      <c r="AH283" s="1490">
        <f t="shared" si="213"/>
        <v>0</v>
      </c>
      <c r="AI283" s="1636" t="e">
        <f>H283-AC283</f>
        <v>#REF!</v>
      </c>
      <c r="AJ283" s="1856" t="e">
        <f>#REF!+#REF!+#REF!+#REF!+#REF!+#REF!+#REF!+#REF!+#REF!+#REF!</f>
        <v>#REF!</v>
      </c>
      <c r="AK283" s="1856" t="e">
        <f>#REF!+#REF!+#REF!+#REF!+#REF!+#REF!+#REF!+#REF!+#REF!+#REF!</f>
        <v>#REF!</v>
      </c>
      <c r="AL283" s="1636" t="e">
        <f t="shared" si="195"/>
        <v>#REF!</v>
      </c>
      <c r="AM283" s="1856" t="e">
        <f>#REF!+#REF!+#REF!+#REF!+#REF!+#REF!+#REF!+#REF!+#REF!+#REF!</f>
        <v>#REF!</v>
      </c>
      <c r="AN283" s="1849"/>
      <c r="AO283" s="1843" t="e">
        <f>#REF!+#REF!+#REF!+#REF!+#REF!+#REF!+#REF!+#REF!+#REF!+#REF!</f>
        <v>#REF!</v>
      </c>
      <c r="AP283" s="1843" t="e">
        <f>#REF!+#REF!+#REF!+#REF!+#REF!+#REF!+#REF!+#REF!+#REF!+#REF!</f>
        <v>#REF!</v>
      </c>
      <c r="AQ283" s="1843" t="e">
        <f>#REF!+#REF!+#REF!+#REF!+#REF!+#REF!+#REF!+#REF!+#REF!+#REF!</f>
        <v>#REF!</v>
      </c>
      <c r="AR283" s="1843" t="e">
        <f>#REF!+#REF!+#REF!+#REF!+#REF!+#REF!+#REF!+#REF!+#REF!+#REF!</f>
        <v>#REF!</v>
      </c>
      <c r="AS283" s="1848" t="e">
        <f>#REF!+#REF!+#REF!+#REF!+#REF!+#REF!+#REF!+#REF!+#REF!+#REF!</f>
        <v>#REF!</v>
      </c>
      <c r="AT283" s="1843" t="e">
        <f>#REF!+#REF!+#REF!+#REF!+#REF!+#REF!+#REF!+#REF!+#REF!+#REF!</f>
        <v>#REF!</v>
      </c>
      <c r="AU283" s="1843" t="e">
        <f>#REF!+#REF!+#REF!+#REF!+#REF!+#REF!+#REF!+#REF!+#REF!+#REF!</f>
        <v>#REF!</v>
      </c>
      <c r="AV283" s="1843" t="e">
        <f>#REF!+#REF!+#REF!+#REF!+#REF!+#REF!+#REF!+#REF!+#REF!+#REF!</f>
        <v>#REF!</v>
      </c>
      <c r="AW283" s="1848" t="e">
        <f>#REF!+#REF!+#REF!+#REF!+#REF!+#REF!+#REF!+#REF!+#REF!+#REF!</f>
        <v>#REF!</v>
      </c>
      <c r="AX283" s="1843" t="e">
        <f>#REF!+#REF!+#REF!+#REF!+#REF!+#REF!+#REF!+#REF!+#REF!+#REF!</f>
        <v>#REF!</v>
      </c>
      <c r="AY283" s="1843" t="e">
        <f>#REF!+#REF!+#REF!+#REF!+#REF!+#REF!+#REF!+#REF!+#REF!+#REF!</f>
        <v>#REF!</v>
      </c>
      <c r="AZ283" s="1843" t="e">
        <f>#REF!+#REF!+#REF!+#REF!+#REF!+#REF!+#REF!+#REF!+#REF!+#REF!</f>
        <v>#REF!</v>
      </c>
      <c r="BA283" s="1849" t="e">
        <f>#REF!+#REF!+#REF!+#REF!+#REF!+#REF!+#REF!+#REF!+#REF!+#REF!</f>
        <v>#REF!</v>
      </c>
      <c r="BB283" s="1843" t="e">
        <f>#REF!+#REF!+#REF!+#REF!+#REF!+#REF!+#REF!+#REF!+#REF!+#REF!</f>
        <v>#REF!</v>
      </c>
      <c r="BC283" s="1843" t="e">
        <f>#REF!+#REF!+#REF!+#REF!+#REF!+#REF!+#REF!+#REF!+#REF!+#REF!</f>
        <v>#REF!</v>
      </c>
      <c r="BD283" s="1843" t="e">
        <f>#REF!+#REF!+#REF!+#REF!+#REF!+#REF!+#REF!+#REF!+#REF!+#REF!</f>
        <v>#REF!</v>
      </c>
      <c r="BE283" s="1717" t="e">
        <f>#REF!+#REF!+#REF!+#REF!+#REF!+#REF!+#REF!+#REF!+#REF!+#REF!</f>
        <v>#REF!</v>
      </c>
      <c r="BF283" s="1843" t="e">
        <f>#REF!+#REF!+#REF!+#REF!+#REF!+#REF!+#REF!+#REF!+#REF!+#REF!</f>
        <v>#REF!</v>
      </c>
      <c r="BG283" s="1843" t="e">
        <f>#REF!+#REF!+#REF!+#REF!+#REF!+#REF!+#REF!+#REF!+#REF!+#REF!</f>
        <v>#REF!</v>
      </c>
      <c r="BH283" s="1843" t="e">
        <f>#REF!+#REF!+#REF!+#REF!+#REF!+#REF!+#REF!+#REF!+#REF!+#REF!</f>
        <v>#REF!</v>
      </c>
      <c r="BI283" s="1849" t="e">
        <f>#REF!+#REF!+#REF!+#REF!+#REF!+#REF!+#REF!+#REF!+#REF!+#REF!</f>
        <v>#REF!</v>
      </c>
      <c r="BJ283" s="1843" t="e">
        <f>#REF!+#REF!+#REF!+#REF!+#REF!+#REF!+#REF!+#REF!+#REF!+#REF!</f>
        <v>#REF!</v>
      </c>
      <c r="BK283" s="1843" t="e">
        <f>#REF!+#REF!+#REF!+#REF!+#REF!+#REF!+#REF!+#REF!+#REF!+#REF!</f>
        <v>#REF!</v>
      </c>
      <c r="BL283" s="1843" t="e">
        <f>#REF!+#REF!+#REF!+#REF!+#REF!+#REF!+#REF!+#REF!+#REF!+#REF!</f>
        <v>#REF!</v>
      </c>
      <c r="BM283" s="1849" t="e">
        <f>#REF!+#REF!+#REF!+#REF!+#REF!+#REF!+#REF!+#REF!+#REF!+#REF!</f>
        <v>#REF!</v>
      </c>
      <c r="BN283" s="1843" t="e">
        <f>#REF!+#REF!+#REF!+#REF!+#REF!+#REF!+#REF!+#REF!+#REF!+#REF!</f>
        <v>#REF!</v>
      </c>
      <c r="BO283" s="1843" t="e">
        <f>#REF!+#REF!+#REF!+#REF!+#REF!+#REF!+#REF!+#REF!+#REF!+#REF!</f>
        <v>#REF!</v>
      </c>
      <c r="BP283" s="1843" t="e">
        <f>#REF!+#REF!+#REF!+#REF!+#REF!+#REF!+#REF!+#REF!+#REF!+#REF!</f>
        <v>#REF!</v>
      </c>
      <c r="BQ283" s="1849" t="e">
        <f>#REF!+#REF!+#REF!+#REF!+#REF!+#REF!+#REF!+#REF!+#REF!+#REF!</f>
        <v>#REF!</v>
      </c>
      <c r="BR283" s="1843" t="e">
        <f>#REF!+#REF!+#REF!+#REF!+#REF!+#REF!+#REF!+#REF!+#REF!+#REF!</f>
        <v>#REF!</v>
      </c>
      <c r="BS283" s="1843" t="e">
        <f>#REF!+#REF!+#REF!+#REF!+#REF!+#REF!+#REF!+#REF!+#REF!+#REF!</f>
        <v>#REF!</v>
      </c>
      <c r="BT283" s="1843" t="e">
        <f>#REF!+#REF!+#REF!+#REF!+#REF!+#REF!+#REF!+#REF!+#REF!+#REF!</f>
        <v>#REF!</v>
      </c>
      <c r="BU283" s="1849" t="e">
        <f>#REF!+#REF!+#REF!+#REF!+#REF!+#REF!+#REF!+#REF!+#REF!+#REF!</f>
        <v>#REF!</v>
      </c>
      <c r="BV283" s="1843" t="e">
        <f>#REF!+#REF!+#REF!+#REF!+#REF!+#REF!+#REF!+#REF!+#REF!+#REF!</f>
        <v>#REF!</v>
      </c>
      <c r="BW283" s="1843" t="e">
        <f>#REF!+#REF!+#REF!+#REF!+#REF!+#REF!+#REF!+#REF!+#REF!+#REF!</f>
        <v>#REF!</v>
      </c>
      <c r="BX283" s="1843" t="e">
        <f>#REF!+#REF!+#REF!+#REF!+#REF!+#REF!+#REF!+#REF!+#REF!+#REF!</f>
        <v>#REF!</v>
      </c>
      <c r="BY283" s="1849" t="e">
        <f>#REF!+#REF!+#REF!+#REF!+#REF!+#REF!+#REF!+#REF!+#REF!+#REF!</f>
        <v>#REF!</v>
      </c>
      <c r="BZ283" s="1843" t="e">
        <f>#REF!+#REF!+#REF!+#REF!+#REF!+#REF!+#REF!+#REF!+#REF!+#REF!</f>
        <v>#REF!</v>
      </c>
      <c r="CA283" s="1843" t="e">
        <f>#REF!+#REF!+#REF!+#REF!+#REF!+#REF!+#REF!+#REF!+#REF!+#REF!</f>
        <v>#REF!</v>
      </c>
      <c r="CB283" s="1843" t="e">
        <f>#REF!+#REF!+#REF!+#REF!+#REF!+#REF!+#REF!+#REF!+#REF!+#REF!</f>
        <v>#REF!</v>
      </c>
      <c r="CC283" s="1849" t="e">
        <f>#REF!+#REF!+#REF!+#REF!+#REF!+#REF!+#REF!+#REF!+#REF!+#REF!</f>
        <v>#REF!</v>
      </c>
      <c r="CD283" s="1843" t="e">
        <f>#REF!+#REF!+#REF!+#REF!+#REF!+#REF!+#REF!+#REF!+#REF!+#REF!</f>
        <v>#REF!</v>
      </c>
      <c r="CE283" s="1843" t="e">
        <f>#REF!+#REF!+#REF!+#REF!+#REF!+#REF!+#REF!+#REF!+#REF!+#REF!</f>
        <v>#REF!</v>
      </c>
      <c r="CF283" s="1843" t="e">
        <f>#REF!+#REF!+#REF!+#REF!+#REF!+#REF!+#REF!+#REF!+#REF!+#REF!</f>
        <v>#REF!</v>
      </c>
      <c r="CG283" s="1850"/>
      <c r="CH283" s="1849" t="e">
        <f>#REF!+#REF!+#REF!+#REF!+#REF!+#REF!+#REF!+#REF!+#REF!+#REF!</f>
        <v>#REF!</v>
      </c>
      <c r="CI283" s="1843" t="e">
        <f>#REF!+#REF!+#REF!+#REF!+#REF!+#REF!+#REF!+#REF!+#REF!+#REF!</f>
        <v>#REF!</v>
      </c>
      <c r="CJ283" s="1843" t="e">
        <f>#REF!+#REF!+#REF!+#REF!+#REF!+#REF!+#REF!+#REF!+#REF!+#REF!</f>
        <v>#REF!</v>
      </c>
      <c r="CK283" s="1843" t="e">
        <f>#REF!+#REF!+#REF!+#REF!+#REF!+#REF!+#REF!+#REF!+#REF!+#REF!</f>
        <v>#REF!</v>
      </c>
      <c r="CL283" s="1857"/>
      <c r="CM283" s="1857" t="e">
        <f>#REF!+#REF!+#REF!+#REF!+#REF!+#REF!+#REF!+#REF!+#REF!+#REF!</f>
        <v>#REF!</v>
      </c>
      <c r="CN283" s="1857" t="e">
        <f>#REF!+#REF!+#REF!+#REF!+#REF!+#REF!+#REF!+#REF!+#REF!+#REF!</f>
        <v>#REF!</v>
      </c>
      <c r="CO283" s="1858"/>
      <c r="CP283" s="1858"/>
      <c r="CQ283" s="1858"/>
      <c r="CR283" s="1858"/>
      <c r="CS283" s="1858"/>
      <c r="CT283" s="1858"/>
      <c r="CU283" s="1858"/>
      <c r="CV283" s="1858"/>
      <c r="CW283" s="1858"/>
    </row>
    <row r="284" spans="1:107" ht="14" x14ac:dyDescent="0.15">
      <c r="A284" s="1541" t="s">
        <v>96</v>
      </c>
      <c r="B284" s="1522" t="s">
        <v>79</v>
      </c>
      <c r="C284" s="1522" t="s">
        <v>80</v>
      </c>
      <c r="D284" s="1522" t="s">
        <v>125</v>
      </c>
      <c r="E284" s="1522" t="s">
        <v>779</v>
      </c>
      <c r="F284" s="1522" t="s">
        <v>1247</v>
      </c>
      <c r="G284" s="1523" t="s">
        <v>170</v>
      </c>
      <c r="H284" s="1851">
        <f>1350+200+3950</f>
        <v>5500</v>
      </c>
      <c r="I284" s="1843"/>
      <c r="J284" s="1843"/>
      <c r="K284" s="1843"/>
      <c r="L284" s="1844"/>
      <c r="M284" s="1844"/>
      <c r="N284" s="1844"/>
      <c r="O284" s="1844"/>
      <c r="P284" s="1844"/>
      <c r="Q284" s="1844"/>
      <c r="R284" s="1844"/>
      <c r="S284" s="1844"/>
      <c r="T284" s="1845"/>
      <c r="U284" s="1846"/>
      <c r="V284" s="1846"/>
      <c r="W284" s="1847"/>
      <c r="X284" s="1847"/>
      <c r="Y284" s="1847"/>
      <c r="Z284" s="1848"/>
      <c r="AA284" s="1847"/>
      <c r="AB284" s="1847"/>
      <c r="AC284" s="1508">
        <f>AO284+AS284+AW284+BA284+BE284+BI284+BM284+BQ284+BU284+BY284+CC284+CH284</f>
        <v>5500</v>
      </c>
      <c r="AD284" s="1855"/>
      <c r="AE284" s="1855"/>
      <c r="AF284" s="1855"/>
      <c r="AG284" s="1855"/>
      <c r="AH284" s="1490">
        <f t="shared" si="213"/>
        <v>0</v>
      </c>
      <c r="AI284" s="1636">
        <f>H284-AC284</f>
        <v>0</v>
      </c>
      <c r="AJ284" s="1856"/>
      <c r="AK284" s="1856"/>
      <c r="AL284" s="1636">
        <f t="shared" si="195"/>
        <v>0</v>
      </c>
      <c r="AM284" s="1856"/>
      <c r="AN284" s="1849"/>
      <c r="AO284" s="1843"/>
      <c r="AP284" s="1843"/>
      <c r="AQ284" s="1843"/>
      <c r="AR284" s="1843"/>
      <c r="AS284" s="1848"/>
      <c r="AT284" s="1843"/>
      <c r="AU284" s="1843"/>
      <c r="AV284" s="1843"/>
      <c r="AW284" s="1848">
        <v>1350</v>
      </c>
      <c r="AX284" s="1843"/>
      <c r="AY284" s="1843"/>
      <c r="AZ284" s="1843"/>
      <c r="BA284" s="1849"/>
      <c r="BB284" s="1843"/>
      <c r="BC284" s="1843"/>
      <c r="BD284" s="1843"/>
      <c r="BE284" s="1717"/>
      <c r="BF284" s="1843"/>
      <c r="BG284" s="1843"/>
      <c r="BH284" s="1843"/>
      <c r="BI284" s="1849"/>
      <c r="BJ284" s="1843"/>
      <c r="BK284" s="1843"/>
      <c r="BL284" s="1843"/>
      <c r="BM284" s="1849"/>
      <c r="BN284" s="1843"/>
      <c r="BO284" s="1843"/>
      <c r="BP284" s="1843"/>
      <c r="BQ284" s="1849"/>
      <c r="BR284" s="1843"/>
      <c r="BS284" s="1843"/>
      <c r="BT284" s="1843"/>
      <c r="BU284" s="1849"/>
      <c r="BV284" s="1843"/>
      <c r="BW284" s="1843"/>
      <c r="BX284" s="1843"/>
      <c r="BY284" s="1849">
        <f>150+50+2500+1450</f>
        <v>4150</v>
      </c>
      <c r="BZ284" s="1843"/>
      <c r="CA284" s="1843"/>
      <c r="CB284" s="1843"/>
      <c r="CC284" s="1849"/>
      <c r="CD284" s="1843"/>
      <c r="CE284" s="1843"/>
      <c r="CF284" s="1843"/>
      <c r="CG284" s="1850"/>
      <c r="CH284" s="1849"/>
      <c r="CI284" s="1843"/>
      <c r="CJ284" s="1843"/>
      <c r="CK284" s="1843"/>
      <c r="CL284" s="1858"/>
      <c r="CM284" s="1858"/>
      <c r="CN284" s="1858"/>
      <c r="CO284" s="1858"/>
      <c r="CP284" s="1858"/>
      <c r="CQ284" s="1858"/>
      <c r="CR284" s="1858"/>
      <c r="CS284" s="1858"/>
      <c r="CT284" s="1858"/>
      <c r="CU284" s="1858"/>
      <c r="CV284" s="1858"/>
      <c r="CW284" s="1858"/>
    </row>
    <row r="285" spans="1:107" s="1842" customFormat="1" ht="14" x14ac:dyDescent="0.15">
      <c r="A285" s="1774" t="s">
        <v>1108</v>
      </c>
      <c r="B285" s="1859" t="s">
        <v>79</v>
      </c>
      <c r="C285" s="1859" t="s">
        <v>80</v>
      </c>
      <c r="D285" s="1859" t="s">
        <v>125</v>
      </c>
      <c r="E285" s="1859" t="s">
        <v>213</v>
      </c>
      <c r="F285" s="1522"/>
      <c r="G285" s="1650"/>
      <c r="H285" s="1851"/>
      <c r="I285" s="1738"/>
      <c r="J285" s="1738"/>
      <c r="K285" s="1738"/>
      <c r="L285" s="1739"/>
      <c r="M285" s="1739"/>
      <c r="N285" s="1739"/>
      <c r="O285" s="1739"/>
      <c r="P285" s="1739"/>
      <c r="Q285" s="1739"/>
      <c r="R285" s="1739"/>
      <c r="S285" s="1739"/>
      <c r="T285" s="1740"/>
      <c r="U285" s="1741"/>
      <c r="V285" s="1741"/>
      <c r="W285" s="1742"/>
      <c r="X285" s="1742"/>
      <c r="Y285" s="1742"/>
      <c r="Z285" s="1743"/>
      <c r="AA285" s="1742"/>
      <c r="AB285" s="1742"/>
      <c r="AC285" s="1508">
        <f>AO285+AS285+AW285+BA285+BE285+BI285+BM285+BQ285+BU285+BY285+CC285+CH285</f>
        <v>0</v>
      </c>
      <c r="AD285" s="1509">
        <f>AE285+AF285+AG285</f>
        <v>0</v>
      </c>
      <c r="AE285" s="1509">
        <f>AP285+AT285+AX285+BB285+BF285+BJ285+BN285+BR285+BV285+BZ285+CD285+CI285</f>
        <v>0</v>
      </c>
      <c r="AF285" s="1509">
        <f>AQ285+AU285+AY285+BC285+BG285+BK285+BO285+BS285+BW285+CA285+CE285+CJ285</f>
        <v>0</v>
      </c>
      <c r="AG285" s="1509">
        <f>AR285+AV285+AZ285+BD285+BH285+BL285+BP285+BT285+BX285+CB285+CF285+CK285</f>
        <v>0</v>
      </c>
      <c r="AH285" s="1490">
        <f t="shared" si="213"/>
        <v>0</v>
      </c>
      <c r="AI285" s="1636">
        <f>H285-AC285</f>
        <v>0</v>
      </c>
      <c r="AJ285" s="1636">
        <f>AK285+AL285+AM285</f>
        <v>0</v>
      </c>
      <c r="AK285" s="1636">
        <f>I285-AE285</f>
        <v>0</v>
      </c>
      <c r="AL285" s="1636">
        <f t="shared" si="195"/>
        <v>0</v>
      </c>
      <c r="AM285" s="1636">
        <f>K285-AG285</f>
        <v>0</v>
      </c>
      <c r="AN285" s="1815"/>
      <c r="AO285" s="1738"/>
      <c r="AP285" s="1738"/>
      <c r="AQ285" s="1738"/>
      <c r="AR285" s="1738"/>
      <c r="AS285" s="1743"/>
      <c r="AT285" s="1738"/>
      <c r="AU285" s="1738"/>
      <c r="AV285" s="1738"/>
      <c r="AW285" s="1743"/>
      <c r="AX285" s="1738"/>
      <c r="AY285" s="1738"/>
      <c r="AZ285" s="1738"/>
      <c r="BA285" s="1746"/>
      <c r="BB285" s="1738"/>
      <c r="BC285" s="1738"/>
      <c r="BD285" s="1738"/>
      <c r="BE285" s="1746"/>
      <c r="BF285" s="1738"/>
      <c r="BG285" s="1738"/>
      <c r="BH285" s="1738"/>
      <c r="BI285" s="1746"/>
      <c r="BJ285" s="1738"/>
      <c r="BK285" s="1738"/>
      <c r="BL285" s="1738"/>
      <c r="BM285" s="1746"/>
      <c r="BN285" s="1738"/>
      <c r="BO285" s="1738"/>
      <c r="BP285" s="1738"/>
      <c r="BQ285" s="1746"/>
      <c r="BR285" s="1738"/>
      <c r="BS285" s="1738"/>
      <c r="BT285" s="1738"/>
      <c r="BU285" s="1746"/>
      <c r="BV285" s="1738"/>
      <c r="BW285" s="1738"/>
      <c r="BX285" s="1738"/>
      <c r="BY285" s="1746"/>
      <c r="BZ285" s="1738"/>
      <c r="CA285" s="1738"/>
      <c r="CB285" s="1738"/>
      <c r="CC285" s="1746"/>
      <c r="CD285" s="1738"/>
      <c r="CE285" s="1738"/>
      <c r="CF285" s="1738"/>
      <c r="CG285" s="1860"/>
      <c r="CH285" s="1746"/>
      <c r="CI285" s="1738"/>
      <c r="CJ285" s="1738"/>
      <c r="CK285" s="1738"/>
      <c r="CL285" s="1841"/>
      <c r="CM285" s="1841"/>
      <c r="CN285" s="1841"/>
      <c r="CO285" s="1841"/>
      <c r="CP285" s="1841"/>
      <c r="CQ285" s="1841"/>
      <c r="CR285" s="1841"/>
      <c r="CS285" s="1841"/>
      <c r="CT285" s="1841"/>
      <c r="CU285" s="1841"/>
      <c r="CV285" s="1841"/>
      <c r="CW285" s="1841"/>
      <c r="CY285" s="1841"/>
    </row>
    <row r="286" spans="1:107" ht="26" x14ac:dyDescent="0.15">
      <c r="A286" s="1779" t="s">
        <v>1125</v>
      </c>
      <c r="B286" s="1780" t="s">
        <v>79</v>
      </c>
      <c r="C286" s="1780" t="s">
        <v>80</v>
      </c>
      <c r="D286" s="1780" t="s">
        <v>125</v>
      </c>
      <c r="E286" s="1780" t="s">
        <v>213</v>
      </c>
      <c r="F286" s="1780">
        <v>600</v>
      </c>
      <c r="G286" s="1781"/>
      <c r="H286" s="1578">
        <f>H287+H301</f>
        <v>43234.6</v>
      </c>
      <c r="I286" s="1578">
        <f>I287+I301</f>
        <v>30009</v>
      </c>
      <c r="J286" s="1578">
        <f>J287+J301</f>
        <v>75</v>
      </c>
      <c r="K286" s="1578">
        <f>K287+K301</f>
        <v>0</v>
      </c>
      <c r="L286" s="1579"/>
      <c r="M286" s="1579"/>
      <c r="N286" s="1579"/>
      <c r="O286" s="1579"/>
      <c r="P286" s="1579"/>
      <c r="Q286" s="1579"/>
      <c r="R286" s="1579"/>
      <c r="S286" s="1579"/>
      <c r="T286" s="1580"/>
      <c r="U286" s="1581"/>
      <c r="V286" s="1581"/>
      <c r="W286" s="1582"/>
      <c r="X286" s="1582"/>
      <c r="Y286" s="1582"/>
      <c r="Z286" s="1583"/>
      <c r="AA286" s="1582"/>
      <c r="AB286" s="1582"/>
      <c r="AC286" s="1584">
        <f>AC287+AC301</f>
        <v>13225.599999999999</v>
      </c>
      <c r="AD286" s="1584">
        <f>AD287+AD301</f>
        <v>30084.000220000002</v>
      </c>
      <c r="AE286" s="1584">
        <f>AE287+AE301</f>
        <v>30009.000220000002</v>
      </c>
      <c r="AF286" s="1584">
        <f>AF287+AF301</f>
        <v>75</v>
      </c>
      <c r="AG286" s="1584">
        <f>AG287+AG301</f>
        <v>0</v>
      </c>
      <c r="AH286" s="1490">
        <f t="shared" si="213"/>
        <v>0</v>
      </c>
      <c r="AI286" s="1585">
        <f>AI287+AI301</f>
        <v>0</v>
      </c>
      <c r="AJ286" s="1585">
        <f>AJ287+AJ301</f>
        <v>-2.1999999989930075E-4</v>
      </c>
      <c r="AK286" s="1585">
        <f>AK287+AK301</f>
        <v>-2.1999999989930075E-4</v>
      </c>
      <c r="AL286" s="1636">
        <f t="shared" si="195"/>
        <v>0</v>
      </c>
      <c r="AM286" s="1585">
        <f>AM287+AM301</f>
        <v>0</v>
      </c>
      <c r="AN286" s="1586"/>
      <c r="AO286" s="1578">
        <f t="shared" ref="AO286:AV286" si="217">AO287+AO301</f>
        <v>1068</v>
      </c>
      <c r="AP286" s="1578">
        <f t="shared" si="217"/>
        <v>0</v>
      </c>
      <c r="AQ286" s="1578">
        <f t="shared" si="217"/>
        <v>0</v>
      </c>
      <c r="AR286" s="1578">
        <f t="shared" si="217"/>
        <v>0</v>
      </c>
      <c r="AS286" s="1583">
        <f t="shared" si="217"/>
        <v>1051.3</v>
      </c>
      <c r="AT286" s="1578">
        <f t="shared" si="217"/>
        <v>0</v>
      </c>
      <c r="AU286" s="1578">
        <f t="shared" si="217"/>
        <v>0</v>
      </c>
      <c r="AV286" s="1578">
        <f t="shared" si="217"/>
        <v>0</v>
      </c>
      <c r="AW286" s="1583"/>
      <c r="AX286" s="1578">
        <f>AX287+AX301</f>
        <v>0</v>
      </c>
      <c r="AY286" s="1578">
        <f>AY287+AY301</f>
        <v>0</v>
      </c>
      <c r="AZ286" s="1578">
        <f>AZ287+AZ301</f>
        <v>0</v>
      </c>
      <c r="BA286" s="1586"/>
      <c r="BB286" s="1578">
        <f>BB287+BB301</f>
        <v>0</v>
      </c>
      <c r="BC286" s="1578">
        <f>BC287+BC301</f>
        <v>0</v>
      </c>
      <c r="BD286" s="1578">
        <f>BD287+BD301</f>
        <v>0</v>
      </c>
      <c r="BE286" s="1511"/>
      <c r="BF286" s="1578">
        <f>BF287+BF301</f>
        <v>0</v>
      </c>
      <c r="BG286" s="1578">
        <f>BG287+BG301</f>
        <v>0</v>
      </c>
      <c r="BH286" s="1578">
        <f>BH287+BH301</f>
        <v>0</v>
      </c>
      <c r="BI286" s="1586"/>
      <c r="BJ286" s="1578">
        <f>BJ287+BJ301</f>
        <v>0</v>
      </c>
      <c r="BK286" s="1578">
        <f>BK287+BK301</f>
        <v>0</v>
      </c>
      <c r="BL286" s="1578">
        <f>BL287+BL301</f>
        <v>0</v>
      </c>
      <c r="BM286" s="1586"/>
      <c r="BN286" s="1578">
        <f>BN287+BN301</f>
        <v>9270.5300000000007</v>
      </c>
      <c r="BO286" s="1578">
        <f>BO287+BO301</f>
        <v>0</v>
      </c>
      <c r="BP286" s="1578">
        <f>BP287+BP301</f>
        <v>0</v>
      </c>
      <c r="BQ286" s="1586"/>
      <c r="BR286" s="1578">
        <f t="shared" ref="BR286:BX286" si="218">BR287+BR301</f>
        <v>0</v>
      </c>
      <c r="BS286" s="1578">
        <f t="shared" si="218"/>
        <v>0</v>
      </c>
      <c r="BT286" s="1578">
        <f t="shared" si="218"/>
        <v>0</v>
      </c>
      <c r="BU286" s="1586">
        <f t="shared" si="218"/>
        <v>1105.2799999999997</v>
      </c>
      <c r="BV286" s="1578">
        <f t="shared" si="218"/>
        <v>19657.264220000001</v>
      </c>
      <c r="BW286" s="1578">
        <f t="shared" si="218"/>
        <v>0</v>
      </c>
      <c r="BX286" s="1578">
        <f t="shared" si="218"/>
        <v>0</v>
      </c>
      <c r="BY286" s="1586"/>
      <c r="BZ286" s="1578">
        <f>BZ287+BZ301</f>
        <v>0</v>
      </c>
      <c r="CA286" s="1578">
        <f>CA287+CA301</f>
        <v>0</v>
      </c>
      <c r="CB286" s="1578">
        <f>CB287+CB301</f>
        <v>0</v>
      </c>
      <c r="CC286" s="1586"/>
      <c r="CD286" s="1578">
        <f>CD287+CD301</f>
        <v>0</v>
      </c>
      <c r="CE286" s="1578">
        <f>CE287+CE301</f>
        <v>0</v>
      </c>
      <c r="CF286" s="1578">
        <f>CF287+CF301</f>
        <v>0</v>
      </c>
      <c r="CG286" s="1714"/>
      <c r="CH286" s="1586"/>
      <c r="CI286" s="1578">
        <f>CI287+CI301</f>
        <v>1081.2059999999999</v>
      </c>
      <c r="CJ286" s="1578">
        <f>CJ287+CJ301</f>
        <v>75</v>
      </c>
      <c r="CK286" s="1578">
        <f>CK287+CK301</f>
        <v>0</v>
      </c>
    </row>
    <row r="287" spans="1:107" ht="52" x14ac:dyDescent="0.15">
      <c r="A287" s="1748" t="s">
        <v>1135</v>
      </c>
      <c r="B287" s="1749" t="s">
        <v>79</v>
      </c>
      <c r="C287" s="1749" t="s">
        <v>80</v>
      </c>
      <c r="D287" s="1749" t="s">
        <v>125</v>
      </c>
      <c r="E287" s="1749" t="s">
        <v>213</v>
      </c>
      <c r="F287" s="1749" t="s">
        <v>765</v>
      </c>
      <c r="G287" s="1530" t="s">
        <v>766</v>
      </c>
      <c r="H287" s="1531">
        <f>H288+H289+H290+H291+H292+H293+H294+H295+H296+H297+H298+H299+H300</f>
        <v>13225.6</v>
      </c>
      <c r="I287" s="1531">
        <f>I288+I289+I290+I291+I292+I293+I294+I295+I296+I297+I298+I299+I300</f>
        <v>30009</v>
      </c>
      <c r="J287" s="1531">
        <f>J288+J289+J290+J291+J292+J293+J294+J295+J296+J297+J298+J299+J300</f>
        <v>75</v>
      </c>
      <c r="K287" s="1531">
        <f>K288+K289+K290+K291+K292+K293+K294+K295+K296+K297+K298+K299+K300</f>
        <v>0</v>
      </c>
      <c r="L287" s="1531">
        <f t="shared" ref="L287:AG287" si="219">L288+L289+L290+L291+L292+L293+L294+L295+L296+L297+L298+L299+L300</f>
        <v>0</v>
      </c>
      <c r="M287" s="1531">
        <f t="shared" si="219"/>
        <v>0</v>
      </c>
      <c r="N287" s="1531">
        <f t="shared" si="219"/>
        <v>0</v>
      </c>
      <c r="O287" s="1531">
        <f t="shared" si="219"/>
        <v>0</v>
      </c>
      <c r="P287" s="1531">
        <f t="shared" si="219"/>
        <v>0</v>
      </c>
      <c r="Q287" s="1531">
        <f t="shared" si="219"/>
        <v>0</v>
      </c>
      <c r="R287" s="1531">
        <f t="shared" si="219"/>
        <v>0</v>
      </c>
      <c r="S287" s="1531">
        <f t="shared" si="219"/>
        <v>0</v>
      </c>
      <c r="T287" s="1531">
        <f t="shared" si="219"/>
        <v>0</v>
      </c>
      <c r="U287" s="1531">
        <f t="shared" si="219"/>
        <v>1551</v>
      </c>
      <c r="V287" s="1531">
        <f t="shared" si="219"/>
        <v>0</v>
      </c>
      <c r="W287" s="1531">
        <f t="shared" si="219"/>
        <v>1027.6750000000002</v>
      </c>
      <c r="X287" s="1531">
        <f t="shared" si="219"/>
        <v>1027.7</v>
      </c>
      <c r="Y287" s="1531">
        <f t="shared" si="219"/>
        <v>1027.68</v>
      </c>
      <c r="Z287" s="1531">
        <f t="shared" si="219"/>
        <v>1027.68</v>
      </c>
      <c r="AA287" s="1531">
        <f t="shared" si="219"/>
        <v>0</v>
      </c>
      <c r="AB287" s="1531">
        <f t="shared" si="219"/>
        <v>11669.689999999999</v>
      </c>
      <c r="AC287" s="1603">
        <f t="shared" si="219"/>
        <v>13225.599999999999</v>
      </c>
      <c r="AD287" s="1603">
        <f t="shared" si="219"/>
        <v>30084.000220000002</v>
      </c>
      <c r="AE287" s="1603">
        <f t="shared" si="219"/>
        <v>30009.000220000002</v>
      </c>
      <c r="AF287" s="1603">
        <f t="shared" si="219"/>
        <v>75</v>
      </c>
      <c r="AG287" s="1603">
        <f t="shared" si="219"/>
        <v>0</v>
      </c>
      <c r="AH287" s="1490">
        <f t="shared" si="213"/>
        <v>0</v>
      </c>
      <c r="AI287" s="1592">
        <f>AI288+AI289+AI290+AI291+AI292+AI293+AI294+AI295+AI296+AI297+AI298+AI299+AI300</f>
        <v>0</v>
      </c>
      <c r="AJ287" s="1592">
        <f>AJ288+AJ289+AJ290+AJ291+AJ292+AJ293+AJ294+AJ295+AJ296+AJ297+AJ298+AJ299+AJ300</f>
        <v>-2.1999999989930075E-4</v>
      </c>
      <c r="AK287" s="1592">
        <f>AK288+AK289+AK290+AK291+AK292+AK293+AK294+AK295+AK296+AK297+AK298+AK299+AK300</f>
        <v>-2.1999999989930075E-4</v>
      </c>
      <c r="AL287" s="1636">
        <f t="shared" si="195"/>
        <v>0</v>
      </c>
      <c r="AM287" s="1592">
        <f>AM288+AM289+AM290+AM291+AM292+AM293+AM294+AM295+AM296+AM297+AM298+AM299+AM300</f>
        <v>0</v>
      </c>
      <c r="AN287" s="1706"/>
      <c r="AO287" s="1707">
        <f t="shared" ref="AO287:AV287" si="220">AO288+AO289+AO290+AO291+AO292+AO293+AO294+AO295+AO296+AO297+AO298+AO299+AO300</f>
        <v>1068</v>
      </c>
      <c r="AP287" s="1531">
        <f t="shared" si="220"/>
        <v>0</v>
      </c>
      <c r="AQ287" s="1531">
        <f t="shared" si="220"/>
        <v>0</v>
      </c>
      <c r="AR287" s="1531">
        <f t="shared" si="220"/>
        <v>0</v>
      </c>
      <c r="AS287" s="1535">
        <f t="shared" si="220"/>
        <v>1051.3</v>
      </c>
      <c r="AT287" s="1531">
        <f t="shared" si="220"/>
        <v>0</v>
      </c>
      <c r="AU287" s="1531">
        <f t="shared" si="220"/>
        <v>0</v>
      </c>
      <c r="AV287" s="1531">
        <f t="shared" si="220"/>
        <v>0</v>
      </c>
      <c r="AW287" s="1535"/>
      <c r="AX287" s="1531">
        <f t="shared" ref="AX287:BD287" si="221">AX288+AX289+AX290+AX291+AX292+AX293+AX294+AX295+AX296+AX297+AX298+AX299+AX300</f>
        <v>0</v>
      </c>
      <c r="AY287" s="1531">
        <f t="shared" si="221"/>
        <v>0</v>
      </c>
      <c r="AZ287" s="1531">
        <f t="shared" si="221"/>
        <v>0</v>
      </c>
      <c r="BA287" s="1538">
        <f t="shared" si="221"/>
        <v>1027.6799999999998</v>
      </c>
      <c r="BB287" s="1531">
        <f t="shared" si="221"/>
        <v>0</v>
      </c>
      <c r="BC287" s="1531">
        <f t="shared" si="221"/>
        <v>0</v>
      </c>
      <c r="BD287" s="1531">
        <f t="shared" si="221"/>
        <v>0</v>
      </c>
      <c r="BE287" s="1539"/>
      <c r="BF287" s="1531">
        <f t="shared" ref="BF287:BL287" si="222">BF288+BF289+BF290+BF291+BF292+BF293+BF294+BF295+BF296+BF297+BF298+BF299+BF300</f>
        <v>0</v>
      </c>
      <c r="BG287" s="1531">
        <f t="shared" si="222"/>
        <v>0</v>
      </c>
      <c r="BH287" s="1531">
        <f t="shared" si="222"/>
        <v>0</v>
      </c>
      <c r="BI287" s="1538">
        <f t="shared" si="222"/>
        <v>339.42</v>
      </c>
      <c r="BJ287" s="1531">
        <f t="shared" si="222"/>
        <v>0</v>
      </c>
      <c r="BK287" s="1531">
        <f t="shared" si="222"/>
        <v>0</v>
      </c>
      <c r="BL287" s="1531">
        <f t="shared" si="222"/>
        <v>0</v>
      </c>
      <c r="BM287" s="1538"/>
      <c r="BN287" s="1531">
        <f>BN288+BN289+BN290+BN291+BN292+BN293+BN294+BN295+BN296+BN297+BN298+BN299+BN300</f>
        <v>9270.5300000000007</v>
      </c>
      <c r="BO287" s="1531">
        <f>BO288+BO289+BO290+BO291+BO292+BO293+BO294+BO295+BO296+BO297+BO298+BO299+BO300</f>
        <v>0</v>
      </c>
      <c r="BP287" s="1531">
        <f>BP288+BP289+BP290+BP291+BP292+BP293+BP294+BP295+BP296+BP297+BP298+BP299+BP300</f>
        <v>0</v>
      </c>
      <c r="BQ287" s="1538"/>
      <c r="BR287" s="1531">
        <f t="shared" ref="BR287:BX287" si="223">BR288+BR289+BR290+BR291+BR292+BR293+BR294+BR295+BR296+BR297+BR298+BR299+BR300</f>
        <v>0</v>
      </c>
      <c r="BS287" s="1531">
        <f t="shared" si="223"/>
        <v>0</v>
      </c>
      <c r="BT287" s="1531">
        <f t="shared" si="223"/>
        <v>0</v>
      </c>
      <c r="BU287" s="1538">
        <f t="shared" si="223"/>
        <v>1105.2799999999997</v>
      </c>
      <c r="BV287" s="1531">
        <f t="shared" si="223"/>
        <v>19657.264220000001</v>
      </c>
      <c r="BW287" s="1531">
        <f t="shared" si="223"/>
        <v>0</v>
      </c>
      <c r="BX287" s="1531">
        <f t="shared" si="223"/>
        <v>0</v>
      </c>
      <c r="BY287" s="1538"/>
      <c r="BZ287" s="1531">
        <f t="shared" ref="BZ287:CG287" si="224">BZ288+BZ289+BZ290+BZ291+BZ292+BZ293+BZ294+BZ295+BZ296+BZ297+BZ298+BZ299+BZ300</f>
        <v>0</v>
      </c>
      <c r="CA287" s="1531">
        <f t="shared" si="224"/>
        <v>0</v>
      </c>
      <c r="CB287" s="1531">
        <f t="shared" si="224"/>
        <v>0</v>
      </c>
      <c r="CC287" s="1531">
        <f t="shared" si="224"/>
        <v>1027.68</v>
      </c>
      <c r="CD287" s="1531">
        <f t="shared" si="224"/>
        <v>0</v>
      </c>
      <c r="CE287" s="1531">
        <f t="shared" si="224"/>
        <v>0</v>
      </c>
      <c r="CF287" s="1531">
        <f t="shared" si="224"/>
        <v>0</v>
      </c>
      <c r="CG287" s="1705">
        <f t="shared" si="224"/>
        <v>0</v>
      </c>
      <c r="CH287" s="1706"/>
      <c r="CI287" s="1707">
        <f>CI288+CI289+CI290+CI291+CI292+CI293+CI294+CI295+CI296+CI297+CI298+CI299+CI300</f>
        <v>1081.2059999999999</v>
      </c>
      <c r="CJ287" s="1707">
        <f>CJ288+CJ289+CJ290+CJ291+CJ292+CJ293+CJ294+CJ295+CJ296+CJ297+CJ298+CJ299+CJ300</f>
        <v>75</v>
      </c>
      <c r="CK287" s="1707">
        <f>CK288+CK289+CK290+CK291+CK292+CK293+CK294+CK295+CK296+CK297+CK298+CK299+CK300</f>
        <v>0</v>
      </c>
    </row>
    <row r="288" spans="1:107" ht="14" x14ac:dyDescent="0.15">
      <c r="A288" s="1541" t="s">
        <v>124</v>
      </c>
      <c r="B288" s="1523" t="s">
        <v>79</v>
      </c>
      <c r="C288" s="1523" t="s">
        <v>80</v>
      </c>
      <c r="D288" s="1523" t="s">
        <v>125</v>
      </c>
      <c r="E288" s="1861">
        <v>4409900</v>
      </c>
      <c r="F288" s="1523"/>
      <c r="G288" s="1667">
        <v>211</v>
      </c>
      <c r="H288" s="1502">
        <f>9471.7</f>
        <v>9471.7000000000007</v>
      </c>
      <c r="I288" s="1645"/>
      <c r="J288" s="1630"/>
      <c r="K288" s="1502"/>
      <c r="L288" s="1503"/>
      <c r="M288" s="1503"/>
      <c r="N288" s="1503"/>
      <c r="O288" s="1503"/>
      <c r="P288" s="1503"/>
      <c r="Q288" s="1503"/>
      <c r="R288" s="1503"/>
      <c r="S288" s="1503"/>
      <c r="T288" s="1504"/>
      <c r="U288" s="1505"/>
      <c r="V288" s="1505"/>
      <c r="W288" s="1634">
        <f>H288/12</f>
        <v>789.30833333333339</v>
      </c>
      <c r="X288" s="1634">
        <f>AO288</f>
        <v>789.3</v>
      </c>
      <c r="Y288" s="1634">
        <f>CC288</f>
        <v>789.5</v>
      </c>
      <c r="Z288" s="1635">
        <v>789.5</v>
      </c>
      <c r="AA288" s="1634"/>
      <c r="AB288" s="1634">
        <v>8682.58</v>
      </c>
      <c r="AC288" s="1508">
        <f t="shared" ref="AC288:AC300" si="225">AO288+AS288+AW288+BA288+BE288+BI288+BM288+BQ288+BU288+BY288+CC288+CH288</f>
        <v>9471.6999999999989</v>
      </c>
      <c r="AD288" s="1509">
        <f t="shared" ref="AD288:AD300" si="226">AE288+AF288+AG288</f>
        <v>0</v>
      </c>
      <c r="AE288" s="1509">
        <f t="shared" ref="AE288:AG300" si="227">AP288+AT288+AX288+BB288+BF288+BJ288+BN288+BR288+BV288+BZ288+CD288+CI288</f>
        <v>0</v>
      </c>
      <c r="AF288" s="1509">
        <f t="shared" si="227"/>
        <v>0</v>
      </c>
      <c r="AG288" s="1509">
        <f t="shared" si="227"/>
        <v>0</v>
      </c>
      <c r="AH288" s="1490">
        <f t="shared" si="213"/>
        <v>0</v>
      </c>
      <c r="AI288" s="1636">
        <f t="shared" ref="AI288:AI300" si="228">H288-AC288</f>
        <v>0</v>
      </c>
      <c r="AJ288" s="1636">
        <f t="shared" ref="AJ288:AJ300" si="229">AK288+AL288+AM288</f>
        <v>0</v>
      </c>
      <c r="AK288" s="1636">
        <f t="shared" ref="AK288:AK300" si="230">I288-AE288</f>
        <v>0</v>
      </c>
      <c r="AL288" s="1636">
        <f t="shared" si="195"/>
        <v>0</v>
      </c>
      <c r="AM288" s="1636">
        <f t="shared" si="195"/>
        <v>0</v>
      </c>
      <c r="AN288" s="1637">
        <f>H288/12*10-AC288</f>
        <v>-1578.616666666665</v>
      </c>
      <c r="AO288" s="1722">
        <v>789.3</v>
      </c>
      <c r="AP288" s="1638"/>
      <c r="AQ288" s="1638"/>
      <c r="AR288" s="1638"/>
      <c r="AS288" s="1639">
        <v>789.3</v>
      </c>
      <c r="AT288" s="1638"/>
      <c r="AU288" s="1638"/>
      <c r="AV288" s="1638"/>
      <c r="AW288" s="1640">
        <v>789.3</v>
      </c>
      <c r="AX288" s="1640"/>
      <c r="AY288" s="1640"/>
      <c r="AZ288" s="1640"/>
      <c r="BA288" s="1641">
        <v>789.31</v>
      </c>
      <c r="BB288" s="1640"/>
      <c r="BC288" s="1640"/>
      <c r="BD288" s="1640"/>
      <c r="BE288" s="1641">
        <v>789.31</v>
      </c>
      <c r="BF288" s="1640"/>
      <c r="BG288" s="1640"/>
      <c r="BH288" s="1640"/>
      <c r="BI288" s="1641">
        <f>315.72</f>
        <v>315.72000000000003</v>
      </c>
      <c r="BJ288" s="1640"/>
      <c r="BK288" s="1640"/>
      <c r="BL288" s="1640"/>
      <c r="BM288" s="1641">
        <f>473.58+789.31</f>
        <v>1262.8899999999999</v>
      </c>
      <c r="BN288" s="1640"/>
      <c r="BO288" s="1640"/>
      <c r="BP288" s="1640"/>
      <c r="BQ288" s="1641">
        <v>789.3</v>
      </c>
      <c r="BR288" s="1640"/>
      <c r="BS288" s="1640"/>
      <c r="BT288" s="1640"/>
      <c r="BU288" s="1641">
        <v>789.3</v>
      </c>
      <c r="BV288" s="1640"/>
      <c r="BW288" s="1640"/>
      <c r="BX288" s="1640"/>
      <c r="BY288" s="1641">
        <v>789.3</v>
      </c>
      <c r="BZ288" s="1640"/>
      <c r="CA288" s="1640"/>
      <c r="CB288" s="1640"/>
      <c r="CC288" s="1641">
        <v>789.5</v>
      </c>
      <c r="CD288" s="1640"/>
      <c r="CE288" s="1640"/>
      <c r="CF288" s="1640"/>
      <c r="CG288" s="1512"/>
      <c r="CH288" s="1643">
        <v>789.17</v>
      </c>
      <c r="CI288" s="1643">
        <v>0</v>
      </c>
      <c r="CJ288" s="1643">
        <v>0</v>
      </c>
      <c r="CK288" s="1643">
        <v>0</v>
      </c>
      <c r="CX288" s="1558">
        <f>H288/12*10-AC288</f>
        <v>-1578.616666666665</v>
      </c>
      <c r="CY288" s="1558">
        <f>AI288/3</f>
        <v>0</v>
      </c>
      <c r="CZ288" s="1558">
        <f>H288/12</f>
        <v>789.30833333333339</v>
      </c>
      <c r="DA288" s="1559"/>
      <c r="DB288" s="1559"/>
      <c r="DC288" s="1559"/>
    </row>
    <row r="289" spans="1:107" ht="14" x14ac:dyDescent="0.15">
      <c r="A289" s="1541" t="s">
        <v>83</v>
      </c>
      <c r="B289" s="1523" t="s">
        <v>79</v>
      </c>
      <c r="C289" s="1523" t="s">
        <v>80</v>
      </c>
      <c r="D289" s="1523" t="s">
        <v>125</v>
      </c>
      <c r="E289" s="1861">
        <v>4409900</v>
      </c>
      <c r="F289" s="1523"/>
      <c r="G289" s="1667">
        <v>212</v>
      </c>
      <c r="H289" s="1502">
        <v>0</v>
      </c>
      <c r="I289" s="1645"/>
      <c r="J289" s="1630"/>
      <c r="K289" s="1502"/>
      <c r="L289" s="1503"/>
      <c r="M289" s="1503"/>
      <c r="N289" s="1503"/>
      <c r="O289" s="1503"/>
      <c r="P289" s="1503"/>
      <c r="Q289" s="1503"/>
      <c r="R289" s="1503"/>
      <c r="S289" s="1503"/>
      <c r="T289" s="1504"/>
      <c r="U289" s="1505"/>
      <c r="V289" s="1505"/>
      <c r="W289" s="1634"/>
      <c r="X289" s="1634"/>
      <c r="Y289" s="1634"/>
      <c r="Z289" s="1635"/>
      <c r="AA289" s="1634"/>
      <c r="AB289" s="1634"/>
      <c r="AC289" s="1508">
        <f t="shared" si="225"/>
        <v>0</v>
      </c>
      <c r="AD289" s="1509">
        <f t="shared" si="226"/>
        <v>0</v>
      </c>
      <c r="AE289" s="1509">
        <f t="shared" si="227"/>
        <v>0</v>
      </c>
      <c r="AF289" s="1509">
        <f t="shared" si="227"/>
        <v>0</v>
      </c>
      <c r="AG289" s="1509">
        <f t="shared" si="227"/>
        <v>0</v>
      </c>
      <c r="AH289" s="1490">
        <f t="shared" si="213"/>
        <v>0</v>
      </c>
      <c r="AI289" s="1636">
        <f t="shared" si="228"/>
        <v>0</v>
      </c>
      <c r="AJ289" s="1636">
        <f t="shared" si="229"/>
        <v>0</v>
      </c>
      <c r="AK289" s="1636">
        <f t="shared" si="230"/>
        <v>0</v>
      </c>
      <c r="AL289" s="1636">
        <f t="shared" si="195"/>
        <v>0</v>
      </c>
      <c r="AM289" s="1636">
        <f t="shared" si="195"/>
        <v>0</v>
      </c>
      <c r="AN289" s="1637"/>
      <c r="AO289" s="1722">
        <v>0</v>
      </c>
      <c r="AP289" s="1638"/>
      <c r="AQ289" s="1638"/>
      <c r="AR289" s="1638"/>
      <c r="AS289" s="1639"/>
      <c r="AT289" s="1638"/>
      <c r="AU289" s="1638"/>
      <c r="AV289" s="1638"/>
      <c r="AW289" s="1640"/>
      <c r="AX289" s="1640"/>
      <c r="AY289" s="1640"/>
      <c r="AZ289" s="1640"/>
      <c r="BA289" s="1641"/>
      <c r="BB289" s="1640"/>
      <c r="BC289" s="1640"/>
      <c r="BD289" s="1640"/>
      <c r="BE289" s="1641"/>
      <c r="BF289" s="1640"/>
      <c r="BG289" s="1640"/>
      <c r="BH289" s="1640"/>
      <c r="BI289" s="1641"/>
      <c r="BJ289" s="1640"/>
      <c r="BK289" s="1640"/>
      <c r="BL289" s="1640"/>
      <c r="BM289" s="1641"/>
      <c r="BN289" s="1640"/>
      <c r="BO289" s="1640"/>
      <c r="BP289" s="1640"/>
      <c r="BQ289" s="1641"/>
      <c r="BR289" s="1640"/>
      <c r="BS289" s="1640"/>
      <c r="BT289" s="1640"/>
      <c r="BU289" s="1641"/>
      <c r="BV289" s="1640"/>
      <c r="BW289" s="1640"/>
      <c r="BX289" s="1640"/>
      <c r="BY289" s="1641"/>
      <c r="BZ289" s="1640"/>
      <c r="CA289" s="1640"/>
      <c r="CB289" s="1640"/>
      <c r="CC289" s="1641"/>
      <c r="CD289" s="1640"/>
      <c r="CE289" s="1640"/>
      <c r="CF289" s="1640"/>
      <c r="CG289" s="1512"/>
      <c r="CH289" s="1643">
        <v>0</v>
      </c>
      <c r="CI289" s="1643">
        <v>0</v>
      </c>
      <c r="CJ289" s="1643">
        <v>0</v>
      </c>
      <c r="CK289" s="1643">
        <v>0</v>
      </c>
      <c r="CX289" s="1558"/>
      <c r="CY289" s="1558"/>
      <c r="CZ289" s="1558"/>
      <c r="DA289" s="1559"/>
      <c r="DB289" s="1559"/>
      <c r="DC289" s="1559"/>
    </row>
    <row r="290" spans="1:107" ht="14" x14ac:dyDescent="0.15">
      <c r="A290" s="1541" t="s">
        <v>84</v>
      </c>
      <c r="B290" s="1523" t="s">
        <v>79</v>
      </c>
      <c r="C290" s="1523" t="s">
        <v>80</v>
      </c>
      <c r="D290" s="1523" t="s">
        <v>125</v>
      </c>
      <c r="E290" s="1861">
        <v>4409900</v>
      </c>
      <c r="F290" s="1523"/>
      <c r="G290" s="1667">
        <v>213</v>
      </c>
      <c r="H290" s="1502">
        <f>2860.4</f>
        <v>2860.4</v>
      </c>
      <c r="I290" s="1645"/>
      <c r="J290" s="1630"/>
      <c r="K290" s="1502"/>
      <c r="L290" s="1503"/>
      <c r="M290" s="1503"/>
      <c r="N290" s="1503"/>
      <c r="O290" s="1503"/>
      <c r="P290" s="1503"/>
      <c r="Q290" s="1503"/>
      <c r="R290" s="1503"/>
      <c r="S290" s="1503"/>
      <c r="T290" s="1504"/>
      <c r="U290" s="1505"/>
      <c r="V290" s="1505"/>
      <c r="W290" s="1634">
        <f>H290/12</f>
        <v>238.36666666666667</v>
      </c>
      <c r="X290" s="1634">
        <f>AO290</f>
        <v>238.4</v>
      </c>
      <c r="Y290" s="1634">
        <f>CC290</f>
        <v>238.18</v>
      </c>
      <c r="Z290" s="1635">
        <v>238.18</v>
      </c>
      <c r="AA290" s="1634"/>
      <c r="AB290" s="1634">
        <v>2621.97</v>
      </c>
      <c r="AC290" s="1508">
        <f t="shared" si="225"/>
        <v>2860.4</v>
      </c>
      <c r="AD290" s="1509">
        <f t="shared" si="226"/>
        <v>0</v>
      </c>
      <c r="AE290" s="1509">
        <f t="shared" si="227"/>
        <v>0</v>
      </c>
      <c r="AF290" s="1509">
        <f t="shared" si="227"/>
        <v>0</v>
      </c>
      <c r="AG290" s="1509">
        <f t="shared" si="227"/>
        <v>0</v>
      </c>
      <c r="AH290" s="1490">
        <f t="shared" si="213"/>
        <v>0</v>
      </c>
      <c r="AI290" s="1636">
        <f t="shared" si="228"/>
        <v>0</v>
      </c>
      <c r="AJ290" s="1636">
        <f t="shared" si="229"/>
        <v>0</v>
      </c>
      <c r="AK290" s="1636">
        <f t="shared" si="230"/>
        <v>0</v>
      </c>
      <c r="AL290" s="1636">
        <f t="shared" si="195"/>
        <v>0</v>
      </c>
      <c r="AM290" s="1636">
        <f t="shared" si="195"/>
        <v>0</v>
      </c>
      <c r="AN290" s="1637">
        <f>H290/12*10-AC290</f>
        <v>-476.73333333333312</v>
      </c>
      <c r="AO290" s="1722">
        <v>238.4</v>
      </c>
      <c r="AP290" s="1638"/>
      <c r="AQ290" s="1638"/>
      <c r="AR290" s="1638"/>
      <c r="AS290" s="1639">
        <v>238.4</v>
      </c>
      <c r="AT290" s="1638"/>
      <c r="AU290" s="1638"/>
      <c r="AV290" s="1638"/>
      <c r="AW290" s="1640">
        <v>238.4</v>
      </c>
      <c r="AX290" s="1640"/>
      <c r="AY290" s="1640"/>
      <c r="AZ290" s="1640"/>
      <c r="BA290" s="1641">
        <v>238.37</v>
      </c>
      <c r="BB290" s="1640"/>
      <c r="BC290" s="1640"/>
      <c r="BD290" s="1640"/>
      <c r="BE290" s="1641">
        <v>238.37</v>
      </c>
      <c r="BF290" s="1640"/>
      <c r="BG290" s="1640"/>
      <c r="BH290" s="1640"/>
      <c r="BI290" s="1641"/>
      <c r="BJ290" s="1640"/>
      <c r="BK290" s="1640"/>
      <c r="BL290" s="1640"/>
      <c r="BM290" s="1641">
        <f>238.37+238.37</f>
        <v>476.74</v>
      </c>
      <c r="BN290" s="1640"/>
      <c r="BO290" s="1640"/>
      <c r="BP290" s="1640"/>
      <c r="BQ290" s="1641">
        <v>238.4</v>
      </c>
      <c r="BR290" s="1640"/>
      <c r="BS290" s="1640"/>
      <c r="BT290" s="1640"/>
      <c r="BU290" s="1641">
        <v>238.38</v>
      </c>
      <c r="BV290" s="1640"/>
      <c r="BW290" s="1640"/>
      <c r="BX290" s="1640"/>
      <c r="BY290" s="1641">
        <v>238.4</v>
      </c>
      <c r="BZ290" s="1640"/>
      <c r="CA290" s="1640"/>
      <c r="CB290" s="1640"/>
      <c r="CC290" s="1641">
        <v>238.18</v>
      </c>
      <c r="CD290" s="1640"/>
      <c r="CE290" s="1640"/>
      <c r="CF290" s="1640"/>
      <c r="CG290" s="1512"/>
      <c r="CH290" s="1643">
        <v>238.36</v>
      </c>
      <c r="CI290" s="1643">
        <v>0</v>
      </c>
      <c r="CJ290" s="1643">
        <v>0</v>
      </c>
      <c r="CK290" s="1643">
        <v>0</v>
      </c>
      <c r="CX290" s="1558">
        <f>H290/12*10-AC290</f>
        <v>-476.73333333333312</v>
      </c>
      <c r="CY290" s="1558">
        <f>AI290/3</f>
        <v>0</v>
      </c>
      <c r="CZ290" s="1558">
        <f>H290/12</f>
        <v>238.36666666666667</v>
      </c>
      <c r="DA290" s="1559"/>
      <c r="DB290" s="1559"/>
      <c r="DC290" s="1559"/>
    </row>
    <row r="291" spans="1:107" ht="14" x14ac:dyDescent="0.15">
      <c r="A291" s="1541" t="s">
        <v>85</v>
      </c>
      <c r="B291" s="1523" t="s">
        <v>79</v>
      </c>
      <c r="C291" s="1523" t="s">
        <v>80</v>
      </c>
      <c r="D291" s="1523" t="s">
        <v>125</v>
      </c>
      <c r="E291" s="1861">
        <v>4409900</v>
      </c>
      <c r="F291" s="1523"/>
      <c r="G291" s="1667">
        <v>221</v>
      </c>
      <c r="H291" s="1502">
        <v>14.5</v>
      </c>
      <c r="I291" s="1645"/>
      <c r="J291" s="1630"/>
      <c r="K291" s="1502"/>
      <c r="L291" s="1503"/>
      <c r="M291" s="1503"/>
      <c r="N291" s="1503"/>
      <c r="O291" s="1503"/>
      <c r="P291" s="1503"/>
      <c r="Q291" s="1503"/>
      <c r="R291" s="1503"/>
      <c r="S291" s="1503"/>
      <c r="T291" s="1504"/>
      <c r="U291" s="1505"/>
      <c r="V291" s="1505"/>
      <c r="W291" s="1506"/>
      <c r="X291" s="1506"/>
      <c r="Y291" s="1506"/>
      <c r="Z291" s="1507"/>
      <c r="AA291" s="1506"/>
      <c r="AB291" s="1506">
        <v>0</v>
      </c>
      <c r="AC291" s="1508">
        <f t="shared" si="225"/>
        <v>14.5</v>
      </c>
      <c r="AD291" s="1509">
        <f t="shared" si="226"/>
        <v>0</v>
      </c>
      <c r="AE291" s="1509">
        <f t="shared" si="227"/>
        <v>0</v>
      </c>
      <c r="AF291" s="1509">
        <f t="shared" si="227"/>
        <v>0</v>
      </c>
      <c r="AG291" s="1509">
        <f t="shared" si="227"/>
        <v>0</v>
      </c>
      <c r="AH291" s="1490">
        <f t="shared" si="213"/>
        <v>0</v>
      </c>
      <c r="AI291" s="1636">
        <f t="shared" si="228"/>
        <v>0</v>
      </c>
      <c r="AJ291" s="1636">
        <f t="shared" si="229"/>
        <v>0</v>
      </c>
      <c r="AK291" s="1636">
        <f t="shared" si="230"/>
        <v>0</v>
      </c>
      <c r="AL291" s="1636">
        <f t="shared" si="195"/>
        <v>0</v>
      </c>
      <c r="AM291" s="1636">
        <f t="shared" si="195"/>
        <v>0</v>
      </c>
      <c r="AN291" s="1637"/>
      <c r="AO291" s="1722">
        <v>1.2</v>
      </c>
      <c r="AP291" s="1638"/>
      <c r="AQ291" s="1638"/>
      <c r="AR291" s="1638"/>
      <c r="AS291" s="1639"/>
      <c r="AT291" s="1638"/>
      <c r="AU291" s="1638"/>
      <c r="AV291" s="1638"/>
      <c r="AW291" s="1639"/>
      <c r="AX291" s="1640"/>
      <c r="AY291" s="1640"/>
      <c r="AZ291" s="1640"/>
      <c r="BA291" s="1641"/>
      <c r="BB291" s="1640"/>
      <c r="BC291" s="1640"/>
      <c r="BD291" s="1640"/>
      <c r="BE291" s="1644"/>
      <c r="BF291" s="1640"/>
      <c r="BG291" s="1640"/>
      <c r="BH291" s="1640"/>
      <c r="BI291" s="1641"/>
      <c r="BJ291" s="1640"/>
      <c r="BK291" s="1640"/>
      <c r="BL291" s="1640"/>
      <c r="BM291" s="1641"/>
      <c r="BN291" s="1640"/>
      <c r="BO291" s="1640"/>
      <c r="BP291" s="1640"/>
      <c r="BQ291" s="1641"/>
      <c r="BR291" s="1640"/>
      <c r="BS291" s="1640"/>
      <c r="BT291" s="1640"/>
      <c r="BU291" s="1641"/>
      <c r="BV291" s="1640"/>
      <c r="BW291" s="1640"/>
      <c r="BX291" s="1640"/>
      <c r="BY291" s="1641"/>
      <c r="BZ291" s="1640"/>
      <c r="CA291" s="1640"/>
      <c r="CB291" s="1640"/>
      <c r="CC291" s="1641"/>
      <c r="CD291" s="1640"/>
      <c r="CE291" s="1640"/>
      <c r="CF291" s="1640"/>
      <c r="CG291" s="1512"/>
      <c r="CH291" s="1643">
        <v>13.3</v>
      </c>
      <c r="CI291" s="1643">
        <v>0</v>
      </c>
      <c r="CJ291" s="1643">
        <v>0</v>
      </c>
      <c r="CK291" s="1643">
        <v>0</v>
      </c>
      <c r="CX291" s="1559"/>
    </row>
    <row r="292" spans="1:107" ht="14" x14ac:dyDescent="0.15">
      <c r="A292" s="1541" t="s">
        <v>86</v>
      </c>
      <c r="B292" s="1523" t="s">
        <v>79</v>
      </c>
      <c r="C292" s="1523" t="s">
        <v>80</v>
      </c>
      <c r="D292" s="1523" t="s">
        <v>125</v>
      </c>
      <c r="E292" s="1861">
        <v>4409900</v>
      </c>
      <c r="F292" s="1523"/>
      <c r="G292" s="1667">
        <v>222</v>
      </c>
      <c r="H292" s="1502">
        <v>0</v>
      </c>
      <c r="I292" s="1645"/>
      <c r="J292" s="1630"/>
      <c r="K292" s="1502"/>
      <c r="L292" s="1503"/>
      <c r="M292" s="1503"/>
      <c r="N292" s="1503"/>
      <c r="O292" s="1503"/>
      <c r="P292" s="1503"/>
      <c r="Q292" s="1503"/>
      <c r="R292" s="1503"/>
      <c r="S292" s="1503"/>
      <c r="T292" s="1504"/>
      <c r="U292" s="1505"/>
      <c r="V292" s="1505"/>
      <c r="W292" s="1506"/>
      <c r="X292" s="1506"/>
      <c r="Y292" s="1506"/>
      <c r="Z292" s="1507"/>
      <c r="AA292" s="1506"/>
      <c r="AB292" s="1506"/>
      <c r="AC292" s="1508">
        <f t="shared" si="225"/>
        <v>0</v>
      </c>
      <c r="AD292" s="1509">
        <f t="shared" si="226"/>
        <v>0</v>
      </c>
      <c r="AE292" s="1509">
        <f t="shared" si="227"/>
        <v>0</v>
      </c>
      <c r="AF292" s="1509">
        <f t="shared" si="227"/>
        <v>0</v>
      </c>
      <c r="AG292" s="1509">
        <f t="shared" si="227"/>
        <v>0</v>
      </c>
      <c r="AH292" s="1490">
        <f t="shared" si="213"/>
        <v>0</v>
      </c>
      <c r="AI292" s="1636">
        <f t="shared" si="228"/>
        <v>0</v>
      </c>
      <c r="AJ292" s="1636">
        <f t="shared" si="229"/>
        <v>0</v>
      </c>
      <c r="AK292" s="1636">
        <f t="shared" si="230"/>
        <v>0</v>
      </c>
      <c r="AL292" s="1636">
        <f t="shared" si="195"/>
        <v>0</v>
      </c>
      <c r="AM292" s="1636">
        <f t="shared" si="195"/>
        <v>0</v>
      </c>
      <c r="AN292" s="1637"/>
      <c r="AO292" s="1722">
        <v>0</v>
      </c>
      <c r="AP292" s="1638"/>
      <c r="AQ292" s="1638"/>
      <c r="AR292" s="1638"/>
      <c r="AS292" s="1639"/>
      <c r="AT292" s="1638"/>
      <c r="AU292" s="1638"/>
      <c r="AV292" s="1638"/>
      <c r="AW292" s="1639"/>
      <c r="AX292" s="1640"/>
      <c r="AY292" s="1640"/>
      <c r="AZ292" s="1640"/>
      <c r="BA292" s="1641"/>
      <c r="BB292" s="1640"/>
      <c r="BC292" s="1640"/>
      <c r="BD292" s="1640"/>
      <c r="BE292" s="1644"/>
      <c r="BF292" s="1640"/>
      <c r="BG292" s="1640"/>
      <c r="BH292" s="1640"/>
      <c r="BI292" s="1641"/>
      <c r="BJ292" s="1640"/>
      <c r="BK292" s="1640"/>
      <c r="BL292" s="1640"/>
      <c r="BM292" s="1641"/>
      <c r="BN292" s="1640"/>
      <c r="BO292" s="1640"/>
      <c r="BP292" s="1640"/>
      <c r="BQ292" s="1641"/>
      <c r="BR292" s="1640"/>
      <c r="BS292" s="1640"/>
      <c r="BT292" s="1640"/>
      <c r="BU292" s="1641"/>
      <c r="BV292" s="1640"/>
      <c r="BW292" s="1640"/>
      <c r="BX292" s="1640"/>
      <c r="BY292" s="1641"/>
      <c r="BZ292" s="1640"/>
      <c r="CA292" s="1640"/>
      <c r="CB292" s="1640"/>
      <c r="CC292" s="1641"/>
      <c r="CD292" s="1640"/>
      <c r="CE292" s="1640"/>
      <c r="CF292" s="1640"/>
      <c r="CG292" s="1512"/>
      <c r="CH292" s="1643">
        <v>0</v>
      </c>
      <c r="CI292" s="1643">
        <v>0</v>
      </c>
      <c r="CJ292" s="1643">
        <v>0</v>
      </c>
      <c r="CK292" s="1643">
        <v>0</v>
      </c>
    </row>
    <row r="293" spans="1:107" ht="15" customHeight="1" x14ac:dyDescent="0.15">
      <c r="A293" s="1541" t="s">
        <v>87</v>
      </c>
      <c r="B293" s="1523" t="s">
        <v>79</v>
      </c>
      <c r="C293" s="1523" t="s">
        <v>80</v>
      </c>
      <c r="D293" s="1523" t="s">
        <v>125</v>
      </c>
      <c r="E293" s="1861">
        <v>4409900</v>
      </c>
      <c r="F293" s="1523"/>
      <c r="G293" s="1667">
        <v>223</v>
      </c>
      <c r="H293" s="1502">
        <v>283.89999999999998</v>
      </c>
      <c r="I293" s="1645"/>
      <c r="J293" s="1630"/>
      <c r="K293" s="1502"/>
      <c r="L293" s="1503"/>
      <c r="M293" s="1503"/>
      <c r="N293" s="1503"/>
      <c r="O293" s="1503"/>
      <c r="P293" s="1503"/>
      <c r="Q293" s="1503"/>
      <c r="R293" s="1503"/>
      <c r="S293" s="1503"/>
      <c r="T293" s="1504"/>
      <c r="U293" s="1505"/>
      <c r="V293" s="1505"/>
      <c r="W293" s="1634"/>
      <c r="X293" s="1634"/>
      <c r="Y293" s="1634"/>
      <c r="Z293" s="1635"/>
      <c r="AA293" s="1634"/>
      <c r="AB293" s="1634">
        <v>165.73</v>
      </c>
      <c r="AC293" s="1508">
        <f t="shared" si="225"/>
        <v>283.90000000000003</v>
      </c>
      <c r="AD293" s="1509">
        <f t="shared" si="226"/>
        <v>0</v>
      </c>
      <c r="AE293" s="1509">
        <f t="shared" si="227"/>
        <v>0</v>
      </c>
      <c r="AF293" s="1509">
        <f t="shared" si="227"/>
        <v>0</v>
      </c>
      <c r="AG293" s="1509">
        <f t="shared" si="227"/>
        <v>0</v>
      </c>
      <c r="AH293" s="1490">
        <f t="shared" si="213"/>
        <v>0</v>
      </c>
      <c r="AI293" s="1636">
        <f t="shared" si="228"/>
        <v>0</v>
      </c>
      <c r="AJ293" s="1636">
        <f t="shared" si="229"/>
        <v>0</v>
      </c>
      <c r="AK293" s="1636">
        <f t="shared" si="230"/>
        <v>0</v>
      </c>
      <c r="AL293" s="1636">
        <f t="shared" si="195"/>
        <v>0</v>
      </c>
      <c r="AM293" s="1636">
        <f t="shared" si="195"/>
        <v>0</v>
      </c>
      <c r="AN293" s="1637"/>
      <c r="AO293" s="1722">
        <v>23.6</v>
      </c>
      <c r="AP293" s="1638"/>
      <c r="AQ293" s="1638"/>
      <c r="AR293" s="1638"/>
      <c r="AS293" s="1639">
        <v>23.6</v>
      </c>
      <c r="AT293" s="1638"/>
      <c r="AU293" s="1638"/>
      <c r="AV293" s="1638"/>
      <c r="AW293" s="1639"/>
      <c r="AX293" s="1640"/>
      <c r="AY293" s="1640"/>
      <c r="AZ293" s="1640"/>
      <c r="BA293" s="1641"/>
      <c r="BB293" s="1640"/>
      <c r="BC293" s="1640"/>
      <c r="BD293" s="1640"/>
      <c r="BE293" s="1644">
        <v>47.32</v>
      </c>
      <c r="BF293" s="1640"/>
      <c r="BG293" s="1640"/>
      <c r="BH293" s="1640"/>
      <c r="BI293" s="1641">
        <v>23.7</v>
      </c>
      <c r="BJ293" s="1640"/>
      <c r="BK293" s="1640"/>
      <c r="BL293" s="1640"/>
      <c r="BM293" s="1641"/>
      <c r="BN293" s="1640"/>
      <c r="BO293" s="1640"/>
      <c r="BP293" s="1640"/>
      <c r="BQ293" s="1641">
        <v>23.7</v>
      </c>
      <c r="BR293" s="1640"/>
      <c r="BS293" s="1640"/>
      <c r="BT293" s="1640"/>
      <c r="BU293" s="1641"/>
      <c r="BV293" s="1640"/>
      <c r="BW293" s="1640"/>
      <c r="BX293" s="1640"/>
      <c r="BY293" s="1641">
        <v>47.4</v>
      </c>
      <c r="BZ293" s="1640"/>
      <c r="CA293" s="1640"/>
      <c r="CB293" s="1640"/>
      <c r="CC293" s="1641"/>
      <c r="CD293" s="1640"/>
      <c r="CE293" s="1640"/>
      <c r="CF293" s="1640"/>
      <c r="CG293" s="1512"/>
      <c r="CH293" s="1643">
        <v>94.58</v>
      </c>
      <c r="CI293" s="1643">
        <v>0</v>
      </c>
      <c r="CJ293" s="1643">
        <v>0</v>
      </c>
      <c r="CK293" s="1643">
        <v>0</v>
      </c>
    </row>
    <row r="294" spans="1:107" ht="14" x14ac:dyDescent="0.15">
      <c r="A294" s="1541" t="s">
        <v>111</v>
      </c>
      <c r="B294" s="1523" t="s">
        <v>79</v>
      </c>
      <c r="C294" s="1523" t="s">
        <v>80</v>
      </c>
      <c r="D294" s="1523" t="s">
        <v>125</v>
      </c>
      <c r="E294" s="1861">
        <v>4409900</v>
      </c>
      <c r="F294" s="1523"/>
      <c r="G294" s="1667">
        <v>224</v>
      </c>
      <c r="H294" s="1502">
        <v>0</v>
      </c>
      <c r="I294" s="1645"/>
      <c r="J294" s="1630"/>
      <c r="K294" s="1502"/>
      <c r="L294" s="1503"/>
      <c r="M294" s="1503"/>
      <c r="N294" s="1503"/>
      <c r="O294" s="1503"/>
      <c r="P294" s="1503"/>
      <c r="Q294" s="1503"/>
      <c r="R294" s="1503"/>
      <c r="S294" s="1503"/>
      <c r="T294" s="1504"/>
      <c r="U294" s="1505"/>
      <c r="V294" s="1505"/>
      <c r="W294" s="1506"/>
      <c r="X294" s="1506"/>
      <c r="Y294" s="1506"/>
      <c r="Z294" s="1507"/>
      <c r="AA294" s="1506"/>
      <c r="AB294" s="1506"/>
      <c r="AC294" s="1508">
        <f t="shared" si="225"/>
        <v>0</v>
      </c>
      <c r="AD294" s="1509">
        <f t="shared" si="226"/>
        <v>0</v>
      </c>
      <c r="AE294" s="1509">
        <f t="shared" si="227"/>
        <v>0</v>
      </c>
      <c r="AF294" s="1509">
        <f t="shared" si="227"/>
        <v>0</v>
      </c>
      <c r="AG294" s="1509">
        <f t="shared" si="227"/>
        <v>0</v>
      </c>
      <c r="AH294" s="1490">
        <f t="shared" si="213"/>
        <v>0</v>
      </c>
      <c r="AI294" s="1636">
        <f t="shared" si="228"/>
        <v>0</v>
      </c>
      <c r="AJ294" s="1636">
        <f t="shared" si="229"/>
        <v>0</v>
      </c>
      <c r="AK294" s="1636">
        <f t="shared" si="230"/>
        <v>0</v>
      </c>
      <c r="AL294" s="1636">
        <f t="shared" si="195"/>
        <v>0</v>
      </c>
      <c r="AM294" s="1636">
        <f t="shared" si="195"/>
        <v>0</v>
      </c>
      <c r="AN294" s="1637"/>
      <c r="AO294" s="1722">
        <v>0</v>
      </c>
      <c r="AP294" s="1638"/>
      <c r="AQ294" s="1638"/>
      <c r="AR294" s="1638"/>
      <c r="AS294" s="1639"/>
      <c r="AT294" s="1638"/>
      <c r="AU294" s="1638"/>
      <c r="AV294" s="1638"/>
      <c r="AW294" s="1639"/>
      <c r="AX294" s="1640"/>
      <c r="AY294" s="1640"/>
      <c r="AZ294" s="1640"/>
      <c r="BA294" s="1641"/>
      <c r="BB294" s="1640"/>
      <c r="BC294" s="1640"/>
      <c r="BD294" s="1640"/>
      <c r="BE294" s="1644"/>
      <c r="BF294" s="1640"/>
      <c r="BG294" s="1640"/>
      <c r="BH294" s="1640"/>
      <c r="BI294" s="1641"/>
      <c r="BJ294" s="1640"/>
      <c r="BK294" s="1640"/>
      <c r="BL294" s="1640"/>
      <c r="BM294" s="1641"/>
      <c r="BN294" s="1640"/>
      <c r="BO294" s="1640"/>
      <c r="BP294" s="1640"/>
      <c r="BQ294" s="1641"/>
      <c r="BR294" s="1640"/>
      <c r="BS294" s="1640"/>
      <c r="BT294" s="1640"/>
      <c r="BU294" s="1641"/>
      <c r="BV294" s="1640"/>
      <c r="BW294" s="1640"/>
      <c r="BX294" s="1640"/>
      <c r="BY294" s="1641"/>
      <c r="BZ294" s="1640"/>
      <c r="CA294" s="1640"/>
      <c r="CB294" s="1640"/>
      <c r="CC294" s="1641"/>
      <c r="CD294" s="1640"/>
      <c r="CE294" s="1640"/>
      <c r="CF294" s="1640"/>
      <c r="CG294" s="1512"/>
      <c r="CH294" s="1643">
        <v>0</v>
      </c>
      <c r="CI294" s="1643">
        <v>0</v>
      </c>
      <c r="CJ294" s="1643">
        <v>0</v>
      </c>
      <c r="CK294" s="1643">
        <v>0</v>
      </c>
    </row>
    <row r="295" spans="1:107" ht="14" x14ac:dyDescent="0.15">
      <c r="A295" s="1541" t="s">
        <v>90</v>
      </c>
      <c r="B295" s="1523" t="s">
        <v>79</v>
      </c>
      <c r="C295" s="1523" t="s">
        <v>80</v>
      </c>
      <c r="D295" s="1523" t="s">
        <v>125</v>
      </c>
      <c r="E295" s="1861">
        <v>4409900</v>
      </c>
      <c r="F295" s="1523"/>
      <c r="G295" s="1667">
        <v>225</v>
      </c>
      <c r="H295" s="1502">
        <v>0</v>
      </c>
      <c r="I295" s="1645"/>
      <c r="J295" s="1630">
        <v>75</v>
      </c>
      <c r="K295" s="1502"/>
      <c r="L295" s="1503"/>
      <c r="M295" s="1503"/>
      <c r="N295" s="1503"/>
      <c r="O295" s="1503"/>
      <c r="P295" s="1503"/>
      <c r="Q295" s="1503"/>
      <c r="R295" s="1503"/>
      <c r="S295" s="1503"/>
      <c r="T295" s="1504"/>
      <c r="U295" s="1505"/>
      <c r="V295" s="1505"/>
      <c r="W295" s="1506"/>
      <c r="X295" s="1506"/>
      <c r="Y295" s="1506"/>
      <c r="Z295" s="1507"/>
      <c r="AA295" s="1506"/>
      <c r="AB295" s="1506"/>
      <c r="AC295" s="1508">
        <f t="shared" si="225"/>
        <v>0</v>
      </c>
      <c r="AD295" s="1509">
        <f t="shared" si="226"/>
        <v>75</v>
      </c>
      <c r="AE295" s="1509">
        <f t="shared" si="227"/>
        <v>0</v>
      </c>
      <c r="AF295" s="1509">
        <f t="shared" si="227"/>
        <v>75</v>
      </c>
      <c r="AG295" s="1509">
        <f t="shared" si="227"/>
        <v>0</v>
      </c>
      <c r="AH295" s="1490">
        <f t="shared" si="213"/>
        <v>0</v>
      </c>
      <c r="AI295" s="1636">
        <f t="shared" si="228"/>
        <v>0</v>
      </c>
      <c r="AJ295" s="1636">
        <f t="shared" si="229"/>
        <v>0</v>
      </c>
      <c r="AK295" s="1636">
        <f t="shared" si="230"/>
        <v>0</v>
      </c>
      <c r="AL295" s="1636">
        <f t="shared" si="195"/>
        <v>0</v>
      </c>
      <c r="AM295" s="1636">
        <f t="shared" si="195"/>
        <v>0</v>
      </c>
      <c r="AN295" s="1637"/>
      <c r="AO295" s="1723"/>
      <c r="AP295" s="1638"/>
      <c r="AQ295" s="1638"/>
      <c r="AR295" s="1638"/>
      <c r="AS295" s="1639"/>
      <c r="AT295" s="1638"/>
      <c r="AU295" s="1638"/>
      <c r="AV295" s="1638"/>
      <c r="AW295" s="1639"/>
      <c r="AX295" s="1640"/>
      <c r="AY295" s="1640"/>
      <c r="AZ295" s="1640"/>
      <c r="BA295" s="1641"/>
      <c r="BB295" s="1640"/>
      <c r="BC295" s="1640"/>
      <c r="BD295" s="1640"/>
      <c r="BE295" s="1644"/>
      <c r="BF295" s="1640"/>
      <c r="BG295" s="1640"/>
      <c r="BH295" s="1640"/>
      <c r="BI295" s="1641"/>
      <c r="BJ295" s="1640"/>
      <c r="BK295" s="1640"/>
      <c r="BL295" s="1640"/>
      <c r="BM295" s="1641"/>
      <c r="BN295" s="1640"/>
      <c r="BO295" s="1640"/>
      <c r="BP295" s="1640"/>
      <c r="BQ295" s="1641"/>
      <c r="BR295" s="1640"/>
      <c r="BS295" s="1640"/>
      <c r="BT295" s="1640"/>
      <c r="BU295" s="1641"/>
      <c r="BV295" s="1640"/>
      <c r="BW295" s="1640"/>
      <c r="BX295" s="1640"/>
      <c r="BY295" s="1641"/>
      <c r="BZ295" s="1640"/>
      <c r="CA295" s="1640"/>
      <c r="CB295" s="1640"/>
      <c r="CC295" s="1641"/>
      <c r="CD295" s="1640"/>
      <c r="CE295" s="1640"/>
      <c r="CF295" s="1640"/>
      <c r="CG295" s="1512"/>
      <c r="CH295" s="1643">
        <v>0</v>
      </c>
      <c r="CI295" s="1643">
        <v>0</v>
      </c>
      <c r="CJ295" s="1643">
        <v>75</v>
      </c>
      <c r="CK295" s="1643">
        <v>0</v>
      </c>
    </row>
    <row r="296" spans="1:107" ht="14" x14ac:dyDescent="0.15">
      <c r="A296" s="1541" t="s">
        <v>91</v>
      </c>
      <c r="B296" s="1523" t="s">
        <v>79</v>
      </c>
      <c r="C296" s="1523" t="s">
        <v>80</v>
      </c>
      <c r="D296" s="1523" t="s">
        <v>125</v>
      </c>
      <c r="E296" s="1861">
        <v>4409900</v>
      </c>
      <c r="F296" s="1523"/>
      <c r="G296" s="1667">
        <v>226</v>
      </c>
      <c r="H296" s="1502">
        <f>35.046+50</f>
        <v>85.045999999999992</v>
      </c>
      <c r="I296" s="1645">
        <f>2743-U296</f>
        <v>1192</v>
      </c>
      <c r="J296" s="1630"/>
      <c r="K296" s="1502"/>
      <c r="L296" s="1503"/>
      <c r="M296" s="1503"/>
      <c r="N296" s="1503"/>
      <c r="O296" s="1503"/>
      <c r="P296" s="1503"/>
      <c r="Q296" s="1503"/>
      <c r="R296" s="1503"/>
      <c r="S296" s="1503"/>
      <c r="T296" s="1504"/>
      <c r="U296" s="1505">
        <v>1551</v>
      </c>
      <c r="V296" s="1505"/>
      <c r="W296" s="1506"/>
      <c r="X296" s="1506"/>
      <c r="Y296" s="1506"/>
      <c r="Z296" s="1507"/>
      <c r="AA296" s="1506"/>
      <c r="AB296" s="1506">
        <v>35</v>
      </c>
      <c r="AC296" s="1508">
        <f t="shared" si="225"/>
        <v>85.045999999999992</v>
      </c>
      <c r="AD296" s="1509">
        <f t="shared" si="226"/>
        <v>1192.0002199999999</v>
      </c>
      <c r="AE296" s="1509">
        <f t="shared" si="227"/>
        <v>1192.0002199999999</v>
      </c>
      <c r="AF296" s="1509">
        <f t="shared" si="227"/>
        <v>0</v>
      </c>
      <c r="AG296" s="1509">
        <f t="shared" si="227"/>
        <v>0</v>
      </c>
      <c r="AH296" s="1490">
        <f t="shared" si="213"/>
        <v>0</v>
      </c>
      <c r="AI296" s="1636">
        <f t="shared" si="228"/>
        <v>0</v>
      </c>
      <c r="AJ296" s="1636">
        <f t="shared" si="229"/>
        <v>-2.1999999989930075E-4</v>
      </c>
      <c r="AK296" s="1636">
        <f t="shared" si="230"/>
        <v>-2.1999999989930075E-4</v>
      </c>
      <c r="AL296" s="1636">
        <f t="shared" si="195"/>
        <v>0</v>
      </c>
      <c r="AM296" s="1636">
        <f t="shared" si="195"/>
        <v>0</v>
      </c>
      <c r="AN296" s="1637"/>
      <c r="AO296" s="1723"/>
      <c r="AP296" s="1638"/>
      <c r="AQ296" s="1638"/>
      <c r="AR296" s="1638"/>
      <c r="AS296" s="1639"/>
      <c r="AT296" s="1638"/>
      <c r="AU296" s="1638"/>
      <c r="AV296" s="1638"/>
      <c r="AW296" s="1639"/>
      <c r="AX296" s="1640"/>
      <c r="AY296" s="1640"/>
      <c r="AZ296" s="1640"/>
      <c r="BA296" s="1641"/>
      <c r="BB296" s="1640"/>
      <c r="BC296" s="1640"/>
      <c r="BD296" s="1640"/>
      <c r="BE296" s="1644"/>
      <c r="BF296" s="1640"/>
      <c r="BG296" s="1640"/>
      <c r="BH296" s="1640"/>
      <c r="BI296" s="1641"/>
      <c r="BJ296" s="1640"/>
      <c r="BK296" s="1640"/>
      <c r="BL296" s="1640"/>
      <c r="BM296" s="1641"/>
      <c r="BN296" s="1640"/>
      <c r="BO296" s="1640"/>
      <c r="BP296" s="1640"/>
      <c r="BQ296" s="1641">
        <v>35</v>
      </c>
      <c r="BR296" s="1640"/>
      <c r="BS296" s="1640"/>
      <c r="BT296" s="1640"/>
      <c r="BU296" s="1641"/>
      <c r="BV296" s="1640">
        <v>110.79422</v>
      </c>
      <c r="BW296" s="1640"/>
      <c r="BX296" s="1640"/>
      <c r="BY296" s="1641"/>
      <c r="BZ296" s="1640"/>
      <c r="CA296" s="1640"/>
      <c r="CB296" s="1640"/>
      <c r="CC296" s="1641"/>
      <c r="CD296" s="1640"/>
      <c r="CE296" s="1640"/>
      <c r="CF296" s="1640"/>
      <c r="CG296" s="1512"/>
      <c r="CH296" s="1643">
        <v>50.045999999999999</v>
      </c>
      <c r="CI296" s="1643">
        <v>1081.2059999999999</v>
      </c>
      <c r="CJ296" s="1643">
        <v>0</v>
      </c>
      <c r="CK296" s="1643">
        <v>0</v>
      </c>
    </row>
    <row r="297" spans="1:107" ht="14" x14ac:dyDescent="0.15">
      <c r="A297" s="1541" t="s">
        <v>94</v>
      </c>
      <c r="B297" s="1523" t="s">
        <v>79</v>
      </c>
      <c r="C297" s="1523" t="s">
        <v>80</v>
      </c>
      <c r="D297" s="1523" t="s">
        <v>125</v>
      </c>
      <c r="E297" s="1861">
        <v>4409900</v>
      </c>
      <c r="F297" s="1523"/>
      <c r="G297" s="1667">
        <v>290</v>
      </c>
      <c r="H297" s="1502">
        <v>186.1</v>
      </c>
      <c r="I297" s="1645"/>
      <c r="J297" s="1630"/>
      <c r="K297" s="1502"/>
      <c r="L297" s="1503"/>
      <c r="M297" s="1503"/>
      <c r="N297" s="1503"/>
      <c r="O297" s="1503"/>
      <c r="P297" s="1503"/>
      <c r="Q297" s="1503"/>
      <c r="R297" s="1503"/>
      <c r="S297" s="1503"/>
      <c r="T297" s="1504"/>
      <c r="U297" s="1505"/>
      <c r="V297" s="1505"/>
      <c r="W297" s="1634"/>
      <c r="X297" s="1634"/>
      <c r="Y297" s="1634"/>
      <c r="Z297" s="1635"/>
      <c r="AA297" s="1634"/>
      <c r="AB297" s="1634">
        <v>164.41</v>
      </c>
      <c r="AC297" s="1508">
        <f t="shared" si="225"/>
        <v>186.1</v>
      </c>
      <c r="AD297" s="1509">
        <f t="shared" si="226"/>
        <v>0</v>
      </c>
      <c r="AE297" s="1509">
        <f t="shared" si="227"/>
        <v>0</v>
      </c>
      <c r="AF297" s="1509">
        <f t="shared" si="227"/>
        <v>0</v>
      </c>
      <c r="AG297" s="1509">
        <f t="shared" si="227"/>
        <v>0</v>
      </c>
      <c r="AH297" s="1490">
        <f t="shared" si="213"/>
        <v>0</v>
      </c>
      <c r="AI297" s="1636">
        <f t="shared" si="228"/>
        <v>0</v>
      </c>
      <c r="AJ297" s="1636">
        <f t="shared" si="229"/>
        <v>0</v>
      </c>
      <c r="AK297" s="1636">
        <f t="shared" si="230"/>
        <v>0</v>
      </c>
      <c r="AL297" s="1636">
        <f t="shared" si="195"/>
        <v>0</v>
      </c>
      <c r="AM297" s="1636">
        <f t="shared" si="195"/>
        <v>0</v>
      </c>
      <c r="AN297" s="1637"/>
      <c r="AO297" s="1722">
        <v>15.5</v>
      </c>
      <c r="AP297" s="1638"/>
      <c r="AQ297" s="1638"/>
      <c r="AR297" s="1638"/>
      <c r="AS297" s="1639"/>
      <c r="AT297" s="1638"/>
      <c r="AU297" s="1638"/>
      <c r="AV297" s="1638"/>
      <c r="AW297" s="1639"/>
      <c r="AX297" s="1640"/>
      <c r="AY297" s="1640"/>
      <c r="AZ297" s="1640"/>
      <c r="BA297" s="1641"/>
      <c r="BB297" s="1640"/>
      <c r="BC297" s="1640"/>
      <c r="BD297" s="1640"/>
      <c r="BE297" s="1644">
        <v>46.5</v>
      </c>
      <c r="BF297" s="1640"/>
      <c r="BG297" s="1640"/>
      <c r="BH297" s="1640"/>
      <c r="BI297" s="1641"/>
      <c r="BJ297" s="1640"/>
      <c r="BK297" s="1640"/>
      <c r="BL297" s="1640"/>
      <c r="BM297" s="1641"/>
      <c r="BN297" s="1640"/>
      <c r="BO297" s="1640"/>
      <c r="BP297" s="1640"/>
      <c r="BQ297" s="1641"/>
      <c r="BR297" s="1640"/>
      <c r="BS297" s="1640"/>
      <c r="BT297" s="1640"/>
      <c r="BU297" s="1641">
        <v>77.599999999999994</v>
      </c>
      <c r="BV297" s="1640"/>
      <c r="BW297" s="1640"/>
      <c r="BX297" s="1640"/>
      <c r="BY297" s="1641"/>
      <c r="BZ297" s="1640"/>
      <c r="CA297" s="1640"/>
      <c r="CB297" s="1640"/>
      <c r="CC297" s="1641"/>
      <c r="CD297" s="1640"/>
      <c r="CE297" s="1640"/>
      <c r="CF297" s="1640"/>
      <c r="CG297" s="1512"/>
      <c r="CH297" s="1643">
        <v>46.5</v>
      </c>
      <c r="CI297" s="1643">
        <v>0</v>
      </c>
      <c r="CJ297" s="1643">
        <v>0</v>
      </c>
      <c r="CK297" s="1643">
        <v>0</v>
      </c>
    </row>
    <row r="298" spans="1:107" ht="14" x14ac:dyDescent="0.15">
      <c r="A298" s="1541" t="s">
        <v>94</v>
      </c>
      <c r="B298" s="1523" t="s">
        <v>79</v>
      </c>
      <c r="C298" s="1523" t="s">
        <v>80</v>
      </c>
      <c r="D298" s="1523" t="s">
        <v>125</v>
      </c>
      <c r="E298" s="1861">
        <v>4409900</v>
      </c>
      <c r="F298" s="1523"/>
      <c r="G298" s="1667" t="s">
        <v>95</v>
      </c>
      <c r="H298" s="1517">
        <v>0</v>
      </c>
      <c r="I298" s="1645"/>
      <c r="J298" s="1630"/>
      <c r="K298" s="1502"/>
      <c r="L298" s="1503"/>
      <c r="M298" s="1503"/>
      <c r="N298" s="1503"/>
      <c r="O298" s="1503"/>
      <c r="P298" s="1503"/>
      <c r="Q298" s="1503"/>
      <c r="R298" s="1503"/>
      <c r="S298" s="1503"/>
      <c r="T298" s="1504"/>
      <c r="U298" s="1505"/>
      <c r="V298" s="1505"/>
      <c r="W298" s="1506"/>
      <c r="X298" s="1506"/>
      <c r="Y298" s="1506"/>
      <c r="Z298" s="1507"/>
      <c r="AA298" s="1506"/>
      <c r="AB298" s="1506"/>
      <c r="AC298" s="1508">
        <f t="shared" si="225"/>
        <v>0</v>
      </c>
      <c r="AD298" s="1509">
        <f t="shared" si="226"/>
        <v>0</v>
      </c>
      <c r="AE298" s="1509">
        <f t="shared" si="227"/>
        <v>0</v>
      </c>
      <c r="AF298" s="1509">
        <f t="shared" si="227"/>
        <v>0</v>
      </c>
      <c r="AG298" s="1509">
        <f t="shared" si="227"/>
        <v>0</v>
      </c>
      <c r="AH298" s="1490">
        <f t="shared" si="213"/>
        <v>0</v>
      </c>
      <c r="AI298" s="1636">
        <f t="shared" si="228"/>
        <v>0</v>
      </c>
      <c r="AJ298" s="1636">
        <f t="shared" si="229"/>
        <v>0</v>
      </c>
      <c r="AK298" s="1636">
        <f t="shared" si="230"/>
        <v>0</v>
      </c>
      <c r="AL298" s="1636">
        <f t="shared" si="195"/>
        <v>0</v>
      </c>
      <c r="AM298" s="1636">
        <f t="shared" si="195"/>
        <v>0</v>
      </c>
      <c r="AN298" s="1637"/>
      <c r="AO298" s="1722">
        <v>0</v>
      </c>
      <c r="AP298" s="1638"/>
      <c r="AQ298" s="1638"/>
      <c r="AR298" s="1638"/>
      <c r="AS298" s="1639"/>
      <c r="AT298" s="1638"/>
      <c r="AU298" s="1638"/>
      <c r="AV298" s="1638"/>
      <c r="AW298" s="1639"/>
      <c r="AX298" s="1640"/>
      <c r="AY298" s="1640"/>
      <c r="AZ298" s="1640"/>
      <c r="BA298" s="1641"/>
      <c r="BB298" s="1640"/>
      <c r="BC298" s="1640"/>
      <c r="BD298" s="1640"/>
      <c r="BE298" s="1644"/>
      <c r="BF298" s="1640"/>
      <c r="BG298" s="1640"/>
      <c r="BH298" s="1640"/>
      <c r="BI298" s="1641"/>
      <c r="BJ298" s="1640"/>
      <c r="BK298" s="1640"/>
      <c r="BL298" s="1640"/>
      <c r="BM298" s="1641"/>
      <c r="BN298" s="1640"/>
      <c r="BO298" s="1640"/>
      <c r="BP298" s="1640"/>
      <c r="BQ298" s="1641"/>
      <c r="BR298" s="1640"/>
      <c r="BS298" s="1640"/>
      <c r="BT298" s="1640"/>
      <c r="BU298" s="1641"/>
      <c r="BV298" s="1640"/>
      <c r="BW298" s="1640"/>
      <c r="BX298" s="1640"/>
      <c r="BY298" s="1641"/>
      <c r="BZ298" s="1640"/>
      <c r="CA298" s="1640"/>
      <c r="CB298" s="1640"/>
      <c r="CC298" s="1641"/>
      <c r="CD298" s="1640"/>
      <c r="CE298" s="1640"/>
      <c r="CF298" s="1640"/>
      <c r="CG298" s="1512"/>
      <c r="CH298" s="1643">
        <v>0</v>
      </c>
      <c r="CI298" s="1643">
        <v>0</v>
      </c>
      <c r="CJ298" s="1643">
        <v>0</v>
      </c>
      <c r="CK298" s="1643">
        <v>0</v>
      </c>
    </row>
    <row r="299" spans="1:107" ht="14" x14ac:dyDescent="0.15">
      <c r="A299" s="1541" t="s">
        <v>96</v>
      </c>
      <c r="B299" s="1523" t="s">
        <v>79</v>
      </c>
      <c r="C299" s="1523" t="s">
        <v>80</v>
      </c>
      <c r="D299" s="1523" t="s">
        <v>125</v>
      </c>
      <c r="E299" s="1861">
        <v>4409900</v>
      </c>
      <c r="F299" s="1523"/>
      <c r="G299" s="1667">
        <v>310</v>
      </c>
      <c r="H299" s="1502">
        <f>324-0.046</f>
        <v>323.95400000000001</v>
      </c>
      <c r="I299" s="1645">
        <v>28817</v>
      </c>
      <c r="J299" s="1630"/>
      <c r="K299" s="1502"/>
      <c r="L299" s="1503"/>
      <c r="M299" s="1503"/>
      <c r="N299" s="1503"/>
      <c r="O299" s="1503"/>
      <c r="P299" s="1503"/>
      <c r="Q299" s="1503"/>
      <c r="R299" s="1503"/>
      <c r="S299" s="1503"/>
      <c r="T299" s="1504"/>
      <c r="U299" s="1505"/>
      <c r="V299" s="1505"/>
      <c r="W299" s="1506"/>
      <c r="X299" s="1506"/>
      <c r="Y299" s="1506"/>
      <c r="Z299" s="1507"/>
      <c r="AA299" s="1506"/>
      <c r="AB299" s="1506"/>
      <c r="AC299" s="1508">
        <f t="shared" si="225"/>
        <v>323.95400000000001</v>
      </c>
      <c r="AD299" s="1509">
        <f t="shared" si="226"/>
        <v>28817</v>
      </c>
      <c r="AE299" s="1509">
        <f t="shared" si="227"/>
        <v>28817</v>
      </c>
      <c r="AF299" s="1509">
        <f t="shared" si="227"/>
        <v>0</v>
      </c>
      <c r="AG299" s="1509">
        <f t="shared" si="227"/>
        <v>0</v>
      </c>
      <c r="AH299" s="1490">
        <f t="shared" si="213"/>
        <v>0</v>
      </c>
      <c r="AI299" s="1636">
        <f t="shared" si="228"/>
        <v>0</v>
      </c>
      <c r="AJ299" s="1636">
        <f t="shared" si="229"/>
        <v>0</v>
      </c>
      <c r="AK299" s="1636">
        <f t="shared" si="230"/>
        <v>0</v>
      </c>
      <c r="AL299" s="1636">
        <f t="shared" si="195"/>
        <v>0</v>
      </c>
      <c r="AM299" s="1636">
        <f t="shared" si="195"/>
        <v>0</v>
      </c>
      <c r="AN299" s="1637"/>
      <c r="AO299" s="1723"/>
      <c r="AP299" s="1638"/>
      <c r="AQ299" s="1638"/>
      <c r="AR299" s="1638"/>
      <c r="AS299" s="1639"/>
      <c r="AT299" s="1638"/>
      <c r="AU299" s="1638"/>
      <c r="AV299" s="1638"/>
      <c r="AW299" s="1639"/>
      <c r="AX299" s="1640"/>
      <c r="AY299" s="1640"/>
      <c r="AZ299" s="1640"/>
      <c r="BA299" s="1641"/>
      <c r="BB299" s="1640"/>
      <c r="BC299" s="1640"/>
      <c r="BD299" s="1640"/>
      <c r="BE299" s="1644"/>
      <c r="BF299" s="1640"/>
      <c r="BG299" s="1640"/>
      <c r="BH299" s="1640"/>
      <c r="BI299" s="1641"/>
      <c r="BJ299" s="1640"/>
      <c r="BK299" s="1640"/>
      <c r="BL299" s="1640"/>
      <c r="BM299" s="1641"/>
      <c r="BN299" s="1640">
        <v>9270.5300000000007</v>
      </c>
      <c r="BO299" s="1640"/>
      <c r="BP299" s="1640"/>
      <c r="BQ299" s="1641"/>
      <c r="BR299" s="1640"/>
      <c r="BS299" s="1640"/>
      <c r="BT299" s="1640"/>
      <c r="BU299" s="1641"/>
      <c r="BV299" s="1640">
        <v>19546.47</v>
      </c>
      <c r="BW299" s="1640"/>
      <c r="BX299" s="1640"/>
      <c r="BY299" s="1641"/>
      <c r="BZ299" s="1640"/>
      <c r="CA299" s="1640"/>
      <c r="CB299" s="1640"/>
      <c r="CC299" s="1641"/>
      <c r="CD299" s="1640"/>
      <c r="CE299" s="1640"/>
      <c r="CF299" s="1640"/>
      <c r="CG299" s="1512"/>
      <c r="CH299" s="1643">
        <v>323.95400000000001</v>
      </c>
      <c r="CI299" s="1643">
        <v>0</v>
      </c>
      <c r="CJ299" s="1643">
        <v>0</v>
      </c>
      <c r="CK299" s="1643">
        <v>0</v>
      </c>
    </row>
    <row r="300" spans="1:107" ht="14" x14ac:dyDescent="0.15">
      <c r="A300" s="1541" t="s">
        <v>97</v>
      </c>
      <c r="B300" s="1523" t="s">
        <v>79</v>
      </c>
      <c r="C300" s="1523" t="s">
        <v>80</v>
      </c>
      <c r="D300" s="1523" t="s">
        <v>125</v>
      </c>
      <c r="E300" s="1861">
        <v>4409900</v>
      </c>
      <c r="F300" s="1523"/>
      <c r="G300" s="1667">
        <v>340</v>
      </c>
      <c r="H300" s="1502">
        <v>0</v>
      </c>
      <c r="I300" s="1645"/>
      <c r="J300" s="1630"/>
      <c r="K300" s="1502"/>
      <c r="L300" s="1503"/>
      <c r="M300" s="1503"/>
      <c r="N300" s="1503"/>
      <c r="O300" s="1503"/>
      <c r="P300" s="1503"/>
      <c r="Q300" s="1503"/>
      <c r="R300" s="1503"/>
      <c r="S300" s="1503"/>
      <c r="T300" s="1504"/>
      <c r="U300" s="1505"/>
      <c r="V300" s="1505"/>
      <c r="W300" s="1506"/>
      <c r="X300" s="1506"/>
      <c r="Y300" s="1506"/>
      <c r="Z300" s="1507"/>
      <c r="AA300" s="1506"/>
      <c r="AB300" s="1506"/>
      <c r="AC300" s="1508">
        <f t="shared" si="225"/>
        <v>0</v>
      </c>
      <c r="AD300" s="1509">
        <f t="shared" si="226"/>
        <v>0</v>
      </c>
      <c r="AE300" s="1509">
        <f t="shared" si="227"/>
        <v>0</v>
      </c>
      <c r="AF300" s="1509">
        <f t="shared" si="227"/>
        <v>0</v>
      </c>
      <c r="AG300" s="1509">
        <f t="shared" si="227"/>
        <v>0</v>
      </c>
      <c r="AH300" s="1490">
        <f t="shared" si="213"/>
        <v>0</v>
      </c>
      <c r="AI300" s="1636">
        <f t="shared" si="228"/>
        <v>0</v>
      </c>
      <c r="AJ300" s="1636">
        <f t="shared" si="229"/>
        <v>0</v>
      </c>
      <c r="AK300" s="1636">
        <f t="shared" si="230"/>
        <v>0</v>
      </c>
      <c r="AL300" s="1636">
        <f t="shared" si="195"/>
        <v>0</v>
      </c>
      <c r="AM300" s="1636">
        <f t="shared" si="195"/>
        <v>0</v>
      </c>
      <c r="AN300" s="1637"/>
      <c r="AO300" s="1722">
        <v>0</v>
      </c>
      <c r="AP300" s="1638"/>
      <c r="AQ300" s="1638"/>
      <c r="AR300" s="1638"/>
      <c r="AS300" s="1639"/>
      <c r="AT300" s="1638"/>
      <c r="AU300" s="1638"/>
      <c r="AV300" s="1638"/>
      <c r="AW300" s="1639"/>
      <c r="AX300" s="1640"/>
      <c r="AY300" s="1640"/>
      <c r="AZ300" s="1640"/>
      <c r="BA300" s="1641"/>
      <c r="BB300" s="1640"/>
      <c r="BC300" s="1640"/>
      <c r="BD300" s="1640"/>
      <c r="BE300" s="1644"/>
      <c r="BF300" s="1640"/>
      <c r="BG300" s="1640"/>
      <c r="BH300" s="1640"/>
      <c r="BI300" s="1641"/>
      <c r="BJ300" s="1640"/>
      <c r="BK300" s="1640"/>
      <c r="BL300" s="1640"/>
      <c r="BM300" s="1641"/>
      <c r="BN300" s="1640"/>
      <c r="BO300" s="1640"/>
      <c r="BP300" s="1640"/>
      <c r="BQ300" s="1641"/>
      <c r="BR300" s="1640"/>
      <c r="BS300" s="1640"/>
      <c r="BT300" s="1640"/>
      <c r="BU300" s="1641"/>
      <c r="BV300" s="1640"/>
      <c r="BW300" s="1640"/>
      <c r="BX300" s="1640"/>
      <c r="BY300" s="1641"/>
      <c r="BZ300" s="1640"/>
      <c r="CA300" s="1640"/>
      <c r="CB300" s="1640"/>
      <c r="CC300" s="1641"/>
      <c r="CD300" s="1640"/>
      <c r="CE300" s="1640"/>
      <c r="CF300" s="1640"/>
      <c r="CG300" s="1512"/>
      <c r="CH300" s="1643">
        <v>0</v>
      </c>
      <c r="CI300" s="1643">
        <v>0</v>
      </c>
      <c r="CJ300" s="1643">
        <v>0</v>
      </c>
      <c r="CK300" s="1643">
        <v>0</v>
      </c>
    </row>
    <row r="301" spans="1:107" ht="14" x14ac:dyDescent="0.15">
      <c r="A301" s="1528" t="s">
        <v>767</v>
      </c>
      <c r="B301" s="1749" t="s">
        <v>79</v>
      </c>
      <c r="C301" s="1749" t="s">
        <v>80</v>
      </c>
      <c r="D301" s="1749" t="s">
        <v>125</v>
      </c>
      <c r="E301" s="1749" t="s">
        <v>213</v>
      </c>
      <c r="F301" s="1749" t="s">
        <v>768</v>
      </c>
      <c r="G301" s="1600" t="s">
        <v>766</v>
      </c>
      <c r="H301" s="1647">
        <f>I287</f>
        <v>30009</v>
      </c>
      <c r="I301" s="1645"/>
      <c r="J301" s="1630"/>
      <c r="K301" s="1630"/>
      <c r="L301" s="1631"/>
      <c r="M301" s="1631"/>
      <c r="N301" s="1631"/>
      <c r="O301" s="1631"/>
      <c r="P301" s="1631"/>
      <c r="Q301" s="1631"/>
      <c r="R301" s="1631"/>
      <c r="S301" s="1631"/>
      <c r="T301" s="1632"/>
      <c r="U301" s="1633"/>
      <c r="V301" s="1633"/>
      <c r="W301" s="1634"/>
      <c r="X301" s="1634"/>
      <c r="Y301" s="1634"/>
      <c r="Z301" s="1635"/>
      <c r="AA301" s="1634"/>
      <c r="AB301" s="1634"/>
      <c r="AC301" s="1508"/>
      <c r="AD301" s="1509"/>
      <c r="AE301" s="1509"/>
      <c r="AF301" s="1509"/>
      <c r="AG301" s="1509"/>
      <c r="AH301" s="1490">
        <f t="shared" si="213"/>
        <v>0</v>
      </c>
      <c r="AI301" s="1636"/>
      <c r="AJ301" s="1636"/>
      <c r="AK301" s="1636"/>
      <c r="AL301" s="1636">
        <f t="shared" si="195"/>
        <v>0</v>
      </c>
      <c r="AM301" s="1636"/>
      <c r="AN301" s="1712"/>
      <c r="AO301" s="1713"/>
      <c r="AP301" s="1638"/>
      <c r="AQ301" s="1638"/>
      <c r="AR301" s="1638"/>
      <c r="AS301" s="1639"/>
      <c r="AT301" s="1638"/>
      <c r="AU301" s="1638"/>
      <c r="AV301" s="1638"/>
      <c r="AW301" s="1639"/>
      <c r="AX301" s="1640"/>
      <c r="AY301" s="1640"/>
      <c r="AZ301" s="1640"/>
      <c r="BA301" s="1641"/>
      <c r="BB301" s="1640"/>
      <c r="BC301" s="1640"/>
      <c r="BD301" s="1640"/>
      <c r="BE301" s="1644"/>
      <c r="BF301" s="1640"/>
      <c r="BG301" s="1640"/>
      <c r="BH301" s="1640"/>
      <c r="BI301" s="1641"/>
      <c r="BJ301" s="1640"/>
      <c r="BK301" s="1640"/>
      <c r="BL301" s="1640"/>
      <c r="BM301" s="1641"/>
      <c r="BN301" s="1640"/>
      <c r="BO301" s="1640"/>
      <c r="BP301" s="1640"/>
      <c r="BQ301" s="1641"/>
      <c r="BR301" s="1640"/>
      <c r="BS301" s="1640"/>
      <c r="BT301" s="1640"/>
      <c r="BU301" s="1641"/>
      <c r="BV301" s="1640"/>
      <c r="BW301" s="1640"/>
      <c r="BX301" s="1640"/>
      <c r="BY301" s="1641"/>
      <c r="BZ301" s="1640"/>
      <c r="CA301" s="1640"/>
      <c r="CB301" s="1640"/>
      <c r="CC301" s="1641"/>
      <c r="CD301" s="1640"/>
      <c r="CE301" s="1640"/>
      <c r="CF301" s="1640"/>
      <c r="CG301" s="1642"/>
      <c r="CH301" s="1648"/>
      <c r="CI301" s="1648"/>
      <c r="CJ301" s="1643">
        <v>0</v>
      </c>
      <c r="CK301" s="1648"/>
    </row>
    <row r="302" spans="1:107" s="1842" customFormat="1" ht="65" x14ac:dyDescent="0.15">
      <c r="A302" s="1802" t="s">
        <v>788</v>
      </c>
      <c r="B302" s="1803" t="s">
        <v>79</v>
      </c>
      <c r="C302" s="1803" t="s">
        <v>80</v>
      </c>
      <c r="D302" s="1803" t="s">
        <v>125</v>
      </c>
      <c r="E302" s="1803" t="s">
        <v>255</v>
      </c>
      <c r="F302" s="1803"/>
      <c r="G302" s="1862"/>
      <c r="H302" s="1863"/>
      <c r="I302" s="1645"/>
      <c r="J302" s="1630"/>
      <c r="K302" s="1630"/>
      <c r="L302" s="1631"/>
      <c r="M302" s="1631"/>
      <c r="N302" s="1631"/>
      <c r="O302" s="1631"/>
      <c r="P302" s="1631"/>
      <c r="Q302" s="1631"/>
      <c r="R302" s="1631"/>
      <c r="S302" s="1631"/>
      <c r="T302" s="1632"/>
      <c r="U302" s="1633"/>
      <c r="V302" s="1633"/>
      <c r="W302" s="1634"/>
      <c r="X302" s="1634"/>
      <c r="Y302" s="1634"/>
      <c r="Z302" s="1635"/>
      <c r="AA302" s="1634"/>
      <c r="AB302" s="1634"/>
      <c r="AC302" s="1508">
        <f>AO302+AS302+AW302+BA302+BE302+BI302+BM302+BQ302+BU302+BY302+CC302+CH302</f>
        <v>0</v>
      </c>
      <c r="AD302" s="1509">
        <f>AE302+AF302+AG302</f>
        <v>0</v>
      </c>
      <c r="AE302" s="1509">
        <f>AP302+AT302+AX302+BB302+BF302+BJ302+BN302+BR302+BV302+BZ302+CD302+CI302</f>
        <v>0</v>
      </c>
      <c r="AF302" s="1509">
        <f>AQ302+AU302+AY302+BC302+BG302+BK302+BO302+BS302+BW302+CA302+CE302+CJ302</f>
        <v>0</v>
      </c>
      <c r="AG302" s="1509">
        <f>AR302+AV302+AZ302+BD302+BH302+BL302+BP302+BT302+BX302+CB302+CF302+CK302</f>
        <v>0</v>
      </c>
      <c r="AH302" s="1490">
        <f t="shared" si="213"/>
        <v>0</v>
      </c>
      <c r="AI302" s="1636">
        <f>H302-AC302</f>
        <v>0</v>
      </c>
      <c r="AJ302" s="1636">
        <f>AK302+AL302+AM302</f>
        <v>0</v>
      </c>
      <c r="AK302" s="1636">
        <f>I302-AE302</f>
        <v>0</v>
      </c>
      <c r="AL302" s="1636">
        <f t="shared" si="195"/>
        <v>0</v>
      </c>
      <c r="AM302" s="1636">
        <f>K302-AG302</f>
        <v>0</v>
      </c>
      <c r="AN302" s="1637"/>
      <c r="AO302" s="1630"/>
      <c r="AP302" s="1638"/>
      <c r="AQ302" s="1638"/>
      <c r="AR302" s="1638"/>
      <c r="AS302" s="1639"/>
      <c r="AT302" s="1638"/>
      <c r="AU302" s="1638"/>
      <c r="AV302" s="1638"/>
      <c r="AW302" s="1639"/>
      <c r="AX302" s="1640"/>
      <c r="AY302" s="1640"/>
      <c r="AZ302" s="1640"/>
      <c r="BA302" s="1641"/>
      <c r="BB302" s="1640"/>
      <c r="BC302" s="1640"/>
      <c r="BD302" s="1640"/>
      <c r="BE302" s="1644"/>
      <c r="BF302" s="1640"/>
      <c r="BG302" s="1640"/>
      <c r="BH302" s="1640"/>
      <c r="BI302" s="1641"/>
      <c r="BJ302" s="1640"/>
      <c r="BK302" s="1640"/>
      <c r="BL302" s="1640"/>
      <c r="BM302" s="1641"/>
      <c r="BN302" s="1640"/>
      <c r="BO302" s="1640"/>
      <c r="BP302" s="1640"/>
      <c r="BQ302" s="1641"/>
      <c r="BR302" s="1640"/>
      <c r="BS302" s="1640"/>
      <c r="BT302" s="1640"/>
      <c r="BU302" s="1641"/>
      <c r="BV302" s="1640"/>
      <c r="BW302" s="1640"/>
      <c r="BX302" s="1640"/>
      <c r="BY302" s="1641"/>
      <c r="BZ302" s="1640"/>
      <c r="CA302" s="1640"/>
      <c r="CB302" s="1640"/>
      <c r="CC302" s="1641"/>
      <c r="CD302" s="1640"/>
      <c r="CE302" s="1640"/>
      <c r="CF302" s="1640"/>
      <c r="CG302" s="1642"/>
      <c r="CH302" s="1643">
        <v>0</v>
      </c>
      <c r="CI302" s="1643">
        <v>0</v>
      </c>
      <c r="CJ302" s="1643">
        <v>0</v>
      </c>
      <c r="CK302" s="1643">
        <v>0</v>
      </c>
      <c r="CL302" s="1841"/>
      <c r="CM302" s="1841"/>
      <c r="CN302" s="1841"/>
      <c r="CO302" s="1841"/>
      <c r="CP302" s="1841"/>
      <c r="CQ302" s="1841"/>
      <c r="CR302" s="1841"/>
      <c r="CS302" s="1841"/>
      <c r="CT302" s="1841"/>
      <c r="CU302" s="1841"/>
      <c r="CV302" s="1841"/>
      <c r="CW302" s="1841"/>
      <c r="CY302" s="1841"/>
    </row>
    <row r="303" spans="1:107" ht="26" x14ac:dyDescent="0.15">
      <c r="A303" s="1779" t="s">
        <v>1125</v>
      </c>
      <c r="B303" s="1780" t="s">
        <v>79</v>
      </c>
      <c r="C303" s="1780" t="s">
        <v>80</v>
      </c>
      <c r="D303" s="1780" t="s">
        <v>125</v>
      </c>
      <c r="E303" s="1780" t="s">
        <v>255</v>
      </c>
      <c r="F303" s="1780">
        <v>600</v>
      </c>
      <c r="G303" s="1864"/>
      <c r="H303" s="1578">
        <f>H304+H318</f>
        <v>66786.5</v>
      </c>
      <c r="I303" s="1578">
        <f t="shared" ref="I303:BL303" si="231">I304+I318</f>
        <v>13394.3</v>
      </c>
      <c r="J303" s="1578">
        <f>J304+J318</f>
        <v>300</v>
      </c>
      <c r="K303" s="1578">
        <f t="shared" si="231"/>
        <v>14600</v>
      </c>
      <c r="L303" s="1579"/>
      <c r="M303" s="1579"/>
      <c r="N303" s="1579"/>
      <c r="O303" s="1579"/>
      <c r="P303" s="1579"/>
      <c r="Q303" s="1579"/>
      <c r="R303" s="1579"/>
      <c r="S303" s="1579"/>
      <c r="T303" s="1580"/>
      <c r="U303" s="1581"/>
      <c r="V303" s="1581"/>
      <c r="W303" s="1582"/>
      <c r="X303" s="1582"/>
      <c r="Y303" s="1582"/>
      <c r="Z303" s="1583"/>
      <c r="AA303" s="1582"/>
      <c r="AB303" s="1582"/>
      <c r="AC303" s="1584">
        <f t="shared" si="231"/>
        <v>53392.200000000004</v>
      </c>
      <c r="AD303" s="1584">
        <f t="shared" si="231"/>
        <v>28294.300000000003</v>
      </c>
      <c r="AE303" s="1584">
        <f t="shared" si="231"/>
        <v>13394.300000000001</v>
      </c>
      <c r="AF303" s="1584">
        <f t="shared" si="231"/>
        <v>300</v>
      </c>
      <c r="AG303" s="1584">
        <f t="shared" si="231"/>
        <v>14600</v>
      </c>
      <c r="AH303" s="1490">
        <f t="shared" si="213"/>
        <v>0</v>
      </c>
      <c r="AI303" s="1585">
        <f t="shared" si="231"/>
        <v>0</v>
      </c>
      <c r="AJ303" s="1585">
        <f t="shared" si="231"/>
        <v>0</v>
      </c>
      <c r="AK303" s="1585">
        <f t="shared" si="231"/>
        <v>0</v>
      </c>
      <c r="AL303" s="1636">
        <f t="shared" si="195"/>
        <v>0</v>
      </c>
      <c r="AM303" s="1585">
        <f t="shared" si="231"/>
        <v>0</v>
      </c>
      <c r="AN303" s="1586"/>
      <c r="AO303" s="1578">
        <f t="shared" si="231"/>
        <v>3532.5</v>
      </c>
      <c r="AP303" s="1578">
        <f t="shared" si="231"/>
        <v>1431.3</v>
      </c>
      <c r="AQ303" s="1578">
        <f t="shared" si="231"/>
        <v>0</v>
      </c>
      <c r="AR303" s="1578">
        <f t="shared" si="231"/>
        <v>0</v>
      </c>
      <c r="AS303" s="1583">
        <f t="shared" si="231"/>
        <v>4116.6000000000004</v>
      </c>
      <c r="AT303" s="1578">
        <f t="shared" si="231"/>
        <v>0</v>
      </c>
      <c r="AU303" s="1578">
        <f t="shared" si="231"/>
        <v>0</v>
      </c>
      <c r="AV303" s="1578">
        <f t="shared" si="231"/>
        <v>0</v>
      </c>
      <c r="AW303" s="1583">
        <f t="shared" si="231"/>
        <v>5400.9</v>
      </c>
      <c r="AX303" s="1578">
        <f t="shared" si="231"/>
        <v>0</v>
      </c>
      <c r="AY303" s="1578">
        <f t="shared" si="231"/>
        <v>0</v>
      </c>
      <c r="AZ303" s="1578">
        <f t="shared" si="231"/>
        <v>0</v>
      </c>
      <c r="BA303" s="1586">
        <f t="shared" si="231"/>
        <v>6520.9</v>
      </c>
      <c r="BB303" s="1578">
        <f t="shared" si="231"/>
        <v>760</v>
      </c>
      <c r="BC303" s="1578">
        <f t="shared" si="231"/>
        <v>0</v>
      </c>
      <c r="BD303" s="1578">
        <f t="shared" si="231"/>
        <v>1240</v>
      </c>
      <c r="BE303" s="1511">
        <f t="shared" si="231"/>
        <v>8465.68</v>
      </c>
      <c r="BF303" s="1578">
        <f t="shared" si="231"/>
        <v>7135</v>
      </c>
      <c r="BG303" s="1578">
        <f t="shared" si="231"/>
        <v>0</v>
      </c>
      <c r="BH303" s="1578">
        <f t="shared" si="231"/>
        <v>2300</v>
      </c>
      <c r="BI303" s="1586">
        <f t="shared" si="231"/>
        <v>5382.64</v>
      </c>
      <c r="BJ303" s="1578">
        <f t="shared" si="231"/>
        <v>1118.8</v>
      </c>
      <c r="BK303" s="1578">
        <f t="shared" si="231"/>
        <v>0</v>
      </c>
      <c r="BL303" s="1578">
        <f t="shared" si="231"/>
        <v>3333.3</v>
      </c>
      <c r="BM303" s="1586"/>
      <c r="BN303" s="1578">
        <f>BN304+BN318</f>
        <v>1245.5</v>
      </c>
      <c r="BO303" s="1578">
        <f>BO304+BO318</f>
        <v>0</v>
      </c>
      <c r="BP303" s="1578">
        <f>BP304+BP318</f>
        <v>7726.7</v>
      </c>
      <c r="BQ303" s="1586"/>
      <c r="BR303" s="1578">
        <f t="shared" ref="BR303:BX303" si="232">BR304+BR318</f>
        <v>1703.7</v>
      </c>
      <c r="BS303" s="1578">
        <f t="shared" si="232"/>
        <v>0</v>
      </c>
      <c r="BT303" s="1578">
        <f t="shared" si="232"/>
        <v>0</v>
      </c>
      <c r="BU303" s="1586">
        <f t="shared" si="232"/>
        <v>3400.9</v>
      </c>
      <c r="BV303" s="1578">
        <f t="shared" si="232"/>
        <v>0</v>
      </c>
      <c r="BW303" s="1578">
        <f t="shared" si="232"/>
        <v>0</v>
      </c>
      <c r="BX303" s="1578">
        <f t="shared" si="232"/>
        <v>0</v>
      </c>
      <c r="BY303" s="1586"/>
      <c r="BZ303" s="1578">
        <f>BZ304+BZ318</f>
        <v>0</v>
      </c>
      <c r="CA303" s="1578">
        <f>CA304+CA318</f>
        <v>300</v>
      </c>
      <c r="CB303" s="1578">
        <f>CB304+CB318</f>
        <v>0</v>
      </c>
      <c r="CC303" s="1586"/>
      <c r="CD303" s="1578">
        <f>CD304+CD318</f>
        <v>0</v>
      </c>
      <c r="CE303" s="1578">
        <f>CE304+CE318</f>
        <v>0</v>
      </c>
      <c r="CF303" s="1578">
        <f>CF304+CF318</f>
        <v>0</v>
      </c>
      <c r="CG303" s="1714"/>
      <c r="CH303" s="1716">
        <v>966.47</v>
      </c>
      <c r="CI303" s="1716">
        <v>0</v>
      </c>
      <c r="CJ303" s="1643">
        <v>0</v>
      </c>
      <c r="CK303" s="1716">
        <v>0</v>
      </c>
    </row>
    <row r="304" spans="1:107" ht="52" x14ac:dyDescent="0.15">
      <c r="A304" s="1748" t="s">
        <v>1135</v>
      </c>
      <c r="B304" s="1749" t="s">
        <v>79</v>
      </c>
      <c r="C304" s="1749" t="s">
        <v>80</v>
      </c>
      <c r="D304" s="1749" t="s">
        <v>125</v>
      </c>
      <c r="E304" s="1749" t="s">
        <v>255</v>
      </c>
      <c r="F304" s="1749" t="s">
        <v>765</v>
      </c>
      <c r="G304" s="1600" t="s">
        <v>766</v>
      </c>
      <c r="H304" s="1531">
        <f>H305+H306+H307+H308+H309+H310+H311+H312+H313+H314+H315+H316+H317</f>
        <v>53392.200000000004</v>
      </c>
      <c r="I304" s="1531">
        <f>I305+I306+I307+I308+I309+I310+I311+I312+I313+I314+I315+I316+I317</f>
        <v>13394.3</v>
      </c>
      <c r="J304" s="1531">
        <f>J305+J306+J307+J308+J309+J310+J311+J312+J313+J314+J315+J316+J317</f>
        <v>300</v>
      </c>
      <c r="K304" s="1531">
        <f t="shared" ref="K304:BL304" si="233">K305+K306+K307+K308+K309+K310+K311+K312+K313+K314+K315+K316+K317</f>
        <v>14600</v>
      </c>
      <c r="L304" s="1531">
        <f t="shared" si="233"/>
        <v>390</v>
      </c>
      <c r="M304" s="1531">
        <f t="shared" si="233"/>
        <v>0</v>
      </c>
      <c r="N304" s="1531">
        <f t="shared" si="233"/>
        <v>0</v>
      </c>
      <c r="O304" s="1531">
        <f t="shared" si="233"/>
        <v>0</v>
      </c>
      <c r="P304" s="1531">
        <f t="shared" si="233"/>
        <v>0</v>
      </c>
      <c r="Q304" s="1531">
        <f t="shared" si="233"/>
        <v>0</v>
      </c>
      <c r="R304" s="1531">
        <f t="shared" si="233"/>
        <v>0</v>
      </c>
      <c r="S304" s="1531">
        <f t="shared" si="233"/>
        <v>0</v>
      </c>
      <c r="T304" s="1531">
        <f t="shared" si="233"/>
        <v>0</v>
      </c>
      <c r="U304" s="1531">
        <f t="shared" si="233"/>
        <v>1735</v>
      </c>
      <c r="V304" s="1531">
        <f t="shared" si="233"/>
        <v>0</v>
      </c>
      <c r="W304" s="1531">
        <f t="shared" si="233"/>
        <v>3400.9416666666666</v>
      </c>
      <c r="X304" s="1534"/>
      <c r="Y304" s="1534"/>
      <c r="Z304" s="1535"/>
      <c r="AA304" s="1534"/>
      <c r="AB304" s="1534"/>
      <c r="AC304" s="1603">
        <f t="shared" si="233"/>
        <v>53392.200000000004</v>
      </c>
      <c r="AD304" s="1603">
        <f t="shared" si="233"/>
        <v>28294.300000000003</v>
      </c>
      <c r="AE304" s="1603">
        <f t="shared" si="233"/>
        <v>13394.300000000001</v>
      </c>
      <c r="AF304" s="1603">
        <f t="shared" si="233"/>
        <v>300</v>
      </c>
      <c r="AG304" s="1603">
        <f t="shared" si="233"/>
        <v>14600</v>
      </c>
      <c r="AH304" s="1490">
        <f t="shared" si="213"/>
        <v>0</v>
      </c>
      <c r="AI304" s="1592">
        <f t="shared" si="233"/>
        <v>0</v>
      </c>
      <c r="AJ304" s="1537">
        <f t="shared" si="233"/>
        <v>0</v>
      </c>
      <c r="AK304" s="1537">
        <f t="shared" si="233"/>
        <v>0</v>
      </c>
      <c r="AL304" s="1636">
        <f t="shared" si="195"/>
        <v>0</v>
      </c>
      <c r="AM304" s="1537">
        <f t="shared" si="233"/>
        <v>0</v>
      </c>
      <c r="AN304" s="1706"/>
      <c r="AO304" s="1707">
        <f t="shared" si="233"/>
        <v>3532.5</v>
      </c>
      <c r="AP304" s="1531">
        <f t="shared" si="233"/>
        <v>1431.3</v>
      </c>
      <c r="AQ304" s="1531">
        <f t="shared" si="233"/>
        <v>0</v>
      </c>
      <c r="AR304" s="1531">
        <f t="shared" si="233"/>
        <v>0</v>
      </c>
      <c r="AS304" s="1535">
        <f t="shared" si="233"/>
        <v>4116.6000000000004</v>
      </c>
      <c r="AT304" s="1531">
        <f t="shared" si="233"/>
        <v>0</v>
      </c>
      <c r="AU304" s="1531">
        <f t="shared" si="233"/>
        <v>0</v>
      </c>
      <c r="AV304" s="1531">
        <f t="shared" si="233"/>
        <v>0</v>
      </c>
      <c r="AW304" s="1535">
        <f t="shared" si="233"/>
        <v>5400.9</v>
      </c>
      <c r="AX304" s="1531">
        <f t="shared" si="233"/>
        <v>0</v>
      </c>
      <c r="AY304" s="1531">
        <f t="shared" si="233"/>
        <v>0</v>
      </c>
      <c r="AZ304" s="1531">
        <f t="shared" si="233"/>
        <v>0</v>
      </c>
      <c r="BA304" s="1538">
        <f t="shared" si="233"/>
        <v>6520.9</v>
      </c>
      <c r="BB304" s="1531">
        <f t="shared" si="233"/>
        <v>760</v>
      </c>
      <c r="BC304" s="1531">
        <f t="shared" si="233"/>
        <v>0</v>
      </c>
      <c r="BD304" s="1531">
        <f t="shared" si="233"/>
        <v>1240</v>
      </c>
      <c r="BE304" s="1539">
        <f t="shared" si="233"/>
        <v>8465.68</v>
      </c>
      <c r="BF304" s="1531">
        <f t="shared" si="233"/>
        <v>7135</v>
      </c>
      <c r="BG304" s="1531">
        <f t="shared" si="233"/>
        <v>0</v>
      </c>
      <c r="BH304" s="1531">
        <f t="shared" si="233"/>
        <v>2300</v>
      </c>
      <c r="BI304" s="1538">
        <f t="shared" si="233"/>
        <v>5382.64</v>
      </c>
      <c r="BJ304" s="1531">
        <f t="shared" si="233"/>
        <v>1118.8</v>
      </c>
      <c r="BK304" s="1531">
        <f t="shared" si="233"/>
        <v>0</v>
      </c>
      <c r="BL304" s="1531">
        <f t="shared" si="233"/>
        <v>3333.3</v>
      </c>
      <c r="BM304" s="1538"/>
      <c r="BN304" s="1531">
        <f>BN305+BN306+BN307+BN308+BN309+BN310+BN311+BN312+BN313+BN314+BN315+BN316+BN317</f>
        <v>1245.5</v>
      </c>
      <c r="BO304" s="1531">
        <f>BO305+BO306+BO307+BO308+BO309+BO310+BO311+BO312+BO313+BO314+BO315+BO316+BO317</f>
        <v>0</v>
      </c>
      <c r="BP304" s="1531">
        <f>BP305+BP306+BP307+BP308+BP309+BP310+BP311+BP312+BP313+BP314+BP315+BP316+BP317</f>
        <v>7726.7</v>
      </c>
      <c r="BQ304" s="1538"/>
      <c r="BR304" s="1531">
        <f t="shared" ref="BR304:BY304" si="234">BR305+BR306+BR307+BR308+BR309+BR310+BR311+BR312+BR313+BR314+BR315+BR316+BR317</f>
        <v>1703.7</v>
      </c>
      <c r="BS304" s="1531">
        <f t="shared" si="234"/>
        <v>0</v>
      </c>
      <c r="BT304" s="1531">
        <f t="shared" si="234"/>
        <v>0</v>
      </c>
      <c r="BU304" s="1538">
        <f t="shared" si="234"/>
        <v>3400.9</v>
      </c>
      <c r="BV304" s="1531">
        <f t="shared" si="234"/>
        <v>0</v>
      </c>
      <c r="BW304" s="1531">
        <f t="shared" si="234"/>
        <v>0</v>
      </c>
      <c r="BX304" s="1531">
        <f t="shared" si="234"/>
        <v>0</v>
      </c>
      <c r="BY304" s="1538">
        <f t="shared" si="234"/>
        <v>5167.0999999999995</v>
      </c>
      <c r="BZ304" s="1531">
        <f>BZ305+BZ306+BZ307+BZ308+BZ309+BZ310+BZ311+BZ312+BZ313+BZ314+BZ315+BZ316+BZ317</f>
        <v>0</v>
      </c>
      <c r="CA304" s="1531">
        <f>CA305+CA306+CA307+CA308+CA309+CA310+CA311+CA312+CA313+CA314+CA315+CA316+CA317</f>
        <v>300</v>
      </c>
      <c r="CB304" s="1531">
        <f>CB305+CB306+CB307+CB308+CB309+CB310+CB311+CB312+CB313+CB314+CB315+CB316+CB317</f>
        <v>0</v>
      </c>
      <c r="CC304" s="1538"/>
      <c r="CD304" s="1531">
        <f>CD305+CD306+CD307+CD308+CD309+CD310+CD311+CD312+CD313+CD314+CD315+CD316+CD317</f>
        <v>0</v>
      </c>
      <c r="CE304" s="1531">
        <f>CE305+CE306+CE307+CE308+CE309+CE310+CE311+CE312+CE313+CE314+CE315+CE316+CE317</f>
        <v>0</v>
      </c>
      <c r="CF304" s="1531">
        <f>CF305+CF306+CF307+CF308+CF309+CF310+CF311+CF312+CF313+CF314+CF315+CF316+CF317</f>
        <v>0</v>
      </c>
      <c r="CG304" s="1705"/>
      <c r="CH304" s="1721">
        <v>966.47</v>
      </c>
      <c r="CI304" s="1727">
        <v>0</v>
      </c>
      <c r="CJ304" s="1643">
        <v>0</v>
      </c>
      <c r="CK304" s="1727">
        <v>0</v>
      </c>
    </row>
    <row r="305" spans="1:107" ht="14" x14ac:dyDescent="0.15">
      <c r="A305" s="1541" t="s">
        <v>124</v>
      </c>
      <c r="B305" s="1523" t="s">
        <v>79</v>
      </c>
      <c r="C305" s="1523" t="s">
        <v>80</v>
      </c>
      <c r="D305" s="1523" t="s">
        <v>125</v>
      </c>
      <c r="E305" s="1523">
        <v>4409901</v>
      </c>
      <c r="F305" s="1523"/>
      <c r="G305" s="1667">
        <v>211</v>
      </c>
      <c r="H305" s="1502">
        <f>31345.1</f>
        <v>31345.1</v>
      </c>
      <c r="I305" s="1645"/>
      <c r="J305" s="1630"/>
      <c r="K305" s="1630"/>
      <c r="L305" s="1631"/>
      <c r="M305" s="1631"/>
      <c r="N305" s="1631"/>
      <c r="O305" s="1631"/>
      <c r="P305" s="1631"/>
      <c r="Q305" s="1631"/>
      <c r="R305" s="1631"/>
      <c r="S305" s="1631"/>
      <c r="T305" s="1632"/>
      <c r="U305" s="1633"/>
      <c r="V305" s="1633"/>
      <c r="W305" s="1634">
        <f>H305/12</f>
        <v>2612.0916666666667</v>
      </c>
      <c r="X305" s="1634">
        <f>AO305</f>
        <v>2612.1</v>
      </c>
      <c r="Y305" s="1634">
        <f>CC305</f>
        <v>0</v>
      </c>
      <c r="Z305" s="1635">
        <f>AI305-X305</f>
        <v>-2612.1</v>
      </c>
      <c r="AA305" s="1634"/>
      <c r="AB305" s="1634"/>
      <c r="AC305" s="1508">
        <f t="shared" ref="AC305:AC319" si="235">AO305+AS305+AW305+BA305+BE305+BI305+BM305+BQ305+BU305+BY305+CC305+CH305</f>
        <v>31345.1</v>
      </c>
      <c r="AD305" s="1509">
        <f t="shared" ref="AD305:AD319" si="236">AE305+AF305+AG305</f>
        <v>0</v>
      </c>
      <c r="AE305" s="1509">
        <f t="shared" ref="AE305:AG317" si="237">AP305+AT305+AX305+BB305+BF305+BJ305+BN305+BR305+BV305+BZ305+CD305+CI305</f>
        <v>0</v>
      </c>
      <c r="AF305" s="1509">
        <f t="shared" si="237"/>
        <v>0</v>
      </c>
      <c r="AG305" s="1509">
        <f t="shared" si="237"/>
        <v>0</v>
      </c>
      <c r="AH305" s="1490">
        <f t="shared" si="213"/>
        <v>0</v>
      </c>
      <c r="AI305" s="1636">
        <f t="shared" ref="AI305:AI317" si="238">H305-AC305</f>
        <v>0</v>
      </c>
      <c r="AJ305" s="1636">
        <f t="shared" ref="AJ305:AJ317" si="239">AK305+AL305+AM305</f>
        <v>0</v>
      </c>
      <c r="AK305" s="1636">
        <f t="shared" ref="AK305:AK317" si="240">I305-AE305</f>
        <v>0</v>
      </c>
      <c r="AL305" s="1636">
        <f t="shared" si="195"/>
        <v>0</v>
      </c>
      <c r="AM305" s="1636">
        <f t="shared" si="195"/>
        <v>0</v>
      </c>
      <c r="AN305" s="1637">
        <f>H305/12*10-AC305</f>
        <v>-5224.1833333333307</v>
      </c>
      <c r="AO305" s="1722">
        <v>2612.1</v>
      </c>
      <c r="AP305" s="1638"/>
      <c r="AQ305" s="1638"/>
      <c r="AR305" s="1638"/>
      <c r="AS305" s="1639">
        <v>2612.1</v>
      </c>
      <c r="AT305" s="1638"/>
      <c r="AU305" s="1638"/>
      <c r="AV305" s="1638"/>
      <c r="AW305" s="1640">
        <v>2612</v>
      </c>
      <c r="AX305" s="1640"/>
      <c r="AY305" s="1640"/>
      <c r="AZ305" s="1640"/>
      <c r="BA305" s="1641">
        <v>2612</v>
      </c>
      <c r="BB305" s="1640"/>
      <c r="BC305" s="1640"/>
      <c r="BD305" s="1640"/>
      <c r="BE305" s="1641">
        <v>2612</v>
      </c>
      <c r="BF305" s="1640"/>
      <c r="BG305" s="1640"/>
      <c r="BH305" s="1640"/>
      <c r="BI305" s="1641">
        <f>2612+1359.46</f>
        <v>3971.46</v>
      </c>
      <c r="BJ305" s="1640"/>
      <c r="BK305" s="1640"/>
      <c r="BL305" s="1640"/>
      <c r="BM305" s="1641">
        <f>1567.21+2612</f>
        <v>4179.21</v>
      </c>
      <c r="BN305" s="1640"/>
      <c r="BO305" s="1640"/>
      <c r="BP305" s="1640"/>
      <c r="BQ305" s="1641">
        <f>2612+30+35</f>
        <v>2677</v>
      </c>
      <c r="BR305" s="1640"/>
      <c r="BS305" s="1640"/>
      <c r="BT305" s="1640"/>
      <c r="BU305" s="1641">
        <v>2612</v>
      </c>
      <c r="BV305" s="1640"/>
      <c r="BW305" s="1640"/>
      <c r="BX305" s="1640"/>
      <c r="BY305" s="1641">
        <f>1735+2677+31.2</f>
        <v>4443.2</v>
      </c>
      <c r="BZ305" s="1640"/>
      <c r="CA305" s="1640"/>
      <c r="CB305" s="1640"/>
      <c r="CC305" s="1641"/>
      <c r="CD305" s="1640"/>
      <c r="CE305" s="1640"/>
      <c r="CF305" s="1640"/>
      <c r="CG305" s="1642"/>
      <c r="CH305" s="1643">
        <v>402.03</v>
      </c>
      <c r="CI305" s="1643">
        <v>0</v>
      </c>
      <c r="CJ305" s="1643">
        <v>0</v>
      </c>
      <c r="CK305" s="1643">
        <v>0</v>
      </c>
      <c r="CX305" s="1558">
        <f>H305/12*10-AC305</f>
        <v>-5224.1833333333307</v>
      </c>
      <c r="CY305" s="1558">
        <f>AI305/3</f>
        <v>0</v>
      </c>
      <c r="CZ305" s="1558">
        <f>H305/12</f>
        <v>2612.0916666666667</v>
      </c>
      <c r="DA305" s="1559"/>
      <c r="DB305" s="1559"/>
      <c r="DC305" s="1559"/>
    </row>
    <row r="306" spans="1:107" ht="14" x14ac:dyDescent="0.15">
      <c r="A306" s="1541" t="s">
        <v>83</v>
      </c>
      <c r="B306" s="1523" t="s">
        <v>79</v>
      </c>
      <c r="C306" s="1523" t="s">
        <v>80</v>
      </c>
      <c r="D306" s="1523" t="s">
        <v>125</v>
      </c>
      <c r="E306" s="1523">
        <v>4409901</v>
      </c>
      <c r="F306" s="1523"/>
      <c r="G306" s="1667">
        <v>212</v>
      </c>
      <c r="H306" s="1502">
        <v>102</v>
      </c>
      <c r="I306" s="1645"/>
      <c r="J306" s="1630"/>
      <c r="K306" s="1630"/>
      <c r="L306" s="1631"/>
      <c r="M306" s="1631"/>
      <c r="N306" s="1631"/>
      <c r="O306" s="1631"/>
      <c r="P306" s="1631"/>
      <c r="Q306" s="1631"/>
      <c r="R306" s="1631"/>
      <c r="S306" s="1631"/>
      <c r="T306" s="1632"/>
      <c r="U306" s="1633"/>
      <c r="V306" s="1633"/>
      <c r="W306" s="1634"/>
      <c r="X306" s="1634"/>
      <c r="Y306" s="1634"/>
      <c r="Z306" s="1635"/>
      <c r="AA306" s="1634"/>
      <c r="AB306" s="1634"/>
      <c r="AC306" s="1508">
        <f t="shared" si="235"/>
        <v>102</v>
      </c>
      <c r="AD306" s="1509">
        <f t="shared" si="236"/>
        <v>0</v>
      </c>
      <c r="AE306" s="1509">
        <f t="shared" si="237"/>
        <v>0</v>
      </c>
      <c r="AF306" s="1509">
        <f t="shared" si="237"/>
        <v>0</v>
      </c>
      <c r="AG306" s="1509">
        <f t="shared" si="237"/>
        <v>0</v>
      </c>
      <c r="AH306" s="1490">
        <f t="shared" si="213"/>
        <v>0</v>
      </c>
      <c r="AI306" s="1636">
        <f t="shared" si="238"/>
        <v>0</v>
      </c>
      <c r="AJ306" s="1636">
        <f t="shared" si="239"/>
        <v>0</v>
      </c>
      <c r="AK306" s="1636">
        <f t="shared" si="240"/>
        <v>0</v>
      </c>
      <c r="AL306" s="1636">
        <f t="shared" si="195"/>
        <v>0</v>
      </c>
      <c r="AM306" s="1636">
        <f t="shared" si="195"/>
        <v>0</v>
      </c>
      <c r="AN306" s="1637"/>
      <c r="AO306" s="1722">
        <f>8.5+8.5</f>
        <v>17</v>
      </c>
      <c r="AP306" s="1638"/>
      <c r="AQ306" s="1638"/>
      <c r="AR306" s="1638"/>
      <c r="AS306" s="1639"/>
      <c r="AT306" s="1638"/>
      <c r="AU306" s="1638"/>
      <c r="AV306" s="1638"/>
      <c r="AW306" s="1640"/>
      <c r="AX306" s="1640"/>
      <c r="AY306" s="1640"/>
      <c r="AZ306" s="1640"/>
      <c r="BA306" s="1641"/>
      <c r="BB306" s="1640"/>
      <c r="BC306" s="1640"/>
      <c r="BD306" s="1640"/>
      <c r="BE306" s="1641"/>
      <c r="BF306" s="1640"/>
      <c r="BG306" s="1640"/>
      <c r="BH306" s="1640"/>
      <c r="BI306" s="1641">
        <v>85</v>
      </c>
      <c r="BJ306" s="1640"/>
      <c r="BK306" s="1640"/>
      <c r="BL306" s="1640"/>
      <c r="BM306" s="1641"/>
      <c r="BN306" s="1640"/>
      <c r="BO306" s="1640"/>
      <c r="BP306" s="1640"/>
      <c r="BQ306" s="1641"/>
      <c r="BR306" s="1640"/>
      <c r="BS306" s="1640"/>
      <c r="BT306" s="1640"/>
      <c r="BU306" s="1641"/>
      <c r="BV306" s="1640"/>
      <c r="BW306" s="1640"/>
      <c r="BX306" s="1640"/>
      <c r="BY306" s="1641"/>
      <c r="BZ306" s="1640"/>
      <c r="CA306" s="1640"/>
      <c r="CB306" s="1640"/>
      <c r="CC306" s="1641"/>
      <c r="CD306" s="1640"/>
      <c r="CE306" s="1640"/>
      <c r="CF306" s="1640"/>
      <c r="CG306" s="1642"/>
      <c r="CH306" s="1643">
        <v>0</v>
      </c>
      <c r="CI306" s="1643">
        <v>0</v>
      </c>
      <c r="CJ306" s="1643">
        <v>0</v>
      </c>
      <c r="CK306" s="1643">
        <v>0</v>
      </c>
      <c r="CX306" s="1558"/>
      <c r="CY306" s="1558"/>
      <c r="CZ306" s="1558"/>
      <c r="DA306" s="1559"/>
      <c r="DB306" s="1559"/>
      <c r="DC306" s="1559"/>
    </row>
    <row r="307" spans="1:107" ht="14" x14ac:dyDescent="0.15">
      <c r="A307" s="1541" t="s">
        <v>84</v>
      </c>
      <c r="B307" s="1523" t="s">
        <v>79</v>
      </c>
      <c r="C307" s="1523" t="s">
        <v>80</v>
      </c>
      <c r="D307" s="1523" t="s">
        <v>125</v>
      </c>
      <c r="E307" s="1523">
        <v>4409901</v>
      </c>
      <c r="F307" s="1523"/>
      <c r="G307" s="1667">
        <v>213</v>
      </c>
      <c r="H307" s="1502">
        <v>9466.2000000000007</v>
      </c>
      <c r="I307" s="1645"/>
      <c r="J307" s="1630"/>
      <c r="K307" s="1630"/>
      <c r="L307" s="1631"/>
      <c r="M307" s="1631"/>
      <c r="N307" s="1631"/>
      <c r="O307" s="1631"/>
      <c r="P307" s="1631"/>
      <c r="Q307" s="1631"/>
      <c r="R307" s="1631"/>
      <c r="S307" s="1631"/>
      <c r="T307" s="1632"/>
      <c r="U307" s="1633"/>
      <c r="V307" s="1633"/>
      <c r="W307" s="1634">
        <f>H307/12</f>
        <v>788.85</v>
      </c>
      <c r="X307" s="1634">
        <f>AO307</f>
        <v>789</v>
      </c>
      <c r="Y307" s="1634">
        <f>CC307</f>
        <v>0</v>
      </c>
      <c r="Z307" s="1635">
        <f>AI307-X307</f>
        <v>-789</v>
      </c>
      <c r="AA307" s="1634"/>
      <c r="AB307" s="1634"/>
      <c r="AC307" s="1508">
        <f t="shared" si="235"/>
        <v>9466.2000000000007</v>
      </c>
      <c r="AD307" s="1509">
        <f t="shared" si="236"/>
        <v>0</v>
      </c>
      <c r="AE307" s="1509">
        <f t="shared" si="237"/>
        <v>0</v>
      </c>
      <c r="AF307" s="1509">
        <f t="shared" si="237"/>
        <v>0</v>
      </c>
      <c r="AG307" s="1509">
        <f t="shared" si="237"/>
        <v>0</v>
      </c>
      <c r="AH307" s="1490">
        <f t="shared" si="213"/>
        <v>0</v>
      </c>
      <c r="AI307" s="1636">
        <f t="shared" si="238"/>
        <v>0</v>
      </c>
      <c r="AJ307" s="1636">
        <f t="shared" si="239"/>
        <v>0</v>
      </c>
      <c r="AK307" s="1636">
        <f t="shared" si="240"/>
        <v>0</v>
      </c>
      <c r="AL307" s="1636">
        <f t="shared" si="195"/>
        <v>0</v>
      </c>
      <c r="AM307" s="1636">
        <f t="shared" si="195"/>
        <v>0</v>
      </c>
      <c r="AN307" s="1637">
        <f>H307/12*10-AC307</f>
        <v>-1577.7000000000007</v>
      </c>
      <c r="AO307" s="1722">
        <v>789</v>
      </c>
      <c r="AP307" s="1638"/>
      <c r="AQ307" s="1638"/>
      <c r="AR307" s="1638"/>
      <c r="AS307" s="1639">
        <v>789</v>
      </c>
      <c r="AT307" s="1638"/>
      <c r="AU307" s="1638"/>
      <c r="AV307" s="1638"/>
      <c r="AW307" s="1640">
        <v>788.9</v>
      </c>
      <c r="AX307" s="1640"/>
      <c r="AY307" s="1640"/>
      <c r="AZ307" s="1640"/>
      <c r="BA307" s="1641">
        <v>788.9</v>
      </c>
      <c r="BB307" s="1640"/>
      <c r="BC307" s="1640"/>
      <c r="BD307" s="1640"/>
      <c r="BE307" s="1641">
        <v>788.9</v>
      </c>
      <c r="BF307" s="1640"/>
      <c r="BG307" s="1640"/>
      <c r="BH307" s="1640"/>
      <c r="BI307" s="1641">
        <f>788.9+410.56</f>
        <v>1199.46</v>
      </c>
      <c r="BJ307" s="1640"/>
      <c r="BK307" s="1640"/>
      <c r="BL307" s="1640"/>
      <c r="BM307" s="1641">
        <f>788.9+788.9</f>
        <v>1577.8</v>
      </c>
      <c r="BN307" s="1640"/>
      <c r="BO307" s="1640"/>
      <c r="BP307" s="1640"/>
      <c r="BQ307" s="1641">
        <f>788.9+15.6</f>
        <v>804.5</v>
      </c>
      <c r="BR307" s="1640"/>
      <c r="BS307" s="1640"/>
      <c r="BT307" s="1640"/>
      <c r="BU307" s="1641">
        <v>788.9</v>
      </c>
      <c r="BV307" s="1640"/>
      <c r="BW307" s="1640"/>
      <c r="BX307" s="1640"/>
      <c r="BY307" s="1641">
        <v>723.9</v>
      </c>
      <c r="BZ307" s="1640"/>
      <c r="CA307" s="1640"/>
      <c r="CB307" s="1640"/>
      <c r="CC307" s="1641"/>
      <c r="CD307" s="1640"/>
      <c r="CE307" s="1640"/>
      <c r="CF307" s="1640"/>
      <c r="CG307" s="1642"/>
      <c r="CH307" s="1643">
        <v>426.94</v>
      </c>
      <c r="CI307" s="1643">
        <v>0</v>
      </c>
      <c r="CJ307" s="1643">
        <v>0</v>
      </c>
      <c r="CK307" s="1643">
        <v>0</v>
      </c>
      <c r="CX307" s="1558">
        <f>H307/12*10-AC307</f>
        <v>-1577.7000000000007</v>
      </c>
      <c r="CY307" s="1558">
        <f>AI307/3</f>
        <v>0</v>
      </c>
      <c r="CZ307" s="1558">
        <f>H307/12</f>
        <v>788.85</v>
      </c>
      <c r="DA307" s="1559"/>
      <c r="DB307" s="1559"/>
      <c r="DC307" s="1559"/>
    </row>
    <row r="308" spans="1:107" ht="14" x14ac:dyDescent="0.15">
      <c r="A308" s="1541" t="s">
        <v>85</v>
      </c>
      <c r="B308" s="1523" t="s">
        <v>79</v>
      </c>
      <c r="C308" s="1523" t="s">
        <v>80</v>
      </c>
      <c r="D308" s="1523" t="s">
        <v>125</v>
      </c>
      <c r="E308" s="1523">
        <v>4409901</v>
      </c>
      <c r="F308" s="1523"/>
      <c r="G308" s="1667">
        <v>221</v>
      </c>
      <c r="H308" s="1502">
        <v>185.1</v>
      </c>
      <c r="I308" s="1645"/>
      <c r="J308" s="1630"/>
      <c r="K308" s="1630"/>
      <c r="L308" s="1631"/>
      <c r="M308" s="1631"/>
      <c r="N308" s="1631"/>
      <c r="O308" s="1631"/>
      <c r="P308" s="1631"/>
      <c r="Q308" s="1631"/>
      <c r="R308" s="1631"/>
      <c r="S308" s="1631"/>
      <c r="T308" s="1632"/>
      <c r="U308" s="1633"/>
      <c r="V308" s="1633"/>
      <c r="W308" s="1634"/>
      <c r="X308" s="1634"/>
      <c r="Y308" s="1634"/>
      <c r="Z308" s="1635"/>
      <c r="AA308" s="1634"/>
      <c r="AB308" s="1634"/>
      <c r="AC308" s="1508">
        <f t="shared" si="235"/>
        <v>185.1</v>
      </c>
      <c r="AD308" s="1509">
        <f t="shared" si="236"/>
        <v>0</v>
      </c>
      <c r="AE308" s="1509">
        <f t="shared" si="237"/>
        <v>0</v>
      </c>
      <c r="AF308" s="1509">
        <f t="shared" si="237"/>
        <v>0</v>
      </c>
      <c r="AG308" s="1509">
        <f t="shared" si="237"/>
        <v>0</v>
      </c>
      <c r="AH308" s="1490">
        <f t="shared" si="213"/>
        <v>0</v>
      </c>
      <c r="AI308" s="1636">
        <f t="shared" si="238"/>
        <v>0</v>
      </c>
      <c r="AJ308" s="1636">
        <f t="shared" si="239"/>
        <v>0</v>
      </c>
      <c r="AK308" s="1636">
        <f t="shared" si="240"/>
        <v>0</v>
      </c>
      <c r="AL308" s="1636">
        <f t="shared" si="195"/>
        <v>0</v>
      </c>
      <c r="AM308" s="1636">
        <f t="shared" si="195"/>
        <v>0</v>
      </c>
      <c r="AN308" s="1637"/>
      <c r="AO308" s="1722">
        <v>15.4</v>
      </c>
      <c r="AP308" s="1638"/>
      <c r="AQ308" s="1638"/>
      <c r="AR308" s="1638"/>
      <c r="AS308" s="1639"/>
      <c r="AT308" s="1638"/>
      <c r="AU308" s="1638"/>
      <c r="AV308" s="1638"/>
      <c r="AW308" s="1639"/>
      <c r="AX308" s="1640"/>
      <c r="AY308" s="1640"/>
      <c r="AZ308" s="1640"/>
      <c r="BA308" s="1641"/>
      <c r="BB308" s="1640"/>
      <c r="BC308" s="1640"/>
      <c r="BD308" s="1640"/>
      <c r="BE308" s="1644">
        <v>169.7</v>
      </c>
      <c r="BF308" s="1640"/>
      <c r="BG308" s="1640"/>
      <c r="BH308" s="1640"/>
      <c r="BI308" s="1641"/>
      <c r="BJ308" s="1640"/>
      <c r="BK308" s="1640"/>
      <c r="BL308" s="1640"/>
      <c r="BM308" s="1641"/>
      <c r="BN308" s="1640"/>
      <c r="BO308" s="1640"/>
      <c r="BP308" s="1640"/>
      <c r="BQ308" s="1641"/>
      <c r="BR308" s="1640"/>
      <c r="BS308" s="1640"/>
      <c r="BT308" s="1640"/>
      <c r="BU308" s="1641"/>
      <c r="BV308" s="1640"/>
      <c r="BW308" s="1640"/>
      <c r="BX308" s="1640"/>
      <c r="BY308" s="1641"/>
      <c r="BZ308" s="1640"/>
      <c r="CA308" s="1640"/>
      <c r="CB308" s="1640"/>
      <c r="CC308" s="1641"/>
      <c r="CD308" s="1640"/>
      <c r="CE308" s="1640"/>
      <c r="CF308" s="1640"/>
      <c r="CG308" s="1642"/>
      <c r="CH308" s="1643">
        <v>0</v>
      </c>
      <c r="CI308" s="1643">
        <v>0</v>
      </c>
      <c r="CJ308" s="1643">
        <v>0</v>
      </c>
      <c r="CK308" s="1643">
        <v>0</v>
      </c>
      <c r="CX308" s="1559"/>
    </row>
    <row r="309" spans="1:107" ht="14" x14ac:dyDescent="0.15">
      <c r="A309" s="1541" t="s">
        <v>86</v>
      </c>
      <c r="B309" s="1523" t="s">
        <v>79</v>
      </c>
      <c r="C309" s="1523" t="s">
        <v>80</v>
      </c>
      <c r="D309" s="1523" t="s">
        <v>125</v>
      </c>
      <c r="E309" s="1523">
        <v>4409901</v>
      </c>
      <c r="F309" s="1523"/>
      <c r="G309" s="1667">
        <v>222</v>
      </c>
      <c r="H309" s="1502">
        <v>96</v>
      </c>
      <c r="I309" s="1645"/>
      <c r="J309" s="1630"/>
      <c r="K309" s="1630"/>
      <c r="L309" s="1631"/>
      <c r="M309" s="1631"/>
      <c r="N309" s="1631"/>
      <c r="O309" s="1631"/>
      <c r="P309" s="1631"/>
      <c r="Q309" s="1631"/>
      <c r="R309" s="1631"/>
      <c r="S309" s="1631"/>
      <c r="T309" s="1632"/>
      <c r="U309" s="1633"/>
      <c r="V309" s="1633"/>
      <c r="W309" s="1634"/>
      <c r="X309" s="1634"/>
      <c r="Y309" s="1634"/>
      <c r="Z309" s="1635"/>
      <c r="AA309" s="1634"/>
      <c r="AB309" s="1634"/>
      <c r="AC309" s="1508">
        <f t="shared" si="235"/>
        <v>96</v>
      </c>
      <c r="AD309" s="1509">
        <f t="shared" si="236"/>
        <v>0</v>
      </c>
      <c r="AE309" s="1509">
        <f t="shared" si="237"/>
        <v>0</v>
      </c>
      <c r="AF309" s="1509">
        <f t="shared" si="237"/>
        <v>0</v>
      </c>
      <c r="AG309" s="1509">
        <f t="shared" si="237"/>
        <v>0</v>
      </c>
      <c r="AH309" s="1490">
        <f t="shared" si="213"/>
        <v>0</v>
      </c>
      <c r="AI309" s="1636">
        <f t="shared" si="238"/>
        <v>0</v>
      </c>
      <c r="AJ309" s="1636">
        <f t="shared" si="239"/>
        <v>0</v>
      </c>
      <c r="AK309" s="1636">
        <f t="shared" si="240"/>
        <v>0</v>
      </c>
      <c r="AL309" s="1636">
        <f t="shared" si="195"/>
        <v>0</v>
      </c>
      <c r="AM309" s="1636">
        <f t="shared" si="195"/>
        <v>0</v>
      </c>
      <c r="AN309" s="1637"/>
      <c r="AO309" s="1722">
        <v>8</v>
      </c>
      <c r="AP309" s="1638"/>
      <c r="AQ309" s="1638"/>
      <c r="AR309" s="1638"/>
      <c r="AS309" s="1639"/>
      <c r="AT309" s="1638"/>
      <c r="AU309" s="1638"/>
      <c r="AV309" s="1638"/>
      <c r="AW309" s="1639"/>
      <c r="AX309" s="1640"/>
      <c r="AY309" s="1640"/>
      <c r="AZ309" s="1640"/>
      <c r="BA309" s="1641"/>
      <c r="BB309" s="1640"/>
      <c r="BC309" s="1640"/>
      <c r="BD309" s="1640"/>
      <c r="BE309" s="1644">
        <v>88</v>
      </c>
      <c r="BF309" s="1640"/>
      <c r="BG309" s="1640"/>
      <c r="BH309" s="1640"/>
      <c r="BI309" s="1641"/>
      <c r="BJ309" s="1640"/>
      <c r="BK309" s="1640"/>
      <c r="BL309" s="1640"/>
      <c r="BM309" s="1641"/>
      <c r="BN309" s="1640"/>
      <c r="BO309" s="1640"/>
      <c r="BP309" s="1640"/>
      <c r="BQ309" s="1641"/>
      <c r="BR309" s="1640"/>
      <c r="BS309" s="1640"/>
      <c r="BT309" s="1640"/>
      <c r="BU309" s="1641"/>
      <c r="BV309" s="1640"/>
      <c r="BW309" s="1640"/>
      <c r="BX309" s="1640"/>
      <c r="BY309" s="1641"/>
      <c r="BZ309" s="1640"/>
      <c r="CA309" s="1640"/>
      <c r="CB309" s="1640"/>
      <c r="CC309" s="1641"/>
      <c r="CD309" s="1640"/>
      <c r="CE309" s="1640"/>
      <c r="CF309" s="1640"/>
      <c r="CG309" s="1642"/>
      <c r="CH309" s="1643">
        <v>0</v>
      </c>
      <c r="CI309" s="1643">
        <v>0</v>
      </c>
      <c r="CJ309" s="1643">
        <v>0</v>
      </c>
      <c r="CK309" s="1643">
        <v>0</v>
      </c>
    </row>
    <row r="310" spans="1:107" ht="15" customHeight="1" x14ac:dyDescent="0.15">
      <c r="A310" s="1541" t="s">
        <v>87</v>
      </c>
      <c r="B310" s="1523" t="s">
        <v>79</v>
      </c>
      <c r="C310" s="1523" t="s">
        <v>80</v>
      </c>
      <c r="D310" s="1523" t="s">
        <v>125</v>
      </c>
      <c r="E310" s="1523">
        <v>4409901</v>
      </c>
      <c r="F310" s="1523"/>
      <c r="G310" s="1667">
        <v>223</v>
      </c>
      <c r="H310" s="1502">
        <v>187.7</v>
      </c>
      <c r="I310" s="1645"/>
      <c r="J310" s="1630"/>
      <c r="K310" s="1630"/>
      <c r="L310" s="1631"/>
      <c r="M310" s="1631"/>
      <c r="N310" s="1631"/>
      <c r="O310" s="1631"/>
      <c r="P310" s="1631"/>
      <c r="Q310" s="1631"/>
      <c r="R310" s="1631"/>
      <c r="S310" s="1631"/>
      <c r="T310" s="1632"/>
      <c r="U310" s="1633"/>
      <c r="V310" s="1633"/>
      <c r="W310" s="1634"/>
      <c r="X310" s="1634"/>
      <c r="Y310" s="1634"/>
      <c r="Z310" s="1635"/>
      <c r="AA310" s="1634"/>
      <c r="AB310" s="1634"/>
      <c r="AC310" s="1508">
        <f t="shared" si="235"/>
        <v>187.7</v>
      </c>
      <c r="AD310" s="1509">
        <f t="shared" si="236"/>
        <v>0</v>
      </c>
      <c r="AE310" s="1509">
        <f t="shared" si="237"/>
        <v>0</v>
      </c>
      <c r="AF310" s="1509">
        <f t="shared" si="237"/>
        <v>0</v>
      </c>
      <c r="AG310" s="1509">
        <f t="shared" si="237"/>
        <v>0</v>
      </c>
      <c r="AH310" s="1490">
        <f t="shared" si="213"/>
        <v>0</v>
      </c>
      <c r="AI310" s="1636">
        <f t="shared" si="238"/>
        <v>0</v>
      </c>
      <c r="AJ310" s="1636">
        <f t="shared" si="239"/>
        <v>0</v>
      </c>
      <c r="AK310" s="1636">
        <f t="shared" si="240"/>
        <v>0</v>
      </c>
      <c r="AL310" s="1636">
        <f t="shared" si="195"/>
        <v>0</v>
      </c>
      <c r="AM310" s="1636">
        <f t="shared" si="195"/>
        <v>0</v>
      </c>
      <c r="AN310" s="1637"/>
      <c r="AO310" s="1722">
        <v>15.6</v>
      </c>
      <c r="AP310" s="1638"/>
      <c r="AQ310" s="1638"/>
      <c r="AR310" s="1638"/>
      <c r="AS310" s="1639">
        <v>15.5</v>
      </c>
      <c r="AT310" s="1638"/>
      <c r="AU310" s="1638"/>
      <c r="AV310" s="1638"/>
      <c r="AW310" s="1639"/>
      <c r="AX310" s="1640"/>
      <c r="AY310" s="1640"/>
      <c r="AZ310" s="1640"/>
      <c r="BA310" s="1641"/>
      <c r="BB310" s="1640"/>
      <c r="BC310" s="1640"/>
      <c r="BD310" s="1640"/>
      <c r="BE310" s="1644">
        <f>31.28+15.6+30.5</f>
        <v>77.38</v>
      </c>
      <c r="BF310" s="1640"/>
      <c r="BG310" s="1640"/>
      <c r="BH310" s="1640"/>
      <c r="BI310" s="1641">
        <v>79.22</v>
      </c>
      <c r="BJ310" s="1640"/>
      <c r="BK310" s="1640"/>
      <c r="BL310" s="1640"/>
      <c r="BM310" s="1641"/>
      <c r="BN310" s="1640"/>
      <c r="BO310" s="1640"/>
      <c r="BP310" s="1640"/>
      <c r="BQ310" s="1641"/>
      <c r="BR310" s="1640"/>
      <c r="BS310" s="1640"/>
      <c r="BT310" s="1640"/>
      <c r="BU310" s="1641"/>
      <c r="BV310" s="1640"/>
      <c r="BW310" s="1640"/>
      <c r="BX310" s="1640"/>
      <c r="BY310" s="1641"/>
      <c r="BZ310" s="1640"/>
      <c r="CA310" s="1640"/>
      <c r="CB310" s="1640"/>
      <c r="CC310" s="1641"/>
      <c r="CD310" s="1640"/>
      <c r="CE310" s="1640"/>
      <c r="CF310" s="1640"/>
      <c r="CG310" s="1642"/>
      <c r="CH310" s="1643">
        <v>0</v>
      </c>
      <c r="CI310" s="1643">
        <v>0</v>
      </c>
      <c r="CJ310" s="1643">
        <v>0</v>
      </c>
      <c r="CK310" s="1643">
        <v>0</v>
      </c>
    </row>
    <row r="311" spans="1:107" ht="14" x14ac:dyDescent="0.15">
      <c r="A311" s="1541" t="s">
        <v>111</v>
      </c>
      <c r="B311" s="1523" t="s">
        <v>79</v>
      </c>
      <c r="C311" s="1523" t="s">
        <v>80</v>
      </c>
      <c r="D311" s="1523" t="s">
        <v>125</v>
      </c>
      <c r="E311" s="1523">
        <v>4409901</v>
      </c>
      <c r="F311" s="1523"/>
      <c r="G311" s="1667">
        <v>224</v>
      </c>
      <c r="H311" s="1502">
        <v>0</v>
      </c>
      <c r="I311" s="1645"/>
      <c r="J311" s="1630"/>
      <c r="K311" s="1630"/>
      <c r="L311" s="1631"/>
      <c r="M311" s="1631"/>
      <c r="N311" s="1631"/>
      <c r="O311" s="1631"/>
      <c r="P311" s="1631"/>
      <c r="Q311" s="1631"/>
      <c r="R311" s="1631"/>
      <c r="S311" s="1631"/>
      <c r="T311" s="1632"/>
      <c r="U311" s="1633"/>
      <c r="V311" s="1633"/>
      <c r="W311" s="1634"/>
      <c r="X311" s="1634"/>
      <c r="Y311" s="1634"/>
      <c r="Z311" s="1635"/>
      <c r="AA311" s="1634"/>
      <c r="AB311" s="1634"/>
      <c r="AC311" s="1508">
        <f t="shared" si="235"/>
        <v>0</v>
      </c>
      <c r="AD311" s="1509">
        <f t="shared" si="236"/>
        <v>0</v>
      </c>
      <c r="AE311" s="1509">
        <f t="shared" si="237"/>
        <v>0</v>
      </c>
      <c r="AF311" s="1509">
        <f t="shared" si="237"/>
        <v>0</v>
      </c>
      <c r="AG311" s="1509">
        <f t="shared" si="237"/>
        <v>0</v>
      </c>
      <c r="AH311" s="1490">
        <f t="shared" si="213"/>
        <v>0</v>
      </c>
      <c r="AI311" s="1636">
        <f t="shared" si="238"/>
        <v>0</v>
      </c>
      <c r="AJ311" s="1636">
        <f t="shared" si="239"/>
        <v>0</v>
      </c>
      <c r="AK311" s="1636">
        <f t="shared" si="240"/>
        <v>0</v>
      </c>
      <c r="AL311" s="1636">
        <f t="shared" si="195"/>
        <v>0</v>
      </c>
      <c r="AM311" s="1636">
        <f t="shared" si="195"/>
        <v>0</v>
      </c>
      <c r="AN311" s="1637"/>
      <c r="AO311" s="1722">
        <v>0</v>
      </c>
      <c r="AP311" s="1638"/>
      <c r="AQ311" s="1638"/>
      <c r="AR311" s="1638"/>
      <c r="AS311" s="1639"/>
      <c r="AT311" s="1638"/>
      <c r="AU311" s="1638"/>
      <c r="AV311" s="1638"/>
      <c r="AW311" s="1639"/>
      <c r="AX311" s="1640"/>
      <c r="AY311" s="1640"/>
      <c r="AZ311" s="1640"/>
      <c r="BA311" s="1641"/>
      <c r="BB311" s="1640"/>
      <c r="BC311" s="1640"/>
      <c r="BD311" s="1640"/>
      <c r="BE311" s="1644"/>
      <c r="BF311" s="1640"/>
      <c r="BG311" s="1640"/>
      <c r="BH311" s="1640"/>
      <c r="BI311" s="1641"/>
      <c r="BJ311" s="1640"/>
      <c r="BK311" s="1640"/>
      <c r="BL311" s="1640"/>
      <c r="BM311" s="1641"/>
      <c r="BN311" s="1640"/>
      <c r="BO311" s="1640"/>
      <c r="BP311" s="1640"/>
      <c r="BQ311" s="1641"/>
      <c r="BR311" s="1640"/>
      <c r="BS311" s="1640"/>
      <c r="BT311" s="1640"/>
      <c r="BU311" s="1641"/>
      <c r="BV311" s="1640"/>
      <c r="BW311" s="1640"/>
      <c r="BX311" s="1640"/>
      <c r="BY311" s="1641"/>
      <c r="BZ311" s="1640"/>
      <c r="CA311" s="1640"/>
      <c r="CB311" s="1640"/>
      <c r="CC311" s="1641"/>
      <c r="CD311" s="1640"/>
      <c r="CE311" s="1640"/>
      <c r="CF311" s="1640"/>
      <c r="CG311" s="1642"/>
      <c r="CH311" s="1643">
        <v>0</v>
      </c>
      <c r="CI311" s="1643">
        <v>0</v>
      </c>
      <c r="CJ311" s="1643">
        <v>0</v>
      </c>
      <c r="CK311" s="1643">
        <v>0</v>
      </c>
    </row>
    <row r="312" spans="1:107" ht="14" x14ac:dyDescent="0.15">
      <c r="A312" s="1541" t="s">
        <v>90</v>
      </c>
      <c r="B312" s="1523" t="s">
        <v>79</v>
      </c>
      <c r="C312" s="1523" t="s">
        <v>80</v>
      </c>
      <c r="D312" s="1523" t="s">
        <v>125</v>
      </c>
      <c r="E312" s="1523">
        <v>4409901</v>
      </c>
      <c r="F312" s="1523"/>
      <c r="G312" s="1667">
        <v>225</v>
      </c>
      <c r="H312" s="1502">
        <f>5.3+30</f>
        <v>35.299999999999997</v>
      </c>
      <c r="I312" s="1645"/>
      <c r="J312" s="1630"/>
      <c r="K312" s="1630">
        <f>8252-8252+8252</f>
        <v>8252</v>
      </c>
      <c r="L312" s="1631">
        <v>120</v>
      </c>
      <c r="M312" s="1631"/>
      <c r="N312" s="1631"/>
      <c r="O312" s="1631"/>
      <c r="P312" s="1631"/>
      <c r="Q312" s="1631"/>
      <c r="R312" s="1631"/>
      <c r="S312" s="1631"/>
      <c r="T312" s="1632"/>
      <c r="U312" s="1633"/>
      <c r="V312" s="1633"/>
      <c r="W312" s="1634"/>
      <c r="X312" s="1634"/>
      <c r="Y312" s="1634"/>
      <c r="Z312" s="1635"/>
      <c r="AA312" s="1634"/>
      <c r="AB312" s="1634"/>
      <c r="AC312" s="1508">
        <f t="shared" si="235"/>
        <v>35.299999999999997</v>
      </c>
      <c r="AD312" s="1509">
        <f t="shared" si="236"/>
        <v>8252</v>
      </c>
      <c r="AE312" s="1509">
        <f t="shared" si="237"/>
        <v>0</v>
      </c>
      <c r="AF312" s="1509">
        <f t="shared" si="237"/>
        <v>0</v>
      </c>
      <c r="AG312" s="1509">
        <f t="shared" si="237"/>
        <v>8252</v>
      </c>
      <c r="AH312" s="1490">
        <f t="shared" si="213"/>
        <v>0</v>
      </c>
      <c r="AI312" s="1636">
        <f t="shared" si="238"/>
        <v>0</v>
      </c>
      <c r="AJ312" s="1636">
        <f t="shared" si="239"/>
        <v>0</v>
      </c>
      <c r="AK312" s="1636">
        <f t="shared" si="240"/>
        <v>0</v>
      </c>
      <c r="AL312" s="1636">
        <f t="shared" si="195"/>
        <v>0</v>
      </c>
      <c r="AM312" s="1636">
        <f t="shared" si="195"/>
        <v>0</v>
      </c>
      <c r="AN312" s="1637"/>
      <c r="AO312" s="1723"/>
      <c r="AP312" s="1638"/>
      <c r="AQ312" s="1638"/>
      <c r="AR312" s="1638"/>
      <c r="AS312" s="1639"/>
      <c r="AT312" s="1638"/>
      <c r="AU312" s="1638"/>
      <c r="AV312" s="1638"/>
      <c r="AW312" s="1639"/>
      <c r="AX312" s="1640"/>
      <c r="AY312" s="1640"/>
      <c r="AZ312" s="1640"/>
      <c r="BA312" s="1641"/>
      <c r="BB312" s="1640"/>
      <c r="BC312" s="1640"/>
      <c r="BD312" s="1640"/>
      <c r="BE312" s="1644">
        <v>35.299999999999997</v>
      </c>
      <c r="BF312" s="1640"/>
      <c r="BG312" s="1640"/>
      <c r="BH312" s="1640"/>
      <c r="BI312" s="1641"/>
      <c r="BJ312" s="1640"/>
      <c r="BK312" s="1640"/>
      <c r="BL312" s="1640">
        <v>3333.3</v>
      </c>
      <c r="BM312" s="1641"/>
      <c r="BN312" s="1640"/>
      <c r="BO312" s="1640"/>
      <c r="BP312" s="1640">
        <v>4918.7</v>
      </c>
      <c r="BQ312" s="1641"/>
      <c r="BR312" s="1640"/>
      <c r="BS312" s="1640"/>
      <c r="BT312" s="1640"/>
      <c r="BU312" s="1641"/>
      <c r="BV312" s="1640"/>
      <c r="BW312" s="1640"/>
      <c r="BX312" s="1640"/>
      <c r="BY312" s="1641"/>
      <c r="BZ312" s="1640"/>
      <c r="CA312" s="1640"/>
      <c r="CB312" s="1640"/>
      <c r="CC312" s="1641"/>
      <c r="CD312" s="1640"/>
      <c r="CE312" s="1640"/>
      <c r="CF312" s="1640"/>
      <c r="CG312" s="1642"/>
      <c r="CH312" s="1643">
        <v>0</v>
      </c>
      <c r="CI312" s="1643">
        <v>0</v>
      </c>
      <c r="CJ312" s="1643">
        <v>0</v>
      </c>
      <c r="CK312" s="1643">
        <v>0</v>
      </c>
    </row>
    <row r="313" spans="1:107" ht="14" x14ac:dyDescent="0.15">
      <c r="A313" s="1541" t="s">
        <v>91</v>
      </c>
      <c r="B313" s="1523" t="s">
        <v>79</v>
      </c>
      <c r="C313" s="1523" t="s">
        <v>80</v>
      </c>
      <c r="D313" s="1523" t="s">
        <v>125</v>
      </c>
      <c r="E313" s="1523">
        <v>4409901</v>
      </c>
      <c r="F313" s="1523"/>
      <c r="G313" s="1667">
        <v>226</v>
      </c>
      <c r="H313" s="1863">
        <f>8193.14+1337.5</f>
        <v>9530.64</v>
      </c>
      <c r="I313" s="1645">
        <f>1530.6+1699+2150+701+109+1286+2000+300+8252-450-8252+1703.7</f>
        <v>11029.3</v>
      </c>
      <c r="J313" s="1645">
        <v>300</v>
      </c>
      <c r="K313" s="1645">
        <f>6348-3000</f>
        <v>3348</v>
      </c>
      <c r="L313" s="1631">
        <v>270</v>
      </c>
      <c r="M313" s="1631"/>
      <c r="N313" s="1631"/>
      <c r="O313" s="1631"/>
      <c r="P313" s="1631"/>
      <c r="Q313" s="1631"/>
      <c r="R313" s="1631"/>
      <c r="S313" s="1631"/>
      <c r="T313" s="1632"/>
      <c r="U313" s="1633"/>
      <c r="V313" s="1633"/>
      <c r="W313" s="1634"/>
      <c r="X313" s="1634"/>
      <c r="Y313" s="1634"/>
      <c r="Z313" s="1635"/>
      <c r="AA313" s="1634"/>
      <c r="AB313" s="1634"/>
      <c r="AC313" s="1508">
        <f t="shared" si="235"/>
        <v>9530.64</v>
      </c>
      <c r="AD313" s="1509">
        <f t="shared" si="236"/>
        <v>14677.300000000001</v>
      </c>
      <c r="AE313" s="1509">
        <f t="shared" si="237"/>
        <v>11029.300000000001</v>
      </c>
      <c r="AF313" s="1509">
        <f t="shared" si="237"/>
        <v>300</v>
      </c>
      <c r="AG313" s="1509">
        <f t="shared" si="237"/>
        <v>3348</v>
      </c>
      <c r="AH313" s="1490">
        <f t="shared" si="213"/>
        <v>0</v>
      </c>
      <c r="AI313" s="1636">
        <f t="shared" si="238"/>
        <v>0</v>
      </c>
      <c r="AJ313" s="1636">
        <f t="shared" si="239"/>
        <v>0</v>
      </c>
      <c r="AK313" s="1636">
        <f t="shared" si="240"/>
        <v>0</v>
      </c>
      <c r="AL313" s="1636">
        <f t="shared" si="195"/>
        <v>0</v>
      </c>
      <c r="AM313" s="1636">
        <f t="shared" si="195"/>
        <v>0</v>
      </c>
      <c r="AN313" s="1637"/>
      <c r="AO313" s="1723"/>
      <c r="AP313" s="1638">
        <f>1131.3+300</f>
        <v>1431.3</v>
      </c>
      <c r="AQ313" s="1638"/>
      <c r="AR313" s="1638"/>
      <c r="AS313" s="1639">
        <v>700</v>
      </c>
      <c r="AT313" s="1638"/>
      <c r="AU313" s="1638"/>
      <c r="AV313" s="1638"/>
      <c r="AW313" s="1639">
        <v>2000</v>
      </c>
      <c r="AX313" s="1640"/>
      <c r="AY313" s="1640"/>
      <c r="AZ313" s="1640"/>
      <c r="BA313" s="1641">
        <f>1620+1500</f>
        <v>3120</v>
      </c>
      <c r="BB313" s="1640">
        <v>760</v>
      </c>
      <c r="BC313" s="1640"/>
      <c r="BD313" s="1640">
        <v>1240</v>
      </c>
      <c r="BE313" s="1644">
        <f>2373.14</f>
        <v>2373.14</v>
      </c>
      <c r="BF313" s="1640">
        <f>7135-0.7</f>
        <v>7134.3</v>
      </c>
      <c r="BG313" s="1640"/>
      <c r="BH313" s="1640">
        <f>2300-192</f>
        <v>2108</v>
      </c>
      <c r="BI313" s="1641"/>
      <c r="BJ313" s="1640"/>
      <c r="BK313" s="1640"/>
      <c r="BL313" s="1640"/>
      <c r="BM313" s="1641"/>
      <c r="BN313" s="1640"/>
      <c r="BO313" s="1640"/>
      <c r="BP313" s="1640"/>
      <c r="BQ313" s="1641"/>
      <c r="BR313" s="1640">
        <v>1703.7</v>
      </c>
      <c r="BS313" s="1640"/>
      <c r="BT313" s="1640"/>
      <c r="BU313" s="1641"/>
      <c r="BV313" s="1640"/>
      <c r="BW313" s="1640"/>
      <c r="BX313" s="1640"/>
      <c r="BY313" s="1641"/>
      <c r="BZ313" s="1640"/>
      <c r="CA313" s="1640">
        <v>300</v>
      </c>
      <c r="CB313" s="1640"/>
      <c r="CC313" s="1641"/>
      <c r="CD313" s="1640"/>
      <c r="CE313" s="1640"/>
      <c r="CF313" s="1640"/>
      <c r="CG313" s="1642"/>
      <c r="CH313" s="1643">
        <f>137.5+1200</f>
        <v>1337.5</v>
      </c>
      <c r="CI313" s="1643">
        <v>0</v>
      </c>
      <c r="CJ313" s="1643">
        <v>0</v>
      </c>
      <c r="CK313" s="1643">
        <v>0</v>
      </c>
    </row>
    <row r="314" spans="1:107" ht="14" x14ac:dyDescent="0.15">
      <c r="A314" s="1541" t="s">
        <v>94</v>
      </c>
      <c r="B314" s="1523" t="s">
        <v>79</v>
      </c>
      <c r="C314" s="1523" t="s">
        <v>80</v>
      </c>
      <c r="D314" s="1523" t="s">
        <v>125</v>
      </c>
      <c r="E314" s="1523">
        <v>4409901</v>
      </c>
      <c r="F314" s="1523"/>
      <c r="G314" s="1667">
        <v>290</v>
      </c>
      <c r="H314" s="1502">
        <v>71.3</v>
      </c>
      <c r="I314" s="1645"/>
      <c r="J314" s="1630"/>
      <c r="K314" s="1630"/>
      <c r="L314" s="1631"/>
      <c r="M314" s="1631"/>
      <c r="N314" s="1631"/>
      <c r="O314" s="1631"/>
      <c r="P314" s="1631"/>
      <c r="Q314" s="1631"/>
      <c r="R314" s="1631"/>
      <c r="S314" s="1631"/>
      <c r="T314" s="1632"/>
      <c r="U314" s="1633"/>
      <c r="V314" s="1633"/>
      <c r="W314" s="1634"/>
      <c r="X314" s="1634"/>
      <c r="Y314" s="1634"/>
      <c r="Z314" s="1635"/>
      <c r="AA314" s="1634"/>
      <c r="AB314" s="1634"/>
      <c r="AC314" s="1508">
        <f t="shared" si="235"/>
        <v>71.3</v>
      </c>
      <c r="AD314" s="1509">
        <f t="shared" si="236"/>
        <v>0</v>
      </c>
      <c r="AE314" s="1509">
        <f t="shared" si="237"/>
        <v>0</v>
      </c>
      <c r="AF314" s="1509">
        <f t="shared" si="237"/>
        <v>0</v>
      </c>
      <c r="AG314" s="1509">
        <f t="shared" si="237"/>
        <v>0</v>
      </c>
      <c r="AH314" s="1490">
        <f t="shared" si="213"/>
        <v>0</v>
      </c>
      <c r="AI314" s="1636">
        <f t="shared" si="238"/>
        <v>0</v>
      </c>
      <c r="AJ314" s="1636">
        <f t="shared" si="239"/>
        <v>0</v>
      </c>
      <c r="AK314" s="1636">
        <f t="shared" si="240"/>
        <v>0</v>
      </c>
      <c r="AL314" s="1636">
        <f t="shared" si="195"/>
        <v>0</v>
      </c>
      <c r="AM314" s="1636">
        <f t="shared" si="195"/>
        <v>0</v>
      </c>
      <c r="AN314" s="1637"/>
      <c r="AO314" s="1722">
        <v>5.9</v>
      </c>
      <c r="AP314" s="1638"/>
      <c r="AQ314" s="1638"/>
      <c r="AR314" s="1638"/>
      <c r="AS314" s="1639"/>
      <c r="AT314" s="1638"/>
      <c r="AU314" s="1638"/>
      <c r="AV314" s="1638"/>
      <c r="AW314" s="1639"/>
      <c r="AX314" s="1640"/>
      <c r="AY314" s="1640"/>
      <c r="AZ314" s="1640"/>
      <c r="BA314" s="1641"/>
      <c r="BB314" s="1640"/>
      <c r="BC314" s="1640"/>
      <c r="BD314" s="1640"/>
      <c r="BE314" s="1644">
        <v>17.899999999999999</v>
      </c>
      <c r="BF314" s="1640"/>
      <c r="BG314" s="1640"/>
      <c r="BH314" s="1640"/>
      <c r="BI314" s="1641">
        <v>47.5</v>
      </c>
      <c r="BJ314" s="1640"/>
      <c r="BK314" s="1640"/>
      <c r="BL314" s="1640"/>
      <c r="BM314" s="1641"/>
      <c r="BN314" s="1640"/>
      <c r="BO314" s="1640"/>
      <c r="BP314" s="1640"/>
      <c r="BQ314" s="1641"/>
      <c r="BR314" s="1640"/>
      <c r="BS314" s="1640"/>
      <c r="BT314" s="1640"/>
      <c r="BU314" s="1641"/>
      <c r="BV314" s="1640"/>
      <c r="BW314" s="1640"/>
      <c r="BX314" s="1640"/>
      <c r="BY314" s="1641"/>
      <c r="BZ314" s="1640"/>
      <c r="CA314" s="1640"/>
      <c r="CB314" s="1640"/>
      <c r="CC314" s="1641"/>
      <c r="CD314" s="1640"/>
      <c r="CE314" s="1640"/>
      <c r="CF314" s="1640"/>
      <c r="CG314" s="1642"/>
      <c r="CH314" s="1643">
        <v>0</v>
      </c>
      <c r="CI314" s="1643">
        <v>0</v>
      </c>
      <c r="CJ314" s="1643">
        <v>0</v>
      </c>
      <c r="CK314" s="1643">
        <v>0</v>
      </c>
    </row>
    <row r="315" spans="1:107" ht="14" x14ac:dyDescent="0.15">
      <c r="A315" s="1541" t="s">
        <v>94</v>
      </c>
      <c r="B315" s="1523" t="s">
        <v>79</v>
      </c>
      <c r="C315" s="1523" t="s">
        <v>80</v>
      </c>
      <c r="D315" s="1523" t="s">
        <v>125</v>
      </c>
      <c r="E315" s="1523" t="s">
        <v>255</v>
      </c>
      <c r="F315" s="1523"/>
      <c r="G315" s="1667" t="s">
        <v>95</v>
      </c>
      <c r="H315" s="1502">
        <v>0</v>
      </c>
      <c r="I315" s="1645"/>
      <c r="J315" s="1630"/>
      <c r="K315" s="1630"/>
      <c r="L315" s="1631"/>
      <c r="M315" s="1631"/>
      <c r="N315" s="1631"/>
      <c r="O315" s="1631"/>
      <c r="P315" s="1631"/>
      <c r="Q315" s="1631"/>
      <c r="R315" s="1631"/>
      <c r="S315" s="1631"/>
      <c r="T315" s="1632"/>
      <c r="U315" s="1633"/>
      <c r="V315" s="1633"/>
      <c r="W315" s="1634"/>
      <c r="X315" s="1634"/>
      <c r="Y315" s="1634"/>
      <c r="Z315" s="1635"/>
      <c r="AA315" s="1634"/>
      <c r="AB315" s="1634"/>
      <c r="AC315" s="1508">
        <f t="shared" si="235"/>
        <v>0</v>
      </c>
      <c r="AD315" s="1509">
        <f t="shared" si="236"/>
        <v>0</v>
      </c>
      <c r="AE315" s="1509">
        <f t="shared" si="237"/>
        <v>0</v>
      </c>
      <c r="AF315" s="1509">
        <f t="shared" si="237"/>
        <v>0</v>
      </c>
      <c r="AG315" s="1509">
        <f t="shared" si="237"/>
        <v>0</v>
      </c>
      <c r="AH315" s="1490">
        <f t="shared" si="213"/>
        <v>0</v>
      </c>
      <c r="AI315" s="1636">
        <f t="shared" si="238"/>
        <v>0</v>
      </c>
      <c r="AJ315" s="1636">
        <f t="shared" si="239"/>
        <v>0</v>
      </c>
      <c r="AK315" s="1636">
        <f t="shared" si="240"/>
        <v>0</v>
      </c>
      <c r="AL315" s="1636">
        <f t="shared" si="195"/>
        <v>0</v>
      </c>
      <c r="AM315" s="1636">
        <f t="shared" si="195"/>
        <v>0</v>
      </c>
      <c r="AN315" s="1637"/>
      <c r="AO315" s="1722">
        <v>0</v>
      </c>
      <c r="AP315" s="1638"/>
      <c r="AQ315" s="1638"/>
      <c r="AR315" s="1638"/>
      <c r="AS315" s="1639"/>
      <c r="AT315" s="1638"/>
      <c r="AU315" s="1638"/>
      <c r="AV315" s="1638"/>
      <c r="AW315" s="1639"/>
      <c r="AX315" s="1640"/>
      <c r="AY315" s="1640"/>
      <c r="AZ315" s="1640"/>
      <c r="BA315" s="1641"/>
      <c r="BB315" s="1640"/>
      <c r="BC315" s="1640"/>
      <c r="BD315" s="1640"/>
      <c r="BE315" s="1644"/>
      <c r="BF315" s="1640"/>
      <c r="BG315" s="1640"/>
      <c r="BH315" s="1640"/>
      <c r="BI315" s="1641"/>
      <c r="BJ315" s="1640"/>
      <c r="BK315" s="1640"/>
      <c r="BL315" s="1640"/>
      <c r="BM315" s="1641"/>
      <c r="BN315" s="1640"/>
      <c r="BO315" s="1640"/>
      <c r="BP315" s="1640"/>
      <c r="BQ315" s="1641"/>
      <c r="BR315" s="1640"/>
      <c r="BS315" s="1640"/>
      <c r="BT315" s="1640"/>
      <c r="BU315" s="1641"/>
      <c r="BV315" s="1640"/>
      <c r="BW315" s="1640"/>
      <c r="BX315" s="1640"/>
      <c r="BY315" s="1641"/>
      <c r="BZ315" s="1640"/>
      <c r="CA315" s="1640"/>
      <c r="CB315" s="1640"/>
      <c r="CC315" s="1641"/>
      <c r="CD315" s="1640"/>
      <c r="CE315" s="1640"/>
      <c r="CF315" s="1640"/>
      <c r="CG315" s="1642"/>
      <c r="CH315" s="1643">
        <v>0</v>
      </c>
      <c r="CI315" s="1643">
        <v>0</v>
      </c>
      <c r="CJ315" s="1643">
        <v>0</v>
      </c>
      <c r="CK315" s="1643">
        <v>0</v>
      </c>
    </row>
    <row r="316" spans="1:107" ht="14" x14ac:dyDescent="0.15">
      <c r="A316" s="1541" t="s">
        <v>96</v>
      </c>
      <c r="B316" s="1523" t="s">
        <v>79</v>
      </c>
      <c r="C316" s="1523" t="s">
        <v>80</v>
      </c>
      <c r="D316" s="1523" t="s">
        <v>125</v>
      </c>
      <c r="E316" s="1523">
        <v>4409901</v>
      </c>
      <c r="F316" s="1523"/>
      <c r="G316" s="1667">
        <v>310</v>
      </c>
      <c r="H316" s="1738">
        <v>1538.28</v>
      </c>
      <c r="I316" s="1645">
        <f>4100-U316</f>
        <v>2365</v>
      </c>
      <c r="J316" s="1630"/>
      <c r="K316" s="1630">
        <f>3000</f>
        <v>3000</v>
      </c>
      <c r="L316" s="1631"/>
      <c r="M316" s="1631"/>
      <c r="N316" s="1631"/>
      <c r="O316" s="1631"/>
      <c r="P316" s="1631"/>
      <c r="Q316" s="1631"/>
      <c r="R316" s="1631"/>
      <c r="S316" s="1631"/>
      <c r="T316" s="1632"/>
      <c r="U316" s="1633">
        <v>1735</v>
      </c>
      <c r="V316" s="1633"/>
      <c r="W316" s="1634"/>
      <c r="X316" s="1634"/>
      <c r="Y316" s="1634"/>
      <c r="Z316" s="1635"/>
      <c r="AA316" s="1634"/>
      <c r="AB316" s="1634"/>
      <c r="AC316" s="1508">
        <f t="shared" si="235"/>
        <v>1538.28</v>
      </c>
      <c r="AD316" s="1509">
        <f t="shared" si="236"/>
        <v>5365</v>
      </c>
      <c r="AE316" s="1509">
        <f t="shared" si="237"/>
        <v>2365</v>
      </c>
      <c r="AF316" s="1509">
        <f t="shared" si="237"/>
        <v>0</v>
      </c>
      <c r="AG316" s="1509">
        <f t="shared" si="237"/>
        <v>3000</v>
      </c>
      <c r="AH316" s="1490">
        <f t="shared" si="213"/>
        <v>0</v>
      </c>
      <c r="AI316" s="1636">
        <f t="shared" si="238"/>
        <v>0</v>
      </c>
      <c r="AJ316" s="1636">
        <f t="shared" si="239"/>
        <v>0</v>
      </c>
      <c r="AK316" s="1636">
        <f t="shared" si="240"/>
        <v>0</v>
      </c>
      <c r="AL316" s="1636">
        <f t="shared" si="195"/>
        <v>0</v>
      </c>
      <c r="AM316" s="1636">
        <f t="shared" si="195"/>
        <v>0</v>
      </c>
      <c r="AN316" s="1637"/>
      <c r="AO316" s="1723"/>
      <c r="AP316" s="1638"/>
      <c r="AQ316" s="1638"/>
      <c r="AR316" s="1638"/>
      <c r="AS316" s="1639"/>
      <c r="AT316" s="1638"/>
      <c r="AU316" s="1638"/>
      <c r="AV316" s="1638"/>
      <c r="AW316" s="1639"/>
      <c r="AX316" s="1640"/>
      <c r="AY316" s="1640"/>
      <c r="AZ316" s="1640"/>
      <c r="BA316" s="1641"/>
      <c r="BB316" s="1640"/>
      <c r="BC316" s="1640"/>
      <c r="BD316" s="1640"/>
      <c r="BE316" s="1644">
        <f>1538.28</f>
        <v>1538.28</v>
      </c>
      <c r="BF316" s="1640">
        <f>0+0.7</f>
        <v>0.7</v>
      </c>
      <c r="BG316" s="1640"/>
      <c r="BH316" s="1640">
        <v>192</v>
      </c>
      <c r="BI316" s="1641"/>
      <c r="BJ316" s="1640">
        <v>1118.8</v>
      </c>
      <c r="BK316" s="1640"/>
      <c r="BL316" s="1640"/>
      <c r="BM316" s="1641"/>
      <c r="BN316" s="1640">
        <f>2980.5-1735</f>
        <v>1245.5</v>
      </c>
      <c r="BO316" s="1640"/>
      <c r="BP316" s="1640">
        <v>2808</v>
      </c>
      <c r="BQ316" s="1641"/>
      <c r="BR316" s="1640"/>
      <c r="BS316" s="1640"/>
      <c r="BT316" s="1640"/>
      <c r="BU316" s="1641"/>
      <c r="BV316" s="1640"/>
      <c r="BW316" s="1640"/>
      <c r="BX316" s="1640"/>
      <c r="BY316" s="1641"/>
      <c r="BZ316" s="1640"/>
      <c r="CA316" s="1640"/>
      <c r="CB316" s="1640"/>
      <c r="CC316" s="1641"/>
      <c r="CD316" s="1640"/>
      <c r="CE316" s="1640"/>
      <c r="CF316" s="1640"/>
      <c r="CG316" s="1642"/>
      <c r="CH316" s="1643">
        <v>0</v>
      </c>
      <c r="CI316" s="1643">
        <v>0</v>
      </c>
      <c r="CJ316" s="1643">
        <v>0</v>
      </c>
      <c r="CK316" s="1643">
        <v>0</v>
      </c>
    </row>
    <row r="317" spans="1:107" ht="14" x14ac:dyDescent="0.15">
      <c r="A317" s="1541" t="s">
        <v>97</v>
      </c>
      <c r="B317" s="1523" t="s">
        <v>79</v>
      </c>
      <c r="C317" s="1523" t="s">
        <v>80</v>
      </c>
      <c r="D317" s="1523" t="s">
        <v>125</v>
      </c>
      <c r="E317" s="1523">
        <v>4409901</v>
      </c>
      <c r="F317" s="1523"/>
      <c r="G317" s="1667">
        <v>340</v>
      </c>
      <c r="H317" s="1502">
        <v>834.58</v>
      </c>
      <c r="I317" s="1645"/>
      <c r="J317" s="1630"/>
      <c r="K317" s="1630"/>
      <c r="L317" s="1631"/>
      <c r="M317" s="1631"/>
      <c r="N317" s="1631"/>
      <c r="O317" s="1631"/>
      <c r="P317" s="1631"/>
      <c r="Q317" s="1631"/>
      <c r="R317" s="1631"/>
      <c r="S317" s="1631"/>
      <c r="T317" s="1632"/>
      <c r="U317" s="1633"/>
      <c r="V317" s="1633"/>
      <c r="W317" s="1634"/>
      <c r="X317" s="1634"/>
      <c r="Y317" s="1634"/>
      <c r="Z317" s="1635"/>
      <c r="AA317" s="1634"/>
      <c r="AB317" s="1634"/>
      <c r="AC317" s="1508">
        <f t="shared" si="235"/>
        <v>834.58</v>
      </c>
      <c r="AD317" s="1509">
        <f t="shared" si="236"/>
        <v>0</v>
      </c>
      <c r="AE317" s="1509">
        <f t="shared" si="237"/>
        <v>0</v>
      </c>
      <c r="AF317" s="1509">
        <f t="shared" si="237"/>
        <v>0</v>
      </c>
      <c r="AG317" s="1509">
        <f t="shared" si="237"/>
        <v>0</v>
      </c>
      <c r="AH317" s="1490">
        <f t="shared" si="213"/>
        <v>0</v>
      </c>
      <c r="AI317" s="1636">
        <f t="shared" si="238"/>
        <v>0</v>
      </c>
      <c r="AJ317" s="1636">
        <f t="shared" si="239"/>
        <v>0</v>
      </c>
      <c r="AK317" s="1636">
        <f t="shared" si="240"/>
        <v>0</v>
      </c>
      <c r="AL317" s="1636">
        <f t="shared" si="195"/>
        <v>0</v>
      </c>
      <c r="AM317" s="1636">
        <f t="shared" si="195"/>
        <v>0</v>
      </c>
      <c r="AN317" s="1637"/>
      <c r="AO317" s="1722">
        <v>69.5</v>
      </c>
      <c r="AP317" s="1638"/>
      <c r="AQ317" s="1638"/>
      <c r="AR317" s="1638"/>
      <c r="AS317" s="1639"/>
      <c r="AT317" s="1638"/>
      <c r="AU317" s="1638"/>
      <c r="AV317" s="1638"/>
      <c r="AW317" s="1639"/>
      <c r="AX317" s="1640"/>
      <c r="AY317" s="1640"/>
      <c r="AZ317" s="1640"/>
      <c r="BA317" s="1641"/>
      <c r="BB317" s="1640"/>
      <c r="BC317" s="1640"/>
      <c r="BD317" s="1640"/>
      <c r="BE317" s="1644">
        <v>765.08</v>
      </c>
      <c r="BF317" s="1640"/>
      <c r="BG317" s="1640"/>
      <c r="BH317" s="1640"/>
      <c r="BI317" s="1641"/>
      <c r="BJ317" s="1640"/>
      <c r="BK317" s="1640"/>
      <c r="BL317" s="1640"/>
      <c r="BM317" s="1641"/>
      <c r="BN317" s="1640"/>
      <c r="BO317" s="1640"/>
      <c r="BP317" s="1640"/>
      <c r="BQ317" s="1641"/>
      <c r="BR317" s="1640"/>
      <c r="BS317" s="1640"/>
      <c r="BT317" s="1640"/>
      <c r="BU317" s="1641"/>
      <c r="BV317" s="1640"/>
      <c r="BW317" s="1640"/>
      <c r="BX317" s="1640"/>
      <c r="BY317" s="1641"/>
      <c r="BZ317" s="1640"/>
      <c r="CA317" s="1640"/>
      <c r="CB317" s="1640"/>
      <c r="CC317" s="1641"/>
      <c r="CD317" s="1640"/>
      <c r="CE317" s="1640"/>
      <c r="CF317" s="1640"/>
      <c r="CG317" s="1642"/>
      <c r="CH317" s="1643">
        <v>0</v>
      </c>
      <c r="CI317" s="1643">
        <v>0</v>
      </c>
      <c r="CJ317" s="1643">
        <v>0</v>
      </c>
      <c r="CK317" s="1643">
        <v>0</v>
      </c>
    </row>
    <row r="318" spans="1:107" ht="14" x14ac:dyDescent="0.15">
      <c r="A318" s="1528" t="s">
        <v>767</v>
      </c>
      <c r="B318" s="1529" t="s">
        <v>79</v>
      </c>
      <c r="C318" s="1529" t="s">
        <v>80</v>
      </c>
      <c r="D318" s="1529" t="s">
        <v>125</v>
      </c>
      <c r="E318" s="1529" t="s">
        <v>255</v>
      </c>
      <c r="F318" s="1529" t="s">
        <v>768</v>
      </c>
      <c r="G318" s="1529" t="s">
        <v>766</v>
      </c>
      <c r="H318" s="1647">
        <f>I304</f>
        <v>13394.3</v>
      </c>
      <c r="I318" s="1645"/>
      <c r="J318" s="1630"/>
      <c r="K318" s="1630"/>
      <c r="L318" s="1631"/>
      <c r="M318" s="1631"/>
      <c r="N318" s="1631"/>
      <c r="O318" s="1631"/>
      <c r="P318" s="1631"/>
      <c r="Q318" s="1631"/>
      <c r="R318" s="1631"/>
      <c r="S318" s="1631"/>
      <c r="T318" s="1632"/>
      <c r="U318" s="1633"/>
      <c r="V318" s="1633"/>
      <c r="W318" s="1634"/>
      <c r="X318" s="1634"/>
      <c r="Y318" s="1634"/>
      <c r="Z318" s="1635"/>
      <c r="AA318" s="1634"/>
      <c r="AB318" s="1634"/>
      <c r="AC318" s="1508">
        <f t="shared" si="235"/>
        <v>0</v>
      </c>
      <c r="AD318" s="1509">
        <f t="shared" si="236"/>
        <v>0</v>
      </c>
      <c r="AE318" s="1509">
        <f>AP318+AT318+AX318+BB318+BF318+BJ318+BN318+BR318+BV318+BZ318+CD318+CI318</f>
        <v>0</v>
      </c>
      <c r="AF318" s="1509">
        <f>AQ318+AU318+AY318+BC318+BG318+BK318+BO318+BS318+BW318+CA318+CE318+CJ318</f>
        <v>0</v>
      </c>
      <c r="AG318" s="1509"/>
      <c r="AH318" s="1490">
        <f t="shared" si="213"/>
        <v>0</v>
      </c>
      <c r="AI318" s="1636"/>
      <c r="AJ318" s="1636"/>
      <c r="AK318" s="1636"/>
      <c r="AL318" s="1636">
        <f t="shared" si="195"/>
        <v>0</v>
      </c>
      <c r="AM318" s="1636"/>
      <c r="AN318" s="1712"/>
      <c r="AO318" s="1713"/>
      <c r="AP318" s="1638"/>
      <c r="AQ318" s="1638"/>
      <c r="AR318" s="1638"/>
      <c r="AS318" s="1639"/>
      <c r="AT318" s="1638"/>
      <c r="AU318" s="1638"/>
      <c r="AV318" s="1638"/>
      <c r="AW318" s="1639"/>
      <c r="AX318" s="1640"/>
      <c r="AY318" s="1640"/>
      <c r="AZ318" s="1640"/>
      <c r="BA318" s="1641"/>
      <c r="BB318" s="1640"/>
      <c r="BC318" s="1640"/>
      <c r="BD318" s="1640"/>
      <c r="BE318" s="1644"/>
      <c r="BF318" s="1640"/>
      <c r="BG318" s="1640"/>
      <c r="BH318" s="1640"/>
      <c r="BI318" s="1641"/>
      <c r="BJ318" s="1640"/>
      <c r="BK318" s="1640"/>
      <c r="BL318" s="1640"/>
      <c r="BM318" s="1641"/>
      <c r="BN318" s="1640"/>
      <c r="BO318" s="1640"/>
      <c r="BP318" s="1640"/>
      <c r="BQ318" s="1641"/>
      <c r="BR318" s="1640"/>
      <c r="BS318" s="1640"/>
      <c r="BT318" s="1640"/>
      <c r="BU318" s="1641"/>
      <c r="BV318" s="1640"/>
      <c r="BW318" s="1640"/>
      <c r="BX318" s="1640"/>
      <c r="BY318" s="1641"/>
      <c r="BZ318" s="1640"/>
      <c r="CA318" s="1640"/>
      <c r="CB318" s="1640"/>
      <c r="CC318" s="1641"/>
      <c r="CD318" s="1640"/>
      <c r="CE318" s="1640"/>
      <c r="CF318" s="1640"/>
      <c r="CG318" s="1642"/>
      <c r="CH318" s="1648"/>
      <c r="CI318" s="1648"/>
      <c r="CJ318" s="1643">
        <v>0</v>
      </c>
      <c r="CK318" s="1648"/>
    </row>
    <row r="319" spans="1:107" s="1842" customFormat="1" ht="39" x14ac:dyDescent="0.15">
      <c r="A319" s="1802" t="s">
        <v>789</v>
      </c>
      <c r="B319" s="1803" t="s">
        <v>79</v>
      </c>
      <c r="C319" s="1803" t="s">
        <v>80</v>
      </c>
      <c r="D319" s="1803" t="s">
        <v>125</v>
      </c>
      <c r="E319" s="1803" t="s">
        <v>790</v>
      </c>
      <c r="F319" s="1803"/>
      <c r="G319" s="1865"/>
      <c r="H319" s="1502"/>
      <c r="I319" s="1645"/>
      <c r="J319" s="1630"/>
      <c r="K319" s="1630"/>
      <c r="L319" s="1631"/>
      <c r="M319" s="1631"/>
      <c r="N319" s="1631"/>
      <c r="O319" s="1631"/>
      <c r="P319" s="1631"/>
      <c r="Q319" s="1631"/>
      <c r="R319" s="1631"/>
      <c r="S319" s="1631"/>
      <c r="T319" s="1632"/>
      <c r="U319" s="1633"/>
      <c r="V319" s="1633"/>
      <c r="W319" s="1634"/>
      <c r="X319" s="1634"/>
      <c r="Y319" s="1634"/>
      <c r="Z319" s="1635"/>
      <c r="AA319" s="1634"/>
      <c r="AB319" s="1634"/>
      <c r="AC319" s="1508">
        <f t="shared" si="235"/>
        <v>0</v>
      </c>
      <c r="AD319" s="1509">
        <f t="shared" si="236"/>
        <v>0</v>
      </c>
      <c r="AE319" s="1509">
        <f>AP319+AT319+AX319+BB319+BF319+BJ319+BN319+BR319+BV319+BZ319+CD319+CI319</f>
        <v>0</v>
      </c>
      <c r="AF319" s="1509">
        <f>AQ319+AU319+AY319+BC319+BG319+BK319+BO319+BS319+BW319+CA319+CE319+CJ319</f>
        <v>0</v>
      </c>
      <c r="AG319" s="1509">
        <f>AR319+AV319+AZ319+BD319+BH319+BL319+BP319+BT319+BX319+CB319+CF319+CK319</f>
        <v>0</v>
      </c>
      <c r="AH319" s="1490">
        <f t="shared" si="213"/>
        <v>0</v>
      </c>
      <c r="AI319" s="1636">
        <f>H319-AC319</f>
        <v>0</v>
      </c>
      <c r="AJ319" s="1636">
        <f>AK319+AL319+AM319</f>
        <v>0</v>
      </c>
      <c r="AK319" s="1636">
        <f>I319-AE319</f>
        <v>0</v>
      </c>
      <c r="AL319" s="1636">
        <f t="shared" si="195"/>
        <v>0</v>
      </c>
      <c r="AM319" s="1636">
        <f>K319-AG319</f>
        <v>0</v>
      </c>
      <c r="AN319" s="1637"/>
      <c r="AO319" s="1630"/>
      <c r="AP319" s="1638"/>
      <c r="AQ319" s="1638"/>
      <c r="AR319" s="1638"/>
      <c r="AS319" s="1639"/>
      <c r="AT319" s="1638"/>
      <c r="AU319" s="1638"/>
      <c r="AV319" s="1638"/>
      <c r="AW319" s="1639"/>
      <c r="AX319" s="1640"/>
      <c r="AY319" s="1640"/>
      <c r="AZ319" s="1640"/>
      <c r="BA319" s="1641"/>
      <c r="BB319" s="1640"/>
      <c r="BC319" s="1640"/>
      <c r="BD319" s="1640"/>
      <c r="BE319" s="1644"/>
      <c r="BF319" s="1640"/>
      <c r="BG319" s="1640"/>
      <c r="BH319" s="1640"/>
      <c r="BI319" s="1641"/>
      <c r="BJ319" s="1640"/>
      <c r="BK319" s="1640"/>
      <c r="BL319" s="1640"/>
      <c r="BM319" s="1641"/>
      <c r="BN319" s="1640"/>
      <c r="BO319" s="1640"/>
      <c r="BP319" s="1640"/>
      <c r="BQ319" s="1641"/>
      <c r="BR319" s="1640"/>
      <c r="BS319" s="1640"/>
      <c r="BT319" s="1640"/>
      <c r="BU319" s="1641"/>
      <c r="BV319" s="1640"/>
      <c r="BW319" s="1640"/>
      <c r="BX319" s="1640"/>
      <c r="BY319" s="1641"/>
      <c r="BZ319" s="1640"/>
      <c r="CA319" s="1640"/>
      <c r="CB319" s="1640"/>
      <c r="CC319" s="1641"/>
      <c r="CD319" s="1640"/>
      <c r="CE319" s="1640"/>
      <c r="CF319" s="1640"/>
      <c r="CG319" s="1642"/>
      <c r="CH319" s="1643">
        <v>0</v>
      </c>
      <c r="CI319" s="1643">
        <v>0</v>
      </c>
      <c r="CJ319" s="1643">
        <v>0</v>
      </c>
      <c r="CK319" s="1643">
        <v>0</v>
      </c>
      <c r="CL319" s="1841"/>
      <c r="CM319" s="1841"/>
      <c r="CN319" s="1841"/>
      <c r="CO319" s="1841"/>
      <c r="CP319" s="1841"/>
      <c r="CQ319" s="1841"/>
      <c r="CR319" s="1841"/>
      <c r="CS319" s="1841"/>
      <c r="CT319" s="1841"/>
      <c r="CU319" s="1841"/>
      <c r="CV319" s="1841"/>
      <c r="CW319" s="1841"/>
      <c r="CY319" s="1841"/>
    </row>
    <row r="320" spans="1:107" ht="26" x14ac:dyDescent="0.15">
      <c r="A320" s="1779" t="s">
        <v>1125</v>
      </c>
      <c r="B320" s="1780" t="s">
        <v>79</v>
      </c>
      <c r="C320" s="1780" t="s">
        <v>80</v>
      </c>
      <c r="D320" s="1780" t="s">
        <v>125</v>
      </c>
      <c r="E320" s="1780" t="s">
        <v>790</v>
      </c>
      <c r="F320" s="1780">
        <v>600</v>
      </c>
      <c r="G320" s="1864"/>
      <c r="H320" s="1578">
        <f>H321+H335</f>
        <v>33460.1</v>
      </c>
      <c r="I320" s="1578">
        <f>I321+I335</f>
        <v>31800</v>
      </c>
      <c r="J320" s="1578">
        <f>J321+J335</f>
        <v>0</v>
      </c>
      <c r="K320" s="1578">
        <f>K321+K335</f>
        <v>2238.8649999999998</v>
      </c>
      <c r="L320" s="1579"/>
      <c r="M320" s="1579"/>
      <c r="N320" s="1579"/>
      <c r="O320" s="1579"/>
      <c r="P320" s="1579"/>
      <c r="Q320" s="1579"/>
      <c r="R320" s="1579"/>
      <c r="S320" s="1579"/>
      <c r="T320" s="1580"/>
      <c r="U320" s="1581"/>
      <c r="V320" s="1581"/>
      <c r="W320" s="1582"/>
      <c r="X320" s="1582"/>
      <c r="Y320" s="1582"/>
      <c r="Z320" s="1583"/>
      <c r="AA320" s="1582"/>
      <c r="AB320" s="1582"/>
      <c r="AC320" s="1584">
        <f t="shared" ref="AC320:CF320" si="241">AC321+AC335</f>
        <v>1660.1</v>
      </c>
      <c r="AD320" s="1584">
        <f t="shared" si="241"/>
        <v>34038.864999999998</v>
      </c>
      <c r="AE320" s="1584">
        <f t="shared" si="241"/>
        <v>31800</v>
      </c>
      <c r="AF320" s="1584">
        <f t="shared" si="241"/>
        <v>0</v>
      </c>
      <c r="AG320" s="1584">
        <f t="shared" si="241"/>
        <v>2238.8649999999998</v>
      </c>
      <c r="AH320" s="1490">
        <f t="shared" si="213"/>
        <v>0</v>
      </c>
      <c r="AI320" s="1585">
        <f t="shared" si="241"/>
        <v>0</v>
      </c>
      <c r="AJ320" s="1585">
        <f t="shared" si="241"/>
        <v>0</v>
      </c>
      <c r="AK320" s="1585">
        <f t="shared" si="241"/>
        <v>0</v>
      </c>
      <c r="AL320" s="1636">
        <f t="shared" si="195"/>
        <v>0</v>
      </c>
      <c r="AM320" s="1585">
        <f t="shared" si="241"/>
        <v>0</v>
      </c>
      <c r="AN320" s="1586"/>
      <c r="AO320" s="1578">
        <f t="shared" si="241"/>
        <v>134.5</v>
      </c>
      <c r="AP320" s="1578">
        <f t="shared" si="241"/>
        <v>0</v>
      </c>
      <c r="AQ320" s="1578">
        <f t="shared" si="241"/>
        <v>0</v>
      </c>
      <c r="AR320" s="1578">
        <f t="shared" si="241"/>
        <v>0</v>
      </c>
      <c r="AS320" s="1583">
        <f t="shared" si="241"/>
        <v>123.6</v>
      </c>
      <c r="AT320" s="1578">
        <f t="shared" si="241"/>
        <v>0</v>
      </c>
      <c r="AU320" s="1578">
        <f t="shared" si="241"/>
        <v>0</v>
      </c>
      <c r="AV320" s="1578">
        <f t="shared" si="241"/>
        <v>0</v>
      </c>
      <c r="AW320" s="1583">
        <f t="shared" si="241"/>
        <v>123.6</v>
      </c>
      <c r="AX320" s="1578">
        <f t="shared" si="241"/>
        <v>0</v>
      </c>
      <c r="AY320" s="1578">
        <f t="shared" si="241"/>
        <v>0</v>
      </c>
      <c r="AZ320" s="1578">
        <f t="shared" si="241"/>
        <v>0</v>
      </c>
      <c r="BA320" s="1586">
        <f t="shared" si="241"/>
        <v>123.60000000000001</v>
      </c>
      <c r="BB320" s="1578">
        <f t="shared" si="241"/>
        <v>10000</v>
      </c>
      <c r="BC320" s="1578">
        <f t="shared" si="241"/>
        <v>0</v>
      </c>
      <c r="BD320" s="1578">
        <f t="shared" si="241"/>
        <v>0</v>
      </c>
      <c r="BE320" s="1511">
        <f t="shared" si="241"/>
        <v>124.30000000000001</v>
      </c>
      <c r="BF320" s="1578">
        <f t="shared" si="241"/>
        <v>0</v>
      </c>
      <c r="BG320" s="1578">
        <f t="shared" si="241"/>
        <v>0</v>
      </c>
      <c r="BH320" s="1578">
        <f t="shared" si="241"/>
        <v>0</v>
      </c>
      <c r="BI320" s="1586">
        <f t="shared" si="241"/>
        <v>37.97</v>
      </c>
      <c r="BJ320" s="1578">
        <f t="shared" si="241"/>
        <v>15694.415000000001</v>
      </c>
      <c r="BK320" s="1578">
        <f t="shared" si="241"/>
        <v>0</v>
      </c>
      <c r="BL320" s="1578">
        <f t="shared" si="241"/>
        <v>0</v>
      </c>
      <c r="BM320" s="1586">
        <f t="shared" si="241"/>
        <v>209.23000000000002</v>
      </c>
      <c r="BN320" s="1578">
        <f t="shared" si="241"/>
        <v>0</v>
      </c>
      <c r="BO320" s="1578">
        <f t="shared" si="241"/>
        <v>0</v>
      </c>
      <c r="BP320" s="1578">
        <f t="shared" si="241"/>
        <v>0</v>
      </c>
      <c r="BQ320" s="1586">
        <f t="shared" si="241"/>
        <v>158.60000000000002</v>
      </c>
      <c r="BR320" s="1578">
        <f t="shared" si="241"/>
        <v>0</v>
      </c>
      <c r="BS320" s="1578">
        <f t="shared" si="241"/>
        <v>0</v>
      </c>
      <c r="BT320" s="1578">
        <f t="shared" si="241"/>
        <v>0</v>
      </c>
      <c r="BU320" s="1586">
        <f t="shared" si="241"/>
        <v>124.89999999999999</v>
      </c>
      <c r="BV320" s="1578">
        <f t="shared" si="241"/>
        <v>0</v>
      </c>
      <c r="BW320" s="1578">
        <f t="shared" si="241"/>
        <v>0</v>
      </c>
      <c r="BX320" s="1578">
        <f t="shared" si="241"/>
        <v>0</v>
      </c>
      <c r="BY320" s="1586">
        <f t="shared" si="241"/>
        <v>123.6</v>
      </c>
      <c r="BZ320" s="1578">
        <f t="shared" si="241"/>
        <v>0</v>
      </c>
      <c r="CA320" s="1578">
        <f t="shared" si="241"/>
        <v>0</v>
      </c>
      <c r="CB320" s="1578">
        <f t="shared" si="241"/>
        <v>600</v>
      </c>
      <c r="CC320" s="1586">
        <f t="shared" si="241"/>
        <v>123.6</v>
      </c>
      <c r="CD320" s="1578">
        <f t="shared" si="241"/>
        <v>0</v>
      </c>
      <c r="CE320" s="1578">
        <f t="shared" si="241"/>
        <v>0</v>
      </c>
      <c r="CF320" s="1578">
        <f t="shared" si="241"/>
        <v>0</v>
      </c>
      <c r="CG320" s="1714"/>
      <c r="CH320" s="1716">
        <v>252.6</v>
      </c>
      <c r="CI320" s="1715">
        <v>6105.585</v>
      </c>
      <c r="CJ320" s="1643">
        <v>0</v>
      </c>
      <c r="CK320" s="1715">
        <v>2570.7570000000001</v>
      </c>
    </row>
    <row r="321" spans="1:107" s="41" customFormat="1" ht="52" x14ac:dyDescent="0.15">
      <c r="A321" s="1802" t="s">
        <v>1135</v>
      </c>
      <c r="B321" s="1803" t="s">
        <v>79</v>
      </c>
      <c r="C321" s="1803" t="s">
        <v>80</v>
      </c>
      <c r="D321" s="1803" t="s">
        <v>125</v>
      </c>
      <c r="E321" s="1803" t="s">
        <v>790</v>
      </c>
      <c r="F321" s="1803" t="s">
        <v>765</v>
      </c>
      <c r="G321" s="1866" t="s">
        <v>766</v>
      </c>
      <c r="H321" s="1517">
        <f>H322+H323+H324+H325+H326+H327+H328+H329+H330+H331+H332+H333+H334</f>
        <v>1660.1000000000001</v>
      </c>
      <c r="I321" s="1517">
        <f>I322+I323+I324+I325+I326+I327+I328+I329+I330+I331+I332+I333+I334</f>
        <v>31800</v>
      </c>
      <c r="J321" s="1517">
        <f>J322+J323+J324+J325+J326+J327+J328+J329+J330+J331+J332+J333+J334</f>
        <v>0</v>
      </c>
      <c r="K321" s="1517">
        <f>K322+K323+K324+K325+K326+K327+K328+K329+K330+K331+K332+K333+K334</f>
        <v>2238.8649999999998</v>
      </c>
      <c r="L321" s="1518"/>
      <c r="M321" s="1518"/>
      <c r="N321" s="1518"/>
      <c r="O321" s="1518"/>
      <c r="P321" s="1518"/>
      <c r="Q321" s="1518"/>
      <c r="R321" s="1518"/>
      <c r="S321" s="1518"/>
      <c r="T321" s="1776"/>
      <c r="U321" s="1588"/>
      <c r="V321" s="1588"/>
      <c r="W321" s="1589"/>
      <c r="X321" s="1589"/>
      <c r="Y321" s="1589"/>
      <c r="Z321" s="1590"/>
      <c r="AA321" s="1589"/>
      <c r="AB321" s="1589"/>
      <c r="AC321" s="1591">
        <f>AC322+AC323+AC324+AC325+AC326+AC327+AC328+AC329+AC330+AC331+AC332+AC333+AC334</f>
        <v>1660.1</v>
      </c>
      <c r="AD321" s="1591">
        <f>AD322+AD323+AD324+AD325+AD326+AD327+AD328+AD329+AD330+AD331+AD332+AD333+AD334</f>
        <v>34038.864999999998</v>
      </c>
      <c r="AE321" s="1591">
        <f>AE322+AE323+AE324+AE325+AE326+AE327+AE328+AE329+AE330+AE331+AE332+AE333+AE334</f>
        <v>31800</v>
      </c>
      <c r="AF321" s="1591">
        <f>AF322+AF323+AF324+AF325+AF326+AF327+AF328+AF329+AF330+AF331+AF332+AF333+AF334</f>
        <v>0</v>
      </c>
      <c r="AG321" s="1591">
        <f>AG322+AG323+AG324+AG325+AG326+AG327+AG328+AG329+AG330+AG331+AG332+AG333+AG334</f>
        <v>2238.8649999999998</v>
      </c>
      <c r="AH321" s="1490">
        <f t="shared" si="213"/>
        <v>0</v>
      </c>
      <c r="AI321" s="1592">
        <f>AI322+AI323+AI324+AI325+AI326+AI327+AI328+AI329+AI330+AI331+AI332+AI333+AI334</f>
        <v>0</v>
      </c>
      <c r="AJ321" s="1592">
        <f>AJ322+AJ323+AJ324+AJ325+AJ326+AJ327+AJ328+AJ329+AJ330+AJ331+AJ332+AJ333+AJ334</f>
        <v>0</v>
      </c>
      <c r="AK321" s="1592">
        <f>AK322+AK323+AK324+AK325+AK326+AK327+AK328+AK329+AK330+AK331+AK332+AK333+AK334</f>
        <v>0</v>
      </c>
      <c r="AL321" s="1636">
        <f t="shared" si="195"/>
        <v>0</v>
      </c>
      <c r="AM321" s="1592">
        <f>AM322+AM323+AM324+AM325+AM326+AM327+AM328+AM329+AM330+AM331+AM332+AM333+AM334</f>
        <v>0</v>
      </c>
      <c r="AN321" s="1717"/>
      <c r="AO321" s="1718">
        <f t="shared" ref="AO321:CF321" si="242">AO322+AO323+AO324+AO325+AO326+AO327+AO328+AO329+AO330+AO331+AO332+AO333+AO334</f>
        <v>134.5</v>
      </c>
      <c r="AP321" s="1517">
        <f t="shared" si="242"/>
        <v>0</v>
      </c>
      <c r="AQ321" s="1517">
        <f t="shared" si="242"/>
        <v>0</v>
      </c>
      <c r="AR321" s="1517">
        <f t="shared" si="242"/>
        <v>0</v>
      </c>
      <c r="AS321" s="1590">
        <f t="shared" si="242"/>
        <v>123.6</v>
      </c>
      <c r="AT321" s="1517">
        <f t="shared" si="242"/>
        <v>0</v>
      </c>
      <c r="AU321" s="1517">
        <f t="shared" si="242"/>
        <v>0</v>
      </c>
      <c r="AV321" s="1517">
        <f t="shared" si="242"/>
        <v>0</v>
      </c>
      <c r="AW321" s="1590">
        <f t="shared" si="242"/>
        <v>123.6</v>
      </c>
      <c r="AX321" s="1517">
        <f t="shared" si="242"/>
        <v>0</v>
      </c>
      <c r="AY321" s="1517">
        <f t="shared" si="242"/>
        <v>0</v>
      </c>
      <c r="AZ321" s="1517">
        <f t="shared" si="242"/>
        <v>0</v>
      </c>
      <c r="BA321" s="1539">
        <f t="shared" si="242"/>
        <v>123.60000000000001</v>
      </c>
      <c r="BB321" s="1517">
        <f t="shared" si="242"/>
        <v>10000</v>
      </c>
      <c r="BC321" s="1517">
        <f t="shared" si="242"/>
        <v>0</v>
      </c>
      <c r="BD321" s="1517">
        <f t="shared" si="242"/>
        <v>0</v>
      </c>
      <c r="BE321" s="1539">
        <f t="shared" si="242"/>
        <v>124.30000000000001</v>
      </c>
      <c r="BF321" s="1517">
        <f t="shared" si="242"/>
        <v>0</v>
      </c>
      <c r="BG321" s="1517">
        <f t="shared" si="242"/>
        <v>0</v>
      </c>
      <c r="BH321" s="1517">
        <f t="shared" si="242"/>
        <v>0</v>
      </c>
      <c r="BI321" s="1539">
        <f t="shared" si="242"/>
        <v>37.97</v>
      </c>
      <c r="BJ321" s="1517">
        <f t="shared" si="242"/>
        <v>15694.415000000001</v>
      </c>
      <c r="BK321" s="1517">
        <f t="shared" si="242"/>
        <v>0</v>
      </c>
      <c r="BL321" s="1517">
        <f t="shared" si="242"/>
        <v>0</v>
      </c>
      <c r="BM321" s="1539">
        <f t="shared" si="242"/>
        <v>209.23000000000002</v>
      </c>
      <c r="BN321" s="1517">
        <f t="shared" si="242"/>
        <v>0</v>
      </c>
      <c r="BO321" s="1517">
        <f t="shared" si="242"/>
        <v>0</v>
      </c>
      <c r="BP321" s="1517">
        <f t="shared" si="242"/>
        <v>0</v>
      </c>
      <c r="BQ321" s="1539">
        <f t="shared" si="242"/>
        <v>158.60000000000002</v>
      </c>
      <c r="BR321" s="1517">
        <f t="shared" si="242"/>
        <v>0</v>
      </c>
      <c r="BS321" s="1517">
        <f t="shared" si="242"/>
        <v>0</v>
      </c>
      <c r="BT321" s="1517">
        <f t="shared" si="242"/>
        <v>0</v>
      </c>
      <c r="BU321" s="1539">
        <f t="shared" si="242"/>
        <v>124.89999999999999</v>
      </c>
      <c r="BV321" s="1517">
        <f t="shared" si="242"/>
        <v>0</v>
      </c>
      <c r="BW321" s="1517">
        <f t="shared" si="242"/>
        <v>0</v>
      </c>
      <c r="BX321" s="1517">
        <f t="shared" si="242"/>
        <v>0</v>
      </c>
      <c r="BY321" s="1539">
        <f t="shared" si="242"/>
        <v>123.6</v>
      </c>
      <c r="BZ321" s="1517">
        <f t="shared" si="242"/>
        <v>0</v>
      </c>
      <c r="CA321" s="1517">
        <f t="shared" si="242"/>
        <v>0</v>
      </c>
      <c r="CB321" s="1517">
        <f t="shared" si="242"/>
        <v>600</v>
      </c>
      <c r="CC321" s="1539">
        <f t="shared" si="242"/>
        <v>123.6</v>
      </c>
      <c r="CD321" s="1517">
        <f t="shared" si="242"/>
        <v>0</v>
      </c>
      <c r="CE321" s="1517">
        <f t="shared" si="242"/>
        <v>0</v>
      </c>
      <c r="CF321" s="1517">
        <f t="shared" si="242"/>
        <v>0</v>
      </c>
      <c r="CG321" s="1719"/>
      <c r="CH321" s="1721">
        <v>252.6</v>
      </c>
      <c r="CI321" s="1720">
        <v>6105.585</v>
      </c>
      <c r="CJ321" s="1643">
        <v>0</v>
      </c>
      <c r="CK321" s="1720">
        <v>2570.7570000000001</v>
      </c>
      <c r="CL321" s="1867"/>
      <c r="CM321" s="1867"/>
      <c r="CN321" s="1867"/>
      <c r="CO321" s="1867"/>
      <c r="CP321" s="1867"/>
      <c r="CQ321" s="1867"/>
      <c r="CR321" s="1867"/>
      <c r="CS321" s="1867"/>
      <c r="CT321" s="1867"/>
      <c r="CU321" s="1867"/>
      <c r="CV321" s="1867"/>
      <c r="CW321" s="1867"/>
      <c r="CY321" s="1867"/>
    </row>
    <row r="322" spans="1:107" ht="14" x14ac:dyDescent="0.15">
      <c r="A322" s="1541" t="s">
        <v>124</v>
      </c>
      <c r="B322" s="1523" t="s">
        <v>79</v>
      </c>
      <c r="C322" s="1523" t="s">
        <v>80</v>
      </c>
      <c r="D322" s="1523" t="s">
        <v>125</v>
      </c>
      <c r="E322" s="1861">
        <v>4409902</v>
      </c>
      <c r="F322" s="1523"/>
      <c r="G322" s="1667">
        <v>211</v>
      </c>
      <c r="H322" s="1502">
        <v>1139.2</v>
      </c>
      <c r="I322" s="1440"/>
      <c r="J322" s="1630"/>
      <c r="K322" s="1630"/>
      <c r="L322" s="1631"/>
      <c r="M322" s="1631"/>
      <c r="N322" s="1631"/>
      <c r="O322" s="1631"/>
      <c r="P322" s="1631"/>
      <c r="Q322" s="1631"/>
      <c r="R322" s="1631"/>
      <c r="S322" s="1631"/>
      <c r="T322" s="1632"/>
      <c r="U322" s="1633"/>
      <c r="V322" s="1633"/>
      <c r="W322" s="1634">
        <f>H322/12</f>
        <v>94.933333333333337</v>
      </c>
      <c r="X322" s="1634">
        <f>AO322</f>
        <v>94.9</v>
      </c>
      <c r="Y322" s="1634">
        <f>CC322</f>
        <v>94.3</v>
      </c>
      <c r="Z322" s="1635">
        <v>94.3</v>
      </c>
      <c r="AA322" s="1634"/>
      <c r="AB322" s="1634"/>
      <c r="AC322" s="1508">
        <f t="shared" ref="AC322:AC337" si="243">AO322+AS322+AW322+BA322+BE322+BI322+BM322+BQ322+BU322+BY322+CC322+CH322</f>
        <v>1139.1999999999998</v>
      </c>
      <c r="AD322" s="1509">
        <f t="shared" ref="AD322:AD337" si="244">AE322+AF322+AG322</f>
        <v>0</v>
      </c>
      <c r="AE322" s="1509">
        <f t="shared" ref="AE322:AG337" si="245">AP322+AT322+AX322+BB322+BF322+BJ322+BN322+BR322+BV322+BZ322+CD322+CI322</f>
        <v>0</v>
      </c>
      <c r="AF322" s="1509">
        <f t="shared" si="245"/>
        <v>0</v>
      </c>
      <c r="AG322" s="1509">
        <f t="shared" si="245"/>
        <v>0</v>
      </c>
      <c r="AH322" s="1490">
        <f t="shared" si="213"/>
        <v>0</v>
      </c>
      <c r="AI322" s="1636">
        <f t="shared" ref="AI322:AI334" si="246">H322-AC322</f>
        <v>0</v>
      </c>
      <c r="AJ322" s="1636">
        <f t="shared" ref="AJ322:AJ334" si="247">AK322+AL322+AM322</f>
        <v>0</v>
      </c>
      <c r="AK322" s="1636">
        <f t="shared" ref="AK322:AM337" si="248">I322-AE322</f>
        <v>0</v>
      </c>
      <c r="AL322" s="1636">
        <f t="shared" si="195"/>
        <v>0</v>
      </c>
      <c r="AM322" s="1636">
        <f t="shared" si="195"/>
        <v>0</v>
      </c>
      <c r="AN322" s="1637">
        <v>94.6</v>
      </c>
      <c r="AO322" s="1722">
        <v>94.9</v>
      </c>
      <c r="AP322" s="1638"/>
      <c r="AQ322" s="1638"/>
      <c r="AR322" s="1638"/>
      <c r="AS322" s="1639">
        <v>95</v>
      </c>
      <c r="AT322" s="1638"/>
      <c r="AU322" s="1638"/>
      <c r="AV322" s="1638"/>
      <c r="AW322" s="1640">
        <v>95</v>
      </c>
      <c r="AX322" s="1640"/>
      <c r="AY322" s="1640"/>
      <c r="AZ322" s="1640"/>
      <c r="BA322" s="1641">
        <v>94.93</v>
      </c>
      <c r="BB322" s="1640"/>
      <c r="BC322" s="1640"/>
      <c r="BD322" s="1640"/>
      <c r="BE322" s="1641">
        <v>94.93</v>
      </c>
      <c r="BF322" s="1640"/>
      <c r="BG322" s="1640"/>
      <c r="BH322" s="1640"/>
      <c r="BI322" s="1641">
        <f>37.97</f>
        <v>37.97</v>
      </c>
      <c r="BJ322" s="1640"/>
      <c r="BK322" s="1640"/>
      <c r="BL322" s="1640"/>
      <c r="BM322" s="1641">
        <f>56.96+94.93</f>
        <v>151.89000000000001</v>
      </c>
      <c r="BN322" s="1640"/>
      <c r="BO322" s="1640"/>
      <c r="BP322" s="1640"/>
      <c r="BQ322" s="1641">
        <v>94.93</v>
      </c>
      <c r="BR322" s="1640"/>
      <c r="BS322" s="1640"/>
      <c r="BT322" s="1640"/>
      <c r="BU322" s="1641">
        <v>95</v>
      </c>
      <c r="BV322" s="1640"/>
      <c r="BW322" s="1640"/>
      <c r="BX322" s="1640"/>
      <c r="BY322" s="1641">
        <v>95</v>
      </c>
      <c r="BZ322" s="1640"/>
      <c r="CA322" s="1640"/>
      <c r="CB322" s="1640"/>
      <c r="CC322" s="1641">
        <v>94.3</v>
      </c>
      <c r="CD322" s="1640"/>
      <c r="CE322" s="1640"/>
      <c r="CF322" s="1640"/>
      <c r="CG322" s="1642"/>
      <c r="CH322" s="1643">
        <v>95.35</v>
      </c>
      <c r="CI322" s="1643">
        <v>0</v>
      </c>
      <c r="CJ322" s="1643">
        <v>0</v>
      </c>
      <c r="CK322" s="1643">
        <v>0</v>
      </c>
      <c r="CX322" s="1558">
        <f>H322/12*10-AC322</f>
        <v>-189.86666666666645</v>
      </c>
      <c r="CY322" s="1558">
        <f>AI322/3</f>
        <v>0</v>
      </c>
      <c r="CZ322" s="1558">
        <f>H322/12</f>
        <v>94.933333333333337</v>
      </c>
      <c r="DA322" s="1559"/>
      <c r="DB322" s="1559"/>
      <c r="DC322" s="1559"/>
    </row>
    <row r="323" spans="1:107" ht="14" x14ac:dyDescent="0.15">
      <c r="A323" s="1541" t="s">
        <v>83</v>
      </c>
      <c r="B323" s="1523" t="s">
        <v>79</v>
      </c>
      <c r="C323" s="1523" t="s">
        <v>80</v>
      </c>
      <c r="D323" s="1523" t="s">
        <v>125</v>
      </c>
      <c r="E323" s="1861">
        <v>4409902</v>
      </c>
      <c r="F323" s="1523"/>
      <c r="G323" s="1667">
        <v>212</v>
      </c>
      <c r="H323" s="1502">
        <v>0</v>
      </c>
      <c r="I323" s="1440"/>
      <c r="J323" s="1630"/>
      <c r="K323" s="1630"/>
      <c r="L323" s="1631"/>
      <c r="M323" s="1631"/>
      <c r="N323" s="1631"/>
      <c r="O323" s="1631"/>
      <c r="P323" s="1631"/>
      <c r="Q323" s="1631"/>
      <c r="R323" s="1631"/>
      <c r="S323" s="1631"/>
      <c r="T323" s="1632"/>
      <c r="U323" s="1633"/>
      <c r="V323" s="1633"/>
      <c r="W323" s="1634"/>
      <c r="X323" s="1634"/>
      <c r="Y323" s="1634"/>
      <c r="Z323" s="1635"/>
      <c r="AA323" s="1634"/>
      <c r="AB323" s="1634"/>
      <c r="AC323" s="1508">
        <f t="shared" si="243"/>
        <v>0</v>
      </c>
      <c r="AD323" s="1509">
        <f t="shared" si="244"/>
        <v>0</v>
      </c>
      <c r="AE323" s="1509">
        <f t="shared" si="245"/>
        <v>0</v>
      </c>
      <c r="AF323" s="1509">
        <f t="shared" si="245"/>
        <v>0</v>
      </c>
      <c r="AG323" s="1509">
        <f t="shared" si="245"/>
        <v>0</v>
      </c>
      <c r="AH323" s="1490">
        <f t="shared" si="213"/>
        <v>0</v>
      </c>
      <c r="AI323" s="1636">
        <f t="shared" si="246"/>
        <v>0</v>
      </c>
      <c r="AJ323" s="1636">
        <f t="shared" si="247"/>
        <v>0</v>
      </c>
      <c r="AK323" s="1636">
        <f t="shared" si="248"/>
        <v>0</v>
      </c>
      <c r="AL323" s="1636">
        <f t="shared" si="195"/>
        <v>0</v>
      </c>
      <c r="AM323" s="1636">
        <f t="shared" si="195"/>
        <v>0</v>
      </c>
      <c r="AN323" s="1637"/>
      <c r="AO323" s="1722">
        <v>0</v>
      </c>
      <c r="AP323" s="1638"/>
      <c r="AQ323" s="1638"/>
      <c r="AR323" s="1638"/>
      <c r="AS323" s="1639"/>
      <c r="AT323" s="1638"/>
      <c r="AU323" s="1638"/>
      <c r="AV323" s="1638"/>
      <c r="AW323" s="1640"/>
      <c r="AX323" s="1640"/>
      <c r="AY323" s="1640"/>
      <c r="AZ323" s="1640"/>
      <c r="BA323" s="1641"/>
      <c r="BB323" s="1640"/>
      <c r="BC323" s="1640"/>
      <c r="BD323" s="1640"/>
      <c r="BE323" s="1641"/>
      <c r="BF323" s="1640"/>
      <c r="BG323" s="1640"/>
      <c r="BH323" s="1640"/>
      <c r="BI323" s="1641"/>
      <c r="BJ323" s="1640"/>
      <c r="BK323" s="1640"/>
      <c r="BL323" s="1640"/>
      <c r="BM323" s="1641"/>
      <c r="BN323" s="1640"/>
      <c r="BO323" s="1640"/>
      <c r="BP323" s="1640"/>
      <c r="BQ323" s="1641"/>
      <c r="BR323" s="1640"/>
      <c r="BS323" s="1640"/>
      <c r="BT323" s="1640"/>
      <c r="BU323" s="1641"/>
      <c r="BV323" s="1640"/>
      <c r="BW323" s="1640"/>
      <c r="BX323" s="1640"/>
      <c r="BY323" s="1641"/>
      <c r="BZ323" s="1640"/>
      <c r="CA323" s="1640"/>
      <c r="CB323" s="1640"/>
      <c r="CC323" s="1641"/>
      <c r="CD323" s="1640"/>
      <c r="CE323" s="1640"/>
      <c r="CF323" s="1640"/>
      <c r="CG323" s="1642"/>
      <c r="CH323" s="1643">
        <v>0</v>
      </c>
      <c r="CI323" s="1643">
        <v>0</v>
      </c>
      <c r="CJ323" s="1643">
        <v>0</v>
      </c>
      <c r="CK323" s="1643">
        <v>0</v>
      </c>
      <c r="CX323" s="1558"/>
      <c r="CY323" s="1558"/>
      <c r="CZ323" s="1558"/>
      <c r="DA323" s="1559"/>
      <c r="DB323" s="1559"/>
      <c r="DC323" s="1559"/>
    </row>
    <row r="324" spans="1:107" ht="14" x14ac:dyDescent="0.15">
      <c r="A324" s="1541" t="s">
        <v>84</v>
      </c>
      <c r="B324" s="1523" t="s">
        <v>79</v>
      </c>
      <c r="C324" s="1523" t="s">
        <v>80</v>
      </c>
      <c r="D324" s="1523" t="s">
        <v>125</v>
      </c>
      <c r="E324" s="1861">
        <v>4409902</v>
      </c>
      <c r="F324" s="1523"/>
      <c r="G324" s="1667">
        <v>213</v>
      </c>
      <c r="H324" s="1502">
        <v>344</v>
      </c>
      <c r="I324" s="1440"/>
      <c r="J324" s="1630"/>
      <c r="K324" s="1630"/>
      <c r="L324" s="1631"/>
      <c r="M324" s="1631"/>
      <c r="N324" s="1631"/>
      <c r="O324" s="1631"/>
      <c r="P324" s="1631"/>
      <c r="Q324" s="1631"/>
      <c r="R324" s="1631"/>
      <c r="S324" s="1631"/>
      <c r="T324" s="1632"/>
      <c r="U324" s="1633"/>
      <c r="V324" s="1633"/>
      <c r="W324" s="1634">
        <f>H324/12</f>
        <v>28.666666666666668</v>
      </c>
      <c r="X324" s="1634">
        <f>AO324</f>
        <v>28.5</v>
      </c>
      <c r="Y324" s="1634">
        <f>CC324</f>
        <v>29.3</v>
      </c>
      <c r="Z324" s="1635">
        <v>29.3</v>
      </c>
      <c r="AA324" s="1634"/>
      <c r="AB324" s="1634"/>
      <c r="AC324" s="1508">
        <f t="shared" si="243"/>
        <v>344.00000000000006</v>
      </c>
      <c r="AD324" s="1509">
        <f t="shared" si="244"/>
        <v>0</v>
      </c>
      <c r="AE324" s="1509">
        <f t="shared" si="245"/>
        <v>0</v>
      </c>
      <c r="AF324" s="1509">
        <f t="shared" si="245"/>
        <v>0</v>
      </c>
      <c r="AG324" s="1509">
        <f t="shared" si="245"/>
        <v>0</v>
      </c>
      <c r="AH324" s="1490">
        <f t="shared" si="213"/>
        <v>0</v>
      </c>
      <c r="AI324" s="1636">
        <f t="shared" si="246"/>
        <v>0</v>
      </c>
      <c r="AJ324" s="1636">
        <f t="shared" si="247"/>
        <v>0</v>
      </c>
      <c r="AK324" s="1636">
        <f t="shared" si="248"/>
        <v>0</v>
      </c>
      <c r="AL324" s="1636">
        <f t="shared" si="195"/>
        <v>0</v>
      </c>
      <c r="AM324" s="1636">
        <f t="shared" si="195"/>
        <v>0</v>
      </c>
      <c r="AN324" s="1637">
        <v>29</v>
      </c>
      <c r="AO324" s="1722">
        <v>28.5</v>
      </c>
      <c r="AP324" s="1638"/>
      <c r="AQ324" s="1638"/>
      <c r="AR324" s="1638"/>
      <c r="AS324" s="1639">
        <v>28.6</v>
      </c>
      <c r="AT324" s="1638"/>
      <c r="AU324" s="1638"/>
      <c r="AV324" s="1638"/>
      <c r="AW324" s="1640">
        <v>28.6</v>
      </c>
      <c r="AX324" s="1640"/>
      <c r="AY324" s="1640"/>
      <c r="AZ324" s="1640"/>
      <c r="BA324" s="1641">
        <v>28.67</v>
      </c>
      <c r="BB324" s="1640"/>
      <c r="BC324" s="1640"/>
      <c r="BD324" s="1640"/>
      <c r="BE324" s="1641">
        <v>28.67</v>
      </c>
      <c r="BF324" s="1640"/>
      <c r="BG324" s="1640"/>
      <c r="BH324" s="1640"/>
      <c r="BI324" s="1641"/>
      <c r="BJ324" s="1640"/>
      <c r="BK324" s="1640"/>
      <c r="BL324" s="1640"/>
      <c r="BM324" s="1641">
        <f>28.67+28.67</f>
        <v>57.34</v>
      </c>
      <c r="BN324" s="1640"/>
      <c r="BO324" s="1640"/>
      <c r="BP324" s="1640"/>
      <c r="BQ324" s="1641">
        <v>28.67</v>
      </c>
      <c r="BR324" s="1640"/>
      <c r="BS324" s="1640"/>
      <c r="BT324" s="1640"/>
      <c r="BU324" s="1641">
        <v>28.6</v>
      </c>
      <c r="BV324" s="1640"/>
      <c r="BW324" s="1640"/>
      <c r="BX324" s="1640"/>
      <c r="BY324" s="1641">
        <v>28.6</v>
      </c>
      <c r="BZ324" s="1640"/>
      <c r="CA324" s="1640"/>
      <c r="CB324" s="1640"/>
      <c r="CC324" s="1641">
        <v>29.3</v>
      </c>
      <c r="CD324" s="1640"/>
      <c r="CE324" s="1640"/>
      <c r="CF324" s="1640"/>
      <c r="CG324" s="1642"/>
      <c r="CH324" s="1643">
        <v>28.45</v>
      </c>
      <c r="CI324" s="1643">
        <v>0</v>
      </c>
      <c r="CJ324" s="1643">
        <v>0</v>
      </c>
      <c r="CK324" s="1643">
        <v>0</v>
      </c>
      <c r="CX324" s="1558">
        <f>H324/12*10-AC324</f>
        <v>-57.333333333333371</v>
      </c>
      <c r="CY324" s="1558">
        <f>AI324/3</f>
        <v>0</v>
      </c>
      <c r="CZ324" s="1558">
        <f>H324/12</f>
        <v>28.666666666666668</v>
      </c>
      <c r="DA324" s="1559"/>
      <c r="DB324" s="1559"/>
      <c r="DC324" s="1559"/>
    </row>
    <row r="325" spans="1:107" ht="14" x14ac:dyDescent="0.15">
      <c r="A325" s="1541" t="s">
        <v>85</v>
      </c>
      <c r="B325" s="1523" t="s">
        <v>79</v>
      </c>
      <c r="C325" s="1523" t="s">
        <v>80</v>
      </c>
      <c r="D325" s="1523" t="s">
        <v>125</v>
      </c>
      <c r="E325" s="1861">
        <v>4409902</v>
      </c>
      <c r="F325" s="1523"/>
      <c r="G325" s="1667">
        <v>221</v>
      </c>
      <c r="H325" s="1502">
        <v>18.7</v>
      </c>
      <c r="I325" s="1440"/>
      <c r="J325" s="1630"/>
      <c r="K325" s="1630"/>
      <c r="L325" s="1631"/>
      <c r="M325" s="1631"/>
      <c r="N325" s="1631"/>
      <c r="O325" s="1631"/>
      <c r="P325" s="1631"/>
      <c r="Q325" s="1631"/>
      <c r="R325" s="1631"/>
      <c r="S325" s="1631"/>
      <c r="T325" s="1632"/>
      <c r="U325" s="1633"/>
      <c r="V325" s="1633"/>
      <c r="W325" s="1634"/>
      <c r="X325" s="1634"/>
      <c r="Y325" s="1634"/>
      <c r="Z325" s="1635"/>
      <c r="AA325" s="1634"/>
      <c r="AB325" s="1634"/>
      <c r="AC325" s="1508">
        <f t="shared" si="243"/>
        <v>18.700000000000003</v>
      </c>
      <c r="AD325" s="1509">
        <f t="shared" si="244"/>
        <v>0</v>
      </c>
      <c r="AE325" s="1509">
        <f t="shared" si="245"/>
        <v>0</v>
      </c>
      <c r="AF325" s="1509">
        <f t="shared" si="245"/>
        <v>0</v>
      </c>
      <c r="AG325" s="1509">
        <f t="shared" si="245"/>
        <v>0</v>
      </c>
      <c r="AH325" s="1490">
        <f t="shared" si="213"/>
        <v>0</v>
      </c>
      <c r="AI325" s="1636">
        <f t="shared" si="246"/>
        <v>0</v>
      </c>
      <c r="AJ325" s="1636">
        <f t="shared" si="247"/>
        <v>0</v>
      </c>
      <c r="AK325" s="1636">
        <f t="shared" si="248"/>
        <v>0</v>
      </c>
      <c r="AL325" s="1636">
        <f t="shared" si="195"/>
        <v>0</v>
      </c>
      <c r="AM325" s="1636">
        <f t="shared" si="195"/>
        <v>0</v>
      </c>
      <c r="AN325" s="1637"/>
      <c r="AO325" s="1722">
        <v>1.6</v>
      </c>
      <c r="AP325" s="1638"/>
      <c r="AQ325" s="1638"/>
      <c r="AR325" s="1638"/>
      <c r="AS325" s="1639"/>
      <c r="AT325" s="1638"/>
      <c r="AU325" s="1638"/>
      <c r="AV325" s="1638"/>
      <c r="AW325" s="1639"/>
      <c r="AX325" s="1640"/>
      <c r="AY325" s="1640"/>
      <c r="AZ325" s="1640"/>
      <c r="BA325" s="1641"/>
      <c r="BB325" s="1640"/>
      <c r="BC325" s="1640"/>
      <c r="BD325" s="1640"/>
      <c r="BE325" s="1644"/>
      <c r="BF325" s="1640"/>
      <c r="BG325" s="1640"/>
      <c r="BH325" s="1640"/>
      <c r="BI325" s="1641"/>
      <c r="BJ325" s="1640"/>
      <c r="BK325" s="1640"/>
      <c r="BL325" s="1640"/>
      <c r="BM325" s="1641"/>
      <c r="BN325" s="1640"/>
      <c r="BO325" s="1640"/>
      <c r="BP325" s="1640"/>
      <c r="BQ325" s="1641"/>
      <c r="BR325" s="1640"/>
      <c r="BS325" s="1640"/>
      <c r="BT325" s="1640"/>
      <c r="BU325" s="1641"/>
      <c r="BV325" s="1640"/>
      <c r="BW325" s="1640"/>
      <c r="BX325" s="1640"/>
      <c r="BY325" s="1641"/>
      <c r="BZ325" s="1640"/>
      <c r="CA325" s="1640"/>
      <c r="CB325" s="1640"/>
      <c r="CC325" s="1641"/>
      <c r="CD325" s="1640"/>
      <c r="CE325" s="1640"/>
      <c r="CF325" s="1640"/>
      <c r="CG325" s="1642"/>
      <c r="CH325" s="1643">
        <v>17.100000000000001</v>
      </c>
      <c r="CI325" s="1643">
        <v>0</v>
      </c>
      <c r="CJ325" s="1643">
        <v>0</v>
      </c>
      <c r="CK325" s="1643">
        <v>0</v>
      </c>
      <c r="CX325" s="1559"/>
    </row>
    <row r="326" spans="1:107" ht="14" x14ac:dyDescent="0.15">
      <c r="A326" s="1541" t="s">
        <v>86</v>
      </c>
      <c r="B326" s="1523" t="s">
        <v>79</v>
      </c>
      <c r="C326" s="1523" t="s">
        <v>80</v>
      </c>
      <c r="D326" s="1523" t="s">
        <v>125</v>
      </c>
      <c r="E326" s="1861">
        <v>4409902</v>
      </c>
      <c r="F326" s="1523"/>
      <c r="G326" s="1667">
        <v>222</v>
      </c>
      <c r="H326" s="1502">
        <v>80</v>
      </c>
      <c r="I326" s="1440"/>
      <c r="J326" s="1630"/>
      <c r="K326" s="1630"/>
      <c r="L326" s="1631"/>
      <c r="M326" s="1631"/>
      <c r="N326" s="1631"/>
      <c r="O326" s="1631"/>
      <c r="P326" s="1631"/>
      <c r="Q326" s="1631"/>
      <c r="R326" s="1631"/>
      <c r="S326" s="1631"/>
      <c r="T326" s="1632"/>
      <c r="U326" s="1633"/>
      <c r="V326" s="1633"/>
      <c r="W326" s="1634"/>
      <c r="X326" s="1634"/>
      <c r="Y326" s="1634"/>
      <c r="Z326" s="1635"/>
      <c r="AA326" s="1634"/>
      <c r="AB326" s="1634"/>
      <c r="AC326" s="1508">
        <f t="shared" si="243"/>
        <v>80</v>
      </c>
      <c r="AD326" s="1509">
        <f t="shared" si="244"/>
        <v>0</v>
      </c>
      <c r="AE326" s="1509">
        <f t="shared" si="245"/>
        <v>0</v>
      </c>
      <c r="AF326" s="1509">
        <f t="shared" si="245"/>
        <v>0</v>
      </c>
      <c r="AG326" s="1509">
        <f t="shared" si="245"/>
        <v>0</v>
      </c>
      <c r="AH326" s="1490">
        <f t="shared" si="213"/>
        <v>0</v>
      </c>
      <c r="AI326" s="1636">
        <f t="shared" si="246"/>
        <v>0</v>
      </c>
      <c r="AJ326" s="1636">
        <f t="shared" si="247"/>
        <v>0</v>
      </c>
      <c r="AK326" s="1636">
        <f t="shared" si="248"/>
        <v>0</v>
      </c>
      <c r="AL326" s="1636">
        <f t="shared" si="195"/>
        <v>0</v>
      </c>
      <c r="AM326" s="1636">
        <f t="shared" si="195"/>
        <v>0</v>
      </c>
      <c r="AN326" s="1637"/>
      <c r="AO326" s="1722">
        <v>6.7</v>
      </c>
      <c r="AP326" s="1638"/>
      <c r="AQ326" s="1638"/>
      <c r="AR326" s="1638"/>
      <c r="AS326" s="1639"/>
      <c r="AT326" s="1638"/>
      <c r="AU326" s="1638"/>
      <c r="AV326" s="1638"/>
      <c r="AW326" s="1639"/>
      <c r="AX326" s="1640"/>
      <c r="AY326" s="1640"/>
      <c r="AZ326" s="1640"/>
      <c r="BA326" s="1641"/>
      <c r="BB326" s="1640"/>
      <c r="BC326" s="1640"/>
      <c r="BD326" s="1640"/>
      <c r="BE326" s="1644"/>
      <c r="BF326" s="1640"/>
      <c r="BG326" s="1640"/>
      <c r="BH326" s="1640"/>
      <c r="BI326" s="1641"/>
      <c r="BJ326" s="1640"/>
      <c r="BK326" s="1640"/>
      <c r="BL326" s="1640"/>
      <c r="BM326" s="1641"/>
      <c r="BN326" s="1640"/>
      <c r="BO326" s="1640"/>
      <c r="BP326" s="1640"/>
      <c r="BQ326" s="1641"/>
      <c r="BR326" s="1640"/>
      <c r="BS326" s="1640"/>
      <c r="BT326" s="1640"/>
      <c r="BU326" s="1641"/>
      <c r="BV326" s="1640"/>
      <c r="BW326" s="1640"/>
      <c r="BX326" s="1640"/>
      <c r="BY326" s="1641"/>
      <c r="BZ326" s="1640"/>
      <c r="CA326" s="1640"/>
      <c r="CB326" s="1640"/>
      <c r="CC326" s="1641"/>
      <c r="CD326" s="1640"/>
      <c r="CE326" s="1640"/>
      <c r="CF326" s="1640"/>
      <c r="CG326" s="1642"/>
      <c r="CH326" s="1643">
        <v>73.3</v>
      </c>
      <c r="CI326" s="1643">
        <v>0</v>
      </c>
      <c r="CJ326" s="1643">
        <v>0</v>
      </c>
      <c r="CK326" s="1643">
        <v>0</v>
      </c>
    </row>
    <row r="327" spans="1:107" ht="15" customHeight="1" x14ac:dyDescent="0.15">
      <c r="A327" s="1541" t="s">
        <v>87</v>
      </c>
      <c r="B327" s="1523" t="s">
        <v>79</v>
      </c>
      <c r="C327" s="1523" t="s">
        <v>80</v>
      </c>
      <c r="D327" s="1523" t="s">
        <v>125</v>
      </c>
      <c r="E327" s="1861">
        <v>4409902</v>
      </c>
      <c r="F327" s="1523"/>
      <c r="G327" s="1667">
        <v>223</v>
      </c>
      <c r="H327" s="1863">
        <v>0</v>
      </c>
      <c r="I327" s="1440"/>
      <c r="J327" s="1630"/>
      <c r="K327" s="1630"/>
      <c r="L327" s="1631"/>
      <c r="M327" s="1631"/>
      <c r="N327" s="1631"/>
      <c r="O327" s="1631"/>
      <c r="P327" s="1631"/>
      <c r="Q327" s="1631"/>
      <c r="R327" s="1631"/>
      <c r="S327" s="1631"/>
      <c r="T327" s="1632"/>
      <c r="U327" s="1633"/>
      <c r="V327" s="1633"/>
      <c r="W327" s="1634"/>
      <c r="X327" s="1634"/>
      <c r="Y327" s="1634"/>
      <c r="Z327" s="1635"/>
      <c r="AA327" s="1634"/>
      <c r="AB327" s="1634"/>
      <c r="AC327" s="1508">
        <f t="shared" si="243"/>
        <v>0</v>
      </c>
      <c r="AD327" s="1509">
        <f t="shared" si="244"/>
        <v>0</v>
      </c>
      <c r="AE327" s="1509">
        <f t="shared" si="245"/>
        <v>0</v>
      </c>
      <c r="AF327" s="1509">
        <f t="shared" si="245"/>
        <v>0</v>
      </c>
      <c r="AG327" s="1509">
        <f t="shared" si="245"/>
        <v>0</v>
      </c>
      <c r="AH327" s="1490">
        <f t="shared" si="213"/>
        <v>0</v>
      </c>
      <c r="AI327" s="1636">
        <f t="shared" si="246"/>
        <v>0</v>
      </c>
      <c r="AJ327" s="1636">
        <f t="shared" si="247"/>
        <v>0</v>
      </c>
      <c r="AK327" s="1636">
        <f t="shared" si="248"/>
        <v>0</v>
      </c>
      <c r="AL327" s="1636">
        <f t="shared" si="195"/>
        <v>0</v>
      </c>
      <c r="AM327" s="1636">
        <f t="shared" si="195"/>
        <v>0</v>
      </c>
      <c r="AN327" s="1637"/>
      <c r="AO327" s="1722">
        <v>0</v>
      </c>
      <c r="AP327" s="1638"/>
      <c r="AQ327" s="1638"/>
      <c r="AR327" s="1638"/>
      <c r="AS327" s="1639"/>
      <c r="AT327" s="1638"/>
      <c r="AU327" s="1638"/>
      <c r="AV327" s="1638"/>
      <c r="AW327" s="1639"/>
      <c r="AX327" s="1640"/>
      <c r="AY327" s="1640"/>
      <c r="AZ327" s="1640"/>
      <c r="BA327" s="1641"/>
      <c r="BB327" s="1640"/>
      <c r="BC327" s="1640"/>
      <c r="BD327" s="1640"/>
      <c r="BE327" s="1644"/>
      <c r="BF327" s="1640"/>
      <c r="BG327" s="1640"/>
      <c r="BH327" s="1640"/>
      <c r="BI327" s="1641"/>
      <c r="BJ327" s="1640"/>
      <c r="BK327" s="1640"/>
      <c r="BL327" s="1640"/>
      <c r="BM327" s="1641"/>
      <c r="BN327" s="1640"/>
      <c r="BO327" s="1640"/>
      <c r="BP327" s="1640"/>
      <c r="BQ327" s="1641"/>
      <c r="BR327" s="1640"/>
      <c r="BS327" s="1640"/>
      <c r="BT327" s="1640"/>
      <c r="BU327" s="1641"/>
      <c r="BV327" s="1640"/>
      <c r="BW327" s="1640"/>
      <c r="BX327" s="1640"/>
      <c r="BY327" s="1641"/>
      <c r="BZ327" s="1640"/>
      <c r="CA327" s="1640"/>
      <c r="CB327" s="1640"/>
      <c r="CC327" s="1641"/>
      <c r="CD327" s="1640"/>
      <c r="CE327" s="1640"/>
      <c r="CF327" s="1640"/>
      <c r="CG327" s="1642"/>
      <c r="CH327" s="1643">
        <v>0</v>
      </c>
      <c r="CI327" s="1643">
        <v>0</v>
      </c>
      <c r="CJ327" s="1643">
        <v>0</v>
      </c>
      <c r="CK327" s="1643">
        <v>0</v>
      </c>
    </row>
    <row r="328" spans="1:107" ht="14" x14ac:dyDescent="0.15">
      <c r="A328" s="1541" t="s">
        <v>111</v>
      </c>
      <c r="B328" s="1523" t="s">
        <v>79</v>
      </c>
      <c r="C328" s="1523" t="s">
        <v>80</v>
      </c>
      <c r="D328" s="1523" t="s">
        <v>125</v>
      </c>
      <c r="E328" s="1861">
        <v>4409902</v>
      </c>
      <c r="F328" s="1523"/>
      <c r="G328" s="1667">
        <v>224</v>
      </c>
      <c r="H328" s="1502">
        <v>0</v>
      </c>
      <c r="I328" s="1440"/>
      <c r="J328" s="1630"/>
      <c r="K328" s="1630"/>
      <c r="L328" s="1631"/>
      <c r="M328" s="1631"/>
      <c r="N328" s="1631"/>
      <c r="O328" s="1631"/>
      <c r="P328" s="1631"/>
      <c r="Q328" s="1631"/>
      <c r="R328" s="1631"/>
      <c r="S328" s="1631"/>
      <c r="T328" s="1632"/>
      <c r="U328" s="1633"/>
      <c r="V328" s="1633"/>
      <c r="W328" s="1634"/>
      <c r="X328" s="1634"/>
      <c r="Y328" s="1634"/>
      <c r="Z328" s="1635"/>
      <c r="AA328" s="1634"/>
      <c r="AB328" s="1634"/>
      <c r="AC328" s="1508">
        <f t="shared" si="243"/>
        <v>0</v>
      </c>
      <c r="AD328" s="1509">
        <f t="shared" si="244"/>
        <v>0</v>
      </c>
      <c r="AE328" s="1509">
        <f t="shared" si="245"/>
        <v>0</v>
      </c>
      <c r="AF328" s="1509">
        <f t="shared" si="245"/>
        <v>0</v>
      </c>
      <c r="AG328" s="1509">
        <f t="shared" si="245"/>
        <v>0</v>
      </c>
      <c r="AH328" s="1490">
        <f t="shared" si="213"/>
        <v>0</v>
      </c>
      <c r="AI328" s="1636">
        <f t="shared" si="246"/>
        <v>0</v>
      </c>
      <c r="AJ328" s="1636">
        <f t="shared" si="247"/>
        <v>0</v>
      </c>
      <c r="AK328" s="1636">
        <f t="shared" si="248"/>
        <v>0</v>
      </c>
      <c r="AL328" s="1636">
        <f t="shared" si="195"/>
        <v>0</v>
      </c>
      <c r="AM328" s="1636">
        <f t="shared" si="195"/>
        <v>0</v>
      </c>
      <c r="AN328" s="1637"/>
      <c r="AO328" s="1722">
        <v>0</v>
      </c>
      <c r="AP328" s="1638"/>
      <c r="AQ328" s="1638"/>
      <c r="AR328" s="1638"/>
      <c r="AS328" s="1639"/>
      <c r="AT328" s="1638"/>
      <c r="AU328" s="1638"/>
      <c r="AV328" s="1638"/>
      <c r="AW328" s="1639"/>
      <c r="AX328" s="1640"/>
      <c r="AY328" s="1640"/>
      <c r="AZ328" s="1640"/>
      <c r="BA328" s="1641"/>
      <c r="BB328" s="1640"/>
      <c r="BC328" s="1640"/>
      <c r="BD328" s="1640"/>
      <c r="BE328" s="1644"/>
      <c r="BF328" s="1640"/>
      <c r="BG328" s="1640"/>
      <c r="BH328" s="1640"/>
      <c r="BI328" s="1641"/>
      <c r="BJ328" s="1640"/>
      <c r="BK328" s="1640"/>
      <c r="BL328" s="1640"/>
      <c r="BM328" s="1641"/>
      <c r="BN328" s="1640"/>
      <c r="BO328" s="1640"/>
      <c r="BP328" s="1640"/>
      <c r="BQ328" s="1641"/>
      <c r="BR328" s="1640"/>
      <c r="BS328" s="1640"/>
      <c r="BT328" s="1640"/>
      <c r="BU328" s="1641"/>
      <c r="BV328" s="1640"/>
      <c r="BW328" s="1640"/>
      <c r="BX328" s="1640"/>
      <c r="BY328" s="1641"/>
      <c r="BZ328" s="1640"/>
      <c r="CA328" s="1640"/>
      <c r="CB328" s="1640"/>
      <c r="CC328" s="1641"/>
      <c r="CD328" s="1640"/>
      <c r="CE328" s="1640"/>
      <c r="CF328" s="1640"/>
      <c r="CG328" s="1642"/>
      <c r="CH328" s="1643">
        <v>0</v>
      </c>
      <c r="CI328" s="1643">
        <v>0</v>
      </c>
      <c r="CJ328" s="1643">
        <v>0</v>
      </c>
      <c r="CK328" s="1643">
        <v>0</v>
      </c>
    </row>
    <row r="329" spans="1:107" ht="14" x14ac:dyDescent="0.15">
      <c r="A329" s="1541" t="s">
        <v>90</v>
      </c>
      <c r="B329" s="1523" t="s">
        <v>79</v>
      </c>
      <c r="C329" s="1523" t="s">
        <v>80</v>
      </c>
      <c r="D329" s="1523" t="s">
        <v>125</v>
      </c>
      <c r="E329" s="1861">
        <v>4409902</v>
      </c>
      <c r="F329" s="1523"/>
      <c r="G329" s="1667">
        <v>225</v>
      </c>
      <c r="H329" s="1502">
        <v>10.054</v>
      </c>
      <c r="I329" s="1440">
        <f>24000-U330</f>
        <v>18800</v>
      </c>
      <c r="J329" s="1630"/>
      <c r="K329" s="1630">
        <f>10850-50-U329+25.01-189.919-219.138-547.845</f>
        <v>2238.8649999999998</v>
      </c>
      <c r="L329" s="1631"/>
      <c r="M329" s="1631"/>
      <c r="N329" s="1631"/>
      <c r="O329" s="1631"/>
      <c r="P329" s="1631"/>
      <c r="Q329" s="1631"/>
      <c r="R329" s="1631"/>
      <c r="S329" s="1631"/>
      <c r="T329" s="1632"/>
      <c r="U329" s="1633">
        <v>7629.2430000000004</v>
      </c>
      <c r="V329" s="1633"/>
      <c r="W329" s="1634"/>
      <c r="X329" s="1634"/>
      <c r="Y329" s="1634"/>
      <c r="Z329" s="1635"/>
      <c r="AA329" s="1634"/>
      <c r="AB329" s="1634"/>
      <c r="AC329" s="1508">
        <f t="shared" si="243"/>
        <v>10.054</v>
      </c>
      <c r="AD329" s="1509">
        <f t="shared" si="244"/>
        <v>21038.864999999998</v>
      </c>
      <c r="AE329" s="1509">
        <f t="shared" si="245"/>
        <v>18800</v>
      </c>
      <c r="AF329" s="1509">
        <f t="shared" si="245"/>
        <v>0</v>
      </c>
      <c r="AG329" s="1509">
        <f t="shared" si="245"/>
        <v>2238.8649999999998</v>
      </c>
      <c r="AH329" s="1490">
        <f t="shared" si="213"/>
        <v>0</v>
      </c>
      <c r="AI329" s="1636">
        <f t="shared" si="246"/>
        <v>0</v>
      </c>
      <c r="AJ329" s="1636">
        <f t="shared" si="247"/>
        <v>0</v>
      </c>
      <c r="AK329" s="1636">
        <f t="shared" si="248"/>
        <v>0</v>
      </c>
      <c r="AL329" s="1636">
        <f t="shared" si="248"/>
        <v>0</v>
      </c>
      <c r="AM329" s="1636">
        <f t="shared" si="248"/>
        <v>0</v>
      </c>
      <c r="AN329" s="1637"/>
      <c r="AO329" s="1723"/>
      <c r="AP329" s="1638"/>
      <c r="AQ329" s="1638"/>
      <c r="AR329" s="1638"/>
      <c r="AS329" s="1639"/>
      <c r="AT329" s="1638"/>
      <c r="AU329" s="1638"/>
      <c r="AV329" s="1638"/>
      <c r="AW329" s="1639"/>
      <c r="AX329" s="1640"/>
      <c r="AY329" s="1640"/>
      <c r="AZ329" s="1640"/>
      <c r="BA329" s="1641"/>
      <c r="BB329" s="1640">
        <v>10000</v>
      </c>
      <c r="BC329" s="1640"/>
      <c r="BD329" s="1640"/>
      <c r="BE329" s="1644"/>
      <c r="BF329" s="1640"/>
      <c r="BG329" s="1640"/>
      <c r="BH329" s="1640"/>
      <c r="BI329" s="1641"/>
      <c r="BJ329" s="1640">
        <f>4000-1200</f>
        <v>2800</v>
      </c>
      <c r="BK329" s="1640"/>
      <c r="BL329" s="1640"/>
      <c r="BM329" s="1641"/>
      <c r="BN329" s="1640"/>
      <c r="BO329" s="1640"/>
      <c r="BP329" s="1640"/>
      <c r="BQ329" s="1641"/>
      <c r="BR329" s="1640"/>
      <c r="BS329" s="1640"/>
      <c r="BT329" s="1640"/>
      <c r="BU329" s="1641"/>
      <c r="BV329" s="1640"/>
      <c r="BW329" s="1640"/>
      <c r="BX329" s="1640"/>
      <c r="BY329" s="1641"/>
      <c r="BZ329" s="1640"/>
      <c r="CA329" s="1640"/>
      <c r="CB329" s="1640">
        <v>600</v>
      </c>
      <c r="CC329" s="1641"/>
      <c r="CD329" s="1640"/>
      <c r="CE329" s="1640"/>
      <c r="CF329" s="1640"/>
      <c r="CG329" s="1642"/>
      <c r="CH329" s="1643">
        <v>10.054</v>
      </c>
      <c r="CI329" s="1709">
        <v>6000</v>
      </c>
      <c r="CJ329" s="1643">
        <v>0</v>
      </c>
      <c r="CK329" s="1709">
        <v>1638.865</v>
      </c>
    </row>
    <row r="330" spans="1:107" ht="14" x14ac:dyDescent="0.15">
      <c r="A330" s="1541" t="s">
        <v>91</v>
      </c>
      <c r="B330" s="1523" t="s">
        <v>79</v>
      </c>
      <c r="C330" s="1523" t="s">
        <v>80</v>
      </c>
      <c r="D330" s="1523" t="s">
        <v>125</v>
      </c>
      <c r="E330" s="1861">
        <v>4409902</v>
      </c>
      <c r="F330" s="1523"/>
      <c r="G330" s="1667">
        <v>226</v>
      </c>
      <c r="H330" s="1502">
        <f>35.046</f>
        <v>35.045999999999999</v>
      </c>
      <c r="I330" s="1440">
        <v>13000</v>
      </c>
      <c r="J330" s="1440"/>
      <c r="K330" s="1440"/>
      <c r="L330" s="1441"/>
      <c r="M330" s="1441"/>
      <c r="N330" s="1441"/>
      <c r="O330" s="1441"/>
      <c r="P330" s="1441"/>
      <c r="Q330" s="1441"/>
      <c r="R330" s="1441"/>
      <c r="S330" s="1441"/>
      <c r="T330" s="1442"/>
      <c r="U330" s="1633">
        <v>5200</v>
      </c>
      <c r="V330" s="1633"/>
      <c r="W330" s="1634"/>
      <c r="X330" s="1634"/>
      <c r="Y330" s="1634"/>
      <c r="Z330" s="1635"/>
      <c r="AA330" s="1634"/>
      <c r="AB330" s="1634"/>
      <c r="AC330" s="1508">
        <f t="shared" si="243"/>
        <v>35.045999999999999</v>
      </c>
      <c r="AD330" s="1509">
        <f t="shared" si="244"/>
        <v>13000</v>
      </c>
      <c r="AE330" s="1509">
        <f t="shared" si="245"/>
        <v>13000</v>
      </c>
      <c r="AF330" s="1509">
        <f t="shared" si="245"/>
        <v>0</v>
      </c>
      <c r="AG330" s="1509">
        <f t="shared" si="245"/>
        <v>0</v>
      </c>
      <c r="AH330" s="1490">
        <f t="shared" si="213"/>
        <v>0</v>
      </c>
      <c r="AI330" s="1636">
        <f t="shared" si="246"/>
        <v>0</v>
      </c>
      <c r="AJ330" s="1636">
        <f t="shared" si="247"/>
        <v>0</v>
      </c>
      <c r="AK330" s="1636">
        <f t="shared" si="248"/>
        <v>0</v>
      </c>
      <c r="AL330" s="1636">
        <f t="shared" si="248"/>
        <v>0</v>
      </c>
      <c r="AM330" s="1636">
        <f t="shared" si="248"/>
        <v>0</v>
      </c>
      <c r="AN330" s="1637"/>
      <c r="AO330" s="1723"/>
      <c r="AP330" s="1638"/>
      <c r="AQ330" s="1638"/>
      <c r="AR330" s="1638"/>
      <c r="AS330" s="1639"/>
      <c r="AT330" s="1638"/>
      <c r="AU330" s="1638"/>
      <c r="AV330" s="1638"/>
      <c r="AW330" s="1639"/>
      <c r="AX330" s="1640"/>
      <c r="AY330" s="1640"/>
      <c r="AZ330" s="1640"/>
      <c r="BA330" s="1641"/>
      <c r="BB330" s="1640"/>
      <c r="BC330" s="1640"/>
      <c r="BD330" s="1640"/>
      <c r="BE330" s="1644"/>
      <c r="BF330" s="1640"/>
      <c r="BG330" s="1640"/>
      <c r="BH330" s="1640"/>
      <c r="BI330" s="1641"/>
      <c r="BJ330" s="1640">
        <f>11694.415+1200</f>
        <v>12894.415000000001</v>
      </c>
      <c r="BK330" s="1640"/>
      <c r="BL330" s="1640"/>
      <c r="BM330" s="1641"/>
      <c r="BN330" s="1640"/>
      <c r="BO330" s="1640"/>
      <c r="BP330" s="1640"/>
      <c r="BQ330" s="1641">
        <v>35</v>
      </c>
      <c r="BR330" s="1640"/>
      <c r="BS330" s="1640"/>
      <c r="BT330" s="1640"/>
      <c r="BU330" s="1641"/>
      <c r="BV330" s="1640"/>
      <c r="BW330" s="1640"/>
      <c r="BX330" s="1640"/>
      <c r="BY330" s="1641"/>
      <c r="BZ330" s="1640"/>
      <c r="CA330" s="1640"/>
      <c r="CB330" s="1640"/>
      <c r="CC330" s="1641"/>
      <c r="CD330" s="1640"/>
      <c r="CE330" s="1640"/>
      <c r="CF330" s="1640"/>
      <c r="CG330" s="1448"/>
      <c r="CH330" s="1643">
        <v>4.5999999999999999E-2</v>
      </c>
      <c r="CI330" s="1643">
        <v>105.58499999999999</v>
      </c>
      <c r="CJ330" s="1643">
        <v>0</v>
      </c>
      <c r="CK330" s="1643">
        <v>0</v>
      </c>
    </row>
    <row r="331" spans="1:107" ht="14" x14ac:dyDescent="0.15">
      <c r="A331" s="1541" t="s">
        <v>94</v>
      </c>
      <c r="B331" s="1523" t="s">
        <v>79</v>
      </c>
      <c r="C331" s="1523" t="s">
        <v>80</v>
      </c>
      <c r="D331" s="1523" t="s">
        <v>125</v>
      </c>
      <c r="E331" s="1861">
        <v>4409902</v>
      </c>
      <c r="F331" s="1523"/>
      <c r="G331" s="1667">
        <v>290</v>
      </c>
      <c r="H331" s="1502">
        <f>3.1+0.4</f>
        <v>3.5</v>
      </c>
      <c r="I331" s="1440"/>
      <c r="J331" s="1630"/>
      <c r="K331" s="1630"/>
      <c r="L331" s="1631"/>
      <c r="M331" s="1631"/>
      <c r="N331" s="1631"/>
      <c r="O331" s="1631"/>
      <c r="P331" s="1631"/>
      <c r="Q331" s="1631"/>
      <c r="R331" s="1631"/>
      <c r="S331" s="1631"/>
      <c r="T331" s="1632"/>
      <c r="U331" s="1633"/>
      <c r="V331" s="1633"/>
      <c r="W331" s="1634"/>
      <c r="X331" s="1634"/>
      <c r="Y331" s="1634"/>
      <c r="Z331" s="1635"/>
      <c r="AA331" s="1634"/>
      <c r="AB331" s="1634"/>
      <c r="AC331" s="1508">
        <f t="shared" si="243"/>
        <v>3.5</v>
      </c>
      <c r="AD331" s="1509">
        <f t="shared" si="244"/>
        <v>0</v>
      </c>
      <c r="AE331" s="1509">
        <f t="shared" si="245"/>
        <v>0</v>
      </c>
      <c r="AF331" s="1509">
        <f t="shared" si="245"/>
        <v>0</v>
      </c>
      <c r="AG331" s="1509">
        <f t="shared" si="245"/>
        <v>0</v>
      </c>
      <c r="AH331" s="1490">
        <f t="shared" si="213"/>
        <v>0</v>
      </c>
      <c r="AI331" s="1636">
        <f t="shared" si="246"/>
        <v>0</v>
      </c>
      <c r="AJ331" s="1636">
        <f t="shared" si="247"/>
        <v>0</v>
      </c>
      <c r="AK331" s="1636">
        <f t="shared" si="248"/>
        <v>0</v>
      </c>
      <c r="AL331" s="1636">
        <f t="shared" si="248"/>
        <v>0</v>
      </c>
      <c r="AM331" s="1636">
        <f t="shared" si="248"/>
        <v>0</v>
      </c>
      <c r="AN331" s="1637"/>
      <c r="AO331" s="1722">
        <v>0.3</v>
      </c>
      <c r="AP331" s="1638"/>
      <c r="AQ331" s="1638"/>
      <c r="AR331" s="1638"/>
      <c r="AS331" s="1639"/>
      <c r="AT331" s="1638"/>
      <c r="AU331" s="1638"/>
      <c r="AV331" s="1638"/>
      <c r="AW331" s="1639"/>
      <c r="AX331" s="1640"/>
      <c r="AY331" s="1640"/>
      <c r="AZ331" s="1640"/>
      <c r="BA331" s="1641"/>
      <c r="BB331" s="1640"/>
      <c r="BC331" s="1640"/>
      <c r="BD331" s="1640"/>
      <c r="BE331" s="1644">
        <v>0.7</v>
      </c>
      <c r="BF331" s="1640"/>
      <c r="BG331" s="1640"/>
      <c r="BH331" s="1640"/>
      <c r="BI331" s="1641"/>
      <c r="BJ331" s="1640"/>
      <c r="BK331" s="1640"/>
      <c r="BL331" s="1640"/>
      <c r="BM331" s="1641"/>
      <c r="BN331" s="1640"/>
      <c r="BO331" s="1640"/>
      <c r="BP331" s="1640"/>
      <c r="BQ331" s="1641"/>
      <c r="BR331" s="1640"/>
      <c r="BS331" s="1640"/>
      <c r="BT331" s="1640"/>
      <c r="BU331" s="1641">
        <v>1.3</v>
      </c>
      <c r="BV331" s="1640"/>
      <c r="BW331" s="1640"/>
      <c r="BX331" s="1640"/>
      <c r="BY331" s="1641"/>
      <c r="BZ331" s="1640"/>
      <c r="CA331" s="1640"/>
      <c r="CB331" s="1640"/>
      <c r="CC331" s="1641"/>
      <c r="CD331" s="1640"/>
      <c r="CE331" s="1640"/>
      <c r="CF331" s="1640"/>
      <c r="CG331" s="1642"/>
      <c r="CH331" s="1643">
        <v>1.2</v>
      </c>
      <c r="CI331" s="1643">
        <v>0</v>
      </c>
      <c r="CJ331" s="1643">
        <v>0</v>
      </c>
      <c r="CK331" s="1643">
        <v>0</v>
      </c>
    </row>
    <row r="332" spans="1:107" ht="14" x14ac:dyDescent="0.15">
      <c r="A332" s="1541" t="s">
        <v>94</v>
      </c>
      <c r="B332" s="1523" t="s">
        <v>79</v>
      </c>
      <c r="C332" s="1523" t="s">
        <v>80</v>
      </c>
      <c r="D332" s="1523" t="s">
        <v>125</v>
      </c>
      <c r="E332" s="1861">
        <v>4409902</v>
      </c>
      <c r="F332" s="1523"/>
      <c r="G332" s="1667" t="s">
        <v>95</v>
      </c>
      <c r="H332" s="1502">
        <v>0</v>
      </c>
      <c r="I332" s="1440"/>
      <c r="J332" s="1630"/>
      <c r="K332" s="1630"/>
      <c r="L332" s="1631"/>
      <c r="M332" s="1631"/>
      <c r="N332" s="1631"/>
      <c r="O332" s="1631"/>
      <c r="P332" s="1631"/>
      <c r="Q332" s="1631"/>
      <c r="R332" s="1631"/>
      <c r="S332" s="1631"/>
      <c r="T332" s="1632"/>
      <c r="U332" s="1633"/>
      <c r="V332" s="1633"/>
      <c r="W332" s="1634"/>
      <c r="X332" s="1634"/>
      <c r="Y332" s="1634"/>
      <c r="Z332" s="1635"/>
      <c r="AA332" s="1634"/>
      <c r="AB332" s="1634"/>
      <c r="AC332" s="1508">
        <f t="shared" si="243"/>
        <v>0</v>
      </c>
      <c r="AD332" s="1509">
        <f t="shared" si="244"/>
        <v>0</v>
      </c>
      <c r="AE332" s="1509">
        <f t="shared" si="245"/>
        <v>0</v>
      </c>
      <c r="AF332" s="1509">
        <f t="shared" si="245"/>
        <v>0</v>
      </c>
      <c r="AG332" s="1509">
        <f t="shared" si="245"/>
        <v>0</v>
      </c>
      <c r="AH332" s="1490">
        <f t="shared" si="213"/>
        <v>0</v>
      </c>
      <c r="AI332" s="1636">
        <f t="shared" si="246"/>
        <v>0</v>
      </c>
      <c r="AJ332" s="1636">
        <f t="shared" si="247"/>
        <v>0</v>
      </c>
      <c r="AK332" s="1636">
        <f t="shared" si="248"/>
        <v>0</v>
      </c>
      <c r="AL332" s="1636">
        <f t="shared" si="248"/>
        <v>0</v>
      </c>
      <c r="AM332" s="1636">
        <f t="shared" si="248"/>
        <v>0</v>
      </c>
      <c r="AN332" s="1637"/>
      <c r="AO332" s="1722">
        <v>0</v>
      </c>
      <c r="AP332" s="1638"/>
      <c r="AQ332" s="1638"/>
      <c r="AR332" s="1638"/>
      <c r="AS332" s="1639"/>
      <c r="AT332" s="1638"/>
      <c r="AU332" s="1638"/>
      <c r="AV332" s="1638"/>
      <c r="AW332" s="1639"/>
      <c r="AX332" s="1640"/>
      <c r="AY332" s="1640"/>
      <c r="AZ332" s="1640"/>
      <c r="BA332" s="1641"/>
      <c r="BB332" s="1640"/>
      <c r="BC332" s="1640"/>
      <c r="BD332" s="1640"/>
      <c r="BE332" s="1644"/>
      <c r="BF332" s="1640"/>
      <c r="BG332" s="1640"/>
      <c r="BH332" s="1640"/>
      <c r="BI332" s="1641"/>
      <c r="BJ332" s="1640"/>
      <c r="BK332" s="1640"/>
      <c r="BL332" s="1640"/>
      <c r="BM332" s="1641"/>
      <c r="BN332" s="1640"/>
      <c r="BO332" s="1640"/>
      <c r="BP332" s="1640"/>
      <c r="BQ332" s="1641"/>
      <c r="BR332" s="1640"/>
      <c r="BS332" s="1640"/>
      <c r="BT332" s="1640"/>
      <c r="BU332" s="1641"/>
      <c r="BV332" s="1640"/>
      <c r="BW332" s="1640"/>
      <c r="BX332" s="1640"/>
      <c r="BY332" s="1641"/>
      <c r="BZ332" s="1640"/>
      <c r="CA332" s="1640"/>
      <c r="CB332" s="1640"/>
      <c r="CC332" s="1641"/>
      <c r="CD332" s="1640"/>
      <c r="CE332" s="1640"/>
      <c r="CF332" s="1640"/>
      <c r="CG332" s="1642"/>
      <c r="CH332" s="1643">
        <v>0</v>
      </c>
      <c r="CI332" s="1643">
        <v>0</v>
      </c>
      <c r="CJ332" s="1643">
        <v>0</v>
      </c>
      <c r="CK332" s="1643">
        <v>0</v>
      </c>
    </row>
    <row r="333" spans="1:107" ht="14" x14ac:dyDescent="0.15">
      <c r="A333" s="1541" t="s">
        <v>96</v>
      </c>
      <c r="B333" s="1523" t="s">
        <v>79</v>
      </c>
      <c r="C333" s="1523" t="s">
        <v>80</v>
      </c>
      <c r="D333" s="1523" t="s">
        <v>125</v>
      </c>
      <c r="E333" s="1861">
        <v>4409902</v>
      </c>
      <c r="F333" s="1523"/>
      <c r="G333" s="1667">
        <v>310</v>
      </c>
      <c r="H333" s="1646">
        <v>0</v>
      </c>
      <c r="I333" s="1440"/>
      <c r="J333" s="1630"/>
      <c r="K333" s="1630"/>
      <c r="L333" s="1631"/>
      <c r="M333" s="1631"/>
      <c r="N333" s="1631"/>
      <c r="O333" s="1631"/>
      <c r="P333" s="1631"/>
      <c r="Q333" s="1631"/>
      <c r="R333" s="1631"/>
      <c r="S333" s="1631"/>
      <c r="T333" s="1632"/>
      <c r="U333" s="1633"/>
      <c r="V333" s="1633"/>
      <c r="W333" s="1634"/>
      <c r="X333" s="1634"/>
      <c r="Y333" s="1634"/>
      <c r="Z333" s="1635"/>
      <c r="AA333" s="1634"/>
      <c r="AB333" s="1634"/>
      <c r="AC333" s="1508">
        <f t="shared" si="243"/>
        <v>0</v>
      </c>
      <c r="AD333" s="1509">
        <f t="shared" si="244"/>
        <v>0</v>
      </c>
      <c r="AE333" s="1509">
        <f t="shared" si="245"/>
        <v>0</v>
      </c>
      <c r="AF333" s="1509">
        <f t="shared" si="245"/>
        <v>0</v>
      </c>
      <c r="AG333" s="1509">
        <f t="shared" si="245"/>
        <v>0</v>
      </c>
      <c r="AH333" s="1490">
        <f t="shared" si="213"/>
        <v>0</v>
      </c>
      <c r="AI333" s="1636">
        <f t="shared" si="246"/>
        <v>0</v>
      </c>
      <c r="AJ333" s="1636">
        <f t="shared" si="247"/>
        <v>0</v>
      </c>
      <c r="AK333" s="1636">
        <f t="shared" si="248"/>
        <v>0</v>
      </c>
      <c r="AL333" s="1636">
        <f t="shared" si="248"/>
        <v>0</v>
      </c>
      <c r="AM333" s="1636">
        <f t="shared" si="248"/>
        <v>0</v>
      </c>
      <c r="AN333" s="1637"/>
      <c r="AO333" s="1723"/>
      <c r="AP333" s="1638"/>
      <c r="AQ333" s="1638"/>
      <c r="AR333" s="1638"/>
      <c r="AS333" s="1639"/>
      <c r="AT333" s="1638"/>
      <c r="AU333" s="1638"/>
      <c r="AV333" s="1638"/>
      <c r="AW333" s="1639"/>
      <c r="AX333" s="1640"/>
      <c r="AY333" s="1640"/>
      <c r="AZ333" s="1640"/>
      <c r="BA333" s="1641"/>
      <c r="BB333" s="1640"/>
      <c r="BC333" s="1640"/>
      <c r="BD333" s="1640"/>
      <c r="BE333" s="1644"/>
      <c r="BF333" s="1640"/>
      <c r="BG333" s="1640"/>
      <c r="BH333" s="1640"/>
      <c r="BI333" s="1641"/>
      <c r="BJ333" s="1640"/>
      <c r="BK333" s="1640"/>
      <c r="BL333" s="1640"/>
      <c r="BM333" s="1641"/>
      <c r="BN333" s="1640"/>
      <c r="BO333" s="1640"/>
      <c r="BP333" s="1640"/>
      <c r="BQ333" s="1641"/>
      <c r="BR333" s="1640"/>
      <c r="BS333" s="1640"/>
      <c r="BT333" s="1640"/>
      <c r="BU333" s="1641"/>
      <c r="BV333" s="1640"/>
      <c r="BW333" s="1640"/>
      <c r="BX333" s="1640"/>
      <c r="BY333" s="1641"/>
      <c r="BZ333" s="1640"/>
      <c r="CA333" s="1640"/>
      <c r="CB333" s="1640"/>
      <c r="CC333" s="1641"/>
      <c r="CD333" s="1640"/>
      <c r="CE333" s="1640"/>
      <c r="CF333" s="1640"/>
      <c r="CG333" s="1642"/>
      <c r="CH333" s="1643">
        <v>0</v>
      </c>
      <c r="CI333" s="1643">
        <v>0</v>
      </c>
      <c r="CJ333" s="1643">
        <v>0</v>
      </c>
      <c r="CK333" s="1643">
        <v>0</v>
      </c>
    </row>
    <row r="334" spans="1:107" ht="14" x14ac:dyDescent="0.15">
      <c r="A334" s="1541" t="s">
        <v>97</v>
      </c>
      <c r="B334" s="1523" t="s">
        <v>79</v>
      </c>
      <c r="C334" s="1523" t="s">
        <v>80</v>
      </c>
      <c r="D334" s="1523" t="s">
        <v>125</v>
      </c>
      <c r="E334" s="1861">
        <v>4409902</v>
      </c>
      <c r="F334" s="1523"/>
      <c r="G334" s="1667">
        <v>340</v>
      </c>
      <c r="H334" s="1502">
        <f>30-0.4</f>
        <v>29.6</v>
      </c>
      <c r="I334" s="1440"/>
      <c r="J334" s="1630"/>
      <c r="K334" s="1630"/>
      <c r="L334" s="1631"/>
      <c r="M334" s="1631"/>
      <c r="N334" s="1631"/>
      <c r="O334" s="1631"/>
      <c r="P334" s="1631"/>
      <c r="Q334" s="1631"/>
      <c r="R334" s="1631"/>
      <c r="S334" s="1631"/>
      <c r="T334" s="1632"/>
      <c r="U334" s="1633"/>
      <c r="V334" s="1633"/>
      <c r="W334" s="1634"/>
      <c r="X334" s="1634"/>
      <c r="Y334" s="1634"/>
      <c r="Z334" s="1635"/>
      <c r="AA334" s="1634"/>
      <c r="AB334" s="1634"/>
      <c r="AC334" s="1508">
        <f t="shared" si="243"/>
        <v>29.6</v>
      </c>
      <c r="AD334" s="1509">
        <f t="shared" si="244"/>
        <v>0</v>
      </c>
      <c r="AE334" s="1509">
        <f t="shared" si="245"/>
        <v>0</v>
      </c>
      <c r="AF334" s="1509">
        <f t="shared" si="245"/>
        <v>0</v>
      </c>
      <c r="AG334" s="1509">
        <f t="shared" si="245"/>
        <v>0</v>
      </c>
      <c r="AH334" s="1490">
        <f t="shared" si="213"/>
        <v>0</v>
      </c>
      <c r="AI334" s="1636">
        <f t="shared" si="246"/>
        <v>0</v>
      </c>
      <c r="AJ334" s="1636">
        <f t="shared" si="247"/>
        <v>0</v>
      </c>
      <c r="AK334" s="1636">
        <f t="shared" si="248"/>
        <v>0</v>
      </c>
      <c r="AL334" s="1636">
        <f t="shared" si="248"/>
        <v>0</v>
      </c>
      <c r="AM334" s="1636">
        <f t="shared" si="248"/>
        <v>0</v>
      </c>
      <c r="AN334" s="1637"/>
      <c r="AO334" s="1722">
        <v>2.5</v>
      </c>
      <c r="AP334" s="1638"/>
      <c r="AQ334" s="1638"/>
      <c r="AR334" s="1638"/>
      <c r="AS334" s="1639"/>
      <c r="AT334" s="1638"/>
      <c r="AU334" s="1638"/>
      <c r="AV334" s="1638"/>
      <c r="AW334" s="1639"/>
      <c r="AX334" s="1640"/>
      <c r="AY334" s="1640"/>
      <c r="AZ334" s="1640"/>
      <c r="BA334" s="1641"/>
      <c r="BB334" s="1640"/>
      <c r="BC334" s="1640"/>
      <c r="BD334" s="1640"/>
      <c r="BE334" s="1644"/>
      <c r="BF334" s="1640"/>
      <c r="BG334" s="1640"/>
      <c r="BH334" s="1640"/>
      <c r="BI334" s="1641"/>
      <c r="BJ334" s="1640"/>
      <c r="BK334" s="1640"/>
      <c r="BL334" s="1640"/>
      <c r="BM334" s="1641"/>
      <c r="BN334" s="1640"/>
      <c r="BO334" s="1640"/>
      <c r="BP334" s="1640"/>
      <c r="BQ334" s="1641"/>
      <c r="BR334" s="1640"/>
      <c r="BS334" s="1640"/>
      <c r="BT334" s="1640"/>
      <c r="BU334" s="1641"/>
      <c r="BV334" s="1640"/>
      <c r="BW334" s="1640"/>
      <c r="BX334" s="1640"/>
      <c r="BY334" s="1641"/>
      <c r="BZ334" s="1640"/>
      <c r="CA334" s="1640"/>
      <c r="CB334" s="1640"/>
      <c r="CC334" s="1641"/>
      <c r="CD334" s="1640"/>
      <c r="CE334" s="1640"/>
      <c r="CF334" s="1640"/>
      <c r="CG334" s="1642"/>
      <c r="CH334" s="1643">
        <v>27.1</v>
      </c>
      <c r="CI334" s="1643">
        <v>0</v>
      </c>
      <c r="CJ334" s="1643">
        <v>0</v>
      </c>
      <c r="CK334" s="1643">
        <v>0</v>
      </c>
    </row>
    <row r="335" spans="1:107" ht="14" x14ac:dyDescent="0.15">
      <c r="A335" s="1528" t="s">
        <v>767</v>
      </c>
      <c r="B335" s="1530" t="s">
        <v>79</v>
      </c>
      <c r="C335" s="1530" t="s">
        <v>80</v>
      </c>
      <c r="D335" s="1530" t="s">
        <v>125</v>
      </c>
      <c r="E335" s="1832">
        <v>4409902</v>
      </c>
      <c r="F335" s="1530">
        <v>612</v>
      </c>
      <c r="G335" s="1530" t="s">
        <v>766</v>
      </c>
      <c r="H335" s="1647">
        <f>I321</f>
        <v>31800</v>
      </c>
      <c r="I335" s="1440"/>
      <c r="J335" s="1630"/>
      <c r="K335" s="1630"/>
      <c r="L335" s="1631"/>
      <c r="M335" s="1631"/>
      <c r="N335" s="1631"/>
      <c r="O335" s="1631"/>
      <c r="P335" s="1631"/>
      <c r="Q335" s="1631"/>
      <c r="R335" s="1631"/>
      <c r="S335" s="1631"/>
      <c r="T335" s="1632"/>
      <c r="U335" s="1633"/>
      <c r="V335" s="1633"/>
      <c r="W335" s="1634"/>
      <c r="X335" s="1634"/>
      <c r="Y335" s="1634"/>
      <c r="Z335" s="1635"/>
      <c r="AA335" s="1634"/>
      <c r="AB335" s="1634"/>
      <c r="AC335" s="1508">
        <f t="shared" si="243"/>
        <v>0</v>
      </c>
      <c r="AD335" s="1509">
        <f t="shared" si="244"/>
        <v>0</v>
      </c>
      <c r="AE335" s="1509">
        <f t="shared" si="245"/>
        <v>0</v>
      </c>
      <c r="AF335" s="1509">
        <f t="shared" si="245"/>
        <v>0</v>
      </c>
      <c r="AG335" s="1509"/>
      <c r="AH335" s="1490">
        <f t="shared" si="213"/>
        <v>0</v>
      </c>
      <c r="AI335" s="1636"/>
      <c r="AJ335" s="1636"/>
      <c r="AK335" s="1636"/>
      <c r="AL335" s="1636">
        <f t="shared" si="248"/>
        <v>0</v>
      </c>
      <c r="AM335" s="1636"/>
      <c r="AN335" s="1712"/>
      <c r="AO335" s="1713"/>
      <c r="AP335" s="1638"/>
      <c r="AQ335" s="1638"/>
      <c r="AR335" s="1638"/>
      <c r="AS335" s="1639"/>
      <c r="AT335" s="1638"/>
      <c r="AU335" s="1638"/>
      <c r="AV335" s="1638"/>
      <c r="AW335" s="1639"/>
      <c r="AX335" s="1640"/>
      <c r="AY335" s="1640"/>
      <c r="AZ335" s="1640"/>
      <c r="BA335" s="1641"/>
      <c r="BB335" s="1640"/>
      <c r="BC335" s="1640"/>
      <c r="BD335" s="1640"/>
      <c r="BE335" s="1644"/>
      <c r="BF335" s="1640"/>
      <c r="BG335" s="1640"/>
      <c r="BH335" s="1640"/>
      <c r="BI335" s="1641"/>
      <c r="BJ335" s="1640"/>
      <c r="BK335" s="1640"/>
      <c r="BL335" s="1640"/>
      <c r="BM335" s="1641"/>
      <c r="BN335" s="1640"/>
      <c r="BO335" s="1640"/>
      <c r="BP335" s="1640"/>
      <c r="BQ335" s="1641"/>
      <c r="BR335" s="1640"/>
      <c r="BS335" s="1640"/>
      <c r="BT335" s="1640"/>
      <c r="BU335" s="1641"/>
      <c r="BV335" s="1640"/>
      <c r="BW335" s="1640"/>
      <c r="BX335" s="1640"/>
      <c r="BY335" s="1641"/>
      <c r="BZ335" s="1640"/>
      <c r="CA335" s="1640"/>
      <c r="CB335" s="1640"/>
      <c r="CC335" s="1641"/>
      <c r="CD335" s="1640"/>
      <c r="CE335" s="1640"/>
      <c r="CF335" s="1640"/>
      <c r="CG335" s="1642"/>
      <c r="CH335" s="1668"/>
      <c r="CI335" s="1669"/>
      <c r="CJ335" s="1669"/>
      <c r="CK335" s="1669"/>
    </row>
    <row r="336" spans="1:107" s="1559" customFormat="1" ht="14" x14ac:dyDescent="0.15">
      <c r="A336" s="1802" t="s">
        <v>791</v>
      </c>
      <c r="B336" s="1803" t="s">
        <v>79</v>
      </c>
      <c r="C336" s="1803" t="s">
        <v>80</v>
      </c>
      <c r="D336" s="1803" t="s">
        <v>125</v>
      </c>
      <c r="E336" s="1803" t="s">
        <v>233</v>
      </c>
      <c r="F336" s="1803"/>
      <c r="G336" s="1667"/>
      <c r="H336" s="1502"/>
      <c r="I336" s="1645"/>
      <c r="J336" s="1630"/>
      <c r="K336" s="1630"/>
      <c r="L336" s="1631"/>
      <c r="M336" s="1631"/>
      <c r="N336" s="1631"/>
      <c r="O336" s="1631"/>
      <c r="P336" s="1631"/>
      <c r="Q336" s="1631"/>
      <c r="R336" s="1631"/>
      <c r="S336" s="1631"/>
      <c r="T336" s="1632"/>
      <c r="U336" s="1633"/>
      <c r="V336" s="1633"/>
      <c r="W336" s="1634"/>
      <c r="X336" s="1634"/>
      <c r="Y336" s="1634"/>
      <c r="Z336" s="1635"/>
      <c r="AA336" s="1634"/>
      <c r="AB336" s="1634"/>
      <c r="AC336" s="1508">
        <f t="shared" si="243"/>
        <v>0</v>
      </c>
      <c r="AD336" s="1509">
        <f t="shared" si="244"/>
        <v>0</v>
      </c>
      <c r="AE336" s="1509">
        <f t="shared" si="245"/>
        <v>0</v>
      </c>
      <c r="AF336" s="1509">
        <f t="shared" si="245"/>
        <v>0</v>
      </c>
      <c r="AG336" s="1509">
        <f>AR336+AV336+AZ336+BD336+BH336+BL336+BP336+BT336+BX336+CB336+CF336+CK336</f>
        <v>0</v>
      </c>
      <c r="AH336" s="1490">
        <f t="shared" si="213"/>
        <v>0</v>
      </c>
      <c r="AI336" s="1636">
        <f>H336-AC336</f>
        <v>0</v>
      </c>
      <c r="AJ336" s="1636">
        <f>AK336+AL336+AM336</f>
        <v>0</v>
      </c>
      <c r="AK336" s="1636">
        <f>I336-AE336</f>
        <v>0</v>
      </c>
      <c r="AL336" s="1636">
        <f t="shared" si="248"/>
        <v>0</v>
      </c>
      <c r="AM336" s="1636">
        <f>K336-AG336</f>
        <v>0</v>
      </c>
      <c r="AN336" s="1637"/>
      <c r="AO336" s="1637"/>
      <c r="AP336" s="1753"/>
      <c r="AQ336" s="1753"/>
      <c r="AR336" s="1753"/>
      <c r="AS336" s="1639"/>
      <c r="AT336" s="1753"/>
      <c r="AU336" s="1753"/>
      <c r="AV336" s="1753"/>
      <c r="AW336" s="1639"/>
      <c r="AX336" s="1641"/>
      <c r="AY336" s="1641"/>
      <c r="AZ336" s="1641"/>
      <c r="BA336" s="1641"/>
      <c r="BB336" s="1641"/>
      <c r="BC336" s="1641"/>
      <c r="BD336" s="1641"/>
      <c r="BE336" s="1644"/>
      <c r="BF336" s="1641"/>
      <c r="BG336" s="1641"/>
      <c r="BH336" s="1641"/>
      <c r="BI336" s="1641"/>
      <c r="BJ336" s="1641"/>
      <c r="BK336" s="1641"/>
      <c r="BL336" s="1641"/>
      <c r="BM336" s="1641"/>
      <c r="BN336" s="1641"/>
      <c r="BO336" s="1641"/>
      <c r="BP336" s="1641"/>
      <c r="BQ336" s="1641"/>
      <c r="BR336" s="1641"/>
      <c r="BS336" s="1641"/>
      <c r="BT336" s="1641"/>
      <c r="BU336" s="1641"/>
      <c r="BV336" s="1641"/>
      <c r="BW336" s="1641"/>
      <c r="BX336" s="1641"/>
      <c r="BY336" s="1641"/>
      <c r="BZ336" s="1641"/>
      <c r="CA336" s="1641"/>
      <c r="CB336" s="1641"/>
      <c r="CC336" s="1641"/>
      <c r="CD336" s="1641"/>
      <c r="CE336" s="1641"/>
      <c r="CF336" s="1641"/>
      <c r="CG336" s="1691"/>
      <c r="CH336" s="1641"/>
      <c r="CI336" s="1641"/>
      <c r="CJ336" s="1641"/>
      <c r="CK336" s="1641"/>
      <c r="CL336" s="1558"/>
      <c r="CM336" s="1558"/>
      <c r="CN336" s="1558"/>
      <c r="CO336" s="1558"/>
      <c r="CP336" s="1558"/>
      <c r="CQ336" s="1558"/>
      <c r="CR336" s="1558"/>
      <c r="CS336" s="1558"/>
      <c r="CT336" s="1558"/>
      <c r="CU336" s="1558"/>
      <c r="CV336" s="1558"/>
      <c r="CW336" s="1558"/>
      <c r="CY336" s="1558"/>
    </row>
    <row r="337" spans="1:104" s="1559" customFormat="1" ht="26" x14ac:dyDescent="0.15">
      <c r="A337" s="1868" t="s">
        <v>792</v>
      </c>
      <c r="B337" s="1869" t="s">
        <v>79</v>
      </c>
      <c r="C337" s="1869" t="s">
        <v>80</v>
      </c>
      <c r="D337" s="1869" t="s">
        <v>125</v>
      </c>
      <c r="E337" s="1869" t="s">
        <v>214</v>
      </c>
      <c r="F337" s="1869"/>
      <c r="G337" s="1870"/>
      <c r="H337" s="1822"/>
      <c r="I337" s="1645"/>
      <c r="J337" s="1630"/>
      <c r="K337" s="1630"/>
      <c r="L337" s="1631"/>
      <c r="M337" s="1631"/>
      <c r="N337" s="1631"/>
      <c r="O337" s="1631"/>
      <c r="P337" s="1631"/>
      <c r="Q337" s="1631"/>
      <c r="R337" s="1631"/>
      <c r="S337" s="1631"/>
      <c r="T337" s="1632"/>
      <c r="U337" s="1633"/>
      <c r="V337" s="1633"/>
      <c r="W337" s="1634"/>
      <c r="X337" s="1634"/>
      <c r="Y337" s="1634"/>
      <c r="Z337" s="1635"/>
      <c r="AA337" s="1634"/>
      <c r="AB337" s="1634"/>
      <c r="AC337" s="1508">
        <f t="shared" si="243"/>
        <v>0</v>
      </c>
      <c r="AD337" s="1509">
        <f t="shared" si="244"/>
        <v>0</v>
      </c>
      <c r="AE337" s="1509">
        <f t="shared" si="245"/>
        <v>0</v>
      </c>
      <c r="AF337" s="1509">
        <f t="shared" si="245"/>
        <v>0</v>
      </c>
      <c r="AG337" s="1509">
        <f>AR337+AV337+AZ337+BD337+BH337+BL337+BP337+BT337+BX337+CB337+CF337+CK337</f>
        <v>0</v>
      </c>
      <c r="AH337" s="1490">
        <f t="shared" si="213"/>
        <v>0</v>
      </c>
      <c r="AI337" s="1636">
        <f>H337-AC337</f>
        <v>0</v>
      </c>
      <c r="AJ337" s="1636">
        <f>AK337+AL337+AM337</f>
        <v>0</v>
      </c>
      <c r="AK337" s="1636">
        <f>I337-AE337</f>
        <v>0</v>
      </c>
      <c r="AL337" s="1636">
        <f t="shared" si="248"/>
        <v>0</v>
      </c>
      <c r="AM337" s="1636">
        <f>K337-AG337</f>
        <v>0</v>
      </c>
      <c r="AN337" s="1637"/>
      <c r="AO337" s="1637"/>
      <c r="AP337" s="1753"/>
      <c r="AQ337" s="1753"/>
      <c r="AR337" s="1753"/>
      <c r="AS337" s="1639"/>
      <c r="AT337" s="1753"/>
      <c r="AU337" s="1753"/>
      <c r="AV337" s="1753"/>
      <c r="AW337" s="1639"/>
      <c r="AX337" s="1641"/>
      <c r="AY337" s="1641"/>
      <c r="AZ337" s="1641"/>
      <c r="BA337" s="1641"/>
      <c r="BB337" s="1641"/>
      <c r="BC337" s="1641"/>
      <c r="BD337" s="1641"/>
      <c r="BE337" s="1644"/>
      <c r="BF337" s="1641"/>
      <c r="BG337" s="1641"/>
      <c r="BH337" s="1641"/>
      <c r="BI337" s="1641"/>
      <c r="BJ337" s="1641"/>
      <c r="BK337" s="1641"/>
      <c r="BL337" s="1641"/>
      <c r="BM337" s="1641"/>
      <c r="BN337" s="1641"/>
      <c r="BO337" s="1641"/>
      <c r="BP337" s="1641"/>
      <c r="BQ337" s="1641"/>
      <c r="BR337" s="1641"/>
      <c r="BS337" s="1641"/>
      <c r="BT337" s="1641"/>
      <c r="BU337" s="1641"/>
      <c r="BV337" s="1641"/>
      <c r="BW337" s="1641"/>
      <c r="BX337" s="1641"/>
      <c r="BY337" s="1641"/>
      <c r="BZ337" s="1641"/>
      <c r="CA337" s="1641"/>
      <c r="CB337" s="1641"/>
      <c r="CC337" s="1641"/>
      <c r="CD337" s="1641"/>
      <c r="CE337" s="1641"/>
      <c r="CF337" s="1641"/>
      <c r="CG337" s="1691"/>
      <c r="CH337" s="1641"/>
      <c r="CI337" s="1641"/>
      <c r="CJ337" s="1641"/>
      <c r="CK337" s="1641"/>
      <c r="CL337" s="1558"/>
      <c r="CM337" s="1558"/>
      <c r="CN337" s="1558"/>
      <c r="CO337" s="1558"/>
      <c r="CP337" s="1558"/>
      <c r="CQ337" s="1558"/>
      <c r="CR337" s="1558"/>
      <c r="CS337" s="1558"/>
      <c r="CT337" s="1558"/>
      <c r="CU337" s="1558"/>
      <c r="CV337" s="1558"/>
      <c r="CW337" s="1558"/>
      <c r="CY337" s="1558"/>
    </row>
    <row r="338" spans="1:104" s="1559" customFormat="1" ht="26" x14ac:dyDescent="0.15">
      <c r="A338" s="1779" t="s">
        <v>1125</v>
      </c>
      <c r="B338" s="1781" t="s">
        <v>79</v>
      </c>
      <c r="C338" s="1781" t="s">
        <v>80</v>
      </c>
      <c r="D338" s="1781" t="s">
        <v>125</v>
      </c>
      <c r="E338" s="1780" t="s">
        <v>214</v>
      </c>
      <c r="F338" s="1780">
        <v>600</v>
      </c>
      <c r="G338" s="1864"/>
      <c r="H338" s="1578">
        <f>H339+H353</f>
        <v>213372.69999999998</v>
      </c>
      <c r="I338" s="1578"/>
      <c r="J338" s="1578">
        <f>J339+J353</f>
        <v>6060.33</v>
      </c>
      <c r="K338" s="1578"/>
      <c r="L338" s="1579"/>
      <c r="M338" s="1579"/>
      <c r="N338" s="1579"/>
      <c r="O338" s="1579"/>
      <c r="P338" s="1579"/>
      <c r="Q338" s="1579"/>
      <c r="R338" s="1579"/>
      <c r="S338" s="1579"/>
      <c r="T338" s="1580"/>
      <c r="U338" s="1581"/>
      <c r="V338" s="1581"/>
      <c r="W338" s="1582"/>
      <c r="X338" s="1582"/>
      <c r="Y338" s="1582"/>
      <c r="Z338" s="1583"/>
      <c r="AA338" s="1582"/>
      <c r="AB338" s="1582"/>
      <c r="AC338" s="1584">
        <f t="shared" ref="AC338:CB338" si="249">AC339+AC353</f>
        <v>110648.69999999998</v>
      </c>
      <c r="AD338" s="1584">
        <f t="shared" si="249"/>
        <v>40584.43</v>
      </c>
      <c r="AE338" s="1584">
        <f t="shared" si="249"/>
        <v>32724</v>
      </c>
      <c r="AF338" s="1584">
        <f t="shared" si="249"/>
        <v>6060.33</v>
      </c>
      <c r="AG338" s="1584">
        <f t="shared" si="249"/>
        <v>1800.1</v>
      </c>
      <c r="AH338" s="1584">
        <f t="shared" si="249"/>
        <v>9251.5</v>
      </c>
      <c r="AI338" s="1585">
        <f t="shared" si="249"/>
        <v>0</v>
      </c>
      <c r="AJ338" s="1585">
        <f t="shared" si="249"/>
        <v>70000</v>
      </c>
      <c r="AK338" s="1585">
        <f t="shared" si="249"/>
        <v>70000</v>
      </c>
      <c r="AL338" s="1636">
        <f t="shared" ref="AL338:AM401" si="250">J338-AF338</f>
        <v>0</v>
      </c>
      <c r="AM338" s="1585">
        <f t="shared" si="249"/>
        <v>0</v>
      </c>
      <c r="AN338" s="1586"/>
      <c r="AO338" s="1586">
        <f t="shared" si="249"/>
        <v>8297.5500000000011</v>
      </c>
      <c r="AP338" s="1586">
        <f t="shared" si="249"/>
        <v>30.58</v>
      </c>
      <c r="AQ338" s="1586">
        <f t="shared" si="249"/>
        <v>0</v>
      </c>
      <c r="AR338" s="1586">
        <f t="shared" si="249"/>
        <v>0</v>
      </c>
      <c r="AS338" s="1583">
        <f t="shared" si="249"/>
        <v>7995.2000000000007</v>
      </c>
      <c r="AT338" s="1586">
        <f t="shared" si="249"/>
        <v>0</v>
      </c>
      <c r="AU338" s="1586">
        <f t="shared" si="249"/>
        <v>0</v>
      </c>
      <c r="AV338" s="1586">
        <f t="shared" si="249"/>
        <v>0</v>
      </c>
      <c r="AW338" s="1583">
        <f t="shared" si="249"/>
        <v>7739.6</v>
      </c>
      <c r="AX338" s="1586">
        <f t="shared" si="249"/>
        <v>0</v>
      </c>
      <c r="AY338" s="1586">
        <f t="shared" si="249"/>
        <v>0</v>
      </c>
      <c r="AZ338" s="1586">
        <f t="shared" si="249"/>
        <v>0</v>
      </c>
      <c r="BA338" s="1586">
        <f t="shared" si="249"/>
        <v>7739.6299999999992</v>
      </c>
      <c r="BB338" s="1586">
        <f t="shared" si="249"/>
        <v>0</v>
      </c>
      <c r="BC338" s="1586">
        <f t="shared" si="249"/>
        <v>0</v>
      </c>
      <c r="BD338" s="1586">
        <f t="shared" si="249"/>
        <v>0</v>
      </c>
      <c r="BE338" s="1511">
        <f t="shared" si="249"/>
        <v>9242.1799999999985</v>
      </c>
      <c r="BF338" s="1586">
        <f t="shared" si="249"/>
        <v>711.67</v>
      </c>
      <c r="BG338" s="1586">
        <f t="shared" si="249"/>
        <v>0</v>
      </c>
      <c r="BH338" s="1586">
        <f t="shared" si="249"/>
        <v>0</v>
      </c>
      <c r="BI338" s="1586">
        <f t="shared" si="249"/>
        <v>3864.6099999999997</v>
      </c>
      <c r="BJ338" s="1586">
        <f t="shared" si="249"/>
        <v>524</v>
      </c>
      <c r="BK338" s="1586">
        <f t="shared" si="249"/>
        <v>0</v>
      </c>
      <c r="BL338" s="1586">
        <f t="shared" si="249"/>
        <v>0</v>
      </c>
      <c r="BM338" s="1586">
        <f t="shared" si="249"/>
        <v>12007.24</v>
      </c>
      <c r="BN338" s="1586">
        <f t="shared" si="249"/>
        <v>0</v>
      </c>
      <c r="BO338" s="1586">
        <f t="shared" si="249"/>
        <v>0</v>
      </c>
      <c r="BP338" s="1586">
        <f t="shared" si="249"/>
        <v>0</v>
      </c>
      <c r="BQ338" s="1586">
        <f t="shared" si="249"/>
        <v>11306.15</v>
      </c>
      <c r="BR338" s="1586">
        <f t="shared" si="249"/>
        <v>0</v>
      </c>
      <c r="BS338" s="1586">
        <f t="shared" si="249"/>
        <v>0</v>
      </c>
      <c r="BT338" s="1586">
        <f t="shared" si="249"/>
        <v>0</v>
      </c>
      <c r="BU338" s="1586">
        <f t="shared" si="249"/>
        <v>10704.58</v>
      </c>
      <c r="BV338" s="1586">
        <f t="shared" si="249"/>
        <v>0</v>
      </c>
      <c r="BW338" s="1586">
        <f t="shared" si="249"/>
        <v>3879.7</v>
      </c>
      <c r="BX338" s="1586">
        <f t="shared" si="249"/>
        <v>600</v>
      </c>
      <c r="BY338" s="1586">
        <f t="shared" si="249"/>
        <v>8902.1299999999992</v>
      </c>
      <c r="BZ338" s="1586">
        <f t="shared" si="249"/>
        <v>0</v>
      </c>
      <c r="CA338" s="1586">
        <f t="shared" si="249"/>
        <v>0</v>
      </c>
      <c r="CB338" s="1586">
        <f t="shared" si="249"/>
        <v>0</v>
      </c>
      <c r="CC338" s="1586"/>
      <c r="CD338" s="1586">
        <f>CD339+CD353</f>
        <v>0</v>
      </c>
      <c r="CE338" s="1586">
        <f>CE339+CE353</f>
        <v>0</v>
      </c>
      <c r="CF338" s="1586">
        <f>CF339+CF353</f>
        <v>0</v>
      </c>
      <c r="CG338" s="1587"/>
      <c r="CH338" s="1586"/>
      <c r="CI338" s="1586">
        <f>CI339+CI353</f>
        <v>31457.75</v>
      </c>
      <c r="CJ338" s="1586">
        <f>CJ339+CJ353</f>
        <v>2180.63</v>
      </c>
      <c r="CK338" s="1586">
        <f>CK339+CK353</f>
        <v>1200.0999999999999</v>
      </c>
      <c r="CL338" s="1558"/>
      <c r="CM338" s="1558"/>
      <c r="CN338" s="1558"/>
      <c r="CO338" s="1558"/>
      <c r="CP338" s="1558"/>
      <c r="CQ338" s="1558"/>
      <c r="CR338" s="1558"/>
      <c r="CS338" s="1558"/>
      <c r="CT338" s="1558"/>
      <c r="CU338" s="1558"/>
      <c r="CV338" s="1558"/>
      <c r="CW338" s="1558"/>
      <c r="CY338" s="1558"/>
    </row>
    <row r="339" spans="1:104" s="1872" customFormat="1" ht="52" x14ac:dyDescent="0.15">
      <c r="A339" s="1802" t="s">
        <v>1135</v>
      </c>
      <c r="B339" s="1803" t="s">
        <v>79</v>
      </c>
      <c r="C339" s="1803" t="s">
        <v>80</v>
      </c>
      <c r="D339" s="1803" t="s">
        <v>125</v>
      </c>
      <c r="E339" s="1803" t="s">
        <v>214</v>
      </c>
      <c r="F339" s="1803" t="s">
        <v>765</v>
      </c>
      <c r="G339" s="1866" t="s">
        <v>766</v>
      </c>
      <c r="H339" s="1517">
        <f>H340+H341+H342+H343+H344+H345+H346+H347+H348+H349+H350+H351+H352</f>
        <v>110648.69999999998</v>
      </c>
      <c r="I339" s="1517">
        <f>I340+I341+I342+I343+I344+I345+I346+I347+I348+I349+I350+I351+I352</f>
        <v>102724</v>
      </c>
      <c r="J339" s="1517">
        <f>J340+J341+J342+J343+J344+J345+J346+J347+J348+J349+J350+J351+J352</f>
        <v>6060.33</v>
      </c>
      <c r="K339" s="1517">
        <f>K340+K341+K342+K343+K344+K345+K346+K347+K348+K349+K350+K351+K352</f>
        <v>1800.1</v>
      </c>
      <c r="L339" s="1517">
        <f t="shared" ref="L339:Q339" si="251">L340+L341+L342+L343+L344+L345+L346+L347+L348+L349+L350+L351+L352</f>
        <v>0</v>
      </c>
      <c r="M339" s="1517">
        <f t="shared" si="251"/>
        <v>0</v>
      </c>
      <c r="N339" s="1517">
        <f t="shared" si="251"/>
        <v>450</v>
      </c>
      <c r="O339" s="1517">
        <f t="shared" si="251"/>
        <v>0</v>
      </c>
      <c r="P339" s="1517">
        <f t="shared" si="251"/>
        <v>0</v>
      </c>
      <c r="Q339" s="1517">
        <f t="shared" si="251"/>
        <v>0</v>
      </c>
      <c r="R339" s="1518">
        <f>R340+R341+R342+R343+R344+R345+R346+R347+R348+R349+R350+R351+R352</f>
        <v>0</v>
      </c>
      <c r="S339" s="1518">
        <f>S340+S341+S342+S343+S344+S345+S346+S347+S348+S349+S350+S351+S352</f>
        <v>800</v>
      </c>
      <c r="T339" s="1539">
        <f>T340+T341+T342+T343+T344+T345+T346+T347+T348+T349+T350+T351+T352</f>
        <v>0</v>
      </c>
      <c r="U339" s="1588">
        <f>U340+U341+U342+U343+U344+U345+U346+U347+U348+U349+U350+U351+U352</f>
        <v>8862</v>
      </c>
      <c r="V339" s="1588"/>
      <c r="W339" s="1589"/>
      <c r="X339" s="1589"/>
      <c r="Y339" s="1589"/>
      <c r="Z339" s="1590"/>
      <c r="AA339" s="1589"/>
      <c r="AB339" s="1589"/>
      <c r="AC339" s="1591">
        <f t="shared" ref="AC339:CK339" si="252">AC340+AC341+AC342+AC343+AC344+AC345+AC346+AC347+AC348+AC349+AC350+AC351+AC352</f>
        <v>110648.69999999998</v>
      </c>
      <c r="AD339" s="1591">
        <f t="shared" si="252"/>
        <v>40584.43</v>
      </c>
      <c r="AE339" s="1591">
        <f t="shared" si="252"/>
        <v>32724</v>
      </c>
      <c r="AF339" s="1591">
        <f t="shared" si="252"/>
        <v>6060.33</v>
      </c>
      <c r="AG339" s="1591">
        <f t="shared" si="252"/>
        <v>1800.1</v>
      </c>
      <c r="AH339" s="1591">
        <f t="shared" si="252"/>
        <v>9251.5</v>
      </c>
      <c r="AI339" s="1592">
        <f t="shared" si="252"/>
        <v>0</v>
      </c>
      <c r="AJ339" s="1592">
        <f t="shared" si="252"/>
        <v>70000</v>
      </c>
      <c r="AK339" s="1592">
        <f t="shared" si="252"/>
        <v>70000</v>
      </c>
      <c r="AL339" s="1636">
        <f t="shared" si="250"/>
        <v>0</v>
      </c>
      <c r="AM339" s="1592">
        <f t="shared" si="252"/>
        <v>0</v>
      </c>
      <c r="AN339" s="1539"/>
      <c r="AO339" s="1539">
        <f t="shared" si="252"/>
        <v>8297.5500000000011</v>
      </c>
      <c r="AP339" s="1539">
        <f t="shared" si="252"/>
        <v>30.58</v>
      </c>
      <c r="AQ339" s="1539">
        <f t="shared" si="252"/>
        <v>0</v>
      </c>
      <c r="AR339" s="1539">
        <f t="shared" si="252"/>
        <v>0</v>
      </c>
      <c r="AS339" s="1590">
        <f t="shared" si="252"/>
        <v>7995.2000000000007</v>
      </c>
      <c r="AT339" s="1539">
        <f t="shared" si="252"/>
        <v>0</v>
      </c>
      <c r="AU339" s="1539">
        <f t="shared" si="252"/>
        <v>0</v>
      </c>
      <c r="AV339" s="1539">
        <f t="shared" si="252"/>
        <v>0</v>
      </c>
      <c r="AW339" s="1590">
        <f t="shared" si="252"/>
        <v>7739.6</v>
      </c>
      <c r="AX339" s="1539">
        <f t="shared" si="252"/>
        <v>0</v>
      </c>
      <c r="AY339" s="1539">
        <f t="shared" si="252"/>
        <v>0</v>
      </c>
      <c r="AZ339" s="1539">
        <f t="shared" si="252"/>
        <v>0</v>
      </c>
      <c r="BA339" s="1539">
        <f t="shared" si="252"/>
        <v>7739.6299999999992</v>
      </c>
      <c r="BB339" s="1539">
        <f t="shared" si="252"/>
        <v>0</v>
      </c>
      <c r="BC339" s="1539">
        <f t="shared" si="252"/>
        <v>0</v>
      </c>
      <c r="BD339" s="1539">
        <f t="shared" si="252"/>
        <v>0</v>
      </c>
      <c r="BE339" s="1539">
        <f t="shared" si="252"/>
        <v>9242.1799999999985</v>
      </c>
      <c r="BF339" s="1539">
        <f t="shared" si="252"/>
        <v>711.67</v>
      </c>
      <c r="BG339" s="1539">
        <f t="shared" si="252"/>
        <v>0</v>
      </c>
      <c r="BH339" s="1539">
        <f t="shared" si="252"/>
        <v>0</v>
      </c>
      <c r="BI339" s="1539">
        <f t="shared" si="252"/>
        <v>3864.6099999999997</v>
      </c>
      <c r="BJ339" s="1539">
        <f t="shared" si="252"/>
        <v>524</v>
      </c>
      <c r="BK339" s="1539">
        <f t="shared" si="252"/>
        <v>0</v>
      </c>
      <c r="BL339" s="1539">
        <f t="shared" si="252"/>
        <v>0</v>
      </c>
      <c r="BM339" s="1539">
        <f t="shared" si="252"/>
        <v>12007.24</v>
      </c>
      <c r="BN339" s="1539">
        <f t="shared" si="252"/>
        <v>0</v>
      </c>
      <c r="BO339" s="1539">
        <f t="shared" si="252"/>
        <v>0</v>
      </c>
      <c r="BP339" s="1539">
        <f t="shared" si="252"/>
        <v>0</v>
      </c>
      <c r="BQ339" s="1539">
        <f t="shared" si="252"/>
        <v>11306.15</v>
      </c>
      <c r="BR339" s="1539">
        <f t="shared" si="252"/>
        <v>0</v>
      </c>
      <c r="BS339" s="1539">
        <f t="shared" si="252"/>
        <v>0</v>
      </c>
      <c r="BT339" s="1539">
        <f t="shared" si="252"/>
        <v>0</v>
      </c>
      <c r="BU339" s="1539">
        <f t="shared" si="252"/>
        <v>10704.58</v>
      </c>
      <c r="BV339" s="1539">
        <f t="shared" si="252"/>
        <v>0</v>
      </c>
      <c r="BW339" s="1539">
        <f t="shared" si="252"/>
        <v>3879.7</v>
      </c>
      <c r="BX339" s="1539">
        <f t="shared" si="252"/>
        <v>600</v>
      </c>
      <c r="BY339" s="1539">
        <f t="shared" si="252"/>
        <v>8902.1299999999992</v>
      </c>
      <c r="BZ339" s="1539">
        <f t="shared" si="252"/>
        <v>0</v>
      </c>
      <c r="CA339" s="1539">
        <f t="shared" si="252"/>
        <v>0</v>
      </c>
      <c r="CB339" s="1539">
        <f t="shared" si="252"/>
        <v>0</v>
      </c>
      <c r="CC339" s="1539">
        <f t="shared" si="252"/>
        <v>8698.33</v>
      </c>
      <c r="CD339" s="1539">
        <f t="shared" si="252"/>
        <v>0</v>
      </c>
      <c r="CE339" s="1539">
        <f t="shared" si="252"/>
        <v>0</v>
      </c>
      <c r="CF339" s="1539">
        <f t="shared" si="252"/>
        <v>0</v>
      </c>
      <c r="CG339" s="1593"/>
      <c r="CH339" s="1539">
        <f t="shared" si="252"/>
        <v>14151.5</v>
      </c>
      <c r="CI339" s="1539">
        <f t="shared" si="252"/>
        <v>31457.75</v>
      </c>
      <c r="CJ339" s="1539">
        <f t="shared" si="252"/>
        <v>2180.63</v>
      </c>
      <c r="CK339" s="1539">
        <f t="shared" si="252"/>
        <v>1200.0999999999999</v>
      </c>
      <c r="CL339" s="1871"/>
      <c r="CM339" s="1871"/>
      <c r="CN339" s="1871"/>
      <c r="CO339" s="1871"/>
      <c r="CP339" s="1871"/>
      <c r="CQ339" s="1871"/>
      <c r="CR339" s="1871"/>
      <c r="CS339" s="1871"/>
      <c r="CT339" s="1871"/>
      <c r="CU339" s="1871"/>
      <c r="CV339" s="1871"/>
      <c r="CW339" s="1871"/>
      <c r="CY339" s="1871"/>
    </row>
    <row r="340" spans="1:104" s="1559" customFormat="1" x14ac:dyDescent="0.15">
      <c r="A340" s="1541" t="s">
        <v>124</v>
      </c>
      <c r="B340" s="1523" t="s">
        <v>79</v>
      </c>
      <c r="C340" s="1523" t="s">
        <v>80</v>
      </c>
      <c r="D340" s="1523" t="s">
        <v>125</v>
      </c>
      <c r="E340" s="1523" t="s">
        <v>214</v>
      </c>
      <c r="F340" s="1523"/>
      <c r="G340" s="1667">
        <v>211</v>
      </c>
      <c r="H340" s="1502">
        <f t="shared" ref="H340:BS344" si="253">H356+H372+H388+H404+H420</f>
        <v>72576.7</v>
      </c>
      <c r="I340" s="1502">
        <f t="shared" si="253"/>
        <v>0</v>
      </c>
      <c r="J340" s="1502">
        <f t="shared" si="253"/>
        <v>0</v>
      </c>
      <c r="K340" s="1502">
        <f t="shared" si="253"/>
        <v>0</v>
      </c>
      <c r="L340" s="1502">
        <f t="shared" si="253"/>
        <v>0</v>
      </c>
      <c r="M340" s="1502">
        <f t="shared" si="253"/>
        <v>0</v>
      </c>
      <c r="N340" s="1502">
        <f t="shared" si="253"/>
        <v>0</v>
      </c>
      <c r="O340" s="1502">
        <f t="shared" si="253"/>
        <v>0</v>
      </c>
      <c r="P340" s="1502">
        <f t="shared" si="253"/>
        <v>0</v>
      </c>
      <c r="Q340" s="1502">
        <f t="shared" si="253"/>
        <v>0</v>
      </c>
      <c r="R340" s="1503">
        <f t="shared" si="253"/>
        <v>0</v>
      </c>
      <c r="S340" s="1503">
        <f t="shared" si="253"/>
        <v>0</v>
      </c>
      <c r="T340" s="1504"/>
      <c r="U340" s="1505">
        <f t="shared" ref="U340:U352" si="254">U356+U372+U388+U404+U420</f>
        <v>4447.3</v>
      </c>
      <c r="V340" s="1505"/>
      <c r="W340" s="1511">
        <f>W356+W372+W388+W404+W420</f>
        <v>6048.0583333333334</v>
      </c>
      <c r="X340" s="1511">
        <f>X356+X372+X388+X404+X420</f>
        <v>6248.5</v>
      </c>
      <c r="Y340" s="1511">
        <f>Y356+Y372+Y388+Y404+Y420</f>
        <v>5814.3</v>
      </c>
      <c r="Z340" s="1511">
        <f>Z356+Z372+Z388+Z404+Z420</f>
        <v>5814.3</v>
      </c>
      <c r="AA340" s="1634"/>
      <c r="AB340" s="1634"/>
      <c r="AC340" s="1545">
        <f t="shared" si="253"/>
        <v>72576.7</v>
      </c>
      <c r="AD340" s="1545">
        <f t="shared" si="253"/>
        <v>0</v>
      </c>
      <c r="AE340" s="1545">
        <f t="shared" si="253"/>
        <v>0</v>
      </c>
      <c r="AF340" s="1545">
        <f t="shared" si="253"/>
        <v>0</v>
      </c>
      <c r="AG340" s="1545">
        <f t="shared" si="253"/>
        <v>0</v>
      </c>
      <c r="AH340" s="1545">
        <f t="shared" si="253"/>
        <v>5481.1670000000004</v>
      </c>
      <c r="AI340" s="1510">
        <f t="shared" si="253"/>
        <v>0</v>
      </c>
      <c r="AJ340" s="1510">
        <f t="shared" si="253"/>
        <v>0</v>
      </c>
      <c r="AK340" s="1510">
        <f t="shared" si="253"/>
        <v>0</v>
      </c>
      <c r="AL340" s="1636">
        <f t="shared" si="250"/>
        <v>0</v>
      </c>
      <c r="AM340" s="1510">
        <f t="shared" si="253"/>
        <v>0</v>
      </c>
      <c r="AN340" s="1510">
        <f>AN356+AN372+AN388+AN404+AN420</f>
        <v>-11879.45</v>
      </c>
      <c r="AO340" s="1511">
        <f t="shared" si="253"/>
        <v>5939.8</v>
      </c>
      <c r="AP340" s="1511">
        <f t="shared" si="253"/>
        <v>0</v>
      </c>
      <c r="AQ340" s="1511">
        <f t="shared" si="253"/>
        <v>0</v>
      </c>
      <c r="AR340" s="1511">
        <f t="shared" si="253"/>
        <v>0</v>
      </c>
      <c r="AS340" s="1507">
        <f t="shared" si="253"/>
        <v>5944.4000000000005</v>
      </c>
      <c r="AT340" s="1511">
        <f t="shared" si="253"/>
        <v>0</v>
      </c>
      <c r="AU340" s="1511">
        <f t="shared" si="253"/>
        <v>0</v>
      </c>
      <c r="AV340" s="1511">
        <f t="shared" si="253"/>
        <v>0</v>
      </c>
      <c r="AW340" s="1507">
        <f t="shared" si="253"/>
        <v>5944.4000000000005</v>
      </c>
      <c r="AX340" s="1511">
        <f t="shared" si="253"/>
        <v>0</v>
      </c>
      <c r="AY340" s="1511">
        <f t="shared" si="253"/>
        <v>0</v>
      </c>
      <c r="AZ340" s="1511">
        <f t="shared" si="253"/>
        <v>0</v>
      </c>
      <c r="BA340" s="1511">
        <f t="shared" si="253"/>
        <v>5944.4299999999994</v>
      </c>
      <c r="BB340" s="1511">
        <f t="shared" si="253"/>
        <v>0</v>
      </c>
      <c r="BC340" s="1511">
        <f t="shared" si="253"/>
        <v>0</v>
      </c>
      <c r="BD340" s="1511">
        <f t="shared" si="253"/>
        <v>0</v>
      </c>
      <c r="BE340" s="1511">
        <f t="shared" si="253"/>
        <v>5944.4299999999994</v>
      </c>
      <c r="BF340" s="1511">
        <f t="shared" si="253"/>
        <v>0</v>
      </c>
      <c r="BG340" s="1511">
        <f t="shared" si="253"/>
        <v>0</v>
      </c>
      <c r="BH340" s="1511">
        <f t="shared" si="253"/>
        <v>0</v>
      </c>
      <c r="BI340" s="1511">
        <f t="shared" si="253"/>
        <v>3390.16</v>
      </c>
      <c r="BJ340" s="1511">
        <f t="shared" si="253"/>
        <v>0</v>
      </c>
      <c r="BK340" s="1511">
        <f t="shared" si="253"/>
        <v>0</v>
      </c>
      <c r="BL340" s="1511">
        <f t="shared" si="253"/>
        <v>0</v>
      </c>
      <c r="BM340" s="1511">
        <f t="shared" si="253"/>
        <v>8470.77</v>
      </c>
      <c r="BN340" s="1511">
        <f t="shared" si="253"/>
        <v>0</v>
      </c>
      <c r="BO340" s="1511">
        <f t="shared" si="253"/>
        <v>0</v>
      </c>
      <c r="BP340" s="1511">
        <f t="shared" si="253"/>
        <v>0</v>
      </c>
      <c r="BQ340" s="1511">
        <f t="shared" si="253"/>
        <v>6053.8</v>
      </c>
      <c r="BR340" s="1511">
        <f t="shared" si="253"/>
        <v>0</v>
      </c>
      <c r="BS340" s="1511">
        <f t="shared" si="253"/>
        <v>0</v>
      </c>
      <c r="BT340" s="1511">
        <f t="shared" ref="BT340:CF340" si="255">BT356+BT372+BT388+BT404+BT420</f>
        <v>0</v>
      </c>
      <c r="BU340" s="1511">
        <f t="shared" si="255"/>
        <v>6201.5999999999995</v>
      </c>
      <c r="BV340" s="1511">
        <f t="shared" si="255"/>
        <v>0</v>
      </c>
      <c r="BW340" s="1511">
        <f t="shared" si="255"/>
        <v>0</v>
      </c>
      <c r="BX340" s="1511">
        <f t="shared" si="255"/>
        <v>0</v>
      </c>
      <c r="BY340" s="1511">
        <f t="shared" si="255"/>
        <v>6680.43</v>
      </c>
      <c r="BZ340" s="1511">
        <f t="shared" si="255"/>
        <v>0</v>
      </c>
      <c r="CA340" s="1511">
        <f t="shared" si="255"/>
        <v>0</v>
      </c>
      <c r="CB340" s="1511">
        <f t="shared" si="255"/>
        <v>0</v>
      </c>
      <c r="CC340" s="1511">
        <f t="shared" si="255"/>
        <v>5814.3</v>
      </c>
      <c r="CD340" s="1511">
        <f t="shared" si="255"/>
        <v>0</v>
      </c>
      <c r="CE340" s="1511">
        <f t="shared" si="255"/>
        <v>0</v>
      </c>
      <c r="CF340" s="1511">
        <f t="shared" si="255"/>
        <v>0</v>
      </c>
      <c r="CG340" s="1596"/>
      <c r="CH340" s="1511">
        <f t="shared" ref="CH340:CK352" si="256">CH356+CH372+CH388+CH404+CH420</f>
        <v>6248.18</v>
      </c>
      <c r="CI340" s="1511">
        <f t="shared" si="256"/>
        <v>0</v>
      </c>
      <c r="CJ340" s="1511">
        <f t="shared" si="256"/>
        <v>0</v>
      </c>
      <c r="CK340" s="1511">
        <f t="shared" si="256"/>
        <v>0</v>
      </c>
      <c r="CL340" s="1558"/>
      <c r="CM340" s="1558"/>
      <c r="CN340" s="1558"/>
      <c r="CO340" s="1558"/>
      <c r="CP340" s="1558"/>
      <c r="CQ340" s="1558"/>
      <c r="CR340" s="1558"/>
      <c r="CS340" s="1558"/>
      <c r="CT340" s="1558"/>
      <c r="CU340" s="1558"/>
      <c r="CV340" s="1558"/>
      <c r="CW340" s="1558"/>
      <c r="CX340" s="1558">
        <f>H340/12*10-AC340</f>
        <v>-12096.116666666661</v>
      </c>
      <c r="CY340" s="1558">
        <f>AI340/3</f>
        <v>0</v>
      </c>
      <c r="CZ340" s="1558">
        <f>H340/12</f>
        <v>6048.0583333333334</v>
      </c>
    </row>
    <row r="341" spans="1:104" s="1559" customFormat="1" x14ac:dyDescent="0.15">
      <c r="A341" s="1541" t="s">
        <v>83</v>
      </c>
      <c r="B341" s="1523" t="s">
        <v>79</v>
      </c>
      <c r="C341" s="1523" t="s">
        <v>80</v>
      </c>
      <c r="D341" s="1523" t="s">
        <v>125</v>
      </c>
      <c r="E341" s="1523" t="s">
        <v>214</v>
      </c>
      <c r="F341" s="1523"/>
      <c r="G341" s="1667">
        <v>212</v>
      </c>
      <c r="H341" s="1502">
        <f t="shared" si="253"/>
        <v>3</v>
      </c>
      <c r="I341" s="1502">
        <f>I357+I373+I389+I405+I421</f>
        <v>7</v>
      </c>
      <c r="J341" s="1502">
        <f>J357+J373+J389+J405+J421</f>
        <v>0</v>
      </c>
      <c r="K341" s="1502">
        <f>K357+K373+K389+K405+K421</f>
        <v>0</v>
      </c>
      <c r="L341" s="1502">
        <f t="shared" si="253"/>
        <v>0</v>
      </c>
      <c r="M341" s="1502">
        <f t="shared" si="253"/>
        <v>0</v>
      </c>
      <c r="N341" s="1502">
        <f t="shared" si="253"/>
        <v>0</v>
      </c>
      <c r="O341" s="1502">
        <f t="shared" si="253"/>
        <v>0</v>
      </c>
      <c r="P341" s="1502">
        <f t="shared" si="253"/>
        <v>0</v>
      </c>
      <c r="Q341" s="1502">
        <f t="shared" si="253"/>
        <v>0</v>
      </c>
      <c r="R341" s="1503">
        <f t="shared" si="253"/>
        <v>0</v>
      </c>
      <c r="S341" s="1503">
        <f t="shared" si="253"/>
        <v>0</v>
      </c>
      <c r="T341" s="1504"/>
      <c r="U341" s="1505">
        <f t="shared" si="254"/>
        <v>0</v>
      </c>
      <c r="V341" s="1505"/>
      <c r="W341" s="1634"/>
      <c r="X341" s="1634"/>
      <c r="Y341" s="1634"/>
      <c r="Z341" s="1635"/>
      <c r="AA341" s="1634"/>
      <c r="AB341" s="1634"/>
      <c r="AC341" s="1545">
        <f>AC357+AC373+AC389+AC405+AC421</f>
        <v>3</v>
      </c>
      <c r="AD341" s="1545">
        <f t="shared" si="253"/>
        <v>7</v>
      </c>
      <c r="AE341" s="1545">
        <f t="shared" si="253"/>
        <v>7</v>
      </c>
      <c r="AF341" s="1545">
        <f t="shared" si="253"/>
        <v>0</v>
      </c>
      <c r="AG341" s="1545">
        <f t="shared" si="253"/>
        <v>0</v>
      </c>
      <c r="AH341" s="1545">
        <f t="shared" si="253"/>
        <v>2.4500000000000002</v>
      </c>
      <c r="AI341" s="1510">
        <f>AI357+AI373+AI389+AI405+AI421</f>
        <v>0</v>
      </c>
      <c r="AJ341" s="1510">
        <f>AJ357+AJ373+AJ389+AJ405+AJ421</f>
        <v>0</v>
      </c>
      <c r="AK341" s="1510">
        <f>AK357+AK373+AK389+AK405+AK421</f>
        <v>0</v>
      </c>
      <c r="AL341" s="1636">
        <f t="shared" si="250"/>
        <v>0</v>
      </c>
      <c r="AM341" s="1510">
        <f>AM357+AM373+AM389+AM405+AM421</f>
        <v>0</v>
      </c>
      <c r="AN341" s="1510">
        <f>AN357+AN373+AN389+AN405+AN421</f>
        <v>0</v>
      </c>
      <c r="AO341" s="1511">
        <f>AO357+AO373+AO389+AO405+AO421</f>
        <v>0.55000000000000004</v>
      </c>
      <c r="AP341" s="1511">
        <f>AP357+AP373+AP389+AP405+AP421</f>
        <v>0</v>
      </c>
      <c r="AQ341" s="1511">
        <f t="shared" si="253"/>
        <v>0</v>
      </c>
      <c r="AR341" s="1511">
        <f t="shared" si="253"/>
        <v>0</v>
      </c>
      <c r="AS341" s="1507">
        <f t="shared" si="253"/>
        <v>0</v>
      </c>
      <c r="AT341" s="1511">
        <f t="shared" si="253"/>
        <v>0</v>
      </c>
      <c r="AU341" s="1511">
        <f t="shared" si="253"/>
        <v>0</v>
      </c>
      <c r="AV341" s="1511">
        <f t="shared" si="253"/>
        <v>0</v>
      </c>
      <c r="AW341" s="1507">
        <f t="shared" si="253"/>
        <v>0</v>
      </c>
      <c r="AX341" s="1511">
        <f t="shared" si="253"/>
        <v>0</v>
      </c>
      <c r="AY341" s="1511">
        <f t="shared" si="253"/>
        <v>0</v>
      </c>
      <c r="AZ341" s="1511">
        <f t="shared" si="253"/>
        <v>0</v>
      </c>
      <c r="BA341" s="1511">
        <f t="shared" si="253"/>
        <v>0</v>
      </c>
      <c r="BB341" s="1511">
        <f t="shared" si="253"/>
        <v>0</v>
      </c>
      <c r="BC341" s="1511">
        <f t="shared" si="253"/>
        <v>0</v>
      </c>
      <c r="BD341" s="1511">
        <f t="shared" si="253"/>
        <v>0</v>
      </c>
      <c r="BE341" s="1511">
        <f t="shared" si="253"/>
        <v>0</v>
      </c>
      <c r="BF341" s="1511">
        <f t="shared" si="253"/>
        <v>0</v>
      </c>
      <c r="BG341" s="1511">
        <f t="shared" si="253"/>
        <v>0</v>
      </c>
      <c r="BH341" s="1511">
        <f t="shared" si="253"/>
        <v>0</v>
      </c>
      <c r="BI341" s="1511">
        <f t="shared" si="253"/>
        <v>0</v>
      </c>
      <c r="BJ341" s="1511">
        <f t="shared" si="253"/>
        <v>3</v>
      </c>
      <c r="BK341" s="1511">
        <f t="shared" si="253"/>
        <v>0</v>
      </c>
      <c r="BL341" s="1511">
        <f t="shared" si="253"/>
        <v>0</v>
      </c>
      <c r="BM341" s="1511">
        <f t="shared" si="253"/>
        <v>0</v>
      </c>
      <c r="BN341" s="1511">
        <f t="shared" si="253"/>
        <v>0</v>
      </c>
      <c r="BO341" s="1511">
        <f t="shared" si="253"/>
        <v>0</v>
      </c>
      <c r="BP341" s="1511">
        <f t="shared" si="253"/>
        <v>0</v>
      </c>
      <c r="BQ341" s="1511">
        <f t="shared" si="253"/>
        <v>0</v>
      </c>
      <c r="BR341" s="1511">
        <f t="shared" si="253"/>
        <v>0</v>
      </c>
      <c r="BS341" s="1511">
        <f t="shared" si="253"/>
        <v>0</v>
      </c>
      <c r="BT341" s="1511">
        <f t="shared" ref="BT341:CF341" si="257">BT357+BT373+BT389+BT405+BT421</f>
        <v>0</v>
      </c>
      <c r="BU341" s="1511">
        <f t="shared" si="257"/>
        <v>0</v>
      </c>
      <c r="BV341" s="1511">
        <f t="shared" si="257"/>
        <v>0</v>
      </c>
      <c r="BW341" s="1511">
        <f t="shared" si="257"/>
        <v>0</v>
      </c>
      <c r="BX341" s="1511">
        <f t="shared" si="257"/>
        <v>0</v>
      </c>
      <c r="BY341" s="1511">
        <f t="shared" si="257"/>
        <v>0</v>
      </c>
      <c r="BZ341" s="1511">
        <f t="shared" si="257"/>
        <v>0</v>
      </c>
      <c r="CA341" s="1511">
        <f t="shared" si="257"/>
        <v>0</v>
      </c>
      <c r="CB341" s="1511">
        <f t="shared" si="257"/>
        <v>0</v>
      </c>
      <c r="CC341" s="1511">
        <f t="shared" si="257"/>
        <v>0</v>
      </c>
      <c r="CD341" s="1511">
        <f t="shared" si="257"/>
        <v>0</v>
      </c>
      <c r="CE341" s="1511">
        <f t="shared" si="257"/>
        <v>0</v>
      </c>
      <c r="CF341" s="1511">
        <f t="shared" si="257"/>
        <v>0</v>
      </c>
      <c r="CG341" s="1596"/>
      <c r="CH341" s="1511">
        <f t="shared" si="256"/>
        <v>2.4500000000000002</v>
      </c>
      <c r="CI341" s="1511">
        <f t="shared" si="256"/>
        <v>4</v>
      </c>
      <c r="CJ341" s="1511">
        <f t="shared" si="256"/>
        <v>0</v>
      </c>
      <c r="CK341" s="1511">
        <f t="shared" si="256"/>
        <v>0</v>
      </c>
      <c r="CL341" s="1558"/>
      <c r="CM341" s="1558"/>
      <c r="CN341" s="1558"/>
      <c r="CO341" s="1558"/>
      <c r="CP341" s="1558"/>
      <c r="CQ341" s="1558"/>
      <c r="CR341" s="1558"/>
      <c r="CS341" s="1558"/>
      <c r="CT341" s="1558"/>
      <c r="CU341" s="1558"/>
      <c r="CV341" s="1558"/>
      <c r="CW341" s="1558"/>
      <c r="CX341" s="1558"/>
      <c r="CY341" s="1558"/>
      <c r="CZ341" s="1558"/>
    </row>
    <row r="342" spans="1:104" s="1559" customFormat="1" x14ac:dyDescent="0.15">
      <c r="A342" s="1541" t="s">
        <v>84</v>
      </c>
      <c r="B342" s="1523" t="s">
        <v>79</v>
      </c>
      <c r="C342" s="1523" t="s">
        <v>80</v>
      </c>
      <c r="D342" s="1523" t="s">
        <v>125</v>
      </c>
      <c r="E342" s="1523" t="s">
        <v>214</v>
      </c>
      <c r="F342" s="1523"/>
      <c r="G342" s="1667">
        <v>213</v>
      </c>
      <c r="H342" s="1502">
        <f t="shared" si="253"/>
        <v>21918.100000000002</v>
      </c>
      <c r="I342" s="1502">
        <f t="shared" si="253"/>
        <v>0</v>
      </c>
      <c r="J342" s="1502">
        <f t="shared" si="253"/>
        <v>0</v>
      </c>
      <c r="K342" s="1502">
        <f t="shared" si="253"/>
        <v>0</v>
      </c>
      <c r="L342" s="1502">
        <f t="shared" si="253"/>
        <v>0</v>
      </c>
      <c r="M342" s="1502">
        <f t="shared" si="253"/>
        <v>0</v>
      </c>
      <c r="N342" s="1502">
        <f t="shared" si="253"/>
        <v>0</v>
      </c>
      <c r="O342" s="1502">
        <f t="shared" si="253"/>
        <v>0</v>
      </c>
      <c r="P342" s="1502">
        <f t="shared" si="253"/>
        <v>0</v>
      </c>
      <c r="Q342" s="1502">
        <f t="shared" si="253"/>
        <v>0</v>
      </c>
      <c r="R342" s="1503">
        <f t="shared" si="253"/>
        <v>0</v>
      </c>
      <c r="S342" s="1503">
        <f t="shared" si="253"/>
        <v>0</v>
      </c>
      <c r="T342" s="1504"/>
      <c r="U342" s="1505">
        <f t="shared" si="254"/>
        <v>1343.1000000000001</v>
      </c>
      <c r="V342" s="1505"/>
      <c r="W342" s="1511">
        <f>W358+W374+W390+W406+W422</f>
        <v>1826.5083333333332</v>
      </c>
      <c r="X342" s="1511">
        <f>X358+X374+X390+X406+X422</f>
        <v>1887</v>
      </c>
      <c r="Y342" s="1511">
        <f>Y358+Y374+Y390+Y406+Y422</f>
        <v>1886.2</v>
      </c>
      <c r="Z342" s="1511">
        <f>Z358+Z374+Z390+Z406+Z422</f>
        <v>1886.2</v>
      </c>
      <c r="AA342" s="1634"/>
      <c r="AB342" s="1634"/>
      <c r="AC342" s="1545">
        <f t="shared" si="253"/>
        <v>21918.100000000002</v>
      </c>
      <c r="AD342" s="1545">
        <f t="shared" si="253"/>
        <v>0</v>
      </c>
      <c r="AE342" s="1545">
        <f t="shared" si="253"/>
        <v>0</v>
      </c>
      <c r="AF342" s="1545">
        <f t="shared" si="253"/>
        <v>0</v>
      </c>
      <c r="AG342" s="1545">
        <f t="shared" si="253"/>
        <v>0</v>
      </c>
      <c r="AH342" s="1545">
        <f t="shared" si="253"/>
        <v>1742.9590000000001</v>
      </c>
      <c r="AI342" s="1510">
        <f t="shared" si="253"/>
        <v>0</v>
      </c>
      <c r="AJ342" s="1510">
        <f t="shared" si="253"/>
        <v>0</v>
      </c>
      <c r="AK342" s="1510">
        <f t="shared" si="253"/>
        <v>0</v>
      </c>
      <c r="AL342" s="1636">
        <f t="shared" si="250"/>
        <v>0</v>
      </c>
      <c r="AM342" s="1510">
        <f t="shared" si="253"/>
        <v>0</v>
      </c>
      <c r="AN342" s="1510">
        <f>AN358+AN374+AN390+AN406+AN422</f>
        <v>-3587.5833333333358</v>
      </c>
      <c r="AO342" s="1511">
        <f t="shared" si="253"/>
        <v>1793.8</v>
      </c>
      <c r="AP342" s="1511">
        <f t="shared" si="253"/>
        <v>0</v>
      </c>
      <c r="AQ342" s="1511">
        <f t="shared" si="253"/>
        <v>0</v>
      </c>
      <c r="AR342" s="1511">
        <f t="shared" si="253"/>
        <v>0</v>
      </c>
      <c r="AS342" s="1507">
        <f t="shared" si="253"/>
        <v>1795.2</v>
      </c>
      <c r="AT342" s="1511">
        <f t="shared" si="253"/>
        <v>0</v>
      </c>
      <c r="AU342" s="1511">
        <f t="shared" si="253"/>
        <v>0</v>
      </c>
      <c r="AV342" s="1511">
        <f t="shared" si="253"/>
        <v>0</v>
      </c>
      <c r="AW342" s="1507">
        <f t="shared" si="253"/>
        <v>1795.2</v>
      </c>
      <c r="AX342" s="1511">
        <f t="shared" si="253"/>
        <v>0</v>
      </c>
      <c r="AY342" s="1511">
        <f t="shared" si="253"/>
        <v>0</v>
      </c>
      <c r="AZ342" s="1511">
        <f t="shared" si="253"/>
        <v>0</v>
      </c>
      <c r="BA342" s="1511">
        <f t="shared" si="253"/>
        <v>1795.2</v>
      </c>
      <c r="BB342" s="1511">
        <f t="shared" si="253"/>
        <v>0</v>
      </c>
      <c r="BC342" s="1511">
        <f t="shared" si="253"/>
        <v>0</v>
      </c>
      <c r="BD342" s="1511">
        <f t="shared" si="253"/>
        <v>0</v>
      </c>
      <c r="BE342" s="1511">
        <f t="shared" si="253"/>
        <v>1795.2</v>
      </c>
      <c r="BF342" s="1511">
        <f t="shared" si="253"/>
        <v>0</v>
      </c>
      <c r="BG342" s="1511">
        <f t="shared" si="253"/>
        <v>0</v>
      </c>
      <c r="BH342" s="1511">
        <f t="shared" si="253"/>
        <v>0</v>
      </c>
      <c r="BI342" s="1511">
        <f t="shared" si="253"/>
        <v>185.5</v>
      </c>
      <c r="BJ342" s="1511">
        <f t="shared" si="253"/>
        <v>0</v>
      </c>
      <c r="BK342" s="1511">
        <f t="shared" si="253"/>
        <v>0</v>
      </c>
      <c r="BL342" s="1511">
        <f t="shared" si="253"/>
        <v>0</v>
      </c>
      <c r="BM342" s="1511">
        <f t="shared" si="253"/>
        <v>3396.47</v>
      </c>
      <c r="BN342" s="1511">
        <f t="shared" si="253"/>
        <v>0</v>
      </c>
      <c r="BO342" s="1511">
        <f t="shared" si="253"/>
        <v>0</v>
      </c>
      <c r="BP342" s="1511">
        <f t="shared" si="253"/>
        <v>0</v>
      </c>
      <c r="BQ342" s="1511">
        <f t="shared" si="253"/>
        <v>1828.1000000000001</v>
      </c>
      <c r="BR342" s="1511">
        <f t="shared" si="253"/>
        <v>0</v>
      </c>
      <c r="BS342" s="1511">
        <f t="shared" si="253"/>
        <v>0</v>
      </c>
      <c r="BT342" s="1511">
        <f t="shared" ref="BT342:CF342" si="258">BT358+BT374+BT390+BT406+BT422</f>
        <v>0</v>
      </c>
      <c r="BU342" s="1511">
        <f t="shared" si="258"/>
        <v>1872.7999999999997</v>
      </c>
      <c r="BV342" s="1511">
        <f t="shared" si="258"/>
        <v>0</v>
      </c>
      <c r="BW342" s="1511">
        <f t="shared" si="258"/>
        <v>0</v>
      </c>
      <c r="BX342" s="1511">
        <f t="shared" si="258"/>
        <v>0</v>
      </c>
      <c r="BY342" s="1511">
        <f t="shared" si="258"/>
        <v>1887.4</v>
      </c>
      <c r="BZ342" s="1511">
        <f t="shared" si="258"/>
        <v>0</v>
      </c>
      <c r="CA342" s="1511">
        <f t="shared" si="258"/>
        <v>0</v>
      </c>
      <c r="CB342" s="1511">
        <f t="shared" si="258"/>
        <v>0</v>
      </c>
      <c r="CC342" s="1511">
        <f t="shared" si="258"/>
        <v>1886.2</v>
      </c>
      <c r="CD342" s="1511">
        <f t="shared" si="258"/>
        <v>0</v>
      </c>
      <c r="CE342" s="1511">
        <f t="shared" si="258"/>
        <v>0</v>
      </c>
      <c r="CF342" s="1511">
        <f t="shared" si="258"/>
        <v>0</v>
      </c>
      <c r="CG342" s="1596"/>
      <c r="CH342" s="1511">
        <f t="shared" si="256"/>
        <v>1887.0300000000002</v>
      </c>
      <c r="CI342" s="1511">
        <f t="shared" si="256"/>
        <v>0</v>
      </c>
      <c r="CJ342" s="1511">
        <f t="shared" si="256"/>
        <v>0</v>
      </c>
      <c r="CK342" s="1511">
        <f t="shared" si="256"/>
        <v>0</v>
      </c>
      <c r="CL342" s="1558"/>
      <c r="CM342" s="1558"/>
      <c r="CN342" s="1558"/>
      <c r="CO342" s="1558"/>
      <c r="CP342" s="1558"/>
      <c r="CQ342" s="1558"/>
      <c r="CR342" s="1558"/>
      <c r="CS342" s="1558"/>
      <c r="CT342" s="1558"/>
      <c r="CU342" s="1558"/>
      <c r="CV342" s="1558"/>
      <c r="CW342" s="1558"/>
      <c r="CX342" s="1558">
        <f>H342/12*10-AC342</f>
        <v>-3653.0166666666664</v>
      </c>
      <c r="CY342" s="1558">
        <f>AI342/3</f>
        <v>0</v>
      </c>
      <c r="CZ342" s="1558">
        <f>H342/12</f>
        <v>1826.5083333333334</v>
      </c>
    </row>
    <row r="343" spans="1:104" s="1559" customFormat="1" x14ac:dyDescent="0.15">
      <c r="A343" s="1541" t="s">
        <v>85</v>
      </c>
      <c r="B343" s="1523" t="s">
        <v>79</v>
      </c>
      <c r="C343" s="1523" t="s">
        <v>80</v>
      </c>
      <c r="D343" s="1523" t="s">
        <v>125</v>
      </c>
      <c r="E343" s="1523" t="s">
        <v>214</v>
      </c>
      <c r="F343" s="1523"/>
      <c r="G343" s="1667">
        <v>221</v>
      </c>
      <c r="H343" s="1502">
        <f t="shared" si="253"/>
        <v>171.2</v>
      </c>
      <c r="I343" s="1502">
        <f t="shared" si="253"/>
        <v>0</v>
      </c>
      <c r="J343" s="1502">
        <f t="shared" si="253"/>
        <v>0</v>
      </c>
      <c r="K343" s="1502">
        <f t="shared" si="253"/>
        <v>0</v>
      </c>
      <c r="L343" s="1502">
        <f t="shared" si="253"/>
        <v>0</v>
      </c>
      <c r="M343" s="1502">
        <f t="shared" si="253"/>
        <v>0</v>
      </c>
      <c r="N343" s="1502">
        <f t="shared" si="253"/>
        <v>0</v>
      </c>
      <c r="O343" s="1502">
        <f t="shared" si="253"/>
        <v>0</v>
      </c>
      <c r="P343" s="1502">
        <f t="shared" si="253"/>
        <v>0</v>
      </c>
      <c r="Q343" s="1502">
        <f t="shared" si="253"/>
        <v>0</v>
      </c>
      <c r="R343" s="1503">
        <f t="shared" si="253"/>
        <v>0</v>
      </c>
      <c r="S343" s="1503">
        <f t="shared" si="253"/>
        <v>0</v>
      </c>
      <c r="T343" s="1504"/>
      <c r="U343" s="1505">
        <f t="shared" si="254"/>
        <v>0</v>
      </c>
      <c r="V343" s="1505"/>
      <c r="W343" s="1506"/>
      <c r="X343" s="1506"/>
      <c r="Y343" s="1506"/>
      <c r="Z343" s="1507"/>
      <c r="AA343" s="1506"/>
      <c r="AB343" s="1506"/>
      <c r="AC343" s="1545">
        <f t="shared" si="253"/>
        <v>171.2</v>
      </c>
      <c r="AD343" s="1545">
        <f t="shared" si="253"/>
        <v>0</v>
      </c>
      <c r="AE343" s="1545">
        <f t="shared" si="253"/>
        <v>0</v>
      </c>
      <c r="AF343" s="1545">
        <f t="shared" si="253"/>
        <v>0</v>
      </c>
      <c r="AG343" s="1545">
        <f t="shared" si="253"/>
        <v>0</v>
      </c>
      <c r="AH343" s="1545">
        <f t="shared" si="253"/>
        <v>157</v>
      </c>
      <c r="AI343" s="1510">
        <f t="shared" si="253"/>
        <v>0</v>
      </c>
      <c r="AJ343" s="1510">
        <f t="shared" si="253"/>
        <v>0</v>
      </c>
      <c r="AK343" s="1510">
        <f t="shared" si="253"/>
        <v>0</v>
      </c>
      <c r="AL343" s="1636">
        <f t="shared" si="250"/>
        <v>0</v>
      </c>
      <c r="AM343" s="1510">
        <f t="shared" si="253"/>
        <v>0</v>
      </c>
      <c r="AN343" s="1511"/>
      <c r="AO343" s="1511">
        <f t="shared" si="253"/>
        <v>14.2</v>
      </c>
      <c r="AP343" s="1511">
        <f t="shared" si="253"/>
        <v>0</v>
      </c>
      <c r="AQ343" s="1511">
        <f t="shared" si="253"/>
        <v>0</v>
      </c>
      <c r="AR343" s="1511">
        <f t="shared" si="253"/>
        <v>0</v>
      </c>
      <c r="AS343" s="1507">
        <f t="shared" si="253"/>
        <v>0</v>
      </c>
      <c r="AT343" s="1511">
        <f t="shared" si="253"/>
        <v>0</v>
      </c>
      <c r="AU343" s="1511">
        <f t="shared" si="253"/>
        <v>0</v>
      </c>
      <c r="AV343" s="1511">
        <f t="shared" si="253"/>
        <v>0</v>
      </c>
      <c r="AW343" s="1507">
        <f t="shared" si="253"/>
        <v>0</v>
      </c>
      <c r="AX343" s="1511">
        <f t="shared" si="253"/>
        <v>0</v>
      </c>
      <c r="AY343" s="1511">
        <f t="shared" si="253"/>
        <v>0</v>
      </c>
      <c r="AZ343" s="1511">
        <f t="shared" si="253"/>
        <v>0</v>
      </c>
      <c r="BA343" s="1511">
        <f t="shared" si="253"/>
        <v>0</v>
      </c>
      <c r="BB343" s="1511">
        <f t="shared" si="253"/>
        <v>0</v>
      </c>
      <c r="BC343" s="1511">
        <f t="shared" si="253"/>
        <v>0</v>
      </c>
      <c r="BD343" s="1511">
        <f t="shared" si="253"/>
        <v>0</v>
      </c>
      <c r="BE343" s="1511">
        <f t="shared" si="253"/>
        <v>0</v>
      </c>
      <c r="BF343" s="1511">
        <f t="shared" si="253"/>
        <v>0</v>
      </c>
      <c r="BG343" s="1511">
        <f t="shared" si="253"/>
        <v>0</v>
      </c>
      <c r="BH343" s="1511">
        <f t="shared" si="253"/>
        <v>0</v>
      </c>
      <c r="BI343" s="1511">
        <f t="shared" si="253"/>
        <v>0</v>
      </c>
      <c r="BJ343" s="1511">
        <f t="shared" si="253"/>
        <v>0</v>
      </c>
      <c r="BK343" s="1511">
        <f t="shared" si="253"/>
        <v>0</v>
      </c>
      <c r="BL343" s="1511">
        <f t="shared" si="253"/>
        <v>0</v>
      </c>
      <c r="BM343" s="1511">
        <f t="shared" si="253"/>
        <v>0</v>
      </c>
      <c r="BN343" s="1511">
        <f t="shared" si="253"/>
        <v>0</v>
      </c>
      <c r="BO343" s="1511">
        <f t="shared" si="253"/>
        <v>0</v>
      </c>
      <c r="BP343" s="1511">
        <f t="shared" si="253"/>
        <v>0</v>
      </c>
      <c r="BQ343" s="1511">
        <f t="shared" si="253"/>
        <v>0</v>
      </c>
      <c r="BR343" s="1511">
        <f t="shared" si="253"/>
        <v>0</v>
      </c>
      <c r="BS343" s="1511">
        <f t="shared" si="253"/>
        <v>0</v>
      </c>
      <c r="BT343" s="1511">
        <f t="shared" ref="BT343:CF343" si="259">BT359+BT375+BT391+BT407+BT423</f>
        <v>0</v>
      </c>
      <c r="BU343" s="1511">
        <f t="shared" si="259"/>
        <v>0</v>
      </c>
      <c r="BV343" s="1511">
        <f t="shared" si="259"/>
        <v>0</v>
      </c>
      <c r="BW343" s="1511">
        <f t="shared" si="259"/>
        <v>0</v>
      </c>
      <c r="BX343" s="1511">
        <f t="shared" si="259"/>
        <v>0</v>
      </c>
      <c r="BY343" s="1511">
        <f t="shared" si="259"/>
        <v>0</v>
      </c>
      <c r="BZ343" s="1511">
        <f t="shared" si="259"/>
        <v>0</v>
      </c>
      <c r="CA343" s="1511">
        <f t="shared" si="259"/>
        <v>0</v>
      </c>
      <c r="CB343" s="1511">
        <f t="shared" si="259"/>
        <v>0</v>
      </c>
      <c r="CC343" s="1511">
        <f t="shared" si="259"/>
        <v>0</v>
      </c>
      <c r="CD343" s="1511">
        <f t="shared" si="259"/>
        <v>0</v>
      </c>
      <c r="CE343" s="1511">
        <f t="shared" si="259"/>
        <v>0</v>
      </c>
      <c r="CF343" s="1511">
        <f t="shared" si="259"/>
        <v>0</v>
      </c>
      <c r="CG343" s="1596"/>
      <c r="CH343" s="1511">
        <f t="shared" si="256"/>
        <v>157</v>
      </c>
      <c r="CI343" s="1511">
        <f t="shared" si="256"/>
        <v>0</v>
      </c>
      <c r="CJ343" s="1511">
        <f t="shared" si="256"/>
        <v>0</v>
      </c>
      <c r="CK343" s="1511">
        <f t="shared" si="256"/>
        <v>0</v>
      </c>
      <c r="CL343" s="1558"/>
      <c r="CM343" s="1558"/>
      <c r="CN343" s="1558"/>
      <c r="CO343" s="1558"/>
      <c r="CP343" s="1558"/>
      <c r="CQ343" s="1558"/>
      <c r="CR343" s="1558"/>
      <c r="CS343" s="1558"/>
      <c r="CT343" s="1558"/>
      <c r="CU343" s="1558"/>
      <c r="CV343" s="1558"/>
      <c r="CW343" s="1558"/>
      <c r="CY343" s="1558"/>
    </row>
    <row r="344" spans="1:104" s="1559" customFormat="1" x14ac:dyDescent="0.15">
      <c r="A344" s="1541" t="s">
        <v>86</v>
      </c>
      <c r="B344" s="1523" t="s">
        <v>79</v>
      </c>
      <c r="C344" s="1523" t="s">
        <v>80</v>
      </c>
      <c r="D344" s="1523" t="s">
        <v>125</v>
      </c>
      <c r="E344" s="1523" t="s">
        <v>214</v>
      </c>
      <c r="F344" s="1523"/>
      <c r="G344" s="1667">
        <v>222</v>
      </c>
      <c r="H344" s="1502">
        <f t="shared" si="253"/>
        <v>102</v>
      </c>
      <c r="I344" s="1502">
        <f t="shared" si="253"/>
        <v>218</v>
      </c>
      <c r="J344" s="1502">
        <f t="shared" si="253"/>
        <v>0</v>
      </c>
      <c r="K344" s="1502">
        <f t="shared" si="253"/>
        <v>75</v>
      </c>
      <c r="L344" s="1502">
        <f t="shared" si="253"/>
        <v>0</v>
      </c>
      <c r="M344" s="1502">
        <f t="shared" si="253"/>
        <v>0</v>
      </c>
      <c r="N344" s="1502">
        <f t="shared" si="253"/>
        <v>0</v>
      </c>
      <c r="O344" s="1502">
        <f t="shared" si="253"/>
        <v>0</v>
      </c>
      <c r="P344" s="1502">
        <f t="shared" si="253"/>
        <v>0</v>
      </c>
      <c r="Q344" s="1502">
        <f t="shared" si="253"/>
        <v>0</v>
      </c>
      <c r="R344" s="1503">
        <f t="shared" si="253"/>
        <v>0</v>
      </c>
      <c r="S344" s="1503">
        <f t="shared" si="253"/>
        <v>0</v>
      </c>
      <c r="T344" s="1504"/>
      <c r="U344" s="1505">
        <f t="shared" si="254"/>
        <v>0</v>
      </c>
      <c r="V344" s="1505"/>
      <c r="W344" s="1506"/>
      <c r="X344" s="1506"/>
      <c r="Y344" s="1506"/>
      <c r="Z344" s="1507"/>
      <c r="AA344" s="1506"/>
      <c r="AB344" s="1506"/>
      <c r="AC344" s="1545">
        <f t="shared" si="253"/>
        <v>102</v>
      </c>
      <c r="AD344" s="1545">
        <f t="shared" si="253"/>
        <v>293</v>
      </c>
      <c r="AE344" s="1545">
        <f t="shared" si="253"/>
        <v>218</v>
      </c>
      <c r="AF344" s="1545">
        <f t="shared" si="253"/>
        <v>0</v>
      </c>
      <c r="AG344" s="1545">
        <f t="shared" si="253"/>
        <v>75</v>
      </c>
      <c r="AH344" s="1545">
        <f t="shared" si="253"/>
        <v>93.5</v>
      </c>
      <c r="AI344" s="1510">
        <f t="shared" si="253"/>
        <v>0</v>
      </c>
      <c r="AJ344" s="1510">
        <f t="shared" si="253"/>
        <v>0</v>
      </c>
      <c r="AK344" s="1510">
        <f t="shared" si="253"/>
        <v>0</v>
      </c>
      <c r="AL344" s="1636">
        <f t="shared" si="250"/>
        <v>0</v>
      </c>
      <c r="AM344" s="1510">
        <f t="shared" si="253"/>
        <v>0</v>
      </c>
      <c r="AN344" s="1511"/>
      <c r="AO344" s="1511">
        <f t="shared" si="253"/>
        <v>8.5</v>
      </c>
      <c r="AP344" s="1511">
        <f t="shared" si="253"/>
        <v>0</v>
      </c>
      <c r="AQ344" s="1511">
        <f t="shared" si="253"/>
        <v>0</v>
      </c>
      <c r="AR344" s="1511">
        <f t="shared" si="253"/>
        <v>0</v>
      </c>
      <c r="AS344" s="1507">
        <f t="shared" si="253"/>
        <v>0</v>
      </c>
      <c r="AT344" s="1511">
        <f t="shared" si="253"/>
        <v>0</v>
      </c>
      <c r="AU344" s="1511">
        <f t="shared" si="253"/>
        <v>0</v>
      </c>
      <c r="AV344" s="1511">
        <f t="shared" si="253"/>
        <v>0</v>
      </c>
      <c r="AW344" s="1507">
        <f t="shared" si="253"/>
        <v>0</v>
      </c>
      <c r="AX344" s="1511">
        <f t="shared" si="253"/>
        <v>0</v>
      </c>
      <c r="AY344" s="1511">
        <f t="shared" si="253"/>
        <v>0</v>
      </c>
      <c r="AZ344" s="1511">
        <f t="shared" si="253"/>
        <v>0</v>
      </c>
      <c r="BA344" s="1511">
        <f t="shared" si="253"/>
        <v>0</v>
      </c>
      <c r="BB344" s="1511">
        <f t="shared" si="253"/>
        <v>0</v>
      </c>
      <c r="BC344" s="1511">
        <f t="shared" si="253"/>
        <v>0</v>
      </c>
      <c r="BD344" s="1511">
        <f t="shared" si="253"/>
        <v>0</v>
      </c>
      <c r="BE344" s="1511">
        <f t="shared" si="253"/>
        <v>0</v>
      </c>
      <c r="BF344" s="1511">
        <f t="shared" si="253"/>
        <v>0</v>
      </c>
      <c r="BG344" s="1511">
        <f t="shared" si="253"/>
        <v>0</v>
      </c>
      <c r="BH344" s="1511">
        <f t="shared" si="253"/>
        <v>0</v>
      </c>
      <c r="BI344" s="1511">
        <f t="shared" si="253"/>
        <v>0</v>
      </c>
      <c r="BJ344" s="1511">
        <f t="shared" si="253"/>
        <v>84</v>
      </c>
      <c r="BK344" s="1511">
        <f t="shared" si="253"/>
        <v>0</v>
      </c>
      <c r="BL344" s="1511">
        <f t="shared" si="253"/>
        <v>0</v>
      </c>
      <c r="BM344" s="1511">
        <f t="shared" si="253"/>
        <v>0</v>
      </c>
      <c r="BN344" s="1511">
        <f t="shared" si="253"/>
        <v>0</v>
      </c>
      <c r="BO344" s="1511">
        <f t="shared" si="253"/>
        <v>0</v>
      </c>
      <c r="BP344" s="1511">
        <f t="shared" si="253"/>
        <v>0</v>
      </c>
      <c r="BQ344" s="1511">
        <f t="shared" si="253"/>
        <v>0</v>
      </c>
      <c r="BR344" s="1511">
        <f t="shared" si="253"/>
        <v>0</v>
      </c>
      <c r="BS344" s="1511">
        <f t="shared" si="253"/>
        <v>0</v>
      </c>
      <c r="BT344" s="1511">
        <f t="shared" ref="BT344:CF344" si="260">BT360+BT376+BT392+BT408+BT424</f>
        <v>0</v>
      </c>
      <c r="BU344" s="1511">
        <f t="shared" si="260"/>
        <v>0</v>
      </c>
      <c r="BV344" s="1511">
        <f t="shared" si="260"/>
        <v>0</v>
      </c>
      <c r="BW344" s="1511">
        <f t="shared" si="260"/>
        <v>0</v>
      </c>
      <c r="BX344" s="1511">
        <f t="shared" si="260"/>
        <v>0</v>
      </c>
      <c r="BY344" s="1511">
        <f t="shared" si="260"/>
        <v>0</v>
      </c>
      <c r="BZ344" s="1511">
        <f t="shared" si="260"/>
        <v>0</v>
      </c>
      <c r="CA344" s="1511">
        <f t="shared" si="260"/>
        <v>0</v>
      </c>
      <c r="CB344" s="1511">
        <f t="shared" si="260"/>
        <v>0</v>
      </c>
      <c r="CC344" s="1511">
        <f t="shared" si="260"/>
        <v>0</v>
      </c>
      <c r="CD344" s="1511">
        <f t="shared" si="260"/>
        <v>0</v>
      </c>
      <c r="CE344" s="1511">
        <f t="shared" si="260"/>
        <v>0</v>
      </c>
      <c r="CF344" s="1511">
        <f t="shared" si="260"/>
        <v>0</v>
      </c>
      <c r="CG344" s="1596"/>
      <c r="CH344" s="1511">
        <f t="shared" si="256"/>
        <v>93.5</v>
      </c>
      <c r="CI344" s="1511">
        <f t="shared" si="256"/>
        <v>134</v>
      </c>
      <c r="CJ344" s="1511">
        <f t="shared" si="256"/>
        <v>0</v>
      </c>
      <c r="CK344" s="1511">
        <f t="shared" si="256"/>
        <v>75</v>
      </c>
      <c r="CL344" s="1558"/>
      <c r="CM344" s="1558"/>
      <c r="CN344" s="1558"/>
      <c r="CO344" s="1558"/>
      <c r="CP344" s="1558"/>
      <c r="CQ344" s="1558"/>
      <c r="CR344" s="1558"/>
      <c r="CS344" s="1558"/>
      <c r="CT344" s="1558"/>
      <c r="CU344" s="1558"/>
      <c r="CV344" s="1558"/>
      <c r="CW344" s="1558"/>
      <c r="CY344" s="1558"/>
    </row>
    <row r="345" spans="1:104" s="1559" customFormat="1" x14ac:dyDescent="0.15">
      <c r="A345" s="1541" t="s">
        <v>87</v>
      </c>
      <c r="B345" s="1523" t="s">
        <v>79</v>
      </c>
      <c r="C345" s="1523" t="s">
        <v>80</v>
      </c>
      <c r="D345" s="1523" t="s">
        <v>125</v>
      </c>
      <c r="E345" s="1523" t="s">
        <v>214</v>
      </c>
      <c r="F345" s="1523"/>
      <c r="G345" s="1667">
        <v>223</v>
      </c>
      <c r="H345" s="1502">
        <f t="shared" ref="H345:BS349" si="261">H361+H377+H393+H409+H425</f>
        <v>2566.4999999999995</v>
      </c>
      <c r="I345" s="1502">
        <f t="shared" si="261"/>
        <v>0</v>
      </c>
      <c r="J345" s="1502">
        <f t="shared" si="261"/>
        <v>0</v>
      </c>
      <c r="K345" s="1502">
        <f t="shared" si="261"/>
        <v>0</v>
      </c>
      <c r="L345" s="1502">
        <f t="shared" si="261"/>
        <v>0</v>
      </c>
      <c r="M345" s="1502">
        <f t="shared" si="261"/>
        <v>0</v>
      </c>
      <c r="N345" s="1502">
        <f t="shared" si="261"/>
        <v>0</v>
      </c>
      <c r="O345" s="1502">
        <f t="shared" si="261"/>
        <v>0</v>
      </c>
      <c r="P345" s="1502">
        <f t="shared" si="261"/>
        <v>0</v>
      </c>
      <c r="Q345" s="1502">
        <f t="shared" si="261"/>
        <v>0</v>
      </c>
      <c r="R345" s="1503">
        <f t="shared" si="261"/>
        <v>0</v>
      </c>
      <c r="S345" s="1503">
        <f t="shared" si="261"/>
        <v>0</v>
      </c>
      <c r="T345" s="1504"/>
      <c r="U345" s="1505">
        <f t="shared" si="254"/>
        <v>188.9</v>
      </c>
      <c r="V345" s="1505"/>
      <c r="W345" s="1506"/>
      <c r="X345" s="1506"/>
      <c r="Y345" s="1506"/>
      <c r="Z345" s="1507"/>
      <c r="AA345" s="1506"/>
      <c r="AB345" s="1506"/>
      <c r="AC345" s="1545">
        <f t="shared" si="261"/>
        <v>2566.5</v>
      </c>
      <c r="AD345" s="1545">
        <f t="shared" si="261"/>
        <v>0</v>
      </c>
      <c r="AE345" s="1545">
        <f t="shared" si="261"/>
        <v>0</v>
      </c>
      <c r="AF345" s="1545">
        <f t="shared" si="261"/>
        <v>0</v>
      </c>
      <c r="AG345" s="1545">
        <f t="shared" si="261"/>
        <v>0</v>
      </c>
      <c r="AH345" s="1545">
        <f t="shared" si="261"/>
        <v>245.10000000000002</v>
      </c>
      <c r="AI345" s="1510">
        <f t="shared" si="261"/>
        <v>0</v>
      </c>
      <c r="AJ345" s="1510">
        <f t="shared" si="261"/>
        <v>0</v>
      </c>
      <c r="AK345" s="1510">
        <f t="shared" si="261"/>
        <v>0</v>
      </c>
      <c r="AL345" s="1636">
        <f t="shared" si="250"/>
        <v>0</v>
      </c>
      <c r="AM345" s="1510">
        <f t="shared" si="261"/>
        <v>0</v>
      </c>
      <c r="AN345" s="1511"/>
      <c r="AO345" s="1511">
        <f t="shared" si="261"/>
        <v>255.60000000000002</v>
      </c>
      <c r="AP345" s="1511">
        <f t="shared" si="261"/>
        <v>0</v>
      </c>
      <c r="AQ345" s="1511">
        <f t="shared" si="261"/>
        <v>0</v>
      </c>
      <c r="AR345" s="1511">
        <f t="shared" si="261"/>
        <v>0</v>
      </c>
      <c r="AS345" s="1507">
        <f t="shared" si="261"/>
        <v>255.60000000000002</v>
      </c>
      <c r="AT345" s="1511">
        <f t="shared" si="261"/>
        <v>0</v>
      </c>
      <c r="AU345" s="1511">
        <f t="shared" si="261"/>
        <v>0</v>
      </c>
      <c r="AV345" s="1511">
        <f t="shared" si="261"/>
        <v>0</v>
      </c>
      <c r="AW345" s="1507">
        <f t="shared" si="261"/>
        <v>0</v>
      </c>
      <c r="AX345" s="1511">
        <f t="shared" si="261"/>
        <v>0</v>
      </c>
      <c r="AY345" s="1511">
        <f t="shared" si="261"/>
        <v>0</v>
      </c>
      <c r="AZ345" s="1511">
        <f t="shared" si="261"/>
        <v>0</v>
      </c>
      <c r="BA345" s="1511">
        <f t="shared" si="261"/>
        <v>0</v>
      </c>
      <c r="BB345" s="1511">
        <f t="shared" si="261"/>
        <v>0</v>
      </c>
      <c r="BC345" s="1511">
        <f t="shared" si="261"/>
        <v>0</v>
      </c>
      <c r="BD345" s="1511">
        <f t="shared" si="261"/>
        <v>0</v>
      </c>
      <c r="BE345" s="1511">
        <f t="shared" si="261"/>
        <v>553.04999999999995</v>
      </c>
      <c r="BF345" s="1511">
        <f t="shared" si="261"/>
        <v>0</v>
      </c>
      <c r="BG345" s="1511">
        <f t="shared" si="261"/>
        <v>0</v>
      </c>
      <c r="BH345" s="1511">
        <f t="shared" si="261"/>
        <v>0</v>
      </c>
      <c r="BI345" s="1511">
        <f t="shared" si="261"/>
        <v>288.95</v>
      </c>
      <c r="BJ345" s="1511">
        <f t="shared" si="261"/>
        <v>0</v>
      </c>
      <c r="BK345" s="1511">
        <f t="shared" si="261"/>
        <v>0</v>
      </c>
      <c r="BL345" s="1511">
        <f t="shared" si="261"/>
        <v>0</v>
      </c>
      <c r="BM345" s="1511">
        <f t="shared" si="261"/>
        <v>40</v>
      </c>
      <c r="BN345" s="1511">
        <f t="shared" si="261"/>
        <v>0</v>
      </c>
      <c r="BO345" s="1511">
        <f t="shared" si="261"/>
        <v>0</v>
      </c>
      <c r="BP345" s="1511">
        <f t="shared" si="261"/>
        <v>0</v>
      </c>
      <c r="BQ345" s="1511">
        <f t="shared" si="261"/>
        <v>282.39999999999998</v>
      </c>
      <c r="BR345" s="1511">
        <f t="shared" si="261"/>
        <v>0</v>
      </c>
      <c r="BS345" s="1511">
        <f t="shared" si="261"/>
        <v>0</v>
      </c>
      <c r="BT345" s="1511">
        <f t="shared" ref="BT345:CF345" si="262">BT361+BT377+BT393+BT409+BT425</f>
        <v>0</v>
      </c>
      <c r="BU345" s="1511">
        <f t="shared" si="262"/>
        <v>311.5</v>
      </c>
      <c r="BV345" s="1511">
        <f t="shared" si="262"/>
        <v>0</v>
      </c>
      <c r="BW345" s="1511">
        <f t="shared" si="262"/>
        <v>0</v>
      </c>
      <c r="BX345" s="1511">
        <f t="shared" si="262"/>
        <v>0</v>
      </c>
      <c r="BY345" s="1511">
        <f t="shared" si="262"/>
        <v>334.3</v>
      </c>
      <c r="BZ345" s="1511">
        <f t="shared" si="262"/>
        <v>0</v>
      </c>
      <c r="CA345" s="1511">
        <f t="shared" si="262"/>
        <v>0</v>
      </c>
      <c r="CB345" s="1511">
        <f t="shared" si="262"/>
        <v>0</v>
      </c>
      <c r="CC345" s="1511">
        <f t="shared" si="262"/>
        <v>0</v>
      </c>
      <c r="CD345" s="1511">
        <f t="shared" si="262"/>
        <v>0</v>
      </c>
      <c r="CE345" s="1511">
        <f t="shared" si="262"/>
        <v>0</v>
      </c>
      <c r="CF345" s="1511">
        <f t="shared" si="262"/>
        <v>0</v>
      </c>
      <c r="CG345" s="1596"/>
      <c r="CH345" s="1511">
        <f t="shared" si="256"/>
        <v>245.10000000000002</v>
      </c>
      <c r="CI345" s="1511">
        <f t="shared" si="256"/>
        <v>0</v>
      </c>
      <c r="CJ345" s="1511">
        <f t="shared" si="256"/>
        <v>0</v>
      </c>
      <c r="CK345" s="1511">
        <f t="shared" si="256"/>
        <v>0</v>
      </c>
      <c r="CL345" s="1558"/>
      <c r="CM345" s="1558"/>
      <c r="CN345" s="1558"/>
      <c r="CO345" s="1558">
        <f>564.8/1079.4</f>
        <v>0.52325365944042979</v>
      </c>
      <c r="CP345" s="1510">
        <f>CP361+CP377+CP393+CP409+CP425</f>
        <v>0</v>
      </c>
      <c r="CQ345" s="1558"/>
      <c r="CR345" s="1558"/>
      <c r="CS345" s="1558"/>
      <c r="CT345" s="1558"/>
      <c r="CU345" s="1558"/>
      <c r="CV345" s="1558"/>
      <c r="CW345" s="1558"/>
      <c r="CY345" s="1558"/>
    </row>
    <row r="346" spans="1:104" s="1559" customFormat="1" x14ac:dyDescent="0.15">
      <c r="A346" s="1541" t="s">
        <v>111</v>
      </c>
      <c r="B346" s="1523" t="s">
        <v>79</v>
      </c>
      <c r="C346" s="1523" t="s">
        <v>80</v>
      </c>
      <c r="D346" s="1523" t="s">
        <v>125</v>
      </c>
      <c r="E346" s="1523" t="s">
        <v>214</v>
      </c>
      <c r="F346" s="1523"/>
      <c r="G346" s="1667">
        <v>224</v>
      </c>
      <c r="H346" s="1502">
        <f t="shared" si="261"/>
        <v>500</v>
      </c>
      <c r="I346" s="1502">
        <f t="shared" si="261"/>
        <v>70</v>
      </c>
      <c r="J346" s="1502">
        <f t="shared" si="261"/>
        <v>0</v>
      </c>
      <c r="K346" s="1502">
        <f t="shared" si="261"/>
        <v>0</v>
      </c>
      <c r="L346" s="1502">
        <f t="shared" si="261"/>
        <v>0</v>
      </c>
      <c r="M346" s="1502">
        <f t="shared" si="261"/>
        <v>0</v>
      </c>
      <c r="N346" s="1502">
        <f t="shared" si="261"/>
        <v>0</v>
      </c>
      <c r="O346" s="1502">
        <f t="shared" si="261"/>
        <v>0</v>
      </c>
      <c r="P346" s="1502">
        <f t="shared" si="261"/>
        <v>0</v>
      </c>
      <c r="Q346" s="1502">
        <f t="shared" si="261"/>
        <v>0</v>
      </c>
      <c r="R346" s="1503">
        <f t="shared" si="261"/>
        <v>0</v>
      </c>
      <c r="S346" s="1503">
        <f t="shared" si="261"/>
        <v>0</v>
      </c>
      <c r="T346" s="1504"/>
      <c r="U346" s="1505">
        <f t="shared" si="254"/>
        <v>0</v>
      </c>
      <c r="V346" s="1505"/>
      <c r="W346" s="1506"/>
      <c r="X346" s="1506"/>
      <c r="Y346" s="1506"/>
      <c r="Z346" s="1507"/>
      <c r="AA346" s="1506"/>
      <c r="AB346" s="1506"/>
      <c r="AC346" s="1545">
        <f t="shared" si="261"/>
        <v>500</v>
      </c>
      <c r="AD346" s="1545">
        <f t="shared" si="261"/>
        <v>70</v>
      </c>
      <c r="AE346" s="1545">
        <f t="shared" si="261"/>
        <v>70</v>
      </c>
      <c r="AF346" s="1545">
        <f t="shared" si="261"/>
        <v>0</v>
      </c>
      <c r="AG346" s="1545">
        <f t="shared" si="261"/>
        <v>0</v>
      </c>
      <c r="AH346" s="1545">
        <f t="shared" si="261"/>
        <v>0</v>
      </c>
      <c r="AI346" s="1510">
        <f t="shared" si="261"/>
        <v>0</v>
      </c>
      <c r="AJ346" s="1510">
        <f t="shared" si="261"/>
        <v>0</v>
      </c>
      <c r="AK346" s="1510">
        <f t="shared" si="261"/>
        <v>0</v>
      </c>
      <c r="AL346" s="1636">
        <f t="shared" si="250"/>
        <v>0</v>
      </c>
      <c r="AM346" s="1510">
        <f t="shared" si="261"/>
        <v>0</v>
      </c>
      <c r="AN346" s="1511"/>
      <c r="AO346" s="1511">
        <f t="shared" si="261"/>
        <v>0</v>
      </c>
      <c r="AP346" s="1511">
        <f t="shared" si="261"/>
        <v>0</v>
      </c>
      <c r="AQ346" s="1511">
        <f t="shared" si="261"/>
        <v>0</v>
      </c>
      <c r="AR346" s="1511">
        <f t="shared" si="261"/>
        <v>0</v>
      </c>
      <c r="AS346" s="1507">
        <f t="shared" si="261"/>
        <v>0</v>
      </c>
      <c r="AT346" s="1511">
        <f t="shared" si="261"/>
        <v>0</v>
      </c>
      <c r="AU346" s="1511">
        <f t="shared" si="261"/>
        <v>0</v>
      </c>
      <c r="AV346" s="1511">
        <f t="shared" si="261"/>
        <v>0</v>
      </c>
      <c r="AW346" s="1507">
        <f t="shared" si="261"/>
        <v>0</v>
      </c>
      <c r="AX346" s="1511">
        <f t="shared" si="261"/>
        <v>0</v>
      </c>
      <c r="AY346" s="1511">
        <f t="shared" si="261"/>
        <v>0</v>
      </c>
      <c r="AZ346" s="1511">
        <f t="shared" si="261"/>
        <v>0</v>
      </c>
      <c r="BA346" s="1511">
        <f t="shared" si="261"/>
        <v>0</v>
      </c>
      <c r="BB346" s="1511">
        <f t="shared" si="261"/>
        <v>0</v>
      </c>
      <c r="BC346" s="1511">
        <f t="shared" si="261"/>
        <v>0</v>
      </c>
      <c r="BD346" s="1511">
        <f t="shared" si="261"/>
        <v>0</v>
      </c>
      <c r="BE346" s="1511">
        <f t="shared" si="261"/>
        <v>0</v>
      </c>
      <c r="BF346" s="1511">
        <f t="shared" si="261"/>
        <v>0</v>
      </c>
      <c r="BG346" s="1511">
        <f t="shared" si="261"/>
        <v>0</v>
      </c>
      <c r="BH346" s="1511">
        <f t="shared" si="261"/>
        <v>0</v>
      </c>
      <c r="BI346" s="1511">
        <f t="shared" si="261"/>
        <v>0</v>
      </c>
      <c r="BJ346" s="1511">
        <f t="shared" si="261"/>
        <v>70</v>
      </c>
      <c r="BK346" s="1511">
        <f t="shared" si="261"/>
        <v>0</v>
      </c>
      <c r="BL346" s="1511">
        <f t="shared" si="261"/>
        <v>0</v>
      </c>
      <c r="BM346" s="1511">
        <f t="shared" si="261"/>
        <v>0</v>
      </c>
      <c r="BN346" s="1511">
        <f t="shared" si="261"/>
        <v>0</v>
      </c>
      <c r="BO346" s="1511">
        <f t="shared" si="261"/>
        <v>0</v>
      </c>
      <c r="BP346" s="1511">
        <f t="shared" si="261"/>
        <v>0</v>
      </c>
      <c r="BQ346" s="1511">
        <f t="shared" si="261"/>
        <v>0</v>
      </c>
      <c r="BR346" s="1511">
        <f t="shared" si="261"/>
        <v>0</v>
      </c>
      <c r="BS346" s="1511">
        <f t="shared" si="261"/>
        <v>0</v>
      </c>
      <c r="BT346" s="1511">
        <f t="shared" ref="BT346:CF346" si="263">BT362+BT378+BT394+BT410+BT426</f>
        <v>0</v>
      </c>
      <c r="BU346" s="1511">
        <f t="shared" si="263"/>
        <v>483</v>
      </c>
      <c r="BV346" s="1511">
        <f t="shared" si="263"/>
        <v>0</v>
      </c>
      <c r="BW346" s="1511">
        <f t="shared" si="263"/>
        <v>0</v>
      </c>
      <c r="BX346" s="1511">
        <f t="shared" si="263"/>
        <v>0</v>
      </c>
      <c r="BY346" s="1511">
        <f t="shared" si="263"/>
        <v>0</v>
      </c>
      <c r="BZ346" s="1511">
        <f t="shared" si="263"/>
        <v>0</v>
      </c>
      <c r="CA346" s="1511">
        <f t="shared" si="263"/>
        <v>0</v>
      </c>
      <c r="CB346" s="1511">
        <f t="shared" si="263"/>
        <v>0</v>
      </c>
      <c r="CC346" s="1511">
        <f t="shared" si="263"/>
        <v>0</v>
      </c>
      <c r="CD346" s="1511">
        <f t="shared" si="263"/>
        <v>0</v>
      </c>
      <c r="CE346" s="1511">
        <f t="shared" si="263"/>
        <v>0</v>
      </c>
      <c r="CF346" s="1511">
        <f t="shared" si="263"/>
        <v>0</v>
      </c>
      <c r="CG346" s="1596"/>
      <c r="CH346" s="1511">
        <f t="shared" si="256"/>
        <v>17</v>
      </c>
      <c r="CI346" s="1511">
        <f t="shared" si="256"/>
        <v>0</v>
      </c>
      <c r="CJ346" s="1511">
        <f t="shared" si="256"/>
        <v>0</v>
      </c>
      <c r="CK346" s="1511">
        <f t="shared" si="256"/>
        <v>0</v>
      </c>
      <c r="CL346" s="1558"/>
      <c r="CM346" s="1558"/>
      <c r="CN346" s="1558"/>
      <c r="CO346" s="1558"/>
      <c r="CP346" s="1558"/>
      <c r="CQ346" s="1558"/>
      <c r="CR346" s="1558"/>
      <c r="CS346" s="1558"/>
      <c r="CT346" s="1558"/>
      <c r="CU346" s="1558"/>
      <c r="CV346" s="1558"/>
      <c r="CW346" s="1558"/>
      <c r="CY346" s="1558"/>
    </row>
    <row r="347" spans="1:104" s="1559" customFormat="1" x14ac:dyDescent="0.15">
      <c r="A347" s="1541" t="s">
        <v>90</v>
      </c>
      <c r="B347" s="1523" t="s">
        <v>79</v>
      </c>
      <c r="C347" s="1523" t="s">
        <v>80</v>
      </c>
      <c r="D347" s="1523" t="s">
        <v>125</v>
      </c>
      <c r="E347" s="1523" t="s">
        <v>214</v>
      </c>
      <c r="F347" s="1523"/>
      <c r="G347" s="1667">
        <v>225</v>
      </c>
      <c r="H347" s="1502">
        <f t="shared" si="261"/>
        <v>2158.6999999999998</v>
      </c>
      <c r="I347" s="1502">
        <f t="shared" si="261"/>
        <v>100000</v>
      </c>
      <c r="J347" s="1502">
        <f t="shared" si="261"/>
        <v>174.6</v>
      </c>
      <c r="K347" s="1502">
        <f t="shared" si="261"/>
        <v>0</v>
      </c>
      <c r="L347" s="1502">
        <f t="shared" si="261"/>
        <v>0</v>
      </c>
      <c r="M347" s="1502">
        <f t="shared" si="261"/>
        <v>0</v>
      </c>
      <c r="N347" s="1502">
        <f t="shared" si="261"/>
        <v>0</v>
      </c>
      <c r="O347" s="1502">
        <f t="shared" si="261"/>
        <v>0</v>
      </c>
      <c r="P347" s="1502">
        <f t="shared" si="261"/>
        <v>0</v>
      </c>
      <c r="Q347" s="1502">
        <f t="shared" si="261"/>
        <v>0</v>
      </c>
      <c r="R347" s="1503">
        <f t="shared" si="261"/>
        <v>0</v>
      </c>
      <c r="S347" s="1503">
        <f t="shared" si="261"/>
        <v>0</v>
      </c>
      <c r="T347" s="1504"/>
      <c r="U347" s="1505">
        <f t="shared" si="254"/>
        <v>1978</v>
      </c>
      <c r="V347" s="1505"/>
      <c r="W347" s="1506"/>
      <c r="X347" s="1506"/>
      <c r="Y347" s="1506"/>
      <c r="Z347" s="1507"/>
      <c r="AA347" s="1506"/>
      <c r="AB347" s="1506"/>
      <c r="AC347" s="1545">
        <f t="shared" si="261"/>
        <v>2158.6999999999998</v>
      </c>
      <c r="AD347" s="1545">
        <f t="shared" si="261"/>
        <v>30174.6</v>
      </c>
      <c r="AE347" s="1545">
        <f t="shared" si="261"/>
        <v>30000</v>
      </c>
      <c r="AF347" s="1545">
        <f t="shared" si="261"/>
        <v>174.6</v>
      </c>
      <c r="AG347" s="1545">
        <f t="shared" si="261"/>
        <v>0</v>
      </c>
      <c r="AH347" s="1545">
        <f t="shared" si="261"/>
        <v>348</v>
      </c>
      <c r="AI347" s="1510">
        <f t="shared" si="261"/>
        <v>0</v>
      </c>
      <c r="AJ347" s="1510">
        <f t="shared" si="261"/>
        <v>70000</v>
      </c>
      <c r="AK347" s="1510">
        <f t="shared" si="261"/>
        <v>70000</v>
      </c>
      <c r="AL347" s="1636">
        <f t="shared" si="250"/>
        <v>0</v>
      </c>
      <c r="AM347" s="1510">
        <f t="shared" si="261"/>
        <v>0</v>
      </c>
      <c r="AN347" s="1511"/>
      <c r="AO347" s="1511">
        <f t="shared" si="261"/>
        <v>0</v>
      </c>
      <c r="AP347" s="1511">
        <f t="shared" si="261"/>
        <v>0</v>
      </c>
      <c r="AQ347" s="1511">
        <f t="shared" si="261"/>
        <v>0</v>
      </c>
      <c r="AR347" s="1511">
        <f t="shared" si="261"/>
        <v>0</v>
      </c>
      <c r="AS347" s="1507">
        <f t="shared" si="261"/>
        <v>0</v>
      </c>
      <c r="AT347" s="1511">
        <f t="shared" si="261"/>
        <v>0</v>
      </c>
      <c r="AU347" s="1511">
        <f t="shared" si="261"/>
        <v>0</v>
      </c>
      <c r="AV347" s="1511">
        <f t="shared" si="261"/>
        <v>0</v>
      </c>
      <c r="AW347" s="1507">
        <f t="shared" si="261"/>
        <v>0</v>
      </c>
      <c r="AX347" s="1511">
        <f t="shared" si="261"/>
        <v>0</v>
      </c>
      <c r="AY347" s="1511">
        <f t="shared" si="261"/>
        <v>0</v>
      </c>
      <c r="AZ347" s="1511">
        <f t="shared" si="261"/>
        <v>0</v>
      </c>
      <c r="BA347" s="1511">
        <f t="shared" si="261"/>
        <v>0</v>
      </c>
      <c r="BB347" s="1511">
        <f t="shared" si="261"/>
        <v>0</v>
      </c>
      <c r="BC347" s="1511">
        <f t="shared" si="261"/>
        <v>0</v>
      </c>
      <c r="BD347" s="1511">
        <f t="shared" si="261"/>
        <v>0</v>
      </c>
      <c r="BE347" s="1511">
        <f t="shared" si="261"/>
        <v>0</v>
      </c>
      <c r="BF347" s="1511">
        <f t="shared" si="261"/>
        <v>0</v>
      </c>
      <c r="BG347" s="1511">
        <f t="shared" si="261"/>
        <v>0</v>
      </c>
      <c r="BH347" s="1511">
        <f t="shared" si="261"/>
        <v>0</v>
      </c>
      <c r="BI347" s="1511">
        <f t="shared" si="261"/>
        <v>0</v>
      </c>
      <c r="BJ347" s="1511">
        <f t="shared" si="261"/>
        <v>0</v>
      </c>
      <c r="BK347" s="1511">
        <f t="shared" si="261"/>
        <v>0</v>
      </c>
      <c r="BL347" s="1511">
        <f t="shared" si="261"/>
        <v>0</v>
      </c>
      <c r="BM347" s="1511">
        <f t="shared" si="261"/>
        <v>0</v>
      </c>
      <c r="BN347" s="1511">
        <f t="shared" si="261"/>
        <v>0</v>
      </c>
      <c r="BO347" s="1511">
        <f t="shared" si="261"/>
        <v>0</v>
      </c>
      <c r="BP347" s="1511">
        <f t="shared" si="261"/>
        <v>0</v>
      </c>
      <c r="BQ347" s="1511">
        <f t="shared" si="261"/>
        <v>610.70000000000005</v>
      </c>
      <c r="BR347" s="1511">
        <f t="shared" si="261"/>
        <v>0</v>
      </c>
      <c r="BS347" s="1511">
        <f t="shared" si="261"/>
        <v>0</v>
      </c>
      <c r="BT347" s="1511">
        <f t="shared" ref="BT347:CF347" si="264">BT363+BT379+BT395+BT411+BT427</f>
        <v>0</v>
      </c>
      <c r="BU347" s="1511">
        <f t="shared" si="264"/>
        <v>0</v>
      </c>
      <c r="BV347" s="1511">
        <f t="shared" si="264"/>
        <v>0</v>
      </c>
      <c r="BW347" s="1511">
        <f t="shared" si="264"/>
        <v>0</v>
      </c>
      <c r="BX347" s="1511">
        <f t="shared" si="264"/>
        <v>0</v>
      </c>
      <c r="BY347" s="1511">
        <f t="shared" si="264"/>
        <v>0</v>
      </c>
      <c r="BZ347" s="1511">
        <f t="shared" si="264"/>
        <v>0</v>
      </c>
      <c r="CA347" s="1511">
        <f t="shared" si="264"/>
        <v>0</v>
      </c>
      <c r="CB347" s="1511">
        <f t="shared" si="264"/>
        <v>0</v>
      </c>
      <c r="CC347" s="1511">
        <f t="shared" si="264"/>
        <v>0</v>
      </c>
      <c r="CD347" s="1511">
        <f t="shared" si="264"/>
        <v>0</v>
      </c>
      <c r="CE347" s="1511">
        <f t="shared" si="264"/>
        <v>0</v>
      </c>
      <c r="CF347" s="1511">
        <f t="shared" si="264"/>
        <v>0</v>
      </c>
      <c r="CG347" s="1596"/>
      <c r="CH347" s="1511">
        <f t="shared" si="256"/>
        <v>1548</v>
      </c>
      <c r="CI347" s="1511">
        <f t="shared" si="256"/>
        <v>30000</v>
      </c>
      <c r="CJ347" s="1511">
        <f t="shared" si="256"/>
        <v>174.6</v>
      </c>
      <c r="CK347" s="1511">
        <f t="shared" si="256"/>
        <v>0</v>
      </c>
      <c r="CL347" s="1558"/>
      <c r="CM347" s="1558"/>
      <c r="CN347" s="1558"/>
      <c r="CO347" s="1558"/>
      <c r="CP347" s="1558"/>
      <c r="CQ347" s="1558"/>
      <c r="CR347" s="1558"/>
      <c r="CS347" s="1558"/>
      <c r="CT347" s="1558"/>
      <c r="CU347" s="1558"/>
      <c r="CV347" s="1558"/>
      <c r="CW347" s="1558"/>
      <c r="CY347" s="1558"/>
    </row>
    <row r="348" spans="1:104" s="1559" customFormat="1" x14ac:dyDescent="0.15">
      <c r="A348" s="1541" t="s">
        <v>91</v>
      </c>
      <c r="B348" s="1523" t="s">
        <v>79</v>
      </c>
      <c r="C348" s="1523" t="s">
        <v>80</v>
      </c>
      <c r="D348" s="1523" t="s">
        <v>125</v>
      </c>
      <c r="E348" s="1523" t="s">
        <v>214</v>
      </c>
      <c r="F348" s="1523"/>
      <c r="G348" s="1667">
        <v>226</v>
      </c>
      <c r="H348" s="1502">
        <f t="shared" si="261"/>
        <v>8747.8179999999993</v>
      </c>
      <c r="I348" s="1502">
        <f t="shared" si="261"/>
        <v>1229</v>
      </c>
      <c r="J348" s="1502">
        <f t="shared" si="261"/>
        <v>5885.73</v>
      </c>
      <c r="K348" s="1502">
        <f t="shared" si="261"/>
        <v>1685.1</v>
      </c>
      <c r="L348" s="1502">
        <f t="shared" si="261"/>
        <v>0</v>
      </c>
      <c r="M348" s="1502">
        <f t="shared" si="261"/>
        <v>0</v>
      </c>
      <c r="N348" s="1502">
        <f t="shared" si="261"/>
        <v>450</v>
      </c>
      <c r="O348" s="1502">
        <f t="shared" si="261"/>
        <v>0</v>
      </c>
      <c r="P348" s="1502">
        <f t="shared" si="261"/>
        <v>0</v>
      </c>
      <c r="Q348" s="1502">
        <f t="shared" si="261"/>
        <v>0</v>
      </c>
      <c r="R348" s="1503">
        <f t="shared" si="261"/>
        <v>0</v>
      </c>
      <c r="S348" s="1503">
        <f t="shared" si="261"/>
        <v>800</v>
      </c>
      <c r="T348" s="1504"/>
      <c r="U348" s="1505">
        <f t="shared" si="254"/>
        <v>200</v>
      </c>
      <c r="V348" s="1505"/>
      <c r="W348" s="1506"/>
      <c r="X348" s="1506"/>
      <c r="Y348" s="1506"/>
      <c r="Z348" s="1507"/>
      <c r="AA348" s="1506"/>
      <c r="AB348" s="1506"/>
      <c r="AC348" s="1545">
        <f t="shared" si="261"/>
        <v>8747.8179999999993</v>
      </c>
      <c r="AD348" s="1545">
        <f t="shared" si="261"/>
        <v>8799.83</v>
      </c>
      <c r="AE348" s="1545">
        <f t="shared" si="261"/>
        <v>1229</v>
      </c>
      <c r="AF348" s="1545">
        <f t="shared" si="261"/>
        <v>5885.73</v>
      </c>
      <c r="AG348" s="1545">
        <f t="shared" si="261"/>
        <v>1685.1</v>
      </c>
      <c r="AH348" s="1545">
        <f t="shared" si="261"/>
        <v>503.04599999999999</v>
      </c>
      <c r="AI348" s="1510">
        <f t="shared" si="261"/>
        <v>0</v>
      </c>
      <c r="AJ348" s="1510">
        <f t="shared" si="261"/>
        <v>0</v>
      </c>
      <c r="AK348" s="1510">
        <f t="shared" si="261"/>
        <v>0</v>
      </c>
      <c r="AL348" s="1636">
        <f t="shared" si="250"/>
        <v>0</v>
      </c>
      <c r="AM348" s="1510">
        <f t="shared" si="261"/>
        <v>0</v>
      </c>
      <c r="AN348" s="1511"/>
      <c r="AO348" s="1511">
        <f t="shared" si="261"/>
        <v>150</v>
      </c>
      <c r="AP348" s="1511">
        <f t="shared" si="261"/>
        <v>0</v>
      </c>
      <c r="AQ348" s="1511">
        <f t="shared" si="261"/>
        <v>0</v>
      </c>
      <c r="AR348" s="1511">
        <f t="shared" si="261"/>
        <v>0</v>
      </c>
      <c r="AS348" s="1507">
        <f t="shared" si="261"/>
        <v>0</v>
      </c>
      <c r="AT348" s="1511">
        <f t="shared" si="261"/>
        <v>0</v>
      </c>
      <c r="AU348" s="1511">
        <f t="shared" si="261"/>
        <v>0</v>
      </c>
      <c r="AV348" s="1511">
        <f t="shared" si="261"/>
        <v>0</v>
      </c>
      <c r="AW348" s="1507">
        <f t="shared" si="261"/>
        <v>0</v>
      </c>
      <c r="AX348" s="1511">
        <f t="shared" si="261"/>
        <v>0</v>
      </c>
      <c r="AY348" s="1511">
        <f t="shared" si="261"/>
        <v>0</v>
      </c>
      <c r="AZ348" s="1511">
        <f t="shared" si="261"/>
        <v>0</v>
      </c>
      <c r="BA348" s="1511">
        <f t="shared" si="261"/>
        <v>0</v>
      </c>
      <c r="BB348" s="1511">
        <f t="shared" si="261"/>
        <v>0</v>
      </c>
      <c r="BC348" s="1511">
        <f t="shared" si="261"/>
        <v>0</v>
      </c>
      <c r="BD348" s="1511">
        <f t="shared" si="261"/>
        <v>0</v>
      </c>
      <c r="BE348" s="1511">
        <f t="shared" si="261"/>
        <v>664</v>
      </c>
      <c r="BF348" s="1511">
        <f t="shared" si="261"/>
        <v>390</v>
      </c>
      <c r="BG348" s="1511">
        <f t="shared" si="261"/>
        <v>0</v>
      </c>
      <c r="BH348" s="1511">
        <f t="shared" si="261"/>
        <v>0</v>
      </c>
      <c r="BI348" s="1511">
        <f t="shared" si="261"/>
        <v>0</v>
      </c>
      <c r="BJ348" s="1511">
        <f t="shared" si="261"/>
        <v>367</v>
      </c>
      <c r="BK348" s="1511">
        <f t="shared" si="261"/>
        <v>0</v>
      </c>
      <c r="BL348" s="1511">
        <f t="shared" si="261"/>
        <v>0</v>
      </c>
      <c r="BM348" s="1511">
        <f t="shared" si="261"/>
        <v>100</v>
      </c>
      <c r="BN348" s="1511">
        <f t="shared" si="261"/>
        <v>0</v>
      </c>
      <c r="BO348" s="1511">
        <f t="shared" si="261"/>
        <v>0</v>
      </c>
      <c r="BP348" s="1511">
        <f t="shared" si="261"/>
        <v>0</v>
      </c>
      <c r="BQ348" s="1511">
        <f t="shared" si="261"/>
        <v>2440.346</v>
      </c>
      <c r="BR348" s="1511">
        <f t="shared" si="261"/>
        <v>0</v>
      </c>
      <c r="BS348" s="1511">
        <f t="shared" si="261"/>
        <v>0</v>
      </c>
      <c r="BT348" s="1511">
        <f t="shared" ref="BT348:CF348" si="265">BT364+BT380+BT396+BT412+BT428</f>
        <v>0</v>
      </c>
      <c r="BU348" s="1511">
        <f t="shared" si="265"/>
        <v>1420.68</v>
      </c>
      <c r="BV348" s="1511">
        <f t="shared" si="265"/>
        <v>0</v>
      </c>
      <c r="BW348" s="1511">
        <f t="shared" si="265"/>
        <v>3879.7</v>
      </c>
      <c r="BX348" s="1511">
        <f t="shared" si="265"/>
        <v>600</v>
      </c>
      <c r="BY348" s="1511">
        <f t="shared" si="265"/>
        <v>0</v>
      </c>
      <c r="BZ348" s="1511">
        <f t="shared" si="265"/>
        <v>0</v>
      </c>
      <c r="CA348" s="1511">
        <f t="shared" si="265"/>
        <v>0</v>
      </c>
      <c r="CB348" s="1511">
        <f t="shared" si="265"/>
        <v>0</v>
      </c>
      <c r="CC348" s="1511">
        <f t="shared" si="265"/>
        <v>997.83</v>
      </c>
      <c r="CD348" s="1511">
        <f t="shared" si="265"/>
        <v>0</v>
      </c>
      <c r="CE348" s="1511">
        <f t="shared" si="265"/>
        <v>0</v>
      </c>
      <c r="CF348" s="1511">
        <f t="shared" si="265"/>
        <v>0</v>
      </c>
      <c r="CG348" s="1596"/>
      <c r="CH348" s="1511">
        <f t="shared" si="256"/>
        <v>2974.962</v>
      </c>
      <c r="CI348" s="1511">
        <f t="shared" si="256"/>
        <v>472</v>
      </c>
      <c r="CJ348" s="1511">
        <f t="shared" si="256"/>
        <v>2006.03</v>
      </c>
      <c r="CK348" s="1511">
        <f t="shared" si="256"/>
        <v>1085.0999999999999</v>
      </c>
      <c r="CL348" s="1558"/>
      <c r="CM348" s="1558"/>
      <c r="CN348" s="1558"/>
      <c r="CO348" s="1558"/>
      <c r="CP348" s="1558"/>
      <c r="CQ348" s="1558"/>
      <c r="CR348" s="1558"/>
      <c r="CS348" s="1558"/>
      <c r="CT348" s="1558"/>
      <c r="CU348" s="1558"/>
      <c r="CV348" s="1558"/>
      <c r="CW348" s="1558"/>
      <c r="CY348" s="1558"/>
    </row>
    <row r="349" spans="1:104" s="1559" customFormat="1" x14ac:dyDescent="0.15">
      <c r="A349" s="1541" t="s">
        <v>94</v>
      </c>
      <c r="B349" s="1523" t="s">
        <v>79</v>
      </c>
      <c r="C349" s="1523" t="s">
        <v>80</v>
      </c>
      <c r="D349" s="1523" t="s">
        <v>125</v>
      </c>
      <c r="E349" s="1523" t="s">
        <v>214</v>
      </c>
      <c r="F349" s="1523"/>
      <c r="G349" s="1667">
        <v>290</v>
      </c>
      <c r="H349" s="1502">
        <f t="shared" si="261"/>
        <v>1082.9000000000001</v>
      </c>
      <c r="I349" s="1502">
        <f t="shared" si="261"/>
        <v>0</v>
      </c>
      <c r="J349" s="1502">
        <f t="shared" si="261"/>
        <v>0</v>
      </c>
      <c r="K349" s="1502">
        <f t="shared" si="261"/>
        <v>0</v>
      </c>
      <c r="L349" s="1502">
        <f t="shared" si="261"/>
        <v>0</v>
      </c>
      <c r="M349" s="1502">
        <f t="shared" si="261"/>
        <v>0</v>
      </c>
      <c r="N349" s="1502">
        <f t="shared" si="261"/>
        <v>0</v>
      </c>
      <c r="O349" s="1502">
        <f t="shared" si="261"/>
        <v>0</v>
      </c>
      <c r="P349" s="1502">
        <f t="shared" si="261"/>
        <v>0</v>
      </c>
      <c r="Q349" s="1502">
        <f t="shared" si="261"/>
        <v>0</v>
      </c>
      <c r="R349" s="1503">
        <f t="shared" si="261"/>
        <v>0</v>
      </c>
      <c r="S349" s="1503">
        <f t="shared" si="261"/>
        <v>0</v>
      </c>
      <c r="T349" s="1504"/>
      <c r="U349" s="1505">
        <f t="shared" si="254"/>
        <v>64.7</v>
      </c>
      <c r="V349" s="1505"/>
      <c r="W349" s="1506"/>
      <c r="X349" s="1506"/>
      <c r="Y349" s="1506"/>
      <c r="Z349" s="1507"/>
      <c r="AA349" s="1506"/>
      <c r="AB349" s="1506"/>
      <c r="AC349" s="1545">
        <f t="shared" si="261"/>
        <v>1082.9000000000001</v>
      </c>
      <c r="AD349" s="1545">
        <f t="shared" si="261"/>
        <v>0</v>
      </c>
      <c r="AE349" s="1545">
        <f t="shared" si="261"/>
        <v>0</v>
      </c>
      <c r="AF349" s="1545">
        <f t="shared" si="261"/>
        <v>0</v>
      </c>
      <c r="AG349" s="1545">
        <f t="shared" si="261"/>
        <v>0</v>
      </c>
      <c r="AH349" s="1545">
        <f t="shared" si="261"/>
        <v>278.2</v>
      </c>
      <c r="AI349" s="1510">
        <f t="shared" si="261"/>
        <v>0</v>
      </c>
      <c r="AJ349" s="1510">
        <f t="shared" si="261"/>
        <v>0</v>
      </c>
      <c r="AK349" s="1510">
        <f t="shared" si="261"/>
        <v>0</v>
      </c>
      <c r="AL349" s="1636">
        <f t="shared" si="250"/>
        <v>0</v>
      </c>
      <c r="AM349" s="1510">
        <f t="shared" si="261"/>
        <v>0</v>
      </c>
      <c r="AN349" s="1511"/>
      <c r="AO349" s="1511">
        <f t="shared" si="261"/>
        <v>104.2</v>
      </c>
      <c r="AP349" s="1511">
        <f t="shared" si="261"/>
        <v>0</v>
      </c>
      <c r="AQ349" s="1511">
        <f t="shared" si="261"/>
        <v>0</v>
      </c>
      <c r="AR349" s="1511">
        <f t="shared" si="261"/>
        <v>0</v>
      </c>
      <c r="AS349" s="1507">
        <f t="shared" si="261"/>
        <v>0</v>
      </c>
      <c r="AT349" s="1511">
        <f t="shared" si="261"/>
        <v>0</v>
      </c>
      <c r="AU349" s="1511">
        <f t="shared" si="261"/>
        <v>0</v>
      </c>
      <c r="AV349" s="1511">
        <f t="shared" si="261"/>
        <v>0</v>
      </c>
      <c r="AW349" s="1507">
        <f t="shared" si="261"/>
        <v>0</v>
      </c>
      <c r="AX349" s="1511">
        <f t="shared" si="261"/>
        <v>0</v>
      </c>
      <c r="AY349" s="1511">
        <f t="shared" si="261"/>
        <v>0</v>
      </c>
      <c r="AZ349" s="1511">
        <f t="shared" si="261"/>
        <v>0</v>
      </c>
      <c r="BA349" s="1511">
        <f t="shared" si="261"/>
        <v>0</v>
      </c>
      <c r="BB349" s="1511">
        <f t="shared" si="261"/>
        <v>0</v>
      </c>
      <c r="BC349" s="1511">
        <f t="shared" si="261"/>
        <v>0</v>
      </c>
      <c r="BD349" s="1511">
        <f t="shared" si="261"/>
        <v>0</v>
      </c>
      <c r="BE349" s="1511">
        <f>BE365+BE381+BE397+BE413+BE429</f>
        <v>285.5</v>
      </c>
      <c r="BF349" s="1511">
        <f t="shared" si="261"/>
        <v>0</v>
      </c>
      <c r="BG349" s="1511">
        <f t="shared" si="261"/>
        <v>0</v>
      </c>
      <c r="BH349" s="1511">
        <f t="shared" si="261"/>
        <v>0</v>
      </c>
      <c r="BI349" s="1511">
        <f t="shared" si="261"/>
        <v>0</v>
      </c>
      <c r="BJ349" s="1511">
        <f t="shared" si="261"/>
        <v>0</v>
      </c>
      <c r="BK349" s="1511">
        <f t="shared" ref="BK349:BS349" si="266">BK365+BK381+BK397+BK413+BK429</f>
        <v>0</v>
      </c>
      <c r="BL349" s="1511">
        <f t="shared" si="266"/>
        <v>0</v>
      </c>
      <c r="BM349" s="1511">
        <f t="shared" si="266"/>
        <v>0</v>
      </c>
      <c r="BN349" s="1511">
        <f t="shared" si="266"/>
        <v>0</v>
      </c>
      <c r="BO349" s="1511">
        <f t="shared" si="266"/>
        <v>0</v>
      </c>
      <c r="BP349" s="1511">
        <f t="shared" si="266"/>
        <v>0</v>
      </c>
      <c r="BQ349" s="1511">
        <f t="shared" si="266"/>
        <v>0</v>
      </c>
      <c r="BR349" s="1511">
        <f t="shared" si="266"/>
        <v>0</v>
      </c>
      <c r="BS349" s="1511">
        <f t="shared" si="266"/>
        <v>0</v>
      </c>
      <c r="BT349" s="1511">
        <f t="shared" ref="BT349:CF349" si="267">BT365+BT381+BT397+BT413+BT429</f>
        <v>0</v>
      </c>
      <c r="BU349" s="1511">
        <f t="shared" si="267"/>
        <v>415</v>
      </c>
      <c r="BV349" s="1511">
        <f t="shared" si="267"/>
        <v>0</v>
      </c>
      <c r="BW349" s="1511">
        <f t="shared" si="267"/>
        <v>0</v>
      </c>
      <c r="BX349" s="1511">
        <f t="shared" si="267"/>
        <v>0</v>
      </c>
      <c r="BY349" s="1511">
        <f t="shared" si="267"/>
        <v>0</v>
      </c>
      <c r="BZ349" s="1511">
        <f t="shared" si="267"/>
        <v>0</v>
      </c>
      <c r="CA349" s="1511">
        <f t="shared" si="267"/>
        <v>0</v>
      </c>
      <c r="CB349" s="1511">
        <f t="shared" si="267"/>
        <v>0</v>
      </c>
      <c r="CC349" s="1511">
        <f t="shared" si="267"/>
        <v>0</v>
      </c>
      <c r="CD349" s="1511">
        <f t="shared" si="267"/>
        <v>0</v>
      </c>
      <c r="CE349" s="1511">
        <f t="shared" si="267"/>
        <v>0</v>
      </c>
      <c r="CF349" s="1511">
        <f t="shared" si="267"/>
        <v>0</v>
      </c>
      <c r="CG349" s="1596"/>
      <c r="CH349" s="1511">
        <f t="shared" si="256"/>
        <v>278.2</v>
      </c>
      <c r="CI349" s="1511">
        <f t="shared" si="256"/>
        <v>0</v>
      </c>
      <c r="CJ349" s="1511">
        <f t="shared" si="256"/>
        <v>0</v>
      </c>
      <c r="CK349" s="1511">
        <f t="shared" si="256"/>
        <v>0</v>
      </c>
      <c r="CL349" s="1558"/>
      <c r="CM349" s="1558"/>
      <c r="CN349" s="1558"/>
      <c r="CO349" s="1558"/>
      <c r="CP349" s="1558"/>
      <c r="CQ349" s="1558"/>
      <c r="CR349" s="1558"/>
      <c r="CS349" s="1558"/>
      <c r="CT349" s="1558"/>
      <c r="CU349" s="1558"/>
      <c r="CV349" s="1558"/>
      <c r="CW349" s="1558"/>
      <c r="CY349" s="1558"/>
    </row>
    <row r="350" spans="1:104" s="1559" customFormat="1" x14ac:dyDescent="0.15">
      <c r="A350" s="1541" t="s">
        <v>94</v>
      </c>
      <c r="B350" s="1523" t="s">
        <v>79</v>
      </c>
      <c r="C350" s="1523" t="s">
        <v>80</v>
      </c>
      <c r="D350" s="1523" t="s">
        <v>125</v>
      </c>
      <c r="E350" s="1523" t="s">
        <v>214</v>
      </c>
      <c r="F350" s="1523"/>
      <c r="G350" s="1667" t="s">
        <v>95</v>
      </c>
      <c r="H350" s="1502">
        <f t="shared" ref="H350:BS352" si="268">H366+H382+H398+H414+H430</f>
        <v>0</v>
      </c>
      <c r="I350" s="1502">
        <f t="shared" si="268"/>
        <v>0</v>
      </c>
      <c r="J350" s="1502">
        <f t="shared" si="268"/>
        <v>0</v>
      </c>
      <c r="K350" s="1502">
        <f t="shared" si="268"/>
        <v>0</v>
      </c>
      <c r="L350" s="1502">
        <f t="shared" si="268"/>
        <v>0</v>
      </c>
      <c r="M350" s="1502">
        <f t="shared" si="268"/>
        <v>0</v>
      </c>
      <c r="N350" s="1502">
        <f t="shared" si="268"/>
        <v>0</v>
      </c>
      <c r="O350" s="1502">
        <f t="shared" si="268"/>
        <v>0</v>
      </c>
      <c r="P350" s="1502">
        <f t="shared" si="268"/>
        <v>0</v>
      </c>
      <c r="Q350" s="1502">
        <f t="shared" si="268"/>
        <v>0</v>
      </c>
      <c r="R350" s="1503">
        <f t="shared" si="268"/>
        <v>0</v>
      </c>
      <c r="S350" s="1503">
        <f t="shared" si="268"/>
        <v>0</v>
      </c>
      <c r="T350" s="1504"/>
      <c r="U350" s="1505">
        <f t="shared" si="254"/>
        <v>0</v>
      </c>
      <c r="V350" s="1505"/>
      <c r="W350" s="1506"/>
      <c r="X350" s="1506"/>
      <c r="Y350" s="1506"/>
      <c r="Z350" s="1507"/>
      <c r="AA350" s="1506"/>
      <c r="AB350" s="1506"/>
      <c r="AC350" s="1545">
        <f t="shared" si="268"/>
        <v>0</v>
      </c>
      <c r="AD350" s="1545">
        <f t="shared" si="268"/>
        <v>0</v>
      </c>
      <c r="AE350" s="1545">
        <f t="shared" si="268"/>
        <v>0</v>
      </c>
      <c r="AF350" s="1545">
        <f t="shared" si="268"/>
        <v>0</v>
      </c>
      <c r="AG350" s="1545">
        <f t="shared" si="268"/>
        <v>0</v>
      </c>
      <c r="AH350" s="1545">
        <f t="shared" si="268"/>
        <v>0</v>
      </c>
      <c r="AI350" s="1510">
        <f t="shared" si="268"/>
        <v>0</v>
      </c>
      <c r="AJ350" s="1510">
        <f t="shared" si="268"/>
        <v>0</v>
      </c>
      <c r="AK350" s="1510">
        <f t="shared" si="268"/>
        <v>0</v>
      </c>
      <c r="AL350" s="1636">
        <f t="shared" si="250"/>
        <v>0</v>
      </c>
      <c r="AM350" s="1510">
        <f t="shared" si="268"/>
        <v>0</v>
      </c>
      <c r="AN350" s="1511"/>
      <c r="AO350" s="1511">
        <f t="shared" si="268"/>
        <v>0</v>
      </c>
      <c r="AP350" s="1511">
        <f t="shared" si="268"/>
        <v>0</v>
      </c>
      <c r="AQ350" s="1511">
        <f t="shared" si="268"/>
        <v>0</v>
      </c>
      <c r="AR350" s="1511">
        <f t="shared" si="268"/>
        <v>0</v>
      </c>
      <c r="AS350" s="1507">
        <f t="shared" si="268"/>
        <v>0</v>
      </c>
      <c r="AT350" s="1511">
        <f t="shared" si="268"/>
        <v>0</v>
      </c>
      <c r="AU350" s="1511">
        <f t="shared" si="268"/>
        <v>0</v>
      </c>
      <c r="AV350" s="1511">
        <f t="shared" si="268"/>
        <v>0</v>
      </c>
      <c r="AW350" s="1507">
        <f t="shared" si="268"/>
        <v>0</v>
      </c>
      <c r="AX350" s="1511">
        <f t="shared" si="268"/>
        <v>0</v>
      </c>
      <c r="AY350" s="1511">
        <f t="shared" si="268"/>
        <v>0</v>
      </c>
      <c r="AZ350" s="1511">
        <f t="shared" si="268"/>
        <v>0</v>
      </c>
      <c r="BA350" s="1511">
        <f t="shared" si="268"/>
        <v>0</v>
      </c>
      <c r="BB350" s="1511">
        <f t="shared" si="268"/>
        <v>0</v>
      </c>
      <c r="BC350" s="1511">
        <f t="shared" si="268"/>
        <v>0</v>
      </c>
      <c r="BD350" s="1511">
        <f t="shared" si="268"/>
        <v>0</v>
      </c>
      <c r="BE350" s="1511">
        <f t="shared" si="268"/>
        <v>0</v>
      </c>
      <c r="BF350" s="1511">
        <f t="shared" si="268"/>
        <v>0</v>
      </c>
      <c r="BG350" s="1511">
        <f t="shared" si="268"/>
        <v>0</v>
      </c>
      <c r="BH350" s="1511">
        <f t="shared" si="268"/>
        <v>0</v>
      </c>
      <c r="BI350" s="1511">
        <f t="shared" si="268"/>
        <v>0</v>
      </c>
      <c r="BJ350" s="1511">
        <f t="shared" si="268"/>
        <v>0</v>
      </c>
      <c r="BK350" s="1511">
        <f t="shared" si="268"/>
        <v>0</v>
      </c>
      <c r="BL350" s="1511">
        <f t="shared" si="268"/>
        <v>0</v>
      </c>
      <c r="BM350" s="1511">
        <f t="shared" si="268"/>
        <v>0</v>
      </c>
      <c r="BN350" s="1511">
        <f t="shared" si="268"/>
        <v>0</v>
      </c>
      <c r="BO350" s="1511">
        <f t="shared" si="268"/>
        <v>0</v>
      </c>
      <c r="BP350" s="1511">
        <f t="shared" si="268"/>
        <v>0</v>
      </c>
      <c r="BQ350" s="1511">
        <f t="shared" si="268"/>
        <v>0</v>
      </c>
      <c r="BR350" s="1511">
        <f t="shared" si="268"/>
        <v>0</v>
      </c>
      <c r="BS350" s="1511">
        <f t="shared" si="268"/>
        <v>0</v>
      </c>
      <c r="BT350" s="1511">
        <f t="shared" ref="BT350:CF350" si="269">BT366+BT382+BT398+BT414+BT430</f>
        <v>0</v>
      </c>
      <c r="BU350" s="1511">
        <f t="shared" si="269"/>
        <v>0</v>
      </c>
      <c r="BV350" s="1511">
        <f t="shared" si="269"/>
        <v>0</v>
      </c>
      <c r="BW350" s="1511">
        <f t="shared" si="269"/>
        <v>0</v>
      </c>
      <c r="BX350" s="1511">
        <f t="shared" si="269"/>
        <v>0</v>
      </c>
      <c r="BY350" s="1511">
        <f t="shared" si="269"/>
        <v>0</v>
      </c>
      <c r="BZ350" s="1511">
        <f t="shared" si="269"/>
        <v>0</v>
      </c>
      <c r="CA350" s="1511">
        <f t="shared" si="269"/>
        <v>0</v>
      </c>
      <c r="CB350" s="1511">
        <f t="shared" si="269"/>
        <v>0</v>
      </c>
      <c r="CC350" s="1511">
        <f t="shared" si="269"/>
        <v>0</v>
      </c>
      <c r="CD350" s="1511">
        <f t="shared" si="269"/>
        <v>0</v>
      </c>
      <c r="CE350" s="1511">
        <f t="shared" si="269"/>
        <v>0</v>
      </c>
      <c r="CF350" s="1511">
        <f t="shared" si="269"/>
        <v>0</v>
      </c>
      <c r="CG350" s="1596"/>
      <c r="CH350" s="1511">
        <f t="shared" si="256"/>
        <v>0</v>
      </c>
      <c r="CI350" s="1511">
        <f t="shared" si="256"/>
        <v>0</v>
      </c>
      <c r="CJ350" s="1511">
        <f t="shared" si="256"/>
        <v>0</v>
      </c>
      <c r="CK350" s="1511">
        <f t="shared" si="256"/>
        <v>0</v>
      </c>
      <c r="CL350" s="1558"/>
      <c r="CM350" s="1558"/>
      <c r="CN350" s="1558"/>
      <c r="CO350" s="1558"/>
      <c r="CP350" s="1558"/>
      <c r="CQ350" s="1558"/>
      <c r="CR350" s="1558"/>
      <c r="CS350" s="1558"/>
      <c r="CT350" s="1558"/>
      <c r="CU350" s="1558"/>
      <c r="CV350" s="1558"/>
      <c r="CW350" s="1558"/>
      <c r="CY350" s="1558"/>
    </row>
    <row r="351" spans="1:104" s="1559" customFormat="1" x14ac:dyDescent="0.15">
      <c r="A351" s="1541" t="s">
        <v>96</v>
      </c>
      <c r="B351" s="1523" t="s">
        <v>79</v>
      </c>
      <c r="C351" s="1523" t="s">
        <v>80</v>
      </c>
      <c r="D351" s="1523" t="s">
        <v>125</v>
      </c>
      <c r="E351" s="1523" t="s">
        <v>214</v>
      </c>
      <c r="F351" s="1523"/>
      <c r="G351" s="1667">
        <v>310</v>
      </c>
      <c r="H351" s="1502">
        <f t="shared" si="268"/>
        <v>487.37400000000002</v>
      </c>
      <c r="I351" s="1502">
        <f t="shared" si="268"/>
        <v>1000</v>
      </c>
      <c r="J351" s="1502">
        <f t="shared" si="268"/>
        <v>0</v>
      </c>
      <c r="K351" s="1502">
        <f t="shared" si="268"/>
        <v>0</v>
      </c>
      <c r="L351" s="1502">
        <f t="shared" si="268"/>
        <v>0</v>
      </c>
      <c r="M351" s="1502">
        <f t="shared" si="268"/>
        <v>0</v>
      </c>
      <c r="N351" s="1502">
        <f t="shared" si="268"/>
        <v>0</v>
      </c>
      <c r="O351" s="1502">
        <f t="shared" si="268"/>
        <v>0</v>
      </c>
      <c r="P351" s="1502">
        <f t="shared" si="268"/>
        <v>0</v>
      </c>
      <c r="Q351" s="1502">
        <f t="shared" si="268"/>
        <v>0</v>
      </c>
      <c r="R351" s="1503">
        <f t="shared" si="268"/>
        <v>0</v>
      </c>
      <c r="S351" s="1503">
        <f t="shared" si="268"/>
        <v>0</v>
      </c>
      <c r="T351" s="1504"/>
      <c r="U351" s="1505">
        <f t="shared" si="254"/>
        <v>640</v>
      </c>
      <c r="V351" s="1505"/>
      <c r="W351" s="1506"/>
      <c r="X351" s="1506"/>
      <c r="Y351" s="1506"/>
      <c r="Z351" s="1507"/>
      <c r="AA351" s="1506"/>
      <c r="AB351" s="1506"/>
      <c r="AC351" s="1545">
        <f t="shared" si="268"/>
        <v>487.37400000000002</v>
      </c>
      <c r="AD351" s="1545">
        <f t="shared" si="268"/>
        <v>1000</v>
      </c>
      <c r="AE351" s="1545">
        <f t="shared" si="268"/>
        <v>1000</v>
      </c>
      <c r="AF351" s="1545">
        <f t="shared" si="268"/>
        <v>0</v>
      </c>
      <c r="AG351" s="1545">
        <f t="shared" si="268"/>
        <v>0</v>
      </c>
      <c r="AH351" s="1545">
        <f t="shared" si="268"/>
        <v>187.374</v>
      </c>
      <c r="AI351" s="1510">
        <f t="shared" si="268"/>
        <v>0</v>
      </c>
      <c r="AJ351" s="1510">
        <f t="shared" si="268"/>
        <v>0</v>
      </c>
      <c r="AK351" s="1510">
        <f t="shared" si="268"/>
        <v>0</v>
      </c>
      <c r="AL351" s="1636">
        <f t="shared" si="250"/>
        <v>0</v>
      </c>
      <c r="AM351" s="1510">
        <f t="shared" si="268"/>
        <v>0</v>
      </c>
      <c r="AN351" s="1511"/>
      <c r="AO351" s="1511">
        <f t="shared" si="268"/>
        <v>0</v>
      </c>
      <c r="AP351" s="1511">
        <f t="shared" si="268"/>
        <v>30.58</v>
      </c>
      <c r="AQ351" s="1511">
        <f t="shared" si="268"/>
        <v>0</v>
      </c>
      <c r="AR351" s="1511">
        <f t="shared" si="268"/>
        <v>0</v>
      </c>
      <c r="AS351" s="1507">
        <f t="shared" si="268"/>
        <v>0</v>
      </c>
      <c r="AT351" s="1511">
        <f t="shared" si="268"/>
        <v>0</v>
      </c>
      <c r="AU351" s="1511">
        <f t="shared" si="268"/>
        <v>0</v>
      </c>
      <c r="AV351" s="1511">
        <f t="shared" si="268"/>
        <v>0</v>
      </c>
      <c r="AW351" s="1507">
        <f t="shared" si="268"/>
        <v>0</v>
      </c>
      <c r="AX351" s="1511">
        <f t="shared" si="268"/>
        <v>0</v>
      </c>
      <c r="AY351" s="1511">
        <f t="shared" si="268"/>
        <v>0</v>
      </c>
      <c r="AZ351" s="1511">
        <f t="shared" si="268"/>
        <v>0</v>
      </c>
      <c r="BA351" s="1511">
        <f t="shared" si="268"/>
        <v>0</v>
      </c>
      <c r="BB351" s="1511">
        <f t="shared" si="268"/>
        <v>0</v>
      </c>
      <c r="BC351" s="1511">
        <f t="shared" si="268"/>
        <v>0</v>
      </c>
      <c r="BD351" s="1511">
        <f t="shared" si="268"/>
        <v>0</v>
      </c>
      <c r="BE351" s="1511">
        <f t="shared" si="268"/>
        <v>0</v>
      </c>
      <c r="BF351" s="1511">
        <f t="shared" si="268"/>
        <v>321.66999999999996</v>
      </c>
      <c r="BG351" s="1511">
        <f t="shared" si="268"/>
        <v>0</v>
      </c>
      <c r="BH351" s="1511">
        <f t="shared" si="268"/>
        <v>0</v>
      </c>
      <c r="BI351" s="1511">
        <f t="shared" si="268"/>
        <v>0</v>
      </c>
      <c r="BJ351" s="1511">
        <f t="shared" si="268"/>
        <v>0</v>
      </c>
      <c r="BK351" s="1511">
        <f t="shared" si="268"/>
        <v>0</v>
      </c>
      <c r="BL351" s="1511">
        <f t="shared" si="268"/>
        <v>0</v>
      </c>
      <c r="BM351" s="1511">
        <f t="shared" si="268"/>
        <v>0</v>
      </c>
      <c r="BN351" s="1511">
        <f t="shared" si="268"/>
        <v>0</v>
      </c>
      <c r="BO351" s="1511">
        <f t="shared" si="268"/>
        <v>0</v>
      </c>
      <c r="BP351" s="1511">
        <f t="shared" si="268"/>
        <v>0</v>
      </c>
      <c r="BQ351" s="1511">
        <f t="shared" si="268"/>
        <v>0</v>
      </c>
      <c r="BR351" s="1511">
        <f t="shared" si="268"/>
        <v>0</v>
      </c>
      <c r="BS351" s="1511">
        <f t="shared" si="268"/>
        <v>0</v>
      </c>
      <c r="BT351" s="1511">
        <f t="shared" ref="BT351:CF351" si="270">BT367+BT383+BT399+BT415+BT431</f>
        <v>0</v>
      </c>
      <c r="BU351" s="1511">
        <f t="shared" si="270"/>
        <v>0</v>
      </c>
      <c r="BV351" s="1511">
        <f t="shared" si="270"/>
        <v>0</v>
      </c>
      <c r="BW351" s="1511">
        <f t="shared" si="270"/>
        <v>0</v>
      </c>
      <c r="BX351" s="1511">
        <f t="shared" si="270"/>
        <v>0</v>
      </c>
      <c r="BY351" s="1511">
        <f t="shared" si="270"/>
        <v>0</v>
      </c>
      <c r="BZ351" s="1511">
        <f t="shared" si="270"/>
        <v>0</v>
      </c>
      <c r="CA351" s="1511">
        <f t="shared" si="270"/>
        <v>0</v>
      </c>
      <c r="CB351" s="1511">
        <f t="shared" si="270"/>
        <v>0</v>
      </c>
      <c r="CC351" s="1511">
        <f t="shared" si="270"/>
        <v>0</v>
      </c>
      <c r="CD351" s="1511">
        <f t="shared" si="270"/>
        <v>0</v>
      </c>
      <c r="CE351" s="1511">
        <f t="shared" si="270"/>
        <v>0</v>
      </c>
      <c r="CF351" s="1511">
        <f t="shared" si="270"/>
        <v>0</v>
      </c>
      <c r="CG351" s="1596"/>
      <c r="CH351" s="1511">
        <f t="shared" si="256"/>
        <v>487.37400000000002</v>
      </c>
      <c r="CI351" s="1511">
        <f t="shared" si="256"/>
        <v>647.75</v>
      </c>
      <c r="CJ351" s="1511">
        <f t="shared" si="256"/>
        <v>0</v>
      </c>
      <c r="CK351" s="1511">
        <f t="shared" si="256"/>
        <v>0</v>
      </c>
      <c r="CL351" s="1558"/>
      <c r="CM351" s="1558"/>
      <c r="CN351" s="1558"/>
      <c r="CO351" s="1558"/>
      <c r="CP351" s="1558"/>
      <c r="CQ351" s="1558"/>
      <c r="CR351" s="1558"/>
      <c r="CS351" s="1558"/>
      <c r="CT351" s="1558"/>
      <c r="CU351" s="1558"/>
      <c r="CV351" s="1558"/>
      <c r="CW351" s="1558"/>
      <c r="CY351" s="1558"/>
    </row>
    <row r="352" spans="1:104" s="1559" customFormat="1" x14ac:dyDescent="0.15">
      <c r="A352" s="1541" t="s">
        <v>97</v>
      </c>
      <c r="B352" s="1523" t="s">
        <v>79</v>
      </c>
      <c r="C352" s="1523" t="s">
        <v>80</v>
      </c>
      <c r="D352" s="1523" t="s">
        <v>125</v>
      </c>
      <c r="E352" s="1523" t="s">
        <v>214</v>
      </c>
      <c r="F352" s="1523"/>
      <c r="G352" s="1667">
        <v>340</v>
      </c>
      <c r="H352" s="1502">
        <f t="shared" si="268"/>
        <v>334.40800000000002</v>
      </c>
      <c r="I352" s="1502">
        <f t="shared" si="268"/>
        <v>200</v>
      </c>
      <c r="J352" s="1502">
        <f t="shared" si="268"/>
        <v>0</v>
      </c>
      <c r="K352" s="1502">
        <f t="shared" si="268"/>
        <v>40</v>
      </c>
      <c r="L352" s="1502">
        <f t="shared" si="268"/>
        <v>0</v>
      </c>
      <c r="M352" s="1502">
        <f t="shared" si="268"/>
        <v>0</v>
      </c>
      <c r="N352" s="1502">
        <f t="shared" si="268"/>
        <v>0</v>
      </c>
      <c r="O352" s="1502">
        <f t="shared" si="268"/>
        <v>0</v>
      </c>
      <c r="P352" s="1502">
        <f t="shared" si="268"/>
        <v>0</v>
      </c>
      <c r="Q352" s="1502">
        <f t="shared" si="268"/>
        <v>0</v>
      </c>
      <c r="R352" s="1503">
        <f t="shared" si="268"/>
        <v>0</v>
      </c>
      <c r="S352" s="1503">
        <f t="shared" si="268"/>
        <v>0</v>
      </c>
      <c r="T352" s="1504"/>
      <c r="U352" s="1505">
        <f t="shared" si="254"/>
        <v>0</v>
      </c>
      <c r="V352" s="1505"/>
      <c r="W352" s="1506"/>
      <c r="X352" s="1506"/>
      <c r="Y352" s="1506"/>
      <c r="Z352" s="1507"/>
      <c r="AA352" s="1506"/>
      <c r="AB352" s="1506"/>
      <c r="AC352" s="1545">
        <f t="shared" si="268"/>
        <v>334.40800000000002</v>
      </c>
      <c r="AD352" s="1545">
        <f t="shared" si="268"/>
        <v>240</v>
      </c>
      <c r="AE352" s="1545">
        <f t="shared" si="268"/>
        <v>200</v>
      </c>
      <c r="AF352" s="1545">
        <f t="shared" si="268"/>
        <v>0</v>
      </c>
      <c r="AG352" s="1545">
        <f t="shared" si="268"/>
        <v>40</v>
      </c>
      <c r="AH352" s="1545">
        <f t="shared" si="268"/>
        <v>212.70400000000001</v>
      </c>
      <c r="AI352" s="1510">
        <f t="shared" si="268"/>
        <v>0</v>
      </c>
      <c r="AJ352" s="1510">
        <f t="shared" si="268"/>
        <v>0</v>
      </c>
      <c r="AK352" s="1510">
        <f t="shared" si="268"/>
        <v>0</v>
      </c>
      <c r="AL352" s="1636">
        <f t="shared" si="250"/>
        <v>0</v>
      </c>
      <c r="AM352" s="1510">
        <f t="shared" si="268"/>
        <v>0</v>
      </c>
      <c r="AN352" s="1511"/>
      <c r="AO352" s="1511">
        <f t="shared" si="268"/>
        <v>30.900000000000002</v>
      </c>
      <c r="AP352" s="1511">
        <f t="shared" si="268"/>
        <v>0</v>
      </c>
      <c r="AQ352" s="1511">
        <f t="shared" si="268"/>
        <v>0</v>
      </c>
      <c r="AR352" s="1511">
        <f t="shared" si="268"/>
        <v>0</v>
      </c>
      <c r="AS352" s="1507">
        <f t="shared" si="268"/>
        <v>0</v>
      </c>
      <c r="AT352" s="1511">
        <f t="shared" si="268"/>
        <v>0</v>
      </c>
      <c r="AU352" s="1511">
        <f t="shared" si="268"/>
        <v>0</v>
      </c>
      <c r="AV352" s="1511">
        <f t="shared" si="268"/>
        <v>0</v>
      </c>
      <c r="AW352" s="1507">
        <f t="shared" si="268"/>
        <v>0</v>
      </c>
      <c r="AX352" s="1511">
        <f t="shared" si="268"/>
        <v>0</v>
      </c>
      <c r="AY352" s="1511">
        <f t="shared" si="268"/>
        <v>0</v>
      </c>
      <c r="AZ352" s="1511">
        <f t="shared" si="268"/>
        <v>0</v>
      </c>
      <c r="BA352" s="1511">
        <f t="shared" si="268"/>
        <v>0</v>
      </c>
      <c r="BB352" s="1511">
        <f t="shared" si="268"/>
        <v>0</v>
      </c>
      <c r="BC352" s="1511">
        <f t="shared" si="268"/>
        <v>0</v>
      </c>
      <c r="BD352" s="1511">
        <f t="shared" si="268"/>
        <v>0</v>
      </c>
      <c r="BE352" s="1511">
        <f t="shared" si="268"/>
        <v>0</v>
      </c>
      <c r="BF352" s="1511">
        <f t="shared" si="268"/>
        <v>0</v>
      </c>
      <c r="BG352" s="1511">
        <f t="shared" si="268"/>
        <v>0</v>
      </c>
      <c r="BH352" s="1511">
        <f t="shared" si="268"/>
        <v>0</v>
      </c>
      <c r="BI352" s="1511">
        <f t="shared" si="268"/>
        <v>0</v>
      </c>
      <c r="BJ352" s="1511">
        <f t="shared" si="268"/>
        <v>0</v>
      </c>
      <c r="BK352" s="1511">
        <f t="shared" si="268"/>
        <v>0</v>
      </c>
      <c r="BL352" s="1511">
        <f t="shared" si="268"/>
        <v>0</v>
      </c>
      <c r="BM352" s="1511">
        <f t="shared" si="268"/>
        <v>0</v>
      </c>
      <c r="BN352" s="1511">
        <f t="shared" si="268"/>
        <v>0</v>
      </c>
      <c r="BO352" s="1511">
        <f t="shared" si="268"/>
        <v>0</v>
      </c>
      <c r="BP352" s="1511">
        <f t="shared" si="268"/>
        <v>0</v>
      </c>
      <c r="BQ352" s="1511">
        <f t="shared" si="268"/>
        <v>90.804000000000002</v>
      </c>
      <c r="BR352" s="1511">
        <f t="shared" si="268"/>
        <v>0</v>
      </c>
      <c r="BS352" s="1511">
        <f t="shared" si="268"/>
        <v>0</v>
      </c>
      <c r="BT352" s="1511">
        <f t="shared" ref="BT352:CF352" si="271">BT368+BT384+BT400+BT416+BT432</f>
        <v>0</v>
      </c>
      <c r="BU352" s="1511">
        <f t="shared" si="271"/>
        <v>0</v>
      </c>
      <c r="BV352" s="1511">
        <f t="shared" si="271"/>
        <v>0</v>
      </c>
      <c r="BW352" s="1511">
        <f t="shared" si="271"/>
        <v>0</v>
      </c>
      <c r="BX352" s="1511">
        <f t="shared" si="271"/>
        <v>0</v>
      </c>
      <c r="BY352" s="1511">
        <f t="shared" si="271"/>
        <v>0</v>
      </c>
      <c r="BZ352" s="1511">
        <f t="shared" si="271"/>
        <v>0</v>
      </c>
      <c r="CA352" s="1511">
        <f t="shared" si="271"/>
        <v>0</v>
      </c>
      <c r="CB352" s="1511">
        <f t="shared" si="271"/>
        <v>0</v>
      </c>
      <c r="CC352" s="1511">
        <f t="shared" si="271"/>
        <v>0</v>
      </c>
      <c r="CD352" s="1511">
        <f t="shared" si="271"/>
        <v>0</v>
      </c>
      <c r="CE352" s="1511">
        <f t="shared" si="271"/>
        <v>0</v>
      </c>
      <c r="CF352" s="1511">
        <f t="shared" si="271"/>
        <v>0</v>
      </c>
      <c r="CG352" s="1596"/>
      <c r="CH352" s="1511">
        <f t="shared" si="256"/>
        <v>212.70400000000001</v>
      </c>
      <c r="CI352" s="1511">
        <f t="shared" si="256"/>
        <v>200</v>
      </c>
      <c r="CJ352" s="1511">
        <f t="shared" si="256"/>
        <v>0</v>
      </c>
      <c r="CK352" s="1511">
        <f t="shared" si="256"/>
        <v>40</v>
      </c>
      <c r="CL352" s="1558"/>
      <c r="CM352" s="1558"/>
      <c r="CN352" s="1558"/>
      <c r="CO352" s="1558"/>
      <c r="CP352" s="1558"/>
      <c r="CQ352" s="1558"/>
      <c r="CR352" s="1558"/>
      <c r="CS352" s="1558"/>
      <c r="CT352" s="1558"/>
      <c r="CU352" s="1558"/>
      <c r="CV352" s="1558"/>
      <c r="CW352" s="1558"/>
      <c r="CY352" s="1558"/>
    </row>
    <row r="353" spans="1:107" s="1559" customFormat="1" ht="14" x14ac:dyDescent="0.15">
      <c r="A353" s="1528" t="s">
        <v>767</v>
      </c>
      <c r="B353" s="1530" t="s">
        <v>79</v>
      </c>
      <c r="C353" s="1530" t="s">
        <v>80</v>
      </c>
      <c r="D353" s="1530" t="s">
        <v>125</v>
      </c>
      <c r="E353" s="1530" t="s">
        <v>214</v>
      </c>
      <c r="F353" s="1530" t="s">
        <v>768</v>
      </c>
      <c r="G353" s="1600" t="s">
        <v>766</v>
      </c>
      <c r="H353" s="1531">
        <f>H369+H385+H401+H417</f>
        <v>102724</v>
      </c>
      <c r="I353" s="1531"/>
      <c r="J353" s="1531"/>
      <c r="K353" s="1531"/>
      <c r="L353" s="1601"/>
      <c r="M353" s="1601"/>
      <c r="N353" s="1601"/>
      <c r="O353" s="1601"/>
      <c r="P353" s="1601"/>
      <c r="Q353" s="1601"/>
      <c r="R353" s="1601"/>
      <c r="S353" s="1601"/>
      <c r="T353" s="1602"/>
      <c r="U353" s="1533"/>
      <c r="V353" s="1533"/>
      <c r="W353" s="1534"/>
      <c r="X353" s="1534"/>
      <c r="Y353" s="1534"/>
      <c r="Z353" s="1535"/>
      <c r="AA353" s="1534"/>
      <c r="AB353" s="1534"/>
      <c r="AC353" s="1603"/>
      <c r="AD353" s="1603"/>
      <c r="AE353" s="1603"/>
      <c r="AF353" s="1603"/>
      <c r="AG353" s="1603"/>
      <c r="AH353" s="1490">
        <f t="shared" ref="AH353:AH416" si="272">CG353+CL353</f>
        <v>0</v>
      </c>
      <c r="AI353" s="1537"/>
      <c r="AJ353" s="1537"/>
      <c r="AK353" s="1537"/>
      <c r="AL353" s="1636">
        <f t="shared" si="250"/>
        <v>0</v>
      </c>
      <c r="AM353" s="1537"/>
      <c r="AN353" s="1538"/>
      <c r="AO353" s="1538"/>
      <c r="AP353" s="1538"/>
      <c r="AQ353" s="1538"/>
      <c r="AR353" s="1538"/>
      <c r="AS353" s="1535"/>
      <c r="AT353" s="1538"/>
      <c r="AU353" s="1538"/>
      <c r="AV353" s="1538"/>
      <c r="AW353" s="1535"/>
      <c r="AX353" s="1538"/>
      <c r="AY353" s="1538"/>
      <c r="AZ353" s="1538"/>
      <c r="BA353" s="1538"/>
      <c r="BB353" s="1538"/>
      <c r="BC353" s="1538"/>
      <c r="BD353" s="1538"/>
      <c r="BE353" s="1539"/>
      <c r="BF353" s="1538"/>
      <c r="BG353" s="1538"/>
      <c r="BH353" s="1538"/>
      <c r="BI353" s="1538"/>
      <c r="BJ353" s="1538"/>
      <c r="BK353" s="1538"/>
      <c r="BL353" s="1538"/>
      <c r="BM353" s="1538"/>
      <c r="BN353" s="1538"/>
      <c r="BO353" s="1538"/>
      <c r="BP353" s="1538"/>
      <c r="BQ353" s="1538"/>
      <c r="BR353" s="1538"/>
      <c r="BS353" s="1538"/>
      <c r="BT353" s="1538"/>
      <c r="BU353" s="1538"/>
      <c r="BV353" s="1538"/>
      <c r="BW353" s="1538"/>
      <c r="BX353" s="1538"/>
      <c r="BY353" s="1538"/>
      <c r="BZ353" s="1538"/>
      <c r="CA353" s="1538"/>
      <c r="CB353" s="1538"/>
      <c r="CC353" s="1538"/>
      <c r="CD353" s="1538"/>
      <c r="CE353" s="1538"/>
      <c r="CF353" s="1538"/>
      <c r="CG353" s="1604"/>
      <c r="CH353" s="1538"/>
      <c r="CI353" s="1538"/>
      <c r="CJ353" s="1538"/>
      <c r="CK353" s="1538"/>
      <c r="CL353" s="1558"/>
      <c r="CM353" s="1558"/>
      <c r="CN353" s="1558"/>
      <c r="CO353" s="1558"/>
      <c r="CP353" s="1558"/>
      <c r="CQ353" s="1558"/>
      <c r="CR353" s="1558"/>
      <c r="CS353" s="1558"/>
      <c r="CT353" s="1558"/>
      <c r="CU353" s="1558"/>
      <c r="CV353" s="1558"/>
      <c r="CW353" s="1558"/>
      <c r="CY353" s="1558"/>
    </row>
    <row r="354" spans="1:107" s="1886" customFormat="1" ht="39" x14ac:dyDescent="0.15">
      <c r="A354" s="1873" t="s">
        <v>1266</v>
      </c>
      <c r="B354" s="1781" t="s">
        <v>79</v>
      </c>
      <c r="C354" s="1781" t="s">
        <v>80</v>
      </c>
      <c r="D354" s="1781" t="s">
        <v>125</v>
      </c>
      <c r="E354" s="1780" t="s">
        <v>214</v>
      </c>
      <c r="F354" s="1780">
        <v>600</v>
      </c>
      <c r="G354" s="1874"/>
      <c r="H354" s="1875">
        <f>H355+H369</f>
        <v>158532.79999999999</v>
      </c>
      <c r="I354" s="1875">
        <f>I355+I369</f>
        <v>100000</v>
      </c>
      <c r="J354" s="1875">
        <f>J355+J369</f>
        <v>0</v>
      </c>
      <c r="K354" s="1875">
        <f t="shared" ref="K354:CK354" si="273">K355+K369</f>
        <v>0</v>
      </c>
      <c r="L354" s="1876"/>
      <c r="M354" s="1876"/>
      <c r="N354" s="1876"/>
      <c r="O354" s="1876"/>
      <c r="P354" s="1876"/>
      <c r="Q354" s="1876"/>
      <c r="R354" s="1876"/>
      <c r="S354" s="1876"/>
      <c r="T354" s="1877"/>
      <c r="U354" s="1878"/>
      <c r="V354" s="1878"/>
      <c r="W354" s="1879"/>
      <c r="X354" s="1879"/>
      <c r="Y354" s="1879"/>
      <c r="Z354" s="1880"/>
      <c r="AA354" s="1879"/>
      <c r="AB354" s="1879"/>
      <c r="AC354" s="1881">
        <f t="shared" si="273"/>
        <v>58532.799999999996</v>
      </c>
      <c r="AD354" s="1881">
        <f t="shared" si="273"/>
        <v>30000</v>
      </c>
      <c r="AE354" s="1881">
        <f t="shared" si="273"/>
        <v>30000</v>
      </c>
      <c r="AF354" s="1881">
        <f t="shared" si="273"/>
        <v>0</v>
      </c>
      <c r="AG354" s="1881">
        <f t="shared" si="273"/>
        <v>0</v>
      </c>
      <c r="AH354" s="1490">
        <f t="shared" si="272"/>
        <v>0</v>
      </c>
      <c r="AI354" s="1882">
        <f t="shared" si="273"/>
        <v>0</v>
      </c>
      <c r="AJ354" s="1882">
        <f t="shared" si="273"/>
        <v>70000</v>
      </c>
      <c r="AK354" s="1882">
        <f t="shared" si="273"/>
        <v>70000</v>
      </c>
      <c r="AL354" s="1636">
        <f t="shared" si="250"/>
        <v>0</v>
      </c>
      <c r="AM354" s="1882">
        <f t="shared" si="273"/>
        <v>0</v>
      </c>
      <c r="AN354" s="1883"/>
      <c r="AO354" s="1875">
        <f t="shared" si="273"/>
        <v>4835.25</v>
      </c>
      <c r="AP354" s="1875">
        <f t="shared" si="273"/>
        <v>0</v>
      </c>
      <c r="AQ354" s="1875">
        <f t="shared" si="273"/>
        <v>0</v>
      </c>
      <c r="AR354" s="1875">
        <f t="shared" si="273"/>
        <v>0</v>
      </c>
      <c r="AS354" s="1880">
        <f t="shared" si="273"/>
        <v>4734.1000000000004</v>
      </c>
      <c r="AT354" s="1875">
        <f t="shared" si="273"/>
        <v>0</v>
      </c>
      <c r="AU354" s="1875">
        <f t="shared" si="273"/>
        <v>0</v>
      </c>
      <c r="AV354" s="1875">
        <f t="shared" si="273"/>
        <v>0</v>
      </c>
      <c r="AW354" s="1880">
        <f t="shared" si="273"/>
        <v>4565.6000000000004</v>
      </c>
      <c r="AX354" s="1875">
        <f t="shared" si="273"/>
        <v>0</v>
      </c>
      <c r="AY354" s="1875">
        <f t="shared" si="273"/>
        <v>0</v>
      </c>
      <c r="AZ354" s="1875">
        <f t="shared" si="273"/>
        <v>0</v>
      </c>
      <c r="BA354" s="1883">
        <f t="shared" si="273"/>
        <v>4565.63</v>
      </c>
      <c r="BB354" s="1875">
        <f t="shared" si="273"/>
        <v>0</v>
      </c>
      <c r="BC354" s="1875">
        <f t="shared" si="273"/>
        <v>0</v>
      </c>
      <c r="BD354" s="1875">
        <f t="shared" si="273"/>
        <v>0</v>
      </c>
      <c r="BE354" s="1539">
        <f t="shared" si="273"/>
        <v>5353.13</v>
      </c>
      <c r="BF354" s="1875">
        <f t="shared" si="273"/>
        <v>0</v>
      </c>
      <c r="BG354" s="1875">
        <f t="shared" si="273"/>
        <v>0</v>
      </c>
      <c r="BH354" s="1875">
        <f t="shared" si="273"/>
        <v>0</v>
      </c>
      <c r="BI354" s="1883">
        <f t="shared" si="273"/>
        <v>2012.39</v>
      </c>
      <c r="BJ354" s="1875">
        <f t="shared" si="273"/>
        <v>0</v>
      </c>
      <c r="BK354" s="1875">
        <f t="shared" si="273"/>
        <v>0</v>
      </c>
      <c r="BL354" s="1875">
        <f t="shared" si="273"/>
        <v>0</v>
      </c>
      <c r="BM354" s="1883">
        <f t="shared" si="273"/>
        <v>7268.66</v>
      </c>
      <c r="BN354" s="1875">
        <f t="shared" si="273"/>
        <v>0</v>
      </c>
      <c r="BO354" s="1875">
        <f t="shared" si="273"/>
        <v>0</v>
      </c>
      <c r="BP354" s="1875">
        <f t="shared" si="273"/>
        <v>0</v>
      </c>
      <c r="BQ354" s="1883">
        <f t="shared" si="273"/>
        <v>5100.7</v>
      </c>
      <c r="BR354" s="1875">
        <f t="shared" si="273"/>
        <v>0</v>
      </c>
      <c r="BS354" s="1875">
        <f t="shared" si="273"/>
        <v>0</v>
      </c>
      <c r="BT354" s="1875">
        <f t="shared" si="273"/>
        <v>0</v>
      </c>
      <c r="BU354" s="1883">
        <f t="shared" si="273"/>
        <v>5074.6000000000004</v>
      </c>
      <c r="BV354" s="1875">
        <f t="shared" si="273"/>
        <v>0</v>
      </c>
      <c r="BW354" s="1875">
        <f t="shared" si="273"/>
        <v>0</v>
      </c>
      <c r="BX354" s="1875">
        <f t="shared" si="273"/>
        <v>0</v>
      </c>
      <c r="BY354" s="1883">
        <f t="shared" si="273"/>
        <v>4726.96</v>
      </c>
      <c r="BZ354" s="1875">
        <f t="shared" si="273"/>
        <v>0</v>
      </c>
      <c r="CA354" s="1875">
        <f t="shared" si="273"/>
        <v>0</v>
      </c>
      <c r="CB354" s="1875">
        <f t="shared" si="273"/>
        <v>0</v>
      </c>
      <c r="CC354" s="1883">
        <f t="shared" si="273"/>
        <v>4559.6000000000004</v>
      </c>
      <c r="CD354" s="1875">
        <f t="shared" si="273"/>
        <v>0</v>
      </c>
      <c r="CE354" s="1875">
        <f t="shared" si="273"/>
        <v>0</v>
      </c>
      <c r="CF354" s="1875">
        <f t="shared" si="273"/>
        <v>0</v>
      </c>
      <c r="CG354" s="1884"/>
      <c r="CH354" s="1883">
        <f t="shared" si="273"/>
        <v>5736.18</v>
      </c>
      <c r="CI354" s="1875">
        <f t="shared" si="273"/>
        <v>30000</v>
      </c>
      <c r="CJ354" s="1875">
        <f t="shared" si="273"/>
        <v>0</v>
      </c>
      <c r="CK354" s="1875">
        <f t="shared" si="273"/>
        <v>0</v>
      </c>
      <c r="CL354" s="1885"/>
      <c r="CM354" s="1885"/>
      <c r="CN354" s="1885"/>
      <c r="CO354" s="1885"/>
      <c r="CP354" s="1885"/>
      <c r="CQ354" s="1885"/>
      <c r="CR354" s="1885"/>
      <c r="CS354" s="1885"/>
      <c r="CT354" s="1885"/>
      <c r="CU354" s="1885"/>
      <c r="CV354" s="1885"/>
      <c r="CW354" s="1885"/>
      <c r="CY354" s="1885"/>
    </row>
    <row r="355" spans="1:107" ht="53" thickBot="1" x14ac:dyDescent="0.2">
      <c r="A355" s="1748" t="s">
        <v>1135</v>
      </c>
      <c r="B355" s="1749" t="s">
        <v>79</v>
      </c>
      <c r="C355" s="1749" t="s">
        <v>80</v>
      </c>
      <c r="D355" s="1749" t="s">
        <v>125</v>
      </c>
      <c r="E355" s="1749" t="s">
        <v>214</v>
      </c>
      <c r="F355" s="1749" t="s">
        <v>765</v>
      </c>
      <c r="G355" s="1600" t="s">
        <v>766</v>
      </c>
      <c r="H355" s="1531">
        <f>H356+H357+H358+H359+H360+H361+H362+H363+H364+H365+H366+H367+H368</f>
        <v>58532.799999999996</v>
      </c>
      <c r="I355" s="1531">
        <f>I356+I357+I358+I359+I360+I361+I362+I363+I364+I365+I366+I367+I368</f>
        <v>100000</v>
      </c>
      <c r="J355" s="1531">
        <f>J356+J357+J358+J359+J360+J361+J362+J363+J364+J365+J366+J367+J368</f>
        <v>0</v>
      </c>
      <c r="K355" s="1531">
        <f t="shared" ref="K355:CK355" si="274">K356+K357+K358+K359+K360+K361+K362+K363+K364+K365+K366+K367+K368</f>
        <v>0</v>
      </c>
      <c r="L355" s="1601"/>
      <c r="M355" s="1601"/>
      <c r="N355" s="1601"/>
      <c r="O355" s="1601"/>
      <c r="P355" s="1601"/>
      <c r="Q355" s="1601"/>
      <c r="R355" s="1601"/>
      <c r="S355" s="1601"/>
      <c r="T355" s="1531">
        <f t="shared" si="274"/>
        <v>0</v>
      </c>
      <c r="U355" s="1533">
        <f t="shared" si="274"/>
        <v>2618</v>
      </c>
      <c r="V355" s="1533"/>
      <c r="W355" s="1534"/>
      <c r="X355" s="1534"/>
      <c r="Y355" s="1534"/>
      <c r="Z355" s="1535"/>
      <c r="AA355" s="1534"/>
      <c r="AB355" s="1534"/>
      <c r="AC355" s="1603">
        <f t="shared" si="274"/>
        <v>58532.799999999996</v>
      </c>
      <c r="AD355" s="1603">
        <f t="shared" si="274"/>
        <v>30000</v>
      </c>
      <c r="AE355" s="1603">
        <f t="shared" si="274"/>
        <v>30000</v>
      </c>
      <c r="AF355" s="1603">
        <f t="shared" si="274"/>
        <v>0</v>
      </c>
      <c r="AG355" s="1603">
        <f t="shared" si="274"/>
        <v>0</v>
      </c>
      <c r="AH355" s="1490">
        <f t="shared" si="272"/>
        <v>0</v>
      </c>
      <c r="AI355" s="1592">
        <f t="shared" si="274"/>
        <v>0</v>
      </c>
      <c r="AJ355" s="1537">
        <f t="shared" si="274"/>
        <v>70000</v>
      </c>
      <c r="AK355" s="1537">
        <f t="shared" si="274"/>
        <v>70000</v>
      </c>
      <c r="AL355" s="1636">
        <f t="shared" si="250"/>
        <v>0</v>
      </c>
      <c r="AM355" s="1537">
        <f t="shared" si="274"/>
        <v>0</v>
      </c>
      <c r="AN355" s="1706"/>
      <c r="AO355" s="1707">
        <f t="shared" si="274"/>
        <v>4835.25</v>
      </c>
      <c r="AP355" s="1531">
        <f t="shared" si="274"/>
        <v>0</v>
      </c>
      <c r="AQ355" s="1531">
        <f t="shared" si="274"/>
        <v>0</v>
      </c>
      <c r="AR355" s="1531">
        <f t="shared" si="274"/>
        <v>0</v>
      </c>
      <c r="AS355" s="1535">
        <f t="shared" si="274"/>
        <v>4734.1000000000004</v>
      </c>
      <c r="AT355" s="1531">
        <f t="shared" si="274"/>
        <v>0</v>
      </c>
      <c r="AU355" s="1531">
        <f t="shared" si="274"/>
        <v>0</v>
      </c>
      <c r="AV355" s="1531">
        <f t="shared" si="274"/>
        <v>0</v>
      </c>
      <c r="AW355" s="1535">
        <f t="shared" si="274"/>
        <v>4565.6000000000004</v>
      </c>
      <c r="AX355" s="1531">
        <f t="shared" si="274"/>
        <v>0</v>
      </c>
      <c r="AY355" s="1531">
        <f t="shared" si="274"/>
        <v>0</v>
      </c>
      <c r="AZ355" s="1531">
        <f t="shared" si="274"/>
        <v>0</v>
      </c>
      <c r="BA355" s="1538">
        <f t="shared" si="274"/>
        <v>4565.63</v>
      </c>
      <c r="BB355" s="1531">
        <f t="shared" si="274"/>
        <v>0</v>
      </c>
      <c r="BC355" s="1531">
        <f t="shared" si="274"/>
        <v>0</v>
      </c>
      <c r="BD355" s="1531">
        <f t="shared" si="274"/>
        <v>0</v>
      </c>
      <c r="BE355" s="1539">
        <f t="shared" si="274"/>
        <v>5353.13</v>
      </c>
      <c r="BF355" s="1531">
        <f t="shared" si="274"/>
        <v>0</v>
      </c>
      <c r="BG355" s="1531">
        <f t="shared" si="274"/>
        <v>0</v>
      </c>
      <c r="BH355" s="1531">
        <f t="shared" si="274"/>
        <v>0</v>
      </c>
      <c r="BI355" s="1538">
        <f t="shared" si="274"/>
        <v>2012.39</v>
      </c>
      <c r="BJ355" s="1531">
        <f t="shared" si="274"/>
        <v>0</v>
      </c>
      <c r="BK355" s="1531">
        <f t="shared" si="274"/>
        <v>0</v>
      </c>
      <c r="BL355" s="1531">
        <f t="shared" si="274"/>
        <v>0</v>
      </c>
      <c r="BM355" s="1538">
        <f t="shared" si="274"/>
        <v>7268.66</v>
      </c>
      <c r="BN355" s="1531">
        <f t="shared" si="274"/>
        <v>0</v>
      </c>
      <c r="BO355" s="1531">
        <f t="shared" si="274"/>
        <v>0</v>
      </c>
      <c r="BP355" s="1531">
        <f t="shared" si="274"/>
        <v>0</v>
      </c>
      <c r="BQ355" s="1538">
        <f t="shared" si="274"/>
        <v>5100.7</v>
      </c>
      <c r="BR355" s="1531">
        <f t="shared" si="274"/>
        <v>0</v>
      </c>
      <c r="BS355" s="1531">
        <f t="shared" si="274"/>
        <v>0</v>
      </c>
      <c r="BT355" s="1531">
        <f t="shared" si="274"/>
        <v>0</v>
      </c>
      <c r="BU355" s="1538">
        <f t="shared" si="274"/>
        <v>5074.6000000000004</v>
      </c>
      <c r="BV355" s="1531">
        <f t="shared" si="274"/>
        <v>0</v>
      </c>
      <c r="BW355" s="1531">
        <f t="shared" si="274"/>
        <v>0</v>
      </c>
      <c r="BX355" s="1531">
        <f t="shared" si="274"/>
        <v>0</v>
      </c>
      <c r="BY355" s="1538">
        <f t="shared" si="274"/>
        <v>4726.96</v>
      </c>
      <c r="BZ355" s="1531">
        <f t="shared" si="274"/>
        <v>0</v>
      </c>
      <c r="CA355" s="1531">
        <f t="shared" si="274"/>
        <v>0</v>
      </c>
      <c r="CB355" s="1531">
        <f t="shared" si="274"/>
        <v>0</v>
      </c>
      <c r="CC355" s="1538">
        <f t="shared" si="274"/>
        <v>4559.6000000000004</v>
      </c>
      <c r="CD355" s="1531">
        <f t="shared" si="274"/>
        <v>0</v>
      </c>
      <c r="CE355" s="1531">
        <f t="shared" si="274"/>
        <v>0</v>
      </c>
      <c r="CF355" s="1531">
        <f t="shared" si="274"/>
        <v>0</v>
      </c>
      <c r="CG355" s="1705"/>
      <c r="CH355" s="1538">
        <f t="shared" si="274"/>
        <v>5736.18</v>
      </c>
      <c r="CI355" s="1531">
        <f t="shared" si="274"/>
        <v>30000</v>
      </c>
      <c r="CJ355" s="1531">
        <f t="shared" si="274"/>
        <v>0</v>
      </c>
      <c r="CK355" s="1531">
        <f t="shared" si="274"/>
        <v>0</v>
      </c>
    </row>
    <row r="356" spans="1:107" ht="15" thickBot="1" x14ac:dyDescent="0.2">
      <c r="A356" s="1541" t="s">
        <v>124</v>
      </c>
      <c r="B356" s="1523" t="s">
        <v>79</v>
      </c>
      <c r="C356" s="1523" t="s">
        <v>80</v>
      </c>
      <c r="D356" s="1523" t="s">
        <v>125</v>
      </c>
      <c r="E356" s="1523" t="s">
        <v>214</v>
      </c>
      <c r="F356" s="1523"/>
      <c r="G356" s="1667">
        <v>211</v>
      </c>
      <c r="H356" s="1501">
        <v>42023.6</v>
      </c>
      <c r="I356" s="1645"/>
      <c r="J356" s="1630"/>
      <c r="K356" s="1630"/>
      <c r="L356" s="1631"/>
      <c r="M356" s="1631"/>
      <c r="N356" s="1631"/>
      <c r="O356" s="1631"/>
      <c r="P356" s="1631"/>
      <c r="Q356" s="1631"/>
      <c r="R356" s="1631"/>
      <c r="S356" s="1631"/>
      <c r="T356" s="1632"/>
      <c r="U356" s="1633"/>
      <c r="V356" s="1633"/>
      <c r="W356" s="1634">
        <f>H356/12</f>
        <v>3501.9666666666667</v>
      </c>
      <c r="X356" s="1634">
        <f>AO356</f>
        <v>3502</v>
      </c>
      <c r="Y356" s="1634">
        <f>CC356</f>
        <v>3502.1</v>
      </c>
      <c r="Z356" s="1635">
        <v>3502.1</v>
      </c>
      <c r="AA356" s="1634"/>
      <c r="AB356" s="1634"/>
      <c r="AC356" s="1508">
        <f t="shared" ref="AC356:AC369" si="275">AO356+AS356+AW356+BA356+BE356+BI356+BM356+BQ356+BU356+BY356+CC356+CH356</f>
        <v>42023.6</v>
      </c>
      <c r="AD356" s="1509">
        <f t="shared" ref="AD356:AD369" si="276">AE356+AF356+AG356</f>
        <v>0</v>
      </c>
      <c r="AE356" s="1509">
        <f t="shared" ref="AE356:AG368" si="277">AP356+AT356+AX356+BB356+BF356+BJ356+BN356+BR356+BV356+BZ356+CD356+CI356</f>
        <v>0</v>
      </c>
      <c r="AF356" s="1509">
        <f t="shared" si="277"/>
        <v>0</v>
      </c>
      <c r="AG356" s="1509">
        <f t="shared" si="277"/>
        <v>0</v>
      </c>
      <c r="AH356" s="1490">
        <f t="shared" si="272"/>
        <v>3501.85</v>
      </c>
      <c r="AI356" s="1636">
        <f t="shared" ref="AI356:AI368" si="278">H356-AC356</f>
        <v>0</v>
      </c>
      <c r="AJ356" s="1636">
        <f t="shared" ref="AJ356:AJ368" si="279">AK356+AL356+AM356</f>
        <v>0</v>
      </c>
      <c r="AK356" s="1636">
        <f t="shared" ref="AK356:AK368" si="280">I356-AE356</f>
        <v>0</v>
      </c>
      <c r="AL356" s="1636">
        <f t="shared" si="250"/>
        <v>0</v>
      </c>
      <c r="AM356" s="1636">
        <f t="shared" si="250"/>
        <v>0</v>
      </c>
      <c r="AN356" s="1510">
        <f>H356/12*10-AC356</f>
        <v>-7003.9333333333343</v>
      </c>
      <c r="AO356" s="1722">
        <v>3502</v>
      </c>
      <c r="AP356" s="1638"/>
      <c r="AQ356" s="1638"/>
      <c r="AR356" s="1638"/>
      <c r="AS356" s="1639">
        <v>3506.6</v>
      </c>
      <c r="AT356" s="1638"/>
      <c r="AU356" s="1638"/>
      <c r="AV356" s="1638"/>
      <c r="AW356" s="1640">
        <v>3506.6</v>
      </c>
      <c r="AX356" s="1640"/>
      <c r="AY356" s="1640"/>
      <c r="AZ356" s="1640"/>
      <c r="BA356" s="1641">
        <v>3506.63</v>
      </c>
      <c r="BB356" s="1640"/>
      <c r="BC356" s="1640"/>
      <c r="BD356" s="1640"/>
      <c r="BE356" s="1641">
        <v>3506.63</v>
      </c>
      <c r="BF356" s="1640"/>
      <c r="BG356" s="1640"/>
      <c r="BH356" s="1640"/>
      <c r="BI356" s="1641">
        <f>1826.24</f>
        <v>1826.24</v>
      </c>
      <c r="BJ356" s="1640"/>
      <c r="BK356" s="1640"/>
      <c r="BL356" s="1640"/>
      <c r="BM356" s="1641">
        <f>1680.39+3478.7</f>
        <v>5159.09</v>
      </c>
      <c r="BN356" s="1640"/>
      <c r="BO356" s="1640"/>
      <c r="BP356" s="1640"/>
      <c r="BQ356" s="1641">
        <v>3502</v>
      </c>
      <c r="BR356" s="1640"/>
      <c r="BS356" s="1640"/>
      <c r="BT356" s="1640"/>
      <c r="BU356" s="1641">
        <v>3502</v>
      </c>
      <c r="BV356" s="1640"/>
      <c r="BW356" s="1640"/>
      <c r="BX356" s="1640"/>
      <c r="BY356" s="1641">
        <f>1292.56+2209.3</f>
        <v>3501.86</v>
      </c>
      <c r="BZ356" s="1640"/>
      <c r="CA356" s="1640"/>
      <c r="CB356" s="1640"/>
      <c r="CC356" s="1641">
        <v>3502.1</v>
      </c>
      <c r="CD356" s="1640"/>
      <c r="CE356" s="1640"/>
      <c r="CF356" s="1640"/>
      <c r="CG356" s="1642"/>
      <c r="CH356" s="1641">
        <f>CL356+CP356</f>
        <v>3501.85</v>
      </c>
      <c r="CI356" s="1641">
        <f t="shared" ref="CI356:CK371" si="281">CM356+CQ356</f>
        <v>0</v>
      </c>
      <c r="CJ356" s="1641">
        <f t="shared" si="281"/>
        <v>0</v>
      </c>
      <c r="CK356" s="1641">
        <f t="shared" si="281"/>
        <v>0</v>
      </c>
      <c r="CL356" s="1887">
        <v>3501.85</v>
      </c>
      <c r="CM356" s="1888">
        <v>0</v>
      </c>
      <c r="CN356" s="1888">
        <v>0</v>
      </c>
      <c r="CO356" s="1888">
        <v>0</v>
      </c>
      <c r="CP356" s="1641"/>
      <c r="CQ356" s="1640"/>
      <c r="CR356" s="1640"/>
      <c r="CS356" s="1640"/>
      <c r="CX356" s="1558">
        <f>H356/12*10-AC356</f>
        <v>-7003.9333333333343</v>
      </c>
      <c r="CY356" s="1558">
        <f>AI356/3</f>
        <v>0</v>
      </c>
      <c r="CZ356" s="1558">
        <f>H356/12</f>
        <v>3501.9666666666667</v>
      </c>
      <c r="DA356" s="1559"/>
      <c r="DB356" s="1559"/>
      <c r="DC356" s="1559"/>
    </row>
    <row r="357" spans="1:107" ht="15" thickBot="1" x14ac:dyDescent="0.2">
      <c r="A357" s="1541" t="s">
        <v>83</v>
      </c>
      <c r="B357" s="1523" t="s">
        <v>79</v>
      </c>
      <c r="C357" s="1523" t="s">
        <v>80</v>
      </c>
      <c r="D357" s="1523" t="s">
        <v>125</v>
      </c>
      <c r="E357" s="1523" t="s">
        <v>214</v>
      </c>
      <c r="F357" s="1523"/>
      <c r="G357" s="1667">
        <v>212</v>
      </c>
      <c r="H357" s="1501">
        <v>3</v>
      </c>
      <c r="I357" s="1645"/>
      <c r="J357" s="1630"/>
      <c r="K357" s="1630"/>
      <c r="L357" s="1631"/>
      <c r="M357" s="1631"/>
      <c r="N357" s="1631"/>
      <c r="O357" s="1631"/>
      <c r="P357" s="1631"/>
      <c r="Q357" s="1631"/>
      <c r="R357" s="1631"/>
      <c r="S357" s="1631"/>
      <c r="T357" s="1632"/>
      <c r="U357" s="1633"/>
      <c r="V357" s="1633"/>
      <c r="W357" s="1634"/>
      <c r="X357" s="1634"/>
      <c r="Y357" s="1634"/>
      <c r="Z357" s="1635"/>
      <c r="AA357" s="1634"/>
      <c r="AB357" s="1634"/>
      <c r="AC357" s="1508">
        <f t="shared" si="275"/>
        <v>3</v>
      </c>
      <c r="AD357" s="1509">
        <f t="shared" si="276"/>
        <v>0</v>
      </c>
      <c r="AE357" s="1509">
        <f t="shared" si="277"/>
        <v>0</v>
      </c>
      <c r="AF357" s="1509">
        <f t="shared" si="277"/>
        <v>0</v>
      </c>
      <c r="AG357" s="1509">
        <f t="shared" si="277"/>
        <v>0</v>
      </c>
      <c r="AH357" s="1490">
        <f t="shared" si="272"/>
        <v>2.4500000000000002</v>
      </c>
      <c r="AI357" s="1636">
        <f t="shared" si="278"/>
        <v>0</v>
      </c>
      <c r="AJ357" s="1636">
        <f t="shared" si="279"/>
        <v>0</v>
      </c>
      <c r="AK357" s="1636">
        <f t="shared" si="280"/>
        <v>0</v>
      </c>
      <c r="AL357" s="1636">
        <f t="shared" si="250"/>
        <v>0</v>
      </c>
      <c r="AM357" s="1636">
        <f t="shared" si="250"/>
        <v>0</v>
      </c>
      <c r="AN357" s="1510"/>
      <c r="AO357" s="1722">
        <f>0.3+0.25</f>
        <v>0.55000000000000004</v>
      </c>
      <c r="AP357" s="1638"/>
      <c r="AQ357" s="1638"/>
      <c r="AR357" s="1638"/>
      <c r="AS357" s="1639"/>
      <c r="AT357" s="1638"/>
      <c r="AU357" s="1638"/>
      <c r="AV357" s="1638"/>
      <c r="AW357" s="1640"/>
      <c r="AX357" s="1640"/>
      <c r="AY357" s="1640"/>
      <c r="AZ357" s="1640"/>
      <c r="BA357" s="1641"/>
      <c r="BB357" s="1640"/>
      <c r="BC357" s="1640"/>
      <c r="BD357" s="1640"/>
      <c r="BE357" s="1641"/>
      <c r="BF357" s="1640"/>
      <c r="BG357" s="1640"/>
      <c r="BH357" s="1640"/>
      <c r="BI357" s="1641"/>
      <c r="BJ357" s="1640"/>
      <c r="BK357" s="1640"/>
      <c r="BL357" s="1640"/>
      <c r="BM357" s="1641"/>
      <c r="BN357" s="1640"/>
      <c r="BO357" s="1640"/>
      <c r="BP357" s="1640"/>
      <c r="BQ357" s="1641"/>
      <c r="BR357" s="1640"/>
      <c r="BS357" s="1640"/>
      <c r="BT357" s="1640"/>
      <c r="BU357" s="1641"/>
      <c r="BV357" s="1640"/>
      <c r="BW357" s="1640"/>
      <c r="BX357" s="1640"/>
      <c r="BY357" s="1641"/>
      <c r="BZ357" s="1640"/>
      <c r="CA357" s="1640"/>
      <c r="CB357" s="1640"/>
      <c r="CC357" s="1641"/>
      <c r="CD357" s="1640"/>
      <c r="CE357" s="1640"/>
      <c r="CF357" s="1640"/>
      <c r="CG357" s="1642"/>
      <c r="CH357" s="1641">
        <f t="shared" ref="CH357:CK420" si="282">CL357+CP357</f>
        <v>2.4500000000000002</v>
      </c>
      <c r="CI357" s="1641">
        <f t="shared" si="281"/>
        <v>0</v>
      </c>
      <c r="CJ357" s="1641">
        <f t="shared" si="281"/>
        <v>0</v>
      </c>
      <c r="CK357" s="1641">
        <f t="shared" si="281"/>
        <v>0</v>
      </c>
      <c r="CL357" s="1889">
        <v>2.4500000000000002</v>
      </c>
      <c r="CM357" s="1889">
        <v>0</v>
      </c>
      <c r="CN357" s="1889">
        <v>0</v>
      </c>
      <c r="CO357" s="1889">
        <v>0</v>
      </c>
      <c r="CP357" s="1641"/>
      <c r="CQ357" s="1640"/>
      <c r="CR357" s="1640"/>
      <c r="CS357" s="1640"/>
      <c r="CX357" s="1558"/>
      <c r="CY357" s="1558"/>
      <c r="CZ357" s="1558"/>
      <c r="DA357" s="1559"/>
      <c r="DB357" s="1559"/>
      <c r="DC357" s="1559"/>
    </row>
    <row r="358" spans="1:107" ht="15" thickBot="1" x14ac:dyDescent="0.2">
      <c r="A358" s="1541" t="s">
        <v>84</v>
      </c>
      <c r="B358" s="1523" t="s">
        <v>79</v>
      </c>
      <c r="C358" s="1523" t="s">
        <v>80</v>
      </c>
      <c r="D358" s="1523" t="s">
        <v>125</v>
      </c>
      <c r="E358" s="1523" t="s">
        <v>214</v>
      </c>
      <c r="F358" s="1523"/>
      <c r="G358" s="1667">
        <v>213</v>
      </c>
      <c r="H358" s="1501">
        <v>12691.1</v>
      </c>
      <c r="I358" s="1645"/>
      <c r="J358" s="1630"/>
      <c r="K358" s="1630"/>
      <c r="L358" s="1631"/>
      <c r="M358" s="1631"/>
      <c r="N358" s="1631"/>
      <c r="O358" s="1631"/>
      <c r="P358" s="1631"/>
      <c r="Q358" s="1631"/>
      <c r="R358" s="1631"/>
      <c r="S358" s="1631"/>
      <c r="T358" s="1632"/>
      <c r="U358" s="1633"/>
      <c r="V358" s="1633"/>
      <c r="W358" s="1634">
        <f>H358/12</f>
        <v>1057.5916666666667</v>
      </c>
      <c r="X358" s="1634">
        <f>AO358</f>
        <v>1057.5999999999999</v>
      </c>
      <c r="Y358" s="1634">
        <f>CC358</f>
        <v>1057.5</v>
      </c>
      <c r="Z358" s="1635">
        <v>1057.5</v>
      </c>
      <c r="AA358" s="1634"/>
      <c r="AB358" s="1634"/>
      <c r="AC358" s="1508">
        <f t="shared" si="275"/>
        <v>12691.100000000002</v>
      </c>
      <c r="AD358" s="1509">
        <f t="shared" si="276"/>
        <v>0</v>
      </c>
      <c r="AE358" s="1509">
        <f t="shared" si="277"/>
        <v>0</v>
      </c>
      <c r="AF358" s="1509">
        <f t="shared" si="277"/>
        <v>0</v>
      </c>
      <c r="AG358" s="1509">
        <f t="shared" si="277"/>
        <v>0</v>
      </c>
      <c r="AH358" s="1490">
        <f t="shared" si="272"/>
        <v>1057.6300000000001</v>
      </c>
      <c r="AI358" s="1636">
        <f t="shared" si="278"/>
        <v>0</v>
      </c>
      <c r="AJ358" s="1636">
        <f t="shared" si="279"/>
        <v>0</v>
      </c>
      <c r="AK358" s="1636">
        <f t="shared" si="280"/>
        <v>0</v>
      </c>
      <c r="AL358" s="1636">
        <f t="shared" si="250"/>
        <v>0</v>
      </c>
      <c r="AM358" s="1636">
        <f t="shared" si="250"/>
        <v>0</v>
      </c>
      <c r="AN358" s="1510">
        <f>H358/12*10-AC358</f>
        <v>-2115.1833333333343</v>
      </c>
      <c r="AO358" s="1722">
        <v>1057.5999999999999</v>
      </c>
      <c r="AP358" s="1638"/>
      <c r="AQ358" s="1638"/>
      <c r="AR358" s="1638"/>
      <c r="AS358" s="1639">
        <v>1059</v>
      </c>
      <c r="AT358" s="1638"/>
      <c r="AU358" s="1638"/>
      <c r="AV358" s="1638"/>
      <c r="AW358" s="1640">
        <v>1059</v>
      </c>
      <c r="AX358" s="1640"/>
      <c r="AY358" s="1640"/>
      <c r="AZ358" s="1640"/>
      <c r="BA358" s="1641">
        <v>1059</v>
      </c>
      <c r="BB358" s="1640"/>
      <c r="BC358" s="1640"/>
      <c r="BD358" s="1640"/>
      <c r="BE358" s="1641">
        <v>1059</v>
      </c>
      <c r="BF358" s="1640"/>
      <c r="BG358" s="1640"/>
      <c r="BH358" s="1640"/>
      <c r="BI358" s="1641"/>
      <c r="BJ358" s="1640"/>
      <c r="BK358" s="1640"/>
      <c r="BL358" s="1640"/>
      <c r="BM358" s="1641">
        <f>1059+1050.57</f>
        <v>2109.5699999999997</v>
      </c>
      <c r="BN358" s="1640"/>
      <c r="BO358" s="1640"/>
      <c r="BP358" s="1640"/>
      <c r="BQ358" s="1641">
        <v>1057.5</v>
      </c>
      <c r="BR358" s="1640"/>
      <c r="BS358" s="1640"/>
      <c r="BT358" s="1640"/>
      <c r="BU358" s="1641">
        <v>1057.5999999999999</v>
      </c>
      <c r="BV358" s="1640"/>
      <c r="BW358" s="1640"/>
      <c r="BX358" s="1640"/>
      <c r="BY358" s="1641">
        <v>1057.7</v>
      </c>
      <c r="BZ358" s="1640"/>
      <c r="CA358" s="1640"/>
      <c r="CB358" s="1640"/>
      <c r="CC358" s="1641">
        <v>1057.5</v>
      </c>
      <c r="CD358" s="1640"/>
      <c r="CE358" s="1640"/>
      <c r="CF358" s="1640"/>
      <c r="CG358" s="1642"/>
      <c r="CH358" s="1641">
        <f t="shared" si="282"/>
        <v>1057.6300000000001</v>
      </c>
      <c r="CI358" s="1641">
        <f t="shared" si="281"/>
        <v>0</v>
      </c>
      <c r="CJ358" s="1641">
        <f t="shared" si="281"/>
        <v>0</v>
      </c>
      <c r="CK358" s="1641">
        <f t="shared" si="281"/>
        <v>0</v>
      </c>
      <c r="CL358" s="1890">
        <v>1057.6300000000001</v>
      </c>
      <c r="CM358" s="1889">
        <v>0</v>
      </c>
      <c r="CN358" s="1889">
        <v>0</v>
      </c>
      <c r="CO358" s="1889">
        <v>0</v>
      </c>
      <c r="CP358" s="1641"/>
      <c r="CQ358" s="1640"/>
      <c r="CR358" s="1640"/>
      <c r="CS358" s="1640"/>
      <c r="CX358" s="1558">
        <f>H358/12*10-AC358</f>
        <v>-2115.1833333333343</v>
      </c>
      <c r="CY358" s="1558">
        <f>AI358/3</f>
        <v>0</v>
      </c>
      <c r="CZ358" s="1558">
        <f>H358/12</f>
        <v>1057.5916666666667</v>
      </c>
      <c r="DA358" s="1559"/>
      <c r="DB358" s="1559"/>
      <c r="DC358" s="1559"/>
    </row>
    <row r="359" spans="1:107" ht="15" thickBot="1" x14ac:dyDescent="0.2">
      <c r="A359" s="1541" t="s">
        <v>85</v>
      </c>
      <c r="B359" s="1523" t="s">
        <v>79</v>
      </c>
      <c r="C359" s="1523" t="s">
        <v>80</v>
      </c>
      <c r="D359" s="1523" t="s">
        <v>125</v>
      </c>
      <c r="E359" s="1523" t="s">
        <v>214</v>
      </c>
      <c r="F359" s="1523"/>
      <c r="G359" s="1667">
        <v>221</v>
      </c>
      <c r="H359" s="1501">
        <v>67.2</v>
      </c>
      <c r="I359" s="1645"/>
      <c r="J359" s="1630"/>
      <c r="K359" s="1630"/>
      <c r="L359" s="1631"/>
      <c r="M359" s="1631"/>
      <c r="N359" s="1631"/>
      <c r="O359" s="1631"/>
      <c r="P359" s="1631"/>
      <c r="Q359" s="1631"/>
      <c r="R359" s="1631"/>
      <c r="S359" s="1631"/>
      <c r="T359" s="1632"/>
      <c r="U359" s="1633"/>
      <c r="V359" s="1633"/>
      <c r="W359" s="1634"/>
      <c r="X359" s="1634"/>
      <c r="Y359" s="1634"/>
      <c r="Z359" s="1635"/>
      <c r="AA359" s="1634"/>
      <c r="AB359" s="1634"/>
      <c r="AC359" s="1508">
        <f t="shared" si="275"/>
        <v>67.2</v>
      </c>
      <c r="AD359" s="1509">
        <f t="shared" si="276"/>
        <v>0</v>
      </c>
      <c r="AE359" s="1509">
        <f t="shared" si="277"/>
        <v>0</v>
      </c>
      <c r="AF359" s="1509">
        <f t="shared" si="277"/>
        <v>0</v>
      </c>
      <c r="AG359" s="1509">
        <f t="shared" si="277"/>
        <v>0</v>
      </c>
      <c r="AH359" s="1490">
        <f t="shared" si="272"/>
        <v>61.6</v>
      </c>
      <c r="AI359" s="1636">
        <f t="shared" si="278"/>
        <v>0</v>
      </c>
      <c r="AJ359" s="1636">
        <f t="shared" si="279"/>
        <v>0</v>
      </c>
      <c r="AK359" s="1636">
        <f t="shared" si="280"/>
        <v>0</v>
      </c>
      <c r="AL359" s="1636">
        <f t="shared" si="250"/>
        <v>0</v>
      </c>
      <c r="AM359" s="1636">
        <f t="shared" si="250"/>
        <v>0</v>
      </c>
      <c r="AN359" s="1637"/>
      <c r="AO359" s="1722">
        <v>5.6</v>
      </c>
      <c r="AP359" s="1638"/>
      <c r="AQ359" s="1638"/>
      <c r="AR359" s="1638"/>
      <c r="AS359" s="1639"/>
      <c r="AT359" s="1638"/>
      <c r="AU359" s="1638"/>
      <c r="AV359" s="1638"/>
      <c r="AW359" s="1639"/>
      <c r="AX359" s="1640"/>
      <c r="AY359" s="1640"/>
      <c r="AZ359" s="1640"/>
      <c r="BA359" s="1641"/>
      <c r="BB359" s="1640"/>
      <c r="BC359" s="1640"/>
      <c r="BD359" s="1640"/>
      <c r="BE359" s="1644"/>
      <c r="BF359" s="1640"/>
      <c r="BG359" s="1640"/>
      <c r="BH359" s="1640"/>
      <c r="BI359" s="1641"/>
      <c r="BJ359" s="1640"/>
      <c r="BK359" s="1640"/>
      <c r="BL359" s="1640"/>
      <c r="BM359" s="1641"/>
      <c r="BN359" s="1640"/>
      <c r="BO359" s="1640"/>
      <c r="BP359" s="1640"/>
      <c r="BQ359" s="1641"/>
      <c r="BR359" s="1640"/>
      <c r="BS359" s="1640"/>
      <c r="BT359" s="1640"/>
      <c r="BU359" s="1641"/>
      <c r="BV359" s="1640"/>
      <c r="BW359" s="1640"/>
      <c r="BX359" s="1640"/>
      <c r="BY359" s="1641"/>
      <c r="BZ359" s="1640"/>
      <c r="CA359" s="1640"/>
      <c r="CB359" s="1640"/>
      <c r="CC359" s="1641"/>
      <c r="CD359" s="1640"/>
      <c r="CE359" s="1640"/>
      <c r="CF359" s="1640"/>
      <c r="CG359" s="1642"/>
      <c r="CH359" s="1641">
        <f t="shared" si="282"/>
        <v>61.6</v>
      </c>
      <c r="CI359" s="1641">
        <f t="shared" si="281"/>
        <v>0</v>
      </c>
      <c r="CJ359" s="1641">
        <f t="shared" si="281"/>
        <v>0</v>
      </c>
      <c r="CK359" s="1641">
        <f t="shared" si="281"/>
        <v>0</v>
      </c>
      <c r="CL359" s="1889">
        <v>61.6</v>
      </c>
      <c r="CM359" s="1889">
        <v>0</v>
      </c>
      <c r="CN359" s="1889">
        <v>0</v>
      </c>
      <c r="CO359" s="1889">
        <v>0</v>
      </c>
      <c r="CP359" s="1641"/>
      <c r="CQ359" s="1640"/>
      <c r="CR359" s="1640"/>
      <c r="CS359" s="1640"/>
    </row>
    <row r="360" spans="1:107" ht="15" thickBot="1" x14ac:dyDescent="0.2">
      <c r="A360" s="1541" t="s">
        <v>86</v>
      </c>
      <c r="B360" s="1523" t="s">
        <v>79</v>
      </c>
      <c r="C360" s="1523" t="s">
        <v>80</v>
      </c>
      <c r="D360" s="1523" t="s">
        <v>125</v>
      </c>
      <c r="E360" s="1523" t="s">
        <v>214</v>
      </c>
      <c r="F360" s="1523"/>
      <c r="G360" s="1667">
        <v>222</v>
      </c>
      <c r="H360" s="1501">
        <v>84</v>
      </c>
      <c r="I360" s="1645"/>
      <c r="J360" s="1630"/>
      <c r="K360" s="1630"/>
      <c r="L360" s="1631"/>
      <c r="M360" s="1631"/>
      <c r="N360" s="1631"/>
      <c r="O360" s="1631"/>
      <c r="P360" s="1631"/>
      <c r="Q360" s="1631"/>
      <c r="R360" s="1631"/>
      <c r="S360" s="1631"/>
      <c r="T360" s="1632"/>
      <c r="U360" s="1633"/>
      <c r="V360" s="1633"/>
      <c r="W360" s="1634"/>
      <c r="X360" s="1634"/>
      <c r="Y360" s="1634"/>
      <c r="Z360" s="1635"/>
      <c r="AA360" s="1634"/>
      <c r="AB360" s="1634"/>
      <c r="AC360" s="1508">
        <f t="shared" si="275"/>
        <v>84</v>
      </c>
      <c r="AD360" s="1509">
        <f t="shared" si="276"/>
        <v>0</v>
      </c>
      <c r="AE360" s="1509">
        <f t="shared" si="277"/>
        <v>0</v>
      </c>
      <c r="AF360" s="1509">
        <f t="shared" si="277"/>
        <v>0</v>
      </c>
      <c r="AG360" s="1509">
        <f t="shared" si="277"/>
        <v>0</v>
      </c>
      <c r="AH360" s="1490">
        <f t="shared" si="272"/>
        <v>77</v>
      </c>
      <c r="AI360" s="1636">
        <f t="shared" si="278"/>
        <v>0</v>
      </c>
      <c r="AJ360" s="1636">
        <f t="shared" si="279"/>
        <v>0</v>
      </c>
      <c r="AK360" s="1636">
        <f t="shared" si="280"/>
        <v>0</v>
      </c>
      <c r="AL360" s="1636">
        <f t="shared" si="250"/>
        <v>0</v>
      </c>
      <c r="AM360" s="1636">
        <f t="shared" si="250"/>
        <v>0</v>
      </c>
      <c r="AN360" s="1637"/>
      <c r="AO360" s="1722">
        <v>7</v>
      </c>
      <c r="AP360" s="1638"/>
      <c r="AQ360" s="1638"/>
      <c r="AR360" s="1638"/>
      <c r="AS360" s="1639"/>
      <c r="AT360" s="1638"/>
      <c r="AU360" s="1638"/>
      <c r="AV360" s="1638"/>
      <c r="AW360" s="1639"/>
      <c r="AX360" s="1640"/>
      <c r="AY360" s="1640"/>
      <c r="AZ360" s="1640"/>
      <c r="BA360" s="1641"/>
      <c r="BB360" s="1640"/>
      <c r="BC360" s="1640"/>
      <c r="BD360" s="1640"/>
      <c r="BE360" s="1644"/>
      <c r="BF360" s="1640"/>
      <c r="BG360" s="1640"/>
      <c r="BH360" s="1640"/>
      <c r="BI360" s="1641"/>
      <c r="BJ360" s="1640"/>
      <c r="BK360" s="1640"/>
      <c r="BL360" s="1640"/>
      <c r="BM360" s="1641"/>
      <c r="BN360" s="1640"/>
      <c r="BO360" s="1640"/>
      <c r="BP360" s="1640"/>
      <c r="BQ360" s="1641"/>
      <c r="BR360" s="1640"/>
      <c r="BS360" s="1640"/>
      <c r="BT360" s="1640"/>
      <c r="BU360" s="1641"/>
      <c r="BV360" s="1640"/>
      <c r="BW360" s="1640"/>
      <c r="BX360" s="1640"/>
      <c r="BY360" s="1641"/>
      <c r="BZ360" s="1640"/>
      <c r="CA360" s="1640"/>
      <c r="CB360" s="1640"/>
      <c r="CC360" s="1641"/>
      <c r="CD360" s="1640"/>
      <c r="CE360" s="1640"/>
      <c r="CF360" s="1640"/>
      <c r="CG360" s="1642"/>
      <c r="CH360" s="1641">
        <f t="shared" si="282"/>
        <v>77</v>
      </c>
      <c r="CI360" s="1641">
        <f t="shared" si="281"/>
        <v>0</v>
      </c>
      <c r="CJ360" s="1641">
        <f t="shared" si="281"/>
        <v>0</v>
      </c>
      <c r="CK360" s="1641">
        <f t="shared" si="281"/>
        <v>0</v>
      </c>
      <c r="CL360" s="1889">
        <v>77</v>
      </c>
      <c r="CM360" s="1889">
        <v>0</v>
      </c>
      <c r="CN360" s="1889">
        <v>0</v>
      </c>
      <c r="CO360" s="1889">
        <v>0</v>
      </c>
      <c r="CP360" s="1641"/>
      <c r="CQ360" s="1640"/>
      <c r="CR360" s="1640"/>
      <c r="CS360" s="1640"/>
    </row>
    <row r="361" spans="1:107" s="1480" customFormat="1" ht="15" thickBot="1" x14ac:dyDescent="0.2">
      <c r="A361" s="1541" t="s">
        <v>87</v>
      </c>
      <c r="B361" s="1523" t="s">
        <v>79</v>
      </c>
      <c r="C361" s="1523" t="s">
        <v>80</v>
      </c>
      <c r="D361" s="1523" t="s">
        <v>125</v>
      </c>
      <c r="E361" s="1523" t="s">
        <v>214</v>
      </c>
      <c r="F361" s="1523"/>
      <c r="G361" s="1667">
        <v>223</v>
      </c>
      <c r="H361" s="1501">
        <f>2021.6-500-42.2</f>
        <v>1479.3999999999999</v>
      </c>
      <c r="I361" s="1645"/>
      <c r="J361" s="1630"/>
      <c r="K361" s="1630"/>
      <c r="L361" s="1631"/>
      <c r="M361" s="1631"/>
      <c r="N361" s="1631"/>
      <c r="O361" s="1631"/>
      <c r="P361" s="1631"/>
      <c r="Q361" s="1631"/>
      <c r="R361" s="1631"/>
      <c r="S361" s="1631"/>
      <c r="T361" s="1891"/>
      <c r="U361" s="1633"/>
      <c r="V361" s="1633"/>
      <c r="W361" s="1891"/>
      <c r="X361" s="1891"/>
      <c r="Y361" s="1891"/>
      <c r="Z361" s="1635"/>
      <c r="AA361" s="1891"/>
      <c r="AB361" s="1891"/>
      <c r="AC361" s="1891">
        <f t="shared" si="275"/>
        <v>1479.4</v>
      </c>
      <c r="AD361" s="1892">
        <f t="shared" si="276"/>
        <v>0</v>
      </c>
      <c r="AE361" s="1892">
        <f t="shared" si="277"/>
        <v>0</v>
      </c>
      <c r="AF361" s="1892">
        <f t="shared" si="277"/>
        <v>0</v>
      </c>
      <c r="AG361" s="1892">
        <f t="shared" si="277"/>
        <v>0</v>
      </c>
      <c r="AH361" s="1490">
        <f t="shared" si="272"/>
        <v>20.2</v>
      </c>
      <c r="AI361" s="1891">
        <f t="shared" si="278"/>
        <v>0</v>
      </c>
      <c r="AJ361" s="1891">
        <f t="shared" si="279"/>
        <v>0</v>
      </c>
      <c r="AK361" s="1891">
        <f t="shared" si="280"/>
        <v>0</v>
      </c>
      <c r="AL361" s="1891">
        <f t="shared" si="250"/>
        <v>0</v>
      </c>
      <c r="AM361" s="1891">
        <f t="shared" si="250"/>
        <v>0</v>
      </c>
      <c r="AN361" s="1891"/>
      <c r="AO361" s="1893">
        <v>168.5</v>
      </c>
      <c r="AP361" s="1894"/>
      <c r="AQ361" s="1894"/>
      <c r="AR361" s="1894"/>
      <c r="AS361" s="1639">
        <v>168.5</v>
      </c>
      <c r="AT361" s="1894"/>
      <c r="AU361" s="1894"/>
      <c r="AV361" s="1894"/>
      <c r="AW361" s="1895"/>
      <c r="AX361" s="1895"/>
      <c r="AY361" s="1895"/>
      <c r="AZ361" s="1895"/>
      <c r="BA361" s="1641"/>
      <c r="BB361" s="1895"/>
      <c r="BC361" s="1895"/>
      <c r="BD361" s="1895"/>
      <c r="BE361" s="1644">
        <v>382.5</v>
      </c>
      <c r="BF361" s="1895"/>
      <c r="BG361" s="1895"/>
      <c r="BH361" s="1895"/>
      <c r="BI361" s="1641">
        <v>186.15</v>
      </c>
      <c r="BJ361" s="1895"/>
      <c r="BK361" s="1895"/>
      <c r="BL361" s="1895"/>
      <c r="BM361" s="1641"/>
      <c r="BN361" s="1895"/>
      <c r="BO361" s="1895"/>
      <c r="BP361" s="1895"/>
      <c r="BQ361" s="1641">
        <v>186.15</v>
      </c>
      <c r="BR361" s="1895"/>
      <c r="BS361" s="1895"/>
      <c r="BT361" s="1895"/>
      <c r="BU361" s="1641">
        <v>200</v>
      </c>
      <c r="BV361" s="1895"/>
      <c r="BW361" s="1895"/>
      <c r="BX361" s="1895"/>
      <c r="BY361" s="1641">
        <v>167.4</v>
      </c>
      <c r="BZ361" s="1895"/>
      <c r="CA361" s="1895"/>
      <c r="CB361" s="1895"/>
      <c r="CC361" s="1895"/>
      <c r="CD361" s="1895"/>
      <c r="CE361" s="1895"/>
      <c r="CF361" s="1895"/>
      <c r="CG361" s="1896"/>
      <c r="CH361" s="1641">
        <f t="shared" si="282"/>
        <v>20.2</v>
      </c>
      <c r="CI361" s="1641">
        <f t="shared" si="281"/>
        <v>0</v>
      </c>
      <c r="CJ361" s="1641">
        <f t="shared" si="281"/>
        <v>0</v>
      </c>
      <c r="CK361" s="1641">
        <f t="shared" si="281"/>
        <v>0</v>
      </c>
      <c r="CL361" s="1897">
        <v>20.2</v>
      </c>
      <c r="CM361" s="1897">
        <v>0</v>
      </c>
      <c r="CN361" s="1897">
        <v>0</v>
      </c>
      <c r="CO361" s="1897">
        <v>0</v>
      </c>
      <c r="CP361" s="1895"/>
      <c r="CQ361" s="1895"/>
      <c r="CR361" s="1895"/>
      <c r="CS361" s="1895"/>
      <c r="CT361" s="1481"/>
      <c r="CU361" s="1481"/>
      <c r="CV361" s="1481"/>
      <c r="CW361" s="1481"/>
      <c r="CY361" s="1481"/>
    </row>
    <row r="362" spans="1:107" ht="15" thickBot="1" x14ac:dyDescent="0.2">
      <c r="A362" s="1541" t="s">
        <v>111</v>
      </c>
      <c r="B362" s="1523" t="s">
        <v>79</v>
      </c>
      <c r="C362" s="1523" t="s">
        <v>80</v>
      </c>
      <c r="D362" s="1523" t="s">
        <v>125</v>
      </c>
      <c r="E362" s="1523" t="s">
        <v>214</v>
      </c>
      <c r="F362" s="1523"/>
      <c r="G362" s="1667">
        <v>224</v>
      </c>
      <c r="H362" s="1501">
        <v>0</v>
      </c>
      <c r="I362" s="1645"/>
      <c r="J362" s="1630"/>
      <c r="K362" s="1630"/>
      <c r="L362" s="1631"/>
      <c r="M362" s="1631"/>
      <c r="N362" s="1631"/>
      <c r="O362" s="1631"/>
      <c r="P362" s="1631"/>
      <c r="Q362" s="1631"/>
      <c r="R362" s="1631"/>
      <c r="S362" s="1631"/>
      <c r="T362" s="1632"/>
      <c r="U362" s="1633"/>
      <c r="V362" s="1633"/>
      <c r="W362" s="1634"/>
      <c r="X362" s="1634"/>
      <c r="Y362" s="1634"/>
      <c r="Z362" s="1635"/>
      <c r="AA362" s="1634"/>
      <c r="AB362" s="1634"/>
      <c r="AC362" s="1508">
        <f t="shared" si="275"/>
        <v>0</v>
      </c>
      <c r="AD362" s="1509">
        <f t="shared" si="276"/>
        <v>0</v>
      </c>
      <c r="AE362" s="1509">
        <f t="shared" si="277"/>
        <v>0</v>
      </c>
      <c r="AF362" s="1509">
        <f t="shared" si="277"/>
        <v>0</v>
      </c>
      <c r="AG362" s="1509">
        <f t="shared" si="277"/>
        <v>0</v>
      </c>
      <c r="AH362" s="1490">
        <f t="shared" si="272"/>
        <v>0</v>
      </c>
      <c r="AI362" s="1636">
        <f t="shared" si="278"/>
        <v>0</v>
      </c>
      <c r="AJ362" s="1636">
        <f t="shared" si="279"/>
        <v>0</v>
      </c>
      <c r="AK362" s="1636">
        <f t="shared" si="280"/>
        <v>0</v>
      </c>
      <c r="AL362" s="1636">
        <f t="shared" si="250"/>
        <v>0</v>
      </c>
      <c r="AM362" s="1636">
        <f t="shared" si="250"/>
        <v>0</v>
      </c>
      <c r="AN362" s="1637"/>
      <c r="AO362" s="1722">
        <v>0</v>
      </c>
      <c r="AP362" s="1638"/>
      <c r="AQ362" s="1638"/>
      <c r="AR362" s="1638"/>
      <c r="AS362" s="1639"/>
      <c r="AT362" s="1638"/>
      <c r="AU362" s="1638"/>
      <c r="AV362" s="1638"/>
      <c r="AW362" s="1639"/>
      <c r="AX362" s="1640"/>
      <c r="AY362" s="1640"/>
      <c r="AZ362" s="1640"/>
      <c r="BA362" s="1641"/>
      <c r="BB362" s="1640"/>
      <c r="BC362" s="1640"/>
      <c r="BD362" s="1640"/>
      <c r="BE362" s="1644"/>
      <c r="BF362" s="1640"/>
      <c r="BG362" s="1640"/>
      <c r="BH362" s="1640"/>
      <c r="BI362" s="1641"/>
      <c r="BJ362" s="1640"/>
      <c r="BK362" s="1640"/>
      <c r="BL362" s="1640"/>
      <c r="BM362" s="1641"/>
      <c r="BN362" s="1640"/>
      <c r="BO362" s="1640"/>
      <c r="BP362" s="1640"/>
      <c r="BQ362" s="1641"/>
      <c r="BR362" s="1640"/>
      <c r="BS362" s="1640"/>
      <c r="BT362" s="1640"/>
      <c r="BU362" s="1641"/>
      <c r="BV362" s="1640"/>
      <c r="BW362" s="1640"/>
      <c r="BX362" s="1640"/>
      <c r="BY362" s="1641"/>
      <c r="BZ362" s="1640"/>
      <c r="CA362" s="1640"/>
      <c r="CB362" s="1640"/>
      <c r="CC362" s="1641"/>
      <c r="CD362" s="1640"/>
      <c r="CE362" s="1640"/>
      <c r="CF362" s="1640"/>
      <c r="CG362" s="1642"/>
      <c r="CH362" s="1641">
        <f t="shared" si="282"/>
        <v>0</v>
      </c>
      <c r="CI362" s="1641">
        <f t="shared" si="281"/>
        <v>0</v>
      </c>
      <c r="CJ362" s="1641">
        <f t="shared" si="281"/>
        <v>0</v>
      </c>
      <c r="CK362" s="1641">
        <f t="shared" si="281"/>
        <v>0</v>
      </c>
      <c r="CL362" s="1889">
        <v>0</v>
      </c>
      <c r="CM362" s="1889">
        <v>0</v>
      </c>
      <c r="CN362" s="1889">
        <v>0</v>
      </c>
      <c r="CO362" s="1889">
        <v>0</v>
      </c>
      <c r="CP362" s="1641"/>
      <c r="CQ362" s="1640"/>
      <c r="CR362" s="1640"/>
      <c r="CS362" s="1640"/>
    </row>
    <row r="363" spans="1:107" ht="15" thickBot="1" x14ac:dyDescent="0.2">
      <c r="A363" s="1541" t="s">
        <v>90</v>
      </c>
      <c r="B363" s="1523" t="s">
        <v>79</v>
      </c>
      <c r="C363" s="1523" t="s">
        <v>80</v>
      </c>
      <c r="D363" s="1523" t="s">
        <v>125</v>
      </c>
      <c r="E363" s="1523" t="s">
        <v>214</v>
      </c>
      <c r="F363" s="1523"/>
      <c r="G363" s="1667">
        <v>225</v>
      </c>
      <c r="H363" s="1501">
        <f>20+(2328-350)+320-U363</f>
        <v>340</v>
      </c>
      <c r="I363" s="1645">
        <f>100000</f>
        <v>100000</v>
      </c>
      <c r="J363" s="1630">
        <f>100-V363</f>
        <v>0</v>
      </c>
      <c r="K363" s="1630"/>
      <c r="L363" s="1631"/>
      <c r="M363" s="1631"/>
      <c r="N363" s="1631"/>
      <c r="O363" s="1631"/>
      <c r="P363" s="1631"/>
      <c r="Q363" s="1631"/>
      <c r="R363" s="1631"/>
      <c r="S363" s="1631"/>
      <c r="T363" s="1632"/>
      <c r="U363" s="1633">
        <v>1978</v>
      </c>
      <c r="V363" s="1630">
        <v>100</v>
      </c>
      <c r="W363" s="1634"/>
      <c r="X363" s="1634"/>
      <c r="Y363" s="1634"/>
      <c r="Z363" s="1635"/>
      <c r="AA363" s="1634"/>
      <c r="AB363" s="1634"/>
      <c r="AC363" s="1508">
        <f t="shared" si="275"/>
        <v>340</v>
      </c>
      <c r="AD363" s="1509">
        <f t="shared" si="276"/>
        <v>30000</v>
      </c>
      <c r="AE363" s="1509">
        <f t="shared" si="277"/>
        <v>30000</v>
      </c>
      <c r="AF363" s="1509">
        <f t="shared" si="277"/>
        <v>0</v>
      </c>
      <c r="AG363" s="1509">
        <f t="shared" si="277"/>
        <v>0</v>
      </c>
      <c r="AH363" s="1490">
        <f t="shared" si="272"/>
        <v>20</v>
      </c>
      <c r="AI363" s="1636">
        <f t="shared" si="278"/>
        <v>0</v>
      </c>
      <c r="AJ363" s="1636">
        <f t="shared" si="279"/>
        <v>70000</v>
      </c>
      <c r="AK363" s="1636">
        <f t="shared" si="280"/>
        <v>70000</v>
      </c>
      <c r="AL363" s="1636">
        <f t="shared" si="250"/>
        <v>0</v>
      </c>
      <c r="AM363" s="1636">
        <f t="shared" si="250"/>
        <v>0</v>
      </c>
      <c r="AN363" s="1637"/>
      <c r="AO363" s="1723"/>
      <c r="AP363" s="1638"/>
      <c r="AQ363" s="1638"/>
      <c r="AR363" s="1638"/>
      <c r="AS363" s="1639"/>
      <c r="AT363" s="1638"/>
      <c r="AU363" s="1638"/>
      <c r="AV363" s="1638"/>
      <c r="AW363" s="1639"/>
      <c r="AX363" s="1640"/>
      <c r="AY363" s="1640"/>
      <c r="AZ363" s="1640"/>
      <c r="BA363" s="1641"/>
      <c r="BB363" s="1640"/>
      <c r="BC363" s="1640"/>
      <c r="BD363" s="1640"/>
      <c r="BE363" s="1644"/>
      <c r="BF363" s="1640"/>
      <c r="BG363" s="1640"/>
      <c r="BH363" s="1640"/>
      <c r="BI363" s="1641"/>
      <c r="BJ363" s="1640"/>
      <c r="BK363" s="1640"/>
      <c r="BL363" s="1640"/>
      <c r="BM363" s="1641"/>
      <c r="BN363" s="1640"/>
      <c r="BO363" s="1640"/>
      <c r="BP363" s="1640"/>
      <c r="BQ363" s="1641">
        <v>320</v>
      </c>
      <c r="BR363" s="1640"/>
      <c r="BS363" s="1640"/>
      <c r="BT363" s="1640"/>
      <c r="BU363" s="1641"/>
      <c r="BV363" s="1640"/>
      <c r="BW363" s="1640"/>
      <c r="BX363" s="1640"/>
      <c r="BY363" s="1641"/>
      <c r="BZ363" s="1640"/>
      <c r="CA363" s="1640"/>
      <c r="CB363" s="1640"/>
      <c r="CC363" s="1641"/>
      <c r="CD363" s="1640"/>
      <c r="CE363" s="1640"/>
      <c r="CF363" s="1640"/>
      <c r="CG363" s="1642"/>
      <c r="CH363" s="1641">
        <f t="shared" si="282"/>
        <v>20</v>
      </c>
      <c r="CI363" s="1641">
        <v>30000</v>
      </c>
      <c r="CJ363" s="1641">
        <f t="shared" si="281"/>
        <v>0</v>
      </c>
      <c r="CK363" s="1641">
        <f t="shared" si="281"/>
        <v>0</v>
      </c>
      <c r="CL363" s="1889">
        <v>20</v>
      </c>
      <c r="CM363" s="1890">
        <v>100000</v>
      </c>
      <c r="CN363" s="1889">
        <v>0</v>
      </c>
      <c r="CO363" s="1889">
        <v>0</v>
      </c>
      <c r="CP363" s="1641"/>
      <c r="CQ363" s="1640"/>
      <c r="CR363" s="1640"/>
      <c r="CS363" s="1640"/>
    </row>
    <row r="364" spans="1:107" ht="15" thickBot="1" x14ac:dyDescent="0.2">
      <c r="A364" s="1541" t="s">
        <v>91</v>
      </c>
      <c r="B364" s="1523" t="s">
        <v>79</v>
      </c>
      <c r="C364" s="1523" t="s">
        <v>80</v>
      </c>
      <c r="D364" s="1523" t="s">
        <v>125</v>
      </c>
      <c r="E364" s="1523" t="s">
        <v>214</v>
      </c>
      <c r="F364" s="1523"/>
      <c r="G364" s="1667">
        <v>226</v>
      </c>
      <c r="H364" s="1501">
        <f>35.046+497+10+36+7+30+49+16.5</f>
        <v>680.54600000000005</v>
      </c>
      <c r="I364" s="1645"/>
      <c r="J364" s="1630">
        <f>1013-V364</f>
        <v>0</v>
      </c>
      <c r="K364" s="1630"/>
      <c r="L364" s="1631"/>
      <c r="M364" s="1631"/>
      <c r="N364" s="1631"/>
      <c r="O364" s="1631"/>
      <c r="P364" s="1631"/>
      <c r="Q364" s="1631"/>
      <c r="R364" s="1631"/>
      <c r="S364" s="1631"/>
      <c r="T364" s="1632"/>
      <c r="U364" s="1633"/>
      <c r="V364" s="1630">
        <v>1013</v>
      </c>
      <c r="W364" s="1634"/>
      <c r="X364" s="1634"/>
      <c r="Y364" s="1634"/>
      <c r="Z364" s="1635"/>
      <c r="AA364" s="1634"/>
      <c r="AB364" s="1634"/>
      <c r="AC364" s="1508">
        <f t="shared" si="275"/>
        <v>680.54600000000005</v>
      </c>
      <c r="AD364" s="1509">
        <f t="shared" si="276"/>
        <v>0</v>
      </c>
      <c r="AE364" s="1509">
        <f t="shared" si="277"/>
        <v>0</v>
      </c>
      <c r="AF364" s="1509">
        <f t="shared" si="277"/>
        <v>0</v>
      </c>
      <c r="AG364" s="1509">
        <f t="shared" si="277"/>
        <v>0</v>
      </c>
      <c r="AH364" s="1490">
        <f t="shared" si="272"/>
        <v>438.49599999999998</v>
      </c>
      <c r="AI364" s="1636">
        <f t="shared" si="278"/>
        <v>0</v>
      </c>
      <c r="AJ364" s="1636">
        <f t="shared" si="279"/>
        <v>0</v>
      </c>
      <c r="AK364" s="1636">
        <f t="shared" si="280"/>
        <v>0</v>
      </c>
      <c r="AL364" s="1636">
        <f t="shared" si="250"/>
        <v>0</v>
      </c>
      <c r="AM364" s="1636">
        <f t="shared" si="250"/>
        <v>0</v>
      </c>
      <c r="AN364" s="1637"/>
      <c r="AO364" s="1723"/>
      <c r="AP364" s="1638"/>
      <c r="AQ364" s="1638"/>
      <c r="AR364" s="1638"/>
      <c r="AS364" s="1639"/>
      <c r="AT364" s="1638"/>
      <c r="AU364" s="1638"/>
      <c r="AV364" s="1638"/>
      <c r="AW364" s="1639"/>
      <c r="AX364" s="1640"/>
      <c r="AY364" s="1640"/>
      <c r="AZ364" s="1640"/>
      <c r="BA364" s="1641"/>
      <c r="BB364" s="1640"/>
      <c r="BC364" s="1640"/>
      <c r="BD364" s="1640"/>
      <c r="BE364" s="1644">
        <v>207</v>
      </c>
      <c r="BF364" s="1640"/>
      <c r="BG364" s="1640"/>
      <c r="BH364" s="1640"/>
      <c r="BI364" s="1641"/>
      <c r="BJ364" s="1640"/>
      <c r="BK364" s="1640"/>
      <c r="BL364" s="1640"/>
      <c r="BM364" s="1641"/>
      <c r="BN364" s="1640"/>
      <c r="BO364" s="1640"/>
      <c r="BP364" s="1640"/>
      <c r="BQ364" s="1641">
        <v>35.049999999999997</v>
      </c>
      <c r="BR364" s="1640"/>
      <c r="BS364" s="1640"/>
      <c r="BT364" s="1640"/>
      <c r="BU364" s="1641"/>
      <c r="BV364" s="1640"/>
      <c r="BW364" s="1640"/>
      <c r="BX364" s="1640"/>
      <c r="BY364" s="1641"/>
      <c r="BZ364" s="1640"/>
      <c r="CA364" s="1640"/>
      <c r="CB364" s="1640"/>
      <c r="CC364" s="1641"/>
      <c r="CD364" s="1640"/>
      <c r="CE364" s="1640"/>
      <c r="CF364" s="1640"/>
      <c r="CG364" s="1642"/>
      <c r="CH364" s="1641">
        <f t="shared" si="282"/>
        <v>438.49599999999998</v>
      </c>
      <c r="CI364" s="1641">
        <f t="shared" si="281"/>
        <v>0</v>
      </c>
      <c r="CJ364" s="1641">
        <f t="shared" si="281"/>
        <v>0</v>
      </c>
      <c r="CK364" s="1641">
        <f t="shared" si="281"/>
        <v>0</v>
      </c>
      <c r="CL364" s="1889">
        <v>438.49599999999998</v>
      </c>
      <c r="CM364" s="1889">
        <v>0</v>
      </c>
      <c r="CN364" s="1889">
        <v>0</v>
      </c>
      <c r="CO364" s="1889">
        <v>0</v>
      </c>
      <c r="CP364" s="1641"/>
      <c r="CQ364" s="1640"/>
      <c r="CR364" s="1640"/>
      <c r="CS364" s="1640"/>
    </row>
    <row r="365" spans="1:107" ht="15" thickBot="1" x14ac:dyDescent="0.2">
      <c r="A365" s="1541" t="s">
        <v>94</v>
      </c>
      <c r="B365" s="1523" t="s">
        <v>79</v>
      </c>
      <c r="C365" s="1523" t="s">
        <v>80</v>
      </c>
      <c r="D365" s="1523" t="s">
        <v>125</v>
      </c>
      <c r="E365" s="1523" t="s">
        <v>214</v>
      </c>
      <c r="F365" s="1523"/>
      <c r="G365" s="1667">
        <v>290</v>
      </c>
      <c r="H365" s="1501">
        <f>918.1-166.8-161.8</f>
        <v>589.5</v>
      </c>
      <c r="I365" s="1645"/>
      <c r="J365" s="1630"/>
      <c r="K365" s="1630"/>
      <c r="L365" s="1631"/>
      <c r="M365" s="1631"/>
      <c r="N365" s="1631"/>
      <c r="O365" s="1631"/>
      <c r="P365" s="1631"/>
      <c r="Q365" s="1631"/>
      <c r="R365" s="1631"/>
      <c r="S365" s="1631"/>
      <c r="T365" s="1632"/>
      <c r="U365" s="1633"/>
      <c r="V365" s="1633"/>
      <c r="W365" s="1634"/>
      <c r="X365" s="1634"/>
      <c r="Y365" s="1634"/>
      <c r="Z365" s="1635"/>
      <c r="AA365" s="1634"/>
      <c r="AB365" s="1634"/>
      <c r="AC365" s="1508">
        <f t="shared" si="275"/>
        <v>589.5</v>
      </c>
      <c r="AD365" s="1509">
        <f t="shared" si="276"/>
        <v>0</v>
      </c>
      <c r="AE365" s="1509">
        <f t="shared" si="277"/>
        <v>0</v>
      </c>
      <c r="AF365" s="1509">
        <f t="shared" si="277"/>
        <v>0</v>
      </c>
      <c r="AG365" s="1509">
        <f t="shared" si="277"/>
        <v>0</v>
      </c>
      <c r="AH365" s="1490">
        <f t="shared" si="272"/>
        <v>0</v>
      </c>
      <c r="AI365" s="1636">
        <f t="shared" si="278"/>
        <v>0</v>
      </c>
      <c r="AJ365" s="1636">
        <f t="shared" si="279"/>
        <v>0</v>
      </c>
      <c r="AK365" s="1636">
        <f t="shared" si="280"/>
        <v>0</v>
      </c>
      <c r="AL365" s="1636">
        <f t="shared" si="250"/>
        <v>0</v>
      </c>
      <c r="AM365" s="1636">
        <f t="shared" si="250"/>
        <v>0</v>
      </c>
      <c r="AN365" s="1637"/>
      <c r="AO365" s="1722">
        <v>76.5</v>
      </c>
      <c r="AP365" s="1638"/>
      <c r="AQ365" s="1638"/>
      <c r="AR365" s="1638"/>
      <c r="AS365" s="1639"/>
      <c r="AT365" s="1638"/>
      <c r="AU365" s="1638"/>
      <c r="AV365" s="1638"/>
      <c r="AW365" s="1639"/>
      <c r="AX365" s="1640"/>
      <c r="AY365" s="1640"/>
      <c r="AZ365" s="1640"/>
      <c r="BA365" s="1641"/>
      <c r="BB365" s="1640"/>
      <c r="BC365" s="1640"/>
      <c r="BD365" s="1640"/>
      <c r="BE365" s="1644">
        <v>198</v>
      </c>
      <c r="BF365" s="1640"/>
      <c r="BG365" s="1640"/>
      <c r="BH365" s="1640"/>
      <c r="BI365" s="1641"/>
      <c r="BJ365" s="1640"/>
      <c r="BK365" s="1640"/>
      <c r="BL365" s="1640"/>
      <c r="BM365" s="1641"/>
      <c r="BN365" s="1640"/>
      <c r="BO365" s="1640"/>
      <c r="BP365" s="1640"/>
      <c r="BQ365" s="1641"/>
      <c r="BR365" s="1640"/>
      <c r="BS365" s="1640"/>
      <c r="BT365" s="1640"/>
      <c r="BU365" s="1641">
        <v>315</v>
      </c>
      <c r="BV365" s="1640"/>
      <c r="BW365" s="1640"/>
      <c r="BX365" s="1640"/>
      <c r="BY365" s="1641"/>
      <c r="BZ365" s="1640"/>
      <c r="CA365" s="1640"/>
      <c r="CB365" s="1640"/>
      <c r="CC365" s="1641"/>
      <c r="CD365" s="1640"/>
      <c r="CE365" s="1640"/>
      <c r="CF365" s="1640"/>
      <c r="CG365" s="1642"/>
      <c r="CH365" s="1641">
        <f t="shared" si="282"/>
        <v>0</v>
      </c>
      <c r="CI365" s="1641">
        <f t="shared" si="281"/>
        <v>0</v>
      </c>
      <c r="CJ365" s="1641">
        <f t="shared" si="281"/>
        <v>0</v>
      </c>
      <c r="CK365" s="1641">
        <f t="shared" si="281"/>
        <v>0</v>
      </c>
      <c r="CL365" s="1889">
        <v>0</v>
      </c>
      <c r="CM365" s="1889">
        <v>0</v>
      </c>
      <c r="CN365" s="1889">
        <v>0</v>
      </c>
      <c r="CO365" s="1889">
        <v>0</v>
      </c>
      <c r="CP365" s="1641"/>
      <c r="CQ365" s="1640"/>
      <c r="CR365" s="1640"/>
      <c r="CS365" s="1640"/>
    </row>
    <row r="366" spans="1:107" ht="15" thickBot="1" x14ac:dyDescent="0.2">
      <c r="A366" s="1541" t="s">
        <v>94</v>
      </c>
      <c r="B366" s="1523" t="s">
        <v>79</v>
      </c>
      <c r="C366" s="1523" t="s">
        <v>80</v>
      </c>
      <c r="D366" s="1523" t="s">
        <v>125</v>
      </c>
      <c r="E366" s="1523" t="s">
        <v>214</v>
      </c>
      <c r="F366" s="1523"/>
      <c r="G366" s="1667" t="s">
        <v>95</v>
      </c>
      <c r="H366" s="1501">
        <v>0</v>
      </c>
      <c r="I366" s="1645"/>
      <c r="J366" s="1630"/>
      <c r="K366" s="1630"/>
      <c r="L366" s="1631"/>
      <c r="M366" s="1631"/>
      <c r="N366" s="1631"/>
      <c r="O366" s="1631"/>
      <c r="P366" s="1631"/>
      <c r="Q366" s="1631"/>
      <c r="R366" s="1631"/>
      <c r="S366" s="1631"/>
      <c r="T366" s="1632"/>
      <c r="U366" s="1633"/>
      <c r="V366" s="1633"/>
      <c r="W366" s="1634"/>
      <c r="X366" s="1634"/>
      <c r="Y366" s="1634"/>
      <c r="Z366" s="1635"/>
      <c r="AA366" s="1634"/>
      <c r="AB366" s="1634"/>
      <c r="AC366" s="1508">
        <f t="shared" si="275"/>
        <v>0</v>
      </c>
      <c r="AD366" s="1509">
        <f t="shared" si="276"/>
        <v>0</v>
      </c>
      <c r="AE366" s="1509">
        <f t="shared" si="277"/>
        <v>0</v>
      </c>
      <c r="AF366" s="1509">
        <f t="shared" si="277"/>
        <v>0</v>
      </c>
      <c r="AG366" s="1509">
        <f t="shared" si="277"/>
        <v>0</v>
      </c>
      <c r="AH366" s="1490">
        <f t="shared" si="272"/>
        <v>0</v>
      </c>
      <c r="AI366" s="1636">
        <f t="shared" si="278"/>
        <v>0</v>
      </c>
      <c r="AJ366" s="1636">
        <f t="shared" si="279"/>
        <v>0</v>
      </c>
      <c r="AK366" s="1636">
        <f t="shared" si="280"/>
        <v>0</v>
      </c>
      <c r="AL366" s="1636">
        <f t="shared" si="250"/>
        <v>0</v>
      </c>
      <c r="AM366" s="1636">
        <f t="shared" si="250"/>
        <v>0</v>
      </c>
      <c r="AN366" s="1637"/>
      <c r="AO366" s="1722">
        <v>0</v>
      </c>
      <c r="AP366" s="1638"/>
      <c r="AQ366" s="1638"/>
      <c r="AR366" s="1638"/>
      <c r="AS366" s="1639"/>
      <c r="AT366" s="1638"/>
      <c r="AU366" s="1638"/>
      <c r="AV366" s="1638"/>
      <c r="AW366" s="1639"/>
      <c r="AX366" s="1640"/>
      <c r="AY366" s="1640"/>
      <c r="AZ366" s="1640"/>
      <c r="BA366" s="1641"/>
      <c r="BB366" s="1640"/>
      <c r="BC366" s="1640"/>
      <c r="BD366" s="1640"/>
      <c r="BE366" s="1644"/>
      <c r="BF366" s="1640"/>
      <c r="BG366" s="1640"/>
      <c r="BH366" s="1640"/>
      <c r="BI366" s="1641"/>
      <c r="BJ366" s="1640"/>
      <c r="BK366" s="1640"/>
      <c r="BL366" s="1640"/>
      <c r="BM366" s="1641"/>
      <c r="BN366" s="1640"/>
      <c r="BO366" s="1640"/>
      <c r="BP366" s="1640"/>
      <c r="BQ366" s="1641"/>
      <c r="BR366" s="1640"/>
      <c r="BS366" s="1640"/>
      <c r="BT366" s="1640"/>
      <c r="BU366" s="1641"/>
      <c r="BV366" s="1640"/>
      <c r="BW366" s="1640"/>
      <c r="BX366" s="1640"/>
      <c r="BY366" s="1641"/>
      <c r="BZ366" s="1640"/>
      <c r="CA366" s="1640"/>
      <c r="CB366" s="1640"/>
      <c r="CC366" s="1641"/>
      <c r="CD366" s="1640"/>
      <c r="CE366" s="1640"/>
      <c r="CF366" s="1640"/>
      <c r="CG366" s="1642"/>
      <c r="CH366" s="1641">
        <f t="shared" si="282"/>
        <v>0</v>
      </c>
      <c r="CI366" s="1641">
        <f t="shared" si="281"/>
        <v>0</v>
      </c>
      <c r="CJ366" s="1641">
        <f t="shared" si="281"/>
        <v>0</v>
      </c>
      <c r="CK366" s="1641">
        <f t="shared" si="281"/>
        <v>0</v>
      </c>
      <c r="CL366" s="1889">
        <v>0</v>
      </c>
      <c r="CM366" s="1889">
        <v>0</v>
      </c>
      <c r="CN366" s="1889">
        <v>0</v>
      </c>
      <c r="CO366" s="1889">
        <v>0</v>
      </c>
      <c r="CP366" s="1641"/>
      <c r="CQ366" s="1640"/>
      <c r="CR366" s="1640"/>
      <c r="CS366" s="1640"/>
    </row>
    <row r="367" spans="1:107" ht="15" thickBot="1" x14ac:dyDescent="0.2">
      <c r="A367" s="1541" t="s">
        <v>96</v>
      </c>
      <c r="B367" s="1523" t="s">
        <v>79</v>
      </c>
      <c r="C367" s="1523" t="s">
        <v>80</v>
      </c>
      <c r="D367" s="1523" t="s">
        <v>125</v>
      </c>
      <c r="E367" s="1523" t="s">
        <v>214</v>
      </c>
      <c r="F367" s="1523"/>
      <c r="G367" s="1667">
        <v>310</v>
      </c>
      <c r="H367" s="1501">
        <v>365</v>
      </c>
      <c r="I367" s="1645">
        <f>640-U367</f>
        <v>0</v>
      </c>
      <c r="J367" s="1645"/>
      <c r="K367" s="1645"/>
      <c r="L367" s="1631"/>
      <c r="M367" s="1631"/>
      <c r="N367" s="1631"/>
      <c r="O367" s="1631"/>
      <c r="P367" s="1631"/>
      <c r="Q367" s="1631"/>
      <c r="R367" s="1631"/>
      <c r="S367" s="1631"/>
      <c r="T367" s="1632"/>
      <c r="U367" s="1633">
        <v>640</v>
      </c>
      <c r="V367" s="1633"/>
      <c r="W367" s="1634"/>
      <c r="X367" s="1634"/>
      <c r="Y367" s="1634"/>
      <c r="Z367" s="1635"/>
      <c r="AA367" s="1634"/>
      <c r="AB367" s="1634"/>
      <c r="AC367" s="1508">
        <f t="shared" si="275"/>
        <v>365</v>
      </c>
      <c r="AD367" s="1509">
        <f t="shared" si="276"/>
        <v>0</v>
      </c>
      <c r="AE367" s="1509">
        <f t="shared" si="277"/>
        <v>0</v>
      </c>
      <c r="AF367" s="1509">
        <f t="shared" si="277"/>
        <v>0</v>
      </c>
      <c r="AG367" s="1509">
        <f t="shared" si="277"/>
        <v>0</v>
      </c>
      <c r="AH367" s="1490">
        <f t="shared" si="272"/>
        <v>65</v>
      </c>
      <c r="AI367" s="1636">
        <f t="shared" si="278"/>
        <v>0</v>
      </c>
      <c r="AJ367" s="1636">
        <f t="shared" si="279"/>
        <v>0</v>
      </c>
      <c r="AK367" s="1636">
        <f t="shared" si="280"/>
        <v>0</v>
      </c>
      <c r="AL367" s="1636">
        <f t="shared" si="250"/>
        <v>0</v>
      </c>
      <c r="AM367" s="1636">
        <f t="shared" si="250"/>
        <v>0</v>
      </c>
      <c r="AN367" s="1637"/>
      <c r="AO367" s="1723"/>
      <c r="AP367" s="1638"/>
      <c r="AQ367" s="1638"/>
      <c r="AR367" s="1638"/>
      <c r="AS367" s="1639"/>
      <c r="AT367" s="1638"/>
      <c r="AU367" s="1638"/>
      <c r="AV367" s="1638"/>
      <c r="AW367" s="1639"/>
      <c r="AX367" s="1640"/>
      <c r="AY367" s="1640"/>
      <c r="AZ367" s="1640"/>
      <c r="BA367" s="1641"/>
      <c r="BB367" s="1640"/>
      <c r="BC367" s="1640"/>
      <c r="BD367" s="1640"/>
      <c r="BE367" s="1644"/>
      <c r="BF367" s="1640"/>
      <c r="BG367" s="1640"/>
      <c r="BH367" s="1640"/>
      <c r="BI367" s="1641"/>
      <c r="BJ367" s="1640"/>
      <c r="BK367" s="1640"/>
      <c r="BL367" s="1640"/>
      <c r="BM367" s="1641"/>
      <c r="BN367" s="1640"/>
      <c r="BO367" s="1640"/>
      <c r="BP367" s="1640"/>
      <c r="BQ367" s="1641"/>
      <c r="BR367" s="1640"/>
      <c r="BS367" s="1640"/>
      <c r="BT367" s="1640"/>
      <c r="BU367" s="1641"/>
      <c r="BV367" s="1640"/>
      <c r="BW367" s="1640"/>
      <c r="BX367" s="1640"/>
      <c r="BY367" s="1641"/>
      <c r="BZ367" s="1640"/>
      <c r="CA367" s="1640"/>
      <c r="CB367" s="1640"/>
      <c r="CC367" s="1641"/>
      <c r="CD367" s="1640"/>
      <c r="CE367" s="1640"/>
      <c r="CF367" s="1640"/>
      <c r="CG367" s="1642"/>
      <c r="CH367" s="1641">
        <f t="shared" si="282"/>
        <v>365</v>
      </c>
      <c r="CI367" s="1641">
        <f t="shared" si="281"/>
        <v>0</v>
      </c>
      <c r="CJ367" s="1641">
        <f t="shared" si="281"/>
        <v>0</v>
      </c>
      <c r="CK367" s="1641">
        <f t="shared" si="281"/>
        <v>0</v>
      </c>
      <c r="CL367" s="1889">
        <v>65</v>
      </c>
      <c r="CM367" s="1889">
        <v>0</v>
      </c>
      <c r="CN367" s="1889">
        <v>0</v>
      </c>
      <c r="CO367" s="1889">
        <v>0</v>
      </c>
      <c r="CP367" s="1641">
        <v>300</v>
      </c>
      <c r="CQ367" s="1640"/>
      <c r="CR367" s="1640"/>
      <c r="CS367" s="1640"/>
    </row>
    <row r="368" spans="1:107" ht="15" thickBot="1" x14ac:dyDescent="0.2">
      <c r="A368" s="1541" t="s">
        <v>97</v>
      </c>
      <c r="B368" s="1523" t="s">
        <v>79</v>
      </c>
      <c r="C368" s="1523" t="s">
        <v>80</v>
      </c>
      <c r="D368" s="1523" t="s">
        <v>125</v>
      </c>
      <c r="E368" s="1523" t="s">
        <v>214</v>
      </c>
      <c r="F368" s="1523"/>
      <c r="G368" s="1667">
        <v>340</v>
      </c>
      <c r="H368" s="1501">
        <f>180.4+29.054</f>
        <v>209.45400000000001</v>
      </c>
      <c r="I368" s="1645"/>
      <c r="J368" s="1630"/>
      <c r="K368" s="1630"/>
      <c r="L368" s="1631"/>
      <c r="M368" s="1631"/>
      <c r="N368" s="1631"/>
      <c r="O368" s="1631"/>
      <c r="P368" s="1631"/>
      <c r="Q368" s="1631"/>
      <c r="R368" s="1631"/>
      <c r="S368" s="1631"/>
      <c r="T368" s="1632"/>
      <c r="U368" s="1633"/>
      <c r="V368" s="1633"/>
      <c r="W368" s="1634"/>
      <c r="X368" s="1634"/>
      <c r="Y368" s="1634"/>
      <c r="Z368" s="1635"/>
      <c r="AA368" s="1634"/>
      <c r="AB368" s="1634"/>
      <c r="AC368" s="1508">
        <f t="shared" si="275"/>
        <v>209.45400000000001</v>
      </c>
      <c r="AD368" s="1509">
        <f t="shared" si="276"/>
        <v>0</v>
      </c>
      <c r="AE368" s="1509">
        <f t="shared" si="277"/>
        <v>0</v>
      </c>
      <c r="AF368" s="1509">
        <f t="shared" si="277"/>
        <v>0</v>
      </c>
      <c r="AG368" s="1509">
        <f t="shared" si="277"/>
        <v>0</v>
      </c>
      <c r="AH368" s="1490">
        <f t="shared" si="272"/>
        <v>191.95400000000001</v>
      </c>
      <c r="AI368" s="1636">
        <f t="shared" si="278"/>
        <v>0</v>
      </c>
      <c r="AJ368" s="1636">
        <f t="shared" si="279"/>
        <v>0</v>
      </c>
      <c r="AK368" s="1636">
        <f t="shared" si="280"/>
        <v>0</v>
      </c>
      <c r="AL368" s="1636">
        <f t="shared" si="250"/>
        <v>0</v>
      </c>
      <c r="AM368" s="1636">
        <f t="shared" si="250"/>
        <v>0</v>
      </c>
      <c r="AN368" s="1637"/>
      <c r="AO368" s="1722">
        <v>17.5</v>
      </c>
      <c r="AP368" s="1638"/>
      <c r="AQ368" s="1638"/>
      <c r="AR368" s="1638"/>
      <c r="AS368" s="1639"/>
      <c r="AT368" s="1638"/>
      <c r="AU368" s="1638"/>
      <c r="AV368" s="1638"/>
      <c r="AW368" s="1639"/>
      <c r="AX368" s="1640"/>
      <c r="AY368" s="1640"/>
      <c r="AZ368" s="1640"/>
      <c r="BA368" s="1641"/>
      <c r="BB368" s="1640"/>
      <c r="BC368" s="1640"/>
      <c r="BD368" s="1640"/>
      <c r="BE368" s="1644"/>
      <c r="BF368" s="1640"/>
      <c r="BG368" s="1640"/>
      <c r="BH368" s="1640"/>
      <c r="BI368" s="1641"/>
      <c r="BJ368" s="1640"/>
      <c r="BK368" s="1640"/>
      <c r="BL368" s="1640"/>
      <c r="BM368" s="1641"/>
      <c r="BN368" s="1640"/>
      <c r="BO368" s="1640"/>
      <c r="BP368" s="1640"/>
      <c r="BQ368" s="1641"/>
      <c r="BR368" s="1640"/>
      <c r="BS368" s="1640"/>
      <c r="BT368" s="1640"/>
      <c r="BU368" s="1641"/>
      <c r="BV368" s="1640"/>
      <c r="BW368" s="1640"/>
      <c r="BX368" s="1640"/>
      <c r="BY368" s="1641"/>
      <c r="BZ368" s="1640"/>
      <c r="CA368" s="1640"/>
      <c r="CB368" s="1640"/>
      <c r="CC368" s="1641"/>
      <c r="CD368" s="1640"/>
      <c r="CE368" s="1640"/>
      <c r="CF368" s="1640"/>
      <c r="CG368" s="1642"/>
      <c r="CH368" s="1641">
        <f t="shared" si="282"/>
        <v>191.95400000000001</v>
      </c>
      <c r="CI368" s="1641">
        <f t="shared" si="281"/>
        <v>0</v>
      </c>
      <c r="CJ368" s="1641">
        <f t="shared" si="281"/>
        <v>0</v>
      </c>
      <c r="CK368" s="1641">
        <f t="shared" si="281"/>
        <v>0</v>
      </c>
      <c r="CL368" s="1889">
        <v>191.95400000000001</v>
      </c>
      <c r="CM368" s="1889">
        <v>0</v>
      </c>
      <c r="CN368" s="1889">
        <v>0</v>
      </c>
      <c r="CO368" s="1889">
        <v>0</v>
      </c>
      <c r="CP368" s="1641"/>
      <c r="CQ368" s="1640"/>
      <c r="CR368" s="1640"/>
      <c r="CS368" s="1640"/>
    </row>
    <row r="369" spans="1:107" ht="15" thickBot="1" x14ac:dyDescent="0.2">
      <c r="A369" s="1528" t="s">
        <v>767</v>
      </c>
      <c r="B369" s="1530" t="s">
        <v>79</v>
      </c>
      <c r="C369" s="1530" t="s">
        <v>80</v>
      </c>
      <c r="D369" s="1530" t="s">
        <v>125</v>
      </c>
      <c r="E369" s="1530" t="s">
        <v>214</v>
      </c>
      <c r="F369" s="1530" t="s">
        <v>768</v>
      </c>
      <c r="G369" s="1600" t="s">
        <v>766</v>
      </c>
      <c r="H369" s="1647">
        <f>I355</f>
        <v>100000</v>
      </c>
      <c r="I369" s="1645"/>
      <c r="J369" s="1630"/>
      <c r="K369" s="1630"/>
      <c r="L369" s="1631"/>
      <c r="M369" s="1631"/>
      <c r="N369" s="1631"/>
      <c r="O369" s="1631"/>
      <c r="P369" s="1631"/>
      <c r="Q369" s="1631"/>
      <c r="R369" s="1631"/>
      <c r="S369" s="1631"/>
      <c r="T369" s="1632"/>
      <c r="U369" s="1633"/>
      <c r="V369" s="1633"/>
      <c r="W369" s="1634"/>
      <c r="X369" s="1634"/>
      <c r="Y369" s="1634"/>
      <c r="Z369" s="1635"/>
      <c r="AA369" s="1634"/>
      <c r="AB369" s="1634"/>
      <c r="AC369" s="1508">
        <f t="shared" si="275"/>
        <v>0</v>
      </c>
      <c r="AD369" s="1509">
        <f t="shared" si="276"/>
        <v>0</v>
      </c>
      <c r="AE369" s="1509">
        <f>AP369+AT369+AX369+BB369+BF369+BJ369+BN369+BR369+BV369+BZ369+CD369+CI369</f>
        <v>0</v>
      </c>
      <c r="AF369" s="1509"/>
      <c r="AG369" s="1509"/>
      <c r="AH369" s="1490">
        <f t="shared" si="272"/>
        <v>0</v>
      </c>
      <c r="AI369" s="1636"/>
      <c r="AJ369" s="1636"/>
      <c r="AK369" s="1636"/>
      <c r="AL369" s="1636">
        <f t="shared" si="250"/>
        <v>0</v>
      </c>
      <c r="AM369" s="1636"/>
      <c r="AN369" s="1712"/>
      <c r="AO369" s="1713"/>
      <c r="AP369" s="1638"/>
      <c r="AQ369" s="1638"/>
      <c r="AR369" s="1638"/>
      <c r="AS369" s="1639"/>
      <c r="AT369" s="1638"/>
      <c r="AU369" s="1638"/>
      <c r="AV369" s="1638"/>
      <c r="AW369" s="1639"/>
      <c r="AX369" s="1640"/>
      <c r="AY369" s="1640"/>
      <c r="AZ369" s="1640"/>
      <c r="BA369" s="1641"/>
      <c r="BB369" s="1640"/>
      <c r="BC369" s="1640"/>
      <c r="BD369" s="1640"/>
      <c r="BE369" s="1644"/>
      <c r="BF369" s="1640"/>
      <c r="BG369" s="1640"/>
      <c r="BH369" s="1640"/>
      <c r="BI369" s="1641"/>
      <c r="BJ369" s="1640"/>
      <c r="BK369" s="1640"/>
      <c r="BL369" s="1640"/>
      <c r="BM369" s="1641"/>
      <c r="BN369" s="1640"/>
      <c r="BO369" s="1640"/>
      <c r="BP369" s="1640"/>
      <c r="BQ369" s="1641"/>
      <c r="BR369" s="1640"/>
      <c r="BS369" s="1640"/>
      <c r="BT369" s="1640"/>
      <c r="BU369" s="1641"/>
      <c r="BV369" s="1640"/>
      <c r="BW369" s="1640"/>
      <c r="BX369" s="1640"/>
      <c r="BY369" s="1641"/>
      <c r="BZ369" s="1640"/>
      <c r="CA369" s="1640"/>
      <c r="CB369" s="1640"/>
      <c r="CC369" s="1641"/>
      <c r="CD369" s="1640"/>
      <c r="CE369" s="1640"/>
      <c r="CF369" s="1640"/>
      <c r="CG369" s="1642"/>
      <c r="CH369" s="1641">
        <f t="shared" si="282"/>
        <v>0</v>
      </c>
      <c r="CI369" s="1641">
        <f t="shared" si="281"/>
        <v>0</v>
      </c>
      <c r="CJ369" s="1641">
        <f t="shared" si="281"/>
        <v>0</v>
      </c>
      <c r="CK369" s="1641">
        <f t="shared" si="281"/>
        <v>0</v>
      </c>
      <c r="CL369" s="1898"/>
      <c r="CM369" s="1898"/>
      <c r="CN369" s="1889">
        <v>0</v>
      </c>
      <c r="CO369" s="1898"/>
      <c r="CP369" s="1641"/>
      <c r="CQ369" s="1640"/>
      <c r="CR369" s="1640"/>
      <c r="CS369" s="1640"/>
    </row>
    <row r="370" spans="1:107" s="1886" customFormat="1" ht="27" thickBot="1" x14ac:dyDescent="0.2">
      <c r="A370" s="1873" t="s">
        <v>1267</v>
      </c>
      <c r="B370" s="1781" t="s">
        <v>79</v>
      </c>
      <c r="C370" s="1781" t="s">
        <v>80</v>
      </c>
      <c r="D370" s="1781" t="s">
        <v>125</v>
      </c>
      <c r="E370" s="1780" t="s">
        <v>214</v>
      </c>
      <c r="F370" s="1780">
        <v>600</v>
      </c>
      <c r="G370" s="1874"/>
      <c r="H370" s="1875">
        <f>H371+H385</f>
        <v>15410.100000000004</v>
      </c>
      <c r="I370" s="1875">
        <f t="shared" ref="I370:CF370" si="283">I371+I385</f>
        <v>1700</v>
      </c>
      <c r="J370" s="1875">
        <f>J371+J385</f>
        <v>6060.33</v>
      </c>
      <c r="K370" s="1875">
        <f t="shared" si="283"/>
        <v>1800.1</v>
      </c>
      <c r="L370" s="1876"/>
      <c r="M370" s="1876"/>
      <c r="N370" s="1876"/>
      <c r="O370" s="1876"/>
      <c r="P370" s="1876"/>
      <c r="Q370" s="1876"/>
      <c r="R370" s="1876"/>
      <c r="S370" s="1876"/>
      <c r="T370" s="1877"/>
      <c r="U370" s="1878"/>
      <c r="V370" s="1878"/>
      <c r="W370" s="1879"/>
      <c r="X370" s="1879"/>
      <c r="Y370" s="1879"/>
      <c r="Z370" s="1880"/>
      <c r="AA370" s="1879"/>
      <c r="AB370" s="1879"/>
      <c r="AC370" s="1881">
        <f t="shared" si="283"/>
        <v>13710.1</v>
      </c>
      <c r="AD370" s="1881">
        <f t="shared" si="283"/>
        <v>9560.43</v>
      </c>
      <c r="AE370" s="1881">
        <f t="shared" si="283"/>
        <v>1700</v>
      </c>
      <c r="AF370" s="1881">
        <f t="shared" si="283"/>
        <v>6060.33</v>
      </c>
      <c r="AG370" s="1881">
        <f t="shared" si="283"/>
        <v>1800.1</v>
      </c>
      <c r="AH370" s="1490">
        <f t="shared" si="272"/>
        <v>1147.6500000000001</v>
      </c>
      <c r="AI370" s="1882">
        <f t="shared" si="283"/>
        <v>0</v>
      </c>
      <c r="AJ370" s="1882">
        <f t="shared" si="283"/>
        <v>0</v>
      </c>
      <c r="AK370" s="1882">
        <f t="shared" si="283"/>
        <v>0</v>
      </c>
      <c r="AL370" s="1636">
        <f t="shared" si="250"/>
        <v>0</v>
      </c>
      <c r="AM370" s="1882">
        <f t="shared" si="283"/>
        <v>0</v>
      </c>
      <c r="AN370" s="1883"/>
      <c r="AO370" s="1875">
        <f t="shared" si="283"/>
        <v>964.4000000000002</v>
      </c>
      <c r="AP370" s="1875">
        <f t="shared" si="283"/>
        <v>30.58</v>
      </c>
      <c r="AQ370" s="1875">
        <f t="shared" si="283"/>
        <v>0</v>
      </c>
      <c r="AR370" s="1875">
        <f t="shared" si="283"/>
        <v>0</v>
      </c>
      <c r="AS370" s="1880">
        <f t="shared" si="283"/>
        <v>942.50000000000011</v>
      </c>
      <c r="AT370" s="1875">
        <f t="shared" si="283"/>
        <v>0</v>
      </c>
      <c r="AU370" s="1875">
        <f t="shared" si="283"/>
        <v>0</v>
      </c>
      <c r="AV370" s="1875">
        <f t="shared" si="283"/>
        <v>0</v>
      </c>
      <c r="AW370" s="1880">
        <f t="shared" si="283"/>
        <v>899.90000000000009</v>
      </c>
      <c r="AX370" s="1875">
        <f t="shared" si="283"/>
        <v>0</v>
      </c>
      <c r="AY370" s="1875">
        <f t="shared" si="283"/>
        <v>0</v>
      </c>
      <c r="AZ370" s="1875">
        <f t="shared" si="283"/>
        <v>0</v>
      </c>
      <c r="BA370" s="1883">
        <f t="shared" si="283"/>
        <v>899.90000000000009</v>
      </c>
      <c r="BB370" s="1875">
        <f t="shared" si="283"/>
        <v>0</v>
      </c>
      <c r="BC370" s="1875">
        <f t="shared" si="283"/>
        <v>0</v>
      </c>
      <c r="BD370" s="1875">
        <f t="shared" si="283"/>
        <v>0</v>
      </c>
      <c r="BE370" s="1539">
        <f t="shared" si="283"/>
        <v>1285.45</v>
      </c>
      <c r="BF370" s="1875">
        <f t="shared" si="283"/>
        <v>711.67</v>
      </c>
      <c r="BG370" s="1875">
        <f t="shared" si="283"/>
        <v>0</v>
      </c>
      <c r="BH370" s="1875">
        <f t="shared" si="283"/>
        <v>0</v>
      </c>
      <c r="BI370" s="1883">
        <f t="shared" si="283"/>
        <v>406.96</v>
      </c>
      <c r="BJ370" s="1875">
        <f t="shared" si="283"/>
        <v>0</v>
      </c>
      <c r="BK370" s="1875">
        <f t="shared" si="283"/>
        <v>0</v>
      </c>
      <c r="BL370" s="1875">
        <f t="shared" si="283"/>
        <v>0</v>
      </c>
      <c r="BM370" s="1883">
        <f t="shared" si="283"/>
        <v>1439.8400000000001</v>
      </c>
      <c r="BN370" s="1875">
        <f t="shared" si="283"/>
        <v>0</v>
      </c>
      <c r="BO370" s="1875">
        <f t="shared" si="283"/>
        <v>0</v>
      </c>
      <c r="BP370" s="1875">
        <f t="shared" si="283"/>
        <v>0</v>
      </c>
      <c r="BQ370" s="1883">
        <f t="shared" si="283"/>
        <v>1578.25</v>
      </c>
      <c r="BR370" s="1875">
        <f t="shared" si="283"/>
        <v>0</v>
      </c>
      <c r="BS370" s="1875">
        <f t="shared" si="283"/>
        <v>0</v>
      </c>
      <c r="BT370" s="1875">
        <f t="shared" si="283"/>
        <v>0</v>
      </c>
      <c r="BU370" s="1883">
        <f t="shared" si="283"/>
        <v>1078.4000000000001</v>
      </c>
      <c r="BV370" s="1875">
        <f t="shared" si="283"/>
        <v>0</v>
      </c>
      <c r="BW370" s="1875">
        <f t="shared" si="283"/>
        <v>3879.7</v>
      </c>
      <c r="BX370" s="1875">
        <f t="shared" si="283"/>
        <v>600</v>
      </c>
      <c r="BY370" s="1883">
        <f t="shared" si="283"/>
        <v>966.85</v>
      </c>
      <c r="BZ370" s="1875">
        <f t="shared" si="283"/>
        <v>0</v>
      </c>
      <c r="CA370" s="1875">
        <f t="shared" si="283"/>
        <v>0</v>
      </c>
      <c r="CB370" s="1875">
        <f t="shared" si="283"/>
        <v>0</v>
      </c>
      <c r="CC370" s="1883">
        <f t="shared" si="283"/>
        <v>900</v>
      </c>
      <c r="CD370" s="1875">
        <f t="shared" si="283"/>
        <v>0</v>
      </c>
      <c r="CE370" s="1875">
        <f t="shared" si="283"/>
        <v>0</v>
      </c>
      <c r="CF370" s="1875">
        <f t="shared" si="283"/>
        <v>0</v>
      </c>
      <c r="CG370" s="1884"/>
      <c r="CH370" s="1641">
        <f>CL370+CP370</f>
        <v>2347.65</v>
      </c>
      <c r="CI370" s="1641">
        <f t="shared" si="281"/>
        <v>957.75</v>
      </c>
      <c r="CJ370" s="1641">
        <f t="shared" si="281"/>
        <v>2180.63</v>
      </c>
      <c r="CK370" s="1641">
        <f t="shared" si="281"/>
        <v>1200.0999999999999</v>
      </c>
      <c r="CL370" s="1899">
        <v>1147.6500000000001</v>
      </c>
      <c r="CM370" s="1900">
        <v>957.75</v>
      </c>
      <c r="CN370" s="1890">
        <v>2180.63</v>
      </c>
      <c r="CO370" s="1899">
        <v>1200.0999999999999</v>
      </c>
      <c r="CP370" s="1883">
        <f>CP371+CP385</f>
        <v>1200</v>
      </c>
      <c r="CQ370" s="1875">
        <f>CQ371+CQ385</f>
        <v>0</v>
      </c>
      <c r="CR370" s="1875">
        <f>CR371+CR385</f>
        <v>0</v>
      </c>
      <c r="CS370" s="1875">
        <f>CS371+CS385</f>
        <v>0</v>
      </c>
      <c r="CT370" s="1885"/>
      <c r="CU370" s="1885"/>
      <c r="CV370" s="1885"/>
      <c r="CW370" s="1885"/>
      <c r="CY370" s="1885"/>
    </row>
    <row r="371" spans="1:107" ht="53" thickBot="1" x14ac:dyDescent="0.2">
      <c r="A371" s="1748" t="s">
        <v>1135</v>
      </c>
      <c r="B371" s="1749" t="s">
        <v>79</v>
      </c>
      <c r="C371" s="1749" t="s">
        <v>80</v>
      </c>
      <c r="D371" s="1749" t="s">
        <v>125</v>
      </c>
      <c r="E371" s="1749" t="s">
        <v>214</v>
      </c>
      <c r="F371" s="1749" t="s">
        <v>765</v>
      </c>
      <c r="G371" s="1600" t="s">
        <v>766</v>
      </c>
      <c r="H371" s="1531">
        <f>H372+H373+H374+H375+H376+H377+H378+H379+H380+H381+H382+H383+H384</f>
        <v>13710.100000000004</v>
      </c>
      <c r="I371" s="1531">
        <f t="shared" ref="I371:CF371" si="284">I372+I373+I374+I375+I376+I377+I378+I379+I380+I381+I382+I383+I384</f>
        <v>1700</v>
      </c>
      <c r="J371" s="1531">
        <f>J372+J373+J374+J375+J376+J377+J378+J379+J380+J381+J382+J383+J384</f>
        <v>6060.33</v>
      </c>
      <c r="K371" s="1531">
        <f t="shared" si="284"/>
        <v>1800.1</v>
      </c>
      <c r="L371" s="1601"/>
      <c r="M371" s="1601"/>
      <c r="N371" s="1601"/>
      <c r="O371" s="1601">
        <f t="shared" si="284"/>
        <v>0</v>
      </c>
      <c r="P371" s="1601"/>
      <c r="Q371" s="1601">
        <f t="shared" si="284"/>
        <v>0</v>
      </c>
      <c r="R371" s="1601">
        <f t="shared" si="284"/>
        <v>0</v>
      </c>
      <c r="S371" s="1601"/>
      <c r="T371" s="1602"/>
      <c r="U371" s="1533"/>
      <c r="V371" s="1533"/>
      <c r="W371" s="1534"/>
      <c r="X371" s="1534"/>
      <c r="Y371" s="1534"/>
      <c r="Z371" s="1535"/>
      <c r="AA371" s="1534"/>
      <c r="AB371" s="1534"/>
      <c r="AC371" s="1603">
        <f t="shared" si="284"/>
        <v>13710.1</v>
      </c>
      <c r="AD371" s="1603">
        <f t="shared" si="284"/>
        <v>9560.43</v>
      </c>
      <c r="AE371" s="1603">
        <f t="shared" si="284"/>
        <v>1700</v>
      </c>
      <c r="AF371" s="1603">
        <f t="shared" si="284"/>
        <v>6060.33</v>
      </c>
      <c r="AG371" s="1603">
        <f t="shared" si="284"/>
        <v>1800.1</v>
      </c>
      <c r="AH371" s="1490">
        <f t="shared" si="272"/>
        <v>1147.6500000000001</v>
      </c>
      <c r="AI371" s="1592">
        <f t="shared" si="284"/>
        <v>0</v>
      </c>
      <c r="AJ371" s="1592">
        <f t="shared" si="284"/>
        <v>0</v>
      </c>
      <c r="AK371" s="1592">
        <f t="shared" si="284"/>
        <v>0</v>
      </c>
      <c r="AL371" s="1636">
        <f t="shared" si="250"/>
        <v>0</v>
      </c>
      <c r="AM371" s="1592">
        <f t="shared" si="284"/>
        <v>0</v>
      </c>
      <c r="AN371" s="1706"/>
      <c r="AO371" s="1707">
        <f t="shared" si="284"/>
        <v>964.4000000000002</v>
      </c>
      <c r="AP371" s="1531">
        <f t="shared" si="284"/>
        <v>30.58</v>
      </c>
      <c r="AQ371" s="1531">
        <f t="shared" si="284"/>
        <v>0</v>
      </c>
      <c r="AR371" s="1531">
        <f t="shared" si="284"/>
        <v>0</v>
      </c>
      <c r="AS371" s="1535">
        <f t="shared" si="284"/>
        <v>942.50000000000011</v>
      </c>
      <c r="AT371" s="1531">
        <f t="shared" si="284"/>
        <v>0</v>
      </c>
      <c r="AU371" s="1531">
        <f t="shared" si="284"/>
        <v>0</v>
      </c>
      <c r="AV371" s="1531">
        <f t="shared" si="284"/>
        <v>0</v>
      </c>
      <c r="AW371" s="1535">
        <f t="shared" si="284"/>
        <v>899.90000000000009</v>
      </c>
      <c r="AX371" s="1531">
        <f t="shared" si="284"/>
        <v>0</v>
      </c>
      <c r="AY371" s="1531">
        <f t="shared" si="284"/>
        <v>0</v>
      </c>
      <c r="AZ371" s="1531">
        <f t="shared" si="284"/>
        <v>0</v>
      </c>
      <c r="BA371" s="1538">
        <f t="shared" si="284"/>
        <v>899.90000000000009</v>
      </c>
      <c r="BB371" s="1531">
        <f t="shared" si="284"/>
        <v>0</v>
      </c>
      <c r="BC371" s="1531">
        <f t="shared" si="284"/>
        <v>0</v>
      </c>
      <c r="BD371" s="1531">
        <f t="shared" si="284"/>
        <v>0</v>
      </c>
      <c r="BE371" s="1539">
        <f t="shared" si="284"/>
        <v>1285.45</v>
      </c>
      <c r="BF371" s="1531">
        <f t="shared" si="284"/>
        <v>711.67</v>
      </c>
      <c r="BG371" s="1531">
        <f t="shared" si="284"/>
        <v>0</v>
      </c>
      <c r="BH371" s="1531">
        <f t="shared" si="284"/>
        <v>0</v>
      </c>
      <c r="BI371" s="1538">
        <f t="shared" si="284"/>
        <v>406.96</v>
      </c>
      <c r="BJ371" s="1531">
        <f t="shared" si="284"/>
        <v>0</v>
      </c>
      <c r="BK371" s="1531">
        <f t="shared" si="284"/>
        <v>0</v>
      </c>
      <c r="BL371" s="1531">
        <f t="shared" si="284"/>
        <v>0</v>
      </c>
      <c r="BM371" s="1538">
        <f t="shared" si="284"/>
        <v>1439.8400000000001</v>
      </c>
      <c r="BN371" s="1531">
        <f t="shared" si="284"/>
        <v>0</v>
      </c>
      <c r="BO371" s="1531">
        <f t="shared" si="284"/>
        <v>0</v>
      </c>
      <c r="BP371" s="1531">
        <f t="shared" si="284"/>
        <v>0</v>
      </c>
      <c r="BQ371" s="1538">
        <f t="shared" si="284"/>
        <v>1578.25</v>
      </c>
      <c r="BR371" s="1531">
        <f t="shared" si="284"/>
        <v>0</v>
      </c>
      <c r="BS371" s="1531">
        <f t="shared" si="284"/>
        <v>0</v>
      </c>
      <c r="BT371" s="1531">
        <f t="shared" si="284"/>
        <v>0</v>
      </c>
      <c r="BU371" s="1538">
        <f t="shared" si="284"/>
        <v>1078.4000000000001</v>
      </c>
      <c r="BV371" s="1531">
        <f t="shared" si="284"/>
        <v>0</v>
      </c>
      <c r="BW371" s="1531">
        <f t="shared" si="284"/>
        <v>3879.7</v>
      </c>
      <c r="BX371" s="1531">
        <f t="shared" si="284"/>
        <v>600</v>
      </c>
      <c r="BY371" s="1538">
        <f t="shared" si="284"/>
        <v>966.85</v>
      </c>
      <c r="BZ371" s="1531">
        <f t="shared" si="284"/>
        <v>0</v>
      </c>
      <c r="CA371" s="1531">
        <f t="shared" si="284"/>
        <v>0</v>
      </c>
      <c r="CB371" s="1531">
        <f t="shared" si="284"/>
        <v>0</v>
      </c>
      <c r="CC371" s="1538">
        <f t="shared" si="284"/>
        <v>900</v>
      </c>
      <c r="CD371" s="1531">
        <f t="shared" si="284"/>
        <v>0</v>
      </c>
      <c r="CE371" s="1531">
        <f t="shared" si="284"/>
        <v>0</v>
      </c>
      <c r="CF371" s="1531">
        <f t="shared" si="284"/>
        <v>0</v>
      </c>
      <c r="CG371" s="1705"/>
      <c r="CH371" s="1641">
        <f t="shared" si="282"/>
        <v>2347.65</v>
      </c>
      <c r="CI371" s="1641">
        <f t="shared" si="281"/>
        <v>957.75</v>
      </c>
      <c r="CJ371" s="1641">
        <f t="shared" si="281"/>
        <v>2180.63</v>
      </c>
      <c r="CK371" s="1641">
        <f t="shared" si="281"/>
        <v>1200.0999999999999</v>
      </c>
      <c r="CL371" s="1901">
        <v>1147.6500000000001</v>
      </c>
      <c r="CM371" s="1902">
        <v>957.75</v>
      </c>
      <c r="CN371" s="1890">
        <v>2180.63</v>
      </c>
      <c r="CO371" s="1901">
        <v>1200.0999999999999</v>
      </c>
      <c r="CP371" s="1538">
        <f>CP372+CP373+CP374+CP375+CP376+CP377+CP378+CP379+CP380+CP381+CP382+CP383+CP384</f>
        <v>1200</v>
      </c>
      <c r="CQ371" s="1531">
        <f>CQ372+CQ373+CQ374+CQ375+CQ376+CQ377+CQ378+CQ379+CQ380+CQ381+CQ382+CQ383+CQ384</f>
        <v>0</v>
      </c>
      <c r="CR371" s="1531">
        <f>CR372+CR373+CR374+CR375+CR376+CR377+CR378+CR379+CR380+CR381+CR382+CR383+CR384</f>
        <v>0</v>
      </c>
      <c r="CS371" s="1531">
        <f>CS372+CS373+CS374+CS375+CS376+CS377+CS378+CS379+CS380+CS381+CS382+CS383+CS384</f>
        <v>0</v>
      </c>
    </row>
    <row r="372" spans="1:107" ht="15" thickBot="1" x14ac:dyDescent="0.2">
      <c r="A372" s="1541" t="s">
        <v>124</v>
      </c>
      <c r="B372" s="1523" t="s">
        <v>79</v>
      </c>
      <c r="C372" s="1523" t="s">
        <v>80</v>
      </c>
      <c r="D372" s="1523" t="s">
        <v>125</v>
      </c>
      <c r="E372" s="1523" t="s">
        <v>214</v>
      </c>
      <c r="F372" s="1523"/>
      <c r="G372" s="1667">
        <v>211</v>
      </c>
      <c r="H372" s="1501">
        <v>8294.1</v>
      </c>
      <c r="I372" s="1645"/>
      <c r="J372" s="1630"/>
      <c r="K372" s="1630"/>
      <c r="L372" s="1631"/>
      <c r="M372" s="1631"/>
      <c r="N372" s="1631"/>
      <c r="O372" s="1631"/>
      <c r="P372" s="1631"/>
      <c r="Q372" s="1631"/>
      <c r="R372" s="1631"/>
      <c r="S372" s="1631"/>
      <c r="T372" s="1632"/>
      <c r="U372" s="1633"/>
      <c r="V372" s="1633"/>
      <c r="W372" s="1634">
        <f>H372/12</f>
        <v>691.17500000000007</v>
      </c>
      <c r="X372" s="1634">
        <f>AO372</f>
        <v>691.2</v>
      </c>
      <c r="Y372" s="1634">
        <f>CC372</f>
        <v>691.2</v>
      </c>
      <c r="Z372" s="1635">
        <v>691.2</v>
      </c>
      <c r="AA372" s="1634"/>
      <c r="AB372" s="1634"/>
      <c r="AC372" s="1508">
        <f t="shared" ref="AC372:AC385" si="285">AO372+AS372+AW372+BA372+BE372+BI372+BM372+BQ372+BU372+BY372+CC372+CH372</f>
        <v>8294.0999999999985</v>
      </c>
      <c r="AD372" s="1509">
        <f t="shared" ref="AD372:AD385" si="286">AE372+AF372+AG372</f>
        <v>0</v>
      </c>
      <c r="AE372" s="1509">
        <f t="shared" ref="AE372:AG384" si="287">AP372+AT372+AX372+BB372+BF372+BJ372+BN372+BR372+BV372+BZ372+CD372+CI372</f>
        <v>0</v>
      </c>
      <c r="AF372" s="1509">
        <f t="shared" si="287"/>
        <v>0</v>
      </c>
      <c r="AG372" s="1509">
        <f t="shared" si="287"/>
        <v>0</v>
      </c>
      <c r="AH372" s="1490">
        <f t="shared" si="272"/>
        <v>691.15</v>
      </c>
      <c r="AI372" s="1636">
        <f t="shared" ref="AI372:AI384" si="288">H372-AC372</f>
        <v>0</v>
      </c>
      <c r="AJ372" s="1636">
        <f t="shared" ref="AJ372:AJ384" si="289">AK372+AL372+AM372</f>
        <v>0</v>
      </c>
      <c r="AK372" s="1636">
        <f t="shared" ref="AK372:AK384" si="290">I372-AE372</f>
        <v>0</v>
      </c>
      <c r="AL372" s="1636">
        <f t="shared" si="250"/>
        <v>0</v>
      </c>
      <c r="AM372" s="1636">
        <f t="shared" si="250"/>
        <v>0</v>
      </c>
      <c r="AN372" s="1510">
        <f>H372/12*10-AC372</f>
        <v>-1382.3499999999976</v>
      </c>
      <c r="AO372" s="1722">
        <v>691.2</v>
      </c>
      <c r="AP372" s="1638"/>
      <c r="AQ372" s="1638"/>
      <c r="AR372" s="1638"/>
      <c r="AS372" s="1639">
        <v>691.2</v>
      </c>
      <c r="AT372" s="1638"/>
      <c r="AU372" s="1638"/>
      <c r="AV372" s="1638"/>
      <c r="AW372" s="1640">
        <v>691.2</v>
      </c>
      <c r="AX372" s="1640"/>
      <c r="AY372" s="1640"/>
      <c r="AZ372" s="1640"/>
      <c r="BA372" s="1641">
        <v>691.2</v>
      </c>
      <c r="BB372" s="1640"/>
      <c r="BC372" s="1640"/>
      <c r="BD372" s="1640"/>
      <c r="BE372" s="1641">
        <v>691.2</v>
      </c>
      <c r="BF372" s="1640"/>
      <c r="BG372" s="1640"/>
      <c r="BH372" s="1640"/>
      <c r="BI372" s="1641">
        <f>359.96</f>
        <v>359.96</v>
      </c>
      <c r="BJ372" s="1640"/>
      <c r="BK372" s="1640"/>
      <c r="BL372" s="1640"/>
      <c r="BM372" s="1641">
        <f>331.24+691.2</f>
        <v>1022.44</v>
      </c>
      <c r="BN372" s="1640"/>
      <c r="BO372" s="1640"/>
      <c r="BP372" s="1640"/>
      <c r="BQ372" s="1641">
        <v>691.2</v>
      </c>
      <c r="BR372" s="1640"/>
      <c r="BS372" s="1640"/>
      <c r="BT372" s="1640"/>
      <c r="BU372" s="1641">
        <v>691.2</v>
      </c>
      <c r="BV372" s="1640"/>
      <c r="BW372" s="1640"/>
      <c r="BX372" s="1640"/>
      <c r="BY372" s="1641">
        <f>331.8+359.15</f>
        <v>690.95</v>
      </c>
      <c r="BZ372" s="1640"/>
      <c r="CA372" s="1640"/>
      <c r="CB372" s="1640"/>
      <c r="CC372" s="1641">
        <v>691.2</v>
      </c>
      <c r="CD372" s="1640"/>
      <c r="CE372" s="1640"/>
      <c r="CF372" s="1640"/>
      <c r="CG372" s="1642"/>
      <c r="CH372" s="1641">
        <f t="shared" si="282"/>
        <v>691.15</v>
      </c>
      <c r="CI372" s="1641">
        <f t="shared" si="282"/>
        <v>0</v>
      </c>
      <c r="CJ372" s="1641">
        <f t="shared" si="282"/>
        <v>0</v>
      </c>
      <c r="CK372" s="1641">
        <f t="shared" si="282"/>
        <v>0</v>
      </c>
      <c r="CL372" s="1889">
        <v>691.15</v>
      </c>
      <c r="CM372" s="1889">
        <v>0</v>
      </c>
      <c r="CN372" s="1889">
        <v>0</v>
      </c>
      <c r="CO372" s="1889">
        <v>0</v>
      </c>
      <c r="CP372" s="1641"/>
      <c r="CQ372" s="1640"/>
      <c r="CR372" s="1640"/>
      <c r="CS372" s="1640"/>
      <c r="CX372" s="1558">
        <f>H372/12*10-AC372</f>
        <v>-1382.3499999999976</v>
      </c>
      <c r="CY372" s="1558">
        <f>AI372/3</f>
        <v>0</v>
      </c>
      <c r="CZ372" s="1558">
        <f>H372/12</f>
        <v>691.17500000000007</v>
      </c>
      <c r="DA372" s="1559"/>
      <c r="DB372" s="1559"/>
      <c r="DC372" s="1559"/>
    </row>
    <row r="373" spans="1:107" ht="15" thickBot="1" x14ac:dyDescent="0.2">
      <c r="A373" s="1541" t="s">
        <v>83</v>
      </c>
      <c r="B373" s="1523" t="s">
        <v>79</v>
      </c>
      <c r="C373" s="1523" t="s">
        <v>80</v>
      </c>
      <c r="D373" s="1523" t="s">
        <v>125</v>
      </c>
      <c r="E373" s="1523" t="s">
        <v>214</v>
      </c>
      <c r="F373" s="1523"/>
      <c r="G373" s="1667">
        <v>212</v>
      </c>
      <c r="H373" s="1501">
        <v>0</v>
      </c>
      <c r="I373" s="1645"/>
      <c r="J373" s="1630"/>
      <c r="K373" s="1630"/>
      <c r="L373" s="1631"/>
      <c r="M373" s="1631"/>
      <c r="N373" s="1631"/>
      <c r="O373" s="1631"/>
      <c r="P373" s="1631"/>
      <c r="Q373" s="1631"/>
      <c r="R373" s="1631"/>
      <c r="S373" s="1631"/>
      <c r="T373" s="1632"/>
      <c r="U373" s="1633"/>
      <c r="V373" s="1633"/>
      <c r="W373" s="1634"/>
      <c r="X373" s="1634"/>
      <c r="Y373" s="1634"/>
      <c r="Z373" s="1635"/>
      <c r="AA373" s="1634"/>
      <c r="AB373" s="1634"/>
      <c r="AC373" s="1508">
        <f t="shared" si="285"/>
        <v>0</v>
      </c>
      <c r="AD373" s="1509">
        <f t="shared" si="286"/>
        <v>0</v>
      </c>
      <c r="AE373" s="1509">
        <f t="shared" si="287"/>
        <v>0</v>
      </c>
      <c r="AF373" s="1509">
        <f t="shared" si="287"/>
        <v>0</v>
      </c>
      <c r="AG373" s="1509">
        <f t="shared" si="287"/>
        <v>0</v>
      </c>
      <c r="AH373" s="1490">
        <f t="shared" si="272"/>
        <v>0</v>
      </c>
      <c r="AI373" s="1636">
        <f t="shared" si="288"/>
        <v>0</v>
      </c>
      <c r="AJ373" s="1636">
        <f t="shared" si="289"/>
        <v>0</v>
      </c>
      <c r="AK373" s="1636">
        <f t="shared" si="290"/>
        <v>0</v>
      </c>
      <c r="AL373" s="1636">
        <f t="shared" si="250"/>
        <v>0</v>
      </c>
      <c r="AM373" s="1636">
        <f t="shared" si="250"/>
        <v>0</v>
      </c>
      <c r="AN373" s="1510"/>
      <c r="AO373" s="1722">
        <v>0</v>
      </c>
      <c r="AP373" s="1638"/>
      <c r="AQ373" s="1638"/>
      <c r="AR373" s="1638"/>
      <c r="AS373" s="1639"/>
      <c r="AT373" s="1638"/>
      <c r="AU373" s="1638"/>
      <c r="AV373" s="1638"/>
      <c r="AW373" s="1640"/>
      <c r="AX373" s="1640"/>
      <c r="AY373" s="1640"/>
      <c r="AZ373" s="1640"/>
      <c r="BA373" s="1641"/>
      <c r="BB373" s="1640"/>
      <c r="BC373" s="1640"/>
      <c r="BD373" s="1640"/>
      <c r="BE373" s="1641"/>
      <c r="BF373" s="1640"/>
      <c r="BG373" s="1640"/>
      <c r="BH373" s="1640"/>
      <c r="BI373" s="1641"/>
      <c r="BJ373" s="1640"/>
      <c r="BK373" s="1640"/>
      <c r="BL373" s="1640"/>
      <c r="BM373" s="1641"/>
      <c r="BN373" s="1640"/>
      <c r="BO373" s="1640"/>
      <c r="BP373" s="1640"/>
      <c r="BQ373" s="1641"/>
      <c r="BR373" s="1640"/>
      <c r="BS373" s="1640"/>
      <c r="BT373" s="1640"/>
      <c r="BU373" s="1641"/>
      <c r="BV373" s="1640"/>
      <c r="BW373" s="1640"/>
      <c r="BX373" s="1640"/>
      <c r="BY373" s="1641"/>
      <c r="BZ373" s="1640"/>
      <c r="CA373" s="1640"/>
      <c r="CB373" s="1640"/>
      <c r="CC373" s="1641"/>
      <c r="CD373" s="1640"/>
      <c r="CE373" s="1640"/>
      <c r="CF373" s="1640"/>
      <c r="CG373" s="1642"/>
      <c r="CH373" s="1641">
        <f t="shared" si="282"/>
        <v>0</v>
      </c>
      <c r="CI373" s="1641">
        <f t="shared" si="282"/>
        <v>0</v>
      </c>
      <c r="CJ373" s="1641">
        <f t="shared" si="282"/>
        <v>0</v>
      </c>
      <c r="CK373" s="1641">
        <f t="shared" si="282"/>
        <v>0</v>
      </c>
      <c r="CL373" s="1889">
        <v>0</v>
      </c>
      <c r="CM373" s="1889">
        <v>0</v>
      </c>
      <c r="CN373" s="1889">
        <v>0</v>
      </c>
      <c r="CO373" s="1889">
        <v>0</v>
      </c>
      <c r="CP373" s="1641"/>
      <c r="CQ373" s="1640"/>
      <c r="CR373" s="1640"/>
      <c r="CS373" s="1640"/>
      <c r="CX373" s="1558"/>
      <c r="CY373" s="1558"/>
      <c r="CZ373" s="1558"/>
      <c r="DA373" s="1559"/>
      <c r="DB373" s="1559"/>
      <c r="DC373" s="1559"/>
    </row>
    <row r="374" spans="1:107" ht="15" thickBot="1" x14ac:dyDescent="0.2">
      <c r="A374" s="1541" t="s">
        <v>84</v>
      </c>
      <c r="B374" s="1523" t="s">
        <v>79</v>
      </c>
      <c r="C374" s="1523" t="s">
        <v>80</v>
      </c>
      <c r="D374" s="1523" t="s">
        <v>125</v>
      </c>
      <c r="E374" s="1523" t="s">
        <v>214</v>
      </c>
      <c r="F374" s="1523"/>
      <c r="G374" s="1667">
        <v>213</v>
      </c>
      <c r="H374" s="1501">
        <v>2504.8000000000002</v>
      </c>
      <c r="I374" s="1645"/>
      <c r="J374" s="1630"/>
      <c r="K374" s="1630"/>
      <c r="L374" s="1631"/>
      <c r="M374" s="1631"/>
      <c r="N374" s="1631"/>
      <c r="O374" s="1631"/>
      <c r="P374" s="1631"/>
      <c r="Q374" s="1631"/>
      <c r="R374" s="1631"/>
      <c r="S374" s="1631"/>
      <c r="T374" s="1632"/>
      <c r="U374" s="1633"/>
      <c r="V374" s="1633"/>
      <c r="W374" s="1634">
        <f>H374/12</f>
        <v>208.73333333333335</v>
      </c>
      <c r="X374" s="1634">
        <f>AO374</f>
        <v>208.7</v>
      </c>
      <c r="Y374" s="1634">
        <f>CC374</f>
        <v>208.8</v>
      </c>
      <c r="Z374" s="1635">
        <v>208.8</v>
      </c>
      <c r="AA374" s="1634"/>
      <c r="AB374" s="1634"/>
      <c r="AC374" s="1508">
        <f t="shared" si="285"/>
        <v>2504.8000000000002</v>
      </c>
      <c r="AD374" s="1509">
        <f t="shared" si="286"/>
        <v>0</v>
      </c>
      <c r="AE374" s="1509">
        <f t="shared" si="287"/>
        <v>0</v>
      </c>
      <c r="AF374" s="1509">
        <f t="shared" si="287"/>
        <v>0</v>
      </c>
      <c r="AG374" s="1509">
        <f t="shared" si="287"/>
        <v>0</v>
      </c>
      <c r="AH374" s="1490">
        <f t="shared" si="272"/>
        <v>208.7</v>
      </c>
      <c r="AI374" s="1636">
        <f t="shared" si="288"/>
        <v>0</v>
      </c>
      <c r="AJ374" s="1636">
        <f t="shared" si="289"/>
        <v>0</v>
      </c>
      <c r="AK374" s="1636">
        <f t="shared" si="290"/>
        <v>0</v>
      </c>
      <c r="AL374" s="1636">
        <f t="shared" si="250"/>
        <v>0</v>
      </c>
      <c r="AM374" s="1636">
        <f t="shared" si="250"/>
        <v>0</v>
      </c>
      <c r="AN374" s="1510">
        <f>H374/12*10-AC374</f>
        <v>-417.4666666666667</v>
      </c>
      <c r="AO374" s="1722">
        <v>208.7</v>
      </c>
      <c r="AP374" s="1638"/>
      <c r="AQ374" s="1638"/>
      <c r="AR374" s="1638"/>
      <c r="AS374" s="1639">
        <v>208.7</v>
      </c>
      <c r="AT374" s="1638"/>
      <c r="AU374" s="1638"/>
      <c r="AV374" s="1638"/>
      <c r="AW374" s="1640">
        <v>208.7</v>
      </c>
      <c r="AX374" s="1640"/>
      <c r="AY374" s="1640"/>
      <c r="AZ374" s="1640"/>
      <c r="BA374" s="1641">
        <v>208.7</v>
      </c>
      <c r="BB374" s="1640"/>
      <c r="BC374" s="1640"/>
      <c r="BD374" s="1640"/>
      <c r="BE374" s="1641">
        <v>208.7</v>
      </c>
      <c r="BF374" s="1640"/>
      <c r="BG374" s="1640"/>
      <c r="BH374" s="1640"/>
      <c r="BI374" s="1641"/>
      <c r="BJ374" s="1640"/>
      <c r="BK374" s="1640"/>
      <c r="BL374" s="1640"/>
      <c r="BM374" s="1641">
        <f>208.7+208.7</f>
        <v>417.4</v>
      </c>
      <c r="BN374" s="1640"/>
      <c r="BO374" s="1640"/>
      <c r="BP374" s="1640"/>
      <c r="BQ374" s="1641">
        <v>208.7</v>
      </c>
      <c r="BR374" s="1640"/>
      <c r="BS374" s="1640"/>
      <c r="BT374" s="1640"/>
      <c r="BU374" s="1641">
        <v>208.7</v>
      </c>
      <c r="BV374" s="1640"/>
      <c r="BW374" s="1640"/>
      <c r="BX374" s="1640"/>
      <c r="BY374" s="1641">
        <v>209</v>
      </c>
      <c r="BZ374" s="1640"/>
      <c r="CA374" s="1640"/>
      <c r="CB374" s="1640"/>
      <c r="CC374" s="1641">
        <v>208.8</v>
      </c>
      <c r="CD374" s="1640"/>
      <c r="CE374" s="1640"/>
      <c r="CF374" s="1640"/>
      <c r="CG374" s="1642"/>
      <c r="CH374" s="1641">
        <f t="shared" si="282"/>
        <v>208.7</v>
      </c>
      <c r="CI374" s="1641">
        <f t="shared" si="282"/>
        <v>0</v>
      </c>
      <c r="CJ374" s="1641">
        <f t="shared" si="282"/>
        <v>0</v>
      </c>
      <c r="CK374" s="1641">
        <f t="shared" si="282"/>
        <v>0</v>
      </c>
      <c r="CL374" s="1889">
        <v>208.7</v>
      </c>
      <c r="CM374" s="1889">
        <v>0</v>
      </c>
      <c r="CN374" s="1889">
        <v>0</v>
      </c>
      <c r="CO374" s="1889">
        <v>0</v>
      </c>
      <c r="CP374" s="1641"/>
      <c r="CQ374" s="1640"/>
      <c r="CR374" s="1640"/>
      <c r="CS374" s="1640"/>
      <c r="CX374" s="1558">
        <f>H374/12*10-AC374</f>
        <v>-417.4666666666667</v>
      </c>
      <c r="CY374" s="1558">
        <f>AI374/3</f>
        <v>0</v>
      </c>
      <c r="CZ374" s="1558">
        <f>H374/12</f>
        <v>208.73333333333335</v>
      </c>
      <c r="DA374" s="1559"/>
      <c r="DB374" s="1559"/>
      <c r="DC374" s="1559"/>
    </row>
    <row r="375" spans="1:107" ht="15" thickBot="1" x14ac:dyDescent="0.2">
      <c r="A375" s="1541" t="s">
        <v>85</v>
      </c>
      <c r="B375" s="1523" t="s">
        <v>79</v>
      </c>
      <c r="C375" s="1523" t="s">
        <v>80</v>
      </c>
      <c r="D375" s="1523" t="s">
        <v>125</v>
      </c>
      <c r="E375" s="1523" t="s">
        <v>214</v>
      </c>
      <c r="F375" s="1523"/>
      <c r="G375" s="1667">
        <v>221</v>
      </c>
      <c r="H375" s="1501">
        <v>19.5</v>
      </c>
      <c r="I375" s="1645"/>
      <c r="J375" s="1630"/>
      <c r="K375" s="1630"/>
      <c r="L375" s="1631"/>
      <c r="M375" s="1631"/>
      <c r="N375" s="1631"/>
      <c r="O375" s="1631"/>
      <c r="P375" s="1631"/>
      <c r="Q375" s="1631"/>
      <c r="R375" s="1631"/>
      <c r="S375" s="1631"/>
      <c r="T375" s="1632"/>
      <c r="U375" s="1633"/>
      <c r="V375" s="1633"/>
      <c r="W375" s="1634"/>
      <c r="X375" s="1634"/>
      <c r="Y375" s="1634"/>
      <c r="Z375" s="1635"/>
      <c r="AA375" s="1634"/>
      <c r="AB375" s="1634"/>
      <c r="AC375" s="1508">
        <f t="shared" si="285"/>
        <v>19.5</v>
      </c>
      <c r="AD375" s="1509">
        <f t="shared" si="286"/>
        <v>0</v>
      </c>
      <c r="AE375" s="1509">
        <f t="shared" si="287"/>
        <v>0</v>
      </c>
      <c r="AF375" s="1509">
        <f t="shared" si="287"/>
        <v>0</v>
      </c>
      <c r="AG375" s="1509">
        <f t="shared" si="287"/>
        <v>0</v>
      </c>
      <c r="AH375" s="1490">
        <f t="shared" si="272"/>
        <v>17.899999999999999</v>
      </c>
      <c r="AI375" s="1636">
        <f t="shared" si="288"/>
        <v>0</v>
      </c>
      <c r="AJ375" s="1636">
        <f t="shared" si="289"/>
        <v>0</v>
      </c>
      <c r="AK375" s="1636">
        <f t="shared" si="290"/>
        <v>0</v>
      </c>
      <c r="AL375" s="1636">
        <f t="shared" si="250"/>
        <v>0</v>
      </c>
      <c r="AM375" s="1636">
        <f t="shared" si="250"/>
        <v>0</v>
      </c>
      <c r="AN375" s="1637"/>
      <c r="AO375" s="1722">
        <v>1.6</v>
      </c>
      <c r="AP375" s="1638"/>
      <c r="AQ375" s="1638"/>
      <c r="AR375" s="1638"/>
      <c r="AS375" s="1639"/>
      <c r="AT375" s="1638"/>
      <c r="AU375" s="1638"/>
      <c r="AV375" s="1638"/>
      <c r="AW375" s="1639"/>
      <c r="AX375" s="1640"/>
      <c r="AY375" s="1640"/>
      <c r="AZ375" s="1640"/>
      <c r="BA375" s="1641"/>
      <c r="BB375" s="1640"/>
      <c r="BC375" s="1640"/>
      <c r="BD375" s="1640"/>
      <c r="BE375" s="1644"/>
      <c r="BF375" s="1640"/>
      <c r="BG375" s="1640"/>
      <c r="BH375" s="1640"/>
      <c r="BI375" s="1641"/>
      <c r="BJ375" s="1640"/>
      <c r="BK375" s="1640"/>
      <c r="BL375" s="1640"/>
      <c r="BM375" s="1641"/>
      <c r="BN375" s="1640"/>
      <c r="BO375" s="1640"/>
      <c r="BP375" s="1640"/>
      <c r="BQ375" s="1641"/>
      <c r="BR375" s="1640"/>
      <c r="BS375" s="1640"/>
      <c r="BT375" s="1640"/>
      <c r="BU375" s="1641"/>
      <c r="BV375" s="1640"/>
      <c r="BW375" s="1640"/>
      <c r="BX375" s="1640"/>
      <c r="BY375" s="1641"/>
      <c r="BZ375" s="1640"/>
      <c r="CA375" s="1640"/>
      <c r="CB375" s="1640"/>
      <c r="CC375" s="1641"/>
      <c r="CD375" s="1640"/>
      <c r="CE375" s="1640"/>
      <c r="CF375" s="1640"/>
      <c r="CG375" s="1642"/>
      <c r="CH375" s="1641">
        <f t="shared" si="282"/>
        <v>17.899999999999999</v>
      </c>
      <c r="CI375" s="1641">
        <f t="shared" si="282"/>
        <v>0</v>
      </c>
      <c r="CJ375" s="1641">
        <f t="shared" si="282"/>
        <v>0</v>
      </c>
      <c r="CK375" s="1641">
        <f t="shared" si="282"/>
        <v>0</v>
      </c>
      <c r="CL375" s="1889">
        <v>17.899999999999999</v>
      </c>
      <c r="CM375" s="1889">
        <v>0</v>
      </c>
      <c r="CN375" s="1889">
        <v>0</v>
      </c>
      <c r="CO375" s="1889">
        <v>0</v>
      </c>
      <c r="CP375" s="1641"/>
      <c r="CQ375" s="1640"/>
      <c r="CR375" s="1640"/>
      <c r="CS375" s="1640"/>
    </row>
    <row r="376" spans="1:107" ht="15" thickBot="1" x14ac:dyDescent="0.2">
      <c r="A376" s="1541" t="s">
        <v>86</v>
      </c>
      <c r="B376" s="1523" t="s">
        <v>79</v>
      </c>
      <c r="C376" s="1523" t="s">
        <v>80</v>
      </c>
      <c r="D376" s="1523" t="s">
        <v>125</v>
      </c>
      <c r="E376" s="1523" t="s">
        <v>214</v>
      </c>
      <c r="F376" s="1523"/>
      <c r="G376" s="1667">
        <v>222</v>
      </c>
      <c r="H376" s="1501">
        <v>18</v>
      </c>
      <c r="I376" s="1645">
        <v>110</v>
      </c>
      <c r="J376" s="1630"/>
      <c r="K376" s="1630">
        <f>75-U376</f>
        <v>75</v>
      </c>
      <c r="L376" s="1631"/>
      <c r="M376" s="1631"/>
      <c r="N376" s="1631"/>
      <c r="O376" s="1631"/>
      <c r="P376" s="1631"/>
      <c r="Q376" s="1631"/>
      <c r="R376" s="1631"/>
      <c r="S376" s="1631"/>
      <c r="T376" s="1632"/>
      <c r="U376" s="1633"/>
      <c r="V376" s="1633"/>
      <c r="W376" s="1630"/>
      <c r="X376" s="1630"/>
      <c r="Y376" s="1630"/>
      <c r="Z376" s="1635"/>
      <c r="AA376" s="1630"/>
      <c r="AB376" s="1630"/>
      <c r="AC376" s="1508">
        <f t="shared" si="285"/>
        <v>18</v>
      </c>
      <c r="AD376" s="1509">
        <f t="shared" si="286"/>
        <v>185</v>
      </c>
      <c r="AE376" s="1509">
        <f t="shared" si="287"/>
        <v>110</v>
      </c>
      <c r="AF376" s="1509">
        <f t="shared" si="287"/>
        <v>0</v>
      </c>
      <c r="AG376" s="1509">
        <f t="shared" si="287"/>
        <v>75</v>
      </c>
      <c r="AH376" s="1490">
        <f t="shared" si="272"/>
        <v>16.5</v>
      </c>
      <c r="AI376" s="1636">
        <f t="shared" si="288"/>
        <v>0</v>
      </c>
      <c r="AJ376" s="1636">
        <f t="shared" si="289"/>
        <v>0</v>
      </c>
      <c r="AK376" s="1636">
        <f t="shared" si="290"/>
        <v>0</v>
      </c>
      <c r="AL376" s="1636">
        <f t="shared" si="250"/>
        <v>0</v>
      </c>
      <c r="AM376" s="1636">
        <f t="shared" si="250"/>
        <v>0</v>
      </c>
      <c r="AN376" s="1637"/>
      <c r="AO376" s="1722">
        <v>1.5</v>
      </c>
      <c r="AP376" s="1638"/>
      <c r="AQ376" s="1638"/>
      <c r="AR376" s="1638"/>
      <c r="AS376" s="1639"/>
      <c r="AT376" s="1638"/>
      <c r="AU376" s="1638"/>
      <c r="AV376" s="1638"/>
      <c r="AW376" s="1639"/>
      <c r="AX376" s="1640"/>
      <c r="AY376" s="1640"/>
      <c r="AZ376" s="1640"/>
      <c r="BA376" s="1641"/>
      <c r="BB376" s="1640"/>
      <c r="BC376" s="1640"/>
      <c r="BD376" s="1640"/>
      <c r="BE376" s="1644"/>
      <c r="BF376" s="1640"/>
      <c r="BG376" s="1640"/>
      <c r="BH376" s="1640"/>
      <c r="BI376" s="1641"/>
      <c r="BJ376" s="1640"/>
      <c r="BK376" s="1640"/>
      <c r="BL376" s="1640"/>
      <c r="BM376" s="1641"/>
      <c r="BN376" s="1640"/>
      <c r="BO376" s="1640"/>
      <c r="BP376" s="1640"/>
      <c r="BQ376" s="1641"/>
      <c r="BR376" s="1640"/>
      <c r="BS376" s="1640"/>
      <c r="BT376" s="1640"/>
      <c r="BU376" s="1641"/>
      <c r="BV376" s="1640"/>
      <c r="BW376" s="1640"/>
      <c r="BX376" s="1640"/>
      <c r="BY376" s="1641"/>
      <c r="BZ376" s="1640"/>
      <c r="CA376" s="1640"/>
      <c r="CB376" s="1640"/>
      <c r="CC376" s="1641"/>
      <c r="CD376" s="1640"/>
      <c r="CE376" s="1640"/>
      <c r="CF376" s="1640"/>
      <c r="CG376" s="1642"/>
      <c r="CH376" s="1641">
        <f t="shared" si="282"/>
        <v>16.5</v>
      </c>
      <c r="CI376" s="1641">
        <f t="shared" si="282"/>
        <v>110</v>
      </c>
      <c r="CJ376" s="1641">
        <f t="shared" si="282"/>
        <v>0</v>
      </c>
      <c r="CK376" s="1641">
        <f t="shared" si="282"/>
        <v>75</v>
      </c>
      <c r="CL376" s="1889">
        <v>16.5</v>
      </c>
      <c r="CM376" s="1889">
        <v>110</v>
      </c>
      <c r="CN376" s="1889">
        <v>0</v>
      </c>
      <c r="CO376" s="1889">
        <v>75</v>
      </c>
      <c r="CP376" s="1641"/>
      <c r="CQ376" s="1640"/>
      <c r="CR376" s="1640"/>
      <c r="CS376" s="1640"/>
    </row>
    <row r="377" spans="1:107" ht="15" thickBot="1" x14ac:dyDescent="0.2">
      <c r="A377" s="1541" t="s">
        <v>87</v>
      </c>
      <c r="B377" s="1523" t="s">
        <v>79</v>
      </c>
      <c r="C377" s="1523" t="s">
        <v>80</v>
      </c>
      <c r="D377" s="1523" t="s">
        <v>125</v>
      </c>
      <c r="E377" s="1523" t="s">
        <v>214</v>
      </c>
      <c r="F377" s="1523"/>
      <c r="G377" s="1667">
        <v>223</v>
      </c>
      <c r="H377" s="1501">
        <v>510.7</v>
      </c>
      <c r="I377" s="1645"/>
      <c r="J377" s="1630"/>
      <c r="K377" s="1630"/>
      <c r="L377" s="1631"/>
      <c r="M377" s="1631"/>
      <c r="N377" s="1631"/>
      <c r="O377" s="1631"/>
      <c r="P377" s="1631"/>
      <c r="Q377" s="1631"/>
      <c r="R377" s="1631"/>
      <c r="S377" s="1631"/>
      <c r="T377" s="1632"/>
      <c r="U377" s="1633"/>
      <c r="V377" s="1633"/>
      <c r="W377" s="1634"/>
      <c r="X377" s="1634"/>
      <c r="Y377" s="1634"/>
      <c r="Z377" s="1635"/>
      <c r="AA377" s="1634"/>
      <c r="AB377" s="1634"/>
      <c r="AC377" s="1508">
        <f t="shared" si="285"/>
        <v>510.70000000000005</v>
      </c>
      <c r="AD377" s="1509">
        <f t="shared" si="286"/>
        <v>0</v>
      </c>
      <c r="AE377" s="1509">
        <f t="shared" si="287"/>
        <v>0</v>
      </c>
      <c r="AF377" s="1509">
        <f t="shared" si="287"/>
        <v>0</v>
      </c>
      <c r="AG377" s="1509">
        <f t="shared" si="287"/>
        <v>0</v>
      </c>
      <c r="AH377" s="1490">
        <f t="shared" si="272"/>
        <v>60.85</v>
      </c>
      <c r="AI377" s="1636">
        <f t="shared" si="288"/>
        <v>0</v>
      </c>
      <c r="AJ377" s="1636">
        <f t="shared" si="289"/>
        <v>0</v>
      </c>
      <c r="AK377" s="1636">
        <f t="shared" si="290"/>
        <v>0</v>
      </c>
      <c r="AL377" s="1636">
        <f t="shared" si="250"/>
        <v>0</v>
      </c>
      <c r="AM377" s="1636">
        <f t="shared" si="250"/>
        <v>0</v>
      </c>
      <c r="AN377" s="1637"/>
      <c r="AO377" s="1722">
        <v>42.6</v>
      </c>
      <c r="AP377" s="1638"/>
      <c r="AQ377" s="1638"/>
      <c r="AR377" s="1638"/>
      <c r="AS377" s="1639">
        <v>42.6</v>
      </c>
      <c r="AT377" s="1638"/>
      <c r="AU377" s="1638"/>
      <c r="AV377" s="1638"/>
      <c r="AW377" s="1639"/>
      <c r="AX377" s="1640"/>
      <c r="AY377" s="1640"/>
      <c r="AZ377" s="1640"/>
      <c r="BA377" s="1641"/>
      <c r="BB377" s="1640"/>
      <c r="BC377" s="1640"/>
      <c r="BD377" s="1640"/>
      <c r="BE377" s="1644">
        <v>92.25</v>
      </c>
      <c r="BF377" s="1640"/>
      <c r="BG377" s="1640"/>
      <c r="BH377" s="1640"/>
      <c r="BI377" s="1641">
        <v>47</v>
      </c>
      <c r="BJ377" s="1640"/>
      <c r="BK377" s="1640"/>
      <c r="BL377" s="1640"/>
      <c r="BM377" s="1641"/>
      <c r="BN377" s="1640"/>
      <c r="BO377" s="1640"/>
      <c r="BP377" s="1640"/>
      <c r="BQ377" s="1641">
        <v>47</v>
      </c>
      <c r="BR377" s="1640"/>
      <c r="BS377" s="1640"/>
      <c r="BT377" s="1640"/>
      <c r="BU377" s="1641">
        <v>111.5</v>
      </c>
      <c r="BV377" s="1640"/>
      <c r="BW377" s="1640"/>
      <c r="BX377" s="1640"/>
      <c r="BY377" s="1641">
        <v>66.900000000000006</v>
      </c>
      <c r="BZ377" s="1640"/>
      <c r="CA377" s="1640"/>
      <c r="CB377" s="1640"/>
      <c r="CC377" s="1641"/>
      <c r="CD377" s="1640"/>
      <c r="CE377" s="1640"/>
      <c r="CF377" s="1640"/>
      <c r="CG377" s="1642"/>
      <c r="CH377" s="1641">
        <f t="shared" si="282"/>
        <v>60.85</v>
      </c>
      <c r="CI377" s="1641">
        <f t="shared" si="282"/>
        <v>0</v>
      </c>
      <c r="CJ377" s="1641">
        <f t="shared" si="282"/>
        <v>0</v>
      </c>
      <c r="CK377" s="1641">
        <f t="shared" si="282"/>
        <v>0</v>
      </c>
      <c r="CL377" s="1889">
        <v>60.85</v>
      </c>
      <c r="CM377" s="1889">
        <v>0</v>
      </c>
      <c r="CN377" s="1889">
        <v>0</v>
      </c>
      <c r="CO377" s="1889">
        <v>0</v>
      </c>
      <c r="CP377" s="1641"/>
      <c r="CQ377" s="1640"/>
      <c r="CR377" s="1640"/>
      <c r="CS377" s="1640"/>
    </row>
    <row r="378" spans="1:107" ht="15" thickBot="1" x14ac:dyDescent="0.2">
      <c r="A378" s="1541" t="s">
        <v>111</v>
      </c>
      <c r="B378" s="1523" t="s">
        <v>79</v>
      </c>
      <c r="C378" s="1523" t="s">
        <v>80</v>
      </c>
      <c r="D378" s="1523" t="s">
        <v>125</v>
      </c>
      <c r="E378" s="1523" t="s">
        <v>214</v>
      </c>
      <c r="F378" s="1523"/>
      <c r="G378" s="1667">
        <v>224</v>
      </c>
      <c r="H378" s="1501">
        <v>0</v>
      </c>
      <c r="I378" s="1645"/>
      <c r="J378" s="1630"/>
      <c r="K378" s="1630"/>
      <c r="L378" s="1631"/>
      <c r="M378" s="1631"/>
      <c r="N378" s="1631"/>
      <c r="O378" s="1631"/>
      <c r="P378" s="1631"/>
      <c r="Q378" s="1631"/>
      <c r="R378" s="1631"/>
      <c r="S378" s="1631"/>
      <c r="T378" s="1632"/>
      <c r="U378" s="1633"/>
      <c r="V378" s="1633"/>
      <c r="W378" s="1630"/>
      <c r="X378" s="1630"/>
      <c r="Y378" s="1630"/>
      <c r="Z378" s="1635"/>
      <c r="AA378" s="1630"/>
      <c r="AB378" s="1630"/>
      <c r="AC378" s="1508">
        <f t="shared" si="285"/>
        <v>0</v>
      </c>
      <c r="AD378" s="1509">
        <f t="shared" si="286"/>
        <v>0</v>
      </c>
      <c r="AE378" s="1509">
        <f t="shared" si="287"/>
        <v>0</v>
      </c>
      <c r="AF378" s="1509">
        <f t="shared" si="287"/>
        <v>0</v>
      </c>
      <c r="AG378" s="1509">
        <f t="shared" si="287"/>
        <v>0</v>
      </c>
      <c r="AH378" s="1490">
        <f t="shared" si="272"/>
        <v>0</v>
      </c>
      <c r="AI378" s="1636">
        <f t="shared" si="288"/>
        <v>0</v>
      </c>
      <c r="AJ378" s="1636">
        <f t="shared" si="289"/>
        <v>0</v>
      </c>
      <c r="AK378" s="1636">
        <f t="shared" si="290"/>
        <v>0</v>
      </c>
      <c r="AL378" s="1636">
        <f t="shared" si="250"/>
        <v>0</v>
      </c>
      <c r="AM378" s="1636">
        <f t="shared" si="250"/>
        <v>0</v>
      </c>
      <c r="AN378" s="1637"/>
      <c r="AO378" s="1722">
        <v>0</v>
      </c>
      <c r="AP378" s="1638"/>
      <c r="AQ378" s="1638"/>
      <c r="AR378" s="1638"/>
      <c r="AS378" s="1639"/>
      <c r="AT378" s="1638"/>
      <c r="AU378" s="1638"/>
      <c r="AV378" s="1638"/>
      <c r="AW378" s="1639"/>
      <c r="AX378" s="1640"/>
      <c r="AY378" s="1640"/>
      <c r="AZ378" s="1640"/>
      <c r="BA378" s="1641"/>
      <c r="BB378" s="1640"/>
      <c r="BC378" s="1640"/>
      <c r="BD378" s="1640"/>
      <c r="BE378" s="1644"/>
      <c r="BF378" s="1640"/>
      <c r="BG378" s="1640"/>
      <c r="BH378" s="1640"/>
      <c r="BI378" s="1641"/>
      <c r="BJ378" s="1640"/>
      <c r="BK378" s="1640"/>
      <c r="BL378" s="1640"/>
      <c r="BM378" s="1641"/>
      <c r="BN378" s="1640"/>
      <c r="BO378" s="1640"/>
      <c r="BP378" s="1640"/>
      <c r="BQ378" s="1641"/>
      <c r="BR378" s="1640"/>
      <c r="BS378" s="1640"/>
      <c r="BT378" s="1640"/>
      <c r="BU378" s="1641"/>
      <c r="BV378" s="1640"/>
      <c r="BW378" s="1640"/>
      <c r="BX378" s="1640"/>
      <c r="BY378" s="1641"/>
      <c r="BZ378" s="1640"/>
      <c r="CA378" s="1640"/>
      <c r="CB378" s="1640"/>
      <c r="CC378" s="1641"/>
      <c r="CD378" s="1640"/>
      <c r="CE378" s="1640"/>
      <c r="CF378" s="1640"/>
      <c r="CG378" s="1642"/>
      <c r="CH378" s="1641">
        <f t="shared" si="282"/>
        <v>0</v>
      </c>
      <c r="CI378" s="1641">
        <f t="shared" si="282"/>
        <v>0</v>
      </c>
      <c r="CJ378" s="1641">
        <f t="shared" si="282"/>
        <v>0</v>
      </c>
      <c r="CK378" s="1641">
        <f t="shared" si="282"/>
        <v>0</v>
      </c>
      <c r="CL378" s="1889">
        <v>0</v>
      </c>
      <c r="CM378" s="1889">
        <v>0</v>
      </c>
      <c r="CN378" s="1889">
        <v>0</v>
      </c>
      <c r="CO378" s="1889">
        <v>0</v>
      </c>
      <c r="CP378" s="1641"/>
      <c r="CQ378" s="1640"/>
      <c r="CR378" s="1640"/>
      <c r="CS378" s="1640"/>
    </row>
    <row r="379" spans="1:107" ht="15" thickBot="1" x14ac:dyDescent="0.2">
      <c r="A379" s="1541" t="s">
        <v>90</v>
      </c>
      <c r="B379" s="1523" t="s">
        <v>79</v>
      </c>
      <c r="C379" s="1523" t="s">
        <v>80</v>
      </c>
      <c r="D379" s="1523" t="s">
        <v>125</v>
      </c>
      <c r="E379" s="1523" t="s">
        <v>214</v>
      </c>
      <c r="F379" s="1523"/>
      <c r="G379" s="1667">
        <v>225</v>
      </c>
      <c r="H379" s="1501">
        <f>1298.7</f>
        <v>1298.7</v>
      </c>
      <c r="I379" s="1645"/>
      <c r="J379" s="1630">
        <f>249.6-V379</f>
        <v>174.6</v>
      </c>
      <c r="K379" s="1630"/>
      <c r="L379" s="1631"/>
      <c r="M379" s="1631"/>
      <c r="N379" s="1631"/>
      <c r="O379" s="1631"/>
      <c r="P379" s="1631"/>
      <c r="Q379" s="1631"/>
      <c r="R379" s="1631"/>
      <c r="S379" s="1631"/>
      <c r="T379" s="1632"/>
      <c r="U379" s="1633"/>
      <c r="V379" s="1633">
        <v>75</v>
      </c>
      <c r="W379" s="1630"/>
      <c r="X379" s="1630"/>
      <c r="Y379" s="1630"/>
      <c r="Z379" s="1635"/>
      <c r="AA379" s="1630"/>
      <c r="AB379" s="1630"/>
      <c r="AC379" s="1508">
        <f t="shared" si="285"/>
        <v>1298.7</v>
      </c>
      <c r="AD379" s="1509">
        <f t="shared" si="286"/>
        <v>174.6</v>
      </c>
      <c r="AE379" s="1509">
        <f t="shared" si="287"/>
        <v>0</v>
      </c>
      <c r="AF379" s="1509">
        <f t="shared" si="287"/>
        <v>174.6</v>
      </c>
      <c r="AG379" s="1509">
        <f t="shared" si="287"/>
        <v>0</v>
      </c>
      <c r="AH379" s="1490">
        <f t="shared" si="272"/>
        <v>28</v>
      </c>
      <c r="AI379" s="1636">
        <f t="shared" si="288"/>
        <v>0</v>
      </c>
      <c r="AJ379" s="1636">
        <f t="shared" si="289"/>
        <v>0</v>
      </c>
      <c r="AK379" s="1636">
        <f t="shared" si="290"/>
        <v>0</v>
      </c>
      <c r="AL379" s="1636">
        <f t="shared" si="250"/>
        <v>0</v>
      </c>
      <c r="AM379" s="1636">
        <f t="shared" si="250"/>
        <v>0</v>
      </c>
      <c r="AN379" s="1637"/>
      <c r="AO379" s="1723"/>
      <c r="AP379" s="1638"/>
      <c r="AQ379" s="1638"/>
      <c r="AR379" s="1638"/>
      <c r="AS379" s="1639"/>
      <c r="AT379" s="1638"/>
      <c r="AU379" s="1638"/>
      <c r="AV379" s="1638"/>
      <c r="AW379" s="1639"/>
      <c r="AX379" s="1640"/>
      <c r="AY379" s="1640"/>
      <c r="AZ379" s="1640"/>
      <c r="BA379" s="1641"/>
      <c r="BB379" s="1640"/>
      <c r="BC379" s="1640"/>
      <c r="BD379" s="1640"/>
      <c r="BE379" s="1644"/>
      <c r="BF379" s="1640"/>
      <c r="BG379" s="1640"/>
      <c r="BH379" s="1640"/>
      <c r="BI379" s="1641"/>
      <c r="BJ379" s="1640"/>
      <c r="BK379" s="1640"/>
      <c r="BL379" s="1640"/>
      <c r="BM379" s="1641"/>
      <c r="BN379" s="1640"/>
      <c r="BO379" s="1640"/>
      <c r="BP379" s="1640"/>
      <c r="BQ379" s="1641">
        <v>70.7</v>
      </c>
      <c r="BR379" s="1640"/>
      <c r="BS379" s="1640"/>
      <c r="BT379" s="1640"/>
      <c r="BU379" s="1641"/>
      <c r="BV379" s="1640"/>
      <c r="BW379" s="1640"/>
      <c r="BX379" s="1640"/>
      <c r="BY379" s="1641"/>
      <c r="BZ379" s="1640"/>
      <c r="CA379" s="1640"/>
      <c r="CB379" s="1640"/>
      <c r="CC379" s="1641"/>
      <c r="CD379" s="1640"/>
      <c r="CE379" s="1640"/>
      <c r="CF379" s="1640"/>
      <c r="CG379" s="1642"/>
      <c r="CH379" s="1641">
        <f t="shared" si="282"/>
        <v>1228</v>
      </c>
      <c r="CI379" s="1641">
        <f t="shared" si="282"/>
        <v>0</v>
      </c>
      <c r="CJ379" s="1641">
        <f t="shared" si="282"/>
        <v>174.6</v>
      </c>
      <c r="CK379" s="1641">
        <f t="shared" si="282"/>
        <v>0</v>
      </c>
      <c r="CL379" s="1889">
        <v>28</v>
      </c>
      <c r="CM379" s="1889">
        <v>0</v>
      </c>
      <c r="CN379" s="1889">
        <v>174.6</v>
      </c>
      <c r="CO379" s="1889">
        <v>0</v>
      </c>
      <c r="CP379" s="1641">
        <v>1200</v>
      </c>
      <c r="CQ379" s="1640"/>
      <c r="CR379" s="1640"/>
      <c r="CS379" s="1640"/>
    </row>
    <row r="380" spans="1:107" ht="15" thickBot="1" x14ac:dyDescent="0.2">
      <c r="A380" s="1541" t="s">
        <v>91</v>
      </c>
      <c r="B380" s="1523" t="s">
        <v>79</v>
      </c>
      <c r="C380" s="1523" t="s">
        <v>80</v>
      </c>
      <c r="D380" s="1523" t="s">
        <v>125</v>
      </c>
      <c r="E380" s="1523" t="s">
        <v>214</v>
      </c>
      <c r="F380" s="1523"/>
      <c r="G380" s="1667">
        <v>226</v>
      </c>
      <c r="H380" s="1501">
        <f>425.2+250+200</f>
        <v>875.2</v>
      </c>
      <c r="I380" s="1645">
        <f>690-300</f>
        <v>390</v>
      </c>
      <c r="J380" s="1630">
        <f>7568.5-V380</f>
        <v>5885.73</v>
      </c>
      <c r="K380" s="1630">
        <f>2185-U380-299.9</f>
        <v>1685.1</v>
      </c>
      <c r="L380" s="1631"/>
      <c r="M380" s="1631"/>
      <c r="N380" s="1631">
        <v>300</v>
      </c>
      <c r="O380" s="1631"/>
      <c r="P380" s="1631"/>
      <c r="Q380" s="1631"/>
      <c r="R380" s="1631"/>
      <c r="S380" s="1631">
        <v>800</v>
      </c>
      <c r="T380" s="1632"/>
      <c r="U380" s="1633">
        <v>200</v>
      </c>
      <c r="V380" s="1633">
        <v>1682.77</v>
      </c>
      <c r="W380" s="1630"/>
      <c r="X380" s="1630"/>
      <c r="Y380" s="1630"/>
      <c r="Z380" s="1635"/>
      <c r="AA380" s="1630"/>
      <c r="AB380" s="1630"/>
      <c r="AC380" s="1508">
        <f t="shared" si="285"/>
        <v>875.19999999999993</v>
      </c>
      <c r="AD380" s="1509">
        <f t="shared" si="286"/>
        <v>7960.83</v>
      </c>
      <c r="AE380" s="1509">
        <f t="shared" si="287"/>
        <v>390</v>
      </c>
      <c r="AF380" s="1509">
        <f t="shared" si="287"/>
        <v>5885.73</v>
      </c>
      <c r="AG380" s="1509">
        <f t="shared" si="287"/>
        <v>1685.1</v>
      </c>
      <c r="AH380" s="1490">
        <f t="shared" si="272"/>
        <v>64.55</v>
      </c>
      <c r="AI380" s="1636">
        <f t="shared" si="288"/>
        <v>0</v>
      </c>
      <c r="AJ380" s="1636">
        <f t="shared" si="289"/>
        <v>0</v>
      </c>
      <c r="AK380" s="1636">
        <f t="shared" si="290"/>
        <v>0</v>
      </c>
      <c r="AL380" s="1636">
        <f t="shared" si="250"/>
        <v>0</v>
      </c>
      <c r="AM380" s="1636">
        <f t="shared" si="250"/>
        <v>0</v>
      </c>
      <c r="AN380" s="1637"/>
      <c r="AO380" s="1723"/>
      <c r="AP380" s="1638"/>
      <c r="AQ380" s="1638"/>
      <c r="AR380" s="1638"/>
      <c r="AS380" s="1639"/>
      <c r="AT380" s="1638"/>
      <c r="AU380" s="1638"/>
      <c r="AV380" s="1638"/>
      <c r="AW380" s="1639"/>
      <c r="AX380" s="1640"/>
      <c r="AY380" s="1640"/>
      <c r="AZ380" s="1640"/>
      <c r="BA380" s="1641"/>
      <c r="BB380" s="1640"/>
      <c r="BC380" s="1640"/>
      <c r="BD380" s="1640"/>
      <c r="BE380" s="1644">
        <v>250</v>
      </c>
      <c r="BF380" s="1640">
        <f>700-175-135</f>
        <v>390</v>
      </c>
      <c r="BG380" s="1640"/>
      <c r="BH380" s="1640"/>
      <c r="BI380" s="1641"/>
      <c r="BJ380" s="1640"/>
      <c r="BK380" s="1640"/>
      <c r="BL380" s="1640"/>
      <c r="BM380" s="1641"/>
      <c r="BN380" s="1640"/>
      <c r="BO380" s="1640"/>
      <c r="BP380" s="1640"/>
      <c r="BQ380" s="1641">
        <f>35.05+525.6</f>
        <v>560.65</v>
      </c>
      <c r="BR380" s="1640"/>
      <c r="BS380" s="1640"/>
      <c r="BT380" s="1640"/>
      <c r="BU380" s="1641"/>
      <c r="BV380" s="1640"/>
      <c r="BW380" s="1640">
        <v>3879.7</v>
      </c>
      <c r="BX380" s="1640">
        <v>600</v>
      </c>
      <c r="BY380" s="1641"/>
      <c r="BZ380" s="1640"/>
      <c r="CA380" s="1640"/>
      <c r="CB380" s="1640"/>
      <c r="CC380" s="1641"/>
      <c r="CD380" s="1640"/>
      <c r="CE380" s="1640"/>
      <c r="CF380" s="1640"/>
      <c r="CG380" s="1642"/>
      <c r="CH380" s="1641">
        <f t="shared" si="282"/>
        <v>64.55</v>
      </c>
      <c r="CI380" s="1641">
        <f t="shared" si="282"/>
        <v>0</v>
      </c>
      <c r="CJ380" s="1641">
        <f t="shared" si="282"/>
        <v>2006.03</v>
      </c>
      <c r="CK380" s="1641">
        <f t="shared" si="282"/>
        <v>1085.0999999999999</v>
      </c>
      <c r="CL380" s="1889">
        <v>64.55</v>
      </c>
      <c r="CM380" s="1889">
        <v>0</v>
      </c>
      <c r="CN380" s="1890">
        <v>2006.03</v>
      </c>
      <c r="CO380" s="1890">
        <v>1085.0999999999999</v>
      </c>
      <c r="CP380" s="1641"/>
      <c r="CQ380" s="1640"/>
      <c r="CR380" s="1640"/>
      <c r="CS380" s="1640"/>
    </row>
    <row r="381" spans="1:107" ht="15" thickBot="1" x14ac:dyDescent="0.2">
      <c r="A381" s="1541" t="s">
        <v>94</v>
      </c>
      <c r="B381" s="1523" t="s">
        <v>79</v>
      </c>
      <c r="C381" s="1523" t="s">
        <v>80</v>
      </c>
      <c r="D381" s="1523" t="s">
        <v>125</v>
      </c>
      <c r="E381" s="1523" t="s">
        <v>214</v>
      </c>
      <c r="F381" s="1523"/>
      <c r="G381" s="1667">
        <v>290</v>
      </c>
      <c r="H381" s="1501">
        <v>164.1</v>
      </c>
      <c r="I381" s="1645"/>
      <c r="J381" s="1630"/>
      <c r="K381" s="1630"/>
      <c r="L381" s="1631"/>
      <c r="M381" s="1631"/>
      <c r="N381" s="1631"/>
      <c r="O381" s="1631"/>
      <c r="P381" s="1631"/>
      <c r="Q381" s="1631"/>
      <c r="R381" s="1631"/>
      <c r="S381" s="1631"/>
      <c r="T381" s="1632"/>
      <c r="U381" s="1633"/>
      <c r="V381" s="1633"/>
      <c r="W381" s="1634"/>
      <c r="X381" s="1634"/>
      <c r="Y381" s="1634"/>
      <c r="Z381" s="1635"/>
      <c r="AA381" s="1634"/>
      <c r="AB381" s="1634"/>
      <c r="AC381" s="1508">
        <f t="shared" si="285"/>
        <v>164.1</v>
      </c>
      <c r="AD381" s="1509">
        <f>AE381+AF381+AG381</f>
        <v>0</v>
      </c>
      <c r="AE381" s="1509">
        <f t="shared" si="287"/>
        <v>0</v>
      </c>
      <c r="AF381" s="1509">
        <f t="shared" si="287"/>
        <v>0</v>
      </c>
      <c r="AG381" s="1509">
        <f t="shared" si="287"/>
        <v>0</v>
      </c>
      <c r="AH381" s="1490">
        <f t="shared" si="272"/>
        <v>40.1</v>
      </c>
      <c r="AI381" s="1636">
        <f t="shared" si="288"/>
        <v>0</v>
      </c>
      <c r="AJ381" s="1636">
        <f t="shared" si="289"/>
        <v>0</v>
      </c>
      <c r="AK381" s="1636">
        <f t="shared" si="290"/>
        <v>0</v>
      </c>
      <c r="AL381" s="1636">
        <f t="shared" si="250"/>
        <v>0</v>
      </c>
      <c r="AM381" s="1636">
        <f t="shared" si="250"/>
        <v>0</v>
      </c>
      <c r="AN381" s="1637"/>
      <c r="AO381" s="1722">
        <v>13.7</v>
      </c>
      <c r="AP381" s="1638"/>
      <c r="AQ381" s="1638"/>
      <c r="AR381" s="1638"/>
      <c r="AS381" s="1639"/>
      <c r="AT381" s="1638"/>
      <c r="AU381" s="1638"/>
      <c r="AV381" s="1638"/>
      <c r="AW381" s="1639"/>
      <c r="AX381" s="1640"/>
      <c r="AY381" s="1640"/>
      <c r="AZ381" s="1640"/>
      <c r="BA381" s="1641"/>
      <c r="BB381" s="1640"/>
      <c r="BC381" s="1640"/>
      <c r="BD381" s="1640"/>
      <c r="BE381" s="1644">
        <v>43.3</v>
      </c>
      <c r="BF381" s="1640"/>
      <c r="BG381" s="1640"/>
      <c r="BH381" s="1640"/>
      <c r="BI381" s="1641"/>
      <c r="BJ381" s="1640"/>
      <c r="BK381" s="1640"/>
      <c r="BL381" s="1640"/>
      <c r="BM381" s="1641"/>
      <c r="BN381" s="1640"/>
      <c r="BO381" s="1640"/>
      <c r="BP381" s="1640"/>
      <c r="BQ381" s="1641"/>
      <c r="BR381" s="1640"/>
      <c r="BS381" s="1640"/>
      <c r="BT381" s="1640"/>
      <c r="BU381" s="1641">
        <v>67</v>
      </c>
      <c r="BV381" s="1640"/>
      <c r="BW381" s="1640"/>
      <c r="BX381" s="1640"/>
      <c r="BY381" s="1641"/>
      <c r="BZ381" s="1640"/>
      <c r="CA381" s="1640"/>
      <c r="CB381" s="1640"/>
      <c r="CC381" s="1641"/>
      <c r="CD381" s="1640"/>
      <c r="CE381" s="1640"/>
      <c r="CF381" s="1640"/>
      <c r="CG381" s="1642"/>
      <c r="CH381" s="1641">
        <f t="shared" si="282"/>
        <v>40.1</v>
      </c>
      <c r="CI381" s="1641">
        <f t="shared" si="282"/>
        <v>0</v>
      </c>
      <c r="CJ381" s="1641">
        <f t="shared" si="282"/>
        <v>0</v>
      </c>
      <c r="CK381" s="1641">
        <f t="shared" si="282"/>
        <v>0</v>
      </c>
      <c r="CL381" s="1889">
        <v>40.1</v>
      </c>
      <c r="CM381" s="1889">
        <v>0</v>
      </c>
      <c r="CN381" s="1889">
        <v>0</v>
      </c>
      <c r="CO381" s="1889">
        <v>0</v>
      </c>
      <c r="CP381" s="1641"/>
      <c r="CQ381" s="1640"/>
      <c r="CR381" s="1640"/>
      <c r="CS381" s="1640"/>
    </row>
    <row r="382" spans="1:107" ht="15" thickBot="1" x14ac:dyDescent="0.2">
      <c r="A382" s="1541" t="s">
        <v>94</v>
      </c>
      <c r="B382" s="1523" t="s">
        <v>79</v>
      </c>
      <c r="C382" s="1523" t="s">
        <v>80</v>
      </c>
      <c r="D382" s="1523" t="s">
        <v>125</v>
      </c>
      <c r="E382" s="1523" t="s">
        <v>214</v>
      </c>
      <c r="F382" s="1523"/>
      <c r="G382" s="1667" t="s">
        <v>95</v>
      </c>
      <c r="H382" s="1501">
        <v>0</v>
      </c>
      <c r="I382" s="1645"/>
      <c r="J382" s="1630"/>
      <c r="K382" s="1630"/>
      <c r="L382" s="1631"/>
      <c r="M382" s="1631"/>
      <c r="N382" s="1631"/>
      <c r="O382" s="1631"/>
      <c r="P382" s="1631"/>
      <c r="Q382" s="1631"/>
      <c r="R382" s="1631"/>
      <c r="S382" s="1631"/>
      <c r="T382" s="1632"/>
      <c r="U382" s="1633"/>
      <c r="V382" s="1633"/>
      <c r="W382" s="1630"/>
      <c r="X382" s="1630"/>
      <c r="Y382" s="1630"/>
      <c r="Z382" s="1635"/>
      <c r="AA382" s="1630"/>
      <c r="AB382" s="1630"/>
      <c r="AC382" s="1508">
        <f t="shared" si="285"/>
        <v>0</v>
      </c>
      <c r="AD382" s="1509">
        <f t="shared" si="286"/>
        <v>0</v>
      </c>
      <c r="AE382" s="1509">
        <f t="shared" si="287"/>
        <v>0</v>
      </c>
      <c r="AF382" s="1509">
        <f t="shared" si="287"/>
        <v>0</v>
      </c>
      <c r="AG382" s="1509">
        <f t="shared" si="287"/>
        <v>0</v>
      </c>
      <c r="AH382" s="1490">
        <f t="shared" si="272"/>
        <v>0</v>
      </c>
      <c r="AI382" s="1636">
        <f t="shared" si="288"/>
        <v>0</v>
      </c>
      <c r="AJ382" s="1636">
        <f t="shared" si="289"/>
        <v>0</v>
      </c>
      <c r="AK382" s="1636">
        <f t="shared" si="290"/>
        <v>0</v>
      </c>
      <c r="AL382" s="1636">
        <f t="shared" si="250"/>
        <v>0</v>
      </c>
      <c r="AM382" s="1636">
        <f t="shared" si="250"/>
        <v>0</v>
      </c>
      <c r="AN382" s="1637"/>
      <c r="AO382" s="1722">
        <v>0</v>
      </c>
      <c r="AP382" s="1638"/>
      <c r="AQ382" s="1638"/>
      <c r="AR382" s="1638"/>
      <c r="AS382" s="1639"/>
      <c r="AT382" s="1638"/>
      <c r="AU382" s="1638"/>
      <c r="AV382" s="1638"/>
      <c r="AW382" s="1639"/>
      <c r="AX382" s="1640"/>
      <c r="AY382" s="1640"/>
      <c r="AZ382" s="1640"/>
      <c r="BA382" s="1641"/>
      <c r="BB382" s="1640"/>
      <c r="BC382" s="1640"/>
      <c r="BD382" s="1640"/>
      <c r="BE382" s="1644"/>
      <c r="BF382" s="1640"/>
      <c r="BG382" s="1640"/>
      <c r="BH382" s="1640"/>
      <c r="BI382" s="1641"/>
      <c r="BJ382" s="1640"/>
      <c r="BK382" s="1640"/>
      <c r="BL382" s="1640"/>
      <c r="BM382" s="1641"/>
      <c r="BN382" s="1640"/>
      <c r="BO382" s="1640"/>
      <c r="BP382" s="1640"/>
      <c r="BQ382" s="1641"/>
      <c r="BR382" s="1640"/>
      <c r="BS382" s="1640"/>
      <c r="BT382" s="1640"/>
      <c r="BU382" s="1641"/>
      <c r="BV382" s="1640"/>
      <c r="BW382" s="1640"/>
      <c r="BX382" s="1640"/>
      <c r="BY382" s="1641"/>
      <c r="BZ382" s="1640"/>
      <c r="CA382" s="1640"/>
      <c r="CB382" s="1640"/>
      <c r="CC382" s="1641"/>
      <c r="CD382" s="1640"/>
      <c r="CE382" s="1640"/>
      <c r="CF382" s="1640"/>
      <c r="CG382" s="1642"/>
      <c r="CH382" s="1641">
        <f t="shared" si="282"/>
        <v>0</v>
      </c>
      <c r="CI382" s="1641">
        <f t="shared" si="282"/>
        <v>0</v>
      </c>
      <c r="CJ382" s="1641">
        <f t="shared" si="282"/>
        <v>0</v>
      </c>
      <c r="CK382" s="1641">
        <f t="shared" si="282"/>
        <v>0</v>
      </c>
      <c r="CL382" s="1889">
        <v>0</v>
      </c>
      <c r="CM382" s="1889">
        <v>0</v>
      </c>
      <c r="CN382" s="1889">
        <v>0</v>
      </c>
      <c r="CO382" s="1889">
        <v>0</v>
      </c>
      <c r="CP382" s="1641"/>
      <c r="CQ382" s="1640"/>
      <c r="CR382" s="1640"/>
      <c r="CS382" s="1640"/>
    </row>
    <row r="383" spans="1:107" ht="15" thickBot="1" x14ac:dyDescent="0.2">
      <c r="A383" s="1541" t="s">
        <v>96</v>
      </c>
      <c r="B383" s="1523" t="s">
        <v>79</v>
      </c>
      <c r="C383" s="1523" t="s">
        <v>80</v>
      </c>
      <c r="D383" s="1523" t="s">
        <v>125</v>
      </c>
      <c r="E383" s="1523" t="s">
        <v>214</v>
      </c>
      <c r="F383" s="1523"/>
      <c r="G383" s="1667">
        <v>310</v>
      </c>
      <c r="H383" s="1501">
        <v>0</v>
      </c>
      <c r="I383" s="1645">
        <v>1000</v>
      </c>
      <c r="J383" s="1630"/>
      <c r="K383" s="1630"/>
      <c r="L383" s="1631"/>
      <c r="M383" s="1631"/>
      <c r="N383" s="1631"/>
      <c r="O383" s="1631"/>
      <c r="P383" s="1631"/>
      <c r="Q383" s="1631"/>
      <c r="R383" s="1631"/>
      <c r="S383" s="1631"/>
      <c r="T383" s="1632"/>
      <c r="U383" s="1633"/>
      <c r="V383" s="1633"/>
      <c r="W383" s="1630"/>
      <c r="X383" s="1630"/>
      <c r="Y383" s="1630"/>
      <c r="Z383" s="1635"/>
      <c r="AA383" s="1630"/>
      <c r="AB383" s="1630"/>
      <c r="AC383" s="1508">
        <f t="shared" si="285"/>
        <v>0</v>
      </c>
      <c r="AD383" s="1509">
        <f t="shared" si="286"/>
        <v>1000</v>
      </c>
      <c r="AE383" s="1509">
        <f t="shared" si="287"/>
        <v>1000</v>
      </c>
      <c r="AF383" s="1509">
        <f t="shared" si="287"/>
        <v>0</v>
      </c>
      <c r="AG383" s="1509">
        <f t="shared" si="287"/>
        <v>0</v>
      </c>
      <c r="AH383" s="1490">
        <f t="shared" si="272"/>
        <v>0</v>
      </c>
      <c r="AI383" s="1636">
        <f t="shared" si="288"/>
        <v>0</v>
      </c>
      <c r="AJ383" s="1636">
        <f t="shared" si="289"/>
        <v>0</v>
      </c>
      <c r="AK383" s="1636">
        <f t="shared" si="290"/>
        <v>0</v>
      </c>
      <c r="AL383" s="1636">
        <f t="shared" si="250"/>
        <v>0</v>
      </c>
      <c r="AM383" s="1636">
        <f t="shared" si="250"/>
        <v>0</v>
      </c>
      <c r="AN383" s="1637"/>
      <c r="AO383" s="1723"/>
      <c r="AP383" s="1638">
        <f>30+0.58</f>
        <v>30.58</v>
      </c>
      <c r="AQ383" s="1638"/>
      <c r="AR383" s="1638"/>
      <c r="AS383" s="1639"/>
      <c r="AT383" s="1638"/>
      <c r="AU383" s="1638"/>
      <c r="AV383" s="1638"/>
      <c r="AW383" s="1639"/>
      <c r="AX383" s="1640"/>
      <c r="AY383" s="1640"/>
      <c r="AZ383" s="1640"/>
      <c r="BA383" s="1641"/>
      <c r="BB383" s="1640"/>
      <c r="BC383" s="1640"/>
      <c r="BD383" s="1640"/>
      <c r="BE383" s="1644"/>
      <c r="BF383" s="1640">
        <f>11.67+175+135</f>
        <v>321.66999999999996</v>
      </c>
      <c r="BG383" s="1640"/>
      <c r="BH383" s="1640"/>
      <c r="BI383" s="1641"/>
      <c r="BJ383" s="1640"/>
      <c r="BK383" s="1640"/>
      <c r="BL383" s="1640"/>
      <c r="BM383" s="1641"/>
      <c r="BN383" s="1640"/>
      <c r="BO383" s="1640"/>
      <c r="BP383" s="1640"/>
      <c r="BQ383" s="1641"/>
      <c r="BR383" s="1640"/>
      <c r="BS383" s="1640"/>
      <c r="BT383" s="1640"/>
      <c r="BU383" s="1641"/>
      <c r="BV383" s="1640"/>
      <c r="BW383" s="1640"/>
      <c r="BX383" s="1640"/>
      <c r="BY383" s="1641"/>
      <c r="BZ383" s="1640"/>
      <c r="CA383" s="1640"/>
      <c r="CB383" s="1640"/>
      <c r="CC383" s="1641"/>
      <c r="CD383" s="1640"/>
      <c r="CE383" s="1640"/>
      <c r="CF383" s="1640"/>
      <c r="CG383" s="1642"/>
      <c r="CH383" s="1641">
        <f t="shared" si="282"/>
        <v>0</v>
      </c>
      <c r="CI383" s="1641">
        <f t="shared" si="282"/>
        <v>647.75</v>
      </c>
      <c r="CJ383" s="1641">
        <f t="shared" si="282"/>
        <v>0</v>
      </c>
      <c r="CK383" s="1641">
        <f t="shared" si="282"/>
        <v>0</v>
      </c>
      <c r="CL383" s="1889">
        <v>0</v>
      </c>
      <c r="CM383" s="1889">
        <v>647.75</v>
      </c>
      <c r="CN383" s="1889">
        <v>0</v>
      </c>
      <c r="CO383" s="1889">
        <v>0</v>
      </c>
      <c r="CP383" s="1641"/>
      <c r="CQ383" s="1640"/>
      <c r="CR383" s="1640"/>
      <c r="CS383" s="1640"/>
    </row>
    <row r="384" spans="1:107" ht="15" thickBot="1" x14ac:dyDescent="0.2">
      <c r="A384" s="1541" t="s">
        <v>97</v>
      </c>
      <c r="B384" s="1523" t="s">
        <v>79</v>
      </c>
      <c r="C384" s="1523" t="s">
        <v>80</v>
      </c>
      <c r="D384" s="1523" t="s">
        <v>125</v>
      </c>
      <c r="E384" s="1523" t="s">
        <v>214</v>
      </c>
      <c r="F384" s="1523"/>
      <c r="G384" s="1667">
        <v>340</v>
      </c>
      <c r="H384" s="1501">
        <v>25</v>
      </c>
      <c r="I384" s="1645">
        <v>200</v>
      </c>
      <c r="J384" s="1630"/>
      <c r="K384" s="1630">
        <f>40-U384</f>
        <v>40</v>
      </c>
      <c r="L384" s="1631"/>
      <c r="M384" s="1631"/>
      <c r="N384" s="1631"/>
      <c r="O384" s="1631"/>
      <c r="P384" s="1631"/>
      <c r="Q384" s="1631"/>
      <c r="R384" s="1631"/>
      <c r="S384" s="1631"/>
      <c r="T384" s="1632"/>
      <c r="U384" s="1633"/>
      <c r="V384" s="1633"/>
      <c r="W384" s="1630"/>
      <c r="X384" s="1630"/>
      <c r="Y384" s="1630"/>
      <c r="Z384" s="1635"/>
      <c r="AA384" s="1630"/>
      <c r="AB384" s="1630"/>
      <c r="AC384" s="1508">
        <f t="shared" si="285"/>
        <v>25</v>
      </c>
      <c r="AD384" s="1509">
        <f t="shared" si="286"/>
        <v>240</v>
      </c>
      <c r="AE384" s="1509">
        <f t="shared" si="287"/>
        <v>200</v>
      </c>
      <c r="AF384" s="1509">
        <f t="shared" si="287"/>
        <v>0</v>
      </c>
      <c r="AG384" s="1509">
        <f t="shared" si="287"/>
        <v>40</v>
      </c>
      <c r="AH384" s="1490">
        <f t="shared" si="272"/>
        <v>19.899999999999999</v>
      </c>
      <c r="AI384" s="1636">
        <f t="shared" si="288"/>
        <v>0</v>
      </c>
      <c r="AJ384" s="1636">
        <f t="shared" si="289"/>
        <v>0</v>
      </c>
      <c r="AK384" s="1636">
        <f t="shared" si="290"/>
        <v>0</v>
      </c>
      <c r="AL384" s="1636">
        <f t="shared" si="250"/>
        <v>0</v>
      </c>
      <c r="AM384" s="1636">
        <f t="shared" si="250"/>
        <v>0</v>
      </c>
      <c r="AN384" s="1637"/>
      <c r="AO384" s="1722">
        <v>5.0999999999999996</v>
      </c>
      <c r="AP384" s="1638"/>
      <c r="AQ384" s="1638"/>
      <c r="AR384" s="1638"/>
      <c r="AS384" s="1639"/>
      <c r="AT384" s="1638"/>
      <c r="AU384" s="1638"/>
      <c r="AV384" s="1638"/>
      <c r="AW384" s="1639"/>
      <c r="AX384" s="1640"/>
      <c r="AY384" s="1640"/>
      <c r="AZ384" s="1640"/>
      <c r="BA384" s="1641"/>
      <c r="BB384" s="1640"/>
      <c r="BC384" s="1640"/>
      <c r="BD384" s="1640"/>
      <c r="BE384" s="1644"/>
      <c r="BF384" s="1640"/>
      <c r="BG384" s="1640"/>
      <c r="BH384" s="1640"/>
      <c r="BI384" s="1641"/>
      <c r="BJ384" s="1640"/>
      <c r="BK384" s="1640"/>
      <c r="BL384" s="1640"/>
      <c r="BM384" s="1641"/>
      <c r="BN384" s="1640"/>
      <c r="BO384" s="1640"/>
      <c r="BP384" s="1640"/>
      <c r="BQ384" s="1641"/>
      <c r="BR384" s="1640"/>
      <c r="BS384" s="1640"/>
      <c r="BT384" s="1640"/>
      <c r="BU384" s="1641"/>
      <c r="BV384" s="1640"/>
      <c r="BW384" s="1640"/>
      <c r="BX384" s="1640"/>
      <c r="BY384" s="1641"/>
      <c r="BZ384" s="1640"/>
      <c r="CA384" s="1640"/>
      <c r="CB384" s="1640"/>
      <c r="CC384" s="1641"/>
      <c r="CD384" s="1640"/>
      <c r="CE384" s="1640"/>
      <c r="CF384" s="1640"/>
      <c r="CG384" s="1642"/>
      <c r="CH384" s="1641">
        <f t="shared" si="282"/>
        <v>19.899999999999999</v>
      </c>
      <c r="CI384" s="1641">
        <f t="shared" si="282"/>
        <v>200</v>
      </c>
      <c r="CJ384" s="1641">
        <f t="shared" si="282"/>
        <v>0</v>
      </c>
      <c r="CK384" s="1641">
        <f t="shared" si="282"/>
        <v>40</v>
      </c>
      <c r="CL384" s="1889">
        <v>19.899999999999999</v>
      </c>
      <c r="CM384" s="1889">
        <v>200</v>
      </c>
      <c r="CN384" s="1889">
        <v>0</v>
      </c>
      <c r="CO384" s="1889">
        <v>40</v>
      </c>
      <c r="CP384" s="1641"/>
      <c r="CQ384" s="1640"/>
      <c r="CR384" s="1640"/>
      <c r="CS384" s="1640"/>
    </row>
    <row r="385" spans="1:107" ht="15" thickBot="1" x14ac:dyDescent="0.2">
      <c r="A385" s="1528" t="s">
        <v>767</v>
      </c>
      <c r="B385" s="1530" t="s">
        <v>79</v>
      </c>
      <c r="C385" s="1530" t="s">
        <v>80</v>
      </c>
      <c r="D385" s="1530" t="s">
        <v>125</v>
      </c>
      <c r="E385" s="1530" t="s">
        <v>214</v>
      </c>
      <c r="F385" s="1530" t="s">
        <v>768</v>
      </c>
      <c r="G385" s="1600" t="s">
        <v>766</v>
      </c>
      <c r="H385" s="1647">
        <f>I371</f>
        <v>1700</v>
      </c>
      <c r="I385" s="1645"/>
      <c r="J385" s="1630"/>
      <c r="K385" s="1630"/>
      <c r="L385" s="1631"/>
      <c r="M385" s="1631"/>
      <c r="N385" s="1631"/>
      <c r="O385" s="1631"/>
      <c r="P385" s="1631"/>
      <c r="Q385" s="1631"/>
      <c r="R385" s="1631"/>
      <c r="S385" s="1631"/>
      <c r="T385" s="1632"/>
      <c r="U385" s="1633"/>
      <c r="V385" s="1633"/>
      <c r="W385" s="1634"/>
      <c r="X385" s="1634"/>
      <c r="Y385" s="1634"/>
      <c r="Z385" s="1635"/>
      <c r="AA385" s="1634"/>
      <c r="AB385" s="1634"/>
      <c r="AC385" s="1508">
        <f t="shared" si="285"/>
        <v>0</v>
      </c>
      <c r="AD385" s="1509">
        <f t="shared" si="286"/>
        <v>0</v>
      </c>
      <c r="AE385" s="1509">
        <f>AP385+AT385+AX385+BB385+BF385+BJ385+BN385+BR385+BV385+BZ385+CD385+CI385</f>
        <v>0</v>
      </c>
      <c r="AF385" s="1509"/>
      <c r="AG385" s="1509"/>
      <c r="AH385" s="1490">
        <f t="shared" si="272"/>
        <v>0</v>
      </c>
      <c r="AI385" s="1636"/>
      <c r="AJ385" s="1636"/>
      <c r="AK385" s="1636"/>
      <c r="AL385" s="1636">
        <f t="shared" si="250"/>
        <v>0</v>
      </c>
      <c r="AM385" s="1636"/>
      <c r="AN385" s="1712"/>
      <c r="AO385" s="1713"/>
      <c r="AP385" s="1638"/>
      <c r="AQ385" s="1638"/>
      <c r="AR385" s="1638"/>
      <c r="AS385" s="1639"/>
      <c r="AT385" s="1638"/>
      <c r="AU385" s="1638"/>
      <c r="AV385" s="1638"/>
      <c r="AW385" s="1639"/>
      <c r="AX385" s="1640"/>
      <c r="AY385" s="1640"/>
      <c r="AZ385" s="1640"/>
      <c r="BA385" s="1641"/>
      <c r="BB385" s="1640"/>
      <c r="BC385" s="1640"/>
      <c r="BD385" s="1640"/>
      <c r="BE385" s="1644"/>
      <c r="BF385" s="1640"/>
      <c r="BG385" s="1640"/>
      <c r="BH385" s="1640"/>
      <c r="BI385" s="1641"/>
      <c r="BJ385" s="1640"/>
      <c r="BK385" s="1640"/>
      <c r="BL385" s="1640"/>
      <c r="BM385" s="1641"/>
      <c r="BN385" s="1640"/>
      <c r="BO385" s="1640"/>
      <c r="BP385" s="1640"/>
      <c r="BQ385" s="1641"/>
      <c r="BR385" s="1640"/>
      <c r="BS385" s="1640"/>
      <c r="BT385" s="1640"/>
      <c r="BU385" s="1641"/>
      <c r="BV385" s="1640"/>
      <c r="BW385" s="1640"/>
      <c r="BX385" s="1640"/>
      <c r="BY385" s="1641"/>
      <c r="BZ385" s="1640"/>
      <c r="CA385" s="1640"/>
      <c r="CB385" s="1640"/>
      <c r="CC385" s="1641"/>
      <c r="CD385" s="1640"/>
      <c r="CE385" s="1640"/>
      <c r="CF385" s="1640"/>
      <c r="CG385" s="1642"/>
      <c r="CH385" s="1641">
        <f t="shared" si="282"/>
        <v>0</v>
      </c>
      <c r="CI385" s="1641">
        <f t="shared" si="282"/>
        <v>0</v>
      </c>
      <c r="CJ385" s="1641">
        <f t="shared" si="282"/>
        <v>0</v>
      </c>
      <c r="CK385" s="1641">
        <f t="shared" si="282"/>
        <v>0</v>
      </c>
      <c r="CL385" s="1898"/>
      <c r="CM385" s="1898"/>
      <c r="CN385" s="1889">
        <v>0</v>
      </c>
      <c r="CO385" s="1898"/>
      <c r="CP385" s="1641"/>
      <c r="CQ385" s="1640"/>
      <c r="CR385" s="1640"/>
      <c r="CS385" s="1640"/>
    </row>
    <row r="386" spans="1:107" s="1886" customFormat="1" ht="40" thickBot="1" x14ac:dyDescent="0.2">
      <c r="A386" s="1873" t="s">
        <v>1268</v>
      </c>
      <c r="B386" s="1781" t="s">
        <v>79</v>
      </c>
      <c r="C386" s="1781" t="s">
        <v>80</v>
      </c>
      <c r="D386" s="1781" t="s">
        <v>125</v>
      </c>
      <c r="E386" s="1780" t="s">
        <v>214</v>
      </c>
      <c r="F386" s="1780">
        <v>600</v>
      </c>
      <c r="G386" s="1874"/>
      <c r="H386" s="1875">
        <f>H387+H401</f>
        <v>21967.399999999998</v>
      </c>
      <c r="I386" s="1875">
        <f>I387+I401</f>
        <v>500</v>
      </c>
      <c r="J386" s="1875">
        <f>J387+J401</f>
        <v>0</v>
      </c>
      <c r="K386" s="1875">
        <f>K387+K401</f>
        <v>0</v>
      </c>
      <c r="L386" s="1876"/>
      <c r="M386" s="1876"/>
      <c r="N386" s="1876"/>
      <c r="O386" s="1876"/>
      <c r="P386" s="1876"/>
      <c r="Q386" s="1876"/>
      <c r="R386" s="1876"/>
      <c r="S386" s="1876"/>
      <c r="T386" s="1877"/>
      <c r="U386" s="1878"/>
      <c r="V386" s="1878"/>
      <c r="W386" s="1879"/>
      <c r="X386" s="1879"/>
      <c r="Y386" s="1879"/>
      <c r="Z386" s="1880"/>
      <c r="AA386" s="1879"/>
      <c r="AB386" s="1879"/>
      <c r="AC386" s="1881">
        <f t="shared" ref="AC386:CF386" si="291">AC387+AC401</f>
        <v>21467.400000000005</v>
      </c>
      <c r="AD386" s="1881">
        <f t="shared" si="291"/>
        <v>500</v>
      </c>
      <c r="AE386" s="1881">
        <f t="shared" si="291"/>
        <v>500</v>
      </c>
      <c r="AF386" s="1881">
        <f t="shared" si="291"/>
        <v>0</v>
      </c>
      <c r="AG386" s="1881">
        <f t="shared" si="291"/>
        <v>0</v>
      </c>
      <c r="AH386" s="1490">
        <f t="shared" si="272"/>
        <v>1427.99</v>
      </c>
      <c r="AI386" s="1882">
        <f t="shared" si="291"/>
        <v>0</v>
      </c>
      <c r="AJ386" s="1882">
        <f t="shared" si="291"/>
        <v>0</v>
      </c>
      <c r="AK386" s="1882">
        <f t="shared" si="291"/>
        <v>0</v>
      </c>
      <c r="AL386" s="1636">
        <f t="shared" si="250"/>
        <v>0</v>
      </c>
      <c r="AM386" s="1882">
        <f t="shared" si="291"/>
        <v>0</v>
      </c>
      <c r="AN386" s="1883"/>
      <c r="AO386" s="1875">
        <f t="shared" si="291"/>
        <v>1522.0000000000002</v>
      </c>
      <c r="AP386" s="1875">
        <f t="shared" si="291"/>
        <v>0</v>
      </c>
      <c r="AQ386" s="1875">
        <f t="shared" si="291"/>
        <v>0</v>
      </c>
      <c r="AR386" s="1875">
        <f t="shared" si="291"/>
        <v>0</v>
      </c>
      <c r="AS386" s="1880">
        <f t="shared" si="291"/>
        <v>1510.6000000000001</v>
      </c>
      <c r="AT386" s="1875">
        <f t="shared" si="291"/>
        <v>0</v>
      </c>
      <c r="AU386" s="1875">
        <f t="shared" si="291"/>
        <v>0</v>
      </c>
      <c r="AV386" s="1875">
        <f t="shared" si="291"/>
        <v>0</v>
      </c>
      <c r="AW386" s="1880">
        <f t="shared" si="291"/>
        <v>1474.4</v>
      </c>
      <c r="AX386" s="1875">
        <f t="shared" si="291"/>
        <v>0</v>
      </c>
      <c r="AY386" s="1875">
        <f t="shared" si="291"/>
        <v>0</v>
      </c>
      <c r="AZ386" s="1875">
        <f t="shared" si="291"/>
        <v>0</v>
      </c>
      <c r="BA386" s="1883">
        <f t="shared" si="291"/>
        <v>1474.4</v>
      </c>
      <c r="BB386" s="1875">
        <f t="shared" si="291"/>
        <v>0</v>
      </c>
      <c r="BC386" s="1875">
        <f t="shared" si="291"/>
        <v>0</v>
      </c>
      <c r="BD386" s="1875">
        <f t="shared" si="291"/>
        <v>0</v>
      </c>
      <c r="BE386" s="1539">
        <f t="shared" si="291"/>
        <v>1575.4</v>
      </c>
      <c r="BF386" s="1875">
        <f t="shared" si="291"/>
        <v>0</v>
      </c>
      <c r="BG386" s="1875">
        <f t="shared" si="291"/>
        <v>0</v>
      </c>
      <c r="BH386" s="1875">
        <f t="shared" si="291"/>
        <v>0</v>
      </c>
      <c r="BI386" s="1883">
        <f t="shared" si="291"/>
        <v>629.76</v>
      </c>
      <c r="BJ386" s="1875">
        <f t="shared" si="291"/>
        <v>0</v>
      </c>
      <c r="BK386" s="1875">
        <f t="shared" si="291"/>
        <v>0</v>
      </c>
      <c r="BL386" s="1875">
        <f t="shared" si="291"/>
        <v>0</v>
      </c>
      <c r="BM386" s="1883">
        <f t="shared" si="291"/>
        <v>2499.04</v>
      </c>
      <c r="BN386" s="1875">
        <f t="shared" si="291"/>
        <v>0</v>
      </c>
      <c r="BO386" s="1875">
        <f t="shared" si="291"/>
        <v>0</v>
      </c>
      <c r="BP386" s="1875">
        <f t="shared" si="291"/>
        <v>0</v>
      </c>
      <c r="BQ386" s="1883">
        <f t="shared" si="291"/>
        <v>3344</v>
      </c>
      <c r="BR386" s="1875">
        <f t="shared" si="291"/>
        <v>0</v>
      </c>
      <c r="BS386" s="1875">
        <f t="shared" si="291"/>
        <v>0</v>
      </c>
      <c r="BT386" s="1875">
        <f t="shared" si="291"/>
        <v>0</v>
      </c>
      <c r="BU386" s="1883">
        <f t="shared" si="291"/>
        <v>2266.0500000000002</v>
      </c>
      <c r="BV386" s="1875">
        <f t="shared" si="291"/>
        <v>0</v>
      </c>
      <c r="BW386" s="1875">
        <f t="shared" si="291"/>
        <v>0</v>
      </c>
      <c r="BX386" s="1875">
        <f t="shared" si="291"/>
        <v>0</v>
      </c>
      <c r="BY386" s="1883">
        <f t="shared" si="291"/>
        <v>2006.63</v>
      </c>
      <c r="BZ386" s="1875">
        <f t="shared" si="291"/>
        <v>0</v>
      </c>
      <c r="CA386" s="1875">
        <f t="shared" si="291"/>
        <v>0</v>
      </c>
      <c r="CB386" s="1875">
        <f t="shared" si="291"/>
        <v>0</v>
      </c>
      <c r="CC386" s="1883">
        <f t="shared" si="291"/>
        <v>1737.13</v>
      </c>
      <c r="CD386" s="1875">
        <f t="shared" si="291"/>
        <v>0</v>
      </c>
      <c r="CE386" s="1875">
        <f t="shared" si="291"/>
        <v>0</v>
      </c>
      <c r="CF386" s="1875">
        <f t="shared" si="291"/>
        <v>0</v>
      </c>
      <c r="CG386" s="1884"/>
      <c r="CH386" s="1641">
        <f t="shared" si="282"/>
        <v>1427.99</v>
      </c>
      <c r="CI386" s="1641">
        <f t="shared" si="282"/>
        <v>500</v>
      </c>
      <c r="CJ386" s="1641">
        <f t="shared" si="282"/>
        <v>0</v>
      </c>
      <c r="CK386" s="1641">
        <f t="shared" si="282"/>
        <v>0</v>
      </c>
      <c r="CL386" s="1899">
        <v>1427.99</v>
      </c>
      <c r="CM386" s="1900">
        <v>500</v>
      </c>
      <c r="CN386" s="1889">
        <v>0</v>
      </c>
      <c r="CO386" s="1900">
        <v>0</v>
      </c>
      <c r="CP386" s="1883">
        <f>CP387+CP401</f>
        <v>0</v>
      </c>
      <c r="CQ386" s="1875">
        <f>CQ387+CQ401</f>
        <v>0</v>
      </c>
      <c r="CR386" s="1875">
        <f>CR387+CR401</f>
        <v>0</v>
      </c>
      <c r="CS386" s="1875">
        <f>CS387+CS401</f>
        <v>0</v>
      </c>
      <c r="CT386" s="1885"/>
      <c r="CU386" s="1885"/>
      <c r="CV386" s="1885"/>
      <c r="CW386" s="1885"/>
      <c r="CY386" s="1885"/>
    </row>
    <row r="387" spans="1:107" ht="53" thickBot="1" x14ac:dyDescent="0.2">
      <c r="A387" s="1748" t="s">
        <v>1135</v>
      </c>
      <c r="B387" s="1749" t="s">
        <v>79</v>
      </c>
      <c r="C387" s="1749" t="s">
        <v>80</v>
      </c>
      <c r="D387" s="1749" t="s">
        <v>125</v>
      </c>
      <c r="E387" s="1749" t="s">
        <v>214</v>
      </c>
      <c r="F387" s="1749" t="s">
        <v>765</v>
      </c>
      <c r="G387" s="1600" t="s">
        <v>766</v>
      </c>
      <c r="H387" s="1531">
        <f>H388+H389+H390+H391+H392+H393+H394+H395+H396+H397+H398+H399+H400</f>
        <v>21467.399999999998</v>
      </c>
      <c r="I387" s="1531">
        <f>I388+I389+I390+I391+I392+I393+I394+I395+I396+I397+I398+I399+I400</f>
        <v>500</v>
      </c>
      <c r="J387" s="1531">
        <f>J388+J389+J390+J391+J392+J393+J394+J395+J396+J397+J398+J399+J400</f>
        <v>0</v>
      </c>
      <c r="K387" s="1531">
        <f>K388+K389+K390+K391+K392+K393+K394+K395+K396+K397+K398+K399+K400</f>
        <v>0</v>
      </c>
      <c r="L387" s="1601"/>
      <c r="M387" s="1601"/>
      <c r="N387" s="1601"/>
      <c r="O387" s="1601"/>
      <c r="P387" s="1601"/>
      <c r="Q387" s="1601"/>
      <c r="R387" s="1601"/>
      <c r="S387" s="1601"/>
      <c r="T387" s="1602"/>
      <c r="U387" s="1533"/>
      <c r="V387" s="1533"/>
      <c r="W387" s="1534"/>
      <c r="X387" s="1534"/>
      <c r="Y387" s="1534"/>
      <c r="Z387" s="1535"/>
      <c r="AA387" s="1534"/>
      <c r="AB387" s="1534"/>
      <c r="AC387" s="1603">
        <f t="shared" ref="AC387:CF387" si="292">AC388+AC389+AC390+AC391+AC392+AC393+AC394+AC395+AC396+AC397+AC398+AC399+AC400</f>
        <v>21467.400000000005</v>
      </c>
      <c r="AD387" s="1603">
        <f t="shared" si="292"/>
        <v>500</v>
      </c>
      <c r="AE387" s="1603">
        <f t="shared" si="292"/>
        <v>500</v>
      </c>
      <c r="AF387" s="1603">
        <f t="shared" si="292"/>
        <v>0</v>
      </c>
      <c r="AG387" s="1603">
        <f t="shared" si="292"/>
        <v>0</v>
      </c>
      <c r="AH387" s="1490">
        <f t="shared" si="272"/>
        <v>1427.99</v>
      </c>
      <c r="AI387" s="1592">
        <f t="shared" si="292"/>
        <v>0</v>
      </c>
      <c r="AJ387" s="1592">
        <f t="shared" si="292"/>
        <v>0</v>
      </c>
      <c r="AK387" s="1592">
        <f t="shared" si="292"/>
        <v>0</v>
      </c>
      <c r="AL387" s="1636">
        <f t="shared" si="250"/>
        <v>0</v>
      </c>
      <c r="AM387" s="1592">
        <f t="shared" si="292"/>
        <v>0</v>
      </c>
      <c r="AN387" s="1706"/>
      <c r="AO387" s="1707">
        <f t="shared" si="292"/>
        <v>1522.0000000000002</v>
      </c>
      <c r="AP387" s="1531">
        <f t="shared" si="292"/>
        <v>0</v>
      </c>
      <c r="AQ387" s="1531">
        <f t="shared" si="292"/>
        <v>0</v>
      </c>
      <c r="AR387" s="1531">
        <f t="shared" si="292"/>
        <v>0</v>
      </c>
      <c r="AS387" s="1535">
        <f t="shared" si="292"/>
        <v>1510.6000000000001</v>
      </c>
      <c r="AT387" s="1531">
        <f t="shared" si="292"/>
        <v>0</v>
      </c>
      <c r="AU387" s="1531">
        <f t="shared" si="292"/>
        <v>0</v>
      </c>
      <c r="AV387" s="1531">
        <f t="shared" si="292"/>
        <v>0</v>
      </c>
      <c r="AW387" s="1535">
        <f t="shared" si="292"/>
        <v>1474.4</v>
      </c>
      <c r="AX387" s="1531">
        <f t="shared" si="292"/>
        <v>0</v>
      </c>
      <c r="AY387" s="1531">
        <f t="shared" si="292"/>
        <v>0</v>
      </c>
      <c r="AZ387" s="1531">
        <f t="shared" si="292"/>
        <v>0</v>
      </c>
      <c r="BA387" s="1538">
        <f t="shared" si="292"/>
        <v>1474.4</v>
      </c>
      <c r="BB387" s="1531">
        <f t="shared" si="292"/>
        <v>0</v>
      </c>
      <c r="BC387" s="1531">
        <f t="shared" si="292"/>
        <v>0</v>
      </c>
      <c r="BD387" s="1531">
        <f t="shared" si="292"/>
        <v>0</v>
      </c>
      <c r="BE387" s="1539">
        <f t="shared" si="292"/>
        <v>1575.4</v>
      </c>
      <c r="BF387" s="1531">
        <f t="shared" si="292"/>
        <v>0</v>
      </c>
      <c r="BG387" s="1531">
        <f t="shared" si="292"/>
        <v>0</v>
      </c>
      <c r="BH387" s="1531">
        <f t="shared" si="292"/>
        <v>0</v>
      </c>
      <c r="BI387" s="1538">
        <f t="shared" si="292"/>
        <v>629.76</v>
      </c>
      <c r="BJ387" s="1531">
        <f t="shared" si="292"/>
        <v>0</v>
      </c>
      <c r="BK387" s="1531">
        <f t="shared" si="292"/>
        <v>0</v>
      </c>
      <c r="BL387" s="1531">
        <f t="shared" si="292"/>
        <v>0</v>
      </c>
      <c r="BM387" s="1538">
        <f t="shared" si="292"/>
        <v>2499.04</v>
      </c>
      <c r="BN387" s="1531">
        <f t="shared" si="292"/>
        <v>0</v>
      </c>
      <c r="BO387" s="1531">
        <f t="shared" si="292"/>
        <v>0</v>
      </c>
      <c r="BP387" s="1531">
        <f t="shared" si="292"/>
        <v>0</v>
      </c>
      <c r="BQ387" s="1538">
        <f t="shared" si="292"/>
        <v>3344</v>
      </c>
      <c r="BR387" s="1531">
        <f t="shared" si="292"/>
        <v>0</v>
      </c>
      <c r="BS387" s="1531">
        <f t="shared" si="292"/>
        <v>0</v>
      </c>
      <c r="BT387" s="1531">
        <f t="shared" si="292"/>
        <v>0</v>
      </c>
      <c r="BU387" s="1538">
        <f t="shared" si="292"/>
        <v>2266.0500000000002</v>
      </c>
      <c r="BV387" s="1531">
        <f t="shared" si="292"/>
        <v>0</v>
      </c>
      <c r="BW387" s="1531">
        <f t="shared" si="292"/>
        <v>0</v>
      </c>
      <c r="BX387" s="1531">
        <f t="shared" si="292"/>
        <v>0</v>
      </c>
      <c r="BY387" s="1538">
        <f t="shared" si="292"/>
        <v>2006.63</v>
      </c>
      <c r="BZ387" s="1531">
        <f t="shared" si="292"/>
        <v>0</v>
      </c>
      <c r="CA387" s="1531">
        <f t="shared" si="292"/>
        <v>0</v>
      </c>
      <c r="CB387" s="1531">
        <f t="shared" si="292"/>
        <v>0</v>
      </c>
      <c r="CC387" s="1538">
        <f t="shared" si="292"/>
        <v>1737.13</v>
      </c>
      <c r="CD387" s="1531">
        <f t="shared" si="292"/>
        <v>0</v>
      </c>
      <c r="CE387" s="1531">
        <f t="shared" si="292"/>
        <v>0</v>
      </c>
      <c r="CF387" s="1531">
        <f t="shared" si="292"/>
        <v>0</v>
      </c>
      <c r="CG387" s="1705"/>
      <c r="CH387" s="1641">
        <f t="shared" si="282"/>
        <v>1427.99</v>
      </c>
      <c r="CI387" s="1641">
        <f t="shared" si="282"/>
        <v>500</v>
      </c>
      <c r="CJ387" s="1641">
        <f t="shared" si="282"/>
        <v>0</v>
      </c>
      <c r="CK387" s="1641">
        <f t="shared" si="282"/>
        <v>0</v>
      </c>
      <c r="CL387" s="1901">
        <v>1427.99</v>
      </c>
      <c r="CM387" s="1902">
        <v>500</v>
      </c>
      <c r="CN387" s="1889">
        <v>0</v>
      </c>
      <c r="CO387" s="1902">
        <v>0</v>
      </c>
      <c r="CP387" s="1538">
        <f>CP388+CP389+CP390+CP391+CP392+CP393+CP394+CP395+CP396+CP397+CP398+CP399+CP400</f>
        <v>0</v>
      </c>
      <c r="CQ387" s="1531">
        <f>CQ388+CQ389+CQ390+CQ391+CQ392+CQ393+CQ394+CQ395+CQ396+CQ397+CQ398+CQ399+CQ400</f>
        <v>0</v>
      </c>
      <c r="CR387" s="1531">
        <f>CR388+CR389+CR390+CR391+CR392+CR393+CR394+CR395+CR396+CR397+CR398+CR399+CR400</f>
        <v>0</v>
      </c>
      <c r="CS387" s="1531">
        <f>CS388+CS389+CS390+CS391+CS392+CS393+CS394+CS395+CS396+CS397+CS398+CS399+CS400</f>
        <v>0</v>
      </c>
    </row>
    <row r="388" spans="1:107" ht="15" thickBot="1" x14ac:dyDescent="0.2">
      <c r="A388" s="1541" t="s">
        <v>124</v>
      </c>
      <c r="B388" s="1523" t="s">
        <v>79</v>
      </c>
      <c r="C388" s="1523" t="s">
        <v>80</v>
      </c>
      <c r="D388" s="1523" t="s">
        <v>125</v>
      </c>
      <c r="E388" s="1523" t="s">
        <v>214</v>
      </c>
      <c r="F388" s="1523"/>
      <c r="G388" s="1667">
        <v>211</v>
      </c>
      <c r="H388" s="1501">
        <v>13588.4</v>
      </c>
      <c r="I388" s="1645"/>
      <c r="J388" s="1630"/>
      <c r="K388" s="1630"/>
      <c r="L388" s="1631"/>
      <c r="M388" s="1631"/>
      <c r="N388" s="1631"/>
      <c r="O388" s="1631"/>
      <c r="P388" s="1631"/>
      <c r="Q388" s="1631"/>
      <c r="R388" s="1631"/>
      <c r="S388" s="1631"/>
      <c r="T388" s="1632"/>
      <c r="U388" s="1633"/>
      <c r="V388" s="1633"/>
      <c r="W388" s="1634">
        <f>H388/12</f>
        <v>1132.3666666666666</v>
      </c>
      <c r="X388" s="1634">
        <f>AO388</f>
        <v>1132.4000000000001</v>
      </c>
      <c r="Y388" s="1634">
        <f>CC388</f>
        <v>698</v>
      </c>
      <c r="Z388" s="1635">
        <v>698</v>
      </c>
      <c r="AA388" s="1634"/>
      <c r="AB388" s="1634"/>
      <c r="AC388" s="1508">
        <f t="shared" ref="AC388:AC401" si="293">AO388+AS388+AW388+BA388+BE388+BI388+BM388+BQ388+BU388+BY388+CC388+CH388</f>
        <v>13588.400000000001</v>
      </c>
      <c r="AD388" s="1509">
        <f t="shared" ref="AD388:AD401" si="294">AE388+AF388+AG388</f>
        <v>0</v>
      </c>
      <c r="AE388" s="1509">
        <f t="shared" ref="AE388:AG400" si="295">AP388+AT388+AX388+BB388+BF388+BJ388+BN388+BR388+BV388+BZ388+CD388+CI388</f>
        <v>0</v>
      </c>
      <c r="AF388" s="1509">
        <f t="shared" si="295"/>
        <v>0</v>
      </c>
      <c r="AG388" s="1509">
        <f t="shared" si="295"/>
        <v>0</v>
      </c>
      <c r="AH388" s="1490">
        <f t="shared" si="272"/>
        <v>673.95699999999999</v>
      </c>
      <c r="AI388" s="1636">
        <f t="shared" ref="AI388:AI400" si="296">H388-AC388</f>
        <v>0</v>
      </c>
      <c r="AJ388" s="1636">
        <f t="shared" ref="AJ388:AJ400" si="297">AK388+AL388+AM388</f>
        <v>0</v>
      </c>
      <c r="AK388" s="1636">
        <f t="shared" ref="AK388:AK400" si="298">I388-AE388</f>
        <v>0</v>
      </c>
      <c r="AL388" s="1636">
        <f t="shared" si="250"/>
        <v>0</v>
      </c>
      <c r="AM388" s="1636">
        <f t="shared" si="250"/>
        <v>0</v>
      </c>
      <c r="AN388" s="1510">
        <f>H388/12*10-AC388</f>
        <v>-2264.7333333333354</v>
      </c>
      <c r="AO388" s="1722">
        <v>1132.4000000000001</v>
      </c>
      <c r="AP388" s="1638"/>
      <c r="AQ388" s="1638"/>
      <c r="AR388" s="1638"/>
      <c r="AS388" s="1639">
        <v>1132.4000000000001</v>
      </c>
      <c r="AT388" s="1638"/>
      <c r="AU388" s="1638"/>
      <c r="AV388" s="1638"/>
      <c r="AW388" s="1640">
        <v>1132.4000000000001</v>
      </c>
      <c r="AX388" s="1640"/>
      <c r="AY388" s="1640"/>
      <c r="AZ388" s="1640"/>
      <c r="BA388" s="1641">
        <v>1132.4000000000001</v>
      </c>
      <c r="BB388" s="1640"/>
      <c r="BC388" s="1640"/>
      <c r="BD388" s="1640"/>
      <c r="BE388" s="1641">
        <v>1132.4000000000001</v>
      </c>
      <c r="BF388" s="1640"/>
      <c r="BG388" s="1640"/>
      <c r="BH388" s="1640"/>
      <c r="BI388" s="1641">
        <f>589.76</f>
        <v>589.76</v>
      </c>
      <c r="BJ388" s="1640"/>
      <c r="BK388" s="1640"/>
      <c r="BL388" s="1640"/>
      <c r="BM388" s="1641">
        <f>542.64+1132.4</f>
        <v>1675.04</v>
      </c>
      <c r="BN388" s="1640"/>
      <c r="BO388" s="1640"/>
      <c r="BP388" s="1640"/>
      <c r="BQ388" s="1641">
        <f>1132.4</f>
        <v>1132.4000000000001</v>
      </c>
      <c r="BR388" s="1640"/>
      <c r="BS388" s="1640"/>
      <c r="BT388" s="1640"/>
      <c r="BU388" s="1641">
        <f>840.2+294</f>
        <v>1134.2</v>
      </c>
      <c r="BV388" s="1640"/>
      <c r="BW388" s="1640"/>
      <c r="BX388" s="1640"/>
      <c r="BY388" s="1641">
        <f>100+1410.65+53.98</f>
        <v>1564.63</v>
      </c>
      <c r="BZ388" s="1640"/>
      <c r="CA388" s="1640"/>
      <c r="CB388" s="1640"/>
      <c r="CC388" s="1641">
        <v>698</v>
      </c>
      <c r="CD388" s="1640"/>
      <c r="CE388" s="1640"/>
      <c r="CF388" s="1640"/>
      <c r="CG388" s="1642"/>
      <c r="CH388" s="1641">
        <f t="shared" si="282"/>
        <v>1132.3699999999999</v>
      </c>
      <c r="CI388" s="1641">
        <f t="shared" si="282"/>
        <v>0</v>
      </c>
      <c r="CJ388" s="1641">
        <f t="shared" si="282"/>
        <v>0</v>
      </c>
      <c r="CK388" s="1641">
        <f t="shared" si="282"/>
        <v>0</v>
      </c>
      <c r="CL388" s="1889">
        <v>673.95699999999999</v>
      </c>
      <c r="CM388" s="1889">
        <v>0</v>
      </c>
      <c r="CN388" s="1889">
        <v>0</v>
      </c>
      <c r="CO388" s="1889">
        <v>0</v>
      </c>
      <c r="CP388" s="1641">
        <f>458.413</f>
        <v>458.41300000000001</v>
      </c>
      <c r="CQ388" s="1640"/>
      <c r="CR388" s="1640"/>
      <c r="CS388" s="1640"/>
      <c r="CX388" s="1558">
        <f>H388/12*10-AC388</f>
        <v>-2264.7333333333354</v>
      </c>
      <c r="CY388" s="1558">
        <f>AI388/3</f>
        <v>0</v>
      </c>
      <c r="CZ388" s="1558">
        <f>H388/12</f>
        <v>1132.3666666666666</v>
      </c>
      <c r="DA388" s="1559"/>
      <c r="DB388" s="1559"/>
      <c r="DC388" s="1559"/>
    </row>
    <row r="389" spans="1:107" ht="15" thickBot="1" x14ac:dyDescent="0.2">
      <c r="A389" s="1541" t="s">
        <v>83</v>
      </c>
      <c r="B389" s="1523" t="s">
        <v>79</v>
      </c>
      <c r="C389" s="1523" t="s">
        <v>80</v>
      </c>
      <c r="D389" s="1523" t="s">
        <v>125</v>
      </c>
      <c r="E389" s="1523" t="s">
        <v>214</v>
      </c>
      <c r="F389" s="1523"/>
      <c r="G389" s="1667">
        <v>212</v>
      </c>
      <c r="H389" s="1501">
        <v>0</v>
      </c>
      <c r="I389" s="1645">
        <v>4</v>
      </c>
      <c r="J389" s="1630"/>
      <c r="K389" s="1630"/>
      <c r="L389" s="1631"/>
      <c r="M389" s="1631"/>
      <c r="N389" s="1631"/>
      <c r="O389" s="1631"/>
      <c r="P389" s="1631"/>
      <c r="Q389" s="1631"/>
      <c r="R389" s="1631"/>
      <c r="S389" s="1631"/>
      <c r="T389" s="1632"/>
      <c r="U389" s="1633"/>
      <c r="V389" s="1633"/>
      <c r="W389" s="1634"/>
      <c r="X389" s="1634"/>
      <c r="Y389" s="1634"/>
      <c r="Z389" s="1635"/>
      <c r="AA389" s="1634"/>
      <c r="AB389" s="1634"/>
      <c r="AC389" s="1508">
        <f t="shared" si="293"/>
        <v>0</v>
      </c>
      <c r="AD389" s="1509">
        <f t="shared" si="294"/>
        <v>4</v>
      </c>
      <c r="AE389" s="1509">
        <f t="shared" si="295"/>
        <v>4</v>
      </c>
      <c r="AF389" s="1509">
        <f t="shared" si="295"/>
        <v>0</v>
      </c>
      <c r="AG389" s="1509">
        <f t="shared" si="295"/>
        <v>0</v>
      </c>
      <c r="AH389" s="1490">
        <f t="shared" si="272"/>
        <v>0</v>
      </c>
      <c r="AI389" s="1636">
        <f t="shared" si="296"/>
        <v>0</v>
      </c>
      <c r="AJ389" s="1636">
        <f t="shared" si="297"/>
        <v>0</v>
      </c>
      <c r="AK389" s="1636">
        <f t="shared" si="298"/>
        <v>0</v>
      </c>
      <c r="AL389" s="1636">
        <f t="shared" si="250"/>
        <v>0</v>
      </c>
      <c r="AM389" s="1636">
        <f t="shared" si="250"/>
        <v>0</v>
      </c>
      <c r="AN389" s="1510"/>
      <c r="AO389" s="1722">
        <v>0</v>
      </c>
      <c r="AP389" s="1638"/>
      <c r="AQ389" s="1638"/>
      <c r="AR389" s="1638"/>
      <c r="AS389" s="1639"/>
      <c r="AT389" s="1638"/>
      <c r="AU389" s="1638"/>
      <c r="AV389" s="1638"/>
      <c r="AW389" s="1640"/>
      <c r="AX389" s="1640"/>
      <c r="AY389" s="1640"/>
      <c r="AZ389" s="1640"/>
      <c r="BA389" s="1641"/>
      <c r="BB389" s="1640"/>
      <c r="BC389" s="1640"/>
      <c r="BD389" s="1640"/>
      <c r="BE389" s="1641"/>
      <c r="BF389" s="1640"/>
      <c r="BG389" s="1640"/>
      <c r="BH389" s="1640"/>
      <c r="BI389" s="1641"/>
      <c r="BJ389" s="1640"/>
      <c r="BK389" s="1640"/>
      <c r="BL389" s="1640"/>
      <c r="BM389" s="1641"/>
      <c r="BN389" s="1640"/>
      <c r="BO389" s="1640"/>
      <c r="BP389" s="1640"/>
      <c r="BQ389" s="1641"/>
      <c r="BR389" s="1640"/>
      <c r="BS389" s="1640"/>
      <c r="BT389" s="1640"/>
      <c r="BU389" s="1641"/>
      <c r="BV389" s="1640"/>
      <c r="BW389" s="1640"/>
      <c r="BX389" s="1640"/>
      <c r="BY389" s="1641"/>
      <c r="BZ389" s="1640"/>
      <c r="CA389" s="1640"/>
      <c r="CB389" s="1640"/>
      <c r="CC389" s="1641"/>
      <c r="CD389" s="1640"/>
      <c r="CE389" s="1640"/>
      <c r="CF389" s="1640"/>
      <c r="CG389" s="1642"/>
      <c r="CH389" s="1641">
        <f t="shared" si="282"/>
        <v>0</v>
      </c>
      <c r="CI389" s="1641">
        <f t="shared" si="282"/>
        <v>4</v>
      </c>
      <c r="CJ389" s="1641">
        <f t="shared" si="282"/>
        <v>0</v>
      </c>
      <c r="CK389" s="1641">
        <f t="shared" si="282"/>
        <v>0</v>
      </c>
      <c r="CL389" s="1889">
        <v>0</v>
      </c>
      <c r="CM389" s="1889">
        <v>4</v>
      </c>
      <c r="CN389" s="1889">
        <v>0</v>
      </c>
      <c r="CO389" s="1889">
        <v>0</v>
      </c>
      <c r="CP389" s="1641"/>
      <c r="CQ389" s="1640"/>
      <c r="CR389" s="1640"/>
      <c r="CS389" s="1640"/>
      <c r="CX389" s="1558"/>
      <c r="CY389" s="1558"/>
      <c r="CZ389" s="1558"/>
      <c r="DA389" s="1559"/>
      <c r="DB389" s="1559"/>
      <c r="DC389" s="1559"/>
    </row>
    <row r="390" spans="1:107" ht="15" thickBot="1" x14ac:dyDescent="0.2">
      <c r="A390" s="1541" t="s">
        <v>84</v>
      </c>
      <c r="B390" s="1523" t="s">
        <v>79</v>
      </c>
      <c r="C390" s="1523" t="s">
        <v>80</v>
      </c>
      <c r="D390" s="1523" t="s">
        <v>125</v>
      </c>
      <c r="E390" s="1523" t="s">
        <v>214</v>
      </c>
      <c r="F390" s="1523"/>
      <c r="G390" s="1667">
        <v>213</v>
      </c>
      <c r="H390" s="1501">
        <v>4103.7</v>
      </c>
      <c r="I390" s="1645"/>
      <c r="J390" s="1630"/>
      <c r="K390" s="1630"/>
      <c r="L390" s="1631"/>
      <c r="M390" s="1631"/>
      <c r="N390" s="1631"/>
      <c r="O390" s="1631"/>
      <c r="P390" s="1631"/>
      <c r="Q390" s="1631"/>
      <c r="R390" s="1631"/>
      <c r="S390" s="1631"/>
      <c r="T390" s="1632"/>
      <c r="U390" s="1633"/>
      <c r="V390" s="1633"/>
      <c r="W390" s="1634">
        <f>H390/12</f>
        <v>341.97499999999997</v>
      </c>
      <c r="X390" s="1634">
        <f>AO390</f>
        <v>342</v>
      </c>
      <c r="Y390" s="1634">
        <f>CC390</f>
        <v>341.3</v>
      </c>
      <c r="Z390" s="1635">
        <v>341.3</v>
      </c>
      <c r="AA390" s="1634"/>
      <c r="AB390" s="1634"/>
      <c r="AC390" s="1508">
        <f t="shared" si="293"/>
        <v>4103.7000000000007</v>
      </c>
      <c r="AD390" s="1509">
        <f t="shared" si="294"/>
        <v>0</v>
      </c>
      <c r="AE390" s="1509">
        <f t="shared" si="295"/>
        <v>0</v>
      </c>
      <c r="AF390" s="1509">
        <f t="shared" si="295"/>
        <v>0</v>
      </c>
      <c r="AG390" s="1509">
        <f t="shared" si="295"/>
        <v>0</v>
      </c>
      <c r="AH390" s="1490">
        <f t="shared" si="272"/>
        <v>203.559</v>
      </c>
      <c r="AI390" s="1636">
        <f t="shared" si="296"/>
        <v>0</v>
      </c>
      <c r="AJ390" s="1636">
        <f t="shared" si="297"/>
        <v>0</v>
      </c>
      <c r="AK390" s="1636">
        <f t="shared" si="298"/>
        <v>0</v>
      </c>
      <c r="AL390" s="1636">
        <f t="shared" si="250"/>
        <v>0</v>
      </c>
      <c r="AM390" s="1636">
        <f t="shared" si="250"/>
        <v>0</v>
      </c>
      <c r="AN390" s="1510">
        <f>H390/12*10-AC390</f>
        <v>-683.95000000000118</v>
      </c>
      <c r="AO390" s="1722">
        <v>342</v>
      </c>
      <c r="AP390" s="1638"/>
      <c r="AQ390" s="1638"/>
      <c r="AR390" s="1638"/>
      <c r="AS390" s="1639">
        <v>342</v>
      </c>
      <c r="AT390" s="1638"/>
      <c r="AU390" s="1638"/>
      <c r="AV390" s="1638"/>
      <c r="AW390" s="1640">
        <v>342</v>
      </c>
      <c r="AX390" s="1640"/>
      <c r="AY390" s="1640"/>
      <c r="AZ390" s="1640"/>
      <c r="BA390" s="1641">
        <v>342</v>
      </c>
      <c r="BB390" s="1640"/>
      <c r="BC390" s="1640"/>
      <c r="BD390" s="1640"/>
      <c r="BE390" s="1641">
        <v>342</v>
      </c>
      <c r="BF390" s="1640"/>
      <c r="BG390" s="1640"/>
      <c r="BH390" s="1640"/>
      <c r="BI390" s="1641"/>
      <c r="BJ390" s="1640"/>
      <c r="BK390" s="1640"/>
      <c r="BL390" s="1640"/>
      <c r="BM390" s="1641">
        <f>342+342</f>
        <v>684</v>
      </c>
      <c r="BN390" s="1640"/>
      <c r="BO390" s="1640"/>
      <c r="BP390" s="1640"/>
      <c r="BQ390" s="1641">
        <f>342</f>
        <v>342</v>
      </c>
      <c r="BR390" s="1640"/>
      <c r="BS390" s="1640"/>
      <c r="BT390" s="1640"/>
      <c r="BU390" s="1903">
        <f>256.4+86</f>
        <v>342.4</v>
      </c>
      <c r="BV390" s="1640"/>
      <c r="BW390" s="1640"/>
      <c r="BX390" s="1640"/>
      <c r="BY390" s="1641">
        <v>342</v>
      </c>
      <c r="BZ390" s="1640"/>
      <c r="CA390" s="1640"/>
      <c r="CB390" s="1640"/>
      <c r="CC390" s="1641">
        <v>341.3</v>
      </c>
      <c r="CD390" s="1640"/>
      <c r="CE390" s="1640"/>
      <c r="CF390" s="1640"/>
      <c r="CG390" s="1642"/>
      <c r="CH390" s="1641">
        <f t="shared" si="282"/>
        <v>342</v>
      </c>
      <c r="CI390" s="1641">
        <f t="shared" si="282"/>
        <v>0</v>
      </c>
      <c r="CJ390" s="1641">
        <f t="shared" si="282"/>
        <v>0</v>
      </c>
      <c r="CK390" s="1641">
        <f t="shared" si="282"/>
        <v>0</v>
      </c>
      <c r="CL390" s="1889">
        <v>203.559</v>
      </c>
      <c r="CM390" s="1889">
        <v>0</v>
      </c>
      <c r="CN390" s="1889">
        <v>0</v>
      </c>
      <c r="CO390" s="1889">
        <v>0</v>
      </c>
      <c r="CP390" s="1641">
        <f>138.441</f>
        <v>138.441</v>
      </c>
      <c r="CQ390" s="1640"/>
      <c r="CR390" s="1640"/>
      <c r="CS390" s="1640"/>
      <c r="CX390" s="1558">
        <f>H390/12*10-AC390</f>
        <v>-683.95000000000118</v>
      </c>
      <c r="CY390" s="1558">
        <f>AI390/3</f>
        <v>0</v>
      </c>
      <c r="CZ390" s="1558">
        <f>H390/12</f>
        <v>341.97499999999997</v>
      </c>
      <c r="DA390" s="1559"/>
      <c r="DB390" s="1559"/>
      <c r="DC390" s="1559"/>
    </row>
    <row r="391" spans="1:107" ht="15" thickBot="1" x14ac:dyDescent="0.2">
      <c r="A391" s="1541" t="s">
        <v>85</v>
      </c>
      <c r="B391" s="1523" t="s">
        <v>79</v>
      </c>
      <c r="C391" s="1523" t="s">
        <v>80</v>
      </c>
      <c r="D391" s="1523" t="s">
        <v>125</v>
      </c>
      <c r="E391" s="1523" t="s">
        <v>214</v>
      </c>
      <c r="F391" s="1523"/>
      <c r="G391" s="1667">
        <v>221</v>
      </c>
      <c r="H391" s="1501">
        <v>50.7</v>
      </c>
      <c r="I391" s="1645"/>
      <c r="J391" s="1630"/>
      <c r="K391" s="1630"/>
      <c r="L391" s="1631"/>
      <c r="M391" s="1631"/>
      <c r="N391" s="1631"/>
      <c r="O391" s="1631"/>
      <c r="P391" s="1631"/>
      <c r="Q391" s="1631"/>
      <c r="R391" s="1631"/>
      <c r="S391" s="1631"/>
      <c r="T391" s="1632"/>
      <c r="U391" s="1633"/>
      <c r="V391" s="1633"/>
      <c r="W391" s="1634"/>
      <c r="X391" s="1634"/>
      <c r="Y391" s="1634"/>
      <c r="Z391" s="1635"/>
      <c r="AA391" s="1634"/>
      <c r="AB391" s="1634"/>
      <c r="AC391" s="1508">
        <f t="shared" si="293"/>
        <v>50.7</v>
      </c>
      <c r="AD391" s="1509">
        <f t="shared" si="294"/>
        <v>0</v>
      </c>
      <c r="AE391" s="1509">
        <f t="shared" si="295"/>
        <v>0</v>
      </c>
      <c r="AF391" s="1509">
        <f t="shared" si="295"/>
        <v>0</v>
      </c>
      <c r="AG391" s="1509">
        <f t="shared" si="295"/>
        <v>0</v>
      </c>
      <c r="AH391" s="1490">
        <f t="shared" si="272"/>
        <v>46.5</v>
      </c>
      <c r="AI391" s="1636">
        <f t="shared" si="296"/>
        <v>0</v>
      </c>
      <c r="AJ391" s="1636">
        <f t="shared" si="297"/>
        <v>0</v>
      </c>
      <c r="AK391" s="1636">
        <f t="shared" si="298"/>
        <v>0</v>
      </c>
      <c r="AL391" s="1636">
        <f t="shared" si="250"/>
        <v>0</v>
      </c>
      <c r="AM391" s="1636">
        <f t="shared" si="250"/>
        <v>0</v>
      </c>
      <c r="AN391" s="1637"/>
      <c r="AO391" s="1722">
        <v>4.2</v>
      </c>
      <c r="AP391" s="1638"/>
      <c r="AQ391" s="1638"/>
      <c r="AR391" s="1638"/>
      <c r="AS391" s="1639"/>
      <c r="AT391" s="1638"/>
      <c r="AU391" s="1638"/>
      <c r="AV391" s="1638"/>
      <c r="AW391" s="1639"/>
      <c r="AX391" s="1640"/>
      <c r="AY391" s="1640"/>
      <c r="AZ391" s="1640"/>
      <c r="BA391" s="1641"/>
      <c r="BB391" s="1640"/>
      <c r="BC391" s="1640"/>
      <c r="BD391" s="1640"/>
      <c r="BE391" s="1644"/>
      <c r="BF391" s="1640"/>
      <c r="BG391" s="1640"/>
      <c r="BH391" s="1640"/>
      <c r="BI391" s="1641"/>
      <c r="BJ391" s="1640"/>
      <c r="BK391" s="1640"/>
      <c r="BL391" s="1640"/>
      <c r="BM391" s="1641"/>
      <c r="BN391" s="1640"/>
      <c r="BO391" s="1640"/>
      <c r="BP391" s="1640"/>
      <c r="BQ391" s="1641"/>
      <c r="BR391" s="1640"/>
      <c r="BS391" s="1640"/>
      <c r="BT391" s="1904"/>
      <c r="BU391" s="1801">
        <f>46.5-46.5</f>
        <v>0</v>
      </c>
      <c r="BV391" s="1640"/>
      <c r="BW391" s="1640"/>
      <c r="BX391" s="1640"/>
      <c r="BY391" s="1641"/>
      <c r="BZ391" s="1640"/>
      <c r="CA391" s="1640"/>
      <c r="CB391" s="1640"/>
      <c r="CC391" s="1641"/>
      <c r="CD391" s="1640"/>
      <c r="CE391" s="1640"/>
      <c r="CF391" s="1640"/>
      <c r="CG391" s="1642"/>
      <c r="CH391" s="1641">
        <f t="shared" si="282"/>
        <v>46.5</v>
      </c>
      <c r="CI391" s="1641">
        <f t="shared" si="282"/>
        <v>0</v>
      </c>
      <c r="CJ391" s="1641">
        <f t="shared" si="282"/>
        <v>0</v>
      </c>
      <c r="CK391" s="1641">
        <f t="shared" si="282"/>
        <v>0</v>
      </c>
      <c r="CL391" s="1889">
        <v>46.5</v>
      </c>
      <c r="CM391" s="1889">
        <v>0</v>
      </c>
      <c r="CN391" s="1889">
        <v>0</v>
      </c>
      <c r="CO391" s="1889">
        <v>0</v>
      </c>
      <c r="CP391" s="1641"/>
      <c r="CQ391" s="1640"/>
      <c r="CR391" s="1640"/>
      <c r="CS391" s="1640"/>
    </row>
    <row r="392" spans="1:107" ht="15" thickBot="1" x14ac:dyDescent="0.2">
      <c r="A392" s="1541" t="s">
        <v>86</v>
      </c>
      <c r="B392" s="1523" t="s">
        <v>79</v>
      </c>
      <c r="C392" s="1523" t="s">
        <v>80</v>
      </c>
      <c r="D392" s="1523" t="s">
        <v>125</v>
      </c>
      <c r="E392" s="1523" t="s">
        <v>214</v>
      </c>
      <c r="F392" s="1523"/>
      <c r="G392" s="1667">
        <v>222</v>
      </c>
      <c r="H392" s="1501">
        <v>0</v>
      </c>
      <c r="I392" s="1645">
        <v>24</v>
      </c>
      <c r="J392" s="1630"/>
      <c r="K392" s="1630"/>
      <c r="L392" s="1631"/>
      <c r="M392" s="1631"/>
      <c r="N392" s="1631"/>
      <c r="O392" s="1631"/>
      <c r="P392" s="1631"/>
      <c r="Q392" s="1631"/>
      <c r="R392" s="1631"/>
      <c r="S392" s="1631"/>
      <c r="T392" s="1632"/>
      <c r="U392" s="1633"/>
      <c r="V392" s="1633"/>
      <c r="W392" s="1634"/>
      <c r="X392" s="1634"/>
      <c r="Y392" s="1634"/>
      <c r="Z392" s="1635"/>
      <c r="AA392" s="1634"/>
      <c r="AB392" s="1634"/>
      <c r="AC392" s="1508">
        <f t="shared" si="293"/>
        <v>0</v>
      </c>
      <c r="AD392" s="1509">
        <f t="shared" si="294"/>
        <v>24</v>
      </c>
      <c r="AE392" s="1509">
        <f t="shared" si="295"/>
        <v>24</v>
      </c>
      <c r="AF392" s="1509">
        <f t="shared" si="295"/>
        <v>0</v>
      </c>
      <c r="AG392" s="1509">
        <f t="shared" si="295"/>
        <v>0</v>
      </c>
      <c r="AH392" s="1490">
        <f t="shared" si="272"/>
        <v>0</v>
      </c>
      <c r="AI392" s="1636">
        <f t="shared" si="296"/>
        <v>0</v>
      </c>
      <c r="AJ392" s="1636">
        <f t="shared" si="297"/>
        <v>0</v>
      </c>
      <c r="AK392" s="1636">
        <f t="shared" si="298"/>
        <v>0</v>
      </c>
      <c r="AL392" s="1636">
        <f t="shared" si="250"/>
        <v>0</v>
      </c>
      <c r="AM392" s="1636">
        <f t="shared" si="250"/>
        <v>0</v>
      </c>
      <c r="AN392" s="1637"/>
      <c r="AO392" s="1722">
        <v>0</v>
      </c>
      <c r="AP392" s="1638"/>
      <c r="AQ392" s="1638"/>
      <c r="AR392" s="1638"/>
      <c r="AS392" s="1639"/>
      <c r="AT392" s="1638"/>
      <c r="AU392" s="1638"/>
      <c r="AV392" s="1638"/>
      <c r="AW392" s="1639"/>
      <c r="AX392" s="1640"/>
      <c r="AY392" s="1640"/>
      <c r="AZ392" s="1640"/>
      <c r="BA392" s="1641"/>
      <c r="BB392" s="1640"/>
      <c r="BC392" s="1640"/>
      <c r="BD392" s="1640"/>
      <c r="BE392" s="1644"/>
      <c r="BF392" s="1640"/>
      <c r="BG392" s="1640"/>
      <c r="BH392" s="1640"/>
      <c r="BI392" s="1641"/>
      <c r="BJ392" s="1640"/>
      <c r="BK392" s="1640"/>
      <c r="BL392" s="1640"/>
      <c r="BM392" s="1641"/>
      <c r="BN392" s="1640"/>
      <c r="BO392" s="1640"/>
      <c r="BP392" s="1640"/>
      <c r="BQ392" s="1641"/>
      <c r="BR392" s="1640"/>
      <c r="BS392" s="1640"/>
      <c r="BT392" s="1904"/>
      <c r="BU392" s="1801">
        <v>0</v>
      </c>
      <c r="BV392" s="1640"/>
      <c r="BW392" s="1640"/>
      <c r="BX392" s="1640"/>
      <c r="BY392" s="1641"/>
      <c r="BZ392" s="1640"/>
      <c r="CA392" s="1640"/>
      <c r="CB392" s="1640"/>
      <c r="CC392" s="1641"/>
      <c r="CD392" s="1640"/>
      <c r="CE392" s="1640"/>
      <c r="CF392" s="1640"/>
      <c r="CG392" s="1642"/>
      <c r="CH392" s="1641">
        <f t="shared" si="282"/>
        <v>0</v>
      </c>
      <c r="CI392" s="1641">
        <f t="shared" si="282"/>
        <v>24</v>
      </c>
      <c r="CJ392" s="1641">
        <f t="shared" si="282"/>
        <v>0</v>
      </c>
      <c r="CK392" s="1641">
        <f t="shared" si="282"/>
        <v>0</v>
      </c>
      <c r="CL392" s="1889">
        <v>0</v>
      </c>
      <c r="CM392" s="1889">
        <v>24</v>
      </c>
      <c r="CN392" s="1889">
        <v>0</v>
      </c>
      <c r="CO392" s="1889">
        <v>0</v>
      </c>
      <c r="CP392" s="1641"/>
      <c r="CQ392" s="1640"/>
      <c r="CR392" s="1640"/>
      <c r="CS392" s="1640"/>
    </row>
    <row r="393" spans="1:107" ht="15" thickBot="1" x14ac:dyDescent="0.2">
      <c r="A393" s="1541" t="s">
        <v>87</v>
      </c>
      <c r="B393" s="1523" t="s">
        <v>79</v>
      </c>
      <c r="C393" s="1523" t="s">
        <v>80</v>
      </c>
      <c r="D393" s="1523" t="s">
        <v>125</v>
      </c>
      <c r="E393" s="1523" t="s">
        <v>214</v>
      </c>
      <c r="F393" s="1523"/>
      <c r="G393" s="1667">
        <v>223</v>
      </c>
      <c r="H393" s="1501">
        <v>434.2</v>
      </c>
      <c r="I393" s="1645"/>
      <c r="J393" s="1630"/>
      <c r="K393" s="1630"/>
      <c r="L393" s="1631"/>
      <c r="M393" s="1631"/>
      <c r="N393" s="1631"/>
      <c r="O393" s="1631"/>
      <c r="P393" s="1631"/>
      <c r="Q393" s="1631"/>
      <c r="R393" s="1631"/>
      <c r="S393" s="1631"/>
      <c r="T393" s="1632"/>
      <c r="U393" s="1633"/>
      <c r="V393" s="1633"/>
      <c r="W393" s="1634"/>
      <c r="X393" s="1634"/>
      <c r="Y393" s="1634"/>
      <c r="Z393" s="1635"/>
      <c r="AA393" s="1634"/>
      <c r="AB393" s="1634"/>
      <c r="AC393" s="1508">
        <f t="shared" si="293"/>
        <v>434.2</v>
      </c>
      <c r="AD393" s="1509">
        <f t="shared" si="294"/>
        <v>0</v>
      </c>
      <c r="AE393" s="1509">
        <f t="shared" si="295"/>
        <v>0</v>
      </c>
      <c r="AF393" s="1509">
        <f t="shared" si="295"/>
        <v>0</v>
      </c>
      <c r="AG393" s="1509">
        <f t="shared" si="295"/>
        <v>0</v>
      </c>
      <c r="AH393" s="1490">
        <f t="shared" si="272"/>
        <v>63.5</v>
      </c>
      <c r="AI393" s="1636">
        <f t="shared" si="296"/>
        <v>0</v>
      </c>
      <c r="AJ393" s="1636">
        <f t="shared" si="297"/>
        <v>0</v>
      </c>
      <c r="AK393" s="1636">
        <f t="shared" si="298"/>
        <v>0</v>
      </c>
      <c r="AL393" s="1636">
        <f t="shared" si="250"/>
        <v>0</v>
      </c>
      <c r="AM393" s="1636">
        <f t="shared" si="250"/>
        <v>0</v>
      </c>
      <c r="AN393" s="1637"/>
      <c r="AO393" s="1722">
        <v>36.200000000000003</v>
      </c>
      <c r="AP393" s="1638"/>
      <c r="AQ393" s="1638"/>
      <c r="AR393" s="1638"/>
      <c r="AS393" s="1639">
        <v>36.200000000000003</v>
      </c>
      <c r="AT393" s="1638"/>
      <c r="AU393" s="1638"/>
      <c r="AV393" s="1638"/>
      <c r="AW393" s="1639"/>
      <c r="AX393" s="1640"/>
      <c r="AY393" s="1640"/>
      <c r="AZ393" s="1640"/>
      <c r="BA393" s="1641"/>
      <c r="BB393" s="1640"/>
      <c r="BC393" s="1640"/>
      <c r="BD393" s="1640"/>
      <c r="BE393" s="1644">
        <v>78.3</v>
      </c>
      <c r="BF393" s="1640"/>
      <c r="BG393" s="1640"/>
      <c r="BH393" s="1640"/>
      <c r="BI393" s="1641">
        <v>40</v>
      </c>
      <c r="BJ393" s="1640"/>
      <c r="BK393" s="1640"/>
      <c r="BL393" s="1640"/>
      <c r="BM393" s="1641">
        <v>40</v>
      </c>
      <c r="BN393" s="1640"/>
      <c r="BO393" s="1640"/>
      <c r="BP393" s="1640"/>
      <c r="BQ393" s="1641">
        <v>40</v>
      </c>
      <c r="BR393" s="1640"/>
      <c r="BS393" s="1640"/>
      <c r="BT393" s="1904"/>
      <c r="BU393" s="1801">
        <f>63.5-63.5</f>
        <v>0</v>
      </c>
      <c r="BV393" s="1640"/>
      <c r="BW393" s="1640"/>
      <c r="BX393" s="1640"/>
      <c r="BY393" s="1641">
        <v>100</v>
      </c>
      <c r="BZ393" s="1640"/>
      <c r="CA393" s="1640"/>
      <c r="CB393" s="1640"/>
      <c r="CC393" s="1641"/>
      <c r="CD393" s="1640"/>
      <c r="CE393" s="1640"/>
      <c r="CF393" s="1640"/>
      <c r="CG393" s="1642"/>
      <c r="CH393" s="1641">
        <f t="shared" si="282"/>
        <v>63.5</v>
      </c>
      <c r="CI393" s="1641">
        <f t="shared" si="282"/>
        <v>0</v>
      </c>
      <c r="CJ393" s="1641">
        <f t="shared" si="282"/>
        <v>0</v>
      </c>
      <c r="CK393" s="1641">
        <f t="shared" si="282"/>
        <v>0</v>
      </c>
      <c r="CL393" s="1889">
        <v>63.5</v>
      </c>
      <c r="CM393" s="1889">
        <v>0</v>
      </c>
      <c r="CN393" s="1889">
        <v>0</v>
      </c>
      <c r="CO393" s="1889">
        <v>0</v>
      </c>
      <c r="CP393" s="1641"/>
      <c r="CQ393" s="1640"/>
      <c r="CR393" s="1640"/>
      <c r="CS393" s="1640"/>
    </row>
    <row r="394" spans="1:107" ht="15" thickBot="1" x14ac:dyDescent="0.2">
      <c r="A394" s="1541" t="s">
        <v>111</v>
      </c>
      <c r="B394" s="1523" t="s">
        <v>79</v>
      </c>
      <c r="C394" s="1523" t="s">
        <v>80</v>
      </c>
      <c r="D394" s="1523" t="s">
        <v>125</v>
      </c>
      <c r="E394" s="1523" t="s">
        <v>214</v>
      </c>
      <c r="F394" s="1523"/>
      <c r="G394" s="1667">
        <v>224</v>
      </c>
      <c r="H394" s="1501">
        <v>0</v>
      </c>
      <c r="I394" s="1645"/>
      <c r="J394" s="1630"/>
      <c r="K394" s="1630"/>
      <c r="L394" s="1631"/>
      <c r="M394" s="1631"/>
      <c r="N394" s="1631"/>
      <c r="O394" s="1631"/>
      <c r="P394" s="1631"/>
      <c r="Q394" s="1631"/>
      <c r="R394" s="1631"/>
      <c r="S394" s="1631"/>
      <c r="T394" s="1632"/>
      <c r="U394" s="1633"/>
      <c r="V394" s="1633"/>
      <c r="W394" s="1634"/>
      <c r="X394" s="1634"/>
      <c r="Y394" s="1634"/>
      <c r="Z394" s="1635"/>
      <c r="AA394" s="1634"/>
      <c r="AB394" s="1634"/>
      <c r="AC394" s="1508">
        <f t="shared" si="293"/>
        <v>0</v>
      </c>
      <c r="AD394" s="1509">
        <f t="shared" si="294"/>
        <v>0</v>
      </c>
      <c r="AE394" s="1509">
        <f t="shared" si="295"/>
        <v>0</v>
      </c>
      <c r="AF394" s="1509">
        <f t="shared" si="295"/>
        <v>0</v>
      </c>
      <c r="AG394" s="1509">
        <f t="shared" si="295"/>
        <v>0</v>
      </c>
      <c r="AH394" s="1490">
        <f t="shared" si="272"/>
        <v>0</v>
      </c>
      <c r="AI394" s="1636">
        <f t="shared" si="296"/>
        <v>0</v>
      </c>
      <c r="AJ394" s="1636">
        <f t="shared" si="297"/>
        <v>0</v>
      </c>
      <c r="AK394" s="1636">
        <f t="shared" si="298"/>
        <v>0</v>
      </c>
      <c r="AL394" s="1636">
        <f t="shared" si="250"/>
        <v>0</v>
      </c>
      <c r="AM394" s="1636">
        <f t="shared" si="250"/>
        <v>0</v>
      </c>
      <c r="AN394" s="1637"/>
      <c r="AO394" s="1722">
        <v>0</v>
      </c>
      <c r="AP394" s="1638"/>
      <c r="AQ394" s="1638"/>
      <c r="AR394" s="1638"/>
      <c r="AS394" s="1639"/>
      <c r="AT394" s="1638"/>
      <c r="AU394" s="1638"/>
      <c r="AV394" s="1638"/>
      <c r="AW394" s="1639"/>
      <c r="AX394" s="1640"/>
      <c r="AY394" s="1640"/>
      <c r="AZ394" s="1640"/>
      <c r="BA394" s="1641"/>
      <c r="BB394" s="1640"/>
      <c r="BC394" s="1640"/>
      <c r="BD394" s="1640"/>
      <c r="BE394" s="1644"/>
      <c r="BF394" s="1640"/>
      <c r="BG394" s="1640"/>
      <c r="BH394" s="1640"/>
      <c r="BI394" s="1641"/>
      <c r="BJ394" s="1640"/>
      <c r="BK394" s="1640"/>
      <c r="BL394" s="1640"/>
      <c r="BM394" s="1641"/>
      <c r="BN394" s="1640"/>
      <c r="BO394" s="1640"/>
      <c r="BP394" s="1640"/>
      <c r="BQ394" s="1641"/>
      <c r="BR394" s="1640"/>
      <c r="BS394" s="1640"/>
      <c r="BT394" s="1904"/>
      <c r="BU394" s="1801">
        <v>0</v>
      </c>
      <c r="BV394" s="1640"/>
      <c r="BW394" s="1640"/>
      <c r="BX394" s="1640"/>
      <c r="BY394" s="1641"/>
      <c r="BZ394" s="1640"/>
      <c r="CA394" s="1640"/>
      <c r="CB394" s="1640"/>
      <c r="CC394" s="1641"/>
      <c r="CD394" s="1640"/>
      <c r="CE394" s="1640"/>
      <c r="CF394" s="1640"/>
      <c r="CG394" s="1642"/>
      <c r="CH394" s="1641">
        <f t="shared" si="282"/>
        <v>0</v>
      </c>
      <c r="CI394" s="1641">
        <f t="shared" si="282"/>
        <v>0</v>
      </c>
      <c r="CJ394" s="1641">
        <f t="shared" si="282"/>
        <v>0</v>
      </c>
      <c r="CK394" s="1641">
        <f t="shared" si="282"/>
        <v>0</v>
      </c>
      <c r="CL394" s="1889">
        <v>0</v>
      </c>
      <c r="CM394" s="1889">
        <v>0</v>
      </c>
      <c r="CN394" s="1889">
        <v>0</v>
      </c>
      <c r="CO394" s="1889">
        <v>0</v>
      </c>
      <c r="CP394" s="1641"/>
      <c r="CQ394" s="1640"/>
      <c r="CR394" s="1640"/>
      <c r="CS394" s="1640"/>
    </row>
    <row r="395" spans="1:107" ht="15" thickBot="1" x14ac:dyDescent="0.2">
      <c r="A395" s="1541" t="s">
        <v>90</v>
      </c>
      <c r="B395" s="1523" t="s">
        <v>79</v>
      </c>
      <c r="C395" s="1523" t="s">
        <v>80</v>
      </c>
      <c r="D395" s="1523" t="s">
        <v>125</v>
      </c>
      <c r="E395" s="1523" t="s">
        <v>214</v>
      </c>
      <c r="F395" s="1523"/>
      <c r="G395" s="1667">
        <v>225</v>
      </c>
      <c r="H395" s="1501">
        <f>170+300</f>
        <v>470</v>
      </c>
      <c r="I395" s="1645"/>
      <c r="J395" s="1630"/>
      <c r="K395" s="1630"/>
      <c r="L395" s="1631"/>
      <c r="M395" s="1631"/>
      <c r="N395" s="1631"/>
      <c r="O395" s="1631"/>
      <c r="P395" s="1631"/>
      <c r="Q395" s="1631"/>
      <c r="R395" s="1631"/>
      <c r="S395" s="1631"/>
      <c r="T395" s="1632"/>
      <c r="U395" s="1633"/>
      <c r="V395" s="1633"/>
      <c r="W395" s="1634"/>
      <c r="X395" s="1634"/>
      <c r="Y395" s="1634"/>
      <c r="Z395" s="1635"/>
      <c r="AA395" s="1634"/>
      <c r="AB395" s="1634"/>
      <c r="AC395" s="1508">
        <f t="shared" si="293"/>
        <v>470</v>
      </c>
      <c r="AD395" s="1509">
        <f t="shared" si="294"/>
        <v>0</v>
      </c>
      <c r="AE395" s="1509">
        <f t="shared" si="295"/>
        <v>0</v>
      </c>
      <c r="AF395" s="1509">
        <f t="shared" si="295"/>
        <v>0</v>
      </c>
      <c r="AG395" s="1509">
        <f t="shared" si="295"/>
        <v>0</v>
      </c>
      <c r="AH395" s="1490">
        <f t="shared" si="272"/>
        <v>300</v>
      </c>
      <c r="AI395" s="1636">
        <f t="shared" si="296"/>
        <v>0</v>
      </c>
      <c r="AJ395" s="1636">
        <f t="shared" si="297"/>
        <v>0</v>
      </c>
      <c r="AK395" s="1636">
        <f t="shared" si="298"/>
        <v>0</v>
      </c>
      <c r="AL395" s="1636">
        <f t="shared" si="250"/>
        <v>0</v>
      </c>
      <c r="AM395" s="1636">
        <f t="shared" si="250"/>
        <v>0</v>
      </c>
      <c r="AN395" s="1637"/>
      <c r="AO395" s="1723"/>
      <c r="AP395" s="1638"/>
      <c r="AQ395" s="1638"/>
      <c r="AR395" s="1638"/>
      <c r="AS395" s="1639"/>
      <c r="AT395" s="1638"/>
      <c r="AU395" s="1638"/>
      <c r="AV395" s="1638"/>
      <c r="AW395" s="1639"/>
      <c r="AX395" s="1640"/>
      <c r="AY395" s="1640"/>
      <c r="AZ395" s="1640"/>
      <c r="BA395" s="1641"/>
      <c r="BB395" s="1640"/>
      <c r="BC395" s="1640"/>
      <c r="BD395" s="1640"/>
      <c r="BE395" s="1644"/>
      <c r="BF395" s="1640"/>
      <c r="BG395" s="1640"/>
      <c r="BH395" s="1640"/>
      <c r="BI395" s="1641"/>
      <c r="BJ395" s="1640"/>
      <c r="BK395" s="1640"/>
      <c r="BL395" s="1640"/>
      <c r="BM395" s="1641"/>
      <c r="BN395" s="1640"/>
      <c r="BO395" s="1640"/>
      <c r="BP395" s="1640"/>
      <c r="BQ395" s="1641">
        <v>170</v>
      </c>
      <c r="BR395" s="1640"/>
      <c r="BS395" s="1640"/>
      <c r="BT395" s="1904"/>
      <c r="BU395" s="1801">
        <f>300-300</f>
        <v>0</v>
      </c>
      <c r="BV395" s="1640"/>
      <c r="BW395" s="1640"/>
      <c r="BX395" s="1640"/>
      <c r="BY395" s="1641"/>
      <c r="BZ395" s="1640"/>
      <c r="CA395" s="1640"/>
      <c r="CB395" s="1640"/>
      <c r="CC395" s="1641"/>
      <c r="CD395" s="1640"/>
      <c r="CE395" s="1640"/>
      <c r="CF395" s="1640"/>
      <c r="CG395" s="1642"/>
      <c r="CH395" s="1641">
        <f t="shared" si="282"/>
        <v>300</v>
      </c>
      <c r="CI395" s="1641">
        <f t="shared" si="282"/>
        <v>0</v>
      </c>
      <c r="CJ395" s="1641">
        <f t="shared" si="282"/>
        <v>0</v>
      </c>
      <c r="CK395" s="1641">
        <f t="shared" si="282"/>
        <v>0</v>
      </c>
      <c r="CL395" s="1889">
        <v>300</v>
      </c>
      <c r="CM395" s="1889">
        <v>0</v>
      </c>
      <c r="CN395" s="1889">
        <v>0</v>
      </c>
      <c r="CO395" s="1889">
        <v>0</v>
      </c>
      <c r="CP395" s="1641"/>
      <c r="CQ395" s="1640"/>
      <c r="CR395" s="1640"/>
      <c r="CS395" s="1640"/>
    </row>
    <row r="396" spans="1:107" ht="15" thickBot="1" x14ac:dyDescent="0.2">
      <c r="A396" s="1541" t="s">
        <v>91</v>
      </c>
      <c r="B396" s="1523" t="s">
        <v>79</v>
      </c>
      <c r="C396" s="1523" t="s">
        <v>80</v>
      </c>
      <c r="D396" s="1523" t="s">
        <v>125</v>
      </c>
      <c r="E396" s="1523" t="s">
        <v>214</v>
      </c>
      <c r="F396" s="1523"/>
      <c r="G396" s="1667">
        <v>226</v>
      </c>
      <c r="H396" s="1501">
        <f>149.026+6+45+100+50+2300+500+1837.5-2337.5</f>
        <v>2650.0259999999998</v>
      </c>
      <c r="I396" s="1645">
        <v>472</v>
      </c>
      <c r="J396" s="1630"/>
      <c r="K396" s="1630"/>
      <c r="L396" s="1631"/>
      <c r="M396" s="1631"/>
      <c r="N396" s="1631"/>
      <c r="O396" s="1631"/>
      <c r="P396" s="1631"/>
      <c r="Q396" s="1631"/>
      <c r="R396" s="1631"/>
      <c r="S396" s="1631"/>
      <c r="T396" s="1632"/>
      <c r="U396" s="1633"/>
      <c r="V396" s="1633"/>
      <c r="W396" s="1634"/>
      <c r="X396" s="1634"/>
      <c r="Y396" s="1634"/>
      <c r="Z396" s="1635"/>
      <c r="AA396" s="1634"/>
      <c r="AB396" s="1634"/>
      <c r="AC396" s="1508">
        <f t="shared" si="293"/>
        <v>2650.0259999999998</v>
      </c>
      <c r="AD396" s="1509">
        <f t="shared" si="294"/>
        <v>472</v>
      </c>
      <c r="AE396" s="1509">
        <f t="shared" si="295"/>
        <v>472</v>
      </c>
      <c r="AF396" s="1509">
        <f t="shared" si="295"/>
        <v>0</v>
      </c>
      <c r="AG396" s="1509">
        <f t="shared" si="295"/>
        <v>0</v>
      </c>
      <c r="AH396" s="1490">
        <f t="shared" si="272"/>
        <v>0</v>
      </c>
      <c r="AI396" s="1636">
        <f t="shared" si="296"/>
        <v>0</v>
      </c>
      <c r="AJ396" s="1636">
        <f t="shared" si="297"/>
        <v>0</v>
      </c>
      <c r="AK396" s="1636">
        <f t="shared" si="298"/>
        <v>0</v>
      </c>
      <c r="AL396" s="1636">
        <f t="shared" si="250"/>
        <v>0</v>
      </c>
      <c r="AM396" s="1636">
        <f t="shared" si="250"/>
        <v>0</v>
      </c>
      <c r="AN396" s="1637"/>
      <c r="AO396" s="1723"/>
      <c r="AP396" s="1638"/>
      <c r="AQ396" s="1638"/>
      <c r="AR396" s="1638"/>
      <c r="AS396" s="1639"/>
      <c r="AT396" s="1638"/>
      <c r="AU396" s="1638"/>
      <c r="AV396" s="1638"/>
      <c r="AW396" s="1639"/>
      <c r="AX396" s="1640"/>
      <c r="AY396" s="1640"/>
      <c r="AZ396" s="1640"/>
      <c r="BA396" s="1641"/>
      <c r="BB396" s="1640"/>
      <c r="BC396" s="1640"/>
      <c r="BD396" s="1640"/>
      <c r="BE396" s="1644"/>
      <c r="BF396" s="1640"/>
      <c r="BG396" s="1640"/>
      <c r="BH396" s="1640"/>
      <c r="BI396" s="1641"/>
      <c r="BJ396" s="1640"/>
      <c r="BK396" s="1640"/>
      <c r="BL396" s="1640"/>
      <c r="BM396" s="1641">
        <v>100</v>
      </c>
      <c r="BN396" s="1640"/>
      <c r="BO396" s="1640"/>
      <c r="BP396" s="1640"/>
      <c r="BQ396" s="1905">
        <f>149.05+1132.4+36.15+342</f>
        <v>1659.6000000000001</v>
      </c>
      <c r="BR396" s="1640"/>
      <c r="BS396" s="1640"/>
      <c r="BT396" s="1904"/>
      <c r="BU396" s="1801">
        <f>200.976+46.5+63.5+300+56.1+122.374</f>
        <v>789.45</v>
      </c>
      <c r="BV396" s="1640"/>
      <c r="BW396" s="1640"/>
      <c r="BX396" s="1640"/>
      <c r="BY396" s="1641"/>
      <c r="BZ396" s="1640"/>
      <c r="CA396" s="1640"/>
      <c r="CB396" s="1640"/>
      <c r="CC396" s="1641">
        <v>697.83</v>
      </c>
      <c r="CD396" s="1640"/>
      <c r="CE396" s="1640"/>
      <c r="CF396" s="1640"/>
      <c r="CG396" s="1642"/>
      <c r="CH396" s="1641">
        <f t="shared" si="282"/>
        <v>-596.85400000000004</v>
      </c>
      <c r="CI396" s="1641">
        <f t="shared" si="282"/>
        <v>472</v>
      </c>
      <c r="CJ396" s="1641">
        <f t="shared" si="282"/>
        <v>0</v>
      </c>
      <c r="CK396" s="1641">
        <f t="shared" si="282"/>
        <v>0</v>
      </c>
      <c r="CL396" s="1889">
        <v>0</v>
      </c>
      <c r="CM396" s="1889">
        <v>472</v>
      </c>
      <c r="CN396" s="1889">
        <v>0</v>
      </c>
      <c r="CO396" s="1889">
        <v>0</v>
      </c>
      <c r="CP396" s="1641">
        <f>-596.854</f>
        <v>-596.85400000000004</v>
      </c>
      <c r="CQ396" s="1640"/>
      <c r="CR396" s="1640"/>
      <c r="CS396" s="1640"/>
    </row>
    <row r="397" spans="1:107" ht="15" thickBot="1" x14ac:dyDescent="0.2">
      <c r="A397" s="1541" t="s">
        <v>94</v>
      </c>
      <c r="B397" s="1523" t="s">
        <v>79</v>
      </c>
      <c r="C397" s="1523" t="s">
        <v>80</v>
      </c>
      <c r="D397" s="1523" t="s">
        <v>125</v>
      </c>
      <c r="E397" s="1523" t="s">
        <v>214</v>
      </c>
      <c r="F397" s="1523"/>
      <c r="G397" s="1667">
        <v>290</v>
      </c>
      <c r="H397" s="1501">
        <f>86-38</f>
        <v>48</v>
      </c>
      <c r="I397" s="1645"/>
      <c r="J397" s="1630"/>
      <c r="K397" s="1630"/>
      <c r="L397" s="1631"/>
      <c r="M397" s="1631"/>
      <c r="N397" s="1631"/>
      <c r="O397" s="1631"/>
      <c r="P397" s="1631"/>
      <c r="Q397" s="1631"/>
      <c r="R397" s="1631"/>
      <c r="S397" s="1631"/>
      <c r="T397" s="1632"/>
      <c r="U397" s="1633"/>
      <c r="V397" s="1633"/>
      <c r="W397" s="1634"/>
      <c r="X397" s="1634"/>
      <c r="Y397" s="1634"/>
      <c r="Z397" s="1635"/>
      <c r="AA397" s="1634"/>
      <c r="AB397" s="1634"/>
      <c r="AC397" s="1508">
        <f t="shared" si="293"/>
        <v>48</v>
      </c>
      <c r="AD397" s="1509">
        <f t="shared" si="294"/>
        <v>0</v>
      </c>
      <c r="AE397" s="1509">
        <f t="shared" si="295"/>
        <v>0</v>
      </c>
      <c r="AF397" s="1509">
        <f t="shared" si="295"/>
        <v>0</v>
      </c>
      <c r="AG397" s="1509">
        <f t="shared" si="295"/>
        <v>0</v>
      </c>
      <c r="AH397" s="1490">
        <f t="shared" si="272"/>
        <v>18.100000000000001</v>
      </c>
      <c r="AI397" s="1636">
        <f t="shared" si="296"/>
        <v>0</v>
      </c>
      <c r="AJ397" s="1636">
        <f t="shared" si="297"/>
        <v>0</v>
      </c>
      <c r="AK397" s="1636">
        <f t="shared" si="298"/>
        <v>0</v>
      </c>
      <c r="AL397" s="1636">
        <f t="shared" si="250"/>
        <v>0</v>
      </c>
      <c r="AM397" s="1636">
        <f t="shared" si="250"/>
        <v>0</v>
      </c>
      <c r="AN397" s="1637"/>
      <c r="AO397" s="1722">
        <v>7.2</v>
      </c>
      <c r="AP397" s="1638"/>
      <c r="AQ397" s="1638"/>
      <c r="AR397" s="1638"/>
      <c r="AS397" s="1639"/>
      <c r="AT397" s="1638"/>
      <c r="AU397" s="1638"/>
      <c r="AV397" s="1638"/>
      <c r="AW397" s="1639"/>
      <c r="AX397" s="1640"/>
      <c r="AY397" s="1640"/>
      <c r="AZ397" s="1640"/>
      <c r="BA397" s="1641"/>
      <c r="BB397" s="1640"/>
      <c r="BC397" s="1640"/>
      <c r="BD397" s="1640"/>
      <c r="BE397" s="1644">
        <v>22.7</v>
      </c>
      <c r="BF397" s="1640"/>
      <c r="BG397" s="1640"/>
      <c r="BH397" s="1640"/>
      <c r="BI397" s="1641"/>
      <c r="BJ397" s="1640"/>
      <c r="BK397" s="1640"/>
      <c r="BL397" s="1640"/>
      <c r="BM397" s="1641"/>
      <c r="BN397" s="1640"/>
      <c r="BO397" s="1640"/>
      <c r="BP397" s="1640"/>
      <c r="BQ397" s="1641"/>
      <c r="BR397" s="1640"/>
      <c r="BS397" s="1640"/>
      <c r="BT397" s="1904"/>
      <c r="BU397" s="1801">
        <f>56.1-56.1</f>
        <v>0</v>
      </c>
      <c r="BV397" s="1640"/>
      <c r="BW397" s="1640"/>
      <c r="BX397" s="1640"/>
      <c r="BY397" s="1641"/>
      <c r="BZ397" s="1640"/>
      <c r="CA397" s="1640"/>
      <c r="CB397" s="1640"/>
      <c r="CC397" s="1641"/>
      <c r="CD397" s="1640"/>
      <c r="CE397" s="1640"/>
      <c r="CF397" s="1640"/>
      <c r="CG397" s="1642"/>
      <c r="CH397" s="1641">
        <f t="shared" si="282"/>
        <v>18.100000000000001</v>
      </c>
      <c r="CI397" s="1641">
        <f t="shared" si="282"/>
        <v>0</v>
      </c>
      <c r="CJ397" s="1641">
        <f t="shared" si="282"/>
        <v>0</v>
      </c>
      <c r="CK397" s="1641">
        <f t="shared" si="282"/>
        <v>0</v>
      </c>
      <c r="CL397" s="1889">
        <v>18.100000000000001</v>
      </c>
      <c r="CM397" s="1889">
        <v>0</v>
      </c>
      <c r="CN397" s="1889">
        <v>0</v>
      </c>
      <c r="CO397" s="1889">
        <v>0</v>
      </c>
      <c r="CP397" s="1641"/>
      <c r="CQ397" s="1640"/>
      <c r="CR397" s="1640"/>
      <c r="CS397" s="1640"/>
    </row>
    <row r="398" spans="1:107" ht="15" thickBot="1" x14ac:dyDescent="0.2">
      <c r="A398" s="1541" t="s">
        <v>94</v>
      </c>
      <c r="B398" s="1523" t="s">
        <v>79</v>
      </c>
      <c r="C398" s="1523" t="s">
        <v>80</v>
      </c>
      <c r="D398" s="1523" t="s">
        <v>125</v>
      </c>
      <c r="E398" s="1523" t="s">
        <v>214</v>
      </c>
      <c r="F398" s="1523"/>
      <c r="G398" s="1667" t="s">
        <v>95</v>
      </c>
      <c r="H398" s="1501">
        <v>0</v>
      </c>
      <c r="I398" s="1645"/>
      <c r="J398" s="1630"/>
      <c r="K398" s="1630"/>
      <c r="L398" s="1631"/>
      <c r="M398" s="1631"/>
      <c r="N398" s="1631"/>
      <c r="O398" s="1631"/>
      <c r="P398" s="1631"/>
      <c r="Q398" s="1631"/>
      <c r="R398" s="1631"/>
      <c r="S398" s="1631"/>
      <c r="T398" s="1632"/>
      <c r="U398" s="1633"/>
      <c r="V398" s="1633"/>
      <c r="W398" s="1634"/>
      <c r="X398" s="1634"/>
      <c r="Y398" s="1634"/>
      <c r="Z398" s="1635"/>
      <c r="AA398" s="1634"/>
      <c r="AB398" s="1634"/>
      <c r="AC398" s="1508">
        <f t="shared" si="293"/>
        <v>0</v>
      </c>
      <c r="AD398" s="1509">
        <f t="shared" si="294"/>
        <v>0</v>
      </c>
      <c r="AE398" s="1509">
        <f t="shared" si="295"/>
        <v>0</v>
      </c>
      <c r="AF398" s="1509">
        <f t="shared" si="295"/>
        <v>0</v>
      </c>
      <c r="AG398" s="1509">
        <f t="shared" si="295"/>
        <v>0</v>
      </c>
      <c r="AH398" s="1490">
        <f t="shared" si="272"/>
        <v>0</v>
      </c>
      <c r="AI398" s="1636">
        <f t="shared" si="296"/>
        <v>0</v>
      </c>
      <c r="AJ398" s="1636">
        <f t="shared" si="297"/>
        <v>0</v>
      </c>
      <c r="AK398" s="1636">
        <f t="shared" si="298"/>
        <v>0</v>
      </c>
      <c r="AL398" s="1636">
        <f t="shared" si="250"/>
        <v>0</v>
      </c>
      <c r="AM398" s="1636">
        <f t="shared" si="250"/>
        <v>0</v>
      </c>
      <c r="AN398" s="1637"/>
      <c r="AO398" s="1722">
        <v>0</v>
      </c>
      <c r="AP398" s="1638"/>
      <c r="AQ398" s="1638"/>
      <c r="AR398" s="1638"/>
      <c r="AS398" s="1639"/>
      <c r="AT398" s="1638"/>
      <c r="AU398" s="1638"/>
      <c r="AV398" s="1638"/>
      <c r="AW398" s="1639"/>
      <c r="AX398" s="1640"/>
      <c r="AY398" s="1640"/>
      <c r="AZ398" s="1640"/>
      <c r="BA398" s="1641"/>
      <c r="BB398" s="1640"/>
      <c r="BC398" s="1640"/>
      <c r="BD398" s="1640"/>
      <c r="BE398" s="1644"/>
      <c r="BF398" s="1640"/>
      <c r="BG398" s="1640"/>
      <c r="BH398" s="1640"/>
      <c r="BI398" s="1641"/>
      <c r="BJ398" s="1640"/>
      <c r="BK398" s="1640"/>
      <c r="BL398" s="1640"/>
      <c r="BM398" s="1641"/>
      <c r="BN398" s="1640"/>
      <c r="BO398" s="1640"/>
      <c r="BP398" s="1640"/>
      <c r="BQ398" s="1641"/>
      <c r="BR398" s="1640"/>
      <c r="BS398" s="1640"/>
      <c r="BT398" s="1904"/>
      <c r="BU398" s="1801">
        <v>0</v>
      </c>
      <c r="BV398" s="1640"/>
      <c r="BW398" s="1640"/>
      <c r="BX398" s="1640"/>
      <c r="BY398" s="1641"/>
      <c r="BZ398" s="1640"/>
      <c r="CA398" s="1640"/>
      <c r="CB398" s="1640"/>
      <c r="CC398" s="1641"/>
      <c r="CD398" s="1640"/>
      <c r="CE398" s="1640"/>
      <c r="CF398" s="1640"/>
      <c r="CG398" s="1642"/>
      <c r="CH398" s="1641">
        <f t="shared" si="282"/>
        <v>0</v>
      </c>
      <c r="CI398" s="1641">
        <f t="shared" si="282"/>
        <v>0</v>
      </c>
      <c r="CJ398" s="1641">
        <f t="shared" si="282"/>
        <v>0</v>
      </c>
      <c r="CK398" s="1641">
        <f t="shared" si="282"/>
        <v>0</v>
      </c>
      <c r="CL398" s="1889">
        <v>0</v>
      </c>
      <c r="CM398" s="1889">
        <v>0</v>
      </c>
      <c r="CN398" s="1889">
        <v>0</v>
      </c>
      <c r="CO398" s="1889">
        <v>0</v>
      </c>
      <c r="CP398" s="1641"/>
      <c r="CQ398" s="1640"/>
      <c r="CR398" s="1640"/>
      <c r="CS398" s="1640"/>
    </row>
    <row r="399" spans="1:107" ht="15" thickBot="1" x14ac:dyDescent="0.2">
      <c r="A399" s="1541" t="s">
        <v>96</v>
      </c>
      <c r="B399" s="1523" t="s">
        <v>79</v>
      </c>
      <c r="C399" s="1523" t="s">
        <v>80</v>
      </c>
      <c r="D399" s="1523" t="s">
        <v>125</v>
      </c>
      <c r="E399" s="1523" t="s">
        <v>214</v>
      </c>
      <c r="F399" s="1523"/>
      <c r="G399" s="1667">
        <v>310</v>
      </c>
      <c r="H399" s="1501">
        <f>122.4-0.026</f>
        <v>122.37400000000001</v>
      </c>
      <c r="I399" s="1645"/>
      <c r="J399" s="1630"/>
      <c r="K399" s="1630"/>
      <c r="L399" s="1631"/>
      <c r="M399" s="1631"/>
      <c r="N399" s="1631"/>
      <c r="O399" s="1631"/>
      <c r="P399" s="1631"/>
      <c r="Q399" s="1631"/>
      <c r="R399" s="1631"/>
      <c r="S399" s="1631"/>
      <c r="T399" s="1632"/>
      <c r="U399" s="1633"/>
      <c r="V399" s="1633"/>
      <c r="W399" s="1634"/>
      <c r="X399" s="1634"/>
      <c r="Y399" s="1634"/>
      <c r="Z399" s="1635"/>
      <c r="AA399" s="1634"/>
      <c r="AB399" s="1634"/>
      <c r="AC399" s="1508">
        <f t="shared" si="293"/>
        <v>122.374</v>
      </c>
      <c r="AD399" s="1509">
        <f t="shared" si="294"/>
        <v>0</v>
      </c>
      <c r="AE399" s="1509">
        <f t="shared" si="295"/>
        <v>0</v>
      </c>
      <c r="AF399" s="1509">
        <f t="shared" si="295"/>
        <v>0</v>
      </c>
      <c r="AG399" s="1509">
        <f t="shared" si="295"/>
        <v>0</v>
      </c>
      <c r="AH399" s="1490">
        <f t="shared" si="272"/>
        <v>122.374</v>
      </c>
      <c r="AI399" s="1636">
        <f t="shared" si="296"/>
        <v>0</v>
      </c>
      <c r="AJ399" s="1636">
        <f t="shared" si="297"/>
        <v>0</v>
      </c>
      <c r="AK399" s="1636">
        <f t="shared" si="298"/>
        <v>0</v>
      </c>
      <c r="AL399" s="1636">
        <f t="shared" si="250"/>
        <v>0</v>
      </c>
      <c r="AM399" s="1636">
        <f t="shared" si="250"/>
        <v>0</v>
      </c>
      <c r="AN399" s="1637"/>
      <c r="AO399" s="1723"/>
      <c r="AP399" s="1638"/>
      <c r="AQ399" s="1638"/>
      <c r="AR399" s="1638"/>
      <c r="AS399" s="1639"/>
      <c r="AT399" s="1638"/>
      <c r="AU399" s="1638"/>
      <c r="AV399" s="1638"/>
      <c r="AW399" s="1639"/>
      <c r="AX399" s="1640"/>
      <c r="AY399" s="1640"/>
      <c r="AZ399" s="1640"/>
      <c r="BA399" s="1641"/>
      <c r="BB399" s="1640"/>
      <c r="BC399" s="1640"/>
      <c r="BD399" s="1640"/>
      <c r="BE399" s="1644"/>
      <c r="BF399" s="1640"/>
      <c r="BG399" s="1640"/>
      <c r="BH399" s="1640"/>
      <c r="BI399" s="1641"/>
      <c r="BJ399" s="1640"/>
      <c r="BK399" s="1640"/>
      <c r="BL399" s="1640"/>
      <c r="BM399" s="1641"/>
      <c r="BN399" s="1640"/>
      <c r="BO399" s="1640"/>
      <c r="BP399" s="1640"/>
      <c r="BQ399" s="1641"/>
      <c r="BR399" s="1640"/>
      <c r="BS399" s="1640"/>
      <c r="BT399" s="1904"/>
      <c r="BU399" s="1801">
        <f>122.374-122.374</f>
        <v>0</v>
      </c>
      <c r="BV399" s="1640"/>
      <c r="BW399" s="1640"/>
      <c r="BX399" s="1640"/>
      <c r="BY399" s="1641"/>
      <c r="BZ399" s="1640"/>
      <c r="CA399" s="1640"/>
      <c r="CB399" s="1640"/>
      <c r="CC399" s="1641"/>
      <c r="CD399" s="1640"/>
      <c r="CE399" s="1640"/>
      <c r="CF399" s="1640"/>
      <c r="CG399" s="1642"/>
      <c r="CH399" s="1641">
        <f t="shared" si="282"/>
        <v>122.374</v>
      </c>
      <c r="CI399" s="1641">
        <f t="shared" si="282"/>
        <v>0</v>
      </c>
      <c r="CJ399" s="1641">
        <f t="shared" si="282"/>
        <v>0</v>
      </c>
      <c r="CK399" s="1641">
        <f t="shared" si="282"/>
        <v>0</v>
      </c>
      <c r="CL399" s="1889">
        <v>122.374</v>
      </c>
      <c r="CM399" s="1889">
        <v>0</v>
      </c>
      <c r="CN399" s="1889">
        <v>0</v>
      </c>
      <c r="CO399" s="1889">
        <v>0</v>
      </c>
      <c r="CP399" s="1641"/>
      <c r="CQ399" s="1640"/>
      <c r="CR399" s="1640"/>
      <c r="CS399" s="1640"/>
    </row>
    <row r="400" spans="1:107" ht="15" thickBot="1" x14ac:dyDescent="0.2">
      <c r="A400" s="1541" t="s">
        <v>97</v>
      </c>
      <c r="B400" s="1523" t="s">
        <v>79</v>
      </c>
      <c r="C400" s="1523" t="s">
        <v>80</v>
      </c>
      <c r="D400" s="1523" t="s">
        <v>125</v>
      </c>
      <c r="E400" s="1523" t="s">
        <v>214</v>
      </c>
      <c r="F400" s="1523"/>
      <c r="G400" s="1667">
        <v>340</v>
      </c>
      <c r="H400" s="1501">
        <v>0</v>
      </c>
      <c r="I400" s="1645"/>
      <c r="J400" s="1630"/>
      <c r="K400" s="1630"/>
      <c r="L400" s="1631"/>
      <c r="M400" s="1631"/>
      <c r="N400" s="1631"/>
      <c r="O400" s="1631"/>
      <c r="P400" s="1631"/>
      <c r="Q400" s="1631"/>
      <c r="R400" s="1631"/>
      <c r="S400" s="1631"/>
      <c r="T400" s="1632"/>
      <c r="U400" s="1633"/>
      <c r="V400" s="1633"/>
      <c r="W400" s="1634"/>
      <c r="X400" s="1634"/>
      <c r="Y400" s="1634"/>
      <c r="Z400" s="1635"/>
      <c r="AA400" s="1634"/>
      <c r="AB400" s="1634"/>
      <c r="AC400" s="1508">
        <f t="shared" si="293"/>
        <v>0</v>
      </c>
      <c r="AD400" s="1509">
        <f t="shared" si="294"/>
        <v>0</v>
      </c>
      <c r="AE400" s="1509">
        <f t="shared" si="295"/>
        <v>0</v>
      </c>
      <c r="AF400" s="1509">
        <f t="shared" si="295"/>
        <v>0</v>
      </c>
      <c r="AG400" s="1509">
        <f t="shared" si="295"/>
        <v>0</v>
      </c>
      <c r="AH400" s="1490">
        <f t="shared" si="272"/>
        <v>0</v>
      </c>
      <c r="AI400" s="1636">
        <f t="shared" si="296"/>
        <v>0</v>
      </c>
      <c r="AJ400" s="1636">
        <f t="shared" si="297"/>
        <v>0</v>
      </c>
      <c r="AK400" s="1636">
        <f t="shared" si="298"/>
        <v>0</v>
      </c>
      <c r="AL400" s="1636">
        <f t="shared" si="250"/>
        <v>0</v>
      </c>
      <c r="AM400" s="1636">
        <f t="shared" si="250"/>
        <v>0</v>
      </c>
      <c r="AN400" s="1637"/>
      <c r="AO400" s="1722">
        <v>0</v>
      </c>
      <c r="AP400" s="1638"/>
      <c r="AQ400" s="1638"/>
      <c r="AR400" s="1638"/>
      <c r="AS400" s="1639"/>
      <c r="AT400" s="1638"/>
      <c r="AU400" s="1638"/>
      <c r="AV400" s="1638"/>
      <c r="AW400" s="1639"/>
      <c r="AX400" s="1640"/>
      <c r="AY400" s="1640"/>
      <c r="AZ400" s="1640"/>
      <c r="BA400" s="1641"/>
      <c r="BB400" s="1640"/>
      <c r="BC400" s="1640"/>
      <c r="BD400" s="1640"/>
      <c r="BE400" s="1644"/>
      <c r="BF400" s="1640"/>
      <c r="BG400" s="1640"/>
      <c r="BH400" s="1640"/>
      <c r="BI400" s="1641"/>
      <c r="BJ400" s="1640"/>
      <c r="BK400" s="1640"/>
      <c r="BL400" s="1640"/>
      <c r="BM400" s="1641"/>
      <c r="BN400" s="1640"/>
      <c r="BO400" s="1640"/>
      <c r="BP400" s="1640"/>
      <c r="BQ400" s="1641"/>
      <c r="BR400" s="1640"/>
      <c r="BS400" s="1640"/>
      <c r="BT400" s="1640"/>
      <c r="BU400" s="1668"/>
      <c r="BV400" s="1640"/>
      <c r="BW400" s="1640"/>
      <c r="BX400" s="1640"/>
      <c r="BY400" s="1641"/>
      <c r="BZ400" s="1640"/>
      <c r="CA400" s="1640"/>
      <c r="CB400" s="1640"/>
      <c r="CC400" s="1641"/>
      <c r="CD400" s="1640"/>
      <c r="CE400" s="1640"/>
      <c r="CF400" s="1640"/>
      <c r="CG400" s="1642"/>
      <c r="CH400" s="1641">
        <f t="shared" si="282"/>
        <v>0</v>
      </c>
      <c r="CI400" s="1641">
        <f t="shared" si="282"/>
        <v>0</v>
      </c>
      <c r="CJ400" s="1641">
        <f t="shared" si="282"/>
        <v>0</v>
      </c>
      <c r="CK400" s="1641">
        <f t="shared" si="282"/>
        <v>0</v>
      </c>
      <c r="CL400" s="1889">
        <v>0</v>
      </c>
      <c r="CM400" s="1889">
        <v>0</v>
      </c>
      <c r="CN400" s="1889">
        <v>0</v>
      </c>
      <c r="CO400" s="1889">
        <v>0</v>
      </c>
      <c r="CP400" s="1641"/>
      <c r="CQ400" s="1640"/>
      <c r="CR400" s="1640"/>
      <c r="CS400" s="1640"/>
    </row>
    <row r="401" spans="1:107" ht="15" thickBot="1" x14ac:dyDescent="0.2">
      <c r="A401" s="1528" t="s">
        <v>767</v>
      </c>
      <c r="B401" s="1530" t="s">
        <v>79</v>
      </c>
      <c r="C401" s="1530" t="s">
        <v>80</v>
      </c>
      <c r="D401" s="1530" t="s">
        <v>125</v>
      </c>
      <c r="E401" s="1530" t="s">
        <v>214</v>
      </c>
      <c r="F401" s="1530" t="s">
        <v>768</v>
      </c>
      <c r="G401" s="1600" t="s">
        <v>766</v>
      </c>
      <c r="H401" s="1647">
        <f>I387</f>
        <v>500</v>
      </c>
      <c r="I401" s="1645"/>
      <c r="J401" s="1630"/>
      <c r="K401" s="1630"/>
      <c r="L401" s="1631"/>
      <c r="M401" s="1631"/>
      <c r="N401" s="1631"/>
      <c r="O401" s="1631"/>
      <c r="P401" s="1631"/>
      <c r="Q401" s="1631"/>
      <c r="R401" s="1631"/>
      <c r="S401" s="1631"/>
      <c r="T401" s="1632"/>
      <c r="U401" s="1633"/>
      <c r="V401" s="1633"/>
      <c r="W401" s="1634"/>
      <c r="X401" s="1634"/>
      <c r="Y401" s="1634"/>
      <c r="Z401" s="1635"/>
      <c r="AA401" s="1634"/>
      <c r="AB401" s="1634"/>
      <c r="AC401" s="1508">
        <f t="shared" si="293"/>
        <v>0</v>
      </c>
      <c r="AD401" s="1509">
        <f t="shared" si="294"/>
        <v>0</v>
      </c>
      <c r="AE401" s="1509">
        <f>AP401+AT401+AX401+BB401+BF401+BJ401+BN401+BR401+BV401+BZ401+CD401+CI401</f>
        <v>0</v>
      </c>
      <c r="AF401" s="1509"/>
      <c r="AG401" s="1509"/>
      <c r="AH401" s="1490">
        <f t="shared" si="272"/>
        <v>0</v>
      </c>
      <c r="AI401" s="1636"/>
      <c r="AJ401" s="1636"/>
      <c r="AK401" s="1636"/>
      <c r="AL401" s="1636">
        <f t="shared" si="250"/>
        <v>0</v>
      </c>
      <c r="AM401" s="1636"/>
      <c r="AN401" s="1712"/>
      <c r="AO401" s="1713"/>
      <c r="AP401" s="1638"/>
      <c r="AQ401" s="1638"/>
      <c r="AR401" s="1638"/>
      <c r="AS401" s="1639"/>
      <c r="AT401" s="1638"/>
      <c r="AU401" s="1638"/>
      <c r="AV401" s="1638"/>
      <c r="AW401" s="1639"/>
      <c r="AX401" s="1640"/>
      <c r="AY401" s="1640"/>
      <c r="AZ401" s="1640"/>
      <c r="BA401" s="1641"/>
      <c r="BB401" s="1640"/>
      <c r="BC401" s="1640"/>
      <c r="BD401" s="1640"/>
      <c r="BE401" s="1644"/>
      <c r="BF401" s="1640"/>
      <c r="BG401" s="1640"/>
      <c r="BH401" s="1640"/>
      <c r="BI401" s="1641"/>
      <c r="BJ401" s="1640"/>
      <c r="BK401" s="1640"/>
      <c r="BL401" s="1640"/>
      <c r="BM401" s="1641"/>
      <c r="BN401" s="1640"/>
      <c r="BO401" s="1640"/>
      <c r="BP401" s="1640"/>
      <c r="BQ401" s="1641"/>
      <c r="BR401" s="1640"/>
      <c r="BS401" s="1640"/>
      <c r="BT401" s="1640"/>
      <c r="BU401" s="1641"/>
      <c r="BV401" s="1640"/>
      <c r="BW401" s="1640"/>
      <c r="BX401" s="1640"/>
      <c r="BY401" s="1641"/>
      <c r="BZ401" s="1640"/>
      <c r="CA401" s="1640"/>
      <c r="CB401" s="1640"/>
      <c r="CC401" s="1641"/>
      <c r="CD401" s="1640"/>
      <c r="CE401" s="1640"/>
      <c r="CF401" s="1640"/>
      <c r="CG401" s="1642"/>
      <c r="CH401" s="1641">
        <f t="shared" si="282"/>
        <v>0</v>
      </c>
      <c r="CI401" s="1641">
        <f t="shared" si="282"/>
        <v>0</v>
      </c>
      <c r="CJ401" s="1641">
        <f t="shared" si="282"/>
        <v>0</v>
      </c>
      <c r="CK401" s="1641">
        <f t="shared" si="282"/>
        <v>0</v>
      </c>
      <c r="CL401" s="1898"/>
      <c r="CM401" s="1898"/>
      <c r="CN401" s="1889">
        <v>0</v>
      </c>
      <c r="CO401" s="1898"/>
      <c r="CP401" s="1641"/>
      <c r="CQ401" s="1640"/>
      <c r="CR401" s="1640"/>
      <c r="CS401" s="1640"/>
    </row>
    <row r="402" spans="1:107" s="1911" customFormat="1" ht="27" thickBot="1" x14ac:dyDescent="0.2">
      <c r="A402" s="1873" t="s">
        <v>1269</v>
      </c>
      <c r="B402" s="1781" t="s">
        <v>79</v>
      </c>
      <c r="C402" s="1781" t="s">
        <v>80</v>
      </c>
      <c r="D402" s="1781" t="s">
        <v>125</v>
      </c>
      <c r="E402" s="1780" t="s">
        <v>214</v>
      </c>
      <c r="F402" s="1780">
        <v>600</v>
      </c>
      <c r="G402" s="1874"/>
      <c r="H402" s="1875">
        <f>H403+H417</f>
        <v>11269.8</v>
      </c>
      <c r="I402" s="1875">
        <f>I403+I417</f>
        <v>524</v>
      </c>
      <c r="J402" s="1875">
        <f>J403+J417</f>
        <v>0</v>
      </c>
      <c r="K402" s="1875">
        <f t="shared" ref="K402:CF402" si="299">K403+K417</f>
        <v>0</v>
      </c>
      <c r="L402" s="1876"/>
      <c r="M402" s="1876"/>
      <c r="N402" s="1876"/>
      <c r="O402" s="1876"/>
      <c r="P402" s="1876"/>
      <c r="Q402" s="1876"/>
      <c r="R402" s="1876"/>
      <c r="S402" s="1876"/>
      <c r="T402" s="1877"/>
      <c r="U402" s="1878"/>
      <c r="V402" s="1878"/>
      <c r="W402" s="1879"/>
      <c r="X402" s="1879"/>
      <c r="Y402" s="1879"/>
      <c r="Z402" s="1880"/>
      <c r="AA402" s="1879"/>
      <c r="AB402" s="1879"/>
      <c r="AC402" s="1906">
        <f t="shared" si="299"/>
        <v>10745.8</v>
      </c>
      <c r="AD402" s="1906">
        <f t="shared" si="299"/>
        <v>524</v>
      </c>
      <c r="AE402" s="1906">
        <f t="shared" si="299"/>
        <v>524</v>
      </c>
      <c r="AF402" s="1906">
        <f t="shared" si="299"/>
        <v>0</v>
      </c>
      <c r="AG402" s="1906">
        <f t="shared" si="299"/>
        <v>0</v>
      </c>
      <c r="AH402" s="1490">
        <f t="shared" si="272"/>
        <v>1152.1099999999999</v>
      </c>
      <c r="AI402" s="1906">
        <f t="shared" si="299"/>
        <v>0</v>
      </c>
      <c r="AJ402" s="1906">
        <f t="shared" si="299"/>
        <v>0</v>
      </c>
      <c r="AK402" s="1906">
        <f t="shared" si="299"/>
        <v>0</v>
      </c>
      <c r="AL402" s="1636">
        <f t="shared" ref="AL402:AM465" si="300">J402-AF402</f>
        <v>0</v>
      </c>
      <c r="AM402" s="1906">
        <f t="shared" si="299"/>
        <v>0</v>
      </c>
      <c r="AN402" s="1883"/>
      <c r="AO402" s="1906">
        <f t="shared" si="299"/>
        <v>975.89999999999986</v>
      </c>
      <c r="AP402" s="1906">
        <f t="shared" si="299"/>
        <v>0</v>
      </c>
      <c r="AQ402" s="1906">
        <f t="shared" si="299"/>
        <v>0</v>
      </c>
      <c r="AR402" s="1906">
        <f t="shared" si="299"/>
        <v>0</v>
      </c>
      <c r="AS402" s="1880">
        <f t="shared" si="299"/>
        <v>808</v>
      </c>
      <c r="AT402" s="1906">
        <f t="shared" si="299"/>
        <v>0</v>
      </c>
      <c r="AU402" s="1906">
        <f t="shared" si="299"/>
        <v>0</v>
      </c>
      <c r="AV402" s="1906">
        <f t="shared" si="299"/>
        <v>0</v>
      </c>
      <c r="AW402" s="1880">
        <f t="shared" si="299"/>
        <v>799.7</v>
      </c>
      <c r="AX402" s="1906">
        <f t="shared" si="299"/>
        <v>0</v>
      </c>
      <c r="AY402" s="1906">
        <f t="shared" si="299"/>
        <v>0</v>
      </c>
      <c r="AZ402" s="1906">
        <f t="shared" si="299"/>
        <v>0</v>
      </c>
      <c r="BA402" s="1883">
        <f t="shared" si="299"/>
        <v>799.7</v>
      </c>
      <c r="BB402" s="1906">
        <f t="shared" si="299"/>
        <v>0</v>
      </c>
      <c r="BC402" s="1906">
        <f t="shared" si="299"/>
        <v>0</v>
      </c>
      <c r="BD402" s="1906">
        <f t="shared" si="299"/>
        <v>0</v>
      </c>
      <c r="BE402" s="1539">
        <f t="shared" si="299"/>
        <v>1028.2</v>
      </c>
      <c r="BF402" s="1906">
        <f t="shared" si="299"/>
        <v>0</v>
      </c>
      <c r="BG402" s="1906">
        <f t="shared" si="299"/>
        <v>0</v>
      </c>
      <c r="BH402" s="1906">
        <f t="shared" si="299"/>
        <v>0</v>
      </c>
      <c r="BI402" s="1883">
        <f t="shared" si="299"/>
        <v>815.5</v>
      </c>
      <c r="BJ402" s="1906">
        <f t="shared" si="299"/>
        <v>524</v>
      </c>
      <c r="BK402" s="1906">
        <f t="shared" si="299"/>
        <v>0</v>
      </c>
      <c r="BL402" s="1906">
        <f t="shared" si="299"/>
        <v>0</v>
      </c>
      <c r="BM402" s="1883">
        <f t="shared" si="299"/>
        <v>799.7</v>
      </c>
      <c r="BN402" s="1906">
        <f t="shared" si="299"/>
        <v>0</v>
      </c>
      <c r="BO402" s="1906">
        <f t="shared" si="299"/>
        <v>0</v>
      </c>
      <c r="BP402" s="1906">
        <f t="shared" si="299"/>
        <v>0</v>
      </c>
      <c r="BQ402" s="1883">
        <f t="shared" si="299"/>
        <v>1134.8000000000002</v>
      </c>
      <c r="BR402" s="1906">
        <f t="shared" si="299"/>
        <v>0</v>
      </c>
      <c r="BS402" s="1906">
        <f t="shared" si="299"/>
        <v>0</v>
      </c>
      <c r="BT402" s="1906">
        <f t="shared" si="299"/>
        <v>0</v>
      </c>
      <c r="BU402" s="1883">
        <f t="shared" si="299"/>
        <v>832.7</v>
      </c>
      <c r="BV402" s="1906">
        <f t="shared" si="299"/>
        <v>0</v>
      </c>
      <c r="BW402" s="1906">
        <f t="shared" si="299"/>
        <v>0</v>
      </c>
      <c r="BX402" s="1906">
        <f t="shared" si="299"/>
        <v>0</v>
      </c>
      <c r="BY402" s="1883">
        <f t="shared" si="299"/>
        <v>799.79</v>
      </c>
      <c r="BZ402" s="1906">
        <f t="shared" si="299"/>
        <v>0</v>
      </c>
      <c r="CA402" s="1906">
        <f t="shared" si="299"/>
        <v>0</v>
      </c>
      <c r="CB402" s="1906">
        <f t="shared" si="299"/>
        <v>0</v>
      </c>
      <c r="CC402" s="1883">
        <f t="shared" si="299"/>
        <v>799.69999999999993</v>
      </c>
      <c r="CD402" s="1906">
        <f t="shared" si="299"/>
        <v>0</v>
      </c>
      <c r="CE402" s="1906">
        <f t="shared" si="299"/>
        <v>0</v>
      </c>
      <c r="CF402" s="1906">
        <f t="shared" si="299"/>
        <v>0</v>
      </c>
      <c r="CG402" s="1907"/>
      <c r="CH402" s="1641">
        <f t="shared" si="282"/>
        <v>1152.1099999999999</v>
      </c>
      <c r="CI402" s="1641">
        <f t="shared" si="282"/>
        <v>0</v>
      </c>
      <c r="CJ402" s="1641">
        <f t="shared" si="282"/>
        <v>0</v>
      </c>
      <c r="CK402" s="1641">
        <f t="shared" si="282"/>
        <v>0</v>
      </c>
      <c r="CL402" s="1908">
        <v>1152.1099999999999</v>
      </c>
      <c r="CM402" s="1909">
        <v>0</v>
      </c>
      <c r="CN402" s="1889">
        <v>0</v>
      </c>
      <c r="CO402" s="1909">
        <v>0</v>
      </c>
      <c r="CP402" s="1883">
        <f>CP403+CP417</f>
        <v>0</v>
      </c>
      <c r="CQ402" s="1906">
        <f>CQ403+CQ417</f>
        <v>0</v>
      </c>
      <c r="CR402" s="1906">
        <f>CR403+CR417</f>
        <v>0</v>
      </c>
      <c r="CS402" s="1906">
        <f>CS403+CS417</f>
        <v>0</v>
      </c>
      <c r="CT402" s="1910"/>
      <c r="CU402" s="1910"/>
      <c r="CV402" s="1910"/>
      <c r="CW402" s="1910"/>
      <c r="CY402" s="1910"/>
    </row>
    <row r="403" spans="1:107" s="1919" customFormat="1" ht="53" thickBot="1" x14ac:dyDescent="0.2">
      <c r="A403" s="1748" t="s">
        <v>1135</v>
      </c>
      <c r="B403" s="1749" t="s">
        <v>79</v>
      </c>
      <c r="C403" s="1749" t="s">
        <v>80</v>
      </c>
      <c r="D403" s="1749" t="s">
        <v>125</v>
      </c>
      <c r="E403" s="1749" t="s">
        <v>214</v>
      </c>
      <c r="F403" s="1749" t="s">
        <v>765</v>
      </c>
      <c r="G403" s="1600" t="s">
        <v>766</v>
      </c>
      <c r="H403" s="1531">
        <f>H404+H405+H406+H407+H408+H409+H410+H411+H412+H413+H414+H415+H416</f>
        <v>10745.8</v>
      </c>
      <c r="I403" s="1531">
        <f>I404+I405+I406+I407+I408+I409+I410+I411+I412+I413+I414+I415+I416</f>
        <v>524</v>
      </c>
      <c r="J403" s="1531">
        <f>J404+J405+J406+J407+J408+J409+J410+J411+J412+J413+J414+J415+J416</f>
        <v>0</v>
      </c>
      <c r="K403" s="1531">
        <f t="shared" ref="K403:CF403" si="301">K404+K405+K406+K407+K408+K409+K410+K411+K412+K413+K414+K415+K416</f>
        <v>0</v>
      </c>
      <c r="L403" s="1601"/>
      <c r="M403" s="1601"/>
      <c r="N403" s="1601"/>
      <c r="O403" s="1601">
        <v>150</v>
      </c>
      <c r="P403" s="1601"/>
      <c r="Q403" s="1601"/>
      <c r="R403" s="1601"/>
      <c r="S403" s="1601"/>
      <c r="T403" s="1602"/>
      <c r="U403" s="1533"/>
      <c r="V403" s="1533"/>
      <c r="W403" s="1534"/>
      <c r="X403" s="1534"/>
      <c r="Y403" s="1534"/>
      <c r="Z403" s="1535"/>
      <c r="AA403" s="1534"/>
      <c r="AB403" s="1534"/>
      <c r="AC403" s="1912">
        <f t="shared" si="301"/>
        <v>10745.8</v>
      </c>
      <c r="AD403" s="1912">
        <f t="shared" si="301"/>
        <v>524</v>
      </c>
      <c r="AE403" s="1912">
        <f t="shared" si="301"/>
        <v>524</v>
      </c>
      <c r="AF403" s="1912">
        <f t="shared" si="301"/>
        <v>0</v>
      </c>
      <c r="AG403" s="1912">
        <f t="shared" si="301"/>
        <v>0</v>
      </c>
      <c r="AH403" s="1490">
        <f t="shared" si="272"/>
        <v>1152.1099999999999</v>
      </c>
      <c r="AI403" s="1913">
        <f t="shared" si="301"/>
        <v>0</v>
      </c>
      <c r="AJ403" s="1913">
        <f t="shared" si="301"/>
        <v>0</v>
      </c>
      <c r="AK403" s="1913">
        <f t="shared" si="301"/>
        <v>0</v>
      </c>
      <c r="AL403" s="1636">
        <f t="shared" si="300"/>
        <v>0</v>
      </c>
      <c r="AM403" s="1913">
        <f t="shared" si="301"/>
        <v>0</v>
      </c>
      <c r="AN403" s="1717"/>
      <c r="AO403" s="1914">
        <f t="shared" si="301"/>
        <v>975.89999999999986</v>
      </c>
      <c r="AP403" s="1912">
        <f t="shared" si="301"/>
        <v>0</v>
      </c>
      <c r="AQ403" s="1912">
        <f t="shared" si="301"/>
        <v>0</v>
      </c>
      <c r="AR403" s="1912">
        <f t="shared" si="301"/>
        <v>0</v>
      </c>
      <c r="AS403" s="1535">
        <f t="shared" si="301"/>
        <v>808</v>
      </c>
      <c r="AT403" s="1912">
        <f t="shared" si="301"/>
        <v>0</v>
      </c>
      <c r="AU403" s="1912">
        <f t="shared" si="301"/>
        <v>0</v>
      </c>
      <c r="AV403" s="1912">
        <f t="shared" si="301"/>
        <v>0</v>
      </c>
      <c r="AW403" s="1535">
        <f t="shared" si="301"/>
        <v>799.7</v>
      </c>
      <c r="AX403" s="1912">
        <f t="shared" si="301"/>
        <v>0</v>
      </c>
      <c r="AY403" s="1912">
        <f t="shared" si="301"/>
        <v>0</v>
      </c>
      <c r="AZ403" s="1912">
        <f t="shared" si="301"/>
        <v>0</v>
      </c>
      <c r="BA403" s="1538">
        <f t="shared" si="301"/>
        <v>799.7</v>
      </c>
      <c r="BB403" s="1912">
        <f t="shared" si="301"/>
        <v>0</v>
      </c>
      <c r="BC403" s="1912">
        <f t="shared" si="301"/>
        <v>0</v>
      </c>
      <c r="BD403" s="1912">
        <f t="shared" si="301"/>
        <v>0</v>
      </c>
      <c r="BE403" s="1539">
        <f t="shared" si="301"/>
        <v>1028.2</v>
      </c>
      <c r="BF403" s="1912">
        <f t="shared" si="301"/>
        <v>0</v>
      </c>
      <c r="BG403" s="1912">
        <f t="shared" si="301"/>
        <v>0</v>
      </c>
      <c r="BH403" s="1912">
        <f t="shared" si="301"/>
        <v>0</v>
      </c>
      <c r="BI403" s="1538">
        <f t="shared" si="301"/>
        <v>815.5</v>
      </c>
      <c r="BJ403" s="1912">
        <f t="shared" si="301"/>
        <v>524</v>
      </c>
      <c r="BK403" s="1912">
        <f t="shared" si="301"/>
        <v>0</v>
      </c>
      <c r="BL403" s="1912">
        <f t="shared" si="301"/>
        <v>0</v>
      </c>
      <c r="BM403" s="1538">
        <f t="shared" si="301"/>
        <v>799.7</v>
      </c>
      <c r="BN403" s="1912">
        <f t="shared" si="301"/>
        <v>0</v>
      </c>
      <c r="BO403" s="1912">
        <f t="shared" si="301"/>
        <v>0</v>
      </c>
      <c r="BP403" s="1912">
        <f t="shared" si="301"/>
        <v>0</v>
      </c>
      <c r="BQ403" s="1538">
        <f t="shared" si="301"/>
        <v>1134.8000000000002</v>
      </c>
      <c r="BR403" s="1912">
        <f t="shared" si="301"/>
        <v>0</v>
      </c>
      <c r="BS403" s="1912">
        <f t="shared" si="301"/>
        <v>0</v>
      </c>
      <c r="BT403" s="1912">
        <f t="shared" si="301"/>
        <v>0</v>
      </c>
      <c r="BU403" s="1538">
        <f t="shared" si="301"/>
        <v>832.7</v>
      </c>
      <c r="BV403" s="1912">
        <f t="shared" si="301"/>
        <v>0</v>
      </c>
      <c r="BW403" s="1912">
        <f t="shared" si="301"/>
        <v>0</v>
      </c>
      <c r="BX403" s="1912">
        <f t="shared" si="301"/>
        <v>0</v>
      </c>
      <c r="BY403" s="1538">
        <f t="shared" si="301"/>
        <v>799.79</v>
      </c>
      <c r="BZ403" s="1912">
        <f t="shared" si="301"/>
        <v>0</v>
      </c>
      <c r="CA403" s="1912">
        <f t="shared" si="301"/>
        <v>0</v>
      </c>
      <c r="CB403" s="1912">
        <f t="shared" si="301"/>
        <v>0</v>
      </c>
      <c r="CC403" s="1538">
        <f t="shared" si="301"/>
        <v>799.69999999999993</v>
      </c>
      <c r="CD403" s="1912">
        <f t="shared" si="301"/>
        <v>0</v>
      </c>
      <c r="CE403" s="1912">
        <f t="shared" si="301"/>
        <v>0</v>
      </c>
      <c r="CF403" s="1912">
        <f t="shared" si="301"/>
        <v>0</v>
      </c>
      <c r="CG403" s="1915"/>
      <c r="CH403" s="1641">
        <f t="shared" si="282"/>
        <v>1152.1099999999999</v>
      </c>
      <c r="CI403" s="1641">
        <f t="shared" si="282"/>
        <v>0</v>
      </c>
      <c r="CJ403" s="1641">
        <f t="shared" si="282"/>
        <v>0</v>
      </c>
      <c r="CK403" s="1641">
        <f t="shared" si="282"/>
        <v>0</v>
      </c>
      <c r="CL403" s="1916">
        <v>1152.1099999999999</v>
      </c>
      <c r="CM403" s="1917">
        <v>0</v>
      </c>
      <c r="CN403" s="1889">
        <v>0</v>
      </c>
      <c r="CO403" s="1917">
        <v>0</v>
      </c>
      <c r="CP403" s="1538">
        <f>CP404+CP405+CP406+CP407+CP408+CP409+CP410+CP411+CP412+CP413+CP414+CP415+CP416</f>
        <v>0</v>
      </c>
      <c r="CQ403" s="1912">
        <f>CQ404+CQ405+CQ406+CQ407+CQ408+CQ409+CQ410+CQ411+CQ412+CQ413+CQ414+CQ415+CQ416</f>
        <v>0</v>
      </c>
      <c r="CR403" s="1912">
        <f>CR404+CR405+CR406+CR407+CR408+CR409+CR410+CR411+CR412+CR413+CR414+CR415+CR416</f>
        <v>0</v>
      </c>
      <c r="CS403" s="1912">
        <f>CS404+CS405+CS406+CS407+CS408+CS409+CS410+CS411+CS412+CS413+CS414+CS415+CS416</f>
        <v>0</v>
      </c>
      <c r="CT403" s="1918"/>
      <c r="CU403" s="1918"/>
      <c r="CV403" s="1918"/>
      <c r="CW403" s="1918"/>
      <c r="CY403" s="1918"/>
    </row>
    <row r="404" spans="1:107" s="1919" customFormat="1" ht="15" thickBot="1" x14ac:dyDescent="0.2">
      <c r="A404" s="1541" t="s">
        <v>124</v>
      </c>
      <c r="B404" s="1523" t="s">
        <v>79</v>
      </c>
      <c r="C404" s="1523" t="s">
        <v>80</v>
      </c>
      <c r="D404" s="1523" t="s">
        <v>125</v>
      </c>
      <c r="E404" s="1523" t="s">
        <v>214</v>
      </c>
      <c r="F404" s="1523"/>
      <c r="G404" s="1667">
        <v>211</v>
      </c>
      <c r="H404" s="1501">
        <v>7370.6</v>
      </c>
      <c r="I404" s="1645"/>
      <c r="J404" s="1630"/>
      <c r="K404" s="1630"/>
      <c r="L404" s="1631"/>
      <c r="M404" s="1631"/>
      <c r="N404" s="1631"/>
      <c r="O404" s="1631"/>
      <c r="P404" s="1631"/>
      <c r="Q404" s="1631"/>
      <c r="R404" s="1631"/>
      <c r="S404" s="1631"/>
      <c r="T404" s="1632"/>
      <c r="U404" s="1633"/>
      <c r="V404" s="1633"/>
      <c r="W404" s="1634">
        <f>H404/12</f>
        <v>614.2166666666667</v>
      </c>
      <c r="X404" s="1634">
        <f>AO404</f>
        <v>614.20000000000005</v>
      </c>
      <c r="Y404" s="1634">
        <f>CC404</f>
        <v>614.29999999999995</v>
      </c>
      <c r="Z404" s="1635">
        <v>614.29999999999995</v>
      </c>
      <c r="AA404" s="1634"/>
      <c r="AB404" s="1634"/>
      <c r="AC404" s="1920">
        <f t="shared" ref="AC404:AC417" si="302">AO404+AS404+AW404+BA404+BE404+BI404+BM404+BQ404+BU404+BY404+CC404+CH404</f>
        <v>7370.5999999999995</v>
      </c>
      <c r="AD404" s="1921">
        <f t="shared" ref="AD404:AD417" si="303">AE404+AF404+AG404</f>
        <v>0</v>
      </c>
      <c r="AE404" s="1921">
        <f t="shared" ref="AE404:AG417" si="304">AP404+AT404+AX404+BB404+BF404+BJ404+BN404+BR404+BV404+BZ404+CD404+CI404</f>
        <v>0</v>
      </c>
      <c r="AF404" s="1921">
        <f t="shared" si="304"/>
        <v>0</v>
      </c>
      <c r="AG404" s="1921">
        <f t="shared" si="304"/>
        <v>0</v>
      </c>
      <c r="AH404" s="1490">
        <f t="shared" si="272"/>
        <v>614.21</v>
      </c>
      <c r="AI404" s="1920">
        <f t="shared" ref="AI404:AI416" si="305">H404-AC404</f>
        <v>0</v>
      </c>
      <c r="AJ404" s="1920">
        <f t="shared" ref="AJ404:AJ416" si="306">AK404+AL404+AM404</f>
        <v>0</v>
      </c>
      <c r="AK404" s="1920">
        <f t="shared" ref="AK404:AK416" si="307">I404-AE404</f>
        <v>0</v>
      </c>
      <c r="AL404" s="1636">
        <f t="shared" si="300"/>
        <v>0</v>
      </c>
      <c r="AM404" s="1920">
        <f t="shared" si="300"/>
        <v>0</v>
      </c>
      <c r="AN404" s="1510">
        <f>H404/12*10-AC404</f>
        <v>-1228.4333333333325</v>
      </c>
      <c r="AO404" s="1922">
        <v>614.20000000000005</v>
      </c>
      <c r="AP404" s="1923"/>
      <c r="AQ404" s="1923"/>
      <c r="AR404" s="1923"/>
      <c r="AS404" s="1639">
        <v>614.20000000000005</v>
      </c>
      <c r="AT404" s="1923"/>
      <c r="AU404" s="1923"/>
      <c r="AV404" s="1923"/>
      <c r="AW404" s="1924">
        <v>614.20000000000005</v>
      </c>
      <c r="AX404" s="1924"/>
      <c r="AY404" s="1924"/>
      <c r="AZ404" s="1924"/>
      <c r="BA404" s="1641">
        <v>614.20000000000005</v>
      </c>
      <c r="BB404" s="1924"/>
      <c r="BC404" s="1924"/>
      <c r="BD404" s="1924"/>
      <c r="BE404" s="1641">
        <v>614.20000000000005</v>
      </c>
      <c r="BF404" s="1924"/>
      <c r="BG404" s="1924"/>
      <c r="BH404" s="1924"/>
      <c r="BI404" s="1641">
        <v>614.20000000000005</v>
      </c>
      <c r="BJ404" s="1924"/>
      <c r="BK404" s="1924"/>
      <c r="BL404" s="1924"/>
      <c r="BM404" s="1641">
        <v>614.20000000000005</v>
      </c>
      <c r="BN404" s="1924"/>
      <c r="BO404" s="1924"/>
      <c r="BP404" s="1924"/>
      <c r="BQ404" s="1641">
        <v>614.20000000000005</v>
      </c>
      <c r="BR404" s="1924"/>
      <c r="BS404" s="1924"/>
      <c r="BT404" s="1924"/>
      <c r="BU404" s="1641">
        <v>614.20000000000005</v>
      </c>
      <c r="BV404" s="1924"/>
      <c r="BW404" s="1924"/>
      <c r="BX404" s="1924"/>
      <c r="BY404" s="1641">
        <v>614.29</v>
      </c>
      <c r="BZ404" s="1924"/>
      <c r="CA404" s="1924"/>
      <c r="CB404" s="1924"/>
      <c r="CC404" s="1641">
        <v>614.29999999999995</v>
      </c>
      <c r="CD404" s="1924"/>
      <c r="CE404" s="1924"/>
      <c r="CF404" s="1924"/>
      <c r="CG404" s="1925"/>
      <c r="CH404" s="1641">
        <f t="shared" si="282"/>
        <v>614.21</v>
      </c>
      <c r="CI404" s="1641">
        <f t="shared" si="282"/>
        <v>0</v>
      </c>
      <c r="CJ404" s="1641">
        <f t="shared" si="282"/>
        <v>0</v>
      </c>
      <c r="CK404" s="1641">
        <f t="shared" si="282"/>
        <v>0</v>
      </c>
      <c r="CL404" s="1926">
        <v>614.21</v>
      </c>
      <c r="CM404" s="1926">
        <v>0</v>
      </c>
      <c r="CN404" s="1889">
        <v>0</v>
      </c>
      <c r="CO404" s="1926">
        <v>0</v>
      </c>
      <c r="CP404" s="1641"/>
      <c r="CQ404" s="1924"/>
      <c r="CR404" s="1924"/>
      <c r="CS404" s="1924"/>
      <c r="CT404" s="1918"/>
      <c r="CU404" s="1918"/>
      <c r="CV404" s="1918"/>
      <c r="CW404" s="1918"/>
      <c r="CX404" s="1558">
        <f>H404/12*10-AC404</f>
        <v>-1228.4333333333325</v>
      </c>
      <c r="CY404" s="1558">
        <f>AI404/3</f>
        <v>0</v>
      </c>
      <c r="CZ404" s="1558">
        <f>H404/12</f>
        <v>614.2166666666667</v>
      </c>
      <c r="DA404" s="1559"/>
      <c r="DB404" s="1559"/>
      <c r="DC404" s="1559"/>
    </row>
    <row r="405" spans="1:107" s="1919" customFormat="1" ht="15" thickBot="1" x14ac:dyDescent="0.2">
      <c r="A405" s="1541" t="s">
        <v>83</v>
      </c>
      <c r="B405" s="1523" t="s">
        <v>79</v>
      </c>
      <c r="C405" s="1523" t="s">
        <v>80</v>
      </c>
      <c r="D405" s="1523" t="s">
        <v>125</v>
      </c>
      <c r="E405" s="1523" t="s">
        <v>214</v>
      </c>
      <c r="F405" s="1523"/>
      <c r="G405" s="1667">
        <v>212</v>
      </c>
      <c r="H405" s="1501">
        <v>0</v>
      </c>
      <c r="I405" s="1645">
        <v>3</v>
      </c>
      <c r="J405" s="1630"/>
      <c r="K405" s="1630"/>
      <c r="L405" s="1631"/>
      <c r="M405" s="1631"/>
      <c r="N405" s="1631"/>
      <c r="O405" s="1631"/>
      <c r="P405" s="1631"/>
      <c r="Q405" s="1631"/>
      <c r="R405" s="1631"/>
      <c r="S405" s="1631"/>
      <c r="T405" s="1632"/>
      <c r="U405" s="1633"/>
      <c r="V405" s="1633"/>
      <c r="W405" s="1634"/>
      <c r="X405" s="1634"/>
      <c r="Y405" s="1634"/>
      <c r="Z405" s="1635"/>
      <c r="AA405" s="1634"/>
      <c r="AB405" s="1634"/>
      <c r="AC405" s="1920">
        <f t="shared" si="302"/>
        <v>0</v>
      </c>
      <c r="AD405" s="1921">
        <f t="shared" si="303"/>
        <v>3</v>
      </c>
      <c r="AE405" s="1921">
        <f t="shared" si="304"/>
        <v>3</v>
      </c>
      <c r="AF405" s="1921">
        <f t="shared" si="304"/>
        <v>0</v>
      </c>
      <c r="AG405" s="1921">
        <f t="shared" si="304"/>
        <v>0</v>
      </c>
      <c r="AH405" s="1490">
        <f t="shared" si="272"/>
        <v>0</v>
      </c>
      <c r="AI405" s="1920">
        <f t="shared" si="305"/>
        <v>0</v>
      </c>
      <c r="AJ405" s="1920">
        <f t="shared" si="306"/>
        <v>0</v>
      </c>
      <c r="AK405" s="1920">
        <f t="shared" si="307"/>
        <v>0</v>
      </c>
      <c r="AL405" s="1636">
        <f t="shared" si="300"/>
        <v>0</v>
      </c>
      <c r="AM405" s="1920">
        <f t="shared" si="300"/>
        <v>0</v>
      </c>
      <c r="AN405" s="1510"/>
      <c r="AO405" s="1922">
        <v>0</v>
      </c>
      <c r="AP405" s="1923"/>
      <c r="AQ405" s="1923"/>
      <c r="AR405" s="1923"/>
      <c r="AS405" s="1639"/>
      <c r="AT405" s="1923"/>
      <c r="AU405" s="1923"/>
      <c r="AV405" s="1923"/>
      <c r="AW405" s="1924"/>
      <c r="AX405" s="1924"/>
      <c r="AY405" s="1924"/>
      <c r="AZ405" s="1924"/>
      <c r="BA405" s="1641"/>
      <c r="BB405" s="1924"/>
      <c r="BC405" s="1924"/>
      <c r="BD405" s="1924"/>
      <c r="BE405" s="1641"/>
      <c r="BF405" s="1924"/>
      <c r="BG405" s="1924"/>
      <c r="BH405" s="1924"/>
      <c r="BI405" s="1641"/>
      <c r="BJ405" s="1927">
        <v>3</v>
      </c>
      <c r="BK405" s="1924"/>
      <c r="BL405" s="1924"/>
      <c r="BM405" s="1641"/>
      <c r="BN405" s="1924"/>
      <c r="BO405" s="1924"/>
      <c r="BP405" s="1924"/>
      <c r="BQ405" s="1641"/>
      <c r="BR405" s="1924"/>
      <c r="BS405" s="1924"/>
      <c r="BT405" s="1924"/>
      <c r="BU405" s="1641"/>
      <c r="BV405" s="1924"/>
      <c r="BW405" s="1924"/>
      <c r="BX405" s="1924"/>
      <c r="BY405" s="1641"/>
      <c r="BZ405" s="1924"/>
      <c r="CA405" s="1924"/>
      <c r="CB405" s="1924"/>
      <c r="CC405" s="1641"/>
      <c r="CD405" s="1924"/>
      <c r="CE405" s="1924"/>
      <c r="CF405" s="1924"/>
      <c r="CG405" s="1925"/>
      <c r="CH405" s="1641">
        <f t="shared" si="282"/>
        <v>0</v>
      </c>
      <c r="CI405" s="1641">
        <f t="shared" si="282"/>
        <v>0</v>
      </c>
      <c r="CJ405" s="1641">
        <f t="shared" si="282"/>
        <v>0</v>
      </c>
      <c r="CK405" s="1641">
        <f t="shared" si="282"/>
        <v>0</v>
      </c>
      <c r="CL405" s="1926">
        <v>0</v>
      </c>
      <c r="CM405" s="1926">
        <v>0</v>
      </c>
      <c r="CN405" s="1889">
        <v>0</v>
      </c>
      <c r="CO405" s="1926">
        <v>0</v>
      </c>
      <c r="CP405" s="1641"/>
      <c r="CQ405" s="1924"/>
      <c r="CR405" s="1924"/>
      <c r="CS405" s="1924"/>
      <c r="CT405" s="1918"/>
      <c r="CU405" s="1918"/>
      <c r="CV405" s="1918"/>
      <c r="CW405" s="1918"/>
      <c r="CX405" s="1558"/>
      <c r="CY405" s="1558"/>
      <c r="CZ405" s="1558"/>
      <c r="DA405" s="1559"/>
      <c r="DB405" s="1559"/>
      <c r="DC405" s="1559"/>
    </row>
    <row r="406" spans="1:107" s="1919" customFormat="1" ht="15" thickBot="1" x14ac:dyDescent="0.2">
      <c r="A406" s="1541" t="s">
        <v>84</v>
      </c>
      <c r="B406" s="1523" t="s">
        <v>79</v>
      </c>
      <c r="C406" s="1523" t="s">
        <v>80</v>
      </c>
      <c r="D406" s="1523" t="s">
        <v>125</v>
      </c>
      <c r="E406" s="1523" t="s">
        <v>214</v>
      </c>
      <c r="F406" s="1523"/>
      <c r="G406" s="1667">
        <v>213</v>
      </c>
      <c r="H406" s="1501">
        <v>2225.9</v>
      </c>
      <c r="I406" s="1645"/>
      <c r="J406" s="1630"/>
      <c r="K406" s="1630"/>
      <c r="L406" s="1631"/>
      <c r="M406" s="1631"/>
      <c r="N406" s="1631"/>
      <c r="O406" s="1631"/>
      <c r="P406" s="1631"/>
      <c r="Q406" s="1631"/>
      <c r="R406" s="1631"/>
      <c r="S406" s="1631"/>
      <c r="T406" s="1632"/>
      <c r="U406" s="1633"/>
      <c r="V406" s="1633"/>
      <c r="W406" s="1634">
        <f>H406/12</f>
        <v>185.49166666666667</v>
      </c>
      <c r="X406" s="1634">
        <f>AO406</f>
        <v>185.5</v>
      </c>
      <c r="Y406" s="1634">
        <f>CC406</f>
        <v>185.4</v>
      </c>
      <c r="Z406" s="1635">
        <v>185.4</v>
      </c>
      <c r="AA406" s="1634"/>
      <c r="AB406" s="1634"/>
      <c r="AC406" s="1920">
        <f t="shared" si="302"/>
        <v>2225.9</v>
      </c>
      <c r="AD406" s="1921">
        <f t="shared" si="303"/>
        <v>0</v>
      </c>
      <c r="AE406" s="1921">
        <f t="shared" si="304"/>
        <v>0</v>
      </c>
      <c r="AF406" s="1921">
        <f t="shared" si="304"/>
        <v>0</v>
      </c>
      <c r="AG406" s="1921">
        <f t="shared" si="304"/>
        <v>0</v>
      </c>
      <c r="AH406" s="1490">
        <f t="shared" si="272"/>
        <v>185.5</v>
      </c>
      <c r="AI406" s="1920">
        <f t="shared" si="305"/>
        <v>0</v>
      </c>
      <c r="AJ406" s="1920">
        <f t="shared" si="306"/>
        <v>0</v>
      </c>
      <c r="AK406" s="1920">
        <f t="shared" si="307"/>
        <v>0</v>
      </c>
      <c r="AL406" s="1636">
        <f t="shared" si="300"/>
        <v>0</v>
      </c>
      <c r="AM406" s="1920">
        <f t="shared" si="300"/>
        <v>0</v>
      </c>
      <c r="AN406" s="1510">
        <f>H406/12*10-AC406</f>
        <v>-370.98333333333335</v>
      </c>
      <c r="AO406" s="1922">
        <v>185.5</v>
      </c>
      <c r="AP406" s="1923"/>
      <c r="AQ406" s="1923"/>
      <c r="AR406" s="1923"/>
      <c r="AS406" s="1639">
        <v>185.5</v>
      </c>
      <c r="AT406" s="1923"/>
      <c r="AU406" s="1923"/>
      <c r="AV406" s="1923"/>
      <c r="AW406" s="1924">
        <v>185.5</v>
      </c>
      <c r="AX406" s="1924"/>
      <c r="AY406" s="1924"/>
      <c r="AZ406" s="1924"/>
      <c r="BA406" s="1641">
        <v>185.5</v>
      </c>
      <c r="BB406" s="1924"/>
      <c r="BC406" s="1924"/>
      <c r="BD406" s="1924"/>
      <c r="BE406" s="1641">
        <v>185.5</v>
      </c>
      <c r="BF406" s="1924"/>
      <c r="BG406" s="1924"/>
      <c r="BH406" s="1924"/>
      <c r="BI406" s="1641">
        <v>185.5</v>
      </c>
      <c r="BJ406" s="1927"/>
      <c r="BK406" s="1924"/>
      <c r="BL406" s="1924"/>
      <c r="BM406" s="1641">
        <v>185.5</v>
      </c>
      <c r="BN406" s="1924"/>
      <c r="BO406" s="1924"/>
      <c r="BP406" s="1924"/>
      <c r="BQ406" s="1641">
        <v>185.5</v>
      </c>
      <c r="BR406" s="1924"/>
      <c r="BS406" s="1924"/>
      <c r="BT406" s="1924"/>
      <c r="BU406" s="1641">
        <v>185.5</v>
      </c>
      <c r="BV406" s="1924"/>
      <c r="BW406" s="1924"/>
      <c r="BX406" s="1924"/>
      <c r="BY406" s="1641">
        <v>185.5</v>
      </c>
      <c r="BZ406" s="1924"/>
      <c r="CA406" s="1924"/>
      <c r="CB406" s="1924"/>
      <c r="CC406" s="1641">
        <v>185.4</v>
      </c>
      <c r="CD406" s="1924"/>
      <c r="CE406" s="1924"/>
      <c r="CF406" s="1924"/>
      <c r="CG406" s="1925"/>
      <c r="CH406" s="1641">
        <f t="shared" si="282"/>
        <v>185.5</v>
      </c>
      <c r="CI406" s="1641">
        <f t="shared" si="282"/>
        <v>0</v>
      </c>
      <c r="CJ406" s="1641">
        <f t="shared" si="282"/>
        <v>0</v>
      </c>
      <c r="CK406" s="1641">
        <f t="shared" si="282"/>
        <v>0</v>
      </c>
      <c r="CL406" s="1926">
        <v>185.5</v>
      </c>
      <c r="CM406" s="1926">
        <v>0</v>
      </c>
      <c r="CN406" s="1889">
        <v>0</v>
      </c>
      <c r="CO406" s="1926">
        <v>0</v>
      </c>
      <c r="CP406" s="1641"/>
      <c r="CQ406" s="1924"/>
      <c r="CR406" s="1924"/>
      <c r="CS406" s="1924"/>
      <c r="CT406" s="1918"/>
      <c r="CU406" s="1918"/>
      <c r="CV406" s="1918"/>
      <c r="CW406" s="1918"/>
      <c r="CX406" s="1558">
        <f>H406/12*10-AC406</f>
        <v>-370.98333333333335</v>
      </c>
      <c r="CY406" s="1558">
        <f>AI406/3</f>
        <v>0</v>
      </c>
      <c r="CZ406" s="1558">
        <f>H406/12</f>
        <v>185.49166666666667</v>
      </c>
      <c r="DA406" s="1559"/>
      <c r="DB406" s="1559"/>
      <c r="DC406" s="1559"/>
    </row>
    <row r="407" spans="1:107" s="1919" customFormat="1" ht="15" thickBot="1" x14ac:dyDescent="0.2">
      <c r="A407" s="1541" t="s">
        <v>85</v>
      </c>
      <c r="B407" s="1523" t="s">
        <v>79</v>
      </c>
      <c r="C407" s="1523" t="s">
        <v>80</v>
      </c>
      <c r="D407" s="1523" t="s">
        <v>125</v>
      </c>
      <c r="E407" s="1523" t="s">
        <v>214</v>
      </c>
      <c r="F407" s="1523"/>
      <c r="G407" s="1667">
        <v>221</v>
      </c>
      <c r="H407" s="1501">
        <v>33.799999999999997</v>
      </c>
      <c r="I407" s="1645"/>
      <c r="J407" s="1630"/>
      <c r="K407" s="1630"/>
      <c r="L407" s="1631"/>
      <c r="M407" s="1631"/>
      <c r="N407" s="1631"/>
      <c r="O407" s="1631"/>
      <c r="P407" s="1631"/>
      <c r="Q407" s="1631"/>
      <c r="R407" s="1631"/>
      <c r="S407" s="1631"/>
      <c r="T407" s="1632"/>
      <c r="U407" s="1633"/>
      <c r="V407" s="1633"/>
      <c r="W407" s="1634"/>
      <c r="X407" s="1634"/>
      <c r="Y407" s="1634"/>
      <c r="Z407" s="1635"/>
      <c r="AA407" s="1634"/>
      <c r="AB407" s="1634"/>
      <c r="AC407" s="1920">
        <f t="shared" si="302"/>
        <v>33.799999999999997</v>
      </c>
      <c r="AD407" s="1921">
        <f t="shared" si="303"/>
        <v>0</v>
      </c>
      <c r="AE407" s="1921">
        <f t="shared" si="304"/>
        <v>0</v>
      </c>
      <c r="AF407" s="1921">
        <f t="shared" si="304"/>
        <v>0</v>
      </c>
      <c r="AG407" s="1921">
        <f t="shared" si="304"/>
        <v>0</v>
      </c>
      <c r="AH407" s="1490">
        <f t="shared" si="272"/>
        <v>31</v>
      </c>
      <c r="AI407" s="1920">
        <f t="shared" si="305"/>
        <v>0</v>
      </c>
      <c r="AJ407" s="1920">
        <f t="shared" si="306"/>
        <v>0</v>
      </c>
      <c r="AK407" s="1920">
        <f t="shared" si="307"/>
        <v>0</v>
      </c>
      <c r="AL407" s="1636">
        <f t="shared" si="300"/>
        <v>0</v>
      </c>
      <c r="AM407" s="1920">
        <f t="shared" si="300"/>
        <v>0</v>
      </c>
      <c r="AN407" s="1637"/>
      <c r="AO407" s="1922">
        <v>2.8</v>
      </c>
      <c r="AP407" s="1923"/>
      <c r="AQ407" s="1923"/>
      <c r="AR407" s="1923"/>
      <c r="AS407" s="1639"/>
      <c r="AT407" s="1923"/>
      <c r="AU407" s="1923"/>
      <c r="AV407" s="1923"/>
      <c r="AW407" s="1639"/>
      <c r="AX407" s="1924"/>
      <c r="AY407" s="1924"/>
      <c r="AZ407" s="1924"/>
      <c r="BA407" s="1641"/>
      <c r="BB407" s="1924"/>
      <c r="BC407" s="1924"/>
      <c r="BD407" s="1924"/>
      <c r="BE407" s="1644"/>
      <c r="BF407" s="1924"/>
      <c r="BG407" s="1924"/>
      <c r="BH407" s="1924"/>
      <c r="BI407" s="1641"/>
      <c r="BJ407" s="1927"/>
      <c r="BK407" s="1924"/>
      <c r="BL407" s="1924"/>
      <c r="BM407" s="1641"/>
      <c r="BN407" s="1924"/>
      <c r="BO407" s="1924"/>
      <c r="BP407" s="1924"/>
      <c r="BQ407" s="1641"/>
      <c r="BR407" s="1924"/>
      <c r="BS407" s="1924"/>
      <c r="BT407" s="1924"/>
      <c r="BU407" s="1641"/>
      <c r="BV407" s="1924"/>
      <c r="BW407" s="1924"/>
      <c r="BX407" s="1924"/>
      <c r="BY407" s="1641"/>
      <c r="BZ407" s="1924"/>
      <c r="CA407" s="1924"/>
      <c r="CB407" s="1924"/>
      <c r="CC407" s="1641"/>
      <c r="CD407" s="1924"/>
      <c r="CE407" s="1924"/>
      <c r="CF407" s="1924"/>
      <c r="CG407" s="1925"/>
      <c r="CH407" s="1641">
        <f t="shared" si="282"/>
        <v>31</v>
      </c>
      <c r="CI407" s="1641">
        <f t="shared" si="282"/>
        <v>0</v>
      </c>
      <c r="CJ407" s="1641">
        <f t="shared" si="282"/>
        <v>0</v>
      </c>
      <c r="CK407" s="1641">
        <f t="shared" si="282"/>
        <v>0</v>
      </c>
      <c r="CL407" s="1926">
        <v>31</v>
      </c>
      <c r="CM407" s="1926">
        <v>0</v>
      </c>
      <c r="CN407" s="1889">
        <v>0</v>
      </c>
      <c r="CO407" s="1926">
        <v>0</v>
      </c>
      <c r="CP407" s="1641"/>
      <c r="CQ407" s="1924"/>
      <c r="CR407" s="1924"/>
      <c r="CS407" s="1924"/>
      <c r="CT407" s="1918"/>
      <c r="CU407" s="1918"/>
      <c r="CV407" s="1918"/>
      <c r="CW407" s="1918"/>
      <c r="CY407" s="1918"/>
    </row>
    <row r="408" spans="1:107" s="1919" customFormat="1" ht="15" thickBot="1" x14ac:dyDescent="0.2">
      <c r="A408" s="1541" t="s">
        <v>86</v>
      </c>
      <c r="B408" s="1523" t="s">
        <v>79</v>
      </c>
      <c r="C408" s="1523" t="s">
        <v>80</v>
      </c>
      <c r="D408" s="1523" t="s">
        <v>125</v>
      </c>
      <c r="E408" s="1523" t="s">
        <v>214</v>
      </c>
      <c r="F408" s="1523"/>
      <c r="G408" s="1667">
        <v>222</v>
      </c>
      <c r="H408" s="1501">
        <v>0</v>
      </c>
      <c r="I408" s="1645">
        <v>84</v>
      </c>
      <c r="J408" s="1630"/>
      <c r="K408" s="1630"/>
      <c r="L408" s="1631"/>
      <c r="M408" s="1631"/>
      <c r="N408" s="1631"/>
      <c r="O408" s="1631"/>
      <c r="P408" s="1631"/>
      <c r="Q408" s="1631"/>
      <c r="R408" s="1631"/>
      <c r="S408" s="1631"/>
      <c r="T408" s="1632"/>
      <c r="U408" s="1633"/>
      <c r="V408" s="1633"/>
      <c r="W408" s="1634"/>
      <c r="X408" s="1634"/>
      <c r="Y408" s="1634"/>
      <c r="Z408" s="1635"/>
      <c r="AA408" s="1634"/>
      <c r="AB408" s="1634"/>
      <c r="AC408" s="1920">
        <f t="shared" si="302"/>
        <v>0</v>
      </c>
      <c r="AD408" s="1921">
        <f t="shared" si="303"/>
        <v>84</v>
      </c>
      <c r="AE408" s="1921">
        <f t="shared" si="304"/>
        <v>84</v>
      </c>
      <c r="AF408" s="1921">
        <f t="shared" si="304"/>
        <v>0</v>
      </c>
      <c r="AG408" s="1921">
        <f t="shared" si="304"/>
        <v>0</v>
      </c>
      <c r="AH408" s="1490">
        <f t="shared" si="272"/>
        <v>0</v>
      </c>
      <c r="AI408" s="1920">
        <f t="shared" si="305"/>
        <v>0</v>
      </c>
      <c r="AJ408" s="1920">
        <f t="shared" si="306"/>
        <v>0</v>
      </c>
      <c r="AK408" s="1920">
        <f t="shared" si="307"/>
        <v>0</v>
      </c>
      <c r="AL408" s="1636">
        <f t="shared" si="300"/>
        <v>0</v>
      </c>
      <c r="AM408" s="1920">
        <f t="shared" si="300"/>
        <v>0</v>
      </c>
      <c r="AN408" s="1637"/>
      <c r="AO408" s="1922">
        <v>0</v>
      </c>
      <c r="AP408" s="1923"/>
      <c r="AQ408" s="1923"/>
      <c r="AR408" s="1923"/>
      <c r="AS408" s="1639"/>
      <c r="AT408" s="1923"/>
      <c r="AU408" s="1923"/>
      <c r="AV408" s="1923"/>
      <c r="AW408" s="1639"/>
      <c r="AX408" s="1924"/>
      <c r="AY408" s="1924"/>
      <c r="AZ408" s="1924"/>
      <c r="BA408" s="1641"/>
      <c r="BB408" s="1924"/>
      <c r="BC408" s="1924"/>
      <c r="BD408" s="1924"/>
      <c r="BE408" s="1644"/>
      <c r="BF408" s="1924"/>
      <c r="BG408" s="1924"/>
      <c r="BH408" s="1924"/>
      <c r="BI408" s="1641"/>
      <c r="BJ408" s="1927">
        <v>84</v>
      </c>
      <c r="BK408" s="1924"/>
      <c r="BL408" s="1924"/>
      <c r="BM408" s="1641"/>
      <c r="BN408" s="1924"/>
      <c r="BO408" s="1924"/>
      <c r="BP408" s="1924"/>
      <c r="BQ408" s="1641"/>
      <c r="BR408" s="1924"/>
      <c r="BS408" s="1924"/>
      <c r="BT408" s="1924"/>
      <c r="BU408" s="1641"/>
      <c r="BV408" s="1924"/>
      <c r="BW408" s="1924"/>
      <c r="BX408" s="1924"/>
      <c r="BY408" s="1641"/>
      <c r="BZ408" s="1924"/>
      <c r="CA408" s="1924"/>
      <c r="CB408" s="1924"/>
      <c r="CC408" s="1641"/>
      <c r="CD408" s="1924"/>
      <c r="CE408" s="1924"/>
      <c r="CF408" s="1924"/>
      <c r="CG408" s="1925"/>
      <c r="CH408" s="1641">
        <f t="shared" si="282"/>
        <v>0</v>
      </c>
      <c r="CI408" s="1641">
        <f t="shared" si="282"/>
        <v>0</v>
      </c>
      <c r="CJ408" s="1641">
        <f t="shared" si="282"/>
        <v>0</v>
      </c>
      <c r="CK408" s="1641">
        <f t="shared" si="282"/>
        <v>0</v>
      </c>
      <c r="CL408" s="1926">
        <v>0</v>
      </c>
      <c r="CM408" s="1926">
        <v>0</v>
      </c>
      <c r="CN408" s="1889">
        <v>0</v>
      </c>
      <c r="CO408" s="1926">
        <v>0</v>
      </c>
      <c r="CP408" s="1641"/>
      <c r="CQ408" s="1924"/>
      <c r="CR408" s="1924"/>
      <c r="CS408" s="1924"/>
      <c r="CT408" s="1918"/>
      <c r="CU408" s="1918"/>
      <c r="CV408" s="1918"/>
      <c r="CW408" s="1918"/>
      <c r="CY408" s="1918"/>
    </row>
    <row r="409" spans="1:107" s="1919" customFormat="1" ht="15" thickBot="1" x14ac:dyDescent="0.2">
      <c r="A409" s="1541" t="s">
        <v>87</v>
      </c>
      <c r="B409" s="1523" t="s">
        <v>79</v>
      </c>
      <c r="C409" s="1523" t="s">
        <v>80</v>
      </c>
      <c r="D409" s="1523" t="s">
        <v>125</v>
      </c>
      <c r="E409" s="1523" t="s">
        <v>214</v>
      </c>
      <c r="F409" s="1523"/>
      <c r="G409" s="1667">
        <v>223</v>
      </c>
      <c r="H409" s="1501">
        <f>100+42.2</f>
        <v>142.19999999999999</v>
      </c>
      <c r="I409" s="1645"/>
      <c r="J409" s="1630"/>
      <c r="K409" s="1630"/>
      <c r="L409" s="1631"/>
      <c r="M409" s="1631"/>
      <c r="N409" s="1631"/>
      <c r="O409" s="1631"/>
      <c r="P409" s="1631"/>
      <c r="Q409" s="1631"/>
      <c r="R409" s="1631"/>
      <c r="S409" s="1631"/>
      <c r="T409" s="1632"/>
      <c r="U409" s="1633"/>
      <c r="V409" s="1633"/>
      <c r="W409" s="1634"/>
      <c r="X409" s="1634"/>
      <c r="Y409" s="1634"/>
      <c r="Z409" s="1635"/>
      <c r="AA409" s="1634"/>
      <c r="AB409" s="1634"/>
      <c r="AC409" s="1920">
        <f t="shared" si="302"/>
        <v>142.19999999999999</v>
      </c>
      <c r="AD409" s="1921">
        <f t="shared" si="303"/>
        <v>0</v>
      </c>
      <c r="AE409" s="1921">
        <f t="shared" si="304"/>
        <v>0</v>
      </c>
      <c r="AF409" s="1921">
        <f t="shared" si="304"/>
        <v>0</v>
      </c>
      <c r="AG409" s="1921">
        <f t="shared" si="304"/>
        <v>0</v>
      </c>
      <c r="AH409" s="1490">
        <f t="shared" si="272"/>
        <v>100.55</v>
      </c>
      <c r="AI409" s="1920">
        <f t="shared" si="305"/>
        <v>0</v>
      </c>
      <c r="AJ409" s="1920">
        <f t="shared" si="306"/>
        <v>0</v>
      </c>
      <c r="AK409" s="1920">
        <f t="shared" si="307"/>
        <v>0</v>
      </c>
      <c r="AL409" s="1636">
        <f t="shared" si="300"/>
        <v>0</v>
      </c>
      <c r="AM409" s="1920">
        <f t="shared" si="300"/>
        <v>0</v>
      </c>
      <c r="AN409" s="1637"/>
      <c r="AO409" s="1922">
        <v>8.3000000000000007</v>
      </c>
      <c r="AP409" s="1923"/>
      <c r="AQ409" s="1923"/>
      <c r="AR409" s="1923"/>
      <c r="AS409" s="1639">
        <v>8.3000000000000007</v>
      </c>
      <c r="AT409" s="1923"/>
      <c r="AU409" s="1923"/>
      <c r="AV409" s="1923"/>
      <c r="AW409" s="1639"/>
      <c r="AX409" s="1924"/>
      <c r="AY409" s="1924"/>
      <c r="AZ409" s="1924"/>
      <c r="BA409" s="1641"/>
      <c r="BB409" s="1924"/>
      <c r="BC409" s="1924"/>
      <c r="BD409" s="1924"/>
      <c r="BE409" s="1644"/>
      <c r="BF409" s="1924"/>
      <c r="BG409" s="1924"/>
      <c r="BH409" s="1924"/>
      <c r="BI409" s="1641">
        <f>15.8</f>
        <v>15.8</v>
      </c>
      <c r="BJ409" s="1927"/>
      <c r="BK409" s="1924"/>
      <c r="BL409" s="1924"/>
      <c r="BM409" s="1641"/>
      <c r="BN409" s="1924"/>
      <c r="BO409" s="1924"/>
      <c r="BP409" s="1924"/>
      <c r="BQ409" s="1641">
        <v>9.25</v>
      </c>
      <c r="BR409" s="1924"/>
      <c r="BS409" s="1924"/>
      <c r="BT409" s="1924"/>
      <c r="BU409" s="1641"/>
      <c r="BV409" s="1924"/>
      <c r="BW409" s="1924"/>
      <c r="BX409" s="1924"/>
      <c r="BY409" s="1641"/>
      <c r="BZ409" s="1924"/>
      <c r="CA409" s="1924"/>
      <c r="CB409" s="1924"/>
      <c r="CC409" s="1641"/>
      <c r="CD409" s="1924"/>
      <c r="CE409" s="1924"/>
      <c r="CF409" s="1924"/>
      <c r="CG409" s="1925"/>
      <c r="CH409" s="1641">
        <f t="shared" si="282"/>
        <v>100.55</v>
      </c>
      <c r="CI409" s="1641">
        <f t="shared" si="282"/>
        <v>0</v>
      </c>
      <c r="CJ409" s="1641">
        <f t="shared" si="282"/>
        <v>0</v>
      </c>
      <c r="CK409" s="1641">
        <f t="shared" si="282"/>
        <v>0</v>
      </c>
      <c r="CL409" s="1926">
        <v>100.55</v>
      </c>
      <c r="CM409" s="1926">
        <v>0</v>
      </c>
      <c r="CN409" s="1889">
        <v>0</v>
      </c>
      <c r="CO409" s="1926">
        <v>0</v>
      </c>
      <c r="CP409" s="1641"/>
      <c r="CQ409" s="1924"/>
      <c r="CR409" s="1924"/>
      <c r="CS409" s="1924"/>
      <c r="CT409" s="1918"/>
      <c r="CU409" s="1918"/>
      <c r="CV409" s="1918"/>
      <c r="CW409" s="1918"/>
      <c r="CY409" s="1918"/>
    </row>
    <row r="410" spans="1:107" s="1919" customFormat="1" ht="15" thickBot="1" x14ac:dyDescent="0.2">
      <c r="A410" s="1541" t="s">
        <v>111</v>
      </c>
      <c r="B410" s="1523" t="s">
        <v>79</v>
      </c>
      <c r="C410" s="1523" t="s">
        <v>80</v>
      </c>
      <c r="D410" s="1523" t="s">
        <v>125</v>
      </c>
      <c r="E410" s="1523" t="s">
        <v>214</v>
      </c>
      <c r="F410" s="1523"/>
      <c r="G410" s="1667">
        <v>224</v>
      </c>
      <c r="H410" s="1501">
        <v>0</v>
      </c>
      <c r="I410" s="1645">
        <v>70</v>
      </c>
      <c r="J410" s="1630"/>
      <c r="K410" s="1630"/>
      <c r="L410" s="1631"/>
      <c r="M410" s="1631"/>
      <c r="N410" s="1631"/>
      <c r="O410" s="1631"/>
      <c r="P410" s="1631"/>
      <c r="Q410" s="1631"/>
      <c r="R410" s="1631"/>
      <c r="S410" s="1631"/>
      <c r="T410" s="1632"/>
      <c r="U410" s="1633"/>
      <c r="V410" s="1633"/>
      <c r="W410" s="1634"/>
      <c r="X410" s="1634"/>
      <c r="Y410" s="1634"/>
      <c r="Z410" s="1635"/>
      <c r="AA410" s="1634"/>
      <c r="AB410" s="1634"/>
      <c r="AC410" s="1920">
        <f t="shared" si="302"/>
        <v>0</v>
      </c>
      <c r="AD410" s="1921">
        <f t="shared" si="303"/>
        <v>70</v>
      </c>
      <c r="AE410" s="1921">
        <f t="shared" si="304"/>
        <v>70</v>
      </c>
      <c r="AF410" s="1921">
        <f t="shared" si="304"/>
        <v>0</v>
      </c>
      <c r="AG410" s="1921">
        <f t="shared" si="304"/>
        <v>0</v>
      </c>
      <c r="AH410" s="1490">
        <f t="shared" si="272"/>
        <v>0</v>
      </c>
      <c r="AI410" s="1920">
        <f t="shared" si="305"/>
        <v>0</v>
      </c>
      <c r="AJ410" s="1920">
        <f t="shared" si="306"/>
        <v>0</v>
      </c>
      <c r="AK410" s="1920">
        <f t="shared" si="307"/>
        <v>0</v>
      </c>
      <c r="AL410" s="1636">
        <f t="shared" si="300"/>
        <v>0</v>
      </c>
      <c r="AM410" s="1920">
        <f t="shared" si="300"/>
        <v>0</v>
      </c>
      <c r="AN410" s="1637"/>
      <c r="AO410" s="1922">
        <v>0</v>
      </c>
      <c r="AP410" s="1923"/>
      <c r="AQ410" s="1923"/>
      <c r="AR410" s="1923"/>
      <c r="AS410" s="1639"/>
      <c r="AT410" s="1923"/>
      <c r="AU410" s="1923"/>
      <c r="AV410" s="1923"/>
      <c r="AW410" s="1639"/>
      <c r="AX410" s="1924"/>
      <c r="AY410" s="1924"/>
      <c r="AZ410" s="1924"/>
      <c r="BA410" s="1641"/>
      <c r="BB410" s="1924"/>
      <c r="BC410" s="1924"/>
      <c r="BD410" s="1924"/>
      <c r="BE410" s="1644"/>
      <c r="BF410" s="1924"/>
      <c r="BG410" s="1924"/>
      <c r="BH410" s="1924"/>
      <c r="BI410" s="1641"/>
      <c r="BJ410" s="1927">
        <v>70</v>
      </c>
      <c r="BK410" s="1924"/>
      <c r="BL410" s="1924"/>
      <c r="BM410" s="1641"/>
      <c r="BN410" s="1924"/>
      <c r="BO410" s="1924"/>
      <c r="BP410" s="1924"/>
      <c r="BQ410" s="1641"/>
      <c r="BR410" s="1924"/>
      <c r="BS410" s="1924"/>
      <c r="BT410" s="1924"/>
      <c r="BU410" s="1641"/>
      <c r="BV410" s="1924"/>
      <c r="BW410" s="1924"/>
      <c r="BX410" s="1924"/>
      <c r="BY410" s="1641"/>
      <c r="BZ410" s="1924"/>
      <c r="CA410" s="1924"/>
      <c r="CB410" s="1924"/>
      <c r="CC410" s="1641"/>
      <c r="CD410" s="1924"/>
      <c r="CE410" s="1924"/>
      <c r="CF410" s="1924"/>
      <c r="CG410" s="1925"/>
      <c r="CH410" s="1641">
        <f t="shared" si="282"/>
        <v>0</v>
      </c>
      <c r="CI410" s="1641">
        <f t="shared" si="282"/>
        <v>0</v>
      </c>
      <c r="CJ410" s="1641">
        <f t="shared" si="282"/>
        <v>0</v>
      </c>
      <c r="CK410" s="1641">
        <f t="shared" si="282"/>
        <v>0</v>
      </c>
      <c r="CL410" s="1926">
        <v>0</v>
      </c>
      <c r="CM410" s="1926">
        <v>0</v>
      </c>
      <c r="CN410" s="1889">
        <v>0</v>
      </c>
      <c r="CO410" s="1926">
        <v>0</v>
      </c>
      <c r="CP410" s="1641"/>
      <c r="CQ410" s="1924"/>
      <c r="CR410" s="1924"/>
      <c r="CS410" s="1924"/>
      <c r="CT410" s="1918"/>
      <c r="CU410" s="1918"/>
      <c r="CV410" s="1918"/>
      <c r="CW410" s="1918"/>
      <c r="CY410" s="1918"/>
    </row>
    <row r="411" spans="1:107" s="1919" customFormat="1" ht="15" thickBot="1" x14ac:dyDescent="0.2">
      <c r="A411" s="1541" t="s">
        <v>90</v>
      </c>
      <c r="B411" s="1523" t="s">
        <v>79</v>
      </c>
      <c r="C411" s="1523" t="s">
        <v>80</v>
      </c>
      <c r="D411" s="1523" t="s">
        <v>125</v>
      </c>
      <c r="E411" s="1523" t="s">
        <v>214</v>
      </c>
      <c r="F411" s="1523"/>
      <c r="G411" s="1667">
        <v>225</v>
      </c>
      <c r="H411" s="1501">
        <f>50</f>
        <v>50</v>
      </c>
      <c r="I411" s="1645"/>
      <c r="J411" s="1630"/>
      <c r="K411" s="1630"/>
      <c r="L411" s="1631"/>
      <c r="M411" s="1631"/>
      <c r="N411" s="1631"/>
      <c r="O411" s="1631"/>
      <c r="P411" s="1631"/>
      <c r="Q411" s="1631"/>
      <c r="R411" s="1631"/>
      <c r="S411" s="1631"/>
      <c r="T411" s="1632"/>
      <c r="U411" s="1633"/>
      <c r="V411" s="1633"/>
      <c r="W411" s="1634"/>
      <c r="X411" s="1634"/>
      <c r="Y411" s="1634"/>
      <c r="Z411" s="1635"/>
      <c r="AA411" s="1634"/>
      <c r="AB411" s="1634"/>
      <c r="AC411" s="1920">
        <f t="shared" si="302"/>
        <v>50</v>
      </c>
      <c r="AD411" s="1921">
        <f t="shared" si="303"/>
        <v>0</v>
      </c>
      <c r="AE411" s="1921">
        <f t="shared" si="304"/>
        <v>0</v>
      </c>
      <c r="AF411" s="1921">
        <f t="shared" si="304"/>
        <v>0</v>
      </c>
      <c r="AG411" s="1921">
        <f t="shared" si="304"/>
        <v>0</v>
      </c>
      <c r="AH411" s="1490">
        <f t="shared" si="272"/>
        <v>0</v>
      </c>
      <c r="AI411" s="1920">
        <f t="shared" si="305"/>
        <v>0</v>
      </c>
      <c r="AJ411" s="1920">
        <f t="shared" si="306"/>
        <v>0</v>
      </c>
      <c r="AK411" s="1920">
        <f t="shared" si="307"/>
        <v>0</v>
      </c>
      <c r="AL411" s="1636">
        <f t="shared" si="300"/>
        <v>0</v>
      </c>
      <c r="AM411" s="1920">
        <f t="shared" si="300"/>
        <v>0</v>
      </c>
      <c r="AN411" s="1637"/>
      <c r="AO411" s="1928"/>
      <c r="AP411" s="1923"/>
      <c r="AQ411" s="1923"/>
      <c r="AR411" s="1923"/>
      <c r="AS411" s="1639"/>
      <c r="AT411" s="1923"/>
      <c r="AU411" s="1923"/>
      <c r="AV411" s="1923"/>
      <c r="AW411" s="1639"/>
      <c r="AX411" s="1924"/>
      <c r="AY411" s="1924"/>
      <c r="AZ411" s="1924"/>
      <c r="BA411" s="1641"/>
      <c r="BB411" s="1924"/>
      <c r="BC411" s="1924"/>
      <c r="BD411" s="1924"/>
      <c r="BE411" s="1644"/>
      <c r="BF411" s="1924"/>
      <c r="BG411" s="1924"/>
      <c r="BH411" s="1924"/>
      <c r="BI411" s="1641"/>
      <c r="BJ411" s="1927"/>
      <c r="BK411" s="1924"/>
      <c r="BL411" s="1924"/>
      <c r="BM411" s="1641"/>
      <c r="BN411" s="1924"/>
      <c r="BO411" s="1924"/>
      <c r="BP411" s="1924"/>
      <c r="BQ411" s="1641">
        <v>50</v>
      </c>
      <c r="BR411" s="1924"/>
      <c r="BS411" s="1924"/>
      <c r="BT411" s="1924"/>
      <c r="BU411" s="1641"/>
      <c r="BV411" s="1924"/>
      <c r="BW411" s="1924"/>
      <c r="BX411" s="1924"/>
      <c r="BY411" s="1641"/>
      <c r="BZ411" s="1924"/>
      <c r="CA411" s="1924"/>
      <c r="CB411" s="1924"/>
      <c r="CC411" s="1641"/>
      <c r="CD411" s="1924"/>
      <c r="CE411" s="1924"/>
      <c r="CF411" s="1924"/>
      <c r="CG411" s="1925"/>
      <c r="CH411" s="1641">
        <f t="shared" si="282"/>
        <v>0</v>
      </c>
      <c r="CI411" s="1641">
        <f t="shared" si="282"/>
        <v>0</v>
      </c>
      <c r="CJ411" s="1641">
        <f t="shared" si="282"/>
        <v>0</v>
      </c>
      <c r="CK411" s="1641">
        <f t="shared" si="282"/>
        <v>0</v>
      </c>
      <c r="CL411" s="1926">
        <v>0</v>
      </c>
      <c r="CM411" s="1926">
        <v>0</v>
      </c>
      <c r="CN411" s="1889">
        <v>0</v>
      </c>
      <c r="CO411" s="1926">
        <v>0</v>
      </c>
      <c r="CP411" s="1641"/>
      <c r="CQ411" s="1924"/>
      <c r="CR411" s="1924"/>
      <c r="CS411" s="1924"/>
      <c r="CT411" s="1918"/>
      <c r="CU411" s="1918"/>
      <c r="CV411" s="1918"/>
      <c r="CW411" s="1918"/>
      <c r="CY411" s="1918"/>
    </row>
    <row r="412" spans="1:107" s="1919" customFormat="1" ht="15" thickBot="1" x14ac:dyDescent="0.2">
      <c r="A412" s="1541" t="s">
        <v>91</v>
      </c>
      <c r="B412" s="1523" t="s">
        <v>79</v>
      </c>
      <c r="C412" s="1523" t="s">
        <v>80</v>
      </c>
      <c r="D412" s="1523" t="s">
        <v>125</v>
      </c>
      <c r="E412" s="1523" t="s">
        <v>214</v>
      </c>
      <c r="F412" s="1523"/>
      <c r="G412" s="1667">
        <v>226</v>
      </c>
      <c r="H412" s="1501">
        <f>35.046+497+10</f>
        <v>542.04600000000005</v>
      </c>
      <c r="I412" s="1645">
        <v>367</v>
      </c>
      <c r="J412" s="1630"/>
      <c r="K412" s="1630"/>
      <c r="L412" s="1631"/>
      <c r="M412" s="1631"/>
      <c r="N412" s="1631">
        <v>150</v>
      </c>
      <c r="O412" s="1631"/>
      <c r="P412" s="1631"/>
      <c r="Q412" s="1631"/>
      <c r="R412" s="1631"/>
      <c r="S412" s="1631"/>
      <c r="T412" s="1632"/>
      <c r="U412" s="1633"/>
      <c r="V412" s="1633"/>
      <c r="W412" s="1634"/>
      <c r="X412" s="1634"/>
      <c r="Y412" s="1634"/>
      <c r="Z412" s="1635"/>
      <c r="AA412" s="1634"/>
      <c r="AB412" s="1634"/>
      <c r="AC412" s="1920">
        <f t="shared" si="302"/>
        <v>542.04600000000005</v>
      </c>
      <c r="AD412" s="1921">
        <f t="shared" si="303"/>
        <v>367</v>
      </c>
      <c r="AE412" s="1921">
        <f t="shared" si="304"/>
        <v>367</v>
      </c>
      <c r="AF412" s="1921">
        <f t="shared" si="304"/>
        <v>0</v>
      </c>
      <c r="AG412" s="1921">
        <f t="shared" si="304"/>
        <v>0</v>
      </c>
      <c r="AH412" s="1490">
        <f t="shared" si="272"/>
        <v>0</v>
      </c>
      <c r="AI412" s="1920">
        <f t="shared" si="305"/>
        <v>0</v>
      </c>
      <c r="AJ412" s="1920">
        <f t="shared" si="306"/>
        <v>0</v>
      </c>
      <c r="AK412" s="1920">
        <f t="shared" si="307"/>
        <v>0</v>
      </c>
      <c r="AL412" s="1636">
        <f t="shared" si="300"/>
        <v>0</v>
      </c>
      <c r="AM412" s="1920">
        <f t="shared" si="300"/>
        <v>0</v>
      </c>
      <c r="AN412" s="1637"/>
      <c r="AO412" s="1928">
        <v>150</v>
      </c>
      <c r="AP412" s="1923"/>
      <c r="AQ412" s="1923"/>
      <c r="AR412" s="1923"/>
      <c r="AS412" s="1639"/>
      <c r="AT412" s="1923"/>
      <c r="AU412" s="1923"/>
      <c r="AV412" s="1923"/>
      <c r="AW412" s="1639"/>
      <c r="AX412" s="1924"/>
      <c r="AY412" s="1924"/>
      <c r="AZ412" s="1924"/>
      <c r="BA412" s="1641"/>
      <c r="BB412" s="1924"/>
      <c r="BC412" s="1924"/>
      <c r="BD412" s="1924"/>
      <c r="BE412" s="1644">
        <v>207</v>
      </c>
      <c r="BF412" s="1924"/>
      <c r="BG412" s="1924"/>
      <c r="BH412" s="1924"/>
      <c r="BI412" s="1641"/>
      <c r="BJ412" s="1927">
        <v>367</v>
      </c>
      <c r="BK412" s="1924"/>
      <c r="BL412" s="1924"/>
      <c r="BM412" s="1641"/>
      <c r="BN412" s="1924"/>
      <c r="BO412" s="1924"/>
      <c r="BP412" s="1924"/>
      <c r="BQ412" s="1641">
        <f>35.05+240.8-90.804</f>
        <v>185.04600000000002</v>
      </c>
      <c r="BR412" s="1924"/>
      <c r="BS412" s="1924"/>
      <c r="BT412" s="1924"/>
      <c r="BU412" s="1641"/>
      <c r="BV412" s="1924"/>
      <c r="BW412" s="1924"/>
      <c r="BX412" s="1924"/>
      <c r="BY412" s="1641"/>
      <c r="BZ412" s="1924"/>
      <c r="CA412" s="1924"/>
      <c r="CB412" s="1924"/>
      <c r="CC412" s="1641"/>
      <c r="CD412" s="1924"/>
      <c r="CE412" s="1924"/>
      <c r="CF412" s="1924"/>
      <c r="CG412" s="1925"/>
      <c r="CH412" s="1641">
        <f t="shared" si="282"/>
        <v>0</v>
      </c>
      <c r="CI412" s="1641">
        <f t="shared" si="282"/>
        <v>0</v>
      </c>
      <c r="CJ412" s="1641">
        <f t="shared" si="282"/>
        <v>0</v>
      </c>
      <c r="CK412" s="1641">
        <f t="shared" si="282"/>
        <v>0</v>
      </c>
      <c r="CL412" s="1926">
        <v>0</v>
      </c>
      <c r="CM412" s="1926">
        <v>0</v>
      </c>
      <c r="CN412" s="1889">
        <v>0</v>
      </c>
      <c r="CO412" s="1926">
        <v>0</v>
      </c>
      <c r="CP412" s="1641"/>
      <c r="CQ412" s="1924"/>
      <c r="CR412" s="1924"/>
      <c r="CS412" s="1924"/>
      <c r="CT412" s="1918"/>
      <c r="CU412" s="1918"/>
      <c r="CV412" s="1918"/>
      <c r="CW412" s="1918"/>
      <c r="CY412" s="1918"/>
    </row>
    <row r="413" spans="1:107" s="1919" customFormat="1" ht="15" thickBot="1" x14ac:dyDescent="0.2">
      <c r="A413" s="1541" t="s">
        <v>94</v>
      </c>
      <c r="B413" s="1523" t="s">
        <v>79</v>
      </c>
      <c r="C413" s="1523" t="s">
        <v>80</v>
      </c>
      <c r="D413" s="1523" t="s">
        <v>125</v>
      </c>
      <c r="E413" s="1523" t="s">
        <v>214</v>
      </c>
      <c r="F413" s="1523"/>
      <c r="G413" s="1667">
        <v>290</v>
      </c>
      <c r="H413" s="1501">
        <f>81.5-58+257.8</f>
        <v>281.3</v>
      </c>
      <c r="I413" s="1645"/>
      <c r="J413" s="1630"/>
      <c r="K413" s="1630"/>
      <c r="L413" s="1631"/>
      <c r="M413" s="1631"/>
      <c r="N413" s="1631"/>
      <c r="O413" s="1631"/>
      <c r="P413" s="1631"/>
      <c r="Q413" s="1631"/>
      <c r="R413" s="1631"/>
      <c r="S413" s="1631"/>
      <c r="T413" s="1632"/>
      <c r="U413" s="1633"/>
      <c r="V413" s="1633"/>
      <c r="W413" s="1634"/>
      <c r="X413" s="1634"/>
      <c r="Y413" s="1634"/>
      <c r="Z413" s="1635"/>
      <c r="AA413" s="1634"/>
      <c r="AB413" s="1634"/>
      <c r="AC413" s="1920">
        <f t="shared" si="302"/>
        <v>281.3</v>
      </c>
      <c r="AD413" s="1921">
        <f t="shared" si="303"/>
        <v>0</v>
      </c>
      <c r="AE413" s="1921">
        <f t="shared" si="304"/>
        <v>0</v>
      </c>
      <c r="AF413" s="1921">
        <f t="shared" si="304"/>
        <v>0</v>
      </c>
      <c r="AG413" s="1921">
        <f t="shared" si="304"/>
        <v>0</v>
      </c>
      <c r="AH413" s="1490">
        <f t="shared" si="272"/>
        <v>220</v>
      </c>
      <c r="AI413" s="1920">
        <f t="shared" si="305"/>
        <v>0</v>
      </c>
      <c r="AJ413" s="1920">
        <f t="shared" si="306"/>
        <v>0</v>
      </c>
      <c r="AK413" s="1920">
        <f t="shared" si="307"/>
        <v>0</v>
      </c>
      <c r="AL413" s="1636">
        <f t="shared" si="300"/>
        <v>0</v>
      </c>
      <c r="AM413" s="1920">
        <f t="shared" si="300"/>
        <v>0</v>
      </c>
      <c r="AN413" s="1637"/>
      <c r="AO413" s="1922">
        <v>6.8</v>
      </c>
      <c r="AP413" s="1923"/>
      <c r="AQ413" s="1923"/>
      <c r="AR413" s="1923"/>
      <c r="AS413" s="1639"/>
      <c r="AT413" s="1923"/>
      <c r="AU413" s="1923"/>
      <c r="AV413" s="1923"/>
      <c r="AW413" s="1639"/>
      <c r="AX413" s="1924"/>
      <c r="AY413" s="1924"/>
      <c r="AZ413" s="1924"/>
      <c r="BA413" s="1641"/>
      <c r="BB413" s="1924"/>
      <c r="BC413" s="1924"/>
      <c r="BD413" s="1924"/>
      <c r="BE413" s="1644">
        <v>21.5</v>
      </c>
      <c r="BF413" s="1924"/>
      <c r="BG413" s="1924"/>
      <c r="BH413" s="1924"/>
      <c r="BI413" s="1641"/>
      <c r="BJ413" s="1924"/>
      <c r="BK413" s="1924"/>
      <c r="BL413" s="1924"/>
      <c r="BM413" s="1641"/>
      <c r="BN413" s="1924"/>
      <c r="BO413" s="1924"/>
      <c r="BP413" s="1924"/>
      <c r="BQ413" s="1641"/>
      <c r="BR413" s="1924"/>
      <c r="BS413" s="1924"/>
      <c r="BT413" s="1924"/>
      <c r="BU413" s="1641">
        <v>33</v>
      </c>
      <c r="BV413" s="1924"/>
      <c r="BW413" s="1924"/>
      <c r="BX413" s="1924"/>
      <c r="BY413" s="1641"/>
      <c r="BZ413" s="1924"/>
      <c r="CA413" s="1924"/>
      <c r="CB413" s="1924"/>
      <c r="CC413" s="1641"/>
      <c r="CD413" s="1924"/>
      <c r="CE413" s="1924"/>
      <c r="CF413" s="1924"/>
      <c r="CG413" s="1925"/>
      <c r="CH413" s="1641">
        <f t="shared" si="282"/>
        <v>220</v>
      </c>
      <c r="CI413" s="1641">
        <f t="shared" si="282"/>
        <v>0</v>
      </c>
      <c r="CJ413" s="1641">
        <f t="shared" si="282"/>
        <v>0</v>
      </c>
      <c r="CK413" s="1641">
        <f t="shared" si="282"/>
        <v>0</v>
      </c>
      <c r="CL413" s="1926">
        <v>220</v>
      </c>
      <c r="CM413" s="1926">
        <v>0</v>
      </c>
      <c r="CN413" s="1889">
        <v>0</v>
      </c>
      <c r="CO413" s="1926">
        <v>0</v>
      </c>
      <c r="CP413" s="1641"/>
      <c r="CQ413" s="1924"/>
      <c r="CR413" s="1924"/>
      <c r="CS413" s="1924"/>
      <c r="CT413" s="1918"/>
      <c r="CU413" s="1918"/>
      <c r="CV413" s="1918"/>
      <c r="CW413" s="1918"/>
      <c r="CY413" s="1918"/>
    </row>
    <row r="414" spans="1:107" s="1919" customFormat="1" ht="15" thickBot="1" x14ac:dyDescent="0.2">
      <c r="A414" s="1541" t="s">
        <v>94</v>
      </c>
      <c r="B414" s="1523" t="s">
        <v>79</v>
      </c>
      <c r="C414" s="1523" t="s">
        <v>80</v>
      </c>
      <c r="D414" s="1523" t="s">
        <v>125</v>
      </c>
      <c r="E414" s="1523" t="s">
        <v>214</v>
      </c>
      <c r="F414" s="1523"/>
      <c r="G414" s="1667" t="s">
        <v>95</v>
      </c>
      <c r="H414" s="1501">
        <v>0</v>
      </c>
      <c r="I414" s="1645"/>
      <c r="J414" s="1630"/>
      <c r="K414" s="1630"/>
      <c r="L414" s="1631"/>
      <c r="M414" s="1631"/>
      <c r="N414" s="1631"/>
      <c r="O414" s="1631"/>
      <c r="P414" s="1631"/>
      <c r="Q414" s="1631"/>
      <c r="R414" s="1631"/>
      <c r="S414" s="1631"/>
      <c r="T414" s="1632"/>
      <c r="U414" s="1633"/>
      <c r="V414" s="1633"/>
      <c r="W414" s="1634"/>
      <c r="X414" s="1634"/>
      <c r="Y414" s="1634"/>
      <c r="Z414" s="1635"/>
      <c r="AA414" s="1634"/>
      <c r="AB414" s="1634"/>
      <c r="AC414" s="1920">
        <f t="shared" si="302"/>
        <v>0</v>
      </c>
      <c r="AD414" s="1921">
        <f t="shared" si="303"/>
        <v>0</v>
      </c>
      <c r="AE414" s="1921">
        <f t="shared" si="304"/>
        <v>0</v>
      </c>
      <c r="AF414" s="1921">
        <f t="shared" si="304"/>
        <v>0</v>
      </c>
      <c r="AG414" s="1921">
        <f t="shared" si="304"/>
        <v>0</v>
      </c>
      <c r="AH414" s="1490">
        <f t="shared" si="272"/>
        <v>0</v>
      </c>
      <c r="AI414" s="1920">
        <f t="shared" si="305"/>
        <v>0</v>
      </c>
      <c r="AJ414" s="1920">
        <f t="shared" si="306"/>
        <v>0</v>
      </c>
      <c r="AK414" s="1920">
        <f t="shared" si="307"/>
        <v>0</v>
      </c>
      <c r="AL414" s="1636">
        <f t="shared" si="300"/>
        <v>0</v>
      </c>
      <c r="AM414" s="1920">
        <f t="shared" si="300"/>
        <v>0</v>
      </c>
      <c r="AN414" s="1637"/>
      <c r="AO414" s="1922">
        <v>0</v>
      </c>
      <c r="AP414" s="1923"/>
      <c r="AQ414" s="1923"/>
      <c r="AR414" s="1923"/>
      <c r="AS414" s="1639"/>
      <c r="AT414" s="1923"/>
      <c r="AU414" s="1923"/>
      <c r="AV414" s="1923"/>
      <c r="AW414" s="1639"/>
      <c r="AX414" s="1924"/>
      <c r="AY414" s="1924"/>
      <c r="AZ414" s="1924"/>
      <c r="BA414" s="1641"/>
      <c r="BB414" s="1924"/>
      <c r="BC414" s="1924"/>
      <c r="BD414" s="1924"/>
      <c r="BE414" s="1644"/>
      <c r="BF414" s="1924"/>
      <c r="BG414" s="1924"/>
      <c r="BH414" s="1924"/>
      <c r="BI414" s="1641"/>
      <c r="BJ414" s="1924"/>
      <c r="BK414" s="1924"/>
      <c r="BL414" s="1924"/>
      <c r="BM414" s="1641"/>
      <c r="BN414" s="1924"/>
      <c r="BO414" s="1924"/>
      <c r="BP414" s="1924"/>
      <c r="BQ414" s="1641"/>
      <c r="BR414" s="1924"/>
      <c r="BS414" s="1924"/>
      <c r="BT414" s="1924"/>
      <c r="BU414" s="1641"/>
      <c r="BV414" s="1924"/>
      <c r="BW414" s="1924"/>
      <c r="BX414" s="1924"/>
      <c r="BY414" s="1641"/>
      <c r="BZ414" s="1924"/>
      <c r="CA414" s="1924"/>
      <c r="CB414" s="1924"/>
      <c r="CC414" s="1641"/>
      <c r="CD414" s="1924"/>
      <c r="CE414" s="1924"/>
      <c r="CF414" s="1924"/>
      <c r="CG414" s="1925"/>
      <c r="CH414" s="1641">
        <f t="shared" si="282"/>
        <v>0</v>
      </c>
      <c r="CI414" s="1641">
        <f t="shared" si="282"/>
        <v>0</v>
      </c>
      <c r="CJ414" s="1641">
        <f t="shared" si="282"/>
        <v>0</v>
      </c>
      <c r="CK414" s="1641">
        <f t="shared" si="282"/>
        <v>0</v>
      </c>
      <c r="CL414" s="1926">
        <v>0</v>
      </c>
      <c r="CM414" s="1926">
        <v>0</v>
      </c>
      <c r="CN414" s="1889">
        <v>0</v>
      </c>
      <c r="CO414" s="1926">
        <v>0</v>
      </c>
      <c r="CP414" s="1641"/>
      <c r="CQ414" s="1924"/>
      <c r="CR414" s="1924"/>
      <c r="CS414" s="1924"/>
      <c r="CT414" s="1918"/>
      <c r="CU414" s="1918"/>
      <c r="CV414" s="1918"/>
      <c r="CW414" s="1918"/>
      <c r="CY414" s="1918"/>
    </row>
    <row r="415" spans="1:107" s="1919" customFormat="1" ht="15" thickBot="1" x14ac:dyDescent="0.2">
      <c r="A415" s="1541" t="s">
        <v>96</v>
      </c>
      <c r="B415" s="1523" t="s">
        <v>79</v>
      </c>
      <c r="C415" s="1523" t="s">
        <v>80</v>
      </c>
      <c r="D415" s="1523" t="s">
        <v>125</v>
      </c>
      <c r="E415" s="1523" t="s">
        <v>214</v>
      </c>
      <c r="F415" s="1523"/>
      <c r="G415" s="1667">
        <v>310</v>
      </c>
      <c r="H415" s="1501">
        <v>0</v>
      </c>
      <c r="I415" s="1645"/>
      <c r="J415" s="1630"/>
      <c r="K415" s="1630"/>
      <c r="L415" s="1631"/>
      <c r="M415" s="1631"/>
      <c r="N415" s="1631"/>
      <c r="O415" s="1631"/>
      <c r="P415" s="1631"/>
      <c r="Q415" s="1631"/>
      <c r="R415" s="1631"/>
      <c r="S415" s="1631"/>
      <c r="T415" s="1632"/>
      <c r="U415" s="1633"/>
      <c r="V415" s="1633"/>
      <c r="W415" s="1634"/>
      <c r="X415" s="1634"/>
      <c r="Y415" s="1634"/>
      <c r="Z415" s="1635"/>
      <c r="AA415" s="1634"/>
      <c r="AB415" s="1634"/>
      <c r="AC415" s="1920">
        <f t="shared" si="302"/>
        <v>0</v>
      </c>
      <c r="AD415" s="1921">
        <f t="shared" si="303"/>
        <v>0</v>
      </c>
      <c r="AE415" s="1921">
        <f t="shared" si="304"/>
        <v>0</v>
      </c>
      <c r="AF415" s="1921">
        <f t="shared" si="304"/>
        <v>0</v>
      </c>
      <c r="AG415" s="1921">
        <f t="shared" si="304"/>
        <v>0</v>
      </c>
      <c r="AH415" s="1490">
        <f t="shared" si="272"/>
        <v>0</v>
      </c>
      <c r="AI415" s="1920">
        <f t="shared" si="305"/>
        <v>0</v>
      </c>
      <c r="AJ415" s="1920">
        <f t="shared" si="306"/>
        <v>0</v>
      </c>
      <c r="AK415" s="1920">
        <f t="shared" si="307"/>
        <v>0</v>
      </c>
      <c r="AL415" s="1636">
        <f t="shared" si="300"/>
        <v>0</v>
      </c>
      <c r="AM415" s="1920">
        <f t="shared" si="300"/>
        <v>0</v>
      </c>
      <c r="AN415" s="1637"/>
      <c r="AO415" s="1928"/>
      <c r="AP415" s="1923"/>
      <c r="AQ415" s="1923"/>
      <c r="AR415" s="1923"/>
      <c r="AS415" s="1639"/>
      <c r="AT415" s="1923"/>
      <c r="AU415" s="1923"/>
      <c r="AV415" s="1923"/>
      <c r="AW415" s="1639"/>
      <c r="AX415" s="1924"/>
      <c r="AY415" s="1924"/>
      <c r="AZ415" s="1924"/>
      <c r="BA415" s="1641"/>
      <c r="BB415" s="1924"/>
      <c r="BC415" s="1924"/>
      <c r="BD415" s="1924"/>
      <c r="BE415" s="1644"/>
      <c r="BF415" s="1924"/>
      <c r="BG415" s="1924"/>
      <c r="BH415" s="1924"/>
      <c r="BI415" s="1641"/>
      <c r="BJ415" s="1924"/>
      <c r="BK415" s="1924"/>
      <c r="BL415" s="1924"/>
      <c r="BM415" s="1641"/>
      <c r="BN415" s="1924"/>
      <c r="BO415" s="1924"/>
      <c r="BP415" s="1924"/>
      <c r="BQ415" s="1641"/>
      <c r="BR415" s="1924"/>
      <c r="BS415" s="1924"/>
      <c r="BT415" s="1924"/>
      <c r="BU415" s="1641"/>
      <c r="BV415" s="1924"/>
      <c r="BW415" s="1924"/>
      <c r="BX415" s="1924"/>
      <c r="BY415" s="1641"/>
      <c r="BZ415" s="1924"/>
      <c r="CA415" s="1924"/>
      <c r="CB415" s="1924"/>
      <c r="CC415" s="1641"/>
      <c r="CD415" s="1924"/>
      <c r="CE415" s="1924"/>
      <c r="CF415" s="1924"/>
      <c r="CG415" s="1925"/>
      <c r="CH415" s="1641">
        <f t="shared" si="282"/>
        <v>0</v>
      </c>
      <c r="CI415" s="1641">
        <f t="shared" si="282"/>
        <v>0</v>
      </c>
      <c r="CJ415" s="1641">
        <f t="shared" si="282"/>
        <v>0</v>
      </c>
      <c r="CK415" s="1641">
        <f t="shared" si="282"/>
        <v>0</v>
      </c>
      <c r="CL415" s="1926">
        <v>0</v>
      </c>
      <c r="CM415" s="1926">
        <v>0</v>
      </c>
      <c r="CN415" s="1889">
        <v>0</v>
      </c>
      <c r="CO415" s="1926">
        <v>0</v>
      </c>
      <c r="CP415" s="1641"/>
      <c r="CQ415" s="1924"/>
      <c r="CR415" s="1924"/>
      <c r="CS415" s="1924"/>
      <c r="CT415" s="1918"/>
      <c r="CU415" s="1918"/>
      <c r="CV415" s="1918"/>
      <c r="CW415" s="1918"/>
      <c r="CY415" s="1918"/>
    </row>
    <row r="416" spans="1:107" s="1919" customFormat="1" ht="15" thickBot="1" x14ac:dyDescent="0.2">
      <c r="A416" s="1541" t="s">
        <v>97</v>
      </c>
      <c r="B416" s="1523" t="s">
        <v>79</v>
      </c>
      <c r="C416" s="1523" t="s">
        <v>80</v>
      </c>
      <c r="D416" s="1523" t="s">
        <v>125</v>
      </c>
      <c r="E416" s="1523" t="s">
        <v>214</v>
      </c>
      <c r="F416" s="1523"/>
      <c r="G416" s="1667">
        <v>340</v>
      </c>
      <c r="H416" s="1501">
        <f>100-0.046</f>
        <v>99.953999999999994</v>
      </c>
      <c r="I416" s="1645"/>
      <c r="J416" s="1630"/>
      <c r="K416" s="1630"/>
      <c r="L416" s="1631"/>
      <c r="M416" s="1631"/>
      <c r="N416" s="1631"/>
      <c r="O416" s="1631"/>
      <c r="P416" s="1631"/>
      <c r="Q416" s="1631"/>
      <c r="R416" s="1631"/>
      <c r="S416" s="1631"/>
      <c r="T416" s="1632"/>
      <c r="U416" s="1633"/>
      <c r="V416" s="1633"/>
      <c r="W416" s="1634"/>
      <c r="X416" s="1634"/>
      <c r="Y416" s="1634"/>
      <c r="Z416" s="1635"/>
      <c r="AA416" s="1634"/>
      <c r="AB416" s="1634"/>
      <c r="AC416" s="1920">
        <f t="shared" si="302"/>
        <v>99.953999999999994</v>
      </c>
      <c r="AD416" s="1921">
        <f t="shared" si="303"/>
        <v>0</v>
      </c>
      <c r="AE416" s="1921">
        <f t="shared" si="304"/>
        <v>0</v>
      </c>
      <c r="AF416" s="1921">
        <f t="shared" si="304"/>
        <v>0</v>
      </c>
      <c r="AG416" s="1921">
        <f t="shared" si="304"/>
        <v>0</v>
      </c>
      <c r="AH416" s="1490">
        <f t="shared" si="272"/>
        <v>0.85</v>
      </c>
      <c r="AI416" s="1920">
        <f t="shared" si="305"/>
        <v>0</v>
      </c>
      <c r="AJ416" s="1920">
        <f t="shared" si="306"/>
        <v>0</v>
      </c>
      <c r="AK416" s="1920">
        <f t="shared" si="307"/>
        <v>0</v>
      </c>
      <c r="AL416" s="1636">
        <f t="shared" si="300"/>
        <v>0</v>
      </c>
      <c r="AM416" s="1920">
        <f t="shared" si="300"/>
        <v>0</v>
      </c>
      <c r="AN416" s="1637"/>
      <c r="AO416" s="1922">
        <v>8.3000000000000007</v>
      </c>
      <c r="AP416" s="1923"/>
      <c r="AQ416" s="1923"/>
      <c r="AR416" s="1923"/>
      <c r="AS416" s="1639"/>
      <c r="AT416" s="1923"/>
      <c r="AU416" s="1923"/>
      <c r="AV416" s="1923"/>
      <c r="AW416" s="1639"/>
      <c r="AX416" s="1924"/>
      <c r="AY416" s="1924"/>
      <c r="AZ416" s="1924"/>
      <c r="BA416" s="1641"/>
      <c r="BB416" s="1924"/>
      <c r="BC416" s="1924"/>
      <c r="BD416" s="1924"/>
      <c r="BE416" s="1644"/>
      <c r="BF416" s="1924"/>
      <c r="BG416" s="1924"/>
      <c r="BH416" s="1924"/>
      <c r="BI416" s="1641"/>
      <c r="BJ416" s="1924"/>
      <c r="BK416" s="1924"/>
      <c r="BL416" s="1924"/>
      <c r="BM416" s="1641"/>
      <c r="BN416" s="1924"/>
      <c r="BO416" s="1924"/>
      <c r="BP416" s="1924"/>
      <c r="BQ416" s="1641">
        <v>90.804000000000002</v>
      </c>
      <c r="BR416" s="1924"/>
      <c r="BS416" s="1924"/>
      <c r="BT416" s="1924"/>
      <c r="BU416" s="1641"/>
      <c r="BV416" s="1924"/>
      <c r="BW416" s="1924"/>
      <c r="BX416" s="1924"/>
      <c r="BY416" s="1641"/>
      <c r="BZ416" s="1924"/>
      <c r="CA416" s="1924"/>
      <c r="CB416" s="1924"/>
      <c r="CC416" s="1641"/>
      <c r="CD416" s="1924"/>
      <c r="CE416" s="1924"/>
      <c r="CF416" s="1924"/>
      <c r="CG416" s="1925"/>
      <c r="CH416" s="1641">
        <f t="shared" si="282"/>
        <v>0.85</v>
      </c>
      <c r="CI416" s="1641">
        <f t="shared" si="282"/>
        <v>0</v>
      </c>
      <c r="CJ416" s="1641">
        <f t="shared" si="282"/>
        <v>0</v>
      </c>
      <c r="CK416" s="1641">
        <f t="shared" si="282"/>
        <v>0</v>
      </c>
      <c r="CL416" s="1926">
        <v>0.85</v>
      </c>
      <c r="CM416" s="1926">
        <v>0</v>
      </c>
      <c r="CN416" s="1889">
        <v>0</v>
      </c>
      <c r="CO416" s="1926">
        <v>0</v>
      </c>
      <c r="CP416" s="1641"/>
      <c r="CQ416" s="1924"/>
      <c r="CR416" s="1924"/>
      <c r="CS416" s="1924"/>
      <c r="CT416" s="1918"/>
      <c r="CU416" s="1918"/>
      <c r="CV416" s="1918"/>
      <c r="CW416" s="1918"/>
      <c r="CY416" s="1918"/>
    </row>
    <row r="417" spans="1:107" s="1919" customFormat="1" ht="15" thickBot="1" x14ac:dyDescent="0.2">
      <c r="A417" s="1528" t="s">
        <v>767</v>
      </c>
      <c r="B417" s="1530" t="s">
        <v>79</v>
      </c>
      <c r="C417" s="1530" t="s">
        <v>80</v>
      </c>
      <c r="D417" s="1530" t="s">
        <v>125</v>
      </c>
      <c r="E417" s="1530" t="s">
        <v>214</v>
      </c>
      <c r="F417" s="1530" t="s">
        <v>768</v>
      </c>
      <c r="G417" s="1600" t="s">
        <v>766</v>
      </c>
      <c r="H417" s="1647">
        <f>I403</f>
        <v>524</v>
      </c>
      <c r="I417" s="1645"/>
      <c r="J417" s="1630"/>
      <c r="K417" s="1630"/>
      <c r="L417" s="1631"/>
      <c r="M417" s="1631"/>
      <c r="N417" s="1631"/>
      <c r="O417" s="1631"/>
      <c r="P417" s="1631"/>
      <c r="Q417" s="1631"/>
      <c r="R417" s="1631"/>
      <c r="S417" s="1631"/>
      <c r="T417" s="1632"/>
      <c r="U417" s="1633"/>
      <c r="V417" s="1633"/>
      <c r="W417" s="1634"/>
      <c r="X417" s="1634"/>
      <c r="Y417" s="1634"/>
      <c r="Z417" s="1635"/>
      <c r="AA417" s="1634"/>
      <c r="AB417" s="1634"/>
      <c r="AC417" s="1920">
        <f t="shared" si="302"/>
        <v>0</v>
      </c>
      <c r="AD417" s="1921">
        <f t="shared" si="303"/>
        <v>0</v>
      </c>
      <c r="AE417" s="1921">
        <f t="shared" si="304"/>
        <v>0</v>
      </c>
      <c r="AF417" s="1921">
        <f t="shared" si="304"/>
        <v>0</v>
      </c>
      <c r="AG417" s="1921">
        <f t="shared" si="304"/>
        <v>0</v>
      </c>
      <c r="AH417" s="1490">
        <f t="shared" ref="AH417:AH480" si="308">CG417+CL417</f>
        <v>0</v>
      </c>
      <c r="AI417" s="1920"/>
      <c r="AJ417" s="1920"/>
      <c r="AK417" s="1920"/>
      <c r="AL417" s="1636">
        <f t="shared" si="300"/>
        <v>0</v>
      </c>
      <c r="AM417" s="1920">
        <f t="shared" si="300"/>
        <v>0</v>
      </c>
      <c r="AN417" s="1712"/>
      <c r="AO417" s="1929"/>
      <c r="AP417" s="1923"/>
      <c r="AQ417" s="1923"/>
      <c r="AR417" s="1923"/>
      <c r="AS417" s="1639"/>
      <c r="AT417" s="1923"/>
      <c r="AU417" s="1923"/>
      <c r="AV417" s="1923"/>
      <c r="AW417" s="1639"/>
      <c r="AX417" s="1924"/>
      <c r="AY417" s="1924"/>
      <c r="AZ417" s="1924"/>
      <c r="BA417" s="1641"/>
      <c r="BB417" s="1924"/>
      <c r="BC417" s="1924"/>
      <c r="BD417" s="1924"/>
      <c r="BE417" s="1644"/>
      <c r="BF417" s="1924"/>
      <c r="BG417" s="1924"/>
      <c r="BH417" s="1924"/>
      <c r="BI417" s="1641"/>
      <c r="BJ417" s="1924"/>
      <c r="BK417" s="1924"/>
      <c r="BL417" s="1924"/>
      <c r="BM417" s="1641"/>
      <c r="BN417" s="1924"/>
      <c r="BO417" s="1924"/>
      <c r="BP417" s="1924"/>
      <c r="BQ417" s="1641"/>
      <c r="BR417" s="1924"/>
      <c r="BS417" s="1924"/>
      <c r="BT417" s="1924"/>
      <c r="BU417" s="1641"/>
      <c r="BV417" s="1924"/>
      <c r="BW417" s="1924"/>
      <c r="BX417" s="1924"/>
      <c r="BY417" s="1641"/>
      <c r="BZ417" s="1924"/>
      <c r="CA417" s="1924"/>
      <c r="CB417" s="1924"/>
      <c r="CC417" s="1641"/>
      <c r="CD417" s="1924"/>
      <c r="CE417" s="1924"/>
      <c r="CF417" s="1924"/>
      <c r="CG417" s="1925"/>
      <c r="CH417" s="1641">
        <f t="shared" si="282"/>
        <v>0</v>
      </c>
      <c r="CI417" s="1641">
        <f t="shared" si="282"/>
        <v>0</v>
      </c>
      <c r="CJ417" s="1641">
        <f t="shared" si="282"/>
        <v>0</v>
      </c>
      <c r="CK417" s="1641">
        <f t="shared" si="282"/>
        <v>0</v>
      </c>
      <c r="CL417" s="1930"/>
      <c r="CM417" s="1930"/>
      <c r="CN417" s="1889">
        <v>0</v>
      </c>
      <c r="CO417" s="1926">
        <v>0</v>
      </c>
      <c r="CP417" s="1641"/>
      <c r="CQ417" s="1924"/>
      <c r="CR417" s="1924"/>
      <c r="CS417" s="1924"/>
      <c r="CT417" s="1918"/>
      <c r="CU417" s="1918"/>
      <c r="CV417" s="1918"/>
      <c r="CW417" s="1918"/>
      <c r="CY417" s="1918"/>
    </row>
    <row r="418" spans="1:107" s="1911" customFormat="1" ht="15" thickBot="1" x14ac:dyDescent="0.2">
      <c r="A418" s="1873" t="s">
        <v>1270</v>
      </c>
      <c r="B418" s="1781" t="s">
        <v>79</v>
      </c>
      <c r="C418" s="1781" t="s">
        <v>80</v>
      </c>
      <c r="D418" s="1781" t="s">
        <v>125</v>
      </c>
      <c r="E418" s="1780" t="s">
        <v>214</v>
      </c>
      <c r="F418" s="1780">
        <v>600</v>
      </c>
      <c r="G418" s="1874"/>
      <c r="H418" s="1875">
        <f>H419+H433</f>
        <v>6192.6</v>
      </c>
      <c r="I418" s="1875">
        <f>I419+I433</f>
        <v>0</v>
      </c>
      <c r="J418" s="1875">
        <f>J419+J433</f>
        <v>0</v>
      </c>
      <c r="K418" s="1875">
        <f t="shared" ref="K418:CF418" si="309">K419+K433</f>
        <v>0</v>
      </c>
      <c r="L418" s="1876"/>
      <c r="M418" s="1876"/>
      <c r="N418" s="1876"/>
      <c r="O418" s="1876"/>
      <c r="P418" s="1876"/>
      <c r="Q418" s="1876"/>
      <c r="R418" s="1876"/>
      <c r="S418" s="1876"/>
      <c r="T418" s="1877"/>
      <c r="U418" s="1878"/>
      <c r="V418" s="1878"/>
      <c r="W418" s="1879"/>
      <c r="X418" s="1879"/>
      <c r="Y418" s="1879"/>
      <c r="Z418" s="1880"/>
      <c r="AA418" s="1879"/>
      <c r="AB418" s="1879"/>
      <c r="AC418" s="1906">
        <f t="shared" si="309"/>
        <v>6192.6</v>
      </c>
      <c r="AD418" s="1906">
        <f t="shared" si="309"/>
        <v>0</v>
      </c>
      <c r="AE418" s="1906">
        <f t="shared" si="309"/>
        <v>0</v>
      </c>
      <c r="AF418" s="1906">
        <f t="shared" si="309"/>
        <v>0</v>
      </c>
      <c r="AG418" s="1906">
        <f t="shared" si="309"/>
        <v>0</v>
      </c>
      <c r="AH418" s="1490">
        <f t="shared" si="308"/>
        <v>87.57</v>
      </c>
      <c r="AI418" s="1906">
        <f t="shared" si="309"/>
        <v>0</v>
      </c>
      <c r="AJ418" s="1906">
        <f t="shared" si="309"/>
        <v>0</v>
      </c>
      <c r="AK418" s="1906">
        <f t="shared" si="309"/>
        <v>0</v>
      </c>
      <c r="AL418" s="1636">
        <f t="shared" si="300"/>
        <v>0</v>
      </c>
      <c r="AM418" s="1906">
        <f t="shared" si="309"/>
        <v>0</v>
      </c>
      <c r="AN418" s="1883"/>
      <c r="AO418" s="1906">
        <f t="shared" si="309"/>
        <v>0</v>
      </c>
      <c r="AP418" s="1906">
        <f t="shared" si="309"/>
        <v>0</v>
      </c>
      <c r="AQ418" s="1906">
        <f t="shared" si="309"/>
        <v>0</v>
      </c>
      <c r="AR418" s="1906">
        <f t="shared" si="309"/>
        <v>0</v>
      </c>
      <c r="AS418" s="1880">
        <f t="shared" si="309"/>
        <v>0</v>
      </c>
      <c r="AT418" s="1906">
        <f t="shared" si="309"/>
        <v>0</v>
      </c>
      <c r="AU418" s="1906">
        <f t="shared" si="309"/>
        <v>0</v>
      </c>
      <c r="AV418" s="1906">
        <f t="shared" si="309"/>
        <v>0</v>
      </c>
      <c r="AW418" s="1880">
        <f t="shared" si="309"/>
        <v>0</v>
      </c>
      <c r="AX418" s="1906">
        <f t="shared" si="309"/>
        <v>0</v>
      </c>
      <c r="AY418" s="1906">
        <f t="shared" si="309"/>
        <v>0</v>
      </c>
      <c r="AZ418" s="1906">
        <f t="shared" si="309"/>
        <v>0</v>
      </c>
      <c r="BA418" s="1883">
        <f t="shared" si="309"/>
        <v>0</v>
      </c>
      <c r="BB418" s="1906">
        <f t="shared" si="309"/>
        <v>0</v>
      </c>
      <c r="BC418" s="1906">
        <f t="shared" si="309"/>
        <v>0</v>
      </c>
      <c r="BD418" s="1906">
        <f t="shared" si="309"/>
        <v>0</v>
      </c>
      <c r="BE418" s="1539">
        <f t="shared" si="309"/>
        <v>0</v>
      </c>
      <c r="BF418" s="1906">
        <f t="shared" si="309"/>
        <v>0</v>
      </c>
      <c r="BG418" s="1906">
        <f t="shared" si="309"/>
        <v>0</v>
      </c>
      <c r="BH418" s="1906">
        <f t="shared" si="309"/>
        <v>0</v>
      </c>
      <c r="BI418" s="1883">
        <f t="shared" si="309"/>
        <v>0</v>
      </c>
      <c r="BJ418" s="1906">
        <f t="shared" si="309"/>
        <v>0</v>
      </c>
      <c r="BK418" s="1906">
        <f t="shared" si="309"/>
        <v>0</v>
      </c>
      <c r="BL418" s="1906">
        <f t="shared" si="309"/>
        <v>0</v>
      </c>
      <c r="BM418" s="1883">
        <f t="shared" si="309"/>
        <v>0</v>
      </c>
      <c r="BN418" s="1906">
        <f t="shared" si="309"/>
        <v>0</v>
      </c>
      <c r="BO418" s="1906">
        <f t="shared" si="309"/>
        <v>0</v>
      </c>
      <c r="BP418" s="1906">
        <f t="shared" si="309"/>
        <v>0</v>
      </c>
      <c r="BQ418" s="1883">
        <f t="shared" si="309"/>
        <v>148.4</v>
      </c>
      <c r="BR418" s="1906">
        <f t="shared" si="309"/>
        <v>0</v>
      </c>
      <c r="BS418" s="1906">
        <f t="shared" si="309"/>
        <v>0</v>
      </c>
      <c r="BT418" s="1906">
        <f t="shared" si="309"/>
        <v>0</v>
      </c>
      <c r="BU418" s="1883">
        <f t="shared" si="309"/>
        <v>1452.83</v>
      </c>
      <c r="BV418" s="1906">
        <f t="shared" si="309"/>
        <v>0</v>
      </c>
      <c r="BW418" s="1906">
        <f t="shared" si="309"/>
        <v>0</v>
      </c>
      <c r="BX418" s="1906">
        <f t="shared" si="309"/>
        <v>0</v>
      </c>
      <c r="BY418" s="1883">
        <f t="shared" si="309"/>
        <v>401.9</v>
      </c>
      <c r="BZ418" s="1906">
        <f t="shared" si="309"/>
        <v>0</v>
      </c>
      <c r="CA418" s="1906">
        <f t="shared" si="309"/>
        <v>0</v>
      </c>
      <c r="CB418" s="1906">
        <f t="shared" si="309"/>
        <v>0</v>
      </c>
      <c r="CC418" s="1883">
        <f t="shared" si="309"/>
        <v>701.9</v>
      </c>
      <c r="CD418" s="1906">
        <f t="shared" si="309"/>
        <v>0</v>
      </c>
      <c r="CE418" s="1906">
        <f t="shared" si="309"/>
        <v>0</v>
      </c>
      <c r="CF418" s="1906">
        <f t="shared" si="309"/>
        <v>0</v>
      </c>
      <c r="CG418" s="1907"/>
      <c r="CH418" s="1641">
        <f t="shared" si="282"/>
        <v>3487.57</v>
      </c>
      <c r="CI418" s="1641">
        <f t="shared" si="282"/>
        <v>0</v>
      </c>
      <c r="CJ418" s="1641">
        <f t="shared" si="282"/>
        <v>0</v>
      </c>
      <c r="CK418" s="1641">
        <f t="shared" si="282"/>
        <v>0</v>
      </c>
      <c r="CL418" s="1909">
        <v>87.57</v>
      </c>
      <c r="CM418" s="1909">
        <v>0</v>
      </c>
      <c r="CN418" s="1889">
        <v>0</v>
      </c>
      <c r="CO418" s="1909">
        <v>0</v>
      </c>
      <c r="CP418" s="1883">
        <f>CP419+CP433</f>
        <v>3400</v>
      </c>
      <c r="CQ418" s="1906">
        <f>CQ419+CQ433</f>
        <v>0</v>
      </c>
      <c r="CR418" s="1906">
        <f>CR419+CR433</f>
        <v>0</v>
      </c>
      <c r="CS418" s="1906">
        <f>CS419+CS433</f>
        <v>0</v>
      </c>
      <c r="CT418" s="1910"/>
      <c r="CU418" s="1910"/>
      <c r="CV418" s="1910"/>
      <c r="CW418" s="1910"/>
      <c r="CY418" s="1910"/>
    </row>
    <row r="419" spans="1:107" s="1919" customFormat="1" ht="53" thickBot="1" x14ac:dyDescent="0.2">
      <c r="A419" s="1748" t="s">
        <v>1135</v>
      </c>
      <c r="B419" s="1749" t="s">
        <v>79</v>
      </c>
      <c r="C419" s="1749" t="s">
        <v>80</v>
      </c>
      <c r="D419" s="1749" t="s">
        <v>125</v>
      </c>
      <c r="E419" s="1749" t="s">
        <v>214</v>
      </c>
      <c r="F419" s="1749" t="s">
        <v>765</v>
      </c>
      <c r="G419" s="1600" t="s">
        <v>766</v>
      </c>
      <c r="H419" s="1531">
        <f>H420+H421+H422+H423+H424+H425+H426+H427+H428+H429+H430+H431+H432</f>
        <v>6192.6</v>
      </c>
      <c r="I419" s="1531">
        <f>I420+I421+I422+I423+I424+I425+I426+I427+I428+I429+I430+I431+I432</f>
        <v>0</v>
      </c>
      <c r="J419" s="1531">
        <f>J420+J421+J422+J423+J424+J425+J426+J427+J428+J429+J430+J431+J432</f>
        <v>0</v>
      </c>
      <c r="K419" s="1531">
        <f t="shared" ref="K419:CF419" si="310">K420+K421+K422+K423+K424+K425+K426+K427+K428+K429+K430+K431+K432</f>
        <v>0</v>
      </c>
      <c r="L419" s="1601"/>
      <c r="M419" s="1601"/>
      <c r="N419" s="1601"/>
      <c r="O419" s="1601"/>
      <c r="P419" s="1601"/>
      <c r="Q419" s="1601"/>
      <c r="R419" s="1601"/>
      <c r="S419" s="1601"/>
      <c r="T419" s="1602"/>
      <c r="U419" s="1533">
        <f>U420+U421+U422+U423+U424+U425+U426+U427+U428+U429+U430+U431+U432</f>
        <v>6044</v>
      </c>
      <c r="V419" s="1533">
        <f>V420+V421+V422+V423+V424+V425+V426+V427+V428+V429+V430+V431+V432</f>
        <v>0</v>
      </c>
      <c r="W419" s="1533">
        <f>W420+W421+W422+W423+W424+W425+W426+W427+W428+W429+W430+W431+W432</f>
        <v>141.04999999999998</v>
      </c>
      <c r="X419" s="1533">
        <f>X420+X421+X422+X423+X424+X425+X426+X427+X428+X429+X430+X431+X432</f>
        <v>401.9</v>
      </c>
      <c r="Y419" s="1533">
        <f>Y420+Y421+Y422+Y423+Y424+Y425+Y426+Y427+Y428+Y429+Y430+Y431+Y432</f>
        <v>401.9</v>
      </c>
      <c r="Z419" s="1535"/>
      <c r="AA419" s="1531"/>
      <c r="AB419" s="1531"/>
      <c r="AC419" s="1912">
        <f t="shared" si="310"/>
        <v>6192.6</v>
      </c>
      <c r="AD419" s="1912">
        <f t="shared" si="310"/>
        <v>0</v>
      </c>
      <c r="AE419" s="1912">
        <f t="shared" si="310"/>
        <v>0</v>
      </c>
      <c r="AF419" s="1912">
        <f t="shared" si="310"/>
        <v>0</v>
      </c>
      <c r="AG419" s="1912">
        <f t="shared" si="310"/>
        <v>0</v>
      </c>
      <c r="AH419" s="1490">
        <f t="shared" si="308"/>
        <v>87.57</v>
      </c>
      <c r="AI419" s="1931">
        <f t="shared" si="310"/>
        <v>0</v>
      </c>
      <c r="AJ419" s="1912">
        <f t="shared" si="310"/>
        <v>0</v>
      </c>
      <c r="AK419" s="1912">
        <f t="shared" si="310"/>
        <v>0</v>
      </c>
      <c r="AL419" s="1636">
        <f t="shared" si="300"/>
        <v>0</v>
      </c>
      <c r="AM419" s="1912">
        <f t="shared" si="310"/>
        <v>0</v>
      </c>
      <c r="AN419" s="1706"/>
      <c r="AO419" s="1914">
        <f t="shared" si="310"/>
        <v>0</v>
      </c>
      <c r="AP419" s="1912">
        <f t="shared" si="310"/>
        <v>0</v>
      </c>
      <c r="AQ419" s="1912">
        <f t="shared" si="310"/>
        <v>0</v>
      </c>
      <c r="AR419" s="1912">
        <f t="shared" si="310"/>
        <v>0</v>
      </c>
      <c r="AS419" s="1535">
        <f t="shared" si="310"/>
        <v>0</v>
      </c>
      <c r="AT419" s="1912">
        <f t="shared" si="310"/>
        <v>0</v>
      </c>
      <c r="AU419" s="1912">
        <f t="shared" si="310"/>
        <v>0</v>
      </c>
      <c r="AV419" s="1912">
        <f t="shared" si="310"/>
        <v>0</v>
      </c>
      <c r="AW419" s="1535">
        <f t="shared" si="310"/>
        <v>0</v>
      </c>
      <c r="AX419" s="1912">
        <f t="shared" si="310"/>
        <v>0</v>
      </c>
      <c r="AY419" s="1912">
        <f t="shared" si="310"/>
        <v>0</v>
      </c>
      <c r="AZ419" s="1912">
        <f t="shared" si="310"/>
        <v>0</v>
      </c>
      <c r="BA419" s="1538">
        <f t="shared" si="310"/>
        <v>0</v>
      </c>
      <c r="BB419" s="1912">
        <f t="shared" si="310"/>
        <v>0</v>
      </c>
      <c r="BC419" s="1912">
        <f t="shared" si="310"/>
        <v>0</v>
      </c>
      <c r="BD419" s="1912">
        <f t="shared" si="310"/>
        <v>0</v>
      </c>
      <c r="BE419" s="1539">
        <f t="shared" si="310"/>
        <v>0</v>
      </c>
      <c r="BF419" s="1912">
        <f t="shared" si="310"/>
        <v>0</v>
      </c>
      <c r="BG419" s="1912">
        <f t="shared" si="310"/>
        <v>0</v>
      </c>
      <c r="BH419" s="1912">
        <f t="shared" si="310"/>
        <v>0</v>
      </c>
      <c r="BI419" s="1538">
        <f t="shared" si="310"/>
        <v>0</v>
      </c>
      <c r="BJ419" s="1912">
        <f t="shared" si="310"/>
        <v>0</v>
      </c>
      <c r="BK419" s="1912">
        <f t="shared" si="310"/>
        <v>0</v>
      </c>
      <c r="BL419" s="1912">
        <f t="shared" si="310"/>
        <v>0</v>
      </c>
      <c r="BM419" s="1538">
        <f t="shared" si="310"/>
        <v>0</v>
      </c>
      <c r="BN419" s="1912">
        <f t="shared" si="310"/>
        <v>0</v>
      </c>
      <c r="BO419" s="1912">
        <f t="shared" si="310"/>
        <v>0</v>
      </c>
      <c r="BP419" s="1912">
        <f t="shared" si="310"/>
        <v>0</v>
      </c>
      <c r="BQ419" s="1538">
        <f t="shared" si="310"/>
        <v>148.4</v>
      </c>
      <c r="BR419" s="1912">
        <f t="shared" si="310"/>
        <v>0</v>
      </c>
      <c r="BS419" s="1912">
        <f t="shared" si="310"/>
        <v>0</v>
      </c>
      <c r="BT419" s="1912">
        <f t="shared" si="310"/>
        <v>0</v>
      </c>
      <c r="BU419" s="1538">
        <f t="shared" si="310"/>
        <v>1452.83</v>
      </c>
      <c r="BV419" s="1912">
        <f t="shared" si="310"/>
        <v>0</v>
      </c>
      <c r="BW419" s="1912">
        <f t="shared" si="310"/>
        <v>0</v>
      </c>
      <c r="BX419" s="1912">
        <f t="shared" si="310"/>
        <v>0</v>
      </c>
      <c r="BY419" s="1538">
        <f t="shared" si="310"/>
        <v>401.9</v>
      </c>
      <c r="BZ419" s="1912">
        <f t="shared" si="310"/>
        <v>0</v>
      </c>
      <c r="CA419" s="1912">
        <f t="shared" si="310"/>
        <v>0</v>
      </c>
      <c r="CB419" s="1912">
        <f t="shared" si="310"/>
        <v>0</v>
      </c>
      <c r="CC419" s="1538">
        <f t="shared" si="310"/>
        <v>701.9</v>
      </c>
      <c r="CD419" s="1912">
        <f t="shared" si="310"/>
        <v>0</v>
      </c>
      <c r="CE419" s="1912">
        <f t="shared" si="310"/>
        <v>0</v>
      </c>
      <c r="CF419" s="1912">
        <f t="shared" si="310"/>
        <v>0</v>
      </c>
      <c r="CG419" s="1915"/>
      <c r="CH419" s="1641">
        <f t="shared" si="282"/>
        <v>3487.57</v>
      </c>
      <c r="CI419" s="1641">
        <f t="shared" si="282"/>
        <v>0</v>
      </c>
      <c r="CJ419" s="1641">
        <f t="shared" si="282"/>
        <v>0</v>
      </c>
      <c r="CK419" s="1641">
        <f t="shared" si="282"/>
        <v>0</v>
      </c>
      <c r="CL419" s="1926">
        <v>87.57</v>
      </c>
      <c r="CM419" s="1932">
        <v>0</v>
      </c>
      <c r="CN419" s="1889">
        <v>0</v>
      </c>
      <c r="CO419" s="1932">
        <v>0</v>
      </c>
      <c r="CP419" s="1538">
        <f>CP420+CP421+CP422+CP423+CP424+CP425+CP426+CP427+CP428+CP429+CP430+CP431+CP432</f>
        <v>3400</v>
      </c>
      <c r="CQ419" s="1912">
        <f>CQ420+CQ421+CQ422+CQ423+CQ424+CQ425+CQ426+CQ427+CQ428+CQ429+CQ430+CQ431+CQ432</f>
        <v>0</v>
      </c>
      <c r="CR419" s="1912">
        <f>CR420+CR421+CR422+CR423+CR424+CR425+CR426+CR427+CR428+CR429+CR430+CR431+CR432</f>
        <v>0</v>
      </c>
      <c r="CS419" s="1912">
        <f>CS420+CS421+CS422+CS423+CS424+CS425+CS426+CS427+CS428+CS429+CS430+CS431+CS432</f>
        <v>0</v>
      </c>
      <c r="CT419" s="1918"/>
      <c r="CU419" s="1918"/>
      <c r="CV419" s="1918"/>
      <c r="CW419" s="1918"/>
      <c r="CY419" s="1918"/>
    </row>
    <row r="420" spans="1:107" s="1919" customFormat="1" ht="15" thickBot="1" x14ac:dyDescent="0.2">
      <c r="A420" s="1541" t="s">
        <v>124</v>
      </c>
      <c r="B420" s="1523" t="s">
        <v>79</v>
      </c>
      <c r="C420" s="1523" t="s">
        <v>80</v>
      </c>
      <c r="D420" s="1523" t="s">
        <v>125</v>
      </c>
      <c r="E420" s="1523" t="s">
        <v>214</v>
      </c>
      <c r="F420" s="1523"/>
      <c r="G420" s="1667">
        <v>211</v>
      </c>
      <c r="H420" s="1501">
        <f>6767.8-U420-1020.5</f>
        <v>1300</v>
      </c>
      <c r="I420" s="1645"/>
      <c r="J420" s="1630"/>
      <c r="K420" s="1630"/>
      <c r="L420" s="1631"/>
      <c r="M420" s="1631"/>
      <c r="N420" s="1631"/>
      <c r="O420" s="1631"/>
      <c r="P420" s="1631"/>
      <c r="Q420" s="1631"/>
      <c r="R420" s="1631"/>
      <c r="S420" s="1631"/>
      <c r="T420" s="1632"/>
      <c r="U420" s="1633">
        <f>3909.7+537.6</f>
        <v>4447.3</v>
      </c>
      <c r="V420" s="1633"/>
      <c r="W420" s="1634">
        <f>H420/12</f>
        <v>108.33333333333333</v>
      </c>
      <c r="X420" s="1634">
        <f>BY420</f>
        <v>308.7</v>
      </c>
      <c r="Y420" s="1634">
        <f>CC420</f>
        <v>308.7</v>
      </c>
      <c r="Z420" s="1635">
        <v>308.7</v>
      </c>
      <c r="AA420" s="1634"/>
      <c r="AB420" s="1634">
        <f>AI420/2</f>
        <v>0</v>
      </c>
      <c r="AC420" s="1920">
        <f t="shared" ref="AC420:AC435" si="311">AO420+AS420+AW420+BA420+BE420+BI420+BM420+BQ420+BU420+BY420+CC420+CH420</f>
        <v>1300</v>
      </c>
      <c r="AD420" s="1921">
        <f t="shared" ref="AD420:AD435" si="312">AE420+AF420+AG420</f>
        <v>0</v>
      </c>
      <c r="AE420" s="1921">
        <f t="shared" ref="AE420:AG433" si="313">AP420+AT420+AX420+BB420+BF420+BJ420+BN420+BR420+BV420+BZ420+CD420+CI420</f>
        <v>0</v>
      </c>
      <c r="AF420" s="1921">
        <f t="shared" si="313"/>
        <v>0</v>
      </c>
      <c r="AG420" s="1921">
        <f t="shared" si="313"/>
        <v>0</v>
      </c>
      <c r="AH420" s="1490">
        <f t="shared" si="308"/>
        <v>0</v>
      </c>
      <c r="AI420" s="1920">
        <f t="shared" ref="AI420:AI433" si="314">H420-AC420</f>
        <v>0</v>
      </c>
      <c r="AJ420" s="1920">
        <f t="shared" ref="AJ420:AJ433" si="315">AK420+AL420+AM420</f>
        <v>0</v>
      </c>
      <c r="AK420" s="1920">
        <f t="shared" ref="AK420:AK433" si="316">I420-AE420</f>
        <v>0</v>
      </c>
      <c r="AL420" s="1636">
        <f t="shared" si="300"/>
        <v>0</v>
      </c>
      <c r="AM420" s="1920">
        <f t="shared" si="300"/>
        <v>0</v>
      </c>
      <c r="AN420" s="1637">
        <f>AI420/3</f>
        <v>0</v>
      </c>
      <c r="AO420" s="1922"/>
      <c r="AP420" s="1923"/>
      <c r="AQ420" s="1923"/>
      <c r="AR420" s="1923"/>
      <c r="AS420" s="1639"/>
      <c r="AT420" s="1923"/>
      <c r="AU420" s="1923"/>
      <c r="AV420" s="1923"/>
      <c r="AW420" s="1639"/>
      <c r="AX420" s="1924"/>
      <c r="AY420" s="1924"/>
      <c r="AZ420" s="1924"/>
      <c r="BA420" s="1641"/>
      <c r="BB420" s="1924"/>
      <c r="BC420" s="1924"/>
      <c r="BD420" s="1924"/>
      <c r="BE420" s="1644"/>
      <c r="BF420" s="1924"/>
      <c r="BG420" s="1924"/>
      <c r="BH420" s="1924"/>
      <c r="BI420" s="1641"/>
      <c r="BJ420" s="1924"/>
      <c r="BK420" s="1924"/>
      <c r="BL420" s="1924"/>
      <c r="BM420" s="1641"/>
      <c r="BN420" s="1924"/>
      <c r="BO420" s="1924"/>
      <c r="BP420" s="1924"/>
      <c r="BQ420" s="1641">
        <v>114</v>
      </c>
      <c r="BR420" s="1924"/>
      <c r="BS420" s="1924"/>
      <c r="BT420" s="1924"/>
      <c r="BU420" s="1641">
        <f>130+130</f>
        <v>260</v>
      </c>
      <c r="BV420" s="1924"/>
      <c r="BW420" s="1924"/>
      <c r="BX420" s="1924"/>
      <c r="BY420" s="1641">
        <v>308.7</v>
      </c>
      <c r="BZ420" s="1924"/>
      <c r="CA420" s="1924"/>
      <c r="CB420" s="1924"/>
      <c r="CC420" s="1641">
        <v>308.7</v>
      </c>
      <c r="CD420" s="1924"/>
      <c r="CE420" s="1924"/>
      <c r="CF420" s="1924"/>
      <c r="CG420" s="1925"/>
      <c r="CH420" s="1641">
        <f t="shared" si="282"/>
        <v>308.60000000000002</v>
      </c>
      <c r="CI420" s="1641">
        <f t="shared" si="282"/>
        <v>0</v>
      </c>
      <c r="CJ420" s="1641">
        <f t="shared" si="282"/>
        <v>0</v>
      </c>
      <c r="CK420" s="1641">
        <f t="shared" si="282"/>
        <v>0</v>
      </c>
      <c r="CL420" s="1926">
        <v>0</v>
      </c>
      <c r="CM420" s="1926">
        <v>0</v>
      </c>
      <c r="CN420" s="1889">
        <v>0</v>
      </c>
      <c r="CO420" s="1926">
        <v>0</v>
      </c>
      <c r="CP420" s="1641">
        <v>308.60000000000002</v>
      </c>
      <c r="CQ420" s="1924"/>
      <c r="CR420" s="1924"/>
      <c r="CS420" s="1924"/>
      <c r="CT420" s="1918"/>
      <c r="CU420" s="1918"/>
      <c r="CV420" s="1918"/>
      <c r="CW420" s="1918"/>
      <c r="CX420" s="1558">
        <f>H420/12*10-AC420</f>
        <v>-216.66666666666674</v>
      </c>
      <c r="CY420" s="1558">
        <f>AI420/3</f>
        <v>0</v>
      </c>
      <c r="CZ420" s="1558">
        <f>H420/12</f>
        <v>108.33333333333333</v>
      </c>
      <c r="DA420" s="1559"/>
      <c r="DB420" s="1559"/>
      <c r="DC420" s="1559"/>
    </row>
    <row r="421" spans="1:107" s="1919" customFormat="1" ht="15" thickBot="1" x14ac:dyDescent="0.2">
      <c r="A421" s="1541" t="s">
        <v>83</v>
      </c>
      <c r="B421" s="1523" t="s">
        <v>79</v>
      </c>
      <c r="C421" s="1523" t="s">
        <v>80</v>
      </c>
      <c r="D421" s="1523" t="s">
        <v>125</v>
      </c>
      <c r="E421" s="1523" t="s">
        <v>214</v>
      </c>
      <c r="F421" s="1523"/>
      <c r="G421" s="1667">
        <v>212</v>
      </c>
      <c r="H421" s="1501">
        <v>0</v>
      </c>
      <c r="I421" s="1645"/>
      <c r="J421" s="1630"/>
      <c r="K421" s="1630"/>
      <c r="L421" s="1631"/>
      <c r="M421" s="1631"/>
      <c r="N421" s="1631"/>
      <c r="O421" s="1631"/>
      <c r="P421" s="1631"/>
      <c r="Q421" s="1631"/>
      <c r="R421" s="1631"/>
      <c r="S421" s="1631"/>
      <c r="T421" s="1632"/>
      <c r="U421" s="1633"/>
      <c r="V421" s="1633"/>
      <c r="W421" s="1634"/>
      <c r="X421" s="1634">
        <f>BY421</f>
        <v>0</v>
      </c>
      <c r="Y421" s="1634"/>
      <c r="Z421" s="1635"/>
      <c r="AA421" s="1634"/>
      <c r="AB421" s="1634">
        <f>AI421/2</f>
        <v>0</v>
      </c>
      <c r="AC421" s="1920">
        <f t="shared" si="311"/>
        <v>0</v>
      </c>
      <c r="AD421" s="1921">
        <f t="shared" si="312"/>
        <v>0</v>
      </c>
      <c r="AE421" s="1921">
        <f t="shared" si="313"/>
        <v>0</v>
      </c>
      <c r="AF421" s="1921">
        <f t="shared" si="313"/>
        <v>0</v>
      </c>
      <c r="AG421" s="1921">
        <f t="shared" si="313"/>
        <v>0</v>
      </c>
      <c r="AH421" s="1490">
        <f t="shared" si="308"/>
        <v>0</v>
      </c>
      <c r="AI421" s="1920">
        <f t="shared" si="314"/>
        <v>0</v>
      </c>
      <c r="AJ421" s="1920">
        <f t="shared" si="315"/>
        <v>0</v>
      </c>
      <c r="AK421" s="1920">
        <f t="shared" si="316"/>
        <v>0</v>
      </c>
      <c r="AL421" s="1636">
        <f t="shared" si="300"/>
        <v>0</v>
      </c>
      <c r="AM421" s="1920">
        <f t="shared" si="300"/>
        <v>0</v>
      </c>
      <c r="AN421" s="1637"/>
      <c r="AO421" s="1922">
        <v>0</v>
      </c>
      <c r="AP421" s="1923"/>
      <c r="AQ421" s="1923"/>
      <c r="AR421" s="1923"/>
      <c r="AS421" s="1639"/>
      <c r="AT421" s="1923"/>
      <c r="AU421" s="1923"/>
      <c r="AV421" s="1923"/>
      <c r="AW421" s="1639"/>
      <c r="AX421" s="1924"/>
      <c r="AY421" s="1924"/>
      <c r="AZ421" s="1924"/>
      <c r="BA421" s="1641"/>
      <c r="BB421" s="1924"/>
      <c r="BC421" s="1924"/>
      <c r="BD421" s="1924"/>
      <c r="BE421" s="1644"/>
      <c r="BF421" s="1924"/>
      <c r="BG421" s="1924"/>
      <c r="BH421" s="1924"/>
      <c r="BI421" s="1641"/>
      <c r="BJ421" s="1924"/>
      <c r="BK421" s="1924"/>
      <c r="BL421" s="1924"/>
      <c r="BM421" s="1641"/>
      <c r="BN421" s="1924"/>
      <c r="BO421" s="1924"/>
      <c r="BP421" s="1924"/>
      <c r="BQ421" s="1641"/>
      <c r="BR421" s="1924"/>
      <c r="BS421" s="1924"/>
      <c r="BT421" s="1924"/>
      <c r="BU421" s="1641"/>
      <c r="BV421" s="1924"/>
      <c r="BW421" s="1924"/>
      <c r="BX421" s="1924"/>
      <c r="BY421" s="1641"/>
      <c r="BZ421" s="1924"/>
      <c r="CA421" s="1924"/>
      <c r="CB421" s="1924"/>
      <c r="CC421" s="1641"/>
      <c r="CD421" s="1924"/>
      <c r="CE421" s="1924"/>
      <c r="CF421" s="1924"/>
      <c r="CG421" s="1925"/>
      <c r="CH421" s="1641">
        <f t="shared" ref="CH421:CK432" si="317">CL421+CP421</f>
        <v>0</v>
      </c>
      <c r="CI421" s="1641">
        <f t="shared" si="317"/>
        <v>0</v>
      </c>
      <c r="CJ421" s="1641">
        <f t="shared" si="317"/>
        <v>0</v>
      </c>
      <c r="CK421" s="1641">
        <f t="shared" si="317"/>
        <v>0</v>
      </c>
      <c r="CL421" s="1926">
        <v>0</v>
      </c>
      <c r="CM421" s="1926">
        <v>0</v>
      </c>
      <c r="CN421" s="1889">
        <v>0</v>
      </c>
      <c r="CO421" s="1926">
        <v>0</v>
      </c>
      <c r="CP421" s="1641"/>
      <c r="CQ421" s="1924"/>
      <c r="CR421" s="1924"/>
      <c r="CS421" s="1924"/>
      <c r="CT421" s="1918"/>
      <c r="CU421" s="1918"/>
      <c r="CV421" s="1918"/>
      <c r="CW421" s="1918"/>
      <c r="CX421" s="1558"/>
      <c r="CY421" s="1558"/>
      <c r="CZ421" s="1558"/>
      <c r="DA421" s="1559"/>
      <c r="DB421" s="1559"/>
      <c r="DC421" s="1559"/>
    </row>
    <row r="422" spans="1:107" s="1919" customFormat="1" ht="15" thickBot="1" x14ac:dyDescent="0.2">
      <c r="A422" s="1541" t="s">
        <v>84</v>
      </c>
      <c r="B422" s="1523" t="s">
        <v>79</v>
      </c>
      <c r="C422" s="1523" t="s">
        <v>80</v>
      </c>
      <c r="D422" s="1523" t="s">
        <v>125</v>
      </c>
      <c r="E422" s="1523" t="s">
        <v>214</v>
      </c>
      <c r="F422" s="1523"/>
      <c r="G422" s="1667">
        <v>213</v>
      </c>
      <c r="H422" s="1501">
        <f>2043.9-U422-308.2</f>
        <v>392.59999999999997</v>
      </c>
      <c r="I422" s="1645"/>
      <c r="J422" s="1630"/>
      <c r="K422" s="1630"/>
      <c r="L422" s="1631"/>
      <c r="M422" s="1631"/>
      <c r="N422" s="1631"/>
      <c r="O422" s="1631"/>
      <c r="P422" s="1631"/>
      <c r="Q422" s="1631"/>
      <c r="R422" s="1631"/>
      <c r="S422" s="1631"/>
      <c r="T422" s="1632"/>
      <c r="U422" s="1633">
        <f>1180.7+162.4</f>
        <v>1343.1000000000001</v>
      </c>
      <c r="V422" s="1633"/>
      <c r="W422" s="1634">
        <f>H422/12</f>
        <v>32.716666666666661</v>
      </c>
      <c r="X422" s="1634">
        <f>BY422</f>
        <v>93.2</v>
      </c>
      <c r="Y422" s="1634">
        <f>CC422</f>
        <v>93.2</v>
      </c>
      <c r="Z422" s="1635">
        <v>93.2</v>
      </c>
      <c r="AA422" s="1634"/>
      <c r="AB422" s="1634">
        <f>AI422/2</f>
        <v>0</v>
      </c>
      <c r="AC422" s="1920">
        <f t="shared" si="311"/>
        <v>392.59999999999997</v>
      </c>
      <c r="AD422" s="1921">
        <f t="shared" si="312"/>
        <v>0</v>
      </c>
      <c r="AE422" s="1921">
        <f t="shared" si="313"/>
        <v>0</v>
      </c>
      <c r="AF422" s="1921">
        <f t="shared" si="313"/>
        <v>0</v>
      </c>
      <c r="AG422" s="1921">
        <f t="shared" si="313"/>
        <v>0</v>
      </c>
      <c r="AH422" s="1490">
        <f t="shared" si="308"/>
        <v>87.57</v>
      </c>
      <c r="AI422" s="1920">
        <f t="shared" si="314"/>
        <v>0</v>
      </c>
      <c r="AJ422" s="1920">
        <f t="shared" si="315"/>
        <v>0</v>
      </c>
      <c r="AK422" s="1920">
        <f t="shared" si="316"/>
        <v>0</v>
      </c>
      <c r="AL422" s="1636">
        <f t="shared" si="300"/>
        <v>0</v>
      </c>
      <c r="AM422" s="1920">
        <f t="shared" si="300"/>
        <v>0</v>
      </c>
      <c r="AN422" s="1637">
        <f>AI422/4</f>
        <v>0</v>
      </c>
      <c r="AO422" s="1922"/>
      <c r="AP422" s="1923"/>
      <c r="AQ422" s="1923"/>
      <c r="AR422" s="1923"/>
      <c r="AS422" s="1639"/>
      <c r="AT422" s="1923"/>
      <c r="AU422" s="1923"/>
      <c r="AV422" s="1923"/>
      <c r="AW422" s="1639"/>
      <c r="AX422" s="1924"/>
      <c r="AY422" s="1924"/>
      <c r="AZ422" s="1924"/>
      <c r="BA422" s="1641"/>
      <c r="BB422" s="1924"/>
      <c r="BC422" s="1924"/>
      <c r="BD422" s="1924"/>
      <c r="BE422" s="1644"/>
      <c r="BF422" s="1924"/>
      <c r="BG422" s="1924"/>
      <c r="BH422" s="1924"/>
      <c r="BI422" s="1641"/>
      <c r="BJ422" s="1924"/>
      <c r="BK422" s="1924"/>
      <c r="BL422" s="1924"/>
      <c r="BM422" s="1641"/>
      <c r="BN422" s="1924"/>
      <c r="BO422" s="1924"/>
      <c r="BP422" s="1924"/>
      <c r="BQ422" s="1641">
        <v>34.4</v>
      </c>
      <c r="BR422" s="1924"/>
      <c r="BS422" s="1924"/>
      <c r="BT422" s="1924"/>
      <c r="BU422" s="1641">
        <f>39.3+39.3</f>
        <v>78.599999999999994</v>
      </c>
      <c r="BV422" s="1924"/>
      <c r="BW422" s="1924"/>
      <c r="BX422" s="1924"/>
      <c r="BY422" s="1641">
        <v>93.2</v>
      </c>
      <c r="BZ422" s="1924"/>
      <c r="CA422" s="1924"/>
      <c r="CB422" s="1924"/>
      <c r="CC422" s="1641">
        <v>93.2</v>
      </c>
      <c r="CD422" s="1924"/>
      <c r="CE422" s="1924"/>
      <c r="CF422" s="1924"/>
      <c r="CG422" s="1925"/>
      <c r="CH422" s="1641">
        <f t="shared" si="317"/>
        <v>93.199999999999989</v>
      </c>
      <c r="CI422" s="1641">
        <f t="shared" si="317"/>
        <v>0</v>
      </c>
      <c r="CJ422" s="1641">
        <f t="shared" si="317"/>
        <v>0</v>
      </c>
      <c r="CK422" s="1641">
        <f t="shared" si="317"/>
        <v>0</v>
      </c>
      <c r="CL422" s="1926">
        <v>87.57</v>
      </c>
      <c r="CM422" s="1926">
        <v>0</v>
      </c>
      <c r="CN422" s="1889">
        <v>0</v>
      </c>
      <c r="CO422" s="1926">
        <v>0</v>
      </c>
      <c r="CP422" s="1641">
        <v>5.63</v>
      </c>
      <c r="CQ422" s="1924"/>
      <c r="CR422" s="1924"/>
      <c r="CS422" s="1924"/>
      <c r="CT422" s="1918"/>
      <c r="CU422" s="1918"/>
      <c r="CV422" s="1918"/>
      <c r="CW422" s="1918"/>
      <c r="CX422" s="1558">
        <f>H422/12*10-AC422</f>
        <v>-65.433333333333337</v>
      </c>
      <c r="CY422" s="1558">
        <f>AI422/3</f>
        <v>0</v>
      </c>
      <c r="CZ422" s="1558">
        <f>H422/12</f>
        <v>32.716666666666661</v>
      </c>
      <c r="DA422" s="1559"/>
      <c r="DB422" s="1559"/>
      <c r="DC422" s="1559"/>
    </row>
    <row r="423" spans="1:107" s="1919" customFormat="1" ht="15" thickBot="1" x14ac:dyDescent="0.2">
      <c r="A423" s="1541" t="s">
        <v>85</v>
      </c>
      <c r="B423" s="1523" t="s">
        <v>79</v>
      </c>
      <c r="C423" s="1523" t="s">
        <v>80</v>
      </c>
      <c r="D423" s="1523" t="s">
        <v>125</v>
      </c>
      <c r="E423" s="1523" t="s">
        <v>214</v>
      </c>
      <c r="F423" s="1523"/>
      <c r="G423" s="1667">
        <v>221</v>
      </c>
      <c r="H423" s="1501">
        <f>12.4-U423-12.4</f>
        <v>0</v>
      </c>
      <c r="I423" s="1645"/>
      <c r="J423" s="1630"/>
      <c r="K423" s="1630"/>
      <c r="L423" s="1631"/>
      <c r="M423" s="1631"/>
      <c r="N423" s="1631"/>
      <c r="O423" s="1631"/>
      <c r="P423" s="1631"/>
      <c r="Q423" s="1631"/>
      <c r="R423" s="1631"/>
      <c r="S423" s="1631"/>
      <c r="T423" s="1632"/>
      <c r="U423" s="1633"/>
      <c r="V423" s="1633"/>
      <c r="W423" s="1634"/>
      <c r="X423" s="1634"/>
      <c r="Y423" s="1634"/>
      <c r="Z423" s="1635"/>
      <c r="AA423" s="1634"/>
      <c r="AB423" s="1634"/>
      <c r="AC423" s="1920">
        <f t="shared" si="311"/>
        <v>0</v>
      </c>
      <c r="AD423" s="1921">
        <f t="shared" si="312"/>
        <v>0</v>
      </c>
      <c r="AE423" s="1921">
        <f t="shared" si="313"/>
        <v>0</v>
      </c>
      <c r="AF423" s="1921">
        <f t="shared" si="313"/>
        <v>0</v>
      </c>
      <c r="AG423" s="1921">
        <f t="shared" si="313"/>
        <v>0</v>
      </c>
      <c r="AH423" s="1490">
        <f t="shared" si="308"/>
        <v>0</v>
      </c>
      <c r="AI423" s="1920">
        <f t="shared" si="314"/>
        <v>0</v>
      </c>
      <c r="AJ423" s="1920">
        <f t="shared" si="315"/>
        <v>0</v>
      </c>
      <c r="AK423" s="1920">
        <f t="shared" si="316"/>
        <v>0</v>
      </c>
      <c r="AL423" s="1636">
        <f t="shared" si="300"/>
        <v>0</v>
      </c>
      <c r="AM423" s="1920">
        <f t="shared" si="300"/>
        <v>0</v>
      </c>
      <c r="AN423" s="1637"/>
      <c r="AO423" s="1922"/>
      <c r="AP423" s="1923"/>
      <c r="AQ423" s="1923"/>
      <c r="AR423" s="1923"/>
      <c r="AS423" s="1639"/>
      <c r="AT423" s="1923"/>
      <c r="AU423" s="1923"/>
      <c r="AV423" s="1923"/>
      <c r="AW423" s="1639"/>
      <c r="AX423" s="1924"/>
      <c r="AY423" s="1924"/>
      <c r="AZ423" s="1924"/>
      <c r="BA423" s="1641"/>
      <c r="BB423" s="1924"/>
      <c r="BC423" s="1924"/>
      <c r="BD423" s="1924"/>
      <c r="BE423" s="1644"/>
      <c r="BF423" s="1924"/>
      <c r="BG423" s="1924"/>
      <c r="BH423" s="1924"/>
      <c r="BI423" s="1641"/>
      <c r="BJ423" s="1924"/>
      <c r="BK423" s="1924"/>
      <c r="BL423" s="1924"/>
      <c r="BM423" s="1641"/>
      <c r="BN423" s="1924"/>
      <c r="BO423" s="1924"/>
      <c r="BP423" s="1924"/>
      <c r="BQ423" s="1641"/>
      <c r="BR423" s="1924"/>
      <c r="BS423" s="1924"/>
      <c r="BT423" s="1924"/>
      <c r="BU423" s="1641"/>
      <c r="BV423" s="1924"/>
      <c r="BW423" s="1924"/>
      <c r="BX423" s="1924"/>
      <c r="BY423" s="1641"/>
      <c r="BZ423" s="1924"/>
      <c r="CA423" s="1924"/>
      <c r="CB423" s="1924"/>
      <c r="CC423" s="1641"/>
      <c r="CD423" s="1924"/>
      <c r="CE423" s="1924"/>
      <c r="CF423" s="1924"/>
      <c r="CG423" s="1925"/>
      <c r="CH423" s="1641">
        <f t="shared" si="317"/>
        <v>0</v>
      </c>
      <c r="CI423" s="1641">
        <f t="shared" si="317"/>
        <v>0</v>
      </c>
      <c r="CJ423" s="1641">
        <f t="shared" si="317"/>
        <v>0</v>
      </c>
      <c r="CK423" s="1641">
        <f t="shared" si="317"/>
        <v>0</v>
      </c>
      <c r="CL423" s="1926">
        <v>0</v>
      </c>
      <c r="CM423" s="1926">
        <v>0</v>
      </c>
      <c r="CN423" s="1889">
        <v>0</v>
      </c>
      <c r="CO423" s="1926">
        <v>0</v>
      </c>
      <c r="CP423" s="1641"/>
      <c r="CQ423" s="1924"/>
      <c r="CR423" s="1924"/>
      <c r="CS423" s="1924"/>
      <c r="CT423" s="1918"/>
      <c r="CU423" s="1918"/>
      <c r="CV423" s="1918"/>
      <c r="CW423" s="1918"/>
      <c r="CY423" s="1918"/>
    </row>
    <row r="424" spans="1:107" s="1919" customFormat="1" ht="15" thickBot="1" x14ac:dyDescent="0.2">
      <c r="A424" s="1541" t="s">
        <v>86</v>
      </c>
      <c r="B424" s="1523" t="s">
        <v>79</v>
      </c>
      <c r="C424" s="1523" t="s">
        <v>80</v>
      </c>
      <c r="D424" s="1523" t="s">
        <v>125</v>
      </c>
      <c r="E424" s="1523" t="s">
        <v>214</v>
      </c>
      <c r="F424" s="1523"/>
      <c r="G424" s="1667">
        <v>222</v>
      </c>
      <c r="H424" s="1501">
        <v>0</v>
      </c>
      <c r="I424" s="1645"/>
      <c r="J424" s="1630"/>
      <c r="K424" s="1630"/>
      <c r="L424" s="1631"/>
      <c r="M424" s="1631"/>
      <c r="N424" s="1631"/>
      <c r="O424" s="1631"/>
      <c r="P424" s="1631"/>
      <c r="Q424" s="1631"/>
      <c r="R424" s="1631"/>
      <c r="S424" s="1631"/>
      <c r="T424" s="1632"/>
      <c r="U424" s="1633"/>
      <c r="V424" s="1633"/>
      <c r="W424" s="1634"/>
      <c r="X424" s="1634"/>
      <c r="Y424" s="1634"/>
      <c r="Z424" s="1635"/>
      <c r="AA424" s="1634"/>
      <c r="AB424" s="1634"/>
      <c r="AC424" s="1920">
        <f t="shared" si="311"/>
        <v>0</v>
      </c>
      <c r="AD424" s="1921">
        <f t="shared" si="312"/>
        <v>0</v>
      </c>
      <c r="AE424" s="1921">
        <f t="shared" si="313"/>
        <v>0</v>
      </c>
      <c r="AF424" s="1921">
        <f t="shared" si="313"/>
        <v>0</v>
      </c>
      <c r="AG424" s="1921">
        <f t="shared" si="313"/>
        <v>0</v>
      </c>
      <c r="AH424" s="1490">
        <f t="shared" si="308"/>
        <v>0</v>
      </c>
      <c r="AI424" s="1920">
        <f t="shared" si="314"/>
        <v>0</v>
      </c>
      <c r="AJ424" s="1920">
        <f t="shared" si="315"/>
        <v>0</v>
      </c>
      <c r="AK424" s="1920">
        <f t="shared" si="316"/>
        <v>0</v>
      </c>
      <c r="AL424" s="1636">
        <f t="shared" si="300"/>
        <v>0</v>
      </c>
      <c r="AM424" s="1920">
        <f t="shared" si="300"/>
        <v>0</v>
      </c>
      <c r="AN424" s="1637"/>
      <c r="AO424" s="1922"/>
      <c r="AP424" s="1923"/>
      <c r="AQ424" s="1923"/>
      <c r="AR424" s="1923"/>
      <c r="AS424" s="1639"/>
      <c r="AT424" s="1923"/>
      <c r="AU424" s="1923"/>
      <c r="AV424" s="1923"/>
      <c r="AW424" s="1639"/>
      <c r="AX424" s="1924"/>
      <c r="AY424" s="1924"/>
      <c r="AZ424" s="1924"/>
      <c r="BA424" s="1641"/>
      <c r="BB424" s="1924"/>
      <c r="BC424" s="1924"/>
      <c r="BD424" s="1924"/>
      <c r="BE424" s="1644"/>
      <c r="BF424" s="1924"/>
      <c r="BG424" s="1924"/>
      <c r="BH424" s="1924"/>
      <c r="BI424" s="1641"/>
      <c r="BJ424" s="1924"/>
      <c r="BK424" s="1924"/>
      <c r="BL424" s="1924"/>
      <c r="BM424" s="1641"/>
      <c r="BN424" s="1924"/>
      <c r="BO424" s="1924"/>
      <c r="BP424" s="1924"/>
      <c r="BQ424" s="1641"/>
      <c r="BR424" s="1924"/>
      <c r="BS424" s="1924"/>
      <c r="BT424" s="1924"/>
      <c r="BU424" s="1641"/>
      <c r="BV424" s="1924"/>
      <c r="BW424" s="1924"/>
      <c r="BX424" s="1924"/>
      <c r="BY424" s="1641"/>
      <c r="BZ424" s="1924"/>
      <c r="CA424" s="1924"/>
      <c r="CB424" s="1924"/>
      <c r="CC424" s="1641"/>
      <c r="CD424" s="1924"/>
      <c r="CE424" s="1924"/>
      <c r="CF424" s="1924"/>
      <c r="CG424" s="1925"/>
      <c r="CH424" s="1641">
        <f t="shared" si="317"/>
        <v>0</v>
      </c>
      <c r="CI424" s="1641">
        <f t="shared" si="317"/>
        <v>0</v>
      </c>
      <c r="CJ424" s="1641">
        <f t="shared" si="317"/>
        <v>0</v>
      </c>
      <c r="CK424" s="1641">
        <f t="shared" si="317"/>
        <v>0</v>
      </c>
      <c r="CL424" s="1926">
        <v>0</v>
      </c>
      <c r="CM424" s="1926">
        <v>0</v>
      </c>
      <c r="CN424" s="1889">
        <v>0</v>
      </c>
      <c r="CO424" s="1926">
        <v>0</v>
      </c>
      <c r="CP424" s="1641"/>
      <c r="CQ424" s="1924"/>
      <c r="CR424" s="1924"/>
      <c r="CS424" s="1924"/>
      <c r="CT424" s="1918"/>
      <c r="CU424" s="1918"/>
      <c r="CV424" s="1918"/>
      <c r="CW424" s="1918"/>
      <c r="CY424" s="1918"/>
    </row>
    <row r="425" spans="1:107" s="1919" customFormat="1" ht="15" thickBot="1" x14ac:dyDescent="0.2">
      <c r="A425" s="1541" t="s">
        <v>87</v>
      </c>
      <c r="B425" s="1523" t="s">
        <v>79</v>
      </c>
      <c r="C425" s="1523" t="s">
        <v>80</v>
      </c>
      <c r="D425" s="1523" t="s">
        <v>125</v>
      </c>
      <c r="E425" s="1523" t="s">
        <v>214</v>
      </c>
      <c r="F425" s="1523"/>
      <c r="G425" s="1667">
        <v>223</v>
      </c>
      <c r="H425" s="1501">
        <f>251.8-U425-62.9</f>
        <v>0</v>
      </c>
      <c r="I425" s="1645"/>
      <c r="J425" s="1630"/>
      <c r="K425" s="1630"/>
      <c r="L425" s="1631"/>
      <c r="M425" s="1631"/>
      <c r="N425" s="1631"/>
      <c r="O425" s="1631"/>
      <c r="P425" s="1631"/>
      <c r="Q425" s="1631"/>
      <c r="R425" s="1631"/>
      <c r="S425" s="1631"/>
      <c r="T425" s="1632"/>
      <c r="U425" s="1633">
        <v>188.9</v>
      </c>
      <c r="V425" s="1633"/>
      <c r="W425" s="1634"/>
      <c r="X425" s="1634"/>
      <c r="Y425" s="1634"/>
      <c r="Z425" s="1635"/>
      <c r="AA425" s="1634"/>
      <c r="AB425" s="1634"/>
      <c r="AC425" s="1920">
        <f t="shared" si="311"/>
        <v>0</v>
      </c>
      <c r="AD425" s="1921">
        <f t="shared" si="312"/>
        <v>0</v>
      </c>
      <c r="AE425" s="1921">
        <f t="shared" si="313"/>
        <v>0</v>
      </c>
      <c r="AF425" s="1921">
        <f t="shared" si="313"/>
        <v>0</v>
      </c>
      <c r="AG425" s="1921">
        <f t="shared" si="313"/>
        <v>0</v>
      </c>
      <c r="AH425" s="1490">
        <f t="shared" si="308"/>
        <v>0</v>
      </c>
      <c r="AI425" s="1920">
        <f t="shared" si="314"/>
        <v>0</v>
      </c>
      <c r="AJ425" s="1920">
        <f t="shared" si="315"/>
        <v>0</v>
      </c>
      <c r="AK425" s="1920">
        <f t="shared" si="316"/>
        <v>0</v>
      </c>
      <c r="AL425" s="1636">
        <f t="shared" si="300"/>
        <v>0</v>
      </c>
      <c r="AM425" s="1920">
        <f t="shared" si="300"/>
        <v>0</v>
      </c>
      <c r="AN425" s="1637"/>
      <c r="AO425" s="1922"/>
      <c r="AP425" s="1923"/>
      <c r="AQ425" s="1923"/>
      <c r="AR425" s="1923"/>
      <c r="AS425" s="1639"/>
      <c r="AT425" s="1923"/>
      <c r="AU425" s="1923"/>
      <c r="AV425" s="1923"/>
      <c r="AW425" s="1639"/>
      <c r="AX425" s="1924"/>
      <c r="AY425" s="1924"/>
      <c r="AZ425" s="1924"/>
      <c r="BA425" s="1641"/>
      <c r="BB425" s="1924"/>
      <c r="BC425" s="1924"/>
      <c r="BD425" s="1924"/>
      <c r="BE425" s="1644"/>
      <c r="BF425" s="1924"/>
      <c r="BG425" s="1924"/>
      <c r="BH425" s="1924"/>
      <c r="BI425" s="1641"/>
      <c r="BJ425" s="1924"/>
      <c r="BK425" s="1924"/>
      <c r="BL425" s="1924"/>
      <c r="BM425" s="1641"/>
      <c r="BN425" s="1924"/>
      <c r="BO425" s="1924"/>
      <c r="BP425" s="1924"/>
      <c r="BQ425" s="1641"/>
      <c r="BR425" s="1924"/>
      <c r="BS425" s="1924"/>
      <c r="BT425" s="1924"/>
      <c r="BU425" s="1641"/>
      <c r="BV425" s="1924"/>
      <c r="BW425" s="1924"/>
      <c r="BX425" s="1924"/>
      <c r="BY425" s="1641"/>
      <c r="BZ425" s="1924"/>
      <c r="CA425" s="1924"/>
      <c r="CB425" s="1924"/>
      <c r="CC425" s="1641"/>
      <c r="CD425" s="1924"/>
      <c r="CE425" s="1924"/>
      <c r="CF425" s="1924"/>
      <c r="CG425" s="1925"/>
      <c r="CH425" s="1641">
        <f t="shared" si="317"/>
        <v>0</v>
      </c>
      <c r="CI425" s="1641">
        <f t="shared" si="317"/>
        <v>0</v>
      </c>
      <c r="CJ425" s="1641">
        <f t="shared" si="317"/>
        <v>0</v>
      </c>
      <c r="CK425" s="1641">
        <f t="shared" si="317"/>
        <v>0</v>
      </c>
      <c r="CL425" s="1926">
        <v>0</v>
      </c>
      <c r="CM425" s="1926">
        <v>0</v>
      </c>
      <c r="CN425" s="1889">
        <v>0</v>
      </c>
      <c r="CO425" s="1926">
        <v>0</v>
      </c>
      <c r="CP425" s="1641"/>
      <c r="CQ425" s="1924"/>
      <c r="CR425" s="1924"/>
      <c r="CS425" s="1924"/>
      <c r="CT425" s="1918"/>
      <c r="CU425" s="1918"/>
      <c r="CV425" s="1918"/>
      <c r="CW425" s="1918"/>
      <c r="CY425" s="1918"/>
    </row>
    <row r="426" spans="1:107" s="1919" customFormat="1" ht="15" thickBot="1" x14ac:dyDescent="0.2">
      <c r="A426" s="1541" t="s">
        <v>111</v>
      </c>
      <c r="B426" s="1523" t="s">
        <v>79</v>
      </c>
      <c r="C426" s="1523" t="s">
        <v>80</v>
      </c>
      <c r="D426" s="1523" t="s">
        <v>125</v>
      </c>
      <c r="E426" s="1523" t="s">
        <v>214</v>
      </c>
      <c r="F426" s="1523"/>
      <c r="G426" s="1667">
        <v>224</v>
      </c>
      <c r="H426" s="1501">
        <f>400+100</f>
        <v>500</v>
      </c>
      <c r="I426" s="1645"/>
      <c r="J426" s="1630"/>
      <c r="K426" s="1630"/>
      <c r="L426" s="1631"/>
      <c r="M426" s="1631"/>
      <c r="N426" s="1631"/>
      <c r="O426" s="1631"/>
      <c r="P426" s="1631"/>
      <c r="Q426" s="1631"/>
      <c r="R426" s="1631"/>
      <c r="S426" s="1631"/>
      <c r="T426" s="1632"/>
      <c r="U426" s="1633"/>
      <c r="V426" s="1633"/>
      <c r="W426" s="1634"/>
      <c r="X426" s="1634"/>
      <c r="Y426" s="1634"/>
      <c r="Z426" s="1635"/>
      <c r="AA426" s="1634"/>
      <c r="AB426" s="1634"/>
      <c r="AC426" s="1920">
        <f t="shared" si="311"/>
        <v>500</v>
      </c>
      <c r="AD426" s="1921">
        <f t="shared" si="312"/>
        <v>0</v>
      </c>
      <c r="AE426" s="1921">
        <f t="shared" si="313"/>
        <v>0</v>
      </c>
      <c r="AF426" s="1921">
        <f t="shared" si="313"/>
        <v>0</v>
      </c>
      <c r="AG426" s="1921">
        <f t="shared" si="313"/>
        <v>0</v>
      </c>
      <c r="AH426" s="1490">
        <f t="shared" si="308"/>
        <v>0</v>
      </c>
      <c r="AI426" s="1920">
        <f t="shared" si="314"/>
        <v>0</v>
      </c>
      <c r="AJ426" s="1920">
        <f t="shared" si="315"/>
        <v>0</v>
      </c>
      <c r="AK426" s="1920">
        <f t="shared" si="316"/>
        <v>0</v>
      </c>
      <c r="AL426" s="1636">
        <f t="shared" si="300"/>
        <v>0</v>
      </c>
      <c r="AM426" s="1920">
        <f t="shared" si="300"/>
        <v>0</v>
      </c>
      <c r="AN426" s="1637"/>
      <c r="AO426" s="1922"/>
      <c r="AP426" s="1923"/>
      <c r="AQ426" s="1923"/>
      <c r="AR426" s="1923"/>
      <c r="AS426" s="1639"/>
      <c r="AT426" s="1923"/>
      <c r="AU426" s="1923"/>
      <c r="AV426" s="1923"/>
      <c r="AW426" s="1639"/>
      <c r="AX426" s="1924"/>
      <c r="AY426" s="1924"/>
      <c r="AZ426" s="1924"/>
      <c r="BA426" s="1641"/>
      <c r="BB426" s="1924"/>
      <c r="BC426" s="1924"/>
      <c r="BD426" s="1924"/>
      <c r="BE426" s="1644"/>
      <c r="BF426" s="1924"/>
      <c r="BG426" s="1924"/>
      <c r="BH426" s="1924"/>
      <c r="BI426" s="1641"/>
      <c r="BJ426" s="1924"/>
      <c r="BK426" s="1924"/>
      <c r="BL426" s="1924"/>
      <c r="BM426" s="1641"/>
      <c r="BN426" s="1924"/>
      <c r="BO426" s="1924"/>
      <c r="BP426" s="1924"/>
      <c r="BQ426" s="1641"/>
      <c r="BR426" s="1924"/>
      <c r="BS426" s="1924"/>
      <c r="BT426" s="1924"/>
      <c r="BU426" s="1641">
        <f>200+16+267</f>
        <v>483</v>
      </c>
      <c r="BV426" s="1924"/>
      <c r="BW426" s="1924"/>
      <c r="BX426" s="1924"/>
      <c r="BY426" s="1641"/>
      <c r="BZ426" s="1924"/>
      <c r="CA426" s="1924"/>
      <c r="CB426" s="1924"/>
      <c r="CC426" s="1641"/>
      <c r="CD426" s="1924"/>
      <c r="CE426" s="1924"/>
      <c r="CF426" s="1924"/>
      <c r="CG426" s="1925"/>
      <c r="CH426" s="1641">
        <f t="shared" si="317"/>
        <v>17</v>
      </c>
      <c r="CI426" s="1641">
        <f t="shared" si="317"/>
        <v>0</v>
      </c>
      <c r="CJ426" s="1641">
        <f t="shared" si="317"/>
        <v>0</v>
      </c>
      <c r="CK426" s="1641">
        <f t="shared" si="317"/>
        <v>0</v>
      </c>
      <c r="CL426" s="1926">
        <v>0</v>
      </c>
      <c r="CM426" s="1926">
        <v>0</v>
      </c>
      <c r="CN426" s="1889">
        <v>0</v>
      </c>
      <c r="CO426" s="1926">
        <v>0</v>
      </c>
      <c r="CP426" s="1641">
        <v>17</v>
      </c>
      <c r="CQ426" s="1924"/>
      <c r="CR426" s="1924"/>
      <c r="CS426" s="1924"/>
      <c r="CT426" s="1918"/>
      <c r="CU426" s="1918"/>
      <c r="CV426" s="1918"/>
      <c r="CW426" s="1918"/>
      <c r="CY426" s="1918"/>
    </row>
    <row r="427" spans="1:107" s="1919" customFormat="1" ht="15" thickBot="1" x14ac:dyDescent="0.2">
      <c r="A427" s="1541" t="s">
        <v>90</v>
      </c>
      <c r="B427" s="1523" t="s">
        <v>79</v>
      </c>
      <c r="C427" s="1523" t="s">
        <v>80</v>
      </c>
      <c r="D427" s="1523" t="s">
        <v>125</v>
      </c>
      <c r="E427" s="1523" t="s">
        <v>214</v>
      </c>
      <c r="F427" s="1523"/>
      <c r="G427" s="1667">
        <v>225</v>
      </c>
      <c r="H427" s="1501">
        <v>0</v>
      </c>
      <c r="I427" s="1645"/>
      <c r="J427" s="1630"/>
      <c r="K427" s="1630"/>
      <c r="L427" s="1631"/>
      <c r="M427" s="1631"/>
      <c r="N427" s="1631"/>
      <c r="O427" s="1631"/>
      <c r="P427" s="1631"/>
      <c r="Q427" s="1631"/>
      <c r="R427" s="1631"/>
      <c r="S427" s="1631"/>
      <c r="T427" s="1632"/>
      <c r="U427" s="1633"/>
      <c r="V427" s="1633"/>
      <c r="W427" s="1634"/>
      <c r="X427" s="1634"/>
      <c r="Y427" s="1634"/>
      <c r="Z427" s="1635"/>
      <c r="AA427" s="1634"/>
      <c r="AB427" s="1634"/>
      <c r="AC427" s="1920">
        <f t="shared" si="311"/>
        <v>0</v>
      </c>
      <c r="AD427" s="1921">
        <f t="shared" si="312"/>
        <v>0</v>
      </c>
      <c r="AE427" s="1921">
        <f t="shared" si="313"/>
        <v>0</v>
      </c>
      <c r="AF427" s="1921">
        <f t="shared" si="313"/>
        <v>0</v>
      </c>
      <c r="AG427" s="1921">
        <f t="shared" si="313"/>
        <v>0</v>
      </c>
      <c r="AH427" s="1490">
        <f t="shared" si="308"/>
        <v>0</v>
      </c>
      <c r="AI427" s="1920">
        <f t="shared" si="314"/>
        <v>0</v>
      </c>
      <c r="AJ427" s="1920">
        <f t="shared" si="315"/>
        <v>0</v>
      </c>
      <c r="AK427" s="1920">
        <f t="shared" si="316"/>
        <v>0</v>
      </c>
      <c r="AL427" s="1636">
        <f t="shared" si="300"/>
        <v>0</v>
      </c>
      <c r="AM427" s="1920">
        <f t="shared" si="300"/>
        <v>0</v>
      </c>
      <c r="AN427" s="1637"/>
      <c r="AO427" s="1928"/>
      <c r="AP427" s="1923"/>
      <c r="AQ427" s="1923"/>
      <c r="AR427" s="1923"/>
      <c r="AS427" s="1639"/>
      <c r="AT427" s="1923"/>
      <c r="AU427" s="1923"/>
      <c r="AV427" s="1923"/>
      <c r="AW427" s="1639"/>
      <c r="AX427" s="1924"/>
      <c r="AY427" s="1924"/>
      <c r="AZ427" s="1924"/>
      <c r="BA427" s="1641"/>
      <c r="BB427" s="1924"/>
      <c r="BC427" s="1924"/>
      <c r="BD427" s="1924"/>
      <c r="BE427" s="1644"/>
      <c r="BF427" s="1924"/>
      <c r="BG427" s="1924"/>
      <c r="BH427" s="1924"/>
      <c r="BI427" s="1641"/>
      <c r="BJ427" s="1924"/>
      <c r="BK427" s="1924"/>
      <c r="BL427" s="1924"/>
      <c r="BM427" s="1641"/>
      <c r="BN427" s="1924"/>
      <c r="BO427" s="1924"/>
      <c r="BP427" s="1924"/>
      <c r="BQ427" s="1641"/>
      <c r="BR427" s="1924"/>
      <c r="BS427" s="1924"/>
      <c r="BT427" s="1924"/>
      <c r="BU427" s="1641"/>
      <c r="BV427" s="1924"/>
      <c r="BW427" s="1924"/>
      <c r="BX427" s="1924"/>
      <c r="BY427" s="1641"/>
      <c r="BZ427" s="1924"/>
      <c r="CA427" s="1924"/>
      <c r="CB427" s="1924"/>
      <c r="CC427" s="1641"/>
      <c r="CD427" s="1924"/>
      <c r="CE427" s="1924"/>
      <c r="CF427" s="1924"/>
      <c r="CG427" s="1925"/>
      <c r="CH427" s="1641">
        <f t="shared" si="317"/>
        <v>0</v>
      </c>
      <c r="CI427" s="1641">
        <f t="shared" si="317"/>
        <v>0</v>
      </c>
      <c r="CJ427" s="1641">
        <f t="shared" si="317"/>
        <v>0</v>
      </c>
      <c r="CK427" s="1641">
        <f t="shared" si="317"/>
        <v>0</v>
      </c>
      <c r="CL427" s="1926">
        <v>0</v>
      </c>
      <c r="CM427" s="1926">
        <v>0</v>
      </c>
      <c r="CN427" s="1889">
        <v>0</v>
      </c>
      <c r="CO427" s="1926">
        <v>0</v>
      </c>
      <c r="CP427" s="1641"/>
      <c r="CQ427" s="1924"/>
      <c r="CR427" s="1924"/>
      <c r="CS427" s="1924"/>
      <c r="CT427" s="1918"/>
      <c r="CU427" s="1918"/>
      <c r="CV427" s="1918"/>
      <c r="CW427" s="1918"/>
      <c r="CY427" s="1918"/>
    </row>
    <row r="428" spans="1:107" s="1919" customFormat="1" ht="15" thickBot="1" x14ac:dyDescent="0.2">
      <c r="A428" s="1541" t="s">
        <v>91</v>
      </c>
      <c r="B428" s="1523" t="s">
        <v>79</v>
      </c>
      <c r="C428" s="1523" t="s">
        <v>80</v>
      </c>
      <c r="D428" s="1523" t="s">
        <v>125</v>
      </c>
      <c r="E428" s="1523" t="s">
        <v>214</v>
      </c>
      <c r="F428" s="1523"/>
      <c r="G428" s="1667">
        <v>226</v>
      </c>
      <c r="H428" s="1652">
        <f>7662-250-200-2300-U428-400-267-245</f>
        <v>4000</v>
      </c>
      <c r="I428" s="1645"/>
      <c r="J428" s="1630"/>
      <c r="K428" s="1630"/>
      <c r="L428" s="1631"/>
      <c r="M428" s="1631"/>
      <c r="N428" s="1631"/>
      <c r="O428" s="1631"/>
      <c r="P428" s="1631"/>
      <c r="Q428" s="1631"/>
      <c r="R428" s="1631"/>
      <c r="S428" s="1631"/>
      <c r="T428" s="1632"/>
      <c r="U428" s="1633"/>
      <c r="V428" s="1633"/>
      <c r="W428" s="1634"/>
      <c r="X428" s="1634"/>
      <c r="Y428" s="1634"/>
      <c r="Z428" s="1635"/>
      <c r="AA428" s="1634"/>
      <c r="AB428" s="1634"/>
      <c r="AC428" s="1920">
        <f t="shared" si="311"/>
        <v>4000</v>
      </c>
      <c r="AD428" s="1921">
        <f t="shared" si="312"/>
        <v>0</v>
      </c>
      <c r="AE428" s="1921">
        <f t="shared" si="313"/>
        <v>0</v>
      </c>
      <c r="AF428" s="1921">
        <f t="shared" si="313"/>
        <v>0</v>
      </c>
      <c r="AG428" s="1921">
        <f t="shared" si="313"/>
        <v>0</v>
      </c>
      <c r="AH428" s="1490">
        <f t="shared" si="308"/>
        <v>0</v>
      </c>
      <c r="AI428" s="1920">
        <f t="shared" si="314"/>
        <v>0</v>
      </c>
      <c r="AJ428" s="1920">
        <f t="shared" si="315"/>
        <v>0</v>
      </c>
      <c r="AK428" s="1920">
        <f t="shared" si="316"/>
        <v>0</v>
      </c>
      <c r="AL428" s="1636">
        <f t="shared" si="300"/>
        <v>0</v>
      </c>
      <c r="AM428" s="1920">
        <f t="shared" si="300"/>
        <v>0</v>
      </c>
      <c r="AN428" s="1637"/>
      <c r="AO428" s="1928"/>
      <c r="AP428" s="1923"/>
      <c r="AQ428" s="1923"/>
      <c r="AR428" s="1923"/>
      <c r="AS428" s="1639"/>
      <c r="AT428" s="1923"/>
      <c r="AU428" s="1923"/>
      <c r="AV428" s="1923"/>
      <c r="AW428" s="1639"/>
      <c r="AX428" s="1924"/>
      <c r="AY428" s="1924"/>
      <c r="AZ428" s="1924"/>
      <c r="BA428" s="1641"/>
      <c r="BB428" s="1924"/>
      <c r="BC428" s="1924"/>
      <c r="BD428" s="1924"/>
      <c r="BE428" s="1644"/>
      <c r="BF428" s="1924"/>
      <c r="BG428" s="1924"/>
      <c r="BH428" s="1924"/>
      <c r="BI428" s="1641"/>
      <c r="BJ428" s="1924"/>
      <c r="BK428" s="1924"/>
      <c r="BL428" s="1924"/>
      <c r="BM428" s="1641"/>
      <c r="BN428" s="1924"/>
      <c r="BO428" s="1924"/>
      <c r="BP428" s="1924"/>
      <c r="BQ428" s="1641"/>
      <c r="BR428" s="1924"/>
      <c r="BS428" s="1924"/>
      <c r="BT428" s="1924"/>
      <c r="BU428" s="1641">
        <v>631.23</v>
      </c>
      <c r="BV428" s="1924"/>
      <c r="BW428" s="1924"/>
      <c r="BX428" s="1924"/>
      <c r="BY428" s="1641"/>
      <c r="BZ428" s="1924"/>
      <c r="CA428" s="1924"/>
      <c r="CB428" s="1924"/>
      <c r="CC428" s="1641">
        <v>300</v>
      </c>
      <c r="CD428" s="1924"/>
      <c r="CE428" s="1924"/>
      <c r="CF428" s="1924"/>
      <c r="CG428" s="1925"/>
      <c r="CH428" s="1641">
        <f t="shared" si="317"/>
        <v>3068.77</v>
      </c>
      <c r="CI428" s="1641">
        <f t="shared" si="317"/>
        <v>0</v>
      </c>
      <c r="CJ428" s="1641">
        <f t="shared" si="317"/>
        <v>0</v>
      </c>
      <c r="CK428" s="1641">
        <f t="shared" si="317"/>
        <v>0</v>
      </c>
      <c r="CL428" s="1926">
        <v>0</v>
      </c>
      <c r="CM428" s="1926">
        <v>0</v>
      </c>
      <c r="CN428" s="1889">
        <v>0</v>
      </c>
      <c r="CO428" s="1926">
        <v>0</v>
      </c>
      <c r="CP428" s="1641">
        <v>3068.77</v>
      </c>
      <c r="CQ428" s="1924"/>
      <c r="CR428" s="1924"/>
      <c r="CS428" s="1924"/>
      <c r="CT428" s="1918"/>
      <c r="CU428" s="1918"/>
      <c r="CV428" s="1918"/>
      <c r="CW428" s="1918"/>
      <c r="CY428" s="1918"/>
    </row>
    <row r="429" spans="1:107" s="1919" customFormat="1" ht="15" thickBot="1" x14ac:dyDescent="0.2">
      <c r="A429" s="1541" t="s">
        <v>94</v>
      </c>
      <c r="B429" s="1523" t="s">
        <v>79</v>
      </c>
      <c r="C429" s="1523" t="s">
        <v>80</v>
      </c>
      <c r="D429" s="1523" t="s">
        <v>125</v>
      </c>
      <c r="E429" s="1523" t="s">
        <v>214</v>
      </c>
      <c r="F429" s="1523"/>
      <c r="G429" s="1667">
        <v>290</v>
      </c>
      <c r="H429" s="1501">
        <f>86.2-U429-21.5</f>
        <v>0</v>
      </c>
      <c r="I429" s="1645"/>
      <c r="J429" s="1630"/>
      <c r="K429" s="1630"/>
      <c r="L429" s="1631"/>
      <c r="M429" s="1631"/>
      <c r="N429" s="1631"/>
      <c r="O429" s="1631"/>
      <c r="P429" s="1631"/>
      <c r="Q429" s="1631"/>
      <c r="R429" s="1631"/>
      <c r="S429" s="1631"/>
      <c r="T429" s="1632"/>
      <c r="U429" s="1633">
        <v>64.7</v>
      </c>
      <c r="V429" s="1633"/>
      <c r="W429" s="1634"/>
      <c r="X429" s="1634"/>
      <c r="Y429" s="1634"/>
      <c r="Z429" s="1635"/>
      <c r="AA429" s="1634"/>
      <c r="AB429" s="1634"/>
      <c r="AC429" s="1920">
        <f t="shared" si="311"/>
        <v>0</v>
      </c>
      <c r="AD429" s="1921">
        <f t="shared" si="312"/>
        <v>0</v>
      </c>
      <c r="AE429" s="1921">
        <f t="shared" si="313"/>
        <v>0</v>
      </c>
      <c r="AF429" s="1921">
        <f t="shared" si="313"/>
        <v>0</v>
      </c>
      <c r="AG429" s="1921">
        <f t="shared" si="313"/>
        <v>0</v>
      </c>
      <c r="AH429" s="1490">
        <f t="shared" si="308"/>
        <v>0</v>
      </c>
      <c r="AI429" s="1920">
        <f t="shared" si="314"/>
        <v>0</v>
      </c>
      <c r="AJ429" s="1920">
        <f t="shared" si="315"/>
        <v>0</v>
      </c>
      <c r="AK429" s="1920">
        <f t="shared" si="316"/>
        <v>0</v>
      </c>
      <c r="AL429" s="1636">
        <f t="shared" si="300"/>
        <v>0</v>
      </c>
      <c r="AM429" s="1920">
        <f t="shared" si="300"/>
        <v>0</v>
      </c>
      <c r="AN429" s="1637"/>
      <c r="AO429" s="1922"/>
      <c r="AP429" s="1923"/>
      <c r="AQ429" s="1923"/>
      <c r="AR429" s="1923"/>
      <c r="AS429" s="1639"/>
      <c r="AT429" s="1923"/>
      <c r="AU429" s="1923"/>
      <c r="AV429" s="1923"/>
      <c r="AW429" s="1639"/>
      <c r="AX429" s="1924"/>
      <c r="AY429" s="1924"/>
      <c r="AZ429" s="1924"/>
      <c r="BA429" s="1641"/>
      <c r="BB429" s="1924"/>
      <c r="BC429" s="1924"/>
      <c r="BD429" s="1924"/>
      <c r="BE429" s="1644"/>
      <c r="BF429" s="1924"/>
      <c r="BG429" s="1924"/>
      <c r="BH429" s="1924"/>
      <c r="BI429" s="1641"/>
      <c r="BJ429" s="1924"/>
      <c r="BK429" s="1924"/>
      <c r="BL429" s="1924"/>
      <c r="BM429" s="1641"/>
      <c r="BN429" s="1924"/>
      <c r="BO429" s="1924"/>
      <c r="BP429" s="1924"/>
      <c r="BQ429" s="1641"/>
      <c r="BR429" s="1924"/>
      <c r="BS429" s="1924"/>
      <c r="BT429" s="1924"/>
      <c r="BU429" s="1905">
        <f>16-16</f>
        <v>0</v>
      </c>
      <c r="BV429" s="1924"/>
      <c r="BW429" s="1924"/>
      <c r="BX429" s="1924"/>
      <c r="BY429" s="1641"/>
      <c r="BZ429" s="1924"/>
      <c r="CA429" s="1924"/>
      <c r="CB429" s="1924"/>
      <c r="CC429" s="1641"/>
      <c r="CD429" s="1924"/>
      <c r="CE429" s="1924"/>
      <c r="CF429" s="1924"/>
      <c r="CG429" s="1925"/>
      <c r="CH429" s="1641">
        <f t="shared" si="317"/>
        <v>0</v>
      </c>
      <c r="CI429" s="1641">
        <f t="shared" si="317"/>
        <v>0</v>
      </c>
      <c r="CJ429" s="1641">
        <f t="shared" si="317"/>
        <v>0</v>
      </c>
      <c r="CK429" s="1641">
        <f t="shared" si="317"/>
        <v>0</v>
      </c>
      <c r="CL429" s="1926">
        <v>0</v>
      </c>
      <c r="CM429" s="1926">
        <v>0</v>
      </c>
      <c r="CN429" s="1889">
        <v>0</v>
      </c>
      <c r="CO429" s="1926">
        <v>0</v>
      </c>
      <c r="CP429" s="1641"/>
      <c r="CQ429" s="1924"/>
      <c r="CR429" s="1924"/>
      <c r="CS429" s="1924"/>
      <c r="CT429" s="1918"/>
      <c r="CU429" s="1918"/>
      <c r="CV429" s="1918"/>
      <c r="CW429" s="1918"/>
      <c r="CY429" s="1918"/>
    </row>
    <row r="430" spans="1:107" s="1919" customFormat="1" ht="15" thickBot="1" x14ac:dyDescent="0.2">
      <c r="A430" s="1541" t="s">
        <v>94</v>
      </c>
      <c r="B430" s="1523" t="s">
        <v>79</v>
      </c>
      <c r="C430" s="1523" t="s">
        <v>80</v>
      </c>
      <c r="D430" s="1523" t="s">
        <v>125</v>
      </c>
      <c r="E430" s="1523" t="s">
        <v>214</v>
      </c>
      <c r="F430" s="1523"/>
      <c r="G430" s="1667" t="s">
        <v>95</v>
      </c>
      <c r="H430" s="1501">
        <v>0</v>
      </c>
      <c r="I430" s="1645"/>
      <c r="J430" s="1630"/>
      <c r="K430" s="1630"/>
      <c r="L430" s="1631"/>
      <c r="M430" s="1631"/>
      <c r="N430" s="1631"/>
      <c r="O430" s="1631"/>
      <c r="P430" s="1631"/>
      <c r="Q430" s="1631"/>
      <c r="R430" s="1631"/>
      <c r="S430" s="1631"/>
      <c r="T430" s="1632"/>
      <c r="U430" s="1633"/>
      <c r="V430" s="1633"/>
      <c r="W430" s="1634"/>
      <c r="X430" s="1634"/>
      <c r="Y430" s="1634"/>
      <c r="Z430" s="1635"/>
      <c r="AA430" s="1634"/>
      <c r="AB430" s="1634"/>
      <c r="AC430" s="1920">
        <f t="shared" si="311"/>
        <v>0</v>
      </c>
      <c r="AD430" s="1921">
        <f t="shared" si="312"/>
        <v>0</v>
      </c>
      <c r="AE430" s="1921">
        <f t="shared" si="313"/>
        <v>0</v>
      </c>
      <c r="AF430" s="1921">
        <f t="shared" si="313"/>
        <v>0</v>
      </c>
      <c r="AG430" s="1921">
        <f t="shared" si="313"/>
        <v>0</v>
      </c>
      <c r="AH430" s="1490">
        <f t="shared" si="308"/>
        <v>0</v>
      </c>
      <c r="AI430" s="1920">
        <f t="shared" si="314"/>
        <v>0</v>
      </c>
      <c r="AJ430" s="1920">
        <f t="shared" si="315"/>
        <v>0</v>
      </c>
      <c r="AK430" s="1920">
        <f t="shared" si="316"/>
        <v>0</v>
      </c>
      <c r="AL430" s="1636">
        <f t="shared" si="300"/>
        <v>0</v>
      </c>
      <c r="AM430" s="1920">
        <f t="shared" si="300"/>
        <v>0</v>
      </c>
      <c r="AN430" s="1637"/>
      <c r="AO430" s="1922"/>
      <c r="AP430" s="1923"/>
      <c r="AQ430" s="1923"/>
      <c r="AR430" s="1923"/>
      <c r="AS430" s="1639"/>
      <c r="AT430" s="1923"/>
      <c r="AU430" s="1923"/>
      <c r="AV430" s="1923"/>
      <c r="AW430" s="1639"/>
      <c r="AX430" s="1924"/>
      <c r="AY430" s="1924"/>
      <c r="AZ430" s="1924"/>
      <c r="BA430" s="1641"/>
      <c r="BB430" s="1924"/>
      <c r="BC430" s="1924"/>
      <c r="BD430" s="1924"/>
      <c r="BE430" s="1644"/>
      <c r="BF430" s="1924"/>
      <c r="BG430" s="1924"/>
      <c r="BH430" s="1924"/>
      <c r="BI430" s="1641"/>
      <c r="BJ430" s="1924"/>
      <c r="BK430" s="1924"/>
      <c r="BL430" s="1924"/>
      <c r="BM430" s="1641"/>
      <c r="BN430" s="1924"/>
      <c r="BO430" s="1924"/>
      <c r="BP430" s="1924"/>
      <c r="BQ430" s="1641"/>
      <c r="BR430" s="1924"/>
      <c r="BS430" s="1924"/>
      <c r="BT430" s="1924"/>
      <c r="BU430" s="1641"/>
      <c r="BV430" s="1924"/>
      <c r="BW430" s="1924"/>
      <c r="BX430" s="1924"/>
      <c r="BY430" s="1641"/>
      <c r="BZ430" s="1924"/>
      <c r="CA430" s="1924"/>
      <c r="CB430" s="1924"/>
      <c r="CC430" s="1641"/>
      <c r="CD430" s="1924"/>
      <c r="CE430" s="1924"/>
      <c r="CF430" s="1924"/>
      <c r="CG430" s="1925"/>
      <c r="CH430" s="1641">
        <f t="shared" si="317"/>
        <v>0</v>
      </c>
      <c r="CI430" s="1641">
        <f t="shared" si="317"/>
        <v>0</v>
      </c>
      <c r="CJ430" s="1641">
        <f t="shared" si="317"/>
        <v>0</v>
      </c>
      <c r="CK430" s="1641">
        <f t="shared" si="317"/>
        <v>0</v>
      </c>
      <c r="CL430" s="1926">
        <v>0</v>
      </c>
      <c r="CM430" s="1926">
        <v>0</v>
      </c>
      <c r="CN430" s="1889">
        <v>0</v>
      </c>
      <c r="CO430" s="1926">
        <v>0</v>
      </c>
      <c r="CP430" s="1641"/>
      <c r="CQ430" s="1924"/>
      <c r="CR430" s="1924"/>
      <c r="CS430" s="1924"/>
      <c r="CT430" s="1918"/>
      <c r="CU430" s="1918"/>
      <c r="CV430" s="1918"/>
      <c r="CW430" s="1918"/>
      <c r="CY430" s="1918"/>
    </row>
    <row r="431" spans="1:107" s="1919" customFormat="1" ht="15" thickBot="1" x14ac:dyDescent="0.2">
      <c r="A431" s="1541" t="s">
        <v>96</v>
      </c>
      <c r="B431" s="1523" t="s">
        <v>79</v>
      </c>
      <c r="C431" s="1523" t="s">
        <v>80</v>
      </c>
      <c r="D431" s="1523" t="s">
        <v>125</v>
      </c>
      <c r="E431" s="1523" t="s">
        <v>214</v>
      </c>
      <c r="F431" s="1523"/>
      <c r="G431" s="1667">
        <v>310</v>
      </c>
      <c r="H431" s="1501">
        <f>267-267</f>
        <v>0</v>
      </c>
      <c r="I431" s="1645"/>
      <c r="J431" s="1630"/>
      <c r="K431" s="1630"/>
      <c r="L431" s="1631"/>
      <c r="M431" s="1631"/>
      <c r="N431" s="1631"/>
      <c r="O431" s="1631"/>
      <c r="P431" s="1631"/>
      <c r="Q431" s="1631"/>
      <c r="R431" s="1631"/>
      <c r="S431" s="1631"/>
      <c r="T431" s="1632"/>
      <c r="U431" s="1633"/>
      <c r="V431" s="1633"/>
      <c r="W431" s="1634"/>
      <c r="X431" s="1634"/>
      <c r="Y431" s="1634"/>
      <c r="Z431" s="1635"/>
      <c r="AA431" s="1634"/>
      <c r="AB431" s="1634"/>
      <c r="AC431" s="1920">
        <f t="shared" si="311"/>
        <v>0</v>
      </c>
      <c r="AD431" s="1921">
        <f t="shared" si="312"/>
        <v>0</v>
      </c>
      <c r="AE431" s="1921">
        <f t="shared" si="313"/>
        <v>0</v>
      </c>
      <c r="AF431" s="1921">
        <f t="shared" si="313"/>
        <v>0</v>
      </c>
      <c r="AG431" s="1921">
        <f t="shared" si="313"/>
        <v>0</v>
      </c>
      <c r="AH431" s="1490">
        <f t="shared" si="308"/>
        <v>0</v>
      </c>
      <c r="AI431" s="1920">
        <f t="shared" si="314"/>
        <v>0</v>
      </c>
      <c r="AJ431" s="1920">
        <f t="shared" si="315"/>
        <v>0</v>
      </c>
      <c r="AK431" s="1920">
        <f t="shared" si="316"/>
        <v>0</v>
      </c>
      <c r="AL431" s="1636">
        <f t="shared" si="300"/>
        <v>0</v>
      </c>
      <c r="AM431" s="1920">
        <f t="shared" si="300"/>
        <v>0</v>
      </c>
      <c r="AN431" s="1637"/>
      <c r="AO431" s="1928"/>
      <c r="AP431" s="1923"/>
      <c r="AQ431" s="1923"/>
      <c r="AR431" s="1923"/>
      <c r="AS431" s="1639"/>
      <c r="AT431" s="1923"/>
      <c r="AU431" s="1923"/>
      <c r="AV431" s="1923"/>
      <c r="AW431" s="1639"/>
      <c r="AX431" s="1924"/>
      <c r="AY431" s="1924"/>
      <c r="AZ431" s="1924"/>
      <c r="BA431" s="1641"/>
      <c r="BB431" s="1924"/>
      <c r="BC431" s="1924"/>
      <c r="BD431" s="1924"/>
      <c r="BE431" s="1644"/>
      <c r="BF431" s="1924"/>
      <c r="BG431" s="1924"/>
      <c r="BH431" s="1924"/>
      <c r="BI431" s="1641"/>
      <c r="BJ431" s="1924"/>
      <c r="BK431" s="1924"/>
      <c r="BL431" s="1924"/>
      <c r="BM431" s="1641"/>
      <c r="BN431" s="1924"/>
      <c r="BO431" s="1924"/>
      <c r="BP431" s="1924"/>
      <c r="BQ431" s="1641"/>
      <c r="BR431" s="1924"/>
      <c r="BS431" s="1924"/>
      <c r="BT431" s="1924"/>
      <c r="BU431" s="1641">
        <f>267-267</f>
        <v>0</v>
      </c>
      <c r="BV431" s="1924"/>
      <c r="BW431" s="1924"/>
      <c r="BX431" s="1924"/>
      <c r="BY431" s="1641"/>
      <c r="BZ431" s="1924"/>
      <c r="CA431" s="1924"/>
      <c r="CB431" s="1924"/>
      <c r="CC431" s="1641"/>
      <c r="CD431" s="1924"/>
      <c r="CE431" s="1924"/>
      <c r="CF431" s="1924"/>
      <c r="CG431" s="1925"/>
      <c r="CH431" s="1641">
        <f t="shared" si="317"/>
        <v>0</v>
      </c>
      <c r="CI431" s="1641">
        <f t="shared" si="317"/>
        <v>0</v>
      </c>
      <c r="CJ431" s="1641">
        <f t="shared" si="317"/>
        <v>0</v>
      </c>
      <c r="CK431" s="1641">
        <f t="shared" si="317"/>
        <v>0</v>
      </c>
      <c r="CL431" s="1926">
        <v>0</v>
      </c>
      <c r="CM431" s="1926">
        <v>0</v>
      </c>
      <c r="CN431" s="1889">
        <v>0</v>
      </c>
      <c r="CO431" s="1926">
        <v>0</v>
      </c>
      <c r="CP431" s="1641"/>
      <c r="CQ431" s="1924"/>
      <c r="CR431" s="1924"/>
      <c r="CS431" s="1924"/>
      <c r="CT431" s="1918"/>
      <c r="CU431" s="1918"/>
      <c r="CV431" s="1918"/>
      <c r="CW431" s="1918"/>
      <c r="CY431" s="1918"/>
    </row>
    <row r="432" spans="1:107" s="1919" customFormat="1" ht="15" thickBot="1" x14ac:dyDescent="0.2">
      <c r="A432" s="1541" t="s">
        <v>97</v>
      </c>
      <c r="B432" s="1523" t="s">
        <v>79</v>
      </c>
      <c r="C432" s="1523" t="s">
        <v>80</v>
      </c>
      <c r="D432" s="1523" t="s">
        <v>125</v>
      </c>
      <c r="E432" s="1523" t="s">
        <v>214</v>
      </c>
      <c r="F432" s="1523"/>
      <c r="G432" s="1667">
        <v>340</v>
      </c>
      <c r="H432" s="1501">
        <v>0</v>
      </c>
      <c r="I432" s="1645"/>
      <c r="J432" s="1630"/>
      <c r="K432" s="1630"/>
      <c r="L432" s="1631"/>
      <c r="M432" s="1631"/>
      <c r="N432" s="1631"/>
      <c r="O432" s="1631"/>
      <c r="P432" s="1631"/>
      <c r="Q432" s="1631"/>
      <c r="R432" s="1631"/>
      <c r="S432" s="1631"/>
      <c r="T432" s="1632"/>
      <c r="U432" s="1633"/>
      <c r="V432" s="1633"/>
      <c r="W432" s="1634"/>
      <c r="X432" s="1634"/>
      <c r="Y432" s="1634"/>
      <c r="Z432" s="1635"/>
      <c r="AA432" s="1634"/>
      <c r="AB432" s="1634"/>
      <c r="AC432" s="1920">
        <f t="shared" si="311"/>
        <v>0</v>
      </c>
      <c r="AD432" s="1921">
        <f t="shared" si="312"/>
        <v>0</v>
      </c>
      <c r="AE432" s="1921">
        <f t="shared" si="313"/>
        <v>0</v>
      </c>
      <c r="AF432" s="1921">
        <f t="shared" si="313"/>
        <v>0</v>
      </c>
      <c r="AG432" s="1921">
        <f t="shared" si="313"/>
        <v>0</v>
      </c>
      <c r="AH432" s="1490">
        <f t="shared" si="308"/>
        <v>0</v>
      </c>
      <c r="AI432" s="1920">
        <f t="shared" si="314"/>
        <v>0</v>
      </c>
      <c r="AJ432" s="1920">
        <f t="shared" si="315"/>
        <v>0</v>
      </c>
      <c r="AK432" s="1920">
        <f t="shared" si="316"/>
        <v>0</v>
      </c>
      <c r="AL432" s="1636">
        <f t="shared" si="300"/>
        <v>0</v>
      </c>
      <c r="AM432" s="1920">
        <f t="shared" si="300"/>
        <v>0</v>
      </c>
      <c r="AN432" s="1637"/>
      <c r="AO432" s="1922">
        <v>0</v>
      </c>
      <c r="AP432" s="1923"/>
      <c r="AQ432" s="1923"/>
      <c r="AR432" s="1923"/>
      <c r="AS432" s="1639"/>
      <c r="AT432" s="1923"/>
      <c r="AU432" s="1923"/>
      <c r="AV432" s="1923"/>
      <c r="AW432" s="1639"/>
      <c r="AX432" s="1924"/>
      <c r="AY432" s="1924"/>
      <c r="AZ432" s="1924"/>
      <c r="BA432" s="1641"/>
      <c r="BB432" s="1924"/>
      <c r="BC432" s="1924"/>
      <c r="BD432" s="1924"/>
      <c r="BE432" s="1644"/>
      <c r="BF432" s="1924"/>
      <c r="BG432" s="1924"/>
      <c r="BH432" s="1924"/>
      <c r="BI432" s="1641"/>
      <c r="BJ432" s="1924"/>
      <c r="BK432" s="1924"/>
      <c r="BL432" s="1924"/>
      <c r="BM432" s="1641"/>
      <c r="BN432" s="1924"/>
      <c r="BO432" s="1924"/>
      <c r="BP432" s="1924"/>
      <c r="BQ432" s="1641"/>
      <c r="BR432" s="1924"/>
      <c r="BS432" s="1924"/>
      <c r="BT432" s="1924"/>
      <c r="BU432" s="1641"/>
      <c r="BV432" s="1924"/>
      <c r="BW432" s="1924"/>
      <c r="BX432" s="1924"/>
      <c r="BY432" s="1641"/>
      <c r="BZ432" s="1924"/>
      <c r="CA432" s="1924"/>
      <c r="CB432" s="1924"/>
      <c r="CC432" s="1641"/>
      <c r="CD432" s="1924"/>
      <c r="CE432" s="1924"/>
      <c r="CF432" s="1924"/>
      <c r="CG432" s="1925"/>
      <c r="CH432" s="1641">
        <f t="shared" si="317"/>
        <v>0</v>
      </c>
      <c r="CI432" s="1641">
        <f t="shared" si="317"/>
        <v>0</v>
      </c>
      <c r="CJ432" s="1641">
        <f t="shared" si="317"/>
        <v>0</v>
      </c>
      <c r="CK432" s="1641">
        <f t="shared" si="317"/>
        <v>0</v>
      </c>
      <c r="CL432" s="1926">
        <v>0</v>
      </c>
      <c r="CM432" s="1926">
        <v>0</v>
      </c>
      <c r="CN432" s="1889">
        <v>0</v>
      </c>
      <c r="CO432" s="1926">
        <v>0</v>
      </c>
      <c r="CP432" s="1641"/>
      <c r="CQ432" s="1924"/>
      <c r="CR432" s="1924"/>
      <c r="CS432" s="1924"/>
      <c r="CT432" s="1918"/>
      <c r="CU432" s="1918"/>
      <c r="CV432" s="1918"/>
      <c r="CW432" s="1918"/>
      <c r="CY432" s="1918"/>
    </row>
    <row r="433" spans="1:104" s="1919" customFormat="1" ht="14" x14ac:dyDescent="0.15">
      <c r="A433" s="1528" t="s">
        <v>767</v>
      </c>
      <c r="B433" s="1530" t="s">
        <v>79</v>
      </c>
      <c r="C433" s="1530" t="s">
        <v>80</v>
      </c>
      <c r="D433" s="1530" t="s">
        <v>125</v>
      </c>
      <c r="E433" s="1530" t="s">
        <v>214</v>
      </c>
      <c r="F433" s="1530" t="s">
        <v>768</v>
      </c>
      <c r="G433" s="1600" t="s">
        <v>766</v>
      </c>
      <c r="H433" s="1647">
        <f>I419</f>
        <v>0</v>
      </c>
      <c r="I433" s="1645"/>
      <c r="J433" s="1630"/>
      <c r="K433" s="1630"/>
      <c r="L433" s="1631"/>
      <c r="M433" s="1631"/>
      <c r="N433" s="1631"/>
      <c r="O433" s="1631"/>
      <c r="P433" s="1631"/>
      <c r="Q433" s="1631"/>
      <c r="R433" s="1631"/>
      <c r="S433" s="1631"/>
      <c r="T433" s="1632"/>
      <c r="U433" s="1633"/>
      <c r="V433" s="1633"/>
      <c r="W433" s="1634"/>
      <c r="X433" s="1634"/>
      <c r="Y433" s="1634"/>
      <c r="Z433" s="1635"/>
      <c r="AA433" s="1634"/>
      <c r="AB433" s="1634"/>
      <c r="AC433" s="1920">
        <f t="shared" si="311"/>
        <v>0</v>
      </c>
      <c r="AD433" s="1921">
        <f t="shared" si="312"/>
        <v>0</v>
      </c>
      <c r="AE433" s="1921">
        <f t="shared" si="313"/>
        <v>0</v>
      </c>
      <c r="AF433" s="1921">
        <f t="shared" si="313"/>
        <v>0</v>
      </c>
      <c r="AG433" s="1921">
        <f t="shared" si="313"/>
        <v>0</v>
      </c>
      <c r="AH433" s="1490">
        <f t="shared" si="308"/>
        <v>0</v>
      </c>
      <c r="AI433" s="1920">
        <f t="shared" si="314"/>
        <v>0</v>
      </c>
      <c r="AJ433" s="1920">
        <f t="shared" si="315"/>
        <v>0</v>
      </c>
      <c r="AK433" s="1920">
        <f t="shared" si="316"/>
        <v>0</v>
      </c>
      <c r="AL433" s="1636">
        <f t="shared" si="300"/>
        <v>0</v>
      </c>
      <c r="AM433" s="1920">
        <f t="shared" si="300"/>
        <v>0</v>
      </c>
      <c r="AN433" s="1712"/>
      <c r="AO433" s="1929"/>
      <c r="AP433" s="1923"/>
      <c r="AQ433" s="1923"/>
      <c r="AR433" s="1923"/>
      <c r="AS433" s="1639"/>
      <c r="AT433" s="1923"/>
      <c r="AU433" s="1923"/>
      <c r="AV433" s="1923"/>
      <c r="AW433" s="1639"/>
      <c r="AX433" s="1924"/>
      <c r="AY433" s="1924"/>
      <c r="AZ433" s="1924"/>
      <c r="BA433" s="1641"/>
      <c r="BB433" s="1924"/>
      <c r="BC433" s="1924"/>
      <c r="BD433" s="1924"/>
      <c r="BE433" s="1644"/>
      <c r="BF433" s="1924"/>
      <c r="BG433" s="1924"/>
      <c r="BH433" s="1924"/>
      <c r="BI433" s="1641"/>
      <c r="BJ433" s="1924"/>
      <c r="BK433" s="1924"/>
      <c r="BL433" s="1924"/>
      <c r="BM433" s="1641"/>
      <c r="BN433" s="1924"/>
      <c r="BO433" s="1924"/>
      <c r="BP433" s="1924"/>
      <c r="BQ433" s="1641"/>
      <c r="BR433" s="1924"/>
      <c r="BS433" s="1924"/>
      <c r="BT433" s="1924"/>
      <c r="BU433" s="1641"/>
      <c r="BV433" s="1924"/>
      <c r="BW433" s="1924"/>
      <c r="BX433" s="1924"/>
      <c r="BY433" s="1641"/>
      <c r="BZ433" s="1924"/>
      <c r="CA433" s="1924"/>
      <c r="CB433" s="1924"/>
      <c r="CC433" s="1641"/>
      <c r="CD433" s="1924"/>
      <c r="CE433" s="1924"/>
      <c r="CF433" s="1924"/>
      <c r="CG433" s="1925"/>
      <c r="CH433" s="1641"/>
      <c r="CI433" s="1924"/>
      <c r="CJ433" s="1924"/>
      <c r="CK433" s="1924"/>
      <c r="CL433" s="1918"/>
      <c r="CM433" s="1918"/>
      <c r="CN433" s="1918"/>
      <c r="CO433" s="1918"/>
      <c r="CP433" s="1918"/>
      <c r="CQ433" s="1918"/>
      <c r="CR433" s="1918"/>
      <c r="CS433" s="1918"/>
      <c r="CT433" s="1918"/>
      <c r="CU433" s="1918"/>
      <c r="CV433" s="1918"/>
      <c r="CW433" s="1918"/>
      <c r="CY433" s="1918"/>
    </row>
    <row r="434" spans="1:104" s="1559" customFormat="1" ht="14" x14ac:dyDescent="0.15">
      <c r="A434" s="1802" t="s">
        <v>793</v>
      </c>
      <c r="B434" s="1803" t="s">
        <v>79</v>
      </c>
      <c r="C434" s="1803" t="s">
        <v>80</v>
      </c>
      <c r="D434" s="1803" t="s">
        <v>125</v>
      </c>
      <c r="E434" s="1803" t="s">
        <v>236</v>
      </c>
      <c r="F434" s="1803"/>
      <c r="G434" s="1866"/>
      <c r="H434" s="1517"/>
      <c r="I434" s="1645"/>
      <c r="J434" s="1630"/>
      <c r="K434" s="1630"/>
      <c r="L434" s="1631"/>
      <c r="M434" s="1631"/>
      <c r="N434" s="1631"/>
      <c r="O434" s="1631"/>
      <c r="P434" s="1631"/>
      <c r="Q434" s="1631"/>
      <c r="R434" s="1631"/>
      <c r="S434" s="1631"/>
      <c r="T434" s="1632"/>
      <c r="U434" s="1633"/>
      <c r="V434" s="1633"/>
      <c r="W434" s="1634"/>
      <c r="X434" s="1634"/>
      <c r="Y434" s="1634"/>
      <c r="Z434" s="1635"/>
      <c r="AA434" s="1634"/>
      <c r="AB434" s="1634"/>
      <c r="AC434" s="1508">
        <f t="shared" si="311"/>
        <v>0</v>
      </c>
      <c r="AD434" s="1509">
        <f t="shared" si="312"/>
        <v>0</v>
      </c>
      <c r="AE434" s="1509">
        <f>AP434+AT434+AX434+BB434+BF434+BJ434+BN434+BR434+BV434+BZ434+CD434+CI434</f>
        <v>0</v>
      </c>
      <c r="AF434" s="1509"/>
      <c r="AG434" s="1509"/>
      <c r="AH434" s="1490">
        <f t="shared" si="308"/>
        <v>0</v>
      </c>
      <c r="AI434" s="1636"/>
      <c r="AJ434" s="1636"/>
      <c r="AK434" s="1636"/>
      <c r="AL434" s="1636">
        <f t="shared" si="300"/>
        <v>0</v>
      </c>
      <c r="AM434" s="1636"/>
      <c r="AN434" s="1637"/>
      <c r="AO434" s="1637"/>
      <c r="AP434" s="1753"/>
      <c r="AQ434" s="1753"/>
      <c r="AR434" s="1753"/>
      <c r="AS434" s="1639"/>
      <c r="AT434" s="1753"/>
      <c r="AU434" s="1753"/>
      <c r="AV434" s="1753"/>
      <c r="AW434" s="1639"/>
      <c r="AX434" s="1641"/>
      <c r="AY434" s="1641"/>
      <c r="AZ434" s="1641"/>
      <c r="BA434" s="1641"/>
      <c r="BB434" s="1641"/>
      <c r="BC434" s="1641"/>
      <c r="BD434" s="1641"/>
      <c r="BE434" s="1644"/>
      <c r="BF434" s="1641"/>
      <c r="BG434" s="1641"/>
      <c r="BH434" s="1641"/>
      <c r="BI434" s="1641"/>
      <c r="BJ434" s="1641"/>
      <c r="BK434" s="1641"/>
      <c r="BL434" s="1641"/>
      <c r="BM434" s="1641"/>
      <c r="BN434" s="1641"/>
      <c r="BO434" s="1641"/>
      <c r="BP434" s="1641"/>
      <c r="BQ434" s="1641"/>
      <c r="BR434" s="1641"/>
      <c r="BS434" s="1641"/>
      <c r="BT434" s="1641"/>
      <c r="BU434" s="1641"/>
      <c r="BV434" s="1641"/>
      <c r="BW434" s="1641"/>
      <c r="BX434" s="1641"/>
      <c r="BY434" s="1641"/>
      <c r="BZ434" s="1641"/>
      <c r="CA434" s="1641"/>
      <c r="CB434" s="1641"/>
      <c r="CC434" s="1641"/>
      <c r="CD434" s="1641"/>
      <c r="CE434" s="1641"/>
      <c r="CF434" s="1641"/>
      <c r="CG434" s="1691"/>
      <c r="CH434" s="1641"/>
      <c r="CI434" s="1641"/>
      <c r="CJ434" s="1641"/>
      <c r="CK434" s="1641"/>
      <c r="CL434" s="1558"/>
      <c r="CM434" s="1558"/>
      <c r="CN434" s="1558"/>
      <c r="CO434" s="1558"/>
      <c r="CP434" s="1558"/>
      <c r="CQ434" s="1558"/>
      <c r="CR434" s="1558"/>
      <c r="CS434" s="1558"/>
      <c r="CT434" s="1558"/>
      <c r="CU434" s="1558"/>
      <c r="CV434" s="1558"/>
      <c r="CW434" s="1558"/>
      <c r="CY434" s="1558"/>
    </row>
    <row r="435" spans="1:104" s="1559" customFormat="1" ht="39" x14ac:dyDescent="0.15">
      <c r="A435" s="1521" t="s">
        <v>794</v>
      </c>
      <c r="B435" s="1522" t="s">
        <v>79</v>
      </c>
      <c r="C435" s="1522" t="s">
        <v>80</v>
      </c>
      <c r="D435" s="1522" t="s">
        <v>125</v>
      </c>
      <c r="E435" s="1522" t="s">
        <v>215</v>
      </c>
      <c r="F435" s="1522"/>
      <c r="G435" s="1667"/>
      <c r="H435" s="1502"/>
      <c r="I435" s="1645"/>
      <c r="J435" s="1630"/>
      <c r="K435" s="1630"/>
      <c r="L435" s="1631"/>
      <c r="M435" s="1631"/>
      <c r="N435" s="1631"/>
      <c r="O435" s="1631"/>
      <c r="P435" s="1631"/>
      <c r="Q435" s="1631"/>
      <c r="R435" s="1631"/>
      <c r="S435" s="1631"/>
      <c r="T435" s="1632"/>
      <c r="U435" s="1633"/>
      <c r="V435" s="1633"/>
      <c r="W435" s="1634"/>
      <c r="X435" s="1634"/>
      <c r="Y435" s="1634"/>
      <c r="Z435" s="1635"/>
      <c r="AA435" s="1634"/>
      <c r="AB435" s="1634"/>
      <c r="AC435" s="1508">
        <f t="shared" si="311"/>
        <v>0</v>
      </c>
      <c r="AD435" s="1509">
        <f t="shared" si="312"/>
        <v>0</v>
      </c>
      <c r="AE435" s="1509">
        <f>AP435+AT435+AX435+BB435+BF435+BJ435+BN435+BR435+BV435+BZ435+CD435+CI435</f>
        <v>0</v>
      </c>
      <c r="AF435" s="1509">
        <f>AQ435+AU435+AY435+BC435+BG435+BK435+BO435+BS435+BW435+CA435+CE435+CJ435</f>
        <v>0</v>
      </c>
      <c r="AG435" s="1509">
        <f>AR435+AV435+AZ435+BD435+BH435+BL435+BP435+BT435+BX435+CB435+CF435+CK435</f>
        <v>0</v>
      </c>
      <c r="AH435" s="1490">
        <f t="shared" si="308"/>
        <v>0</v>
      </c>
      <c r="AI435" s="1636">
        <f>H435-AC435</f>
        <v>0</v>
      </c>
      <c r="AJ435" s="1636">
        <f>AK435+AL435+AM435</f>
        <v>0</v>
      </c>
      <c r="AK435" s="1636">
        <f>I435-AE435</f>
        <v>0</v>
      </c>
      <c r="AL435" s="1636">
        <f t="shared" si="300"/>
        <v>0</v>
      </c>
      <c r="AM435" s="1636">
        <f>K435-AG435</f>
        <v>0</v>
      </c>
      <c r="AN435" s="1637"/>
      <c r="AO435" s="1637"/>
      <c r="AP435" s="1753"/>
      <c r="AQ435" s="1753"/>
      <c r="AR435" s="1753"/>
      <c r="AS435" s="1639"/>
      <c r="AT435" s="1753"/>
      <c r="AU435" s="1753"/>
      <c r="AV435" s="1753"/>
      <c r="AW435" s="1639"/>
      <c r="AX435" s="1641"/>
      <c r="AY435" s="1641"/>
      <c r="AZ435" s="1641"/>
      <c r="BA435" s="1641"/>
      <c r="BB435" s="1641"/>
      <c r="BC435" s="1641"/>
      <c r="BD435" s="1641"/>
      <c r="BE435" s="1644"/>
      <c r="BF435" s="1641"/>
      <c r="BG435" s="1641"/>
      <c r="BH435" s="1641"/>
      <c r="BI435" s="1641"/>
      <c r="BJ435" s="1641"/>
      <c r="BK435" s="1641"/>
      <c r="BL435" s="1641"/>
      <c r="BM435" s="1641"/>
      <c r="BN435" s="1641"/>
      <c r="BO435" s="1641"/>
      <c r="BP435" s="1641"/>
      <c r="BQ435" s="1641"/>
      <c r="BR435" s="1641"/>
      <c r="BS435" s="1641"/>
      <c r="BT435" s="1641"/>
      <c r="BU435" s="1641"/>
      <c r="BV435" s="1641"/>
      <c r="BW435" s="1641"/>
      <c r="BX435" s="1641"/>
      <c r="BY435" s="1641"/>
      <c r="BZ435" s="1641"/>
      <c r="CA435" s="1641"/>
      <c r="CB435" s="1641"/>
      <c r="CC435" s="1641"/>
      <c r="CD435" s="1641"/>
      <c r="CE435" s="1641"/>
      <c r="CF435" s="1641"/>
      <c r="CG435" s="1691"/>
      <c r="CH435" s="1641"/>
      <c r="CI435" s="1641"/>
      <c r="CJ435" s="1641"/>
      <c r="CK435" s="1641"/>
      <c r="CL435" s="1558"/>
      <c r="CM435" s="1558"/>
      <c r="CN435" s="1558"/>
      <c r="CO435" s="1558"/>
      <c r="CP435" s="1558"/>
      <c r="CQ435" s="1558"/>
      <c r="CR435" s="1558"/>
      <c r="CS435" s="1558"/>
      <c r="CT435" s="1558"/>
      <c r="CU435" s="1558"/>
      <c r="CV435" s="1558"/>
      <c r="CW435" s="1558"/>
      <c r="CY435" s="1558"/>
    </row>
    <row r="436" spans="1:104" s="1559" customFormat="1" ht="26" x14ac:dyDescent="0.15">
      <c r="A436" s="1779" t="s">
        <v>1125</v>
      </c>
      <c r="B436" s="1780" t="s">
        <v>79</v>
      </c>
      <c r="C436" s="1780" t="s">
        <v>80</v>
      </c>
      <c r="D436" s="1780" t="s">
        <v>125</v>
      </c>
      <c r="E436" s="1780" t="s">
        <v>215</v>
      </c>
      <c r="F436" s="1780">
        <v>600</v>
      </c>
      <c r="G436" s="1864"/>
      <c r="H436" s="1578">
        <f>H437+H451</f>
        <v>80776.28</v>
      </c>
      <c r="I436" s="1578"/>
      <c r="J436" s="1578">
        <f>J437+J451</f>
        <v>1612.96</v>
      </c>
      <c r="K436" s="1578">
        <f>K437+K451</f>
        <v>0</v>
      </c>
      <c r="L436" s="1579"/>
      <c r="M436" s="1579"/>
      <c r="N436" s="1579"/>
      <c r="O436" s="1579">
        <f>O437+O451</f>
        <v>128.715</v>
      </c>
      <c r="P436" s="1579"/>
      <c r="Q436" s="1579"/>
      <c r="R436" s="1579"/>
      <c r="S436" s="1579"/>
      <c r="T436" s="1580"/>
      <c r="U436" s="1581"/>
      <c r="V436" s="1581"/>
      <c r="W436" s="1582"/>
      <c r="X436" s="1582"/>
      <c r="Y436" s="1582"/>
      <c r="Z436" s="1583"/>
      <c r="AA436" s="1582"/>
      <c r="AB436" s="1582"/>
      <c r="AC436" s="1584">
        <f t="shared" ref="AC436:AX436" si="318">AC437+AC451</f>
        <v>68325.280000000013</v>
      </c>
      <c r="AD436" s="1584">
        <f>AD437+AD451</f>
        <v>14063.96</v>
      </c>
      <c r="AE436" s="1584">
        <f>AE437+AE451</f>
        <v>12451</v>
      </c>
      <c r="AF436" s="1584">
        <f>AF437+AF451</f>
        <v>1612.96</v>
      </c>
      <c r="AG436" s="1584">
        <f>AG437+AG451</f>
        <v>0</v>
      </c>
      <c r="AH436" s="1584">
        <f>AH437+AH451</f>
        <v>7437.1850000000004</v>
      </c>
      <c r="AI436" s="1585">
        <f t="shared" si="318"/>
        <v>0</v>
      </c>
      <c r="AJ436" s="1585">
        <f t="shared" si="318"/>
        <v>0</v>
      </c>
      <c r="AK436" s="1585">
        <f t="shared" si="318"/>
        <v>0</v>
      </c>
      <c r="AL436" s="1636">
        <f t="shared" si="300"/>
        <v>0</v>
      </c>
      <c r="AM436" s="1585">
        <f t="shared" si="318"/>
        <v>0</v>
      </c>
      <c r="AN436" s="1586"/>
      <c r="AO436" s="1586">
        <f t="shared" si="318"/>
        <v>4690.37</v>
      </c>
      <c r="AP436" s="1586">
        <f t="shared" si="318"/>
        <v>25</v>
      </c>
      <c r="AQ436" s="1586">
        <f t="shared" si="318"/>
        <v>0</v>
      </c>
      <c r="AR436" s="1586">
        <f t="shared" si="318"/>
        <v>0</v>
      </c>
      <c r="AS436" s="1583">
        <f t="shared" si="318"/>
        <v>4473.6000000000004</v>
      </c>
      <c r="AT436" s="1586">
        <f t="shared" si="318"/>
        <v>0</v>
      </c>
      <c r="AU436" s="1586">
        <f t="shared" si="318"/>
        <v>0</v>
      </c>
      <c r="AV436" s="1586">
        <f t="shared" si="318"/>
        <v>0</v>
      </c>
      <c r="AW436" s="1583">
        <f t="shared" si="318"/>
        <v>4196.6000000000004</v>
      </c>
      <c r="AX436" s="1586">
        <f t="shared" si="318"/>
        <v>0</v>
      </c>
      <c r="AY436" s="1586">
        <f>AY437+AY451</f>
        <v>0</v>
      </c>
      <c r="AZ436" s="1586">
        <f>AZ437+AZ451</f>
        <v>0</v>
      </c>
      <c r="BA436" s="1586"/>
      <c r="BB436" s="1586">
        <f>BB437+BB451</f>
        <v>0</v>
      </c>
      <c r="BC436" s="1586">
        <f>BC437+BC451</f>
        <v>0</v>
      </c>
      <c r="BD436" s="1586">
        <f>BD437+BD451</f>
        <v>0</v>
      </c>
      <c r="BE436" s="1511"/>
      <c r="BF436" s="1586">
        <f t="shared" ref="BF436:BT436" si="319">BF437+BF451</f>
        <v>450</v>
      </c>
      <c r="BG436" s="1586">
        <f t="shared" si="319"/>
        <v>0</v>
      </c>
      <c r="BH436" s="1586">
        <f t="shared" si="319"/>
        <v>0</v>
      </c>
      <c r="BI436" s="1586">
        <f t="shared" si="319"/>
        <v>2217.37</v>
      </c>
      <c r="BJ436" s="1586">
        <f t="shared" si="319"/>
        <v>0</v>
      </c>
      <c r="BK436" s="1586">
        <f t="shared" si="319"/>
        <v>0</v>
      </c>
      <c r="BL436" s="1586">
        <f t="shared" si="319"/>
        <v>0</v>
      </c>
      <c r="BM436" s="1586">
        <f t="shared" si="319"/>
        <v>7103.9000000000005</v>
      </c>
      <c r="BN436" s="1586">
        <f t="shared" si="319"/>
        <v>5252</v>
      </c>
      <c r="BO436" s="1586">
        <f t="shared" si="319"/>
        <v>0</v>
      </c>
      <c r="BP436" s="1586">
        <f t="shared" si="319"/>
        <v>0</v>
      </c>
      <c r="BQ436" s="1586">
        <f t="shared" si="319"/>
        <v>4868.8</v>
      </c>
      <c r="BR436" s="1586">
        <f t="shared" si="319"/>
        <v>162</v>
      </c>
      <c r="BS436" s="1586">
        <f t="shared" si="319"/>
        <v>0</v>
      </c>
      <c r="BT436" s="1586">
        <f t="shared" si="319"/>
        <v>0</v>
      </c>
      <c r="BU436" s="1586"/>
      <c r="BV436" s="1586">
        <f>BV437+BV451</f>
        <v>1100</v>
      </c>
      <c r="BW436" s="1586">
        <f>BW437+BW451</f>
        <v>0</v>
      </c>
      <c r="BX436" s="1586">
        <f>BX437+BX451</f>
        <v>0</v>
      </c>
      <c r="BY436" s="1586"/>
      <c r="BZ436" s="1586">
        <f>BZ437+BZ451</f>
        <v>0</v>
      </c>
      <c r="CA436" s="1586">
        <f>CA437+CA451</f>
        <v>410</v>
      </c>
      <c r="CB436" s="1586">
        <f>CB437+CB451</f>
        <v>0</v>
      </c>
      <c r="CC436" s="1586"/>
      <c r="CD436" s="1586">
        <f>CD437+CD451</f>
        <v>0</v>
      </c>
      <c r="CE436" s="1586">
        <f>CE437+CE451</f>
        <v>0</v>
      </c>
      <c r="CF436" s="1586">
        <f>CF437+CF451</f>
        <v>0</v>
      </c>
      <c r="CG436" s="1587"/>
      <c r="CH436" s="1586"/>
      <c r="CI436" s="1586">
        <f>CI437+CI451</f>
        <v>5462</v>
      </c>
      <c r="CJ436" s="1586">
        <f>CJ437+CJ451</f>
        <v>1202.96</v>
      </c>
      <c r="CK436" s="1586">
        <f>CK437+CK451</f>
        <v>0</v>
      </c>
      <c r="CL436" s="1558"/>
      <c r="CM436" s="1558"/>
      <c r="CN436" s="1558"/>
      <c r="CO436" s="1558"/>
      <c r="CP436" s="1558"/>
      <c r="CQ436" s="1558"/>
      <c r="CR436" s="1558"/>
      <c r="CS436" s="1558"/>
      <c r="CT436" s="1558"/>
      <c r="CU436" s="1558"/>
      <c r="CV436" s="1558"/>
      <c r="CW436" s="1558"/>
      <c r="CY436" s="1558"/>
    </row>
    <row r="437" spans="1:104" s="1872" customFormat="1" ht="52" x14ac:dyDescent="0.15">
      <c r="A437" s="1802" t="s">
        <v>1135</v>
      </c>
      <c r="B437" s="1803" t="s">
        <v>79</v>
      </c>
      <c r="C437" s="1803" t="s">
        <v>80</v>
      </c>
      <c r="D437" s="1803" t="s">
        <v>125</v>
      </c>
      <c r="E437" s="1803" t="s">
        <v>215</v>
      </c>
      <c r="F437" s="1803" t="s">
        <v>765</v>
      </c>
      <c r="G437" s="1866" t="s">
        <v>766</v>
      </c>
      <c r="H437" s="1517">
        <f>H438+H439+H440+H441+H442+H443+H444+H445+H446+H447+H448+H449+H450</f>
        <v>68325.279999999999</v>
      </c>
      <c r="I437" s="1517">
        <f>I438+I439+I440+I441+I442+I443+I444+I445+I446+I447+I448+I449+I450</f>
        <v>12451</v>
      </c>
      <c r="J437" s="1517">
        <f>J438+J439+J440+J441+J442+J443+J444+J445+J446+J447+J448+J449+J450</f>
        <v>1612.96</v>
      </c>
      <c r="K437" s="1517">
        <f>K438+K439+K440+K441+K442+K443+K444+K445+K446+K447+K448+K449+K450</f>
        <v>0</v>
      </c>
      <c r="L437" s="1518"/>
      <c r="M437" s="1518"/>
      <c r="N437" s="1518"/>
      <c r="O437" s="1518">
        <f>O438+O439+O440+O441+O442+O443+O444+O445+O446+O447+O448+O449+O450</f>
        <v>128.715</v>
      </c>
      <c r="P437" s="1518"/>
      <c r="Q437" s="1518">
        <f>Q438+Q439+Q440+Q441+Q442+Q443+Q444+Q445+Q446+Q447+Q448+Q449+Q450</f>
        <v>0</v>
      </c>
      <c r="R437" s="1518">
        <f>R438+R439+R440+R441+R442+R443+R444+R445+R446+R447+R448+R449+R450</f>
        <v>0</v>
      </c>
      <c r="S437" s="1518">
        <f>S438+S439+S440+S441+S442+S443+S444+S445+S446+S447+S448+S449+S450</f>
        <v>5000</v>
      </c>
      <c r="T437" s="1776"/>
      <c r="U437" s="1588"/>
      <c r="V437" s="1588"/>
      <c r="W437" s="1589"/>
      <c r="X437" s="1589"/>
      <c r="Y437" s="1589"/>
      <c r="Z437" s="1590"/>
      <c r="AA437" s="1589"/>
      <c r="AB437" s="1589"/>
      <c r="AC437" s="1591">
        <f t="shared" ref="AC437:AX437" si="320">AC438+AC439+AC440+AC441+AC442+AC443+AC444+AC445+AC446+AC447+AC448+AC449+AC450</f>
        <v>68325.280000000013</v>
      </c>
      <c r="AD437" s="1591">
        <f>AD438+AD439+AD440+AD441+AD442+AD443+AD444+AD445+AD446+AD447+AD448+AD449+AD450</f>
        <v>14063.96</v>
      </c>
      <c r="AE437" s="1591">
        <f>AE438+AE439+AE440+AE441+AE442+AE443+AE444+AE445+AE446+AE447+AE448+AE449+AE450</f>
        <v>12451</v>
      </c>
      <c r="AF437" s="1591">
        <f>AF438+AF439+AF440+AF441+AF442+AF443+AF444+AF445+AF446+AF447+AF448+AF449+AF450</f>
        <v>1612.96</v>
      </c>
      <c r="AG437" s="1591">
        <f>AG438+AG439+AG440+AG441+AG442+AG443+AG444+AG445+AG446+AG447+AG448+AG449+AG450</f>
        <v>0</v>
      </c>
      <c r="AH437" s="1591">
        <f>AH438+AH439+AH440+AH441+AH442+AH443+AH444+AH445+AH446+AH447+AH448+AH449+AH450</f>
        <v>7437.1850000000004</v>
      </c>
      <c r="AI437" s="1592">
        <f t="shared" si="320"/>
        <v>0</v>
      </c>
      <c r="AJ437" s="1592">
        <f t="shared" si="320"/>
        <v>0</v>
      </c>
      <c r="AK437" s="1592">
        <f t="shared" si="320"/>
        <v>0</v>
      </c>
      <c r="AL437" s="1636">
        <f t="shared" si="300"/>
        <v>0</v>
      </c>
      <c r="AM437" s="1592">
        <f t="shared" si="320"/>
        <v>0</v>
      </c>
      <c r="AN437" s="1539"/>
      <c r="AO437" s="1539">
        <f t="shared" si="320"/>
        <v>4690.37</v>
      </c>
      <c r="AP437" s="1539">
        <f t="shared" si="320"/>
        <v>25</v>
      </c>
      <c r="AQ437" s="1539">
        <f t="shared" si="320"/>
        <v>0</v>
      </c>
      <c r="AR437" s="1539">
        <f t="shared" si="320"/>
        <v>0</v>
      </c>
      <c r="AS437" s="1590">
        <f t="shared" si="320"/>
        <v>4473.6000000000004</v>
      </c>
      <c r="AT437" s="1539">
        <f t="shared" si="320"/>
        <v>0</v>
      </c>
      <c r="AU437" s="1539">
        <f t="shared" si="320"/>
        <v>0</v>
      </c>
      <c r="AV437" s="1539">
        <f t="shared" si="320"/>
        <v>0</v>
      </c>
      <c r="AW437" s="1590">
        <f t="shared" si="320"/>
        <v>4196.6000000000004</v>
      </c>
      <c r="AX437" s="1539">
        <f t="shared" si="320"/>
        <v>0</v>
      </c>
      <c r="AY437" s="1539">
        <f>AY438+AY439+AY440+AY441+AY442+AY443+AY444+AY445+AY446+AY447+AY448+AY449+AY450</f>
        <v>0</v>
      </c>
      <c r="AZ437" s="1539">
        <f>AZ438+AZ439+AZ440+AZ441+AZ442+AZ443+AZ444+AZ445+AZ446+AZ447+AZ448+AZ449+AZ450</f>
        <v>0</v>
      </c>
      <c r="BA437" s="1539"/>
      <c r="BB437" s="1539">
        <f>BB438+BB439+BB440+BB441+BB442+BB443+BB444+BB445+BB446+BB447+BB448+BB449+BB450</f>
        <v>0</v>
      </c>
      <c r="BC437" s="1539">
        <f>BC438+BC439+BC440+BC441+BC442+BC443+BC444+BC445+BC446+BC447+BC448+BC449+BC450</f>
        <v>0</v>
      </c>
      <c r="BD437" s="1539">
        <f>BD438+BD439+BD440+BD441+BD442+BD443+BD444+BD445+BD446+BD447+BD448+BD449+BD450</f>
        <v>0</v>
      </c>
      <c r="BE437" s="1539"/>
      <c r="BF437" s="1539">
        <f t="shared" ref="BF437:BT437" si="321">BF438+BF439+BF440+BF441+BF442+BF443+BF444+BF445+BF446+BF447+BF448+BF449+BF450</f>
        <v>450</v>
      </c>
      <c r="BG437" s="1539">
        <f t="shared" si="321"/>
        <v>0</v>
      </c>
      <c r="BH437" s="1539">
        <f t="shared" si="321"/>
        <v>0</v>
      </c>
      <c r="BI437" s="1539">
        <f t="shared" si="321"/>
        <v>2217.37</v>
      </c>
      <c r="BJ437" s="1539">
        <f t="shared" si="321"/>
        <v>0</v>
      </c>
      <c r="BK437" s="1539">
        <f t="shared" si="321"/>
        <v>0</v>
      </c>
      <c r="BL437" s="1539">
        <f t="shared" si="321"/>
        <v>0</v>
      </c>
      <c r="BM437" s="1539">
        <f t="shared" si="321"/>
        <v>7103.9000000000005</v>
      </c>
      <c r="BN437" s="1539">
        <f t="shared" si="321"/>
        <v>5252</v>
      </c>
      <c r="BO437" s="1539">
        <f t="shared" si="321"/>
        <v>0</v>
      </c>
      <c r="BP437" s="1539">
        <f t="shared" si="321"/>
        <v>0</v>
      </c>
      <c r="BQ437" s="1539">
        <f t="shared" si="321"/>
        <v>4868.8</v>
      </c>
      <c r="BR437" s="1539">
        <f t="shared" si="321"/>
        <v>162</v>
      </c>
      <c r="BS437" s="1539">
        <f t="shared" si="321"/>
        <v>0</v>
      </c>
      <c r="BT437" s="1539">
        <f t="shared" si="321"/>
        <v>0</v>
      </c>
      <c r="BU437" s="1539"/>
      <c r="BV437" s="1539">
        <f>BV438+BV439+BV440+BV441+BV442+BV443+BV444+BV445+BV446+BV447+BV448+BV449+BV450</f>
        <v>1100</v>
      </c>
      <c r="BW437" s="1539">
        <f>BW438+BW439+BW440+BW441+BW442+BW443+BW444+BW445+BW446+BW447+BW448+BW449+BW450</f>
        <v>0</v>
      </c>
      <c r="BX437" s="1539">
        <f>BX438+BX439+BX440+BX441+BX442+BX443+BX444+BX445+BX446+BX447+BX448+BX449+BX450</f>
        <v>0</v>
      </c>
      <c r="BY437" s="1539"/>
      <c r="BZ437" s="1539">
        <f t="shared" ref="BZ437:CF437" si="322">BZ438+BZ439+BZ440+BZ441+BZ442+BZ443+BZ444+BZ445+BZ446+BZ447+BZ448+BZ449+BZ450</f>
        <v>0</v>
      </c>
      <c r="CA437" s="1539">
        <f t="shared" si="322"/>
        <v>410</v>
      </c>
      <c r="CB437" s="1539">
        <f t="shared" si="322"/>
        <v>0</v>
      </c>
      <c r="CC437" s="1539">
        <f t="shared" si="322"/>
        <v>4503.34</v>
      </c>
      <c r="CD437" s="1539">
        <f t="shared" si="322"/>
        <v>0</v>
      </c>
      <c r="CE437" s="1539">
        <f t="shared" si="322"/>
        <v>0</v>
      </c>
      <c r="CF437" s="1539">
        <f t="shared" si="322"/>
        <v>0</v>
      </c>
      <c r="CG437" s="1593"/>
      <c r="CH437" s="1539"/>
      <c r="CI437" s="1539">
        <f>CI438+CI439+CI440+CI441+CI442+CI443+CI444+CI445+CI446+CI447+CI448+CI449+CI450</f>
        <v>5462</v>
      </c>
      <c r="CJ437" s="1539">
        <f>CJ438+CJ439+CJ440+CJ441+CJ442+CJ443+CJ444+CJ445+CJ446+CJ447+CJ448+CJ449+CJ450</f>
        <v>1202.96</v>
      </c>
      <c r="CK437" s="1539">
        <f>CK438+CK439+CK440+CK441+CK442+CK443+CK444+CK445+CK446+CK447+CK448+CK449+CK450</f>
        <v>0</v>
      </c>
      <c r="CL437" s="1871"/>
      <c r="CM437" s="1871"/>
      <c r="CN437" s="1871"/>
      <c r="CO437" s="1871"/>
      <c r="CP437" s="1871"/>
      <c r="CQ437" s="1871"/>
      <c r="CR437" s="1871"/>
      <c r="CS437" s="1871"/>
      <c r="CT437" s="1871"/>
      <c r="CU437" s="1871"/>
      <c r="CV437" s="1871"/>
      <c r="CW437" s="1871"/>
      <c r="CY437" s="1871"/>
    </row>
    <row r="438" spans="1:104" s="1559" customFormat="1" x14ac:dyDescent="0.15">
      <c r="A438" s="1541" t="s">
        <v>78</v>
      </c>
      <c r="B438" s="1523" t="s">
        <v>79</v>
      </c>
      <c r="C438" s="1523" t="s">
        <v>80</v>
      </c>
      <c r="D438" s="1523" t="s">
        <v>125</v>
      </c>
      <c r="E438" s="1523" t="s">
        <v>215</v>
      </c>
      <c r="F438" s="1523"/>
      <c r="G438" s="1667">
        <v>211</v>
      </c>
      <c r="H438" s="1851">
        <f t="shared" ref="H438:S450" si="323">H454+H470+H486+H502</f>
        <v>39048.5</v>
      </c>
      <c r="I438" s="1851">
        <f t="shared" si="323"/>
        <v>0</v>
      </c>
      <c r="J438" s="1851">
        <f t="shared" si="323"/>
        <v>0</v>
      </c>
      <c r="K438" s="1851">
        <f>K454+K470+K486+K502</f>
        <v>0</v>
      </c>
      <c r="L438" s="1851">
        <f t="shared" ref="L438:Q438" si="324">L454+L470+L486+L502</f>
        <v>0</v>
      </c>
      <c r="M438" s="1851">
        <f t="shared" si="324"/>
        <v>0</v>
      </c>
      <c r="N438" s="1851">
        <f t="shared" si="324"/>
        <v>0</v>
      </c>
      <c r="O438" s="1851">
        <f t="shared" si="324"/>
        <v>0</v>
      </c>
      <c r="P438" s="1851">
        <f t="shared" si="324"/>
        <v>0</v>
      </c>
      <c r="Q438" s="1851">
        <f t="shared" si="324"/>
        <v>0</v>
      </c>
      <c r="R438" s="1933">
        <f>R454+R470+R486+R502</f>
        <v>0</v>
      </c>
      <c r="S438" s="1933">
        <f>S454+S470+S486+S502</f>
        <v>0</v>
      </c>
      <c r="T438" s="1934">
        <f>T454+T470+T486+T502</f>
        <v>0</v>
      </c>
      <c r="U438" s="1935">
        <f>U454+U470+U486+U502</f>
        <v>0</v>
      </c>
      <c r="V438" s="1935"/>
      <c r="W438" s="1934">
        <f>H438/12</f>
        <v>3254.0416666666665</v>
      </c>
      <c r="X438" s="1934">
        <f>X454+X470+X486+X502</f>
        <v>3223.2</v>
      </c>
      <c r="Y438" s="1934">
        <f>Y454+Y470+Y486+Y502</f>
        <v>2970.67</v>
      </c>
      <c r="Z438" s="1936">
        <f>Z454+Z470+Z486+Z502</f>
        <v>2893.3</v>
      </c>
      <c r="AA438" s="1634"/>
      <c r="AB438" s="1634">
        <f>AI438/2</f>
        <v>0</v>
      </c>
      <c r="AC438" s="1545">
        <f t="shared" ref="AC438:CK442" si="325">AC454+AC470+AC486+AC502</f>
        <v>39048.500000000007</v>
      </c>
      <c r="AD438" s="1545">
        <f t="shared" si="325"/>
        <v>0</v>
      </c>
      <c r="AE438" s="1545">
        <f t="shared" si="325"/>
        <v>0</v>
      </c>
      <c r="AF438" s="1545">
        <f t="shared" si="325"/>
        <v>0</v>
      </c>
      <c r="AG438" s="1545">
        <f t="shared" si="325"/>
        <v>0</v>
      </c>
      <c r="AH438" s="1545">
        <f t="shared" si="325"/>
        <v>3259.92</v>
      </c>
      <c r="AI438" s="1510">
        <f t="shared" si="325"/>
        <v>0</v>
      </c>
      <c r="AJ438" s="1510">
        <f t="shared" si="325"/>
        <v>0</v>
      </c>
      <c r="AK438" s="1510">
        <f t="shared" si="325"/>
        <v>0</v>
      </c>
      <c r="AL438" s="1636">
        <f t="shared" si="300"/>
        <v>0</v>
      </c>
      <c r="AM438" s="1510">
        <f t="shared" si="325"/>
        <v>0</v>
      </c>
      <c r="AN438" s="1510">
        <f>AN454+AN470+AN486+AN502</f>
        <v>0</v>
      </c>
      <c r="AO438" s="1511">
        <f t="shared" si="325"/>
        <v>3223.2</v>
      </c>
      <c r="AP438" s="1511">
        <f t="shared" si="325"/>
        <v>0</v>
      </c>
      <c r="AQ438" s="1511">
        <f t="shared" si="325"/>
        <v>0</v>
      </c>
      <c r="AR438" s="1511">
        <f t="shared" si="325"/>
        <v>0</v>
      </c>
      <c r="AS438" s="1507">
        <f t="shared" si="325"/>
        <v>3223.2</v>
      </c>
      <c r="AT438" s="1511">
        <f t="shared" si="325"/>
        <v>0</v>
      </c>
      <c r="AU438" s="1511">
        <f t="shared" si="325"/>
        <v>0</v>
      </c>
      <c r="AV438" s="1511">
        <f t="shared" si="325"/>
        <v>0</v>
      </c>
      <c r="AW438" s="1507">
        <f t="shared" si="325"/>
        <v>3223.2</v>
      </c>
      <c r="AX438" s="1511">
        <f t="shared" si="325"/>
        <v>0</v>
      </c>
      <c r="AY438" s="1511">
        <f t="shared" si="325"/>
        <v>0</v>
      </c>
      <c r="AZ438" s="1511">
        <f t="shared" si="325"/>
        <v>0</v>
      </c>
      <c r="BA438" s="1511">
        <f t="shared" si="325"/>
        <v>3223.17</v>
      </c>
      <c r="BB438" s="1511">
        <f t="shared" si="325"/>
        <v>0</v>
      </c>
      <c r="BC438" s="1511">
        <f t="shared" si="325"/>
        <v>0</v>
      </c>
      <c r="BD438" s="1511">
        <f t="shared" si="325"/>
        <v>0</v>
      </c>
      <c r="BE438" s="1511">
        <f t="shared" si="325"/>
        <v>3223.17</v>
      </c>
      <c r="BF438" s="1511">
        <f t="shared" si="325"/>
        <v>0</v>
      </c>
      <c r="BG438" s="1511">
        <f t="shared" si="325"/>
        <v>0</v>
      </c>
      <c r="BH438" s="1511">
        <f t="shared" si="325"/>
        <v>0</v>
      </c>
      <c r="BI438" s="1511">
        <f t="shared" si="325"/>
        <v>1789.27</v>
      </c>
      <c r="BJ438" s="1511">
        <f t="shared" si="325"/>
        <v>0</v>
      </c>
      <c r="BK438" s="1511">
        <f t="shared" si="325"/>
        <v>0</v>
      </c>
      <c r="BL438" s="1511">
        <f t="shared" si="325"/>
        <v>0</v>
      </c>
      <c r="BM438" s="1511">
        <f t="shared" si="325"/>
        <v>5157.1000000000004</v>
      </c>
      <c r="BN438" s="1511">
        <f t="shared" si="325"/>
        <v>0</v>
      </c>
      <c r="BO438" s="1511">
        <f t="shared" si="325"/>
        <v>0</v>
      </c>
      <c r="BP438" s="1511">
        <f t="shared" si="325"/>
        <v>0</v>
      </c>
      <c r="BQ438" s="1511">
        <f t="shared" si="325"/>
        <v>3223.2</v>
      </c>
      <c r="BR438" s="1511">
        <f t="shared" si="325"/>
        <v>0</v>
      </c>
      <c r="BS438" s="1511">
        <f t="shared" si="325"/>
        <v>0</v>
      </c>
      <c r="BT438" s="1511">
        <f t="shared" si="325"/>
        <v>0</v>
      </c>
      <c r="BU438" s="1511">
        <f t="shared" si="325"/>
        <v>3190.7999999999997</v>
      </c>
      <c r="BV438" s="1511">
        <f t="shared" si="325"/>
        <v>0</v>
      </c>
      <c r="BW438" s="1511">
        <f t="shared" si="325"/>
        <v>0</v>
      </c>
      <c r="BX438" s="1511">
        <f t="shared" si="325"/>
        <v>0</v>
      </c>
      <c r="BY438" s="1511">
        <f t="shared" si="325"/>
        <v>3341.6</v>
      </c>
      <c r="BZ438" s="1511">
        <f t="shared" si="325"/>
        <v>0</v>
      </c>
      <c r="CA438" s="1511">
        <f t="shared" si="325"/>
        <v>0</v>
      </c>
      <c r="CB438" s="1511">
        <f t="shared" si="325"/>
        <v>0</v>
      </c>
      <c r="CC438" s="1511">
        <f t="shared" si="325"/>
        <v>2970.67</v>
      </c>
      <c r="CD438" s="1511">
        <f t="shared" si="325"/>
        <v>0</v>
      </c>
      <c r="CE438" s="1511">
        <f t="shared" si="325"/>
        <v>0</v>
      </c>
      <c r="CF438" s="1511">
        <f t="shared" si="325"/>
        <v>0</v>
      </c>
      <c r="CG438" s="1937"/>
      <c r="CH438" s="1511">
        <f t="shared" si="325"/>
        <v>3259.92</v>
      </c>
      <c r="CI438" s="1511">
        <f t="shared" si="325"/>
        <v>0</v>
      </c>
      <c r="CJ438" s="1511">
        <f t="shared" si="325"/>
        <v>0</v>
      </c>
      <c r="CK438" s="1511">
        <f t="shared" si="325"/>
        <v>0</v>
      </c>
      <c r="CL438" s="1558"/>
      <c r="CM438" s="1558"/>
      <c r="CN438" s="1558"/>
      <c r="CO438" s="1558"/>
      <c r="CP438" s="1558"/>
      <c r="CQ438" s="1558"/>
      <c r="CR438" s="1558"/>
      <c r="CS438" s="1558"/>
      <c r="CT438" s="1558"/>
      <c r="CU438" s="1558"/>
      <c r="CV438" s="1558"/>
      <c r="CW438" s="1558"/>
      <c r="CX438" s="1558">
        <f>H438/12*10-AC438</f>
        <v>-6508.083333333343</v>
      </c>
      <c r="CY438" s="1558">
        <f>AI438/3</f>
        <v>0</v>
      </c>
      <c r="CZ438" s="1558">
        <f>H438/12</f>
        <v>3254.0416666666665</v>
      </c>
    </row>
    <row r="439" spans="1:104" s="1559" customFormat="1" x14ac:dyDescent="0.15">
      <c r="A439" s="1541" t="s">
        <v>103</v>
      </c>
      <c r="B439" s="1523" t="s">
        <v>79</v>
      </c>
      <c r="C439" s="1523" t="s">
        <v>80</v>
      </c>
      <c r="D439" s="1523" t="s">
        <v>125</v>
      </c>
      <c r="E439" s="1523" t="s">
        <v>215</v>
      </c>
      <c r="F439" s="1523"/>
      <c r="G439" s="1667">
        <v>212</v>
      </c>
      <c r="H439" s="1851">
        <f t="shared" si="323"/>
        <v>2</v>
      </c>
      <c r="I439" s="1851">
        <f t="shared" si="323"/>
        <v>0</v>
      </c>
      <c r="J439" s="1851">
        <f t="shared" si="323"/>
        <v>0</v>
      </c>
      <c r="K439" s="1851">
        <f t="shared" si="323"/>
        <v>0</v>
      </c>
      <c r="L439" s="1851">
        <f t="shared" si="323"/>
        <v>0</v>
      </c>
      <c r="M439" s="1851">
        <f t="shared" si="323"/>
        <v>0</v>
      </c>
      <c r="N439" s="1851">
        <f t="shared" si="323"/>
        <v>0</v>
      </c>
      <c r="O439" s="1851">
        <f t="shared" si="323"/>
        <v>0</v>
      </c>
      <c r="P439" s="1851">
        <f t="shared" si="323"/>
        <v>0</v>
      </c>
      <c r="Q439" s="1851">
        <f t="shared" si="323"/>
        <v>0</v>
      </c>
      <c r="R439" s="1933">
        <f t="shared" si="323"/>
        <v>0</v>
      </c>
      <c r="S439" s="1933">
        <f t="shared" si="323"/>
        <v>0</v>
      </c>
      <c r="T439" s="1504"/>
      <c r="U439" s="1505"/>
      <c r="V439" s="1505"/>
      <c r="W439" s="1934">
        <f>H439/12</f>
        <v>0.16666666666666666</v>
      </c>
      <c r="X439" s="1634"/>
      <c r="Y439" s="1634"/>
      <c r="Z439" s="1635"/>
      <c r="AA439" s="1634"/>
      <c r="AB439" s="1634"/>
      <c r="AC439" s="1545">
        <f t="shared" si="325"/>
        <v>2</v>
      </c>
      <c r="AD439" s="1545">
        <f t="shared" si="325"/>
        <v>0</v>
      </c>
      <c r="AE439" s="1545">
        <f t="shared" si="325"/>
        <v>0</v>
      </c>
      <c r="AF439" s="1545">
        <f t="shared" si="325"/>
        <v>0</v>
      </c>
      <c r="AG439" s="1545">
        <f t="shared" si="325"/>
        <v>0</v>
      </c>
      <c r="AH439" s="1545">
        <f t="shared" si="325"/>
        <v>1.63</v>
      </c>
      <c r="AI439" s="1510">
        <f t="shared" si="325"/>
        <v>0</v>
      </c>
      <c r="AJ439" s="1510">
        <f t="shared" si="325"/>
        <v>0</v>
      </c>
      <c r="AK439" s="1510">
        <f t="shared" si="325"/>
        <v>0</v>
      </c>
      <c r="AL439" s="1636">
        <f t="shared" si="300"/>
        <v>0</v>
      </c>
      <c r="AM439" s="1510">
        <f t="shared" si="325"/>
        <v>0</v>
      </c>
      <c r="AN439" s="1510">
        <f>AN455+AN471+AN487+AN503</f>
        <v>0</v>
      </c>
      <c r="AO439" s="1511">
        <f t="shared" si="325"/>
        <v>0.37</v>
      </c>
      <c r="AP439" s="1511">
        <f t="shared" si="325"/>
        <v>0</v>
      </c>
      <c r="AQ439" s="1511">
        <f t="shared" si="325"/>
        <v>0</v>
      </c>
      <c r="AR439" s="1511">
        <f t="shared" si="325"/>
        <v>0</v>
      </c>
      <c r="AS439" s="1507">
        <f t="shared" si="325"/>
        <v>0</v>
      </c>
      <c r="AT439" s="1511">
        <f t="shared" si="325"/>
        <v>0</v>
      </c>
      <c r="AU439" s="1511">
        <f t="shared" si="325"/>
        <v>0</v>
      </c>
      <c r="AV439" s="1511">
        <f t="shared" si="325"/>
        <v>0</v>
      </c>
      <c r="AW439" s="1507">
        <f t="shared" si="325"/>
        <v>0</v>
      </c>
      <c r="AX439" s="1511">
        <f t="shared" si="325"/>
        <v>0</v>
      </c>
      <c r="AY439" s="1511">
        <f t="shared" si="325"/>
        <v>0</v>
      </c>
      <c r="AZ439" s="1511">
        <f t="shared" si="325"/>
        <v>0</v>
      </c>
      <c r="BA439" s="1511">
        <f t="shared" si="325"/>
        <v>0</v>
      </c>
      <c r="BB439" s="1511">
        <f t="shared" si="325"/>
        <v>0</v>
      </c>
      <c r="BC439" s="1511">
        <f t="shared" si="325"/>
        <v>0</v>
      </c>
      <c r="BD439" s="1511">
        <f t="shared" si="325"/>
        <v>0</v>
      </c>
      <c r="BE439" s="1511">
        <f t="shared" si="325"/>
        <v>0</v>
      </c>
      <c r="BF439" s="1511">
        <f t="shared" si="325"/>
        <v>0</v>
      </c>
      <c r="BG439" s="1511">
        <f t="shared" si="325"/>
        <v>0</v>
      </c>
      <c r="BH439" s="1511">
        <f t="shared" si="325"/>
        <v>0</v>
      </c>
      <c r="BI439" s="1511">
        <f t="shared" si="325"/>
        <v>0</v>
      </c>
      <c r="BJ439" s="1511">
        <f t="shared" si="325"/>
        <v>0</v>
      </c>
      <c r="BK439" s="1511">
        <f t="shared" si="325"/>
        <v>0</v>
      </c>
      <c r="BL439" s="1511">
        <f t="shared" si="325"/>
        <v>0</v>
      </c>
      <c r="BM439" s="1511">
        <f t="shared" si="325"/>
        <v>0</v>
      </c>
      <c r="BN439" s="1511">
        <f t="shared" si="325"/>
        <v>0</v>
      </c>
      <c r="BO439" s="1511">
        <f t="shared" si="325"/>
        <v>0</v>
      </c>
      <c r="BP439" s="1511">
        <f t="shared" si="325"/>
        <v>0</v>
      </c>
      <c r="BQ439" s="1511">
        <f t="shared" si="325"/>
        <v>0</v>
      </c>
      <c r="BR439" s="1511">
        <f t="shared" si="325"/>
        <v>0</v>
      </c>
      <c r="BS439" s="1511">
        <f t="shared" si="325"/>
        <v>0</v>
      </c>
      <c r="BT439" s="1511">
        <f t="shared" si="325"/>
        <v>0</v>
      </c>
      <c r="BU439" s="1511">
        <f t="shared" si="325"/>
        <v>0</v>
      </c>
      <c r="BV439" s="1511">
        <f t="shared" si="325"/>
        <v>0</v>
      </c>
      <c r="BW439" s="1511">
        <f t="shared" si="325"/>
        <v>0</v>
      </c>
      <c r="BX439" s="1511">
        <f t="shared" si="325"/>
        <v>0</v>
      </c>
      <c r="BY439" s="1511">
        <f t="shared" si="325"/>
        <v>0</v>
      </c>
      <c r="BZ439" s="1511">
        <f t="shared" si="325"/>
        <v>0</v>
      </c>
      <c r="CA439" s="1511">
        <f t="shared" si="325"/>
        <v>0</v>
      </c>
      <c r="CB439" s="1511">
        <f t="shared" si="325"/>
        <v>0</v>
      </c>
      <c r="CC439" s="1511">
        <f t="shared" si="325"/>
        <v>0</v>
      </c>
      <c r="CD439" s="1511">
        <f t="shared" si="325"/>
        <v>0</v>
      </c>
      <c r="CE439" s="1511">
        <f t="shared" si="325"/>
        <v>0</v>
      </c>
      <c r="CF439" s="1511">
        <f t="shared" si="325"/>
        <v>0</v>
      </c>
      <c r="CG439" s="1596"/>
      <c r="CH439" s="1511">
        <f t="shared" si="325"/>
        <v>1.63</v>
      </c>
      <c r="CI439" s="1511">
        <f t="shared" si="325"/>
        <v>0</v>
      </c>
      <c r="CJ439" s="1511">
        <f t="shared" si="325"/>
        <v>0</v>
      </c>
      <c r="CK439" s="1511">
        <f t="shared" si="325"/>
        <v>0</v>
      </c>
      <c r="CL439" s="1558"/>
      <c r="CM439" s="1558"/>
      <c r="CN439" s="1558"/>
      <c r="CO439" s="1558"/>
      <c r="CP439" s="1558"/>
      <c r="CQ439" s="1558"/>
      <c r="CR439" s="1558"/>
      <c r="CS439" s="1558"/>
      <c r="CT439" s="1558"/>
      <c r="CU439" s="1558"/>
      <c r="CV439" s="1558"/>
      <c r="CW439" s="1558"/>
      <c r="CX439" s="1558"/>
      <c r="CY439" s="1558"/>
      <c r="CZ439" s="1558"/>
    </row>
    <row r="440" spans="1:104" s="1559" customFormat="1" x14ac:dyDescent="0.15">
      <c r="A440" s="1541" t="s">
        <v>84</v>
      </c>
      <c r="B440" s="1523" t="s">
        <v>79</v>
      </c>
      <c r="C440" s="1523" t="s">
        <v>80</v>
      </c>
      <c r="D440" s="1523" t="s">
        <v>125</v>
      </c>
      <c r="E440" s="1523" t="s">
        <v>215</v>
      </c>
      <c r="F440" s="1523"/>
      <c r="G440" s="1667">
        <v>213</v>
      </c>
      <c r="H440" s="1851">
        <f t="shared" si="323"/>
        <v>11792.68</v>
      </c>
      <c r="I440" s="1851">
        <f t="shared" si="323"/>
        <v>0</v>
      </c>
      <c r="J440" s="1851">
        <f t="shared" si="323"/>
        <v>0</v>
      </c>
      <c r="K440" s="1851">
        <f t="shared" si="323"/>
        <v>0</v>
      </c>
      <c r="L440" s="1851">
        <f t="shared" si="323"/>
        <v>0</v>
      </c>
      <c r="M440" s="1851">
        <f t="shared" si="323"/>
        <v>0</v>
      </c>
      <c r="N440" s="1851">
        <f t="shared" si="323"/>
        <v>0</v>
      </c>
      <c r="O440" s="1851">
        <f t="shared" si="323"/>
        <v>0</v>
      </c>
      <c r="P440" s="1851">
        <f t="shared" si="323"/>
        <v>0</v>
      </c>
      <c r="Q440" s="1851">
        <f t="shared" si="323"/>
        <v>0</v>
      </c>
      <c r="R440" s="1933">
        <f t="shared" si="323"/>
        <v>0</v>
      </c>
      <c r="S440" s="1933">
        <f t="shared" si="323"/>
        <v>0</v>
      </c>
      <c r="T440" s="1934">
        <f>T456+T472+T488+T504</f>
        <v>0</v>
      </c>
      <c r="U440" s="1935">
        <f>U456+U472+U488+U504</f>
        <v>0</v>
      </c>
      <c r="V440" s="1935"/>
      <c r="W440" s="1934">
        <f>H440/12</f>
        <v>982.72333333333336</v>
      </c>
      <c r="X440" s="1934">
        <f>X456+X472+X488+X504</f>
        <v>973.40000000000009</v>
      </c>
      <c r="Y440" s="1934">
        <f>Y456+Y472+Y488+Y504</f>
        <v>1326.67</v>
      </c>
      <c r="Z440" s="1936">
        <f>Z456+Z472+Z488+Z504</f>
        <v>1303.3</v>
      </c>
      <c r="AA440" s="1634"/>
      <c r="AB440" s="1634">
        <f>AI440/2</f>
        <v>0</v>
      </c>
      <c r="AC440" s="1545">
        <f t="shared" si="325"/>
        <v>11792.68</v>
      </c>
      <c r="AD440" s="1545">
        <f t="shared" si="325"/>
        <v>0</v>
      </c>
      <c r="AE440" s="1545">
        <f t="shared" si="325"/>
        <v>0</v>
      </c>
      <c r="AF440" s="1545">
        <f t="shared" si="325"/>
        <v>0</v>
      </c>
      <c r="AG440" s="1545">
        <f t="shared" si="325"/>
        <v>0</v>
      </c>
      <c r="AH440" s="1545">
        <f t="shared" si="325"/>
        <v>996.91</v>
      </c>
      <c r="AI440" s="1510">
        <f t="shared" si="325"/>
        <v>0</v>
      </c>
      <c r="AJ440" s="1510">
        <f t="shared" si="325"/>
        <v>0</v>
      </c>
      <c r="AK440" s="1510">
        <f t="shared" si="325"/>
        <v>0</v>
      </c>
      <c r="AL440" s="1636">
        <f t="shared" si="300"/>
        <v>0</v>
      </c>
      <c r="AM440" s="1510">
        <f t="shared" si="325"/>
        <v>0</v>
      </c>
      <c r="AN440" s="1510">
        <f>AN456+AN472+AN488+AN504</f>
        <v>0</v>
      </c>
      <c r="AO440" s="1511">
        <f t="shared" si="325"/>
        <v>973.40000000000009</v>
      </c>
      <c r="AP440" s="1511">
        <f t="shared" si="325"/>
        <v>0</v>
      </c>
      <c r="AQ440" s="1511">
        <f t="shared" si="325"/>
        <v>0</v>
      </c>
      <c r="AR440" s="1511">
        <f t="shared" si="325"/>
        <v>0</v>
      </c>
      <c r="AS440" s="1507">
        <f t="shared" si="325"/>
        <v>973.40000000000009</v>
      </c>
      <c r="AT440" s="1511">
        <f t="shared" si="325"/>
        <v>0</v>
      </c>
      <c r="AU440" s="1511">
        <f t="shared" si="325"/>
        <v>0</v>
      </c>
      <c r="AV440" s="1511">
        <f t="shared" si="325"/>
        <v>0</v>
      </c>
      <c r="AW440" s="1507">
        <f t="shared" si="325"/>
        <v>973.40000000000009</v>
      </c>
      <c r="AX440" s="1511">
        <f t="shared" si="325"/>
        <v>0</v>
      </c>
      <c r="AY440" s="1511">
        <f t="shared" si="325"/>
        <v>0</v>
      </c>
      <c r="AZ440" s="1511">
        <f t="shared" si="325"/>
        <v>0</v>
      </c>
      <c r="BA440" s="1511">
        <f t="shared" si="325"/>
        <v>973.40000000000009</v>
      </c>
      <c r="BB440" s="1511">
        <f t="shared" si="325"/>
        <v>0</v>
      </c>
      <c r="BC440" s="1511">
        <f t="shared" si="325"/>
        <v>0</v>
      </c>
      <c r="BD440" s="1511">
        <f t="shared" si="325"/>
        <v>0</v>
      </c>
      <c r="BE440" s="1511">
        <f t="shared" si="325"/>
        <v>973.40000000000009</v>
      </c>
      <c r="BF440" s="1511">
        <f t="shared" si="325"/>
        <v>0</v>
      </c>
      <c r="BG440" s="1511">
        <f t="shared" si="325"/>
        <v>0</v>
      </c>
      <c r="BH440" s="1511">
        <f t="shared" si="325"/>
        <v>0</v>
      </c>
      <c r="BI440" s="1511">
        <f t="shared" si="325"/>
        <v>151</v>
      </c>
      <c r="BJ440" s="1511">
        <f t="shared" si="325"/>
        <v>0</v>
      </c>
      <c r="BK440" s="1511">
        <f t="shared" si="325"/>
        <v>0</v>
      </c>
      <c r="BL440" s="1511">
        <f t="shared" si="325"/>
        <v>0</v>
      </c>
      <c r="BM440" s="1511">
        <f t="shared" si="325"/>
        <v>1946.8000000000002</v>
      </c>
      <c r="BN440" s="1511">
        <f t="shared" si="325"/>
        <v>0</v>
      </c>
      <c r="BO440" s="1511">
        <f t="shared" si="325"/>
        <v>0</v>
      </c>
      <c r="BP440" s="1511">
        <f t="shared" si="325"/>
        <v>0</v>
      </c>
      <c r="BQ440" s="1511">
        <f t="shared" si="325"/>
        <v>973.40000000000009</v>
      </c>
      <c r="BR440" s="1511">
        <f t="shared" si="325"/>
        <v>0</v>
      </c>
      <c r="BS440" s="1511">
        <f t="shared" si="325"/>
        <v>0</v>
      </c>
      <c r="BT440" s="1511">
        <f t="shared" si="325"/>
        <v>0</v>
      </c>
      <c r="BU440" s="1511">
        <f t="shared" si="325"/>
        <v>963.5</v>
      </c>
      <c r="BV440" s="1511">
        <f t="shared" si="325"/>
        <v>0</v>
      </c>
      <c r="BW440" s="1511">
        <f t="shared" si="325"/>
        <v>0</v>
      </c>
      <c r="BX440" s="1511">
        <f t="shared" si="325"/>
        <v>0</v>
      </c>
      <c r="BY440" s="1511">
        <f t="shared" si="325"/>
        <v>567.4</v>
      </c>
      <c r="BZ440" s="1511">
        <f t="shared" si="325"/>
        <v>0</v>
      </c>
      <c r="CA440" s="1511">
        <f t="shared" si="325"/>
        <v>0</v>
      </c>
      <c r="CB440" s="1511">
        <f t="shared" si="325"/>
        <v>0</v>
      </c>
      <c r="CC440" s="1511">
        <f t="shared" si="325"/>
        <v>1326.67</v>
      </c>
      <c r="CD440" s="1511">
        <f t="shared" si="325"/>
        <v>0</v>
      </c>
      <c r="CE440" s="1511">
        <f t="shared" si="325"/>
        <v>0</v>
      </c>
      <c r="CF440" s="1511">
        <f t="shared" si="325"/>
        <v>0</v>
      </c>
      <c r="CG440" s="1937"/>
      <c r="CH440" s="1511">
        <f t="shared" si="325"/>
        <v>996.91</v>
      </c>
      <c r="CI440" s="1511">
        <f t="shared" si="325"/>
        <v>0</v>
      </c>
      <c r="CJ440" s="1511">
        <f t="shared" si="325"/>
        <v>0</v>
      </c>
      <c r="CK440" s="1511">
        <f t="shared" si="325"/>
        <v>0</v>
      </c>
      <c r="CL440" s="1558"/>
      <c r="CM440" s="1558"/>
      <c r="CN440" s="1558"/>
      <c r="CO440" s="1558"/>
      <c r="CP440" s="1558"/>
      <c r="CQ440" s="1558"/>
      <c r="CR440" s="1558"/>
      <c r="CS440" s="1558"/>
      <c r="CT440" s="1558"/>
      <c r="CU440" s="1558"/>
      <c r="CV440" s="1558"/>
      <c r="CW440" s="1558"/>
      <c r="CX440" s="1558">
        <f>H440/12*10-AC440</f>
        <v>-1965.4466666666667</v>
      </c>
      <c r="CY440" s="1558">
        <f>AI440/3</f>
        <v>0</v>
      </c>
      <c r="CZ440" s="1558">
        <f>H440/12</f>
        <v>982.72333333333336</v>
      </c>
    </row>
    <row r="441" spans="1:104" s="1559" customFormat="1" x14ac:dyDescent="0.15">
      <c r="A441" s="1541" t="s">
        <v>85</v>
      </c>
      <c r="B441" s="1523" t="s">
        <v>79</v>
      </c>
      <c r="C441" s="1523" t="s">
        <v>80</v>
      </c>
      <c r="D441" s="1523" t="s">
        <v>125</v>
      </c>
      <c r="E441" s="1523" t="s">
        <v>215</v>
      </c>
      <c r="F441" s="1523"/>
      <c r="G441" s="1667">
        <v>221</v>
      </c>
      <c r="H441" s="1851">
        <f t="shared" si="323"/>
        <v>201.60000000000002</v>
      </c>
      <c r="I441" s="1851">
        <f t="shared" si="323"/>
        <v>0</v>
      </c>
      <c r="J441" s="1851">
        <f t="shared" si="323"/>
        <v>0</v>
      </c>
      <c r="K441" s="1851">
        <f t="shared" si="323"/>
        <v>0</v>
      </c>
      <c r="L441" s="1851">
        <f t="shared" si="323"/>
        <v>0</v>
      </c>
      <c r="M441" s="1851">
        <f t="shared" si="323"/>
        <v>0</v>
      </c>
      <c r="N441" s="1851">
        <f t="shared" si="323"/>
        <v>0</v>
      </c>
      <c r="O441" s="1851">
        <f t="shared" si="323"/>
        <v>0</v>
      </c>
      <c r="P441" s="1851">
        <f t="shared" si="323"/>
        <v>0</v>
      </c>
      <c r="Q441" s="1851">
        <f t="shared" si="323"/>
        <v>0</v>
      </c>
      <c r="R441" s="1933">
        <f t="shared" si="323"/>
        <v>0</v>
      </c>
      <c r="S441" s="1933">
        <f t="shared" si="323"/>
        <v>0</v>
      </c>
      <c r="T441" s="1504"/>
      <c r="U441" s="1505"/>
      <c r="V441" s="1505"/>
      <c r="W441" s="1506"/>
      <c r="X441" s="1506"/>
      <c r="Y441" s="1506"/>
      <c r="Z441" s="1507"/>
      <c r="AA441" s="1506"/>
      <c r="AB441" s="1506"/>
      <c r="AC441" s="1545">
        <f t="shared" si="325"/>
        <v>201.6</v>
      </c>
      <c r="AD441" s="1545">
        <f t="shared" si="325"/>
        <v>0</v>
      </c>
      <c r="AE441" s="1545">
        <f t="shared" si="325"/>
        <v>0</v>
      </c>
      <c r="AF441" s="1545">
        <f t="shared" si="325"/>
        <v>0</v>
      </c>
      <c r="AG441" s="1545">
        <f t="shared" si="325"/>
        <v>0</v>
      </c>
      <c r="AH441" s="1545">
        <f t="shared" si="325"/>
        <v>184.90000000000003</v>
      </c>
      <c r="AI441" s="1510">
        <f t="shared" si="325"/>
        <v>0</v>
      </c>
      <c r="AJ441" s="1510">
        <f t="shared" si="325"/>
        <v>0</v>
      </c>
      <c r="AK441" s="1510">
        <f t="shared" si="325"/>
        <v>0</v>
      </c>
      <c r="AL441" s="1636">
        <f t="shared" si="300"/>
        <v>0</v>
      </c>
      <c r="AM441" s="1510">
        <f t="shared" si="325"/>
        <v>0</v>
      </c>
      <c r="AN441" s="1511"/>
      <c r="AO441" s="1511">
        <f t="shared" si="325"/>
        <v>16.7</v>
      </c>
      <c r="AP441" s="1511">
        <f t="shared" si="325"/>
        <v>0</v>
      </c>
      <c r="AQ441" s="1511">
        <f t="shared" si="325"/>
        <v>0</v>
      </c>
      <c r="AR441" s="1511">
        <f t="shared" si="325"/>
        <v>0</v>
      </c>
      <c r="AS441" s="1507">
        <f t="shared" si="325"/>
        <v>0</v>
      </c>
      <c r="AT441" s="1511">
        <f t="shared" si="325"/>
        <v>0</v>
      </c>
      <c r="AU441" s="1511">
        <f t="shared" si="325"/>
        <v>0</v>
      </c>
      <c r="AV441" s="1511">
        <f t="shared" si="325"/>
        <v>0</v>
      </c>
      <c r="AW441" s="1507">
        <f t="shared" si="325"/>
        <v>0</v>
      </c>
      <c r="AX441" s="1511">
        <f t="shared" si="325"/>
        <v>0</v>
      </c>
      <c r="AY441" s="1511">
        <f t="shared" si="325"/>
        <v>0</v>
      </c>
      <c r="AZ441" s="1511">
        <f t="shared" si="325"/>
        <v>0</v>
      </c>
      <c r="BA441" s="1511">
        <f t="shared" si="325"/>
        <v>0</v>
      </c>
      <c r="BB441" s="1511">
        <f t="shared" si="325"/>
        <v>0</v>
      </c>
      <c r="BC441" s="1511">
        <f t="shared" si="325"/>
        <v>0</v>
      </c>
      <c r="BD441" s="1511">
        <f t="shared" si="325"/>
        <v>0</v>
      </c>
      <c r="BE441" s="1511">
        <f t="shared" si="325"/>
        <v>0</v>
      </c>
      <c r="BF441" s="1511">
        <f t="shared" si="325"/>
        <v>0</v>
      </c>
      <c r="BG441" s="1511">
        <f t="shared" si="325"/>
        <v>0</v>
      </c>
      <c r="BH441" s="1511">
        <f t="shared" si="325"/>
        <v>0</v>
      </c>
      <c r="BI441" s="1511">
        <f t="shared" si="325"/>
        <v>0</v>
      </c>
      <c r="BJ441" s="1511">
        <f t="shared" si="325"/>
        <v>0</v>
      </c>
      <c r="BK441" s="1511">
        <f t="shared" si="325"/>
        <v>0</v>
      </c>
      <c r="BL441" s="1511">
        <f t="shared" si="325"/>
        <v>0</v>
      </c>
      <c r="BM441" s="1511">
        <f t="shared" si="325"/>
        <v>0</v>
      </c>
      <c r="BN441" s="1511">
        <f t="shared" si="325"/>
        <v>0</v>
      </c>
      <c r="BO441" s="1511">
        <f t="shared" si="325"/>
        <v>0</v>
      </c>
      <c r="BP441" s="1511">
        <f t="shared" si="325"/>
        <v>0</v>
      </c>
      <c r="BQ441" s="1511">
        <f t="shared" si="325"/>
        <v>0</v>
      </c>
      <c r="BR441" s="1511">
        <f t="shared" si="325"/>
        <v>0</v>
      </c>
      <c r="BS441" s="1511">
        <f t="shared" si="325"/>
        <v>0</v>
      </c>
      <c r="BT441" s="1511">
        <f t="shared" si="325"/>
        <v>0</v>
      </c>
      <c r="BU441" s="1511">
        <f t="shared" si="325"/>
        <v>0</v>
      </c>
      <c r="BV441" s="1511">
        <f t="shared" si="325"/>
        <v>0</v>
      </c>
      <c r="BW441" s="1511">
        <f t="shared" si="325"/>
        <v>0</v>
      </c>
      <c r="BX441" s="1511">
        <f t="shared" si="325"/>
        <v>0</v>
      </c>
      <c r="BY441" s="1511">
        <f t="shared" si="325"/>
        <v>0</v>
      </c>
      <c r="BZ441" s="1511">
        <f t="shared" si="325"/>
        <v>0</v>
      </c>
      <c r="CA441" s="1511">
        <f t="shared" si="325"/>
        <v>0</v>
      </c>
      <c r="CB441" s="1511">
        <f t="shared" si="325"/>
        <v>0</v>
      </c>
      <c r="CC441" s="1511">
        <f t="shared" si="325"/>
        <v>0</v>
      </c>
      <c r="CD441" s="1511">
        <f t="shared" si="325"/>
        <v>0</v>
      </c>
      <c r="CE441" s="1511">
        <f t="shared" si="325"/>
        <v>0</v>
      </c>
      <c r="CF441" s="1511">
        <f t="shared" si="325"/>
        <v>0</v>
      </c>
      <c r="CG441" s="1596"/>
      <c r="CH441" s="1511">
        <f t="shared" si="325"/>
        <v>184.90000000000003</v>
      </c>
      <c r="CI441" s="1511">
        <f t="shared" si="325"/>
        <v>0</v>
      </c>
      <c r="CJ441" s="1511">
        <f t="shared" si="325"/>
        <v>0</v>
      </c>
      <c r="CK441" s="1511">
        <f t="shared" si="325"/>
        <v>0</v>
      </c>
      <c r="CL441" s="1558"/>
      <c r="CM441" s="1558"/>
      <c r="CN441" s="1558"/>
      <c r="CO441" s="1558"/>
      <c r="CP441" s="1558"/>
      <c r="CQ441" s="1558"/>
      <c r="CR441" s="1558"/>
      <c r="CS441" s="1558"/>
      <c r="CT441" s="1558"/>
      <c r="CU441" s="1558"/>
      <c r="CV441" s="1558"/>
      <c r="CW441" s="1558"/>
      <c r="CX441" s="1558">
        <f>SUM(CX438:CX440)</f>
        <v>-8473.5300000000097</v>
      </c>
      <c r="CY441" s="1558"/>
    </row>
    <row r="442" spans="1:104" s="1559" customFormat="1" ht="15" customHeight="1" x14ac:dyDescent="0.15">
      <c r="A442" s="1541" t="s">
        <v>86</v>
      </c>
      <c r="B442" s="1523" t="s">
        <v>79</v>
      </c>
      <c r="C442" s="1523" t="s">
        <v>80</v>
      </c>
      <c r="D442" s="1523" t="s">
        <v>125</v>
      </c>
      <c r="E442" s="1523" t="s">
        <v>215</v>
      </c>
      <c r="F442" s="1523"/>
      <c r="G442" s="1667">
        <v>222</v>
      </c>
      <c r="H442" s="1851">
        <f t="shared" si="323"/>
        <v>40</v>
      </c>
      <c r="I442" s="1851">
        <f t="shared" si="323"/>
        <v>150</v>
      </c>
      <c r="J442" s="1851">
        <f t="shared" si="323"/>
        <v>0</v>
      </c>
      <c r="K442" s="1851">
        <f t="shared" si="323"/>
        <v>0</v>
      </c>
      <c r="L442" s="1851">
        <f t="shared" si="323"/>
        <v>0</v>
      </c>
      <c r="M442" s="1851">
        <f t="shared" si="323"/>
        <v>0</v>
      </c>
      <c r="N442" s="1851">
        <f t="shared" si="323"/>
        <v>0</v>
      </c>
      <c r="O442" s="1851">
        <f t="shared" si="323"/>
        <v>0</v>
      </c>
      <c r="P442" s="1851">
        <f t="shared" si="323"/>
        <v>0</v>
      </c>
      <c r="Q442" s="1851">
        <f t="shared" si="323"/>
        <v>0</v>
      </c>
      <c r="R442" s="1933">
        <f t="shared" si="323"/>
        <v>0</v>
      </c>
      <c r="S442" s="1933">
        <f t="shared" si="323"/>
        <v>0</v>
      </c>
      <c r="T442" s="1504"/>
      <c r="U442" s="1505"/>
      <c r="V442" s="1505"/>
      <c r="W442" s="1506"/>
      <c r="X442" s="1506"/>
      <c r="Y442" s="1506"/>
      <c r="Z442" s="1507"/>
      <c r="AA442" s="1506"/>
      <c r="AB442" s="1506"/>
      <c r="AC442" s="1545">
        <f t="shared" si="325"/>
        <v>40</v>
      </c>
      <c r="AD442" s="1545">
        <f t="shared" si="325"/>
        <v>150</v>
      </c>
      <c r="AE442" s="1545">
        <f t="shared" si="325"/>
        <v>150</v>
      </c>
      <c r="AF442" s="1545">
        <f t="shared" si="325"/>
        <v>0</v>
      </c>
      <c r="AG442" s="1545">
        <f t="shared" si="325"/>
        <v>0</v>
      </c>
      <c r="AH442" s="1545">
        <f t="shared" si="325"/>
        <v>36.700000000000003</v>
      </c>
      <c r="AI442" s="1510">
        <f t="shared" si="325"/>
        <v>0</v>
      </c>
      <c r="AJ442" s="1510">
        <f t="shared" si="325"/>
        <v>0</v>
      </c>
      <c r="AK442" s="1510">
        <f t="shared" si="325"/>
        <v>0</v>
      </c>
      <c r="AL442" s="1636">
        <f t="shared" si="300"/>
        <v>0</v>
      </c>
      <c r="AM442" s="1510">
        <f t="shared" si="325"/>
        <v>0</v>
      </c>
      <c r="AN442" s="1511"/>
      <c r="AO442" s="1511">
        <f t="shared" si="325"/>
        <v>3.3</v>
      </c>
      <c r="AP442" s="1511">
        <f t="shared" si="325"/>
        <v>0</v>
      </c>
      <c r="AQ442" s="1511">
        <f t="shared" si="325"/>
        <v>0</v>
      </c>
      <c r="AR442" s="1511">
        <f t="shared" si="325"/>
        <v>0</v>
      </c>
      <c r="AS442" s="1507">
        <f t="shared" si="325"/>
        <v>0</v>
      </c>
      <c r="AT442" s="1511">
        <f t="shared" si="325"/>
        <v>0</v>
      </c>
      <c r="AU442" s="1511">
        <f t="shared" si="325"/>
        <v>0</v>
      </c>
      <c r="AV442" s="1511">
        <f t="shared" si="325"/>
        <v>0</v>
      </c>
      <c r="AW442" s="1507">
        <f t="shared" si="325"/>
        <v>0</v>
      </c>
      <c r="AX442" s="1511">
        <f t="shared" si="325"/>
        <v>0</v>
      </c>
      <c r="AY442" s="1511">
        <f t="shared" si="325"/>
        <v>0</v>
      </c>
      <c r="AZ442" s="1511">
        <f t="shared" si="325"/>
        <v>0</v>
      </c>
      <c r="BA442" s="1511">
        <f t="shared" si="325"/>
        <v>0</v>
      </c>
      <c r="BB442" s="1511">
        <f t="shared" ref="BB442:CK442" si="326">BB458+BB474+BB490+BB506</f>
        <v>0</v>
      </c>
      <c r="BC442" s="1511">
        <f t="shared" si="326"/>
        <v>0</v>
      </c>
      <c r="BD442" s="1511">
        <f t="shared" si="326"/>
        <v>0</v>
      </c>
      <c r="BE442" s="1511">
        <f t="shared" si="326"/>
        <v>0</v>
      </c>
      <c r="BF442" s="1511">
        <f t="shared" si="326"/>
        <v>0</v>
      </c>
      <c r="BG442" s="1511">
        <f t="shared" si="326"/>
        <v>0</v>
      </c>
      <c r="BH442" s="1511">
        <f t="shared" si="326"/>
        <v>0</v>
      </c>
      <c r="BI442" s="1511">
        <f t="shared" si="326"/>
        <v>0</v>
      </c>
      <c r="BJ442" s="1511">
        <f t="shared" si="326"/>
        <v>0</v>
      </c>
      <c r="BK442" s="1511">
        <f t="shared" si="326"/>
        <v>0</v>
      </c>
      <c r="BL442" s="1511">
        <f t="shared" si="326"/>
        <v>0</v>
      </c>
      <c r="BM442" s="1511">
        <f t="shared" si="326"/>
        <v>0</v>
      </c>
      <c r="BN442" s="1511">
        <f t="shared" si="326"/>
        <v>0</v>
      </c>
      <c r="BO442" s="1511">
        <f t="shared" si="326"/>
        <v>0</v>
      </c>
      <c r="BP442" s="1511">
        <f t="shared" si="326"/>
        <v>0</v>
      </c>
      <c r="BQ442" s="1511">
        <f t="shared" si="326"/>
        <v>0</v>
      </c>
      <c r="BR442" s="1511">
        <f t="shared" si="326"/>
        <v>0</v>
      </c>
      <c r="BS442" s="1511">
        <f t="shared" si="326"/>
        <v>0</v>
      </c>
      <c r="BT442" s="1511">
        <f t="shared" si="326"/>
        <v>0</v>
      </c>
      <c r="BU442" s="1511">
        <f t="shared" si="326"/>
        <v>0</v>
      </c>
      <c r="BV442" s="1511">
        <f t="shared" si="326"/>
        <v>0</v>
      </c>
      <c r="BW442" s="1511">
        <f t="shared" si="326"/>
        <v>0</v>
      </c>
      <c r="BX442" s="1511">
        <f t="shared" si="326"/>
        <v>0</v>
      </c>
      <c r="BY442" s="1511">
        <f t="shared" si="326"/>
        <v>0</v>
      </c>
      <c r="BZ442" s="1511">
        <f t="shared" si="326"/>
        <v>0</v>
      </c>
      <c r="CA442" s="1511">
        <f t="shared" si="326"/>
        <v>0</v>
      </c>
      <c r="CB442" s="1511">
        <f t="shared" si="326"/>
        <v>0</v>
      </c>
      <c r="CC442" s="1511">
        <f t="shared" si="326"/>
        <v>0</v>
      </c>
      <c r="CD442" s="1511">
        <f t="shared" si="326"/>
        <v>0</v>
      </c>
      <c r="CE442" s="1511">
        <f t="shared" si="326"/>
        <v>0</v>
      </c>
      <c r="CF442" s="1511">
        <f t="shared" si="326"/>
        <v>0</v>
      </c>
      <c r="CG442" s="1596"/>
      <c r="CH442" s="1511">
        <f t="shared" si="326"/>
        <v>36.700000000000003</v>
      </c>
      <c r="CI442" s="1511">
        <f t="shared" si="326"/>
        <v>150</v>
      </c>
      <c r="CJ442" s="1511">
        <f t="shared" si="326"/>
        <v>0</v>
      </c>
      <c r="CK442" s="1511">
        <f t="shared" si="326"/>
        <v>0</v>
      </c>
      <c r="CL442" s="1558"/>
      <c r="CM442" s="1558"/>
      <c r="CN442" s="1558"/>
      <c r="CO442" s="1558"/>
      <c r="CP442" s="1558"/>
      <c r="CQ442" s="1558"/>
      <c r="CR442" s="1558"/>
      <c r="CS442" s="1558"/>
      <c r="CT442" s="1558"/>
      <c r="CU442" s="1558"/>
      <c r="CV442" s="1558"/>
      <c r="CW442" s="1558"/>
      <c r="CX442" s="1558">
        <f>4196.6-CX441</f>
        <v>12670.13000000001</v>
      </c>
      <c r="CY442" s="1558"/>
    </row>
    <row r="443" spans="1:104" s="1559" customFormat="1" x14ac:dyDescent="0.15">
      <c r="A443" s="1541" t="s">
        <v>87</v>
      </c>
      <c r="B443" s="1523" t="s">
        <v>79</v>
      </c>
      <c r="C443" s="1523" t="s">
        <v>80</v>
      </c>
      <c r="D443" s="1523" t="s">
        <v>125</v>
      </c>
      <c r="E443" s="1523" t="s">
        <v>215</v>
      </c>
      <c r="F443" s="1523"/>
      <c r="G443" s="1667">
        <v>223</v>
      </c>
      <c r="H443" s="1851">
        <f t="shared" si="323"/>
        <v>2681.5999999999995</v>
      </c>
      <c r="I443" s="1851">
        <f t="shared" si="323"/>
        <v>0</v>
      </c>
      <c r="J443" s="1851">
        <f t="shared" si="323"/>
        <v>0</v>
      </c>
      <c r="K443" s="1851">
        <f t="shared" si="323"/>
        <v>0</v>
      </c>
      <c r="L443" s="1851">
        <f t="shared" si="323"/>
        <v>0</v>
      </c>
      <c r="M443" s="1851">
        <f t="shared" si="323"/>
        <v>0</v>
      </c>
      <c r="N443" s="1851">
        <f t="shared" si="323"/>
        <v>0</v>
      </c>
      <c r="O443" s="1851">
        <f t="shared" si="323"/>
        <v>0</v>
      </c>
      <c r="P443" s="1851">
        <f t="shared" si="323"/>
        <v>0</v>
      </c>
      <c r="Q443" s="1851">
        <f t="shared" si="323"/>
        <v>0</v>
      </c>
      <c r="R443" s="1933">
        <f t="shared" si="323"/>
        <v>0</v>
      </c>
      <c r="S443" s="1933">
        <f t="shared" si="323"/>
        <v>0</v>
      </c>
      <c r="T443" s="1504"/>
      <c r="U443" s="1505"/>
      <c r="V443" s="1505"/>
      <c r="W443" s="1506"/>
      <c r="X443" s="1506"/>
      <c r="Y443" s="1506"/>
      <c r="Z443" s="1507"/>
      <c r="AA443" s="1506"/>
      <c r="AB443" s="1506"/>
      <c r="AC443" s="1545">
        <f t="shared" ref="AC443:CK447" si="327">AC459+AC475+AC491+AC507</f>
        <v>2681.5999999999995</v>
      </c>
      <c r="AD443" s="1545">
        <f t="shared" si="327"/>
        <v>0</v>
      </c>
      <c r="AE443" s="1545">
        <f t="shared" si="327"/>
        <v>0</v>
      </c>
      <c r="AF443" s="1545">
        <f t="shared" si="327"/>
        <v>0</v>
      </c>
      <c r="AG443" s="1545">
        <f t="shared" si="327"/>
        <v>0</v>
      </c>
      <c r="AH443" s="1545">
        <f t="shared" si="327"/>
        <v>722.97</v>
      </c>
      <c r="AI443" s="1510">
        <f t="shared" si="327"/>
        <v>0</v>
      </c>
      <c r="AJ443" s="1510">
        <f t="shared" si="327"/>
        <v>0</v>
      </c>
      <c r="AK443" s="1510">
        <f t="shared" si="327"/>
        <v>0</v>
      </c>
      <c r="AL443" s="1636">
        <f t="shared" si="300"/>
        <v>0</v>
      </c>
      <c r="AM443" s="1510">
        <f t="shared" si="327"/>
        <v>0</v>
      </c>
      <c r="AN443" s="1511"/>
      <c r="AO443" s="1511">
        <f t="shared" si="327"/>
        <v>227.10000000000002</v>
      </c>
      <c r="AP443" s="1511">
        <f t="shared" si="327"/>
        <v>0</v>
      </c>
      <c r="AQ443" s="1511">
        <f t="shared" si="327"/>
        <v>0</v>
      </c>
      <c r="AR443" s="1511">
        <f t="shared" si="327"/>
        <v>0</v>
      </c>
      <c r="AS443" s="1507">
        <f t="shared" si="327"/>
        <v>227</v>
      </c>
      <c r="AT443" s="1511">
        <f t="shared" si="327"/>
        <v>0</v>
      </c>
      <c r="AU443" s="1511">
        <f t="shared" si="327"/>
        <v>0</v>
      </c>
      <c r="AV443" s="1511">
        <f t="shared" si="327"/>
        <v>0</v>
      </c>
      <c r="AW443" s="1507">
        <f t="shared" si="327"/>
        <v>0</v>
      </c>
      <c r="AX443" s="1511">
        <f t="shared" si="327"/>
        <v>0</v>
      </c>
      <c r="AY443" s="1511">
        <f t="shared" si="327"/>
        <v>0</v>
      </c>
      <c r="AZ443" s="1511">
        <f t="shared" si="327"/>
        <v>0</v>
      </c>
      <c r="BA443" s="1511">
        <f t="shared" si="327"/>
        <v>0</v>
      </c>
      <c r="BB443" s="1511">
        <f t="shared" si="327"/>
        <v>0</v>
      </c>
      <c r="BC443" s="1511">
        <f t="shared" si="327"/>
        <v>0</v>
      </c>
      <c r="BD443" s="1511">
        <f t="shared" si="327"/>
        <v>0</v>
      </c>
      <c r="BE443" s="1511">
        <f t="shared" si="327"/>
        <v>554.13</v>
      </c>
      <c r="BF443" s="1511">
        <f t="shared" si="327"/>
        <v>0</v>
      </c>
      <c r="BG443" s="1511">
        <f t="shared" si="327"/>
        <v>0</v>
      </c>
      <c r="BH443" s="1511">
        <f t="shared" si="327"/>
        <v>0</v>
      </c>
      <c r="BI443" s="1511">
        <f t="shared" si="327"/>
        <v>277.10000000000002</v>
      </c>
      <c r="BJ443" s="1511">
        <f t="shared" si="327"/>
        <v>0</v>
      </c>
      <c r="BK443" s="1511">
        <f t="shared" si="327"/>
        <v>0</v>
      </c>
      <c r="BL443" s="1511">
        <f t="shared" si="327"/>
        <v>0</v>
      </c>
      <c r="BM443" s="1511">
        <f t="shared" si="327"/>
        <v>0</v>
      </c>
      <c r="BN443" s="1511">
        <f t="shared" si="327"/>
        <v>0</v>
      </c>
      <c r="BO443" s="1511">
        <f t="shared" si="327"/>
        <v>0</v>
      </c>
      <c r="BP443" s="1511">
        <f t="shared" si="327"/>
        <v>0</v>
      </c>
      <c r="BQ443" s="1511">
        <f t="shared" si="327"/>
        <v>277</v>
      </c>
      <c r="BR443" s="1511">
        <f t="shared" si="327"/>
        <v>0</v>
      </c>
      <c r="BS443" s="1511">
        <f t="shared" si="327"/>
        <v>0</v>
      </c>
      <c r="BT443" s="1511">
        <f t="shared" si="327"/>
        <v>0</v>
      </c>
      <c r="BU443" s="1511">
        <f t="shared" si="327"/>
        <v>42.3</v>
      </c>
      <c r="BV443" s="1511">
        <f t="shared" si="327"/>
        <v>0</v>
      </c>
      <c r="BW443" s="1511">
        <f t="shared" si="327"/>
        <v>0</v>
      </c>
      <c r="BX443" s="1511">
        <f t="shared" si="327"/>
        <v>0</v>
      </c>
      <c r="BY443" s="1511">
        <f t="shared" si="327"/>
        <v>354</v>
      </c>
      <c r="BZ443" s="1511">
        <f t="shared" si="327"/>
        <v>0</v>
      </c>
      <c r="CA443" s="1511">
        <f t="shared" si="327"/>
        <v>0</v>
      </c>
      <c r="CB443" s="1511">
        <f t="shared" si="327"/>
        <v>0</v>
      </c>
      <c r="CC443" s="1511">
        <f t="shared" si="327"/>
        <v>0</v>
      </c>
      <c r="CD443" s="1511">
        <f t="shared" si="327"/>
        <v>0</v>
      </c>
      <c r="CE443" s="1511">
        <f t="shared" si="327"/>
        <v>0</v>
      </c>
      <c r="CF443" s="1511">
        <f t="shared" si="327"/>
        <v>0</v>
      </c>
      <c r="CG443" s="1596"/>
      <c r="CH443" s="1511">
        <f t="shared" si="327"/>
        <v>722.97</v>
      </c>
      <c r="CI443" s="1511">
        <f t="shared" si="327"/>
        <v>0</v>
      </c>
      <c r="CJ443" s="1511">
        <f t="shared" si="327"/>
        <v>0</v>
      </c>
      <c r="CK443" s="1511">
        <f t="shared" si="327"/>
        <v>0</v>
      </c>
      <c r="CL443" s="1558"/>
      <c r="CM443" s="1558"/>
      <c r="CN443" s="1558"/>
      <c r="CO443" s="1558">
        <f>554/1077</f>
        <v>0.51439182915506032</v>
      </c>
      <c r="CP443" s="1510">
        <f>CP459+CP475+CP491+CP507</f>
        <v>0</v>
      </c>
      <c r="CQ443" s="1558"/>
      <c r="CR443" s="1558"/>
      <c r="CS443" s="1558"/>
      <c r="CT443" s="1558"/>
      <c r="CU443" s="1558"/>
      <c r="CV443" s="1558"/>
      <c r="CW443" s="1558"/>
      <c r="CY443" s="1558"/>
    </row>
    <row r="444" spans="1:104" s="1559" customFormat="1" x14ac:dyDescent="0.15">
      <c r="A444" s="1541" t="s">
        <v>134</v>
      </c>
      <c r="B444" s="1523" t="s">
        <v>79</v>
      </c>
      <c r="C444" s="1523" t="s">
        <v>80</v>
      </c>
      <c r="D444" s="1523" t="s">
        <v>125</v>
      </c>
      <c r="E444" s="1523" t="s">
        <v>215</v>
      </c>
      <c r="F444" s="1523"/>
      <c r="G444" s="1667">
        <v>224</v>
      </c>
      <c r="H444" s="1851">
        <f t="shared" si="323"/>
        <v>600</v>
      </c>
      <c r="I444" s="1851">
        <f t="shared" si="323"/>
        <v>0</v>
      </c>
      <c r="J444" s="1851">
        <f t="shared" si="323"/>
        <v>0</v>
      </c>
      <c r="K444" s="1851">
        <f t="shared" si="323"/>
        <v>0</v>
      </c>
      <c r="L444" s="1851">
        <f t="shared" si="323"/>
        <v>0</v>
      </c>
      <c r="M444" s="1851">
        <f t="shared" si="323"/>
        <v>0</v>
      </c>
      <c r="N444" s="1851">
        <f t="shared" si="323"/>
        <v>0</v>
      </c>
      <c r="O444" s="1851">
        <f t="shared" si="323"/>
        <v>0</v>
      </c>
      <c r="P444" s="1851">
        <f t="shared" si="323"/>
        <v>0</v>
      </c>
      <c r="Q444" s="1851">
        <f t="shared" si="323"/>
        <v>0</v>
      </c>
      <c r="R444" s="1933">
        <f t="shared" si="323"/>
        <v>0</v>
      </c>
      <c r="S444" s="1933">
        <f t="shared" si="323"/>
        <v>0</v>
      </c>
      <c r="T444" s="1504"/>
      <c r="U444" s="1505"/>
      <c r="V444" s="1505"/>
      <c r="W444" s="1506"/>
      <c r="X444" s="1506"/>
      <c r="Y444" s="1506"/>
      <c r="Z444" s="1507"/>
      <c r="AA444" s="1506"/>
      <c r="AB444" s="1506"/>
      <c r="AC444" s="1545">
        <f t="shared" si="327"/>
        <v>600</v>
      </c>
      <c r="AD444" s="1545">
        <f t="shared" si="327"/>
        <v>0</v>
      </c>
      <c r="AE444" s="1545">
        <f t="shared" si="327"/>
        <v>0</v>
      </c>
      <c r="AF444" s="1545">
        <f t="shared" si="327"/>
        <v>0</v>
      </c>
      <c r="AG444" s="1545">
        <f t="shared" si="327"/>
        <v>0</v>
      </c>
      <c r="AH444" s="1545">
        <f t="shared" si="327"/>
        <v>294</v>
      </c>
      <c r="AI444" s="1510">
        <f t="shared" si="327"/>
        <v>0</v>
      </c>
      <c r="AJ444" s="1510">
        <f t="shared" si="327"/>
        <v>0</v>
      </c>
      <c r="AK444" s="1510">
        <f t="shared" si="327"/>
        <v>0</v>
      </c>
      <c r="AL444" s="1636">
        <f t="shared" si="300"/>
        <v>0</v>
      </c>
      <c r="AM444" s="1510">
        <f t="shared" si="327"/>
        <v>0</v>
      </c>
      <c r="AN444" s="1511"/>
      <c r="AO444" s="1511">
        <f t="shared" si="327"/>
        <v>50</v>
      </c>
      <c r="AP444" s="1511">
        <f t="shared" si="327"/>
        <v>0</v>
      </c>
      <c r="AQ444" s="1511">
        <f t="shared" si="327"/>
        <v>0</v>
      </c>
      <c r="AR444" s="1511">
        <f t="shared" si="327"/>
        <v>0</v>
      </c>
      <c r="AS444" s="1507">
        <f t="shared" si="327"/>
        <v>50</v>
      </c>
      <c r="AT444" s="1511">
        <f t="shared" si="327"/>
        <v>0</v>
      </c>
      <c r="AU444" s="1511">
        <f t="shared" si="327"/>
        <v>0</v>
      </c>
      <c r="AV444" s="1511">
        <f t="shared" si="327"/>
        <v>0</v>
      </c>
      <c r="AW444" s="1507">
        <f t="shared" si="327"/>
        <v>0</v>
      </c>
      <c r="AX444" s="1511">
        <f t="shared" si="327"/>
        <v>0</v>
      </c>
      <c r="AY444" s="1511">
        <f t="shared" si="327"/>
        <v>0</v>
      </c>
      <c r="AZ444" s="1511">
        <f t="shared" si="327"/>
        <v>0</v>
      </c>
      <c r="BA444" s="1511">
        <f t="shared" si="327"/>
        <v>0</v>
      </c>
      <c r="BB444" s="1511">
        <f t="shared" si="327"/>
        <v>0</v>
      </c>
      <c r="BC444" s="1511">
        <f t="shared" si="327"/>
        <v>0</v>
      </c>
      <c r="BD444" s="1511">
        <f t="shared" si="327"/>
        <v>0</v>
      </c>
      <c r="BE444" s="1511">
        <f t="shared" si="327"/>
        <v>0</v>
      </c>
      <c r="BF444" s="1511">
        <f t="shared" si="327"/>
        <v>0</v>
      </c>
      <c r="BG444" s="1511">
        <f t="shared" si="327"/>
        <v>0</v>
      </c>
      <c r="BH444" s="1511">
        <f t="shared" si="327"/>
        <v>0</v>
      </c>
      <c r="BI444" s="1511">
        <f t="shared" si="327"/>
        <v>0</v>
      </c>
      <c r="BJ444" s="1511">
        <f t="shared" si="327"/>
        <v>0</v>
      </c>
      <c r="BK444" s="1511">
        <f t="shared" si="327"/>
        <v>0</v>
      </c>
      <c r="BL444" s="1511">
        <f t="shared" si="327"/>
        <v>0</v>
      </c>
      <c r="BM444" s="1511">
        <f t="shared" si="327"/>
        <v>0</v>
      </c>
      <c r="BN444" s="1511">
        <f t="shared" si="327"/>
        <v>0</v>
      </c>
      <c r="BO444" s="1511">
        <f t="shared" si="327"/>
        <v>0</v>
      </c>
      <c r="BP444" s="1511">
        <f t="shared" si="327"/>
        <v>0</v>
      </c>
      <c r="BQ444" s="1511">
        <f t="shared" si="327"/>
        <v>0</v>
      </c>
      <c r="BR444" s="1511">
        <f t="shared" si="327"/>
        <v>0</v>
      </c>
      <c r="BS444" s="1511">
        <f t="shared" si="327"/>
        <v>0</v>
      </c>
      <c r="BT444" s="1511">
        <f t="shared" si="327"/>
        <v>0</v>
      </c>
      <c r="BU444" s="1511">
        <f t="shared" si="327"/>
        <v>0</v>
      </c>
      <c r="BV444" s="1511">
        <f t="shared" si="327"/>
        <v>0</v>
      </c>
      <c r="BW444" s="1511">
        <f t="shared" si="327"/>
        <v>0</v>
      </c>
      <c r="BX444" s="1511">
        <f t="shared" si="327"/>
        <v>0</v>
      </c>
      <c r="BY444" s="1511">
        <f t="shared" si="327"/>
        <v>0</v>
      </c>
      <c r="BZ444" s="1511">
        <f t="shared" si="327"/>
        <v>0</v>
      </c>
      <c r="CA444" s="1511">
        <f t="shared" si="327"/>
        <v>0</v>
      </c>
      <c r="CB444" s="1511">
        <f t="shared" si="327"/>
        <v>0</v>
      </c>
      <c r="CC444" s="1511">
        <f t="shared" si="327"/>
        <v>206</v>
      </c>
      <c r="CD444" s="1511">
        <f t="shared" si="327"/>
        <v>0</v>
      </c>
      <c r="CE444" s="1511">
        <f t="shared" si="327"/>
        <v>0</v>
      </c>
      <c r="CF444" s="1511">
        <f t="shared" si="327"/>
        <v>0</v>
      </c>
      <c r="CG444" s="1596"/>
      <c r="CH444" s="1511">
        <f t="shared" si="327"/>
        <v>294</v>
      </c>
      <c r="CI444" s="1511">
        <f t="shared" si="327"/>
        <v>0</v>
      </c>
      <c r="CJ444" s="1511">
        <f t="shared" si="327"/>
        <v>0</v>
      </c>
      <c r="CK444" s="1511">
        <f t="shared" si="327"/>
        <v>0</v>
      </c>
      <c r="CL444" s="1558"/>
      <c r="CM444" s="1558"/>
      <c r="CN444" s="1558"/>
      <c r="CO444" s="1558"/>
      <c r="CP444" s="1558"/>
      <c r="CQ444" s="1558"/>
      <c r="CR444" s="1558"/>
      <c r="CS444" s="1558"/>
      <c r="CT444" s="1558"/>
      <c r="CU444" s="1558"/>
      <c r="CV444" s="1558"/>
      <c r="CW444" s="1558"/>
      <c r="CY444" s="1558"/>
    </row>
    <row r="445" spans="1:104" s="1559" customFormat="1" x14ac:dyDescent="0.15">
      <c r="A445" s="1541" t="s">
        <v>90</v>
      </c>
      <c r="B445" s="1523" t="s">
        <v>79</v>
      </c>
      <c r="C445" s="1523" t="s">
        <v>80</v>
      </c>
      <c r="D445" s="1523" t="s">
        <v>125</v>
      </c>
      <c r="E445" s="1523" t="s">
        <v>215</v>
      </c>
      <c r="F445" s="1523"/>
      <c r="G445" s="1667">
        <v>225</v>
      </c>
      <c r="H445" s="1851">
        <f t="shared" si="323"/>
        <v>10427.000000000002</v>
      </c>
      <c r="I445" s="1851">
        <f t="shared" si="323"/>
        <v>536.79999999999995</v>
      </c>
      <c r="J445" s="1851">
        <f t="shared" si="323"/>
        <v>1612.96</v>
      </c>
      <c r="K445" s="1851">
        <f t="shared" si="323"/>
        <v>0</v>
      </c>
      <c r="L445" s="1851">
        <f t="shared" si="323"/>
        <v>0</v>
      </c>
      <c r="M445" s="1851">
        <f t="shared" si="323"/>
        <v>0</v>
      </c>
      <c r="N445" s="1851">
        <f t="shared" si="323"/>
        <v>0</v>
      </c>
      <c r="O445" s="1851">
        <f t="shared" si="323"/>
        <v>0</v>
      </c>
      <c r="P445" s="1851">
        <f t="shared" si="323"/>
        <v>0</v>
      </c>
      <c r="Q445" s="1851">
        <f t="shared" si="323"/>
        <v>0</v>
      </c>
      <c r="R445" s="1933">
        <f t="shared" si="323"/>
        <v>0</v>
      </c>
      <c r="S445" s="1933">
        <f t="shared" si="323"/>
        <v>0</v>
      </c>
      <c r="T445" s="1504"/>
      <c r="U445" s="1505"/>
      <c r="V445" s="1505"/>
      <c r="W445" s="1506"/>
      <c r="X445" s="1506"/>
      <c r="Y445" s="1506"/>
      <c r="Z445" s="1507"/>
      <c r="AA445" s="1506"/>
      <c r="AB445" s="1506"/>
      <c r="AC445" s="1545">
        <f t="shared" si="327"/>
        <v>10427.000000000002</v>
      </c>
      <c r="AD445" s="1545">
        <f t="shared" si="327"/>
        <v>2149.7599999999998</v>
      </c>
      <c r="AE445" s="1545">
        <f t="shared" si="327"/>
        <v>536.79999999999995</v>
      </c>
      <c r="AF445" s="1545">
        <f t="shared" si="327"/>
        <v>1612.96</v>
      </c>
      <c r="AG445" s="1545">
        <f t="shared" si="327"/>
        <v>0</v>
      </c>
      <c r="AH445" s="1545">
        <f t="shared" si="327"/>
        <v>272</v>
      </c>
      <c r="AI445" s="1510">
        <f t="shared" si="327"/>
        <v>0</v>
      </c>
      <c r="AJ445" s="1510">
        <f t="shared" si="327"/>
        <v>0</v>
      </c>
      <c r="AK445" s="1510">
        <f t="shared" si="327"/>
        <v>0</v>
      </c>
      <c r="AL445" s="1636">
        <f t="shared" si="300"/>
        <v>0</v>
      </c>
      <c r="AM445" s="1510">
        <f t="shared" si="327"/>
        <v>0</v>
      </c>
      <c r="AN445" s="1511"/>
      <c r="AO445" s="1511">
        <f t="shared" si="327"/>
        <v>0</v>
      </c>
      <c r="AP445" s="1511">
        <f t="shared" si="327"/>
        <v>0</v>
      </c>
      <c r="AQ445" s="1511">
        <f t="shared" si="327"/>
        <v>0</v>
      </c>
      <c r="AR445" s="1511">
        <f t="shared" si="327"/>
        <v>0</v>
      </c>
      <c r="AS445" s="1507">
        <f t="shared" si="327"/>
        <v>0</v>
      </c>
      <c r="AT445" s="1511">
        <f t="shared" si="327"/>
        <v>0</v>
      </c>
      <c r="AU445" s="1511">
        <f t="shared" si="327"/>
        <v>0</v>
      </c>
      <c r="AV445" s="1511">
        <f t="shared" si="327"/>
        <v>0</v>
      </c>
      <c r="AW445" s="1507">
        <f t="shared" si="327"/>
        <v>0</v>
      </c>
      <c r="AX445" s="1511">
        <f t="shared" si="327"/>
        <v>0</v>
      </c>
      <c r="AY445" s="1511">
        <f t="shared" si="327"/>
        <v>0</v>
      </c>
      <c r="AZ445" s="1511">
        <f t="shared" si="327"/>
        <v>0</v>
      </c>
      <c r="BA445" s="1511">
        <f t="shared" si="327"/>
        <v>9900</v>
      </c>
      <c r="BB445" s="1511">
        <f t="shared" si="327"/>
        <v>0</v>
      </c>
      <c r="BC445" s="1511">
        <f t="shared" si="327"/>
        <v>0</v>
      </c>
      <c r="BD445" s="1511">
        <f t="shared" si="327"/>
        <v>0</v>
      </c>
      <c r="BE445" s="1511">
        <f t="shared" si="327"/>
        <v>0</v>
      </c>
      <c r="BF445" s="1511">
        <f t="shared" si="327"/>
        <v>0</v>
      </c>
      <c r="BG445" s="1511">
        <f t="shared" si="327"/>
        <v>0</v>
      </c>
      <c r="BH445" s="1511">
        <f t="shared" si="327"/>
        <v>0</v>
      </c>
      <c r="BI445" s="1511">
        <f t="shared" si="327"/>
        <v>0</v>
      </c>
      <c r="BJ445" s="1511">
        <f t="shared" si="327"/>
        <v>0</v>
      </c>
      <c r="BK445" s="1511">
        <f t="shared" si="327"/>
        <v>0</v>
      </c>
      <c r="BL445" s="1511">
        <f t="shared" si="327"/>
        <v>0</v>
      </c>
      <c r="BM445" s="1511">
        <f t="shared" si="327"/>
        <v>0</v>
      </c>
      <c r="BN445" s="1511">
        <f t="shared" si="327"/>
        <v>0</v>
      </c>
      <c r="BO445" s="1511">
        <f t="shared" si="327"/>
        <v>0</v>
      </c>
      <c r="BP445" s="1511">
        <f t="shared" si="327"/>
        <v>0</v>
      </c>
      <c r="BQ445" s="1511">
        <f t="shared" si="327"/>
        <v>255</v>
      </c>
      <c r="BR445" s="1511">
        <f t="shared" si="327"/>
        <v>0</v>
      </c>
      <c r="BS445" s="1511">
        <f t="shared" si="327"/>
        <v>0</v>
      </c>
      <c r="BT445" s="1511">
        <f t="shared" si="327"/>
        <v>0</v>
      </c>
      <c r="BU445" s="1511">
        <f t="shared" si="327"/>
        <v>0</v>
      </c>
      <c r="BV445" s="1511">
        <f t="shared" si="327"/>
        <v>0</v>
      </c>
      <c r="BW445" s="1511">
        <f t="shared" si="327"/>
        <v>0</v>
      </c>
      <c r="BX445" s="1511">
        <f t="shared" si="327"/>
        <v>0</v>
      </c>
      <c r="BY445" s="1511">
        <f t="shared" si="327"/>
        <v>0</v>
      </c>
      <c r="BZ445" s="1511">
        <f t="shared" si="327"/>
        <v>0</v>
      </c>
      <c r="CA445" s="1511">
        <f t="shared" si="327"/>
        <v>410</v>
      </c>
      <c r="CB445" s="1511">
        <f t="shared" si="327"/>
        <v>0</v>
      </c>
      <c r="CC445" s="1511">
        <f t="shared" si="327"/>
        <v>0</v>
      </c>
      <c r="CD445" s="1511">
        <f t="shared" si="327"/>
        <v>0</v>
      </c>
      <c r="CE445" s="1511">
        <f t="shared" si="327"/>
        <v>0</v>
      </c>
      <c r="CF445" s="1511">
        <f t="shared" si="327"/>
        <v>0</v>
      </c>
      <c r="CG445" s="1596"/>
      <c r="CH445" s="1511">
        <f t="shared" si="327"/>
        <v>272</v>
      </c>
      <c r="CI445" s="1511">
        <f t="shared" si="327"/>
        <v>536.79999999999995</v>
      </c>
      <c r="CJ445" s="1511">
        <f t="shared" si="327"/>
        <v>1202.96</v>
      </c>
      <c r="CK445" s="1511">
        <f t="shared" si="327"/>
        <v>0</v>
      </c>
      <c r="CL445" s="1558"/>
      <c r="CM445" s="1558"/>
      <c r="CN445" s="1558"/>
      <c r="CO445" s="1558"/>
      <c r="CP445" s="1558"/>
      <c r="CQ445" s="1558"/>
      <c r="CR445" s="1558"/>
      <c r="CS445" s="1558"/>
      <c r="CT445" s="1558"/>
      <c r="CU445" s="1558"/>
      <c r="CV445" s="1558"/>
      <c r="CW445" s="1558"/>
      <c r="CY445" s="1558"/>
    </row>
    <row r="446" spans="1:104" s="1559" customFormat="1" x14ac:dyDescent="0.15">
      <c r="A446" s="1541" t="s">
        <v>91</v>
      </c>
      <c r="B446" s="1523" t="s">
        <v>79</v>
      </c>
      <c r="C446" s="1523" t="s">
        <v>80</v>
      </c>
      <c r="D446" s="1523" t="s">
        <v>125</v>
      </c>
      <c r="E446" s="1523" t="s">
        <v>215</v>
      </c>
      <c r="F446" s="1523"/>
      <c r="G446" s="1667">
        <v>226</v>
      </c>
      <c r="H446" s="1851">
        <f t="shared" si="323"/>
        <v>1037.6379999999999</v>
      </c>
      <c r="I446" s="1851">
        <f t="shared" si="323"/>
        <v>4690</v>
      </c>
      <c r="J446" s="1851">
        <f t="shared" si="323"/>
        <v>0</v>
      </c>
      <c r="K446" s="1851">
        <f t="shared" si="323"/>
        <v>0</v>
      </c>
      <c r="L446" s="1851">
        <f t="shared" si="323"/>
        <v>0</v>
      </c>
      <c r="M446" s="1851">
        <f t="shared" si="323"/>
        <v>63</v>
      </c>
      <c r="N446" s="1851">
        <f t="shared" si="323"/>
        <v>300</v>
      </c>
      <c r="O446" s="1851">
        <f t="shared" si="323"/>
        <v>128.715</v>
      </c>
      <c r="P446" s="1851">
        <f t="shared" si="323"/>
        <v>0</v>
      </c>
      <c r="Q446" s="1851">
        <f t="shared" si="323"/>
        <v>0</v>
      </c>
      <c r="R446" s="1933">
        <f t="shared" si="323"/>
        <v>0</v>
      </c>
      <c r="S446" s="1933">
        <f t="shared" si="323"/>
        <v>5000</v>
      </c>
      <c r="T446" s="1504"/>
      <c r="U446" s="1505"/>
      <c r="V446" s="1505"/>
      <c r="W446" s="1506"/>
      <c r="X446" s="1506"/>
      <c r="Y446" s="1506"/>
      <c r="Z446" s="1507"/>
      <c r="AA446" s="1506"/>
      <c r="AB446" s="1506"/>
      <c r="AC446" s="1545">
        <f t="shared" si="327"/>
        <v>1037.6379999999999</v>
      </c>
      <c r="AD446" s="1545">
        <f t="shared" si="327"/>
        <v>4690</v>
      </c>
      <c r="AE446" s="1545">
        <f t="shared" si="327"/>
        <v>4690</v>
      </c>
      <c r="AF446" s="1545">
        <f t="shared" si="327"/>
        <v>0</v>
      </c>
      <c r="AG446" s="1545">
        <f t="shared" si="327"/>
        <v>0</v>
      </c>
      <c r="AH446" s="1545">
        <f t="shared" si="327"/>
        <v>698.84300000000007</v>
      </c>
      <c r="AI446" s="1510">
        <f t="shared" si="327"/>
        <v>0</v>
      </c>
      <c r="AJ446" s="1510">
        <f t="shared" si="327"/>
        <v>0</v>
      </c>
      <c r="AK446" s="1510">
        <f t="shared" si="327"/>
        <v>0</v>
      </c>
      <c r="AL446" s="1636">
        <f t="shared" si="300"/>
        <v>0</v>
      </c>
      <c r="AM446" s="1510">
        <f t="shared" si="327"/>
        <v>0</v>
      </c>
      <c r="AN446" s="1511"/>
      <c r="AO446" s="1511">
        <f t="shared" si="327"/>
        <v>0</v>
      </c>
      <c r="AP446" s="1511">
        <f t="shared" si="327"/>
        <v>25</v>
      </c>
      <c r="AQ446" s="1511">
        <f t="shared" si="327"/>
        <v>0</v>
      </c>
      <c r="AR446" s="1511">
        <f t="shared" si="327"/>
        <v>0</v>
      </c>
      <c r="AS446" s="1507">
        <f t="shared" si="327"/>
        <v>0</v>
      </c>
      <c r="AT446" s="1511">
        <f t="shared" si="327"/>
        <v>0</v>
      </c>
      <c r="AU446" s="1511">
        <f t="shared" si="327"/>
        <v>0</v>
      </c>
      <c r="AV446" s="1511">
        <f t="shared" si="327"/>
        <v>0</v>
      </c>
      <c r="AW446" s="1507">
        <f t="shared" si="327"/>
        <v>0</v>
      </c>
      <c r="AX446" s="1511">
        <f t="shared" si="327"/>
        <v>0</v>
      </c>
      <c r="AY446" s="1511">
        <f t="shared" si="327"/>
        <v>0</v>
      </c>
      <c r="AZ446" s="1511">
        <f t="shared" si="327"/>
        <v>0</v>
      </c>
      <c r="BA446" s="1511">
        <f t="shared" si="327"/>
        <v>0</v>
      </c>
      <c r="BB446" s="1511">
        <f t="shared" si="327"/>
        <v>0</v>
      </c>
      <c r="BC446" s="1511">
        <f t="shared" si="327"/>
        <v>0</v>
      </c>
      <c r="BD446" s="1511">
        <f t="shared" si="327"/>
        <v>0</v>
      </c>
      <c r="BE446" s="1511">
        <f t="shared" si="327"/>
        <v>0</v>
      </c>
      <c r="BF446" s="1511">
        <f t="shared" si="327"/>
        <v>0</v>
      </c>
      <c r="BG446" s="1511">
        <f t="shared" si="327"/>
        <v>0</v>
      </c>
      <c r="BH446" s="1511">
        <f t="shared" si="327"/>
        <v>0</v>
      </c>
      <c r="BI446" s="1511">
        <f t="shared" si="327"/>
        <v>0</v>
      </c>
      <c r="BJ446" s="1511">
        <f t="shared" si="327"/>
        <v>0</v>
      </c>
      <c r="BK446" s="1511">
        <f t="shared" si="327"/>
        <v>0</v>
      </c>
      <c r="BL446" s="1511">
        <f t="shared" si="327"/>
        <v>0</v>
      </c>
      <c r="BM446" s="1511">
        <f t="shared" si="327"/>
        <v>0</v>
      </c>
      <c r="BN446" s="1511">
        <f t="shared" si="327"/>
        <v>0</v>
      </c>
      <c r="BO446" s="1511">
        <f t="shared" si="327"/>
        <v>0</v>
      </c>
      <c r="BP446" s="1511">
        <f t="shared" si="327"/>
        <v>0</v>
      </c>
      <c r="BQ446" s="1511">
        <f t="shared" si="327"/>
        <v>140.19999999999999</v>
      </c>
      <c r="BR446" s="1511">
        <f t="shared" si="327"/>
        <v>0</v>
      </c>
      <c r="BS446" s="1511">
        <f t="shared" si="327"/>
        <v>0</v>
      </c>
      <c r="BT446" s="1511">
        <f t="shared" si="327"/>
        <v>0</v>
      </c>
      <c r="BU446" s="1511">
        <f t="shared" si="327"/>
        <v>165.8</v>
      </c>
      <c r="BV446" s="1511">
        <f t="shared" si="327"/>
        <v>200</v>
      </c>
      <c r="BW446" s="1511">
        <f t="shared" si="327"/>
        <v>0</v>
      </c>
      <c r="BX446" s="1511">
        <f t="shared" si="327"/>
        <v>0</v>
      </c>
      <c r="BY446" s="1511">
        <f t="shared" si="327"/>
        <v>161.51</v>
      </c>
      <c r="BZ446" s="1511">
        <f t="shared" si="327"/>
        <v>0</v>
      </c>
      <c r="CA446" s="1511">
        <f t="shared" si="327"/>
        <v>0</v>
      </c>
      <c r="CB446" s="1511">
        <f t="shared" si="327"/>
        <v>0</v>
      </c>
      <c r="CC446" s="1511">
        <f t="shared" si="327"/>
        <v>0</v>
      </c>
      <c r="CD446" s="1511">
        <f t="shared" si="327"/>
        <v>0</v>
      </c>
      <c r="CE446" s="1511">
        <f t="shared" si="327"/>
        <v>0</v>
      </c>
      <c r="CF446" s="1511">
        <f t="shared" si="327"/>
        <v>0</v>
      </c>
      <c r="CG446" s="1596"/>
      <c r="CH446" s="1511">
        <f t="shared" si="327"/>
        <v>570.12800000000004</v>
      </c>
      <c r="CI446" s="1511">
        <f t="shared" si="327"/>
        <v>4465</v>
      </c>
      <c r="CJ446" s="1511">
        <f t="shared" si="327"/>
        <v>0</v>
      </c>
      <c r="CK446" s="1511">
        <f t="shared" si="327"/>
        <v>0</v>
      </c>
      <c r="CL446" s="1558"/>
      <c r="CM446" s="1558"/>
      <c r="CN446" s="1558"/>
      <c r="CO446" s="1558"/>
      <c r="CP446" s="1558"/>
      <c r="CQ446" s="1558"/>
      <c r="CR446" s="1558"/>
      <c r="CS446" s="1558"/>
      <c r="CT446" s="1558"/>
      <c r="CU446" s="1558"/>
      <c r="CV446" s="1558"/>
      <c r="CW446" s="1558"/>
      <c r="CY446" s="1558"/>
    </row>
    <row r="447" spans="1:104" s="1559" customFormat="1" x14ac:dyDescent="0.15">
      <c r="A447" s="1541" t="s">
        <v>94</v>
      </c>
      <c r="B447" s="1523" t="s">
        <v>79</v>
      </c>
      <c r="C447" s="1523" t="s">
        <v>80</v>
      </c>
      <c r="D447" s="1523" t="s">
        <v>125</v>
      </c>
      <c r="E447" s="1523" t="s">
        <v>215</v>
      </c>
      <c r="F447" s="1523"/>
      <c r="G447" s="1667">
        <v>290</v>
      </c>
      <c r="H447" s="1851">
        <f t="shared" si="323"/>
        <v>1975.8039999999999</v>
      </c>
      <c r="I447" s="1851">
        <f t="shared" si="323"/>
        <v>150</v>
      </c>
      <c r="J447" s="1851">
        <f t="shared" si="323"/>
        <v>0</v>
      </c>
      <c r="K447" s="1851">
        <f t="shared" si="323"/>
        <v>0</v>
      </c>
      <c r="L447" s="1851">
        <f t="shared" si="323"/>
        <v>0</v>
      </c>
      <c r="M447" s="1851">
        <f t="shared" si="323"/>
        <v>0</v>
      </c>
      <c r="N447" s="1851">
        <f t="shared" si="323"/>
        <v>0</v>
      </c>
      <c r="O447" s="1851">
        <f t="shared" si="323"/>
        <v>0</v>
      </c>
      <c r="P447" s="1851">
        <f t="shared" si="323"/>
        <v>0</v>
      </c>
      <c r="Q447" s="1851">
        <f t="shared" si="323"/>
        <v>0</v>
      </c>
      <c r="R447" s="1933">
        <f t="shared" si="323"/>
        <v>0</v>
      </c>
      <c r="S447" s="1933">
        <f t="shared" si="323"/>
        <v>0</v>
      </c>
      <c r="T447" s="1504"/>
      <c r="U447" s="1505"/>
      <c r="V447" s="1505"/>
      <c r="W447" s="1506"/>
      <c r="X447" s="1506"/>
      <c r="Y447" s="1506"/>
      <c r="Z447" s="1507"/>
      <c r="AA447" s="1506"/>
      <c r="AB447" s="1506"/>
      <c r="AC447" s="1545">
        <f t="shared" si="327"/>
        <v>1975.8039999999999</v>
      </c>
      <c r="AD447" s="1545">
        <f t="shared" si="327"/>
        <v>150</v>
      </c>
      <c r="AE447" s="1545">
        <f t="shared" si="327"/>
        <v>150</v>
      </c>
      <c r="AF447" s="1545">
        <f t="shared" si="327"/>
        <v>0</v>
      </c>
      <c r="AG447" s="1545">
        <f t="shared" si="327"/>
        <v>0</v>
      </c>
      <c r="AH447" s="1545">
        <f t="shared" si="327"/>
        <v>493.904</v>
      </c>
      <c r="AI447" s="1510">
        <f t="shared" si="327"/>
        <v>0</v>
      </c>
      <c r="AJ447" s="1510">
        <f t="shared" si="327"/>
        <v>0</v>
      </c>
      <c r="AK447" s="1510">
        <f t="shared" si="327"/>
        <v>0</v>
      </c>
      <c r="AL447" s="1636">
        <f t="shared" si="300"/>
        <v>0</v>
      </c>
      <c r="AM447" s="1510">
        <f t="shared" si="327"/>
        <v>0</v>
      </c>
      <c r="AN447" s="1511"/>
      <c r="AO447" s="1511">
        <f t="shared" si="327"/>
        <v>172.6</v>
      </c>
      <c r="AP447" s="1511">
        <f t="shared" si="327"/>
        <v>0</v>
      </c>
      <c r="AQ447" s="1511">
        <f t="shared" si="327"/>
        <v>0</v>
      </c>
      <c r="AR447" s="1511">
        <f t="shared" si="327"/>
        <v>0</v>
      </c>
      <c r="AS447" s="1507">
        <f t="shared" si="327"/>
        <v>0</v>
      </c>
      <c r="AT447" s="1511">
        <f t="shared" si="327"/>
        <v>0</v>
      </c>
      <c r="AU447" s="1511">
        <f t="shared" si="327"/>
        <v>0</v>
      </c>
      <c r="AV447" s="1511">
        <f t="shared" si="327"/>
        <v>0</v>
      </c>
      <c r="AW447" s="1507">
        <f t="shared" si="327"/>
        <v>0</v>
      </c>
      <c r="AX447" s="1511">
        <f t="shared" si="327"/>
        <v>0</v>
      </c>
      <c r="AY447" s="1511">
        <f t="shared" si="327"/>
        <v>0</v>
      </c>
      <c r="AZ447" s="1511">
        <f t="shared" si="327"/>
        <v>0</v>
      </c>
      <c r="BA447" s="1511">
        <f t="shared" si="327"/>
        <v>0</v>
      </c>
      <c r="BB447" s="1511">
        <f t="shared" ref="BB447:CK447" si="328">BB463+BB479+BB495+BB511</f>
        <v>0</v>
      </c>
      <c r="BC447" s="1511">
        <f t="shared" si="328"/>
        <v>0</v>
      </c>
      <c r="BD447" s="1511">
        <f t="shared" si="328"/>
        <v>0</v>
      </c>
      <c r="BE447" s="1511">
        <f t="shared" si="328"/>
        <v>486.00000000000006</v>
      </c>
      <c r="BF447" s="1511">
        <f t="shared" si="328"/>
        <v>0</v>
      </c>
      <c r="BG447" s="1511">
        <f t="shared" si="328"/>
        <v>0</v>
      </c>
      <c r="BH447" s="1511">
        <f t="shared" si="328"/>
        <v>0</v>
      </c>
      <c r="BI447" s="1511">
        <f t="shared" si="328"/>
        <v>0</v>
      </c>
      <c r="BJ447" s="1511">
        <f t="shared" si="328"/>
        <v>0</v>
      </c>
      <c r="BK447" s="1511">
        <f t="shared" si="328"/>
        <v>0</v>
      </c>
      <c r="BL447" s="1511">
        <f t="shared" si="328"/>
        <v>0</v>
      </c>
      <c r="BM447" s="1511">
        <f t="shared" si="328"/>
        <v>0</v>
      </c>
      <c r="BN447" s="1511">
        <f t="shared" si="328"/>
        <v>0</v>
      </c>
      <c r="BO447" s="1511">
        <f t="shared" si="328"/>
        <v>0</v>
      </c>
      <c r="BP447" s="1511">
        <f t="shared" si="328"/>
        <v>0</v>
      </c>
      <c r="BQ447" s="1511">
        <f t="shared" si="328"/>
        <v>0</v>
      </c>
      <c r="BR447" s="1511">
        <f t="shared" si="328"/>
        <v>0</v>
      </c>
      <c r="BS447" s="1511">
        <f t="shared" si="328"/>
        <v>0</v>
      </c>
      <c r="BT447" s="1511">
        <f t="shared" si="328"/>
        <v>0</v>
      </c>
      <c r="BU447" s="1511">
        <f t="shared" si="328"/>
        <v>823.3</v>
      </c>
      <c r="BV447" s="1511">
        <f t="shared" si="328"/>
        <v>0</v>
      </c>
      <c r="BW447" s="1511">
        <f t="shared" si="328"/>
        <v>0</v>
      </c>
      <c r="BX447" s="1511">
        <f t="shared" si="328"/>
        <v>0</v>
      </c>
      <c r="BY447" s="1511">
        <f t="shared" si="328"/>
        <v>0</v>
      </c>
      <c r="BZ447" s="1511">
        <f t="shared" si="328"/>
        <v>0</v>
      </c>
      <c r="CA447" s="1511">
        <f t="shared" si="328"/>
        <v>0</v>
      </c>
      <c r="CB447" s="1511">
        <f t="shared" si="328"/>
        <v>0</v>
      </c>
      <c r="CC447" s="1511">
        <f t="shared" si="328"/>
        <v>0</v>
      </c>
      <c r="CD447" s="1511">
        <f t="shared" si="328"/>
        <v>0</v>
      </c>
      <c r="CE447" s="1511">
        <f t="shared" si="328"/>
        <v>0</v>
      </c>
      <c r="CF447" s="1511">
        <f t="shared" si="328"/>
        <v>0</v>
      </c>
      <c r="CG447" s="1596"/>
      <c r="CH447" s="1511">
        <f t="shared" si="328"/>
        <v>493.904</v>
      </c>
      <c r="CI447" s="1511">
        <f t="shared" si="328"/>
        <v>150</v>
      </c>
      <c r="CJ447" s="1511">
        <f t="shared" si="328"/>
        <v>0</v>
      </c>
      <c r="CK447" s="1511">
        <f t="shared" si="328"/>
        <v>0</v>
      </c>
      <c r="CL447" s="1558"/>
      <c r="CM447" s="1558"/>
      <c r="CN447" s="1558"/>
      <c r="CO447" s="1558"/>
      <c r="CP447" s="1558"/>
      <c r="CQ447" s="1558"/>
      <c r="CR447" s="1558"/>
      <c r="CS447" s="1558"/>
      <c r="CT447" s="1558"/>
      <c r="CU447" s="1558"/>
      <c r="CV447" s="1558"/>
      <c r="CW447" s="1558"/>
      <c r="CY447" s="1558"/>
    </row>
    <row r="448" spans="1:104" s="1559" customFormat="1" x14ac:dyDescent="0.15">
      <c r="A448" s="1541" t="s">
        <v>94</v>
      </c>
      <c r="B448" s="1523" t="s">
        <v>79</v>
      </c>
      <c r="C448" s="1523" t="s">
        <v>80</v>
      </c>
      <c r="D448" s="1523" t="s">
        <v>125</v>
      </c>
      <c r="E448" s="1523" t="s">
        <v>215</v>
      </c>
      <c r="F448" s="1523"/>
      <c r="G448" s="1667" t="s">
        <v>95</v>
      </c>
      <c r="H448" s="1851">
        <f t="shared" si="323"/>
        <v>0</v>
      </c>
      <c r="I448" s="1851">
        <f t="shared" si="323"/>
        <v>0</v>
      </c>
      <c r="J448" s="1851">
        <f t="shared" si="323"/>
        <v>0</v>
      </c>
      <c r="K448" s="1851">
        <f t="shared" si="323"/>
        <v>0</v>
      </c>
      <c r="L448" s="1851">
        <f t="shared" si="323"/>
        <v>0</v>
      </c>
      <c r="M448" s="1851">
        <f t="shared" si="323"/>
        <v>0</v>
      </c>
      <c r="N448" s="1851">
        <f t="shared" si="323"/>
        <v>0</v>
      </c>
      <c r="O448" s="1851">
        <f t="shared" si="323"/>
        <v>0</v>
      </c>
      <c r="P448" s="1851">
        <f t="shared" si="323"/>
        <v>0</v>
      </c>
      <c r="Q448" s="1851">
        <f t="shared" si="323"/>
        <v>0</v>
      </c>
      <c r="R448" s="1933">
        <f t="shared" si="323"/>
        <v>0</v>
      </c>
      <c r="S448" s="1933">
        <f t="shared" si="323"/>
        <v>0</v>
      </c>
      <c r="T448" s="1504"/>
      <c r="U448" s="1505"/>
      <c r="V448" s="1505"/>
      <c r="W448" s="1506"/>
      <c r="X448" s="1506"/>
      <c r="Y448" s="1506"/>
      <c r="Z448" s="1507"/>
      <c r="AA448" s="1506"/>
      <c r="AB448" s="1506"/>
      <c r="AC448" s="1545">
        <f t="shared" ref="AC448:CK450" si="329">AC464+AC480+AC496+AC512</f>
        <v>0</v>
      </c>
      <c r="AD448" s="1545">
        <f t="shared" si="329"/>
        <v>0</v>
      </c>
      <c r="AE448" s="1545">
        <f t="shared" si="329"/>
        <v>0</v>
      </c>
      <c r="AF448" s="1545">
        <f t="shared" si="329"/>
        <v>0</v>
      </c>
      <c r="AG448" s="1545">
        <f t="shared" si="329"/>
        <v>0</v>
      </c>
      <c r="AH448" s="1545">
        <f t="shared" si="329"/>
        <v>0</v>
      </c>
      <c r="AI448" s="1510">
        <f t="shared" si="329"/>
        <v>0</v>
      </c>
      <c r="AJ448" s="1510">
        <f t="shared" si="329"/>
        <v>0</v>
      </c>
      <c r="AK448" s="1510">
        <f t="shared" si="329"/>
        <v>0</v>
      </c>
      <c r="AL448" s="1636">
        <f t="shared" si="300"/>
        <v>0</v>
      </c>
      <c r="AM448" s="1510">
        <f t="shared" si="329"/>
        <v>0</v>
      </c>
      <c r="AN448" s="1511"/>
      <c r="AO448" s="1511">
        <f t="shared" si="329"/>
        <v>0</v>
      </c>
      <c r="AP448" s="1511">
        <f t="shared" si="329"/>
        <v>0</v>
      </c>
      <c r="AQ448" s="1511">
        <f t="shared" si="329"/>
        <v>0</v>
      </c>
      <c r="AR448" s="1511">
        <f t="shared" si="329"/>
        <v>0</v>
      </c>
      <c r="AS448" s="1507">
        <f t="shared" si="329"/>
        <v>0</v>
      </c>
      <c r="AT448" s="1511">
        <f t="shared" si="329"/>
        <v>0</v>
      </c>
      <c r="AU448" s="1511">
        <f t="shared" si="329"/>
        <v>0</v>
      </c>
      <c r="AV448" s="1511">
        <f t="shared" si="329"/>
        <v>0</v>
      </c>
      <c r="AW448" s="1507">
        <f t="shared" si="329"/>
        <v>0</v>
      </c>
      <c r="AX448" s="1511">
        <f t="shared" si="329"/>
        <v>0</v>
      </c>
      <c r="AY448" s="1511">
        <f t="shared" si="329"/>
        <v>0</v>
      </c>
      <c r="AZ448" s="1511">
        <f t="shared" si="329"/>
        <v>0</v>
      </c>
      <c r="BA448" s="1511">
        <f t="shared" si="329"/>
        <v>0</v>
      </c>
      <c r="BB448" s="1511">
        <f t="shared" si="329"/>
        <v>0</v>
      </c>
      <c r="BC448" s="1511">
        <f t="shared" si="329"/>
        <v>0</v>
      </c>
      <c r="BD448" s="1511">
        <f t="shared" si="329"/>
        <v>0</v>
      </c>
      <c r="BE448" s="1511">
        <f t="shared" si="329"/>
        <v>0</v>
      </c>
      <c r="BF448" s="1511">
        <f t="shared" si="329"/>
        <v>0</v>
      </c>
      <c r="BG448" s="1511">
        <f t="shared" si="329"/>
        <v>0</v>
      </c>
      <c r="BH448" s="1511">
        <f t="shared" si="329"/>
        <v>0</v>
      </c>
      <c r="BI448" s="1511">
        <f t="shared" si="329"/>
        <v>0</v>
      </c>
      <c r="BJ448" s="1511">
        <f t="shared" si="329"/>
        <v>0</v>
      </c>
      <c r="BK448" s="1511">
        <f t="shared" si="329"/>
        <v>0</v>
      </c>
      <c r="BL448" s="1511">
        <f t="shared" si="329"/>
        <v>0</v>
      </c>
      <c r="BM448" s="1511">
        <f t="shared" si="329"/>
        <v>0</v>
      </c>
      <c r="BN448" s="1511">
        <f t="shared" si="329"/>
        <v>0</v>
      </c>
      <c r="BO448" s="1511">
        <f t="shared" si="329"/>
        <v>0</v>
      </c>
      <c r="BP448" s="1511">
        <f t="shared" si="329"/>
        <v>0</v>
      </c>
      <c r="BQ448" s="1511">
        <f t="shared" si="329"/>
        <v>0</v>
      </c>
      <c r="BR448" s="1511">
        <f t="shared" si="329"/>
        <v>0</v>
      </c>
      <c r="BS448" s="1511">
        <f t="shared" si="329"/>
        <v>0</v>
      </c>
      <c r="BT448" s="1511">
        <f t="shared" si="329"/>
        <v>0</v>
      </c>
      <c r="BU448" s="1511">
        <f t="shared" si="329"/>
        <v>0</v>
      </c>
      <c r="BV448" s="1511">
        <f t="shared" si="329"/>
        <v>0</v>
      </c>
      <c r="BW448" s="1511">
        <f t="shared" si="329"/>
        <v>0</v>
      </c>
      <c r="BX448" s="1511">
        <f t="shared" si="329"/>
        <v>0</v>
      </c>
      <c r="BY448" s="1511">
        <f t="shared" si="329"/>
        <v>0</v>
      </c>
      <c r="BZ448" s="1511">
        <f t="shared" si="329"/>
        <v>0</v>
      </c>
      <c r="CA448" s="1511">
        <f t="shared" si="329"/>
        <v>0</v>
      </c>
      <c r="CB448" s="1511">
        <f t="shared" si="329"/>
        <v>0</v>
      </c>
      <c r="CC448" s="1511">
        <f t="shared" si="329"/>
        <v>0</v>
      </c>
      <c r="CD448" s="1511">
        <f t="shared" si="329"/>
        <v>0</v>
      </c>
      <c r="CE448" s="1511">
        <f t="shared" si="329"/>
        <v>0</v>
      </c>
      <c r="CF448" s="1511">
        <f t="shared" si="329"/>
        <v>0</v>
      </c>
      <c r="CG448" s="1596"/>
      <c r="CH448" s="1511">
        <f t="shared" si="329"/>
        <v>0</v>
      </c>
      <c r="CI448" s="1511">
        <f t="shared" si="329"/>
        <v>0</v>
      </c>
      <c r="CJ448" s="1511">
        <f t="shared" si="329"/>
        <v>0</v>
      </c>
      <c r="CK448" s="1511">
        <f t="shared" si="329"/>
        <v>0</v>
      </c>
      <c r="CL448" s="1558"/>
      <c r="CM448" s="1558"/>
      <c r="CN448" s="1558"/>
      <c r="CO448" s="1558"/>
      <c r="CP448" s="1558"/>
      <c r="CQ448" s="1558"/>
      <c r="CR448" s="1558"/>
      <c r="CS448" s="1558"/>
      <c r="CT448" s="1558"/>
      <c r="CU448" s="1558"/>
      <c r="CV448" s="1558"/>
      <c r="CW448" s="1558"/>
      <c r="CY448" s="1558"/>
    </row>
    <row r="449" spans="1:107" s="1559" customFormat="1" x14ac:dyDescent="0.15">
      <c r="A449" s="1541" t="s">
        <v>96</v>
      </c>
      <c r="B449" s="1523" t="s">
        <v>79</v>
      </c>
      <c r="C449" s="1523" t="s">
        <v>80</v>
      </c>
      <c r="D449" s="1523" t="s">
        <v>125</v>
      </c>
      <c r="E449" s="1523" t="s">
        <v>215</v>
      </c>
      <c r="F449" s="1523"/>
      <c r="G449" s="1667">
        <v>310</v>
      </c>
      <c r="H449" s="1851">
        <f t="shared" si="323"/>
        <v>234.4</v>
      </c>
      <c r="I449" s="1851">
        <f t="shared" si="323"/>
        <v>6924.2</v>
      </c>
      <c r="J449" s="1851">
        <f t="shared" si="323"/>
        <v>0</v>
      </c>
      <c r="K449" s="1851">
        <f t="shared" si="323"/>
        <v>0</v>
      </c>
      <c r="L449" s="1851">
        <f t="shared" si="323"/>
        <v>0</v>
      </c>
      <c r="M449" s="1851">
        <f t="shared" si="323"/>
        <v>0</v>
      </c>
      <c r="N449" s="1851">
        <f t="shared" si="323"/>
        <v>0</v>
      </c>
      <c r="O449" s="1851">
        <f t="shared" si="323"/>
        <v>0</v>
      </c>
      <c r="P449" s="1851">
        <f t="shared" si="323"/>
        <v>0</v>
      </c>
      <c r="Q449" s="1851">
        <f t="shared" si="323"/>
        <v>0</v>
      </c>
      <c r="R449" s="1933">
        <f t="shared" si="323"/>
        <v>0</v>
      </c>
      <c r="S449" s="1933">
        <f t="shared" si="323"/>
        <v>0</v>
      </c>
      <c r="T449" s="1504"/>
      <c r="U449" s="1505"/>
      <c r="V449" s="1505"/>
      <c r="W449" s="1506"/>
      <c r="X449" s="1506"/>
      <c r="Y449" s="1506"/>
      <c r="Z449" s="1507"/>
      <c r="AA449" s="1506"/>
      <c r="AB449" s="1506"/>
      <c r="AC449" s="1545">
        <f t="shared" si="329"/>
        <v>234.4</v>
      </c>
      <c r="AD449" s="1545">
        <f t="shared" si="329"/>
        <v>6924.2</v>
      </c>
      <c r="AE449" s="1545">
        <f t="shared" si="329"/>
        <v>6924.2</v>
      </c>
      <c r="AF449" s="1545">
        <f t="shared" si="329"/>
        <v>0</v>
      </c>
      <c r="AG449" s="1545">
        <f t="shared" si="329"/>
        <v>0</v>
      </c>
      <c r="AH449" s="1545">
        <f t="shared" si="329"/>
        <v>215.05</v>
      </c>
      <c r="AI449" s="1510">
        <f t="shared" si="329"/>
        <v>0</v>
      </c>
      <c r="AJ449" s="1510">
        <f t="shared" si="329"/>
        <v>0</v>
      </c>
      <c r="AK449" s="1510">
        <f t="shared" si="329"/>
        <v>0</v>
      </c>
      <c r="AL449" s="1636">
        <f t="shared" si="300"/>
        <v>0</v>
      </c>
      <c r="AM449" s="1510">
        <f t="shared" si="329"/>
        <v>0</v>
      </c>
      <c r="AN449" s="1511"/>
      <c r="AO449" s="1511">
        <f t="shared" si="329"/>
        <v>0</v>
      </c>
      <c r="AP449" s="1511">
        <f t="shared" si="329"/>
        <v>0</v>
      </c>
      <c r="AQ449" s="1511">
        <f t="shared" si="329"/>
        <v>0</v>
      </c>
      <c r="AR449" s="1511">
        <f t="shared" si="329"/>
        <v>0</v>
      </c>
      <c r="AS449" s="1507">
        <f t="shared" si="329"/>
        <v>0</v>
      </c>
      <c r="AT449" s="1511">
        <f t="shared" si="329"/>
        <v>0</v>
      </c>
      <c r="AU449" s="1511">
        <f t="shared" si="329"/>
        <v>0</v>
      </c>
      <c r="AV449" s="1511">
        <f t="shared" si="329"/>
        <v>0</v>
      </c>
      <c r="AW449" s="1507">
        <f t="shared" si="329"/>
        <v>0</v>
      </c>
      <c r="AX449" s="1511">
        <f t="shared" si="329"/>
        <v>0</v>
      </c>
      <c r="AY449" s="1511">
        <f t="shared" si="329"/>
        <v>0</v>
      </c>
      <c r="AZ449" s="1511">
        <f t="shared" si="329"/>
        <v>0</v>
      </c>
      <c r="BA449" s="1511">
        <f t="shared" si="329"/>
        <v>0</v>
      </c>
      <c r="BB449" s="1511">
        <f t="shared" si="329"/>
        <v>0</v>
      </c>
      <c r="BC449" s="1511">
        <f t="shared" si="329"/>
        <v>0</v>
      </c>
      <c r="BD449" s="1511">
        <f t="shared" si="329"/>
        <v>0</v>
      </c>
      <c r="BE449" s="1511">
        <f t="shared" si="329"/>
        <v>0</v>
      </c>
      <c r="BF449" s="1511">
        <f t="shared" si="329"/>
        <v>450</v>
      </c>
      <c r="BG449" s="1511">
        <f t="shared" si="329"/>
        <v>0</v>
      </c>
      <c r="BH449" s="1511">
        <f t="shared" si="329"/>
        <v>0</v>
      </c>
      <c r="BI449" s="1511">
        <f t="shared" si="329"/>
        <v>0</v>
      </c>
      <c r="BJ449" s="1511">
        <f t="shared" si="329"/>
        <v>0</v>
      </c>
      <c r="BK449" s="1511">
        <f t="shared" si="329"/>
        <v>0</v>
      </c>
      <c r="BL449" s="1511">
        <f t="shared" si="329"/>
        <v>0</v>
      </c>
      <c r="BM449" s="1511">
        <f t="shared" si="329"/>
        <v>0</v>
      </c>
      <c r="BN449" s="1511">
        <f t="shared" si="329"/>
        <v>5252</v>
      </c>
      <c r="BO449" s="1511">
        <f t="shared" si="329"/>
        <v>0</v>
      </c>
      <c r="BP449" s="1511">
        <f t="shared" si="329"/>
        <v>0</v>
      </c>
      <c r="BQ449" s="1511">
        <f t="shared" si="329"/>
        <v>0</v>
      </c>
      <c r="BR449" s="1511">
        <f t="shared" si="329"/>
        <v>162</v>
      </c>
      <c r="BS449" s="1511">
        <f t="shared" si="329"/>
        <v>0</v>
      </c>
      <c r="BT449" s="1511">
        <f t="shared" si="329"/>
        <v>0</v>
      </c>
      <c r="BU449" s="1511">
        <f t="shared" si="329"/>
        <v>0</v>
      </c>
      <c r="BV449" s="1511">
        <f t="shared" si="329"/>
        <v>900</v>
      </c>
      <c r="BW449" s="1511">
        <f t="shared" si="329"/>
        <v>0</v>
      </c>
      <c r="BX449" s="1511">
        <f t="shared" si="329"/>
        <v>0</v>
      </c>
      <c r="BY449" s="1511">
        <f t="shared" si="329"/>
        <v>19.350000000000001</v>
      </c>
      <c r="BZ449" s="1511">
        <f t="shared" si="329"/>
        <v>0</v>
      </c>
      <c r="CA449" s="1511">
        <f t="shared" si="329"/>
        <v>0</v>
      </c>
      <c r="CB449" s="1511">
        <f t="shared" si="329"/>
        <v>0</v>
      </c>
      <c r="CC449" s="1511">
        <f t="shared" si="329"/>
        <v>0</v>
      </c>
      <c r="CD449" s="1511">
        <f t="shared" si="329"/>
        <v>0</v>
      </c>
      <c r="CE449" s="1511">
        <f t="shared" si="329"/>
        <v>0</v>
      </c>
      <c r="CF449" s="1511">
        <f t="shared" si="329"/>
        <v>0</v>
      </c>
      <c r="CG449" s="1596"/>
      <c r="CH449" s="1511">
        <f t="shared" si="329"/>
        <v>215.05</v>
      </c>
      <c r="CI449" s="1511">
        <f t="shared" si="329"/>
        <v>160.19999999999999</v>
      </c>
      <c r="CJ449" s="1511">
        <f t="shared" si="329"/>
        <v>0</v>
      </c>
      <c r="CK449" s="1511">
        <f t="shared" si="329"/>
        <v>0</v>
      </c>
      <c r="CL449" s="1558"/>
      <c r="CM449" s="1558"/>
      <c r="CN449" s="1558"/>
      <c r="CO449" s="1558"/>
      <c r="CP449" s="1558"/>
      <c r="CQ449" s="1558"/>
      <c r="CR449" s="1558"/>
      <c r="CS449" s="1558"/>
      <c r="CT449" s="1558"/>
      <c r="CU449" s="1558"/>
      <c r="CV449" s="1558"/>
      <c r="CW449" s="1558"/>
      <c r="CY449" s="1558"/>
    </row>
    <row r="450" spans="1:107" s="1559" customFormat="1" x14ac:dyDescent="0.15">
      <c r="A450" s="1541" t="s">
        <v>97</v>
      </c>
      <c r="B450" s="1523" t="s">
        <v>79</v>
      </c>
      <c r="C450" s="1523" t="s">
        <v>80</v>
      </c>
      <c r="D450" s="1523" t="s">
        <v>125</v>
      </c>
      <c r="E450" s="1523" t="s">
        <v>215</v>
      </c>
      <c r="F450" s="1523"/>
      <c r="G450" s="1667">
        <v>340</v>
      </c>
      <c r="H450" s="1851">
        <f t="shared" si="323"/>
        <v>284.05799999999999</v>
      </c>
      <c r="I450" s="1851">
        <f t="shared" si="323"/>
        <v>0</v>
      </c>
      <c r="J450" s="1851">
        <f t="shared" si="323"/>
        <v>0</v>
      </c>
      <c r="K450" s="1851">
        <f t="shared" si="323"/>
        <v>0</v>
      </c>
      <c r="L450" s="1851">
        <f t="shared" si="323"/>
        <v>0</v>
      </c>
      <c r="M450" s="1851">
        <f t="shared" si="323"/>
        <v>0</v>
      </c>
      <c r="N450" s="1851">
        <f t="shared" si="323"/>
        <v>0</v>
      </c>
      <c r="O450" s="1851">
        <f t="shared" si="323"/>
        <v>0</v>
      </c>
      <c r="P450" s="1851">
        <f t="shared" si="323"/>
        <v>0</v>
      </c>
      <c r="Q450" s="1851">
        <f t="shared" si="323"/>
        <v>0</v>
      </c>
      <c r="R450" s="1933">
        <f t="shared" si="323"/>
        <v>0</v>
      </c>
      <c r="S450" s="1933">
        <f t="shared" si="323"/>
        <v>0</v>
      </c>
      <c r="T450" s="1504"/>
      <c r="U450" s="1505"/>
      <c r="V450" s="1505"/>
      <c r="W450" s="1506"/>
      <c r="X450" s="1506"/>
      <c r="Y450" s="1506"/>
      <c r="Z450" s="1507"/>
      <c r="AA450" s="1506"/>
      <c r="AB450" s="1506"/>
      <c r="AC450" s="1545">
        <f t="shared" si="329"/>
        <v>284.05799999999999</v>
      </c>
      <c r="AD450" s="1545">
        <f t="shared" si="329"/>
        <v>0</v>
      </c>
      <c r="AE450" s="1545">
        <f t="shared" si="329"/>
        <v>0</v>
      </c>
      <c r="AF450" s="1545">
        <f t="shared" si="329"/>
        <v>0</v>
      </c>
      <c r="AG450" s="1545">
        <f t="shared" si="329"/>
        <v>0</v>
      </c>
      <c r="AH450" s="1545">
        <f t="shared" si="329"/>
        <v>260.358</v>
      </c>
      <c r="AI450" s="1510">
        <f t="shared" si="329"/>
        <v>0</v>
      </c>
      <c r="AJ450" s="1510">
        <f t="shared" si="329"/>
        <v>0</v>
      </c>
      <c r="AK450" s="1510">
        <f t="shared" si="329"/>
        <v>0</v>
      </c>
      <c r="AL450" s="1636">
        <f t="shared" si="300"/>
        <v>0</v>
      </c>
      <c r="AM450" s="1510">
        <f t="shared" si="329"/>
        <v>0</v>
      </c>
      <c r="AN450" s="1511"/>
      <c r="AO450" s="1511">
        <f t="shared" si="329"/>
        <v>23.700000000000003</v>
      </c>
      <c r="AP450" s="1511">
        <f t="shared" si="329"/>
        <v>0</v>
      </c>
      <c r="AQ450" s="1511">
        <f t="shared" si="329"/>
        <v>0</v>
      </c>
      <c r="AR450" s="1511">
        <f t="shared" si="329"/>
        <v>0</v>
      </c>
      <c r="AS450" s="1507">
        <f t="shared" si="329"/>
        <v>0</v>
      </c>
      <c r="AT450" s="1511">
        <f t="shared" si="329"/>
        <v>0</v>
      </c>
      <c r="AU450" s="1511">
        <f t="shared" si="329"/>
        <v>0</v>
      </c>
      <c r="AV450" s="1511">
        <f t="shared" si="329"/>
        <v>0</v>
      </c>
      <c r="AW450" s="1507">
        <f t="shared" si="329"/>
        <v>0</v>
      </c>
      <c r="AX450" s="1511">
        <f t="shared" si="329"/>
        <v>0</v>
      </c>
      <c r="AY450" s="1511">
        <f t="shared" si="329"/>
        <v>0</v>
      </c>
      <c r="AZ450" s="1511">
        <f t="shared" si="329"/>
        <v>0</v>
      </c>
      <c r="BA450" s="1511">
        <f t="shared" si="329"/>
        <v>0</v>
      </c>
      <c r="BB450" s="1511">
        <f t="shared" si="329"/>
        <v>0</v>
      </c>
      <c r="BC450" s="1511">
        <f t="shared" si="329"/>
        <v>0</v>
      </c>
      <c r="BD450" s="1511">
        <f t="shared" si="329"/>
        <v>0</v>
      </c>
      <c r="BE450" s="1511">
        <f t="shared" si="329"/>
        <v>0</v>
      </c>
      <c r="BF450" s="1511">
        <f t="shared" si="329"/>
        <v>0</v>
      </c>
      <c r="BG450" s="1511">
        <f t="shared" si="329"/>
        <v>0</v>
      </c>
      <c r="BH450" s="1511">
        <f t="shared" si="329"/>
        <v>0</v>
      </c>
      <c r="BI450" s="1511">
        <f t="shared" si="329"/>
        <v>0</v>
      </c>
      <c r="BJ450" s="1511">
        <f t="shared" si="329"/>
        <v>0</v>
      </c>
      <c r="BK450" s="1511">
        <f t="shared" si="329"/>
        <v>0</v>
      </c>
      <c r="BL450" s="1511">
        <f t="shared" si="329"/>
        <v>0</v>
      </c>
      <c r="BM450" s="1511">
        <f t="shared" si="329"/>
        <v>0</v>
      </c>
      <c r="BN450" s="1511">
        <f t="shared" si="329"/>
        <v>0</v>
      </c>
      <c r="BO450" s="1511">
        <f t="shared" si="329"/>
        <v>0</v>
      </c>
      <c r="BP450" s="1511">
        <f t="shared" si="329"/>
        <v>0</v>
      </c>
      <c r="BQ450" s="1511">
        <f t="shared" si="329"/>
        <v>0</v>
      </c>
      <c r="BR450" s="1511">
        <f t="shared" si="329"/>
        <v>0</v>
      </c>
      <c r="BS450" s="1511">
        <f t="shared" si="329"/>
        <v>0</v>
      </c>
      <c r="BT450" s="1511">
        <f t="shared" si="329"/>
        <v>0</v>
      </c>
      <c r="BU450" s="1511">
        <f t="shared" si="329"/>
        <v>0</v>
      </c>
      <c r="BV450" s="1511">
        <f t="shared" si="329"/>
        <v>0</v>
      </c>
      <c r="BW450" s="1511">
        <f t="shared" si="329"/>
        <v>0</v>
      </c>
      <c r="BX450" s="1511">
        <f t="shared" si="329"/>
        <v>0</v>
      </c>
      <c r="BY450" s="1511">
        <f t="shared" si="329"/>
        <v>0</v>
      </c>
      <c r="BZ450" s="1511">
        <f t="shared" si="329"/>
        <v>0</v>
      </c>
      <c r="CA450" s="1511">
        <f t="shared" si="329"/>
        <v>0</v>
      </c>
      <c r="CB450" s="1511">
        <f t="shared" si="329"/>
        <v>0</v>
      </c>
      <c r="CC450" s="1511">
        <f t="shared" si="329"/>
        <v>0</v>
      </c>
      <c r="CD450" s="1511">
        <f t="shared" si="329"/>
        <v>0</v>
      </c>
      <c r="CE450" s="1511">
        <f t="shared" si="329"/>
        <v>0</v>
      </c>
      <c r="CF450" s="1511">
        <f t="shared" si="329"/>
        <v>0</v>
      </c>
      <c r="CG450" s="1596"/>
      <c r="CH450" s="1511">
        <f t="shared" si="329"/>
        <v>260.358</v>
      </c>
      <c r="CI450" s="1511">
        <f t="shared" si="329"/>
        <v>0</v>
      </c>
      <c r="CJ450" s="1511">
        <f t="shared" si="329"/>
        <v>0</v>
      </c>
      <c r="CK450" s="1511">
        <f t="shared" si="329"/>
        <v>0</v>
      </c>
      <c r="CL450" s="1558"/>
      <c r="CM450" s="1558"/>
      <c r="CN450" s="1558"/>
      <c r="CO450" s="1558"/>
      <c r="CP450" s="1558"/>
      <c r="CQ450" s="1558"/>
      <c r="CR450" s="1558"/>
      <c r="CS450" s="1558"/>
      <c r="CT450" s="1558"/>
      <c r="CU450" s="1558"/>
      <c r="CV450" s="1558"/>
      <c r="CW450" s="1558"/>
      <c r="CY450" s="1558"/>
    </row>
    <row r="451" spans="1:107" s="1559" customFormat="1" ht="14" x14ac:dyDescent="0.15">
      <c r="A451" s="1528" t="s">
        <v>767</v>
      </c>
      <c r="B451" s="1530" t="s">
        <v>79</v>
      </c>
      <c r="C451" s="1530" t="s">
        <v>80</v>
      </c>
      <c r="D451" s="1530" t="s">
        <v>125</v>
      </c>
      <c r="E451" s="1530" t="s">
        <v>215</v>
      </c>
      <c r="F451" s="1530" t="s">
        <v>768</v>
      </c>
      <c r="G451" s="1600" t="s">
        <v>766</v>
      </c>
      <c r="H451" s="1647">
        <f>I437</f>
        <v>12451</v>
      </c>
      <c r="I451" s="1645"/>
      <c r="J451" s="1630"/>
      <c r="K451" s="1630"/>
      <c r="L451" s="1631"/>
      <c r="M451" s="1631"/>
      <c r="N451" s="1631"/>
      <c r="O451" s="1631"/>
      <c r="P451" s="1631"/>
      <c r="Q451" s="1631"/>
      <c r="R451" s="1631"/>
      <c r="S451" s="1631"/>
      <c r="T451" s="1632"/>
      <c r="U451" s="1633"/>
      <c r="V451" s="1633"/>
      <c r="W451" s="1634"/>
      <c r="X451" s="1634"/>
      <c r="Y451" s="1634"/>
      <c r="Z451" s="1635"/>
      <c r="AA451" s="1634"/>
      <c r="AB451" s="1634"/>
      <c r="AC451" s="1508">
        <f>AO451+AS451+AW451+BA451+BE451+BI451+BM451+BQ451+BU451+BY451+CC451+CH451</f>
        <v>0</v>
      </c>
      <c r="AD451" s="1509">
        <f>AE451+AF451+AG451</f>
        <v>0</v>
      </c>
      <c r="AE451" s="1509">
        <f>AP451+AT451+AX451+BB451+BF451+BJ451+BN451+BR451+BV451+BZ451+CD451+CI451</f>
        <v>0</v>
      </c>
      <c r="AF451" s="1509"/>
      <c r="AG451" s="1509"/>
      <c r="AH451" s="1490">
        <f t="shared" si="308"/>
        <v>0</v>
      </c>
      <c r="AI451" s="1636"/>
      <c r="AJ451" s="1636"/>
      <c r="AK451" s="1636"/>
      <c r="AL451" s="1636">
        <f t="shared" si="300"/>
        <v>0</v>
      </c>
      <c r="AM451" s="1636"/>
      <c r="AN451" s="1637"/>
      <c r="AO451" s="1637"/>
      <c r="AP451" s="1753"/>
      <c r="AQ451" s="1753"/>
      <c r="AR451" s="1753"/>
      <c r="AS451" s="1639"/>
      <c r="AT451" s="1753"/>
      <c r="AU451" s="1753"/>
      <c r="AV451" s="1753"/>
      <c r="AW451" s="1639"/>
      <c r="AX451" s="1641"/>
      <c r="AY451" s="1641"/>
      <c r="AZ451" s="1641"/>
      <c r="BA451" s="1641"/>
      <c r="BB451" s="1641"/>
      <c r="BC451" s="1641"/>
      <c r="BD451" s="1641"/>
      <c r="BE451" s="1644"/>
      <c r="BF451" s="1641"/>
      <c r="BG451" s="1641"/>
      <c r="BH451" s="1641"/>
      <c r="BI451" s="1641"/>
      <c r="BJ451" s="1641"/>
      <c r="BK451" s="1641"/>
      <c r="BL451" s="1641"/>
      <c r="BM451" s="1641"/>
      <c r="BN451" s="1641"/>
      <c r="BO451" s="1641"/>
      <c r="BP451" s="1641"/>
      <c r="BQ451" s="1641"/>
      <c r="BR451" s="1641"/>
      <c r="BS451" s="1641"/>
      <c r="BT451" s="1641"/>
      <c r="BU451" s="1641"/>
      <c r="BV451" s="1641"/>
      <c r="BW451" s="1641"/>
      <c r="BX451" s="1641"/>
      <c r="BY451" s="1641"/>
      <c r="BZ451" s="1641"/>
      <c r="CA451" s="1641"/>
      <c r="CB451" s="1641"/>
      <c r="CC451" s="1641"/>
      <c r="CD451" s="1641"/>
      <c r="CE451" s="1641"/>
      <c r="CF451" s="1641"/>
      <c r="CG451" s="1691"/>
      <c r="CH451" s="1641"/>
      <c r="CI451" s="1641"/>
      <c r="CJ451" s="1641"/>
      <c r="CK451" s="1641"/>
      <c r="CL451" s="1558"/>
      <c r="CM451" s="1558"/>
      <c r="CN451" s="1558"/>
      <c r="CO451" s="1558"/>
      <c r="CP451" s="1558"/>
      <c r="CQ451" s="1558"/>
      <c r="CR451" s="1558"/>
      <c r="CS451" s="1558"/>
      <c r="CT451" s="1558"/>
      <c r="CU451" s="1558"/>
      <c r="CV451" s="1558"/>
      <c r="CW451" s="1558"/>
      <c r="CY451" s="1558"/>
    </row>
    <row r="452" spans="1:107" s="1886" customFormat="1" ht="26" x14ac:dyDescent="0.15">
      <c r="A452" s="1873" t="s">
        <v>1271</v>
      </c>
      <c r="B452" s="1780" t="s">
        <v>79</v>
      </c>
      <c r="C452" s="1780" t="s">
        <v>80</v>
      </c>
      <c r="D452" s="1780" t="s">
        <v>125</v>
      </c>
      <c r="E452" s="1780" t="s">
        <v>215</v>
      </c>
      <c r="F452" s="1780">
        <v>600</v>
      </c>
      <c r="G452" s="1874"/>
      <c r="H452" s="1875">
        <f>H453+H467</f>
        <v>58904.979999999996</v>
      </c>
      <c r="I452" s="1875">
        <f>I453+I467</f>
        <v>12451</v>
      </c>
      <c r="J452" s="1875">
        <f>J453+J467</f>
        <v>1299.96</v>
      </c>
      <c r="K452" s="1875">
        <f t="shared" ref="K452:CK452" si="330">K453+K467</f>
        <v>0</v>
      </c>
      <c r="L452" s="1876"/>
      <c r="M452" s="1876"/>
      <c r="N452" s="1876"/>
      <c r="O452" s="1876"/>
      <c r="P452" s="1876"/>
      <c r="Q452" s="1876"/>
      <c r="R452" s="1876"/>
      <c r="S452" s="1876"/>
      <c r="T452" s="1877"/>
      <c r="U452" s="1878"/>
      <c r="V452" s="1878"/>
      <c r="W452" s="1879"/>
      <c r="X452" s="1879"/>
      <c r="Y452" s="1879"/>
      <c r="Z452" s="1880"/>
      <c r="AA452" s="1879"/>
      <c r="AB452" s="1879" t="s">
        <v>1272</v>
      </c>
      <c r="AC452" s="1881">
        <f t="shared" si="330"/>
        <v>46453.979999999996</v>
      </c>
      <c r="AD452" s="1881">
        <f t="shared" si="330"/>
        <v>13750.96</v>
      </c>
      <c r="AE452" s="1881">
        <f t="shared" si="330"/>
        <v>12451</v>
      </c>
      <c r="AF452" s="1881">
        <f t="shared" si="330"/>
        <v>1299.96</v>
      </c>
      <c r="AG452" s="1881">
        <f t="shared" si="330"/>
        <v>0</v>
      </c>
      <c r="AH452" s="1490">
        <f t="shared" si="308"/>
        <v>0</v>
      </c>
      <c r="AI452" s="1882">
        <f t="shared" si="330"/>
        <v>0</v>
      </c>
      <c r="AJ452" s="1882">
        <f t="shared" si="330"/>
        <v>0</v>
      </c>
      <c r="AK452" s="1882">
        <f t="shared" si="330"/>
        <v>0</v>
      </c>
      <c r="AL452" s="1636">
        <f t="shared" si="300"/>
        <v>0</v>
      </c>
      <c r="AM452" s="1882">
        <f t="shared" si="330"/>
        <v>0</v>
      </c>
      <c r="AN452" s="1883"/>
      <c r="AO452" s="1875">
        <f t="shared" si="330"/>
        <v>3031.37</v>
      </c>
      <c r="AP452" s="1875">
        <f t="shared" si="330"/>
        <v>25</v>
      </c>
      <c r="AQ452" s="1875">
        <f t="shared" si="330"/>
        <v>0</v>
      </c>
      <c r="AR452" s="1875">
        <f t="shared" si="330"/>
        <v>0</v>
      </c>
      <c r="AS452" s="1880">
        <f t="shared" si="330"/>
        <v>2842.3</v>
      </c>
      <c r="AT452" s="1875">
        <f t="shared" si="330"/>
        <v>0</v>
      </c>
      <c r="AU452" s="1875">
        <f t="shared" si="330"/>
        <v>0</v>
      </c>
      <c r="AV452" s="1875">
        <f t="shared" si="330"/>
        <v>0</v>
      </c>
      <c r="AW452" s="1880">
        <f t="shared" si="330"/>
        <v>2653.9</v>
      </c>
      <c r="AX452" s="1875">
        <f t="shared" si="330"/>
        <v>0</v>
      </c>
      <c r="AY452" s="1875">
        <f t="shared" si="330"/>
        <v>0</v>
      </c>
      <c r="AZ452" s="1875">
        <f t="shared" si="330"/>
        <v>0</v>
      </c>
      <c r="BA452" s="1883">
        <f t="shared" si="330"/>
        <v>12554</v>
      </c>
      <c r="BB452" s="1875">
        <f t="shared" si="330"/>
        <v>0</v>
      </c>
      <c r="BC452" s="1875">
        <f t="shared" si="330"/>
        <v>0</v>
      </c>
      <c r="BD452" s="1875">
        <f t="shared" si="330"/>
        <v>0</v>
      </c>
      <c r="BE452" s="1539">
        <f t="shared" si="330"/>
        <v>3553.14</v>
      </c>
      <c r="BF452" s="1875">
        <f t="shared" si="330"/>
        <v>450</v>
      </c>
      <c r="BG452" s="1875">
        <f t="shared" si="330"/>
        <v>0</v>
      </c>
      <c r="BH452" s="1875">
        <f t="shared" si="330"/>
        <v>0</v>
      </c>
      <c r="BI452" s="1883">
        <f t="shared" si="330"/>
        <v>1695.4299999999998</v>
      </c>
      <c r="BJ452" s="1875">
        <f t="shared" si="330"/>
        <v>0</v>
      </c>
      <c r="BK452" s="1875">
        <f t="shared" si="330"/>
        <v>0</v>
      </c>
      <c r="BL452" s="1875">
        <f t="shared" si="330"/>
        <v>0</v>
      </c>
      <c r="BM452" s="1883">
        <f t="shared" si="330"/>
        <v>4492.6400000000003</v>
      </c>
      <c r="BN452" s="1875">
        <f t="shared" si="330"/>
        <v>5252</v>
      </c>
      <c r="BO452" s="1875">
        <f t="shared" si="330"/>
        <v>0</v>
      </c>
      <c r="BP452" s="1875">
        <f t="shared" si="330"/>
        <v>0</v>
      </c>
      <c r="BQ452" s="1883">
        <f t="shared" si="330"/>
        <v>3068.05</v>
      </c>
      <c r="BR452" s="1875">
        <f t="shared" si="330"/>
        <v>162</v>
      </c>
      <c r="BS452" s="1875">
        <f t="shared" si="330"/>
        <v>0</v>
      </c>
      <c r="BT452" s="1875">
        <f t="shared" si="330"/>
        <v>0</v>
      </c>
      <c r="BU452" s="1883">
        <f t="shared" si="330"/>
        <v>3402.2000000000007</v>
      </c>
      <c r="BV452" s="1875">
        <f t="shared" si="330"/>
        <v>1100</v>
      </c>
      <c r="BW452" s="1875">
        <f t="shared" si="330"/>
        <v>0</v>
      </c>
      <c r="BX452" s="1875">
        <f t="shared" si="330"/>
        <v>0</v>
      </c>
      <c r="BY452" s="1883">
        <f t="shared" si="330"/>
        <v>2660.9</v>
      </c>
      <c r="BZ452" s="1875">
        <f t="shared" si="330"/>
        <v>0</v>
      </c>
      <c r="CA452" s="1875">
        <f t="shared" si="330"/>
        <v>300</v>
      </c>
      <c r="CB452" s="1875">
        <f t="shared" si="330"/>
        <v>0</v>
      </c>
      <c r="CC452" s="1883">
        <f t="shared" si="330"/>
        <v>2719.54</v>
      </c>
      <c r="CD452" s="1875">
        <f t="shared" si="330"/>
        <v>0</v>
      </c>
      <c r="CE452" s="1875">
        <f t="shared" si="330"/>
        <v>0</v>
      </c>
      <c r="CF452" s="1875">
        <f t="shared" si="330"/>
        <v>0</v>
      </c>
      <c r="CG452" s="1884"/>
      <c r="CH452" s="1883">
        <f t="shared" si="330"/>
        <v>3780.5099999999993</v>
      </c>
      <c r="CI452" s="1875">
        <f t="shared" si="330"/>
        <v>5462</v>
      </c>
      <c r="CJ452" s="1875">
        <f t="shared" si="330"/>
        <v>999.96</v>
      </c>
      <c r="CK452" s="1875">
        <f t="shared" si="330"/>
        <v>0</v>
      </c>
      <c r="CL452" s="1885"/>
      <c r="CM452" s="1885"/>
      <c r="CN452" s="1885"/>
      <c r="CO452" s="1885"/>
      <c r="CP452" s="1885"/>
      <c r="CQ452" s="1885"/>
      <c r="CR452" s="1885"/>
      <c r="CS452" s="1885"/>
      <c r="CT452" s="1885"/>
      <c r="CU452" s="1885"/>
      <c r="CV452" s="1885"/>
      <c r="CW452" s="1885"/>
      <c r="CY452" s="1885"/>
    </row>
    <row r="453" spans="1:107" ht="53" thickBot="1" x14ac:dyDescent="0.2">
      <c r="A453" s="1748" t="s">
        <v>1135</v>
      </c>
      <c r="B453" s="1749" t="s">
        <v>79</v>
      </c>
      <c r="C453" s="1749" t="s">
        <v>80</v>
      </c>
      <c r="D453" s="1749" t="s">
        <v>125</v>
      </c>
      <c r="E453" s="1749" t="s">
        <v>215</v>
      </c>
      <c r="F453" s="1749">
        <v>600</v>
      </c>
      <c r="G453" s="1600" t="s">
        <v>766</v>
      </c>
      <c r="H453" s="1531">
        <f t="shared" ref="H453:BS453" si="331">H454+H455+H456+H457+H458+H459+H460+H461+H462+H463+H464+H465+H466</f>
        <v>46453.979999999996</v>
      </c>
      <c r="I453" s="1531">
        <f t="shared" si="331"/>
        <v>12451</v>
      </c>
      <c r="J453" s="1531">
        <f>J454+J455+J456+J457+J458+J459+J460+J461+J462+J463+J464+J465+J466</f>
        <v>1299.96</v>
      </c>
      <c r="K453" s="1531">
        <f t="shared" si="331"/>
        <v>0</v>
      </c>
      <c r="L453" s="1601"/>
      <c r="M453" s="1601"/>
      <c r="N453" s="1601"/>
      <c r="O453" s="1601">
        <f t="shared" si="331"/>
        <v>32.178750000000001</v>
      </c>
      <c r="P453" s="1601"/>
      <c r="Q453" s="1601">
        <f t="shared" si="331"/>
        <v>0</v>
      </c>
      <c r="R453" s="1601">
        <f t="shared" si="331"/>
        <v>0</v>
      </c>
      <c r="S453" s="1601">
        <f t="shared" si="331"/>
        <v>3400</v>
      </c>
      <c r="T453" s="1531">
        <f t="shared" si="331"/>
        <v>0</v>
      </c>
      <c r="U453" s="1533">
        <f t="shared" si="331"/>
        <v>0</v>
      </c>
      <c r="V453" s="1533"/>
      <c r="W453" s="1531">
        <f t="shared" si="331"/>
        <v>2694.0816666666665</v>
      </c>
      <c r="X453" s="1531">
        <f t="shared" si="331"/>
        <v>2653.9</v>
      </c>
      <c r="Y453" s="1531">
        <f t="shared" si="331"/>
        <v>2719.54</v>
      </c>
      <c r="Z453" s="1531">
        <f t="shared" si="331"/>
        <v>2618.8000000000002</v>
      </c>
      <c r="AA453" s="1531">
        <f t="shared" si="331"/>
        <v>3786.0752500000021</v>
      </c>
      <c r="AB453" s="1531">
        <f t="shared" si="331"/>
        <v>42667.904749999994</v>
      </c>
      <c r="AC453" s="1603">
        <f t="shared" si="331"/>
        <v>46453.979999999996</v>
      </c>
      <c r="AD453" s="1603">
        <f t="shared" si="331"/>
        <v>13750.96</v>
      </c>
      <c r="AE453" s="1603">
        <f t="shared" si="331"/>
        <v>12451</v>
      </c>
      <c r="AF453" s="1603">
        <f t="shared" si="331"/>
        <v>1299.96</v>
      </c>
      <c r="AG453" s="1603">
        <f t="shared" si="331"/>
        <v>0</v>
      </c>
      <c r="AH453" s="1490">
        <f t="shared" si="308"/>
        <v>0</v>
      </c>
      <c r="AI453" s="1592">
        <f t="shared" si="331"/>
        <v>0</v>
      </c>
      <c r="AJ453" s="1592">
        <f t="shared" si="331"/>
        <v>0</v>
      </c>
      <c r="AK453" s="1592">
        <f t="shared" si="331"/>
        <v>0</v>
      </c>
      <c r="AL453" s="1636">
        <f t="shared" si="300"/>
        <v>0</v>
      </c>
      <c r="AM453" s="1592">
        <f t="shared" si="331"/>
        <v>0</v>
      </c>
      <c r="AN453" s="1706"/>
      <c r="AO453" s="1707">
        <f t="shared" si="331"/>
        <v>3031.37</v>
      </c>
      <c r="AP453" s="1531">
        <f t="shared" si="331"/>
        <v>25</v>
      </c>
      <c r="AQ453" s="1531">
        <f t="shared" si="331"/>
        <v>0</v>
      </c>
      <c r="AR453" s="1531">
        <f t="shared" si="331"/>
        <v>0</v>
      </c>
      <c r="AS453" s="1535">
        <f t="shared" si="331"/>
        <v>2842.3</v>
      </c>
      <c r="AT453" s="1531">
        <f t="shared" si="331"/>
        <v>0</v>
      </c>
      <c r="AU453" s="1531">
        <f t="shared" si="331"/>
        <v>0</v>
      </c>
      <c r="AV453" s="1531">
        <f t="shared" si="331"/>
        <v>0</v>
      </c>
      <c r="AW453" s="1535">
        <f t="shared" si="331"/>
        <v>2653.9</v>
      </c>
      <c r="AX453" s="1531">
        <f t="shared" si="331"/>
        <v>0</v>
      </c>
      <c r="AY453" s="1531">
        <f t="shared" si="331"/>
        <v>0</v>
      </c>
      <c r="AZ453" s="1531">
        <f t="shared" si="331"/>
        <v>0</v>
      </c>
      <c r="BA453" s="1538">
        <f t="shared" si="331"/>
        <v>12554</v>
      </c>
      <c r="BB453" s="1531">
        <f t="shared" si="331"/>
        <v>0</v>
      </c>
      <c r="BC453" s="1531">
        <f t="shared" si="331"/>
        <v>0</v>
      </c>
      <c r="BD453" s="1531">
        <f t="shared" si="331"/>
        <v>0</v>
      </c>
      <c r="BE453" s="1539">
        <f t="shared" si="331"/>
        <v>3553.14</v>
      </c>
      <c r="BF453" s="1531">
        <f t="shared" si="331"/>
        <v>450</v>
      </c>
      <c r="BG453" s="1531">
        <f t="shared" si="331"/>
        <v>0</v>
      </c>
      <c r="BH453" s="1531">
        <f t="shared" si="331"/>
        <v>0</v>
      </c>
      <c r="BI453" s="1538">
        <f t="shared" si="331"/>
        <v>1695.4299999999998</v>
      </c>
      <c r="BJ453" s="1531">
        <f t="shared" si="331"/>
        <v>0</v>
      </c>
      <c r="BK453" s="1531">
        <f t="shared" si="331"/>
        <v>0</v>
      </c>
      <c r="BL453" s="1531">
        <f t="shared" si="331"/>
        <v>0</v>
      </c>
      <c r="BM453" s="1538">
        <f t="shared" si="331"/>
        <v>4492.6400000000003</v>
      </c>
      <c r="BN453" s="1531">
        <f t="shared" si="331"/>
        <v>5252</v>
      </c>
      <c r="BO453" s="1531">
        <f t="shared" si="331"/>
        <v>0</v>
      </c>
      <c r="BP453" s="1531">
        <f t="shared" si="331"/>
        <v>0</v>
      </c>
      <c r="BQ453" s="1538">
        <f t="shared" si="331"/>
        <v>3068.05</v>
      </c>
      <c r="BR453" s="1531">
        <f t="shared" si="331"/>
        <v>162</v>
      </c>
      <c r="BS453" s="1531">
        <f t="shared" si="331"/>
        <v>0</v>
      </c>
      <c r="BT453" s="1531">
        <f t="shared" ref="BT453:CK453" si="332">BT454+BT455+BT456+BT457+BT458+BT459+BT460+BT461+BT462+BT463+BT464+BT465+BT466</f>
        <v>0</v>
      </c>
      <c r="BU453" s="1538">
        <f t="shared" si="332"/>
        <v>3402.2000000000007</v>
      </c>
      <c r="BV453" s="1531">
        <f t="shared" si="332"/>
        <v>1100</v>
      </c>
      <c r="BW453" s="1531">
        <f t="shared" si="332"/>
        <v>0</v>
      </c>
      <c r="BX453" s="1531">
        <f t="shared" si="332"/>
        <v>0</v>
      </c>
      <c r="BY453" s="1538">
        <f t="shared" si="332"/>
        <v>2660.9</v>
      </c>
      <c r="BZ453" s="1531">
        <f t="shared" si="332"/>
        <v>0</v>
      </c>
      <c r="CA453" s="1531">
        <f t="shared" si="332"/>
        <v>300</v>
      </c>
      <c r="CB453" s="1531">
        <f t="shared" si="332"/>
        <v>0</v>
      </c>
      <c r="CC453" s="1538">
        <f t="shared" si="332"/>
        <v>2719.54</v>
      </c>
      <c r="CD453" s="1531">
        <f t="shared" si="332"/>
        <v>0</v>
      </c>
      <c r="CE453" s="1531">
        <f t="shared" si="332"/>
        <v>0</v>
      </c>
      <c r="CF453" s="1531">
        <f t="shared" si="332"/>
        <v>0</v>
      </c>
      <c r="CG453" s="1705"/>
      <c r="CH453" s="1538">
        <f t="shared" si="332"/>
        <v>3780.5099999999993</v>
      </c>
      <c r="CI453" s="1531">
        <f t="shared" si="332"/>
        <v>5462</v>
      </c>
      <c r="CJ453" s="1531">
        <f t="shared" si="332"/>
        <v>999.96</v>
      </c>
      <c r="CK453" s="1531">
        <f t="shared" si="332"/>
        <v>0</v>
      </c>
    </row>
    <row r="454" spans="1:107" ht="15" thickBot="1" x14ac:dyDescent="0.2">
      <c r="A454" s="1541" t="s">
        <v>78</v>
      </c>
      <c r="B454" s="1523" t="s">
        <v>79</v>
      </c>
      <c r="C454" s="1523" t="s">
        <v>80</v>
      </c>
      <c r="D454" s="1523" t="s">
        <v>125</v>
      </c>
      <c r="E454" s="1523" t="s">
        <v>215</v>
      </c>
      <c r="F454" s="1523"/>
      <c r="G454" s="1667">
        <v>211</v>
      </c>
      <c r="H454" s="1501">
        <f>24459.8+370.5</f>
        <v>24830.3</v>
      </c>
      <c r="I454" s="1645"/>
      <c r="J454" s="1630"/>
      <c r="K454" s="1630"/>
      <c r="L454" s="1631"/>
      <c r="M454" s="1631"/>
      <c r="N454" s="1631"/>
      <c r="O454" s="1631"/>
      <c r="P454" s="1631"/>
      <c r="Q454" s="1631"/>
      <c r="R454" s="1631"/>
      <c r="S454" s="1631"/>
      <c r="T454" s="1632"/>
      <c r="U454" s="1633"/>
      <c r="V454" s="1633"/>
      <c r="W454" s="1634">
        <f>H454/12</f>
        <v>2069.1916666666666</v>
      </c>
      <c r="X454" s="1634">
        <f>AO454</f>
        <v>2038.3</v>
      </c>
      <c r="Y454" s="1634">
        <f>CC454</f>
        <v>2088.77</v>
      </c>
      <c r="Z454" s="1635">
        <v>2011.4</v>
      </c>
      <c r="AA454" s="1634">
        <f>AC454-AB454</f>
        <v>2054.0932500000017</v>
      </c>
      <c r="AB454" s="1634">
        <v>22776.206750000001</v>
      </c>
      <c r="AC454" s="1508">
        <f t="shared" ref="AC454:AC467" si="333">AO454+AS454+AW454+BA454+BE454+BI454+BM454+BQ454+BU454+BY454+CC454+CH454</f>
        <v>24830.300000000003</v>
      </c>
      <c r="AD454" s="1509">
        <f t="shared" ref="AD454:AD467" si="334">AE454+AF454+AG454</f>
        <v>0</v>
      </c>
      <c r="AE454" s="1509">
        <f t="shared" ref="AE454:AG466" si="335">AP454+AT454+AX454+BB454+BF454+BJ454+BN454+BR454+BV454+BZ454+CD454+CI454</f>
        <v>0</v>
      </c>
      <c r="AF454" s="1509">
        <f t="shared" si="335"/>
        <v>0</v>
      </c>
      <c r="AG454" s="1509">
        <f t="shared" si="335"/>
        <v>0</v>
      </c>
      <c r="AH454" s="1490">
        <f t="shared" si="308"/>
        <v>2049.56</v>
      </c>
      <c r="AI454" s="1636">
        <f t="shared" ref="AI454:AI466" si="336">H454-AC454</f>
        <v>0</v>
      </c>
      <c r="AJ454" s="1636">
        <f t="shared" ref="AJ454:AJ466" si="337">AK454+AL454+AM454</f>
        <v>0</v>
      </c>
      <c r="AK454" s="1636">
        <f t="shared" ref="AK454:AK466" si="338">I454-AE454</f>
        <v>0</v>
      </c>
      <c r="AL454" s="1636">
        <f t="shared" si="300"/>
        <v>0</v>
      </c>
      <c r="AM454" s="1636">
        <f t="shared" si="300"/>
        <v>0</v>
      </c>
      <c r="AN454" s="1637">
        <f>AI454/4</f>
        <v>0</v>
      </c>
      <c r="AO454" s="1722">
        <v>2038.3</v>
      </c>
      <c r="AP454" s="1638"/>
      <c r="AQ454" s="1638"/>
      <c r="AR454" s="1638"/>
      <c r="AS454" s="1639">
        <v>2038.3</v>
      </c>
      <c r="AT454" s="1638"/>
      <c r="AU454" s="1638"/>
      <c r="AV454" s="1638"/>
      <c r="AW454" s="1640">
        <v>2038.3</v>
      </c>
      <c r="AX454" s="1640"/>
      <c r="AY454" s="1640"/>
      <c r="AZ454" s="1640"/>
      <c r="BA454" s="1641">
        <v>2038.4</v>
      </c>
      <c r="BB454" s="1640"/>
      <c r="BC454" s="1640"/>
      <c r="BD454" s="1640"/>
      <c r="BE454" s="1641">
        <v>2038.4</v>
      </c>
      <c r="BF454" s="1640"/>
      <c r="BG454" s="1640"/>
      <c r="BH454" s="1640"/>
      <c r="BI454" s="1641">
        <f>815.33+500</f>
        <v>1315.33</v>
      </c>
      <c r="BJ454" s="1640"/>
      <c r="BK454" s="1640"/>
      <c r="BL454" s="1640"/>
      <c r="BM454" s="1641">
        <f>1223.04+2038.4</f>
        <v>3261.44</v>
      </c>
      <c r="BN454" s="1640"/>
      <c r="BO454" s="1640"/>
      <c r="BP454" s="1640"/>
      <c r="BQ454" s="1641">
        <v>2038.4</v>
      </c>
      <c r="BR454" s="1640"/>
      <c r="BS454" s="1640"/>
      <c r="BT454" s="1640"/>
      <c r="BU454" s="1641">
        <v>2005.9</v>
      </c>
      <c r="BV454" s="1640"/>
      <c r="BW454" s="1640"/>
      <c r="BX454" s="1640"/>
      <c r="BY454" s="1641">
        <f>394.1+1485.1</f>
        <v>1879.1999999999998</v>
      </c>
      <c r="BZ454" s="1640"/>
      <c r="CA454" s="1640"/>
      <c r="CB454" s="1640"/>
      <c r="CC454" s="1641">
        <v>2088.77</v>
      </c>
      <c r="CD454" s="1640"/>
      <c r="CE454" s="1640"/>
      <c r="CF454" s="1640"/>
      <c r="CG454" s="1642"/>
      <c r="CH454" s="1641">
        <f>CL454+CP454</f>
        <v>2049.56</v>
      </c>
      <c r="CI454" s="1641">
        <f>CM454+CQ454</f>
        <v>0</v>
      </c>
      <c r="CJ454" s="1641">
        <f>CN454+CR454</f>
        <v>0</v>
      </c>
      <c r="CK454" s="1641">
        <f>CO454+CS454</f>
        <v>0</v>
      </c>
      <c r="CL454" s="1887">
        <v>2049.56</v>
      </c>
      <c r="CM454" s="1888">
        <v>0</v>
      </c>
      <c r="CN454" s="1888">
        <v>0</v>
      </c>
      <c r="CO454" s="1888">
        <v>0</v>
      </c>
      <c r="CP454" s="1641"/>
      <c r="CQ454" s="1640"/>
      <c r="CR454" s="1640"/>
      <c r="CS454" s="1640"/>
      <c r="CX454" s="1558">
        <f>H454/12*10-AC454</f>
        <v>-4138.3833333333387</v>
      </c>
      <c r="CY454" s="1558">
        <f>AI454/3</f>
        <v>0</v>
      </c>
      <c r="CZ454" s="1558">
        <f>H454/12</f>
        <v>2069.1916666666666</v>
      </c>
      <c r="DA454" s="1559"/>
      <c r="DB454" s="1559"/>
      <c r="DC454" s="1559"/>
    </row>
    <row r="455" spans="1:107" ht="15" thickBot="1" x14ac:dyDescent="0.2">
      <c r="A455" s="1541" t="s">
        <v>103</v>
      </c>
      <c r="B455" s="1523" t="s">
        <v>79</v>
      </c>
      <c r="C455" s="1523" t="s">
        <v>80</v>
      </c>
      <c r="D455" s="1523" t="s">
        <v>125</v>
      </c>
      <c r="E455" s="1523" t="s">
        <v>215</v>
      </c>
      <c r="F455" s="1523"/>
      <c r="G455" s="1667">
        <v>212</v>
      </c>
      <c r="H455" s="1501">
        <v>2</v>
      </c>
      <c r="I455" s="1645"/>
      <c r="J455" s="1630"/>
      <c r="K455" s="1630"/>
      <c r="L455" s="1631"/>
      <c r="M455" s="1631"/>
      <c r="N455" s="1631"/>
      <c r="O455" s="1631"/>
      <c r="P455" s="1631"/>
      <c r="Q455" s="1631"/>
      <c r="R455" s="1631"/>
      <c r="S455" s="1631"/>
      <c r="T455" s="1632"/>
      <c r="U455" s="1633"/>
      <c r="V455" s="1633"/>
      <c r="W455" s="1634"/>
      <c r="X455" s="1634"/>
      <c r="Y455" s="1634"/>
      <c r="Z455" s="1635"/>
      <c r="AA455" s="1634">
        <f t="shared" ref="AA455:AA466" si="339">AC455-AB455</f>
        <v>1.83</v>
      </c>
      <c r="AB455" s="1634">
        <v>0.17</v>
      </c>
      <c r="AC455" s="1508">
        <f t="shared" si="333"/>
        <v>2</v>
      </c>
      <c r="AD455" s="1509">
        <f t="shared" si="334"/>
        <v>0</v>
      </c>
      <c r="AE455" s="1509">
        <f t="shared" si="335"/>
        <v>0</v>
      </c>
      <c r="AF455" s="1509">
        <f t="shared" si="335"/>
        <v>0</v>
      </c>
      <c r="AG455" s="1509">
        <f t="shared" si="335"/>
        <v>0</v>
      </c>
      <c r="AH455" s="1490">
        <f t="shared" si="308"/>
        <v>1.63</v>
      </c>
      <c r="AI455" s="1636">
        <f t="shared" si="336"/>
        <v>0</v>
      </c>
      <c r="AJ455" s="1636">
        <f t="shared" si="337"/>
        <v>0</v>
      </c>
      <c r="AK455" s="1636">
        <f t="shared" si="338"/>
        <v>0</v>
      </c>
      <c r="AL455" s="1636">
        <f t="shared" si="300"/>
        <v>0</v>
      </c>
      <c r="AM455" s="1636">
        <f t="shared" si="300"/>
        <v>0</v>
      </c>
      <c r="AN455" s="1637"/>
      <c r="AO455" s="1722">
        <f>0.2+0.17</f>
        <v>0.37</v>
      </c>
      <c r="AP455" s="1638"/>
      <c r="AQ455" s="1638"/>
      <c r="AR455" s="1638"/>
      <c r="AS455" s="1639"/>
      <c r="AT455" s="1638"/>
      <c r="AU455" s="1638"/>
      <c r="AV455" s="1638"/>
      <c r="AW455" s="1640"/>
      <c r="AX455" s="1640"/>
      <c r="AY455" s="1640"/>
      <c r="AZ455" s="1640"/>
      <c r="BA455" s="1641"/>
      <c r="BB455" s="1640"/>
      <c r="BC455" s="1640"/>
      <c r="BD455" s="1640"/>
      <c r="BE455" s="1641"/>
      <c r="BF455" s="1640"/>
      <c r="BG455" s="1640"/>
      <c r="BH455" s="1640"/>
      <c r="BI455" s="1641"/>
      <c r="BJ455" s="1640"/>
      <c r="BK455" s="1640"/>
      <c r="BL455" s="1640"/>
      <c r="BM455" s="1641"/>
      <c r="BN455" s="1640"/>
      <c r="BO455" s="1640"/>
      <c r="BP455" s="1640"/>
      <c r="BQ455" s="1641"/>
      <c r="BR455" s="1640"/>
      <c r="BS455" s="1640"/>
      <c r="BT455" s="1640"/>
      <c r="BU455" s="1641"/>
      <c r="BV455" s="1640"/>
      <c r="BW455" s="1640"/>
      <c r="BX455" s="1640"/>
      <c r="BY455" s="1641"/>
      <c r="BZ455" s="1640"/>
      <c r="CA455" s="1640"/>
      <c r="CB455" s="1640"/>
      <c r="CC455" s="1641"/>
      <c r="CD455" s="1640"/>
      <c r="CE455" s="1640"/>
      <c r="CF455" s="1640"/>
      <c r="CG455" s="1642"/>
      <c r="CH455" s="1641">
        <f t="shared" ref="CH455:CK470" si="340">CL455+CP455</f>
        <v>1.63</v>
      </c>
      <c r="CI455" s="1641">
        <f t="shared" si="340"/>
        <v>0</v>
      </c>
      <c r="CJ455" s="1641">
        <f t="shared" si="340"/>
        <v>0</v>
      </c>
      <c r="CK455" s="1641">
        <f t="shared" si="340"/>
        <v>0</v>
      </c>
      <c r="CL455" s="1889">
        <v>1.63</v>
      </c>
      <c r="CM455" s="1889">
        <v>0</v>
      </c>
      <c r="CN455" s="1889">
        <v>0</v>
      </c>
      <c r="CO455" s="1889">
        <v>0</v>
      </c>
      <c r="CP455" s="1641"/>
      <c r="CQ455" s="1640"/>
      <c r="CR455" s="1640"/>
      <c r="CS455" s="1640"/>
      <c r="CX455" s="1558"/>
      <c r="CY455" s="1558"/>
      <c r="CZ455" s="1558"/>
      <c r="DA455" s="1559"/>
      <c r="DB455" s="1559"/>
      <c r="DC455" s="1559"/>
    </row>
    <row r="456" spans="1:107" ht="15" thickBot="1" x14ac:dyDescent="0.2">
      <c r="A456" s="1541" t="s">
        <v>84</v>
      </c>
      <c r="B456" s="1523" t="s">
        <v>79</v>
      </c>
      <c r="C456" s="1523" t="s">
        <v>80</v>
      </c>
      <c r="D456" s="1523" t="s">
        <v>125</v>
      </c>
      <c r="E456" s="1523" t="s">
        <v>215</v>
      </c>
      <c r="F456" s="1523"/>
      <c r="G456" s="1667">
        <v>213</v>
      </c>
      <c r="H456" s="1501">
        <f>7386.8+111.88</f>
        <v>7498.68</v>
      </c>
      <c r="I456" s="1645"/>
      <c r="J456" s="1630"/>
      <c r="K456" s="1630"/>
      <c r="L456" s="1631"/>
      <c r="M456" s="1631"/>
      <c r="N456" s="1631"/>
      <c r="O456" s="1631"/>
      <c r="P456" s="1631"/>
      <c r="Q456" s="1631"/>
      <c r="R456" s="1631"/>
      <c r="S456" s="1631"/>
      <c r="T456" s="1632"/>
      <c r="U456" s="1633"/>
      <c r="V456" s="1633"/>
      <c r="W456" s="1634">
        <f>H456/12</f>
        <v>624.89</v>
      </c>
      <c r="X456" s="1634">
        <f>AO456</f>
        <v>615.6</v>
      </c>
      <c r="Y456" s="1634">
        <f>CC456</f>
        <v>630.77</v>
      </c>
      <c r="Z456" s="1635">
        <v>607.4</v>
      </c>
      <c r="AA456" s="1634">
        <f t="shared" si="339"/>
        <v>620.07800000000043</v>
      </c>
      <c r="AB456" s="1634">
        <v>6878.6019999999999</v>
      </c>
      <c r="AC456" s="1508">
        <f t="shared" si="333"/>
        <v>7498.68</v>
      </c>
      <c r="AD456" s="1509">
        <f t="shared" si="334"/>
        <v>0</v>
      </c>
      <c r="AE456" s="1509">
        <f t="shared" si="335"/>
        <v>0</v>
      </c>
      <c r="AF456" s="1509">
        <f t="shared" si="335"/>
        <v>0</v>
      </c>
      <c r="AG456" s="1509">
        <f t="shared" si="335"/>
        <v>0</v>
      </c>
      <c r="AH456" s="1490">
        <f t="shared" si="308"/>
        <v>619.01</v>
      </c>
      <c r="AI456" s="1636">
        <f t="shared" si="336"/>
        <v>0</v>
      </c>
      <c r="AJ456" s="1636">
        <f t="shared" si="337"/>
        <v>0</v>
      </c>
      <c r="AK456" s="1636">
        <f t="shared" si="338"/>
        <v>0</v>
      </c>
      <c r="AL456" s="1636">
        <f t="shared" si="300"/>
        <v>0</v>
      </c>
      <c r="AM456" s="1636">
        <f t="shared" si="300"/>
        <v>0</v>
      </c>
      <c r="AN456" s="1637">
        <f>AI456/4</f>
        <v>0</v>
      </c>
      <c r="AO456" s="1722">
        <v>615.6</v>
      </c>
      <c r="AP456" s="1638"/>
      <c r="AQ456" s="1638"/>
      <c r="AR456" s="1638"/>
      <c r="AS456" s="1639">
        <v>615.6</v>
      </c>
      <c r="AT456" s="1638"/>
      <c r="AU456" s="1638"/>
      <c r="AV456" s="1638"/>
      <c r="AW456" s="1640">
        <v>615.6</v>
      </c>
      <c r="AX456" s="1640"/>
      <c r="AY456" s="1640"/>
      <c r="AZ456" s="1640"/>
      <c r="BA456" s="1641">
        <v>615.6</v>
      </c>
      <c r="BB456" s="1640"/>
      <c r="BC456" s="1640"/>
      <c r="BD456" s="1640"/>
      <c r="BE456" s="1641">
        <v>615.6</v>
      </c>
      <c r="BF456" s="1640"/>
      <c r="BG456" s="1640"/>
      <c r="BH456" s="1640"/>
      <c r="BI456" s="1641">
        <f>151</f>
        <v>151</v>
      </c>
      <c r="BJ456" s="1640"/>
      <c r="BK456" s="1640"/>
      <c r="BL456" s="1640"/>
      <c r="BM456" s="1641">
        <f>615.6+615.6</f>
        <v>1231.2</v>
      </c>
      <c r="BN456" s="1640"/>
      <c r="BO456" s="1640"/>
      <c r="BP456" s="1640"/>
      <c r="BQ456" s="1641">
        <v>615.6</v>
      </c>
      <c r="BR456" s="1640"/>
      <c r="BS456" s="1640"/>
      <c r="BT456" s="1640"/>
      <c r="BU456" s="1641">
        <v>605.70000000000005</v>
      </c>
      <c r="BV456" s="1640"/>
      <c r="BW456" s="1640"/>
      <c r="BX456" s="1640"/>
      <c r="BY456" s="1641">
        <v>567.4</v>
      </c>
      <c r="BZ456" s="1640"/>
      <c r="CA456" s="1640"/>
      <c r="CB456" s="1640"/>
      <c r="CC456" s="1641">
        <v>630.77</v>
      </c>
      <c r="CD456" s="1640"/>
      <c r="CE456" s="1640"/>
      <c r="CF456" s="1640"/>
      <c r="CG456" s="1642"/>
      <c r="CH456" s="1641">
        <f t="shared" si="340"/>
        <v>619.01</v>
      </c>
      <c r="CI456" s="1641">
        <f t="shared" si="340"/>
        <v>0</v>
      </c>
      <c r="CJ456" s="1641">
        <f t="shared" si="340"/>
        <v>0</v>
      </c>
      <c r="CK456" s="1641">
        <f t="shared" si="340"/>
        <v>0</v>
      </c>
      <c r="CL456" s="1889">
        <v>619.01</v>
      </c>
      <c r="CM456" s="1889">
        <v>0</v>
      </c>
      <c r="CN456" s="1889">
        <v>0</v>
      </c>
      <c r="CO456" s="1889">
        <v>0</v>
      </c>
      <c r="CP456" s="1641"/>
      <c r="CQ456" s="1640"/>
      <c r="CR456" s="1640"/>
      <c r="CS456" s="1640"/>
      <c r="CX456" s="1558">
        <f>H456/12*10-AC456</f>
        <v>-1249.7800000000007</v>
      </c>
      <c r="CY456" s="1558">
        <f>AI456/3</f>
        <v>0</v>
      </c>
      <c r="CZ456" s="1558">
        <f>H456/12</f>
        <v>624.89</v>
      </c>
      <c r="DA456" s="1559"/>
      <c r="DB456" s="1559"/>
      <c r="DC456" s="1559"/>
    </row>
    <row r="457" spans="1:107" ht="15" thickBot="1" x14ac:dyDescent="0.2">
      <c r="A457" s="1541" t="s">
        <v>85</v>
      </c>
      <c r="B457" s="1523" t="s">
        <v>79</v>
      </c>
      <c r="C457" s="1523" t="s">
        <v>80</v>
      </c>
      <c r="D457" s="1523" t="s">
        <v>125</v>
      </c>
      <c r="E457" s="1523" t="s">
        <v>215</v>
      </c>
      <c r="F457" s="1523"/>
      <c r="G457" s="1667">
        <v>221</v>
      </c>
      <c r="H457" s="1501">
        <v>123.6</v>
      </c>
      <c r="I457" s="1645"/>
      <c r="J457" s="1630"/>
      <c r="K457" s="1630"/>
      <c r="L457" s="1631"/>
      <c r="M457" s="1631"/>
      <c r="N457" s="1631"/>
      <c r="O457" s="1631"/>
      <c r="P457" s="1631"/>
      <c r="Q457" s="1631"/>
      <c r="R457" s="1631"/>
      <c r="S457" s="1631"/>
      <c r="T457" s="1632"/>
      <c r="U457" s="1633"/>
      <c r="V457" s="1633"/>
      <c r="W457" s="1634"/>
      <c r="X457" s="1634"/>
      <c r="Y457" s="1634"/>
      <c r="Z457" s="1635"/>
      <c r="AA457" s="1634">
        <f t="shared" si="339"/>
        <v>113.30000000000001</v>
      </c>
      <c r="AB457" s="1634">
        <v>10.3</v>
      </c>
      <c r="AC457" s="1508">
        <f t="shared" si="333"/>
        <v>123.60000000000001</v>
      </c>
      <c r="AD457" s="1509">
        <f t="shared" si="334"/>
        <v>0</v>
      </c>
      <c r="AE457" s="1509">
        <f t="shared" si="335"/>
        <v>0</v>
      </c>
      <c r="AF457" s="1509">
        <f t="shared" si="335"/>
        <v>0</v>
      </c>
      <c r="AG457" s="1509">
        <f t="shared" si="335"/>
        <v>0</v>
      </c>
      <c r="AH457" s="1490">
        <f t="shared" si="308"/>
        <v>113.4</v>
      </c>
      <c r="AI457" s="1636">
        <f t="shared" si="336"/>
        <v>0</v>
      </c>
      <c r="AJ457" s="1636">
        <f t="shared" si="337"/>
        <v>0</v>
      </c>
      <c r="AK457" s="1636">
        <f t="shared" si="338"/>
        <v>0</v>
      </c>
      <c r="AL457" s="1636">
        <f t="shared" si="300"/>
        <v>0</v>
      </c>
      <c r="AM457" s="1636">
        <f t="shared" si="300"/>
        <v>0</v>
      </c>
      <c r="AN457" s="1637"/>
      <c r="AO457" s="1722">
        <v>10.199999999999999</v>
      </c>
      <c r="AP457" s="1638"/>
      <c r="AQ457" s="1638"/>
      <c r="AR457" s="1638"/>
      <c r="AS457" s="1639"/>
      <c r="AT457" s="1638"/>
      <c r="AU457" s="1638"/>
      <c r="AV457" s="1638"/>
      <c r="AW457" s="1639"/>
      <c r="AX457" s="1640"/>
      <c r="AY457" s="1640"/>
      <c r="AZ457" s="1640"/>
      <c r="BA457" s="1641"/>
      <c r="BB457" s="1640"/>
      <c r="BC457" s="1640"/>
      <c r="BD457" s="1640"/>
      <c r="BE457" s="1644"/>
      <c r="BF457" s="1640"/>
      <c r="BG457" s="1640"/>
      <c r="BH457" s="1640"/>
      <c r="BI457" s="1641"/>
      <c r="BJ457" s="1640"/>
      <c r="BK457" s="1640"/>
      <c r="BL457" s="1640"/>
      <c r="BM457" s="1641"/>
      <c r="BN457" s="1640"/>
      <c r="BO457" s="1640"/>
      <c r="BP457" s="1640"/>
      <c r="BQ457" s="1641"/>
      <c r="BR457" s="1640"/>
      <c r="BS457" s="1640"/>
      <c r="BT457" s="1640"/>
      <c r="BU457" s="1641"/>
      <c r="BV457" s="1640"/>
      <c r="BW457" s="1640"/>
      <c r="BX457" s="1640"/>
      <c r="BY457" s="1641"/>
      <c r="BZ457" s="1640"/>
      <c r="CA457" s="1640"/>
      <c r="CB457" s="1640"/>
      <c r="CC457" s="1641"/>
      <c r="CD457" s="1640"/>
      <c r="CE457" s="1640"/>
      <c r="CF457" s="1640"/>
      <c r="CG457" s="1642"/>
      <c r="CH457" s="1641">
        <f t="shared" si="340"/>
        <v>113.4</v>
      </c>
      <c r="CI457" s="1641">
        <f t="shared" si="340"/>
        <v>0</v>
      </c>
      <c r="CJ457" s="1641">
        <f t="shared" si="340"/>
        <v>0</v>
      </c>
      <c r="CK457" s="1641">
        <f t="shared" si="340"/>
        <v>0</v>
      </c>
      <c r="CL457" s="1889">
        <v>113.4</v>
      </c>
      <c r="CM457" s="1889">
        <v>0</v>
      </c>
      <c r="CN457" s="1889">
        <v>0</v>
      </c>
      <c r="CO457" s="1889">
        <v>0</v>
      </c>
      <c r="CP457" s="1641"/>
      <c r="CQ457" s="1640"/>
      <c r="CR457" s="1640"/>
      <c r="CS457" s="1640"/>
    </row>
    <row r="458" spans="1:107" ht="15" customHeight="1" thickBot="1" x14ac:dyDescent="0.2">
      <c r="A458" s="1541" t="s">
        <v>86</v>
      </c>
      <c r="B458" s="1523" t="s">
        <v>79</v>
      </c>
      <c r="C458" s="1523" t="s">
        <v>80</v>
      </c>
      <c r="D458" s="1523" t="s">
        <v>125</v>
      </c>
      <c r="E458" s="1523" t="s">
        <v>215</v>
      </c>
      <c r="F458" s="1523"/>
      <c r="G458" s="1667">
        <v>222</v>
      </c>
      <c r="H458" s="1501">
        <v>40</v>
      </c>
      <c r="I458" s="1645">
        <v>150</v>
      </c>
      <c r="J458" s="1630"/>
      <c r="K458" s="1630"/>
      <c r="L458" s="1631"/>
      <c r="M458" s="1631"/>
      <c r="N458" s="1631"/>
      <c r="O458" s="1631"/>
      <c r="P458" s="1631"/>
      <c r="Q458" s="1631"/>
      <c r="R458" s="1631"/>
      <c r="S458" s="1631"/>
      <c r="T458" s="1632"/>
      <c r="U458" s="1633"/>
      <c r="V458" s="1633"/>
      <c r="W458" s="1634"/>
      <c r="X458" s="1634"/>
      <c r="Y458" s="1634"/>
      <c r="Z458" s="1635"/>
      <c r="AA458" s="1634">
        <f t="shared" si="339"/>
        <v>36.700000000000003</v>
      </c>
      <c r="AB458" s="1634">
        <v>3.3</v>
      </c>
      <c r="AC458" s="1508">
        <f t="shared" si="333"/>
        <v>40</v>
      </c>
      <c r="AD458" s="1509">
        <f t="shared" si="334"/>
        <v>150</v>
      </c>
      <c r="AE458" s="1509">
        <f t="shared" si="335"/>
        <v>150</v>
      </c>
      <c r="AF458" s="1509">
        <f t="shared" si="335"/>
        <v>0</v>
      </c>
      <c r="AG458" s="1509">
        <f t="shared" si="335"/>
        <v>0</v>
      </c>
      <c r="AH458" s="1490">
        <f t="shared" si="308"/>
        <v>36.700000000000003</v>
      </c>
      <c r="AI458" s="1636">
        <f t="shared" si="336"/>
        <v>0</v>
      </c>
      <c r="AJ458" s="1636">
        <f t="shared" si="337"/>
        <v>0</v>
      </c>
      <c r="AK458" s="1636">
        <f t="shared" si="338"/>
        <v>0</v>
      </c>
      <c r="AL458" s="1636">
        <f t="shared" si="300"/>
        <v>0</v>
      </c>
      <c r="AM458" s="1636">
        <f t="shared" si="300"/>
        <v>0</v>
      </c>
      <c r="AN458" s="1637"/>
      <c r="AO458" s="1722">
        <v>3.3</v>
      </c>
      <c r="AP458" s="1638"/>
      <c r="AQ458" s="1638"/>
      <c r="AR458" s="1638"/>
      <c r="AS458" s="1639"/>
      <c r="AT458" s="1638"/>
      <c r="AU458" s="1638"/>
      <c r="AV458" s="1638"/>
      <c r="AW458" s="1639"/>
      <c r="AX458" s="1640"/>
      <c r="AY458" s="1640"/>
      <c r="AZ458" s="1640"/>
      <c r="BA458" s="1641"/>
      <c r="BB458" s="1640"/>
      <c r="BC458" s="1640"/>
      <c r="BD458" s="1640"/>
      <c r="BE458" s="1644"/>
      <c r="BF458" s="1640"/>
      <c r="BG458" s="1640"/>
      <c r="BH458" s="1640"/>
      <c r="BI458" s="1641"/>
      <c r="BJ458" s="1640"/>
      <c r="BK458" s="1640"/>
      <c r="BL458" s="1640"/>
      <c r="BM458" s="1641"/>
      <c r="BN458" s="1640"/>
      <c r="BO458" s="1640"/>
      <c r="BP458" s="1640"/>
      <c r="BQ458" s="1641"/>
      <c r="BR458" s="1640"/>
      <c r="BS458" s="1640"/>
      <c r="BT458" s="1640"/>
      <c r="BU458" s="1641"/>
      <c r="BV458" s="1640"/>
      <c r="BW458" s="1640"/>
      <c r="BX458" s="1640"/>
      <c r="BY458" s="1641"/>
      <c r="BZ458" s="1640"/>
      <c r="CA458" s="1640"/>
      <c r="CB458" s="1640"/>
      <c r="CC458" s="1641"/>
      <c r="CD458" s="1640"/>
      <c r="CE458" s="1640"/>
      <c r="CF458" s="1640"/>
      <c r="CG458" s="1642"/>
      <c r="CH458" s="1641">
        <f t="shared" si="340"/>
        <v>36.700000000000003</v>
      </c>
      <c r="CI458" s="1641">
        <f t="shared" si="340"/>
        <v>150</v>
      </c>
      <c r="CJ458" s="1641">
        <f t="shared" si="340"/>
        <v>0</v>
      </c>
      <c r="CK458" s="1641">
        <f t="shared" si="340"/>
        <v>0</v>
      </c>
      <c r="CL458" s="1889">
        <v>36.700000000000003</v>
      </c>
      <c r="CM458" s="1889">
        <v>150</v>
      </c>
      <c r="CN458" s="1889">
        <v>0</v>
      </c>
      <c r="CO458" s="1889">
        <v>0</v>
      </c>
      <c r="CP458" s="1641"/>
      <c r="CQ458" s="1640"/>
      <c r="CR458" s="1640"/>
      <c r="CS458" s="1640"/>
    </row>
    <row r="459" spans="1:107" ht="15" thickBot="1" x14ac:dyDescent="0.2">
      <c r="A459" s="1541" t="s">
        <v>87</v>
      </c>
      <c r="B459" s="1523" t="s">
        <v>79</v>
      </c>
      <c r="C459" s="1523" t="s">
        <v>80</v>
      </c>
      <c r="D459" s="1523" t="s">
        <v>125</v>
      </c>
      <c r="E459" s="1523" t="s">
        <v>215</v>
      </c>
      <c r="F459" s="1523"/>
      <c r="G459" s="1667">
        <v>223</v>
      </c>
      <c r="H459" s="1501">
        <f>2260.2-43-300-300</f>
        <v>1617.1999999999998</v>
      </c>
      <c r="I459" s="1645"/>
      <c r="J459" s="1630"/>
      <c r="K459" s="1630"/>
      <c r="L459" s="1631"/>
      <c r="M459" s="1631"/>
      <c r="N459" s="1631"/>
      <c r="O459" s="1631"/>
      <c r="P459" s="1631"/>
      <c r="Q459" s="1631"/>
      <c r="R459" s="1631"/>
      <c r="S459" s="1631"/>
      <c r="T459" s="1632"/>
      <c r="U459" s="1633"/>
      <c r="V459" s="1633"/>
      <c r="W459" s="1634"/>
      <c r="X459" s="1634"/>
      <c r="Y459" s="1634"/>
      <c r="Z459" s="1635"/>
      <c r="AA459" s="1634">
        <f t="shared" si="339"/>
        <v>67.591999999999871</v>
      </c>
      <c r="AB459" s="1634">
        <v>1549.6079999999999</v>
      </c>
      <c r="AC459" s="1508">
        <f t="shared" si="333"/>
        <v>1617.1999999999998</v>
      </c>
      <c r="AD459" s="1509">
        <f t="shared" si="334"/>
        <v>0</v>
      </c>
      <c r="AE459" s="1509">
        <f t="shared" si="335"/>
        <v>0</v>
      </c>
      <c r="AF459" s="1509">
        <f t="shared" si="335"/>
        <v>0</v>
      </c>
      <c r="AG459" s="1509">
        <f t="shared" si="335"/>
        <v>0</v>
      </c>
      <c r="AH459" s="1490">
        <f t="shared" si="308"/>
        <v>67.56</v>
      </c>
      <c r="AI459" s="1636">
        <f t="shared" si="336"/>
        <v>0</v>
      </c>
      <c r="AJ459" s="1636">
        <f t="shared" si="337"/>
        <v>0</v>
      </c>
      <c r="AK459" s="1636">
        <f t="shared" si="338"/>
        <v>0</v>
      </c>
      <c r="AL459" s="1636">
        <f t="shared" si="300"/>
        <v>0</v>
      </c>
      <c r="AM459" s="1636">
        <f t="shared" si="300"/>
        <v>0</v>
      </c>
      <c r="AN459" s="1637"/>
      <c r="AO459" s="1722">
        <v>188.4</v>
      </c>
      <c r="AP459" s="1638"/>
      <c r="AQ459" s="1638"/>
      <c r="AR459" s="1638"/>
      <c r="AS459" s="1639">
        <v>188.4</v>
      </c>
      <c r="AT459" s="1638"/>
      <c r="AU459" s="1638"/>
      <c r="AV459" s="1638"/>
      <c r="AW459" s="1639"/>
      <c r="AX459" s="1640"/>
      <c r="AY459" s="1640"/>
      <c r="AZ459" s="1640"/>
      <c r="BA459" s="1641"/>
      <c r="BB459" s="1640"/>
      <c r="BC459" s="1640"/>
      <c r="BD459" s="1640"/>
      <c r="BE459" s="1644">
        <v>458.14</v>
      </c>
      <c r="BF459" s="1640"/>
      <c r="BG459" s="1640"/>
      <c r="BH459" s="1640"/>
      <c r="BI459" s="1641">
        <v>229.1</v>
      </c>
      <c r="BJ459" s="1640"/>
      <c r="BK459" s="1640"/>
      <c r="BL459" s="1640"/>
      <c r="BM459" s="1641"/>
      <c r="BN459" s="1640"/>
      <c r="BO459" s="1640"/>
      <c r="BP459" s="1640"/>
      <c r="BQ459" s="1641">
        <v>229</v>
      </c>
      <c r="BR459" s="1640"/>
      <c r="BS459" s="1640"/>
      <c r="BT459" s="1640"/>
      <c r="BU459" s="1641">
        <v>42.3</v>
      </c>
      <c r="BV459" s="1640"/>
      <c r="BW459" s="1640"/>
      <c r="BX459" s="1640"/>
      <c r="BY459" s="1641">
        <v>214.3</v>
      </c>
      <c r="BZ459" s="1640"/>
      <c r="CA459" s="1640"/>
      <c r="CB459" s="1640"/>
      <c r="CC459" s="1641"/>
      <c r="CD459" s="1640"/>
      <c r="CE459" s="1640"/>
      <c r="CF459" s="1640"/>
      <c r="CG459" s="1642"/>
      <c r="CH459" s="1641">
        <f t="shared" si="340"/>
        <v>67.56</v>
      </c>
      <c r="CI459" s="1641">
        <f t="shared" si="340"/>
        <v>0</v>
      </c>
      <c r="CJ459" s="1641">
        <f t="shared" si="340"/>
        <v>0</v>
      </c>
      <c r="CK459" s="1641">
        <f t="shared" si="340"/>
        <v>0</v>
      </c>
      <c r="CL459" s="1889">
        <v>67.56</v>
      </c>
      <c r="CM459" s="1889">
        <v>0</v>
      </c>
      <c r="CN459" s="1889">
        <v>0</v>
      </c>
      <c r="CO459" s="1889">
        <v>0</v>
      </c>
      <c r="CP459" s="1641"/>
      <c r="CQ459" s="1640"/>
      <c r="CR459" s="1640"/>
      <c r="CS459" s="1640"/>
    </row>
    <row r="460" spans="1:107" ht="15" thickBot="1" x14ac:dyDescent="0.2">
      <c r="A460" s="1541" t="s">
        <v>134</v>
      </c>
      <c r="B460" s="1523" t="s">
        <v>79</v>
      </c>
      <c r="C460" s="1523" t="s">
        <v>80</v>
      </c>
      <c r="D460" s="1523" t="s">
        <v>125</v>
      </c>
      <c r="E460" s="1523" t="s">
        <v>215</v>
      </c>
      <c r="F460" s="1523"/>
      <c r="G460" s="1667">
        <v>224</v>
      </c>
      <c r="H460" s="1501">
        <v>0</v>
      </c>
      <c r="I460" s="1645"/>
      <c r="J460" s="1630"/>
      <c r="K460" s="1630"/>
      <c r="L460" s="1631"/>
      <c r="M460" s="1631"/>
      <c r="N460" s="1631"/>
      <c r="O460" s="1631"/>
      <c r="P460" s="1631"/>
      <c r="Q460" s="1631"/>
      <c r="R460" s="1631"/>
      <c r="S460" s="1631"/>
      <c r="T460" s="1632"/>
      <c r="U460" s="1633"/>
      <c r="V460" s="1633"/>
      <c r="W460" s="1634"/>
      <c r="X460" s="1634"/>
      <c r="Y460" s="1634"/>
      <c r="Z460" s="1635"/>
      <c r="AA460" s="1634">
        <f t="shared" si="339"/>
        <v>0</v>
      </c>
      <c r="AB460" s="1634">
        <v>0</v>
      </c>
      <c r="AC460" s="1508">
        <f t="shared" si="333"/>
        <v>0</v>
      </c>
      <c r="AD460" s="1509">
        <f t="shared" si="334"/>
        <v>0</v>
      </c>
      <c r="AE460" s="1509">
        <f t="shared" si="335"/>
        <v>0</v>
      </c>
      <c r="AF460" s="1509">
        <f t="shared" si="335"/>
        <v>0</v>
      </c>
      <c r="AG460" s="1509">
        <f t="shared" si="335"/>
        <v>0</v>
      </c>
      <c r="AH460" s="1490">
        <f t="shared" si="308"/>
        <v>0</v>
      </c>
      <c r="AI460" s="1636">
        <f t="shared" si="336"/>
        <v>0</v>
      </c>
      <c r="AJ460" s="1636">
        <f t="shared" si="337"/>
        <v>0</v>
      </c>
      <c r="AK460" s="1636">
        <f t="shared" si="338"/>
        <v>0</v>
      </c>
      <c r="AL460" s="1636">
        <f t="shared" si="300"/>
        <v>0</v>
      </c>
      <c r="AM460" s="1636">
        <f t="shared" si="300"/>
        <v>0</v>
      </c>
      <c r="AN460" s="1637"/>
      <c r="AO460" s="1722">
        <v>0</v>
      </c>
      <c r="AP460" s="1638"/>
      <c r="AQ460" s="1638"/>
      <c r="AR460" s="1638"/>
      <c r="AS460" s="1639"/>
      <c r="AT460" s="1638"/>
      <c r="AU460" s="1638"/>
      <c r="AV460" s="1638"/>
      <c r="AW460" s="1639"/>
      <c r="AX460" s="1640"/>
      <c r="AY460" s="1640"/>
      <c r="AZ460" s="1640"/>
      <c r="BA460" s="1641"/>
      <c r="BB460" s="1640"/>
      <c r="BC460" s="1640"/>
      <c r="BD460" s="1640"/>
      <c r="BE460" s="1644"/>
      <c r="BF460" s="1640"/>
      <c r="BG460" s="1640"/>
      <c r="BH460" s="1640"/>
      <c r="BI460" s="1641"/>
      <c r="BJ460" s="1640"/>
      <c r="BK460" s="1640"/>
      <c r="BL460" s="1640"/>
      <c r="BM460" s="1641"/>
      <c r="BN460" s="1640"/>
      <c r="BO460" s="1640"/>
      <c r="BP460" s="1640"/>
      <c r="BQ460" s="1641"/>
      <c r="BR460" s="1640"/>
      <c r="BS460" s="1640"/>
      <c r="BT460" s="1640"/>
      <c r="BU460" s="1641"/>
      <c r="BV460" s="1640"/>
      <c r="BW460" s="1640"/>
      <c r="BX460" s="1640"/>
      <c r="BY460" s="1641"/>
      <c r="BZ460" s="1640"/>
      <c r="CA460" s="1640"/>
      <c r="CB460" s="1640"/>
      <c r="CC460" s="1641"/>
      <c r="CD460" s="1640"/>
      <c r="CE460" s="1640"/>
      <c r="CF460" s="1640"/>
      <c r="CG460" s="1642"/>
      <c r="CH460" s="1641">
        <f t="shared" si="340"/>
        <v>0</v>
      </c>
      <c r="CI460" s="1641">
        <f t="shared" si="340"/>
        <v>0</v>
      </c>
      <c r="CJ460" s="1641">
        <f t="shared" si="340"/>
        <v>0</v>
      </c>
      <c r="CK460" s="1641">
        <f t="shared" si="340"/>
        <v>0</v>
      </c>
      <c r="CL460" s="1889">
        <v>0</v>
      </c>
      <c r="CM460" s="1889">
        <v>0</v>
      </c>
      <c r="CN460" s="1889">
        <v>0</v>
      </c>
      <c r="CO460" s="1889">
        <v>0</v>
      </c>
      <c r="CP460" s="1641"/>
      <c r="CQ460" s="1640"/>
      <c r="CR460" s="1640"/>
      <c r="CS460" s="1640"/>
    </row>
    <row r="461" spans="1:107" ht="15" thickBot="1" x14ac:dyDescent="0.2">
      <c r="A461" s="1541" t="s">
        <v>90</v>
      </c>
      <c r="B461" s="1523" t="s">
        <v>79</v>
      </c>
      <c r="C461" s="1523" t="s">
        <v>80</v>
      </c>
      <c r="D461" s="1523" t="s">
        <v>125</v>
      </c>
      <c r="E461" s="1523" t="s">
        <v>215</v>
      </c>
      <c r="F461" s="1523"/>
      <c r="G461" s="1667">
        <v>225</v>
      </c>
      <c r="H461" s="1501">
        <f>21.2+9900+36+24+36+10+10+150</f>
        <v>10187.200000000001</v>
      </c>
      <c r="I461" s="1645">
        <v>536.79999999999995</v>
      </c>
      <c r="J461" s="1630">
        <f>2000-V461</f>
        <v>1299.96</v>
      </c>
      <c r="K461" s="1630"/>
      <c r="L461" s="1631"/>
      <c r="M461" s="1631"/>
      <c r="N461" s="1631"/>
      <c r="O461" s="1631"/>
      <c r="P461" s="1631"/>
      <c r="Q461" s="1631"/>
      <c r="R461" s="1631"/>
      <c r="S461" s="1631"/>
      <c r="T461" s="1632"/>
      <c r="U461" s="1633"/>
      <c r="V461" s="1633">
        <v>700.04</v>
      </c>
      <c r="W461" s="1634"/>
      <c r="X461" s="1634"/>
      <c r="Y461" s="1634"/>
      <c r="Z461" s="1635"/>
      <c r="AA461" s="1634">
        <f t="shared" si="339"/>
        <v>287.20000000000073</v>
      </c>
      <c r="AB461" s="1634">
        <v>9900</v>
      </c>
      <c r="AC461" s="1508">
        <f t="shared" si="333"/>
        <v>10187.200000000001</v>
      </c>
      <c r="AD461" s="1509">
        <f t="shared" si="334"/>
        <v>1836.76</v>
      </c>
      <c r="AE461" s="1509">
        <f t="shared" si="335"/>
        <v>536.79999999999995</v>
      </c>
      <c r="AF461" s="1509">
        <f t="shared" si="335"/>
        <v>1299.96</v>
      </c>
      <c r="AG461" s="1509">
        <f t="shared" si="335"/>
        <v>0</v>
      </c>
      <c r="AH461" s="1490">
        <f t="shared" si="308"/>
        <v>137.19999999999999</v>
      </c>
      <c r="AI461" s="1636">
        <f t="shared" si="336"/>
        <v>0</v>
      </c>
      <c r="AJ461" s="1636">
        <f t="shared" si="337"/>
        <v>0</v>
      </c>
      <c r="AK461" s="1636">
        <f t="shared" si="338"/>
        <v>0</v>
      </c>
      <c r="AL461" s="1636">
        <f t="shared" si="300"/>
        <v>0</v>
      </c>
      <c r="AM461" s="1636">
        <f t="shared" si="300"/>
        <v>0</v>
      </c>
      <c r="AN461" s="1637"/>
      <c r="AO461" s="1723"/>
      <c r="AP461" s="1638"/>
      <c r="AQ461" s="1638"/>
      <c r="AR461" s="1638"/>
      <c r="AS461" s="1639"/>
      <c r="AT461" s="1638"/>
      <c r="AU461" s="1638"/>
      <c r="AV461" s="1638"/>
      <c r="AW461" s="1639"/>
      <c r="AX461" s="1640"/>
      <c r="AY461" s="1640"/>
      <c r="AZ461" s="1640"/>
      <c r="BA461" s="1641">
        <v>9900</v>
      </c>
      <c r="BB461" s="1640"/>
      <c r="BC461" s="1640"/>
      <c r="BD461" s="1640"/>
      <c r="BE461" s="1644"/>
      <c r="BF461" s="1640"/>
      <c r="BG461" s="1640"/>
      <c r="BH461" s="1640"/>
      <c r="BI461" s="1641"/>
      <c r="BJ461" s="1640"/>
      <c r="BK461" s="1640"/>
      <c r="BL461" s="1640"/>
      <c r="BM461" s="1641"/>
      <c r="BN461" s="1640"/>
      <c r="BO461" s="1640"/>
      <c r="BP461" s="1640"/>
      <c r="BQ461" s="1641">
        <v>150</v>
      </c>
      <c r="BR461" s="1640"/>
      <c r="BS461" s="1640"/>
      <c r="BT461" s="1640"/>
      <c r="BU461" s="1641"/>
      <c r="BV461" s="1640"/>
      <c r="BW461" s="1640"/>
      <c r="BX461" s="1640"/>
      <c r="BY461" s="1641"/>
      <c r="BZ461" s="1640"/>
      <c r="CA461" s="1640">
        <v>300</v>
      </c>
      <c r="CB461" s="1640"/>
      <c r="CC461" s="1641"/>
      <c r="CD461" s="1640"/>
      <c r="CE461" s="1640"/>
      <c r="CF461" s="1640"/>
      <c r="CG461" s="1642"/>
      <c r="CH461" s="1641">
        <f t="shared" si="340"/>
        <v>137.19999999999999</v>
      </c>
      <c r="CI461" s="1641">
        <f t="shared" si="340"/>
        <v>536.79999999999995</v>
      </c>
      <c r="CJ461" s="1641">
        <f t="shared" si="340"/>
        <v>999.96</v>
      </c>
      <c r="CK461" s="1641">
        <f t="shared" si="340"/>
        <v>0</v>
      </c>
      <c r="CL461" s="1889">
        <v>137.19999999999999</v>
      </c>
      <c r="CM461" s="1889">
        <v>536.79999999999995</v>
      </c>
      <c r="CN461" s="1889">
        <v>999.96</v>
      </c>
      <c r="CO461" s="1889">
        <v>0</v>
      </c>
      <c r="CP461" s="1641"/>
      <c r="CQ461" s="1640"/>
      <c r="CR461" s="1640"/>
      <c r="CS461" s="1640"/>
    </row>
    <row r="462" spans="1:107" ht="15" thickBot="1" x14ac:dyDescent="0.2">
      <c r="A462" s="1541" t="s">
        <v>91</v>
      </c>
      <c r="B462" s="1523" t="s">
        <v>79</v>
      </c>
      <c r="C462" s="1523" t="s">
        <v>80</v>
      </c>
      <c r="D462" s="1523" t="s">
        <v>125</v>
      </c>
      <c r="E462" s="1523" t="s">
        <v>215</v>
      </c>
      <c r="F462" s="1523"/>
      <c r="G462" s="1667">
        <v>226</v>
      </c>
      <c r="H462" s="1501">
        <f>35.046+6+87.6+15+5</f>
        <v>148.64599999999999</v>
      </c>
      <c r="I462" s="1645">
        <v>4690</v>
      </c>
      <c r="J462" s="1630"/>
      <c r="K462" s="1630"/>
      <c r="L462" s="1631"/>
      <c r="M462" s="1631">
        <v>63</v>
      </c>
      <c r="N462" s="1631"/>
      <c r="O462" s="1631">
        <v>32.178750000000001</v>
      </c>
      <c r="P462" s="1631"/>
      <c r="Q462" s="1631"/>
      <c r="R462" s="1631"/>
      <c r="S462" s="1631">
        <v>3400</v>
      </c>
      <c r="T462" s="1632"/>
      <c r="U462" s="1633"/>
      <c r="V462" s="1633"/>
      <c r="W462" s="1634"/>
      <c r="X462" s="1634"/>
      <c r="Y462" s="1634"/>
      <c r="Z462" s="1635"/>
      <c r="AA462" s="1634">
        <f t="shared" si="339"/>
        <v>-36.403999999999996</v>
      </c>
      <c r="AB462" s="1634">
        <v>185.05</v>
      </c>
      <c r="AC462" s="1508">
        <f t="shared" si="333"/>
        <v>148.64600000000002</v>
      </c>
      <c r="AD462" s="1509">
        <f t="shared" si="334"/>
        <v>4690</v>
      </c>
      <c r="AE462" s="1509">
        <f t="shared" si="335"/>
        <v>4690</v>
      </c>
      <c r="AF462" s="1509">
        <f t="shared" si="335"/>
        <v>0</v>
      </c>
      <c r="AG462" s="1509">
        <f t="shared" si="335"/>
        <v>0</v>
      </c>
      <c r="AH462" s="1490">
        <f t="shared" si="308"/>
        <v>145.77475000000001</v>
      </c>
      <c r="AI462" s="1636">
        <f t="shared" si="336"/>
        <v>0</v>
      </c>
      <c r="AJ462" s="1636">
        <f t="shared" si="337"/>
        <v>0</v>
      </c>
      <c r="AK462" s="1636">
        <f t="shared" si="338"/>
        <v>0</v>
      </c>
      <c r="AL462" s="1636">
        <f t="shared" si="300"/>
        <v>0</v>
      </c>
      <c r="AM462" s="1636">
        <f t="shared" si="300"/>
        <v>0</v>
      </c>
      <c r="AN462" s="1637"/>
      <c r="AO462" s="1723"/>
      <c r="AP462" s="1638">
        <v>25</v>
      </c>
      <c r="AQ462" s="1638"/>
      <c r="AR462" s="1638"/>
      <c r="AS462" s="1639"/>
      <c r="AT462" s="1638"/>
      <c r="AU462" s="1638"/>
      <c r="AV462" s="1638"/>
      <c r="AW462" s="1639"/>
      <c r="AX462" s="1640"/>
      <c r="AY462" s="1640"/>
      <c r="AZ462" s="1640"/>
      <c r="BA462" s="1641"/>
      <c r="BB462" s="1640"/>
      <c r="BC462" s="1640"/>
      <c r="BD462" s="1640"/>
      <c r="BE462" s="1644"/>
      <c r="BF462" s="1640"/>
      <c r="BG462" s="1640"/>
      <c r="BH462" s="1640"/>
      <c r="BI462" s="1641"/>
      <c r="BJ462" s="1640"/>
      <c r="BK462" s="1640"/>
      <c r="BL462" s="1640"/>
      <c r="BM462" s="1641"/>
      <c r="BN462" s="1640"/>
      <c r="BO462" s="1640"/>
      <c r="BP462" s="1640"/>
      <c r="BQ462" s="1641">
        <v>35.049999999999997</v>
      </c>
      <c r="BR462" s="1640"/>
      <c r="BS462" s="1640"/>
      <c r="BT462" s="1640"/>
      <c r="BU462" s="1641"/>
      <c r="BV462" s="1640">
        <v>200</v>
      </c>
      <c r="BW462" s="1640"/>
      <c r="BX462" s="1640"/>
      <c r="BY462" s="1641"/>
      <c r="BZ462" s="1640"/>
      <c r="CA462" s="1640"/>
      <c r="CB462" s="1640"/>
      <c r="CC462" s="1641"/>
      <c r="CD462" s="1640"/>
      <c r="CE462" s="1640"/>
      <c r="CF462" s="1640"/>
      <c r="CG462" s="1642">
        <v>32.178750000000001</v>
      </c>
      <c r="CH462" s="1641">
        <f t="shared" si="340"/>
        <v>113.596</v>
      </c>
      <c r="CI462" s="1641">
        <f t="shared" si="340"/>
        <v>4465</v>
      </c>
      <c r="CJ462" s="1641">
        <f t="shared" si="340"/>
        <v>0</v>
      </c>
      <c r="CK462" s="1641">
        <f t="shared" si="340"/>
        <v>0</v>
      </c>
      <c r="CL462" s="1889">
        <v>113.596</v>
      </c>
      <c r="CM462" s="1889">
        <v>665</v>
      </c>
      <c r="CN462" s="1889">
        <v>0</v>
      </c>
      <c r="CO462" s="1889">
        <v>0</v>
      </c>
      <c r="CP462" s="1641"/>
      <c r="CQ462" s="1640">
        <v>3800</v>
      </c>
      <c r="CR462" s="1640"/>
      <c r="CS462" s="1640"/>
    </row>
    <row r="463" spans="1:107" ht="15" thickBot="1" x14ac:dyDescent="0.2">
      <c r="A463" s="1541" t="s">
        <v>94</v>
      </c>
      <c r="B463" s="1523" t="s">
        <v>79</v>
      </c>
      <c r="C463" s="1523" t="s">
        <v>80</v>
      </c>
      <c r="D463" s="1523" t="s">
        <v>125</v>
      </c>
      <c r="E463" s="1523" t="s">
        <v>215</v>
      </c>
      <c r="F463" s="1523"/>
      <c r="G463" s="1667">
        <v>290</v>
      </c>
      <c r="H463" s="1501">
        <f>1892.2-96.2</f>
        <v>1796</v>
      </c>
      <c r="I463" s="1645">
        <v>150</v>
      </c>
      <c r="J463" s="1630"/>
      <c r="K463" s="1630"/>
      <c r="L463" s="1631"/>
      <c r="M463" s="1631"/>
      <c r="N463" s="1631"/>
      <c r="O463" s="1631"/>
      <c r="P463" s="1631"/>
      <c r="Q463" s="1631"/>
      <c r="R463" s="1631"/>
      <c r="S463" s="1631"/>
      <c r="T463" s="1632"/>
      <c r="U463" s="1633"/>
      <c r="V463" s="1633"/>
      <c r="W463" s="1634"/>
      <c r="X463" s="1634"/>
      <c r="Y463" s="1634"/>
      <c r="Z463" s="1635"/>
      <c r="AA463" s="1634">
        <f t="shared" si="339"/>
        <v>449.01</v>
      </c>
      <c r="AB463" s="1634">
        <v>1346.99</v>
      </c>
      <c r="AC463" s="1508">
        <f t="shared" si="333"/>
        <v>1796</v>
      </c>
      <c r="AD463" s="1509">
        <f t="shared" si="334"/>
        <v>150</v>
      </c>
      <c r="AE463" s="1509">
        <f t="shared" si="335"/>
        <v>150</v>
      </c>
      <c r="AF463" s="1509">
        <f t="shared" si="335"/>
        <v>0</v>
      </c>
      <c r="AG463" s="1509">
        <f t="shared" si="335"/>
        <v>0</v>
      </c>
      <c r="AH463" s="1490">
        <f t="shared" si="308"/>
        <v>449</v>
      </c>
      <c r="AI463" s="1636">
        <f t="shared" si="336"/>
        <v>0</v>
      </c>
      <c r="AJ463" s="1636">
        <f t="shared" si="337"/>
        <v>0</v>
      </c>
      <c r="AK463" s="1636">
        <f t="shared" si="338"/>
        <v>0</v>
      </c>
      <c r="AL463" s="1636">
        <f t="shared" si="300"/>
        <v>0</v>
      </c>
      <c r="AM463" s="1636">
        <f t="shared" si="300"/>
        <v>0</v>
      </c>
      <c r="AN463" s="1637"/>
      <c r="AO463" s="1722">
        <v>157.69999999999999</v>
      </c>
      <c r="AP463" s="1638"/>
      <c r="AQ463" s="1638"/>
      <c r="AR463" s="1638"/>
      <c r="AS463" s="1639"/>
      <c r="AT463" s="1638"/>
      <c r="AU463" s="1638"/>
      <c r="AV463" s="1638"/>
      <c r="AW463" s="1639"/>
      <c r="AX463" s="1640"/>
      <c r="AY463" s="1640"/>
      <c r="AZ463" s="1640"/>
      <c r="BA463" s="1641"/>
      <c r="BB463" s="1640"/>
      <c r="BC463" s="1640"/>
      <c r="BD463" s="1640"/>
      <c r="BE463" s="1644">
        <v>441</v>
      </c>
      <c r="BF463" s="1640"/>
      <c r="BG463" s="1640"/>
      <c r="BH463" s="1640"/>
      <c r="BI463" s="1641"/>
      <c r="BJ463" s="1640"/>
      <c r="BK463" s="1640"/>
      <c r="BL463" s="1640"/>
      <c r="BM463" s="1641"/>
      <c r="BN463" s="1640"/>
      <c r="BO463" s="1640"/>
      <c r="BP463" s="1640"/>
      <c r="BQ463" s="1641"/>
      <c r="BR463" s="1640"/>
      <c r="BS463" s="1640"/>
      <c r="BT463" s="1640"/>
      <c r="BU463" s="1641">
        <v>748.3</v>
      </c>
      <c r="BV463" s="1640"/>
      <c r="BW463" s="1640"/>
      <c r="BX463" s="1640"/>
      <c r="BY463" s="1641"/>
      <c r="BZ463" s="1640"/>
      <c r="CA463" s="1640"/>
      <c r="CB463" s="1640"/>
      <c r="CC463" s="1641"/>
      <c r="CD463" s="1640"/>
      <c r="CE463" s="1640"/>
      <c r="CF463" s="1640"/>
      <c r="CG463" s="1642"/>
      <c r="CH463" s="1641">
        <f t="shared" si="340"/>
        <v>449</v>
      </c>
      <c r="CI463" s="1641">
        <f t="shared" si="340"/>
        <v>150</v>
      </c>
      <c r="CJ463" s="1641">
        <f t="shared" si="340"/>
        <v>0</v>
      </c>
      <c r="CK463" s="1641">
        <f t="shared" si="340"/>
        <v>0</v>
      </c>
      <c r="CL463" s="1889">
        <v>449</v>
      </c>
      <c r="CM463" s="1889">
        <v>150</v>
      </c>
      <c r="CN463" s="1889">
        <v>0</v>
      </c>
      <c r="CO463" s="1889">
        <v>0</v>
      </c>
      <c r="CP463" s="1641"/>
      <c r="CQ463" s="1640"/>
      <c r="CR463" s="1640"/>
      <c r="CS463" s="1640"/>
    </row>
    <row r="464" spans="1:107" ht="15" thickBot="1" x14ac:dyDescent="0.2">
      <c r="A464" s="1541" t="s">
        <v>94</v>
      </c>
      <c r="B464" s="1523" t="s">
        <v>79</v>
      </c>
      <c r="C464" s="1523" t="s">
        <v>80</v>
      </c>
      <c r="D464" s="1523" t="s">
        <v>125</v>
      </c>
      <c r="E464" s="1523" t="s">
        <v>215</v>
      </c>
      <c r="F464" s="1523"/>
      <c r="G464" s="1667" t="s">
        <v>95</v>
      </c>
      <c r="H464" s="1501">
        <v>0</v>
      </c>
      <c r="I464" s="1645"/>
      <c r="J464" s="1630"/>
      <c r="K464" s="1630"/>
      <c r="L464" s="1631"/>
      <c r="M464" s="1631"/>
      <c r="N464" s="1631"/>
      <c r="O464" s="1631"/>
      <c r="P464" s="1631"/>
      <c r="Q464" s="1631"/>
      <c r="R464" s="1631"/>
      <c r="S464" s="1631"/>
      <c r="T464" s="1632"/>
      <c r="U464" s="1633"/>
      <c r="V464" s="1633"/>
      <c r="W464" s="1634"/>
      <c r="X464" s="1634"/>
      <c r="Y464" s="1634"/>
      <c r="Z464" s="1635"/>
      <c r="AA464" s="1634">
        <f t="shared" si="339"/>
        <v>0</v>
      </c>
      <c r="AB464" s="1634"/>
      <c r="AC464" s="1508">
        <f t="shared" si="333"/>
        <v>0</v>
      </c>
      <c r="AD464" s="1509">
        <f t="shared" si="334"/>
        <v>0</v>
      </c>
      <c r="AE464" s="1509">
        <f t="shared" si="335"/>
        <v>0</v>
      </c>
      <c r="AF464" s="1509">
        <f t="shared" si="335"/>
        <v>0</v>
      </c>
      <c r="AG464" s="1509">
        <f t="shared" si="335"/>
        <v>0</v>
      </c>
      <c r="AH464" s="1490">
        <f t="shared" si="308"/>
        <v>0</v>
      </c>
      <c r="AI464" s="1636">
        <f t="shared" si="336"/>
        <v>0</v>
      </c>
      <c r="AJ464" s="1636">
        <f t="shared" si="337"/>
        <v>0</v>
      </c>
      <c r="AK464" s="1636">
        <f t="shared" si="338"/>
        <v>0</v>
      </c>
      <c r="AL464" s="1636">
        <f t="shared" si="300"/>
        <v>0</v>
      </c>
      <c r="AM464" s="1636">
        <f t="shared" si="300"/>
        <v>0</v>
      </c>
      <c r="AN464" s="1637"/>
      <c r="AO464" s="1722">
        <v>0</v>
      </c>
      <c r="AP464" s="1638"/>
      <c r="AQ464" s="1638"/>
      <c r="AR464" s="1638"/>
      <c r="AS464" s="1639"/>
      <c r="AT464" s="1638"/>
      <c r="AU464" s="1638"/>
      <c r="AV464" s="1638"/>
      <c r="AW464" s="1639"/>
      <c r="AX464" s="1640"/>
      <c r="AY464" s="1640"/>
      <c r="AZ464" s="1640"/>
      <c r="BA464" s="1641"/>
      <c r="BB464" s="1640"/>
      <c r="BC464" s="1640"/>
      <c r="BD464" s="1640"/>
      <c r="BE464" s="1644"/>
      <c r="BF464" s="1640"/>
      <c r="BG464" s="1640"/>
      <c r="BH464" s="1640"/>
      <c r="BI464" s="1641"/>
      <c r="BJ464" s="1640"/>
      <c r="BK464" s="1640"/>
      <c r="BL464" s="1640"/>
      <c r="BM464" s="1641"/>
      <c r="BN464" s="1640"/>
      <c r="BO464" s="1640"/>
      <c r="BP464" s="1640"/>
      <c r="BQ464" s="1641"/>
      <c r="BR464" s="1640"/>
      <c r="BS464" s="1640"/>
      <c r="BT464" s="1640"/>
      <c r="BU464" s="1641"/>
      <c r="BV464" s="1640"/>
      <c r="BW464" s="1640"/>
      <c r="BX464" s="1640"/>
      <c r="BY464" s="1641"/>
      <c r="BZ464" s="1640"/>
      <c r="CA464" s="1640"/>
      <c r="CB464" s="1640"/>
      <c r="CC464" s="1641"/>
      <c r="CD464" s="1640"/>
      <c r="CE464" s="1640"/>
      <c r="CF464" s="1640"/>
      <c r="CG464" s="1642"/>
      <c r="CH464" s="1641">
        <f t="shared" si="340"/>
        <v>0</v>
      </c>
      <c r="CI464" s="1641">
        <f t="shared" si="340"/>
        <v>0</v>
      </c>
      <c r="CJ464" s="1641">
        <f t="shared" si="340"/>
        <v>0</v>
      </c>
      <c r="CK464" s="1641">
        <f t="shared" si="340"/>
        <v>0</v>
      </c>
      <c r="CL464" s="1889">
        <v>0</v>
      </c>
      <c r="CM464" s="1889">
        <v>0</v>
      </c>
      <c r="CN464" s="1889">
        <v>0</v>
      </c>
      <c r="CO464" s="1889">
        <v>0</v>
      </c>
      <c r="CP464" s="1641"/>
      <c r="CQ464" s="1640"/>
      <c r="CR464" s="1640"/>
      <c r="CS464" s="1640"/>
    </row>
    <row r="465" spans="1:107" ht="15" thickBot="1" x14ac:dyDescent="0.2">
      <c r="A465" s="1541" t="s">
        <v>96</v>
      </c>
      <c r="B465" s="1523" t="s">
        <v>79</v>
      </c>
      <c r="C465" s="1523" t="s">
        <v>80</v>
      </c>
      <c r="D465" s="1523" t="s">
        <v>125</v>
      </c>
      <c r="E465" s="1523" t="s">
        <v>215</v>
      </c>
      <c r="F465" s="1523"/>
      <c r="G465" s="1667">
        <v>310</v>
      </c>
      <c r="H465" s="1501">
        <v>0</v>
      </c>
      <c r="I465" s="1645">
        <v>6924.2</v>
      </c>
      <c r="J465" s="1630"/>
      <c r="K465" s="1630"/>
      <c r="L465" s="1631"/>
      <c r="M465" s="1631"/>
      <c r="N465" s="1631"/>
      <c r="O465" s="1631"/>
      <c r="P465" s="1631"/>
      <c r="Q465" s="1631"/>
      <c r="R465" s="1631"/>
      <c r="S465" s="1631"/>
      <c r="T465" s="1632"/>
      <c r="U465" s="1633"/>
      <c r="V465" s="1633"/>
      <c r="W465" s="1634"/>
      <c r="X465" s="1634"/>
      <c r="Y465" s="1634"/>
      <c r="Z465" s="1635"/>
      <c r="AA465" s="1634">
        <f t="shared" si="339"/>
        <v>0</v>
      </c>
      <c r="AB465" s="1634"/>
      <c r="AC465" s="1508">
        <f t="shared" si="333"/>
        <v>0</v>
      </c>
      <c r="AD465" s="1509">
        <f t="shared" si="334"/>
        <v>6924.2</v>
      </c>
      <c r="AE465" s="1509">
        <f t="shared" si="335"/>
        <v>6924.2</v>
      </c>
      <c r="AF465" s="1509">
        <f t="shared" si="335"/>
        <v>0</v>
      </c>
      <c r="AG465" s="1509">
        <f t="shared" si="335"/>
        <v>0</v>
      </c>
      <c r="AH465" s="1490">
        <f t="shared" si="308"/>
        <v>0</v>
      </c>
      <c r="AI465" s="1636">
        <f t="shared" si="336"/>
        <v>0</v>
      </c>
      <c r="AJ465" s="1636">
        <f t="shared" si="337"/>
        <v>0</v>
      </c>
      <c r="AK465" s="1636">
        <f t="shared" si="338"/>
        <v>0</v>
      </c>
      <c r="AL465" s="1636">
        <f t="shared" si="300"/>
        <v>0</v>
      </c>
      <c r="AM465" s="1636">
        <f t="shared" si="300"/>
        <v>0</v>
      </c>
      <c r="AN465" s="1637"/>
      <c r="AO465" s="1723"/>
      <c r="AP465" s="1638"/>
      <c r="AQ465" s="1638"/>
      <c r="AR465" s="1638"/>
      <c r="AS465" s="1639"/>
      <c r="AT465" s="1638"/>
      <c r="AU465" s="1638"/>
      <c r="AV465" s="1638"/>
      <c r="AW465" s="1639"/>
      <c r="AX465" s="1640"/>
      <c r="AY465" s="1640"/>
      <c r="AZ465" s="1640"/>
      <c r="BA465" s="1641"/>
      <c r="BB465" s="1640"/>
      <c r="BC465" s="1640"/>
      <c r="BD465" s="1640"/>
      <c r="BE465" s="1644"/>
      <c r="BF465" s="1640">
        <v>450</v>
      </c>
      <c r="BG465" s="1640"/>
      <c r="BH465" s="1640"/>
      <c r="BI465" s="1641"/>
      <c r="BJ465" s="1640"/>
      <c r="BK465" s="1640"/>
      <c r="BL465" s="1640"/>
      <c r="BM465" s="1641"/>
      <c r="BN465" s="1640">
        <v>5252</v>
      </c>
      <c r="BO465" s="1640"/>
      <c r="BP465" s="1640"/>
      <c r="BQ465" s="1641"/>
      <c r="BR465" s="1640">
        <v>162</v>
      </c>
      <c r="BS465" s="1640"/>
      <c r="BT465" s="1640"/>
      <c r="BU465" s="1641"/>
      <c r="BV465" s="1640">
        <f>210+690</f>
        <v>900</v>
      </c>
      <c r="BW465" s="1640"/>
      <c r="BX465" s="1640"/>
      <c r="BY465" s="1641"/>
      <c r="BZ465" s="1640"/>
      <c r="CA465" s="1640"/>
      <c r="CB465" s="1640"/>
      <c r="CC465" s="1641"/>
      <c r="CD465" s="1640"/>
      <c r="CE465" s="1640"/>
      <c r="CF465" s="1640"/>
      <c r="CG465" s="1642"/>
      <c r="CH465" s="1641">
        <f t="shared" si="340"/>
        <v>0</v>
      </c>
      <c r="CI465" s="1641">
        <f t="shared" si="340"/>
        <v>160.19999999999999</v>
      </c>
      <c r="CJ465" s="1641">
        <f t="shared" si="340"/>
        <v>0</v>
      </c>
      <c r="CK465" s="1641">
        <f t="shared" si="340"/>
        <v>0</v>
      </c>
      <c r="CL465" s="1889">
        <v>0</v>
      </c>
      <c r="CM465" s="1889">
        <v>160.19999999999999</v>
      </c>
      <c r="CN465" s="1889">
        <v>0</v>
      </c>
      <c r="CO465" s="1889">
        <v>0</v>
      </c>
      <c r="CP465" s="1641"/>
      <c r="CQ465" s="1640"/>
      <c r="CR465" s="1640"/>
      <c r="CS465" s="1640"/>
    </row>
    <row r="466" spans="1:107" ht="15" thickBot="1" x14ac:dyDescent="0.2">
      <c r="A466" s="1541" t="s">
        <v>97</v>
      </c>
      <c r="B466" s="1523" t="s">
        <v>79</v>
      </c>
      <c r="C466" s="1523" t="s">
        <v>80</v>
      </c>
      <c r="D466" s="1523" t="s">
        <v>125</v>
      </c>
      <c r="E466" s="1523" t="s">
        <v>215</v>
      </c>
      <c r="F466" s="1523"/>
      <c r="G466" s="1667">
        <v>340</v>
      </c>
      <c r="H466" s="1501">
        <v>210.35400000000001</v>
      </c>
      <c r="I466" s="1645"/>
      <c r="J466" s="1630"/>
      <c r="K466" s="1630"/>
      <c r="L466" s="1631"/>
      <c r="M466" s="1631"/>
      <c r="N466" s="1631"/>
      <c r="O466" s="1631"/>
      <c r="P466" s="1631"/>
      <c r="Q466" s="1631"/>
      <c r="R466" s="1631"/>
      <c r="S466" s="1631"/>
      <c r="T466" s="1632"/>
      <c r="U466" s="1633"/>
      <c r="V466" s="1633"/>
      <c r="W466" s="1634"/>
      <c r="X466" s="1634"/>
      <c r="Y466" s="1634"/>
      <c r="Z466" s="1635"/>
      <c r="AA466" s="1634">
        <f t="shared" si="339"/>
        <v>192.67600000000002</v>
      </c>
      <c r="AB466" s="1634">
        <v>17.678000000000001</v>
      </c>
      <c r="AC466" s="1508">
        <f t="shared" si="333"/>
        <v>210.35400000000001</v>
      </c>
      <c r="AD466" s="1509">
        <f t="shared" si="334"/>
        <v>0</v>
      </c>
      <c r="AE466" s="1509">
        <f t="shared" si="335"/>
        <v>0</v>
      </c>
      <c r="AF466" s="1509">
        <f t="shared" si="335"/>
        <v>0</v>
      </c>
      <c r="AG466" s="1509">
        <f t="shared" si="335"/>
        <v>0</v>
      </c>
      <c r="AH466" s="1490">
        <f t="shared" si="308"/>
        <v>192.85400000000001</v>
      </c>
      <c r="AI466" s="1636">
        <f t="shared" si="336"/>
        <v>0</v>
      </c>
      <c r="AJ466" s="1636">
        <f t="shared" si="337"/>
        <v>0</v>
      </c>
      <c r="AK466" s="1636">
        <f t="shared" si="338"/>
        <v>0</v>
      </c>
      <c r="AL466" s="1636">
        <f>J466-AF466</f>
        <v>0</v>
      </c>
      <c r="AM466" s="1636">
        <f>K466-AG466</f>
        <v>0</v>
      </c>
      <c r="AN466" s="1637"/>
      <c r="AO466" s="1722">
        <v>17.5</v>
      </c>
      <c r="AP466" s="1638"/>
      <c r="AQ466" s="1638"/>
      <c r="AR466" s="1638"/>
      <c r="AS466" s="1639"/>
      <c r="AT466" s="1638"/>
      <c r="AU466" s="1638"/>
      <c r="AV466" s="1638"/>
      <c r="AW466" s="1639"/>
      <c r="AX466" s="1640"/>
      <c r="AY466" s="1640"/>
      <c r="AZ466" s="1640"/>
      <c r="BA466" s="1641"/>
      <c r="BB466" s="1640"/>
      <c r="BC466" s="1640"/>
      <c r="BD466" s="1640"/>
      <c r="BE466" s="1644"/>
      <c r="BF466" s="1640"/>
      <c r="BG466" s="1640"/>
      <c r="BH466" s="1640"/>
      <c r="BI466" s="1641"/>
      <c r="BJ466" s="1640"/>
      <c r="BK466" s="1640"/>
      <c r="BL466" s="1640"/>
      <c r="BM466" s="1641"/>
      <c r="BN466" s="1640"/>
      <c r="BO466" s="1640"/>
      <c r="BP466" s="1640"/>
      <c r="BQ466" s="1641"/>
      <c r="BR466" s="1640"/>
      <c r="BS466" s="1640"/>
      <c r="BT466" s="1640"/>
      <c r="BU466" s="1641"/>
      <c r="BV466" s="1640"/>
      <c r="BW466" s="1640"/>
      <c r="BX466" s="1640"/>
      <c r="BY466" s="1641"/>
      <c r="BZ466" s="1640"/>
      <c r="CA466" s="1640"/>
      <c r="CB466" s="1640"/>
      <c r="CC466" s="1641"/>
      <c r="CD466" s="1640"/>
      <c r="CE466" s="1640"/>
      <c r="CF466" s="1640"/>
      <c r="CG466" s="1642"/>
      <c r="CH466" s="1641">
        <f t="shared" si="340"/>
        <v>192.85400000000001</v>
      </c>
      <c r="CI466" s="1641">
        <f t="shared" si="340"/>
        <v>0</v>
      </c>
      <c r="CJ466" s="1641">
        <f t="shared" si="340"/>
        <v>0</v>
      </c>
      <c r="CK466" s="1641">
        <f t="shared" si="340"/>
        <v>0</v>
      </c>
      <c r="CL466" s="1889">
        <v>192.85400000000001</v>
      </c>
      <c r="CM466" s="1889">
        <v>0</v>
      </c>
      <c r="CN466" s="1889">
        <v>0</v>
      </c>
      <c r="CO466" s="1889">
        <v>0</v>
      </c>
      <c r="CP466" s="1641"/>
      <c r="CQ466" s="1640"/>
      <c r="CR466" s="1640"/>
      <c r="CS466" s="1640"/>
    </row>
    <row r="467" spans="1:107" ht="15" thickBot="1" x14ac:dyDescent="0.2">
      <c r="A467" s="1528" t="s">
        <v>767</v>
      </c>
      <c r="B467" s="1530" t="s">
        <v>79</v>
      </c>
      <c r="C467" s="1530" t="s">
        <v>80</v>
      </c>
      <c r="D467" s="1530" t="s">
        <v>125</v>
      </c>
      <c r="E467" s="1530" t="s">
        <v>215</v>
      </c>
      <c r="F467" s="1530" t="s">
        <v>768</v>
      </c>
      <c r="G467" s="1600" t="s">
        <v>766</v>
      </c>
      <c r="H467" s="1647">
        <f>I453</f>
        <v>12451</v>
      </c>
      <c r="I467" s="1645"/>
      <c r="J467" s="1630"/>
      <c r="K467" s="1630"/>
      <c r="L467" s="1631"/>
      <c r="M467" s="1631"/>
      <c r="N467" s="1631"/>
      <c r="O467" s="1631"/>
      <c r="P467" s="1631"/>
      <c r="Q467" s="1631"/>
      <c r="R467" s="1631"/>
      <c r="S467" s="1631"/>
      <c r="T467" s="1632"/>
      <c r="U467" s="1633"/>
      <c r="V467" s="1633"/>
      <c r="W467" s="1634"/>
      <c r="X467" s="1634"/>
      <c r="Y467" s="1634"/>
      <c r="Z467" s="1635"/>
      <c r="AA467" s="1634"/>
      <c r="AB467" s="1634"/>
      <c r="AC467" s="1508">
        <f t="shared" si="333"/>
        <v>0</v>
      </c>
      <c r="AD467" s="1509">
        <f t="shared" si="334"/>
        <v>0</v>
      </c>
      <c r="AE467" s="1509">
        <f>AP467+AT467+AX467+BB467+BF467+BJ467+BN467+BR467+BV467+BZ467+CD467+CI467</f>
        <v>0</v>
      </c>
      <c r="AF467" s="1509"/>
      <c r="AG467" s="1509"/>
      <c r="AH467" s="1490">
        <f t="shared" si="308"/>
        <v>0</v>
      </c>
      <c r="AI467" s="1636"/>
      <c r="AJ467" s="1636"/>
      <c r="AK467" s="1636"/>
      <c r="AL467" s="1636">
        <f>J467-AF467</f>
        <v>0</v>
      </c>
      <c r="AM467" s="1636"/>
      <c r="AN467" s="1712"/>
      <c r="AO467" s="1713"/>
      <c r="AP467" s="1638"/>
      <c r="AQ467" s="1638"/>
      <c r="AR467" s="1638"/>
      <c r="AS467" s="1639"/>
      <c r="AT467" s="1638"/>
      <c r="AU467" s="1638"/>
      <c r="AV467" s="1638"/>
      <c r="AW467" s="1639"/>
      <c r="AX467" s="1640"/>
      <c r="AY467" s="1640"/>
      <c r="AZ467" s="1640"/>
      <c r="BA467" s="1641"/>
      <c r="BB467" s="1640"/>
      <c r="BC467" s="1640"/>
      <c r="BD467" s="1640"/>
      <c r="BE467" s="1644"/>
      <c r="BF467" s="1640"/>
      <c r="BG467" s="1640"/>
      <c r="BH467" s="1640"/>
      <c r="BI467" s="1641"/>
      <c r="BJ467" s="1640"/>
      <c r="BK467" s="1640"/>
      <c r="BL467" s="1640"/>
      <c r="BM467" s="1641"/>
      <c r="BN467" s="1640"/>
      <c r="BO467" s="1640"/>
      <c r="BP467" s="1640"/>
      <c r="BQ467" s="1641"/>
      <c r="BR467" s="1640"/>
      <c r="BS467" s="1640"/>
      <c r="BT467" s="1640"/>
      <c r="BU467" s="1641"/>
      <c r="BV467" s="1640"/>
      <c r="BW467" s="1640"/>
      <c r="BX467" s="1640"/>
      <c r="BY467" s="1641"/>
      <c r="BZ467" s="1640"/>
      <c r="CA467" s="1640"/>
      <c r="CB467" s="1640"/>
      <c r="CC467" s="1641"/>
      <c r="CD467" s="1640"/>
      <c r="CE467" s="1640"/>
      <c r="CF467" s="1640"/>
      <c r="CG467" s="1642"/>
      <c r="CH467" s="1641">
        <f t="shared" si="340"/>
        <v>0</v>
      </c>
      <c r="CI467" s="1641">
        <f t="shared" si="340"/>
        <v>0</v>
      </c>
      <c r="CJ467" s="1641">
        <f t="shared" si="340"/>
        <v>0</v>
      </c>
      <c r="CK467" s="1641">
        <f t="shared" si="340"/>
        <v>0</v>
      </c>
      <c r="CL467" s="1898"/>
      <c r="CM467" s="1898"/>
      <c r="CN467" s="1889">
        <v>0</v>
      </c>
      <c r="CO467" s="1898"/>
      <c r="CP467" s="1641"/>
      <c r="CQ467" s="1640"/>
      <c r="CR467" s="1640"/>
      <c r="CS467" s="1640"/>
    </row>
    <row r="468" spans="1:107" s="1886" customFormat="1" ht="27" thickBot="1" x14ac:dyDescent="0.2">
      <c r="A468" s="1873" t="s">
        <v>1273</v>
      </c>
      <c r="B468" s="1780" t="s">
        <v>79</v>
      </c>
      <c r="C468" s="1780" t="s">
        <v>80</v>
      </c>
      <c r="D468" s="1780" t="s">
        <v>125</v>
      </c>
      <c r="E468" s="1780" t="s">
        <v>215</v>
      </c>
      <c r="F468" s="1780">
        <v>600</v>
      </c>
      <c r="G468" s="1874"/>
      <c r="H468" s="1875">
        <f>H469+H483</f>
        <v>9716.1999999999989</v>
      </c>
      <c r="I468" s="1875">
        <f t="shared" ref="I468:CF468" si="341">I469+I483</f>
        <v>0</v>
      </c>
      <c r="J468" s="1875">
        <f>J469+J483</f>
        <v>60.600000000000023</v>
      </c>
      <c r="K468" s="1875">
        <f t="shared" si="341"/>
        <v>0</v>
      </c>
      <c r="L468" s="1876"/>
      <c r="M468" s="1876"/>
      <c r="N468" s="1876"/>
      <c r="O468" s="1876"/>
      <c r="P468" s="1876"/>
      <c r="Q468" s="1876"/>
      <c r="R468" s="1876"/>
      <c r="S468" s="1876"/>
      <c r="T468" s="1877"/>
      <c r="U468" s="1878"/>
      <c r="V468" s="1878"/>
      <c r="W468" s="1879"/>
      <c r="X468" s="1879"/>
      <c r="Y468" s="1879"/>
      <c r="Z468" s="1880"/>
      <c r="AA468" s="1879"/>
      <c r="AB468" s="1879"/>
      <c r="AC468" s="1881">
        <f t="shared" si="341"/>
        <v>9716.2000000000007</v>
      </c>
      <c r="AD468" s="1881">
        <f t="shared" si="341"/>
        <v>60.6</v>
      </c>
      <c r="AE468" s="1881">
        <f t="shared" si="341"/>
        <v>0</v>
      </c>
      <c r="AF468" s="1881">
        <f t="shared" si="341"/>
        <v>60.6</v>
      </c>
      <c r="AG468" s="1881">
        <f t="shared" si="341"/>
        <v>0</v>
      </c>
      <c r="AH468" s="1490">
        <f t="shared" si="308"/>
        <v>1267.31</v>
      </c>
      <c r="AI468" s="1882">
        <f t="shared" si="341"/>
        <v>0</v>
      </c>
      <c r="AJ468" s="1882">
        <f t="shared" si="341"/>
        <v>0</v>
      </c>
      <c r="AK468" s="1882">
        <f t="shared" si="341"/>
        <v>0</v>
      </c>
      <c r="AL468" s="1636">
        <f>J468-AF468</f>
        <v>0</v>
      </c>
      <c r="AM468" s="1882">
        <f t="shared" si="341"/>
        <v>0</v>
      </c>
      <c r="AN468" s="1883"/>
      <c r="AO468" s="1875">
        <f t="shared" si="341"/>
        <v>740.09999999999991</v>
      </c>
      <c r="AP468" s="1875">
        <f t="shared" si="341"/>
        <v>0</v>
      </c>
      <c r="AQ468" s="1875">
        <f t="shared" si="341"/>
        <v>0</v>
      </c>
      <c r="AR468" s="1875">
        <f t="shared" si="341"/>
        <v>0</v>
      </c>
      <c r="AS468" s="1880">
        <f t="shared" si="341"/>
        <v>721.8</v>
      </c>
      <c r="AT468" s="1875">
        <f t="shared" si="341"/>
        <v>0</v>
      </c>
      <c r="AU468" s="1875">
        <f t="shared" si="341"/>
        <v>0</v>
      </c>
      <c r="AV468" s="1875">
        <f t="shared" si="341"/>
        <v>0</v>
      </c>
      <c r="AW468" s="1880">
        <f t="shared" si="341"/>
        <v>699.59999999999991</v>
      </c>
      <c r="AX468" s="1875">
        <f t="shared" si="341"/>
        <v>0</v>
      </c>
      <c r="AY468" s="1875">
        <f t="shared" si="341"/>
        <v>0</v>
      </c>
      <c r="AZ468" s="1875">
        <f t="shared" si="341"/>
        <v>0</v>
      </c>
      <c r="BA468" s="1883">
        <f t="shared" si="341"/>
        <v>699.56999999999994</v>
      </c>
      <c r="BB468" s="1875">
        <f t="shared" si="341"/>
        <v>0</v>
      </c>
      <c r="BC468" s="1875">
        <f t="shared" si="341"/>
        <v>0</v>
      </c>
      <c r="BD468" s="1875">
        <f t="shared" si="341"/>
        <v>0</v>
      </c>
      <c r="BE468" s="1539">
        <f t="shared" si="341"/>
        <v>790.56</v>
      </c>
      <c r="BF468" s="1875">
        <f t="shared" si="341"/>
        <v>0</v>
      </c>
      <c r="BG468" s="1875">
        <f t="shared" si="341"/>
        <v>0</v>
      </c>
      <c r="BH468" s="1875">
        <f t="shared" si="341"/>
        <v>0</v>
      </c>
      <c r="BI468" s="1883">
        <f t="shared" si="341"/>
        <v>242.625</v>
      </c>
      <c r="BJ468" s="1875">
        <f t="shared" si="341"/>
        <v>0</v>
      </c>
      <c r="BK468" s="1875">
        <f t="shared" si="341"/>
        <v>0</v>
      </c>
      <c r="BL468" s="1875">
        <f t="shared" si="341"/>
        <v>0</v>
      </c>
      <c r="BM468" s="1883">
        <f t="shared" si="341"/>
        <v>1184.2750000000001</v>
      </c>
      <c r="BN468" s="1875">
        <f t="shared" si="341"/>
        <v>0</v>
      </c>
      <c r="BO468" s="1875">
        <f t="shared" si="341"/>
        <v>0</v>
      </c>
      <c r="BP468" s="1875">
        <f t="shared" si="341"/>
        <v>0</v>
      </c>
      <c r="BQ468" s="1883">
        <f t="shared" si="341"/>
        <v>807.04999999999984</v>
      </c>
      <c r="BR468" s="1875">
        <f t="shared" si="341"/>
        <v>0</v>
      </c>
      <c r="BS468" s="1875">
        <f t="shared" si="341"/>
        <v>0</v>
      </c>
      <c r="BT468" s="1875">
        <f t="shared" si="341"/>
        <v>0</v>
      </c>
      <c r="BU468" s="1883">
        <f t="shared" si="341"/>
        <v>924.79999999999984</v>
      </c>
      <c r="BV468" s="1875">
        <f t="shared" si="341"/>
        <v>0</v>
      </c>
      <c r="BW468" s="1875">
        <f t="shared" si="341"/>
        <v>0</v>
      </c>
      <c r="BX468" s="1875">
        <f t="shared" si="341"/>
        <v>0</v>
      </c>
      <c r="BY468" s="1883">
        <f t="shared" si="341"/>
        <v>898.91</v>
      </c>
      <c r="BZ468" s="1875">
        <f t="shared" si="341"/>
        <v>0</v>
      </c>
      <c r="CA468" s="1875">
        <f t="shared" si="341"/>
        <v>50</v>
      </c>
      <c r="CB468" s="1875">
        <f t="shared" si="341"/>
        <v>0</v>
      </c>
      <c r="CC468" s="1883">
        <f t="shared" si="341"/>
        <v>739.6</v>
      </c>
      <c r="CD468" s="1875">
        <f t="shared" si="341"/>
        <v>0</v>
      </c>
      <c r="CE468" s="1875">
        <f t="shared" si="341"/>
        <v>0</v>
      </c>
      <c r="CF468" s="1875">
        <f t="shared" si="341"/>
        <v>0</v>
      </c>
      <c r="CG468" s="1884"/>
      <c r="CH468" s="1641">
        <f t="shared" si="340"/>
        <v>1267.31</v>
      </c>
      <c r="CI468" s="1641">
        <f t="shared" si="340"/>
        <v>0</v>
      </c>
      <c r="CJ468" s="1641">
        <f t="shared" si="340"/>
        <v>10.6</v>
      </c>
      <c r="CK468" s="1641">
        <f t="shared" si="340"/>
        <v>0</v>
      </c>
      <c r="CL468" s="1899">
        <v>1267.31</v>
      </c>
      <c r="CM468" s="1900">
        <v>0</v>
      </c>
      <c r="CN468" s="1889">
        <v>10.6</v>
      </c>
      <c r="CO468" s="1900">
        <v>0</v>
      </c>
      <c r="CP468" s="1883">
        <f>CP469+CP483</f>
        <v>0</v>
      </c>
      <c r="CQ468" s="1875">
        <f>CQ469+CQ483</f>
        <v>0</v>
      </c>
      <c r="CR468" s="1875">
        <f>CR469+CR483</f>
        <v>0</v>
      </c>
      <c r="CS468" s="1875">
        <f>CS469+CS483</f>
        <v>0</v>
      </c>
      <c r="CT468" s="1885"/>
      <c r="CU468" s="1885"/>
      <c r="CV468" s="1885"/>
      <c r="CW468" s="1885"/>
      <c r="CY468" s="1885"/>
    </row>
    <row r="469" spans="1:107" ht="53" thickBot="1" x14ac:dyDescent="0.2">
      <c r="A469" s="1748" t="s">
        <v>1135</v>
      </c>
      <c r="B469" s="1749" t="s">
        <v>79</v>
      </c>
      <c r="C469" s="1749" t="s">
        <v>80</v>
      </c>
      <c r="D469" s="1749" t="s">
        <v>125</v>
      </c>
      <c r="E469" s="1749" t="s">
        <v>215</v>
      </c>
      <c r="F469" s="1749">
        <v>600</v>
      </c>
      <c r="G469" s="1600" t="s">
        <v>766</v>
      </c>
      <c r="H469" s="1531">
        <f>H470+H471+H472+H473+H474+H475+H476+H477+H478+H479+H480+H481+H482</f>
        <v>9716.1999999999989</v>
      </c>
      <c r="I469" s="1531">
        <f t="shared" ref="I469:CF469" si="342">I470+I471+I472+I473+I474+I475+I476+I477+I478+I479+I480+I481+I482</f>
        <v>0</v>
      </c>
      <c r="J469" s="1531">
        <f>J470+J471+J472+J473+J474+J475+J476+J477+J478+J479+J480+J481+J482</f>
        <v>60.600000000000023</v>
      </c>
      <c r="K469" s="1531">
        <f t="shared" si="342"/>
        <v>0</v>
      </c>
      <c r="L469" s="1601"/>
      <c r="M469" s="1601"/>
      <c r="N469" s="1601"/>
      <c r="O469" s="1601">
        <f t="shared" si="342"/>
        <v>32.178750000000001</v>
      </c>
      <c r="P469" s="1601"/>
      <c r="Q469" s="1601">
        <f t="shared" si="342"/>
        <v>0</v>
      </c>
      <c r="R469" s="1601">
        <f t="shared" si="342"/>
        <v>0</v>
      </c>
      <c r="S469" s="1601">
        <f t="shared" si="342"/>
        <v>900</v>
      </c>
      <c r="T469" s="1602"/>
      <c r="U469" s="1533"/>
      <c r="V469" s="1533"/>
      <c r="W469" s="1534"/>
      <c r="X469" s="1534"/>
      <c r="Y469" s="1534"/>
      <c r="Z469" s="1535"/>
      <c r="AA469" s="1534"/>
      <c r="AB469" s="1534"/>
      <c r="AC469" s="1603">
        <f t="shared" si="342"/>
        <v>9716.2000000000007</v>
      </c>
      <c r="AD469" s="1603">
        <f t="shared" si="342"/>
        <v>60.6</v>
      </c>
      <c r="AE469" s="1603">
        <f t="shared" si="342"/>
        <v>0</v>
      </c>
      <c r="AF469" s="1603">
        <f t="shared" si="342"/>
        <v>60.6</v>
      </c>
      <c r="AG469" s="1603">
        <f t="shared" si="342"/>
        <v>0</v>
      </c>
      <c r="AH469" s="1490">
        <f t="shared" si="308"/>
        <v>1267.31</v>
      </c>
      <c r="AI469" s="1592">
        <f t="shared" si="342"/>
        <v>0</v>
      </c>
      <c r="AJ469" s="1592">
        <f t="shared" si="342"/>
        <v>0</v>
      </c>
      <c r="AK469" s="1592">
        <f t="shared" si="342"/>
        <v>0</v>
      </c>
      <c r="AL469" s="1636">
        <f>J469-AF469</f>
        <v>0</v>
      </c>
      <c r="AM469" s="1592">
        <f t="shared" si="342"/>
        <v>0</v>
      </c>
      <c r="AN469" s="1706"/>
      <c r="AO469" s="1707">
        <f t="shared" si="342"/>
        <v>740.09999999999991</v>
      </c>
      <c r="AP469" s="1531">
        <f t="shared" si="342"/>
        <v>0</v>
      </c>
      <c r="AQ469" s="1531">
        <f t="shared" si="342"/>
        <v>0</v>
      </c>
      <c r="AR469" s="1531">
        <f t="shared" si="342"/>
        <v>0</v>
      </c>
      <c r="AS469" s="1535">
        <f t="shared" si="342"/>
        <v>721.8</v>
      </c>
      <c r="AT469" s="1531">
        <f t="shared" si="342"/>
        <v>0</v>
      </c>
      <c r="AU469" s="1531">
        <f t="shared" si="342"/>
        <v>0</v>
      </c>
      <c r="AV469" s="1531">
        <f t="shared" si="342"/>
        <v>0</v>
      </c>
      <c r="AW469" s="1535">
        <f t="shared" si="342"/>
        <v>699.59999999999991</v>
      </c>
      <c r="AX469" s="1531">
        <f t="shared" si="342"/>
        <v>0</v>
      </c>
      <c r="AY469" s="1531">
        <f t="shared" si="342"/>
        <v>0</v>
      </c>
      <c r="AZ469" s="1531">
        <f t="shared" si="342"/>
        <v>0</v>
      </c>
      <c r="BA469" s="1538">
        <f t="shared" si="342"/>
        <v>699.56999999999994</v>
      </c>
      <c r="BB469" s="1531">
        <f t="shared" si="342"/>
        <v>0</v>
      </c>
      <c r="BC469" s="1531">
        <f t="shared" si="342"/>
        <v>0</v>
      </c>
      <c r="BD469" s="1531">
        <f t="shared" si="342"/>
        <v>0</v>
      </c>
      <c r="BE469" s="1539">
        <f t="shared" si="342"/>
        <v>790.56</v>
      </c>
      <c r="BF469" s="1531">
        <f t="shared" si="342"/>
        <v>0</v>
      </c>
      <c r="BG469" s="1531">
        <f t="shared" si="342"/>
        <v>0</v>
      </c>
      <c r="BH469" s="1531">
        <f t="shared" si="342"/>
        <v>0</v>
      </c>
      <c r="BI469" s="1538">
        <f t="shared" si="342"/>
        <v>242.625</v>
      </c>
      <c r="BJ469" s="1531">
        <f t="shared" si="342"/>
        <v>0</v>
      </c>
      <c r="BK469" s="1531">
        <f t="shared" si="342"/>
        <v>0</v>
      </c>
      <c r="BL469" s="1531">
        <f t="shared" si="342"/>
        <v>0</v>
      </c>
      <c r="BM469" s="1538">
        <f t="shared" si="342"/>
        <v>1184.2750000000001</v>
      </c>
      <c r="BN469" s="1531">
        <f t="shared" si="342"/>
        <v>0</v>
      </c>
      <c r="BO469" s="1531">
        <f t="shared" si="342"/>
        <v>0</v>
      </c>
      <c r="BP469" s="1531">
        <f t="shared" si="342"/>
        <v>0</v>
      </c>
      <c r="BQ469" s="1538">
        <f t="shared" si="342"/>
        <v>807.04999999999984</v>
      </c>
      <c r="BR469" s="1531">
        <f t="shared" si="342"/>
        <v>0</v>
      </c>
      <c r="BS469" s="1531">
        <f t="shared" si="342"/>
        <v>0</v>
      </c>
      <c r="BT469" s="1531">
        <f t="shared" si="342"/>
        <v>0</v>
      </c>
      <c r="BU469" s="1538">
        <f t="shared" si="342"/>
        <v>924.79999999999984</v>
      </c>
      <c r="BV469" s="1531">
        <f t="shared" si="342"/>
        <v>0</v>
      </c>
      <c r="BW469" s="1531">
        <f t="shared" si="342"/>
        <v>0</v>
      </c>
      <c r="BX469" s="1531">
        <f t="shared" si="342"/>
        <v>0</v>
      </c>
      <c r="BY469" s="1538">
        <f t="shared" si="342"/>
        <v>898.91</v>
      </c>
      <c r="BZ469" s="1531">
        <f t="shared" si="342"/>
        <v>0</v>
      </c>
      <c r="CA469" s="1531">
        <f t="shared" si="342"/>
        <v>50</v>
      </c>
      <c r="CB469" s="1531">
        <f t="shared" si="342"/>
        <v>0</v>
      </c>
      <c r="CC469" s="1538">
        <f t="shared" si="342"/>
        <v>739.6</v>
      </c>
      <c r="CD469" s="1531">
        <f t="shared" si="342"/>
        <v>0</v>
      </c>
      <c r="CE469" s="1531">
        <f t="shared" si="342"/>
        <v>0</v>
      </c>
      <c r="CF469" s="1531">
        <f t="shared" si="342"/>
        <v>0</v>
      </c>
      <c r="CG469" s="1705"/>
      <c r="CH469" s="1641">
        <f t="shared" si="340"/>
        <v>1267.31</v>
      </c>
      <c r="CI469" s="1641">
        <f t="shared" si="340"/>
        <v>0</v>
      </c>
      <c r="CJ469" s="1641">
        <f t="shared" si="340"/>
        <v>10.6</v>
      </c>
      <c r="CK469" s="1641">
        <f t="shared" si="340"/>
        <v>0</v>
      </c>
      <c r="CL469" s="1901">
        <v>1267.31</v>
      </c>
      <c r="CM469" s="1902">
        <v>0</v>
      </c>
      <c r="CN469" s="1889">
        <v>10.6</v>
      </c>
      <c r="CO469" s="1902">
        <v>0</v>
      </c>
      <c r="CP469" s="1538">
        <f>CP470+CP471+CP472+CP473+CP474+CP475+CP476+CP477+CP478+CP479+CP480+CP481+CP482</f>
        <v>0</v>
      </c>
      <c r="CQ469" s="1531">
        <f>CQ470+CQ471+CQ472+CQ473+CQ474+CQ475+CQ476+CQ477+CQ478+CQ479+CQ480+CQ481+CQ482</f>
        <v>0</v>
      </c>
      <c r="CR469" s="1531">
        <f>CR470+CR471+CR472+CR473+CR474+CR475+CR476+CR477+CR478+CR479+CR480+CR481+CR482</f>
        <v>0</v>
      </c>
      <c r="CS469" s="1531">
        <f>CS470+CS471+CS472+CS473+CS474+CS475+CS476+CS477+CS478+CS479+CS480+CS481+CS482</f>
        <v>0</v>
      </c>
    </row>
    <row r="470" spans="1:107" ht="15" thickBot="1" x14ac:dyDescent="0.2">
      <c r="A470" s="1541" t="s">
        <v>78</v>
      </c>
      <c r="B470" s="1523" t="s">
        <v>79</v>
      </c>
      <c r="C470" s="1523" t="s">
        <v>80</v>
      </c>
      <c r="D470" s="1523" t="s">
        <v>125</v>
      </c>
      <c r="E470" s="1523" t="s">
        <v>215</v>
      </c>
      <c r="F470" s="1523"/>
      <c r="G470" s="1667">
        <v>211</v>
      </c>
      <c r="H470" s="1501">
        <v>6447.2</v>
      </c>
      <c r="I470" s="1645"/>
      <c r="J470" s="1630"/>
      <c r="K470" s="1630"/>
      <c r="L470" s="1631"/>
      <c r="M470" s="1631"/>
      <c r="N470" s="1631"/>
      <c r="O470" s="1631"/>
      <c r="P470" s="1631"/>
      <c r="Q470" s="1631"/>
      <c r="R470" s="1631"/>
      <c r="S470" s="1631"/>
      <c r="T470" s="1632"/>
      <c r="U470" s="1633"/>
      <c r="V470" s="1633"/>
      <c r="W470" s="1634">
        <f>H470/12</f>
        <v>537.26666666666665</v>
      </c>
      <c r="X470" s="1634">
        <f>AO470</f>
        <v>537.29999999999995</v>
      </c>
      <c r="Y470" s="1634">
        <f>CC470</f>
        <v>424.6</v>
      </c>
      <c r="Z470" s="1635">
        <v>424.6</v>
      </c>
      <c r="AA470" s="1634"/>
      <c r="AB470" s="1634"/>
      <c r="AC470" s="1508">
        <f t="shared" ref="AC470:AC483" si="343">AO470+AS470+AW470+BA470+BE470+BI470+BM470+BQ470+BU470+BY470+CC470+CH470</f>
        <v>6447.2000000000007</v>
      </c>
      <c r="AD470" s="1509">
        <f t="shared" ref="AD470:AD483" si="344">AE470+AF470+AG470</f>
        <v>0</v>
      </c>
      <c r="AE470" s="1509">
        <f t="shared" ref="AE470:AG482" si="345">AP470+AT470+AX470+BB470+BF470+BJ470+BN470+BR470+BV470+BZ470+CD470+CI470</f>
        <v>0</v>
      </c>
      <c r="AF470" s="1509">
        <f t="shared" si="345"/>
        <v>0</v>
      </c>
      <c r="AG470" s="1509">
        <f t="shared" si="345"/>
        <v>0</v>
      </c>
      <c r="AH470" s="1490">
        <f t="shared" si="308"/>
        <v>549.55999999999995</v>
      </c>
      <c r="AI470" s="1636">
        <f t="shared" ref="AI470:AI482" si="346">H470-AC470</f>
        <v>0</v>
      </c>
      <c r="AJ470" s="1636">
        <f t="shared" ref="AJ470:AJ482" si="347">AK470+AL470+AM470</f>
        <v>0</v>
      </c>
      <c r="AK470" s="1636">
        <f t="shared" ref="AK470:AM485" si="348">I470-AE470</f>
        <v>0</v>
      </c>
      <c r="AL470" s="1636">
        <f t="shared" si="348"/>
        <v>0</v>
      </c>
      <c r="AM470" s="1636">
        <f t="shared" si="348"/>
        <v>0</v>
      </c>
      <c r="AN470" s="1637">
        <f>AI470/4</f>
        <v>0</v>
      </c>
      <c r="AO470" s="1722">
        <v>537.29999999999995</v>
      </c>
      <c r="AP470" s="1638"/>
      <c r="AQ470" s="1638"/>
      <c r="AR470" s="1638"/>
      <c r="AS470" s="1639">
        <v>537.29999999999995</v>
      </c>
      <c r="AT470" s="1638"/>
      <c r="AU470" s="1638"/>
      <c r="AV470" s="1638"/>
      <c r="AW470" s="1640">
        <v>537.29999999999995</v>
      </c>
      <c r="AX470" s="1640"/>
      <c r="AY470" s="1640"/>
      <c r="AZ470" s="1640"/>
      <c r="BA470" s="1641">
        <v>537.27</v>
      </c>
      <c r="BB470" s="1640"/>
      <c r="BC470" s="1640"/>
      <c r="BD470" s="1640"/>
      <c r="BE470" s="1641">
        <v>537.27</v>
      </c>
      <c r="BF470" s="1640"/>
      <c r="BG470" s="1640"/>
      <c r="BH470" s="1640"/>
      <c r="BI470" s="1641">
        <f>214.925</f>
        <v>214.92500000000001</v>
      </c>
      <c r="BJ470" s="1640"/>
      <c r="BK470" s="1640"/>
      <c r="BL470" s="1640"/>
      <c r="BM470" s="1641">
        <f>322.375+537.3</f>
        <v>859.67499999999995</v>
      </c>
      <c r="BN470" s="1640"/>
      <c r="BO470" s="1640"/>
      <c r="BP470" s="1640"/>
      <c r="BQ470" s="1641">
        <v>537.29999999999995</v>
      </c>
      <c r="BR470" s="1640"/>
      <c r="BS470" s="1640"/>
      <c r="BT470" s="1640"/>
      <c r="BU470" s="1641">
        <v>537.29999999999995</v>
      </c>
      <c r="BV470" s="1640"/>
      <c r="BW470" s="1640"/>
      <c r="BX470" s="1640"/>
      <c r="BY470" s="1641">
        <f>637.4</f>
        <v>637.4</v>
      </c>
      <c r="BZ470" s="1640"/>
      <c r="CA470" s="1640"/>
      <c r="CB470" s="1640"/>
      <c r="CC470" s="1641">
        <v>424.6</v>
      </c>
      <c r="CD470" s="1640"/>
      <c r="CE470" s="1640"/>
      <c r="CF470" s="1640"/>
      <c r="CG470" s="1642"/>
      <c r="CH470" s="1641">
        <f t="shared" si="340"/>
        <v>549.55999999999995</v>
      </c>
      <c r="CI470" s="1641">
        <f t="shared" si="340"/>
        <v>0</v>
      </c>
      <c r="CJ470" s="1641">
        <f t="shared" si="340"/>
        <v>0</v>
      </c>
      <c r="CK470" s="1641">
        <f t="shared" si="340"/>
        <v>0</v>
      </c>
      <c r="CL470" s="1889">
        <v>549.55999999999995</v>
      </c>
      <c r="CM470" s="1889">
        <v>0</v>
      </c>
      <c r="CN470" s="1889">
        <v>0</v>
      </c>
      <c r="CO470" s="1889">
        <v>0</v>
      </c>
      <c r="CP470" s="1641"/>
      <c r="CQ470" s="1640"/>
      <c r="CR470" s="1640"/>
      <c r="CS470" s="1640"/>
      <c r="CX470" s="1558">
        <f>H470/12*10-AC470</f>
        <v>-1074.5333333333347</v>
      </c>
      <c r="CY470" s="1558">
        <f>AI470/3</f>
        <v>0</v>
      </c>
      <c r="CZ470" s="1558">
        <f>H470/12</f>
        <v>537.26666666666665</v>
      </c>
      <c r="DA470" s="1559"/>
      <c r="DB470" s="1559"/>
      <c r="DC470" s="1559"/>
    </row>
    <row r="471" spans="1:107" ht="15" thickBot="1" x14ac:dyDescent="0.2">
      <c r="A471" s="1541" t="s">
        <v>103</v>
      </c>
      <c r="B471" s="1523" t="s">
        <v>79</v>
      </c>
      <c r="C471" s="1523" t="s">
        <v>80</v>
      </c>
      <c r="D471" s="1523" t="s">
        <v>125</v>
      </c>
      <c r="E471" s="1523" t="s">
        <v>215</v>
      </c>
      <c r="F471" s="1523"/>
      <c r="G471" s="1667">
        <v>212</v>
      </c>
      <c r="H471" s="1501">
        <v>0</v>
      </c>
      <c r="I471" s="1645"/>
      <c r="J471" s="1630"/>
      <c r="K471" s="1630"/>
      <c r="L471" s="1631"/>
      <c r="M471" s="1631"/>
      <c r="N471" s="1631"/>
      <c r="O471" s="1631"/>
      <c r="P471" s="1631"/>
      <c r="Q471" s="1631"/>
      <c r="R471" s="1631"/>
      <c r="S471" s="1631"/>
      <c r="T471" s="1632"/>
      <c r="U471" s="1633"/>
      <c r="V471" s="1633"/>
      <c r="W471" s="1634"/>
      <c r="X471" s="1634"/>
      <c r="Y471" s="1634"/>
      <c r="Z471" s="1635"/>
      <c r="AA471" s="1634"/>
      <c r="AB471" s="1634"/>
      <c r="AC471" s="1508">
        <f t="shared" si="343"/>
        <v>0</v>
      </c>
      <c r="AD471" s="1509">
        <f t="shared" si="344"/>
        <v>0</v>
      </c>
      <c r="AE471" s="1509">
        <f t="shared" si="345"/>
        <v>0</v>
      </c>
      <c r="AF471" s="1509">
        <f t="shared" si="345"/>
        <v>0</v>
      </c>
      <c r="AG471" s="1509">
        <f t="shared" si="345"/>
        <v>0</v>
      </c>
      <c r="AH471" s="1490">
        <f t="shared" si="308"/>
        <v>0</v>
      </c>
      <c r="AI471" s="1636">
        <f t="shared" si="346"/>
        <v>0</v>
      </c>
      <c r="AJ471" s="1636">
        <f t="shared" si="347"/>
        <v>0</v>
      </c>
      <c r="AK471" s="1636">
        <f t="shared" si="348"/>
        <v>0</v>
      </c>
      <c r="AL471" s="1636">
        <f t="shared" si="348"/>
        <v>0</v>
      </c>
      <c r="AM471" s="1636">
        <f t="shared" si="348"/>
        <v>0</v>
      </c>
      <c r="AN471" s="1637"/>
      <c r="AO471" s="1722">
        <v>0</v>
      </c>
      <c r="AP471" s="1638"/>
      <c r="AQ471" s="1638"/>
      <c r="AR471" s="1638"/>
      <c r="AS471" s="1639"/>
      <c r="AT471" s="1638"/>
      <c r="AU471" s="1638"/>
      <c r="AV471" s="1638"/>
      <c r="AW471" s="1640"/>
      <c r="AX471" s="1640"/>
      <c r="AY471" s="1640"/>
      <c r="AZ471" s="1640"/>
      <c r="BA471" s="1641"/>
      <c r="BB471" s="1640"/>
      <c r="BC471" s="1640"/>
      <c r="BD471" s="1640"/>
      <c r="BE471" s="1641"/>
      <c r="BF471" s="1640"/>
      <c r="BG471" s="1640"/>
      <c r="BH471" s="1640"/>
      <c r="BI471" s="1641"/>
      <c r="BJ471" s="1640"/>
      <c r="BK471" s="1640"/>
      <c r="BL471" s="1640"/>
      <c r="BM471" s="1641"/>
      <c r="BN471" s="1640"/>
      <c r="BO471" s="1640"/>
      <c r="BP471" s="1640"/>
      <c r="BQ471" s="1641"/>
      <c r="BR471" s="1640"/>
      <c r="BS471" s="1640"/>
      <c r="BT471" s="1640"/>
      <c r="BU471" s="1641"/>
      <c r="BV471" s="1640"/>
      <c r="BW471" s="1640"/>
      <c r="BX471" s="1640"/>
      <c r="BY471" s="1641"/>
      <c r="BZ471" s="1640"/>
      <c r="CA471" s="1640"/>
      <c r="CB471" s="1640"/>
      <c r="CC471" s="1641"/>
      <c r="CD471" s="1640"/>
      <c r="CE471" s="1640"/>
      <c r="CF471" s="1640"/>
      <c r="CG471" s="1642"/>
      <c r="CH471" s="1641">
        <f t="shared" ref="CH471:CK514" si="349">CL471+CP471</f>
        <v>0</v>
      </c>
      <c r="CI471" s="1641">
        <f t="shared" si="349"/>
        <v>0</v>
      </c>
      <c r="CJ471" s="1641">
        <f t="shared" si="349"/>
        <v>0</v>
      </c>
      <c r="CK471" s="1641">
        <f t="shared" si="349"/>
        <v>0</v>
      </c>
      <c r="CL471" s="1889">
        <v>0</v>
      </c>
      <c r="CM471" s="1889">
        <v>0</v>
      </c>
      <c r="CN471" s="1889">
        <v>0</v>
      </c>
      <c r="CO471" s="1889">
        <v>0</v>
      </c>
      <c r="CP471" s="1641"/>
      <c r="CQ471" s="1640"/>
      <c r="CR471" s="1640"/>
      <c r="CS471" s="1640"/>
      <c r="CX471" s="1558"/>
      <c r="CY471" s="1558"/>
      <c r="CZ471" s="1558"/>
      <c r="DA471" s="1559"/>
      <c r="DB471" s="1559"/>
      <c r="DC471" s="1559"/>
    </row>
    <row r="472" spans="1:107" ht="15" thickBot="1" x14ac:dyDescent="0.2">
      <c r="A472" s="1541" t="s">
        <v>84</v>
      </c>
      <c r="B472" s="1523" t="s">
        <v>79</v>
      </c>
      <c r="C472" s="1523" t="s">
        <v>80</v>
      </c>
      <c r="D472" s="1523" t="s">
        <v>125</v>
      </c>
      <c r="E472" s="1523" t="s">
        <v>215</v>
      </c>
      <c r="F472" s="1523"/>
      <c r="G472" s="1667">
        <v>213</v>
      </c>
      <c r="H472" s="1501">
        <v>1947.1</v>
      </c>
      <c r="I472" s="1645"/>
      <c r="J472" s="1630"/>
      <c r="K472" s="1630"/>
      <c r="L472" s="1631"/>
      <c r="M472" s="1631"/>
      <c r="N472" s="1631"/>
      <c r="O472" s="1631"/>
      <c r="P472" s="1631"/>
      <c r="Q472" s="1631"/>
      <c r="R472" s="1631"/>
      <c r="S472" s="1631"/>
      <c r="T472" s="1632"/>
      <c r="U472" s="1633"/>
      <c r="V472" s="1633"/>
      <c r="W472" s="1634">
        <f>H472/12</f>
        <v>162.25833333333333</v>
      </c>
      <c r="X472" s="1634">
        <f>AO472</f>
        <v>162.30000000000001</v>
      </c>
      <c r="Y472" s="1634">
        <f>CC472</f>
        <v>315</v>
      </c>
      <c r="Z472" s="1635">
        <v>315</v>
      </c>
      <c r="AA472" s="1634"/>
      <c r="AB472" s="1634"/>
      <c r="AC472" s="1508">
        <f t="shared" si="343"/>
        <v>1947.1</v>
      </c>
      <c r="AD472" s="1509">
        <f t="shared" si="344"/>
        <v>0</v>
      </c>
      <c r="AE472" s="1509">
        <f t="shared" si="345"/>
        <v>0</v>
      </c>
      <c r="AF472" s="1509">
        <f t="shared" si="345"/>
        <v>0</v>
      </c>
      <c r="AG472" s="1509">
        <f t="shared" si="345"/>
        <v>0</v>
      </c>
      <c r="AH472" s="1490">
        <f t="shared" si="308"/>
        <v>171.4</v>
      </c>
      <c r="AI472" s="1636">
        <f t="shared" si="346"/>
        <v>0</v>
      </c>
      <c r="AJ472" s="1636">
        <f t="shared" si="347"/>
        <v>0</v>
      </c>
      <c r="AK472" s="1636">
        <f t="shared" si="348"/>
        <v>0</v>
      </c>
      <c r="AL472" s="1636">
        <f t="shared" si="348"/>
        <v>0</v>
      </c>
      <c r="AM472" s="1636">
        <f t="shared" si="348"/>
        <v>0</v>
      </c>
      <c r="AN472" s="1637">
        <f>AI472/4</f>
        <v>0</v>
      </c>
      <c r="AO472" s="1722">
        <v>162.30000000000001</v>
      </c>
      <c r="AP472" s="1638"/>
      <c r="AQ472" s="1638"/>
      <c r="AR472" s="1638"/>
      <c r="AS472" s="1639">
        <v>162.30000000000001</v>
      </c>
      <c r="AT472" s="1638"/>
      <c r="AU472" s="1638"/>
      <c r="AV472" s="1638"/>
      <c r="AW472" s="1640">
        <v>162.30000000000001</v>
      </c>
      <c r="AX472" s="1640"/>
      <c r="AY472" s="1640"/>
      <c r="AZ472" s="1640"/>
      <c r="BA472" s="1641">
        <v>162.30000000000001</v>
      </c>
      <c r="BB472" s="1640"/>
      <c r="BC472" s="1640"/>
      <c r="BD472" s="1640"/>
      <c r="BE472" s="1641">
        <v>162.30000000000001</v>
      </c>
      <c r="BF472" s="1640"/>
      <c r="BG472" s="1640"/>
      <c r="BH472" s="1640"/>
      <c r="BI472" s="1641"/>
      <c r="BJ472" s="1640"/>
      <c r="BK472" s="1640"/>
      <c r="BL472" s="1640"/>
      <c r="BM472" s="1641">
        <f>162.3+162.3</f>
        <v>324.60000000000002</v>
      </c>
      <c r="BN472" s="1640"/>
      <c r="BO472" s="1640"/>
      <c r="BP472" s="1640"/>
      <c r="BQ472" s="1641">
        <v>162.30000000000001</v>
      </c>
      <c r="BR472" s="1640"/>
      <c r="BS472" s="1640"/>
      <c r="BT472" s="1640"/>
      <c r="BU472" s="1641">
        <v>162.30000000000001</v>
      </c>
      <c r="BV472" s="1640"/>
      <c r="BW472" s="1640"/>
      <c r="BX472" s="1640"/>
      <c r="BY472" s="1641"/>
      <c r="BZ472" s="1640"/>
      <c r="CA472" s="1640"/>
      <c r="CB472" s="1640"/>
      <c r="CC472" s="1641">
        <v>315</v>
      </c>
      <c r="CD472" s="1640"/>
      <c r="CE472" s="1640"/>
      <c r="CF472" s="1640"/>
      <c r="CG472" s="1642"/>
      <c r="CH472" s="1641">
        <f t="shared" si="349"/>
        <v>171.4</v>
      </c>
      <c r="CI472" s="1641">
        <f t="shared" si="349"/>
        <v>0</v>
      </c>
      <c r="CJ472" s="1641">
        <f t="shared" si="349"/>
        <v>0</v>
      </c>
      <c r="CK472" s="1641">
        <f t="shared" si="349"/>
        <v>0</v>
      </c>
      <c r="CL472" s="1889">
        <v>171.4</v>
      </c>
      <c r="CM472" s="1889">
        <v>0</v>
      </c>
      <c r="CN472" s="1889">
        <v>0</v>
      </c>
      <c r="CO472" s="1889">
        <v>0</v>
      </c>
      <c r="CP472" s="1641"/>
      <c r="CQ472" s="1640"/>
      <c r="CR472" s="1640"/>
      <c r="CS472" s="1640"/>
      <c r="CX472" s="1558">
        <f>H472/12*10-AC472</f>
        <v>-324.51666666666665</v>
      </c>
      <c r="CY472" s="1558">
        <f>AI472/3</f>
        <v>0</v>
      </c>
      <c r="CZ472" s="1558">
        <f>H472/12</f>
        <v>162.25833333333333</v>
      </c>
      <c r="DA472" s="1559"/>
      <c r="DB472" s="1559"/>
      <c r="DC472" s="1559"/>
    </row>
    <row r="473" spans="1:107" ht="15" thickBot="1" x14ac:dyDescent="0.2">
      <c r="A473" s="1541" t="s">
        <v>85</v>
      </c>
      <c r="B473" s="1523" t="s">
        <v>79</v>
      </c>
      <c r="C473" s="1523" t="s">
        <v>80</v>
      </c>
      <c r="D473" s="1523" t="s">
        <v>125</v>
      </c>
      <c r="E473" s="1523" t="s">
        <v>215</v>
      </c>
      <c r="F473" s="1523"/>
      <c r="G473" s="1667">
        <v>221</v>
      </c>
      <c r="H473" s="1501">
        <v>43.9</v>
      </c>
      <c r="I473" s="1645"/>
      <c r="J473" s="1630"/>
      <c r="K473" s="1630"/>
      <c r="L473" s="1631"/>
      <c r="M473" s="1631"/>
      <c r="N473" s="1631"/>
      <c r="O473" s="1631"/>
      <c r="P473" s="1631"/>
      <c r="Q473" s="1631"/>
      <c r="R473" s="1631"/>
      <c r="S473" s="1631"/>
      <c r="T473" s="1632"/>
      <c r="U473" s="1633"/>
      <c r="V473" s="1633"/>
      <c r="W473" s="1634"/>
      <c r="X473" s="1634"/>
      <c r="Y473" s="1634"/>
      <c r="Z473" s="1635"/>
      <c r="AA473" s="1634"/>
      <c r="AB473" s="1634"/>
      <c r="AC473" s="1508">
        <f t="shared" si="343"/>
        <v>43.900000000000006</v>
      </c>
      <c r="AD473" s="1509">
        <f t="shared" si="344"/>
        <v>0</v>
      </c>
      <c r="AE473" s="1509">
        <f t="shared" si="345"/>
        <v>0</v>
      </c>
      <c r="AF473" s="1509">
        <f t="shared" si="345"/>
        <v>0</v>
      </c>
      <c r="AG473" s="1509">
        <f t="shared" si="345"/>
        <v>0</v>
      </c>
      <c r="AH473" s="1490">
        <f t="shared" si="308"/>
        <v>40.200000000000003</v>
      </c>
      <c r="AI473" s="1636">
        <f t="shared" si="346"/>
        <v>0</v>
      </c>
      <c r="AJ473" s="1636">
        <f t="shared" si="347"/>
        <v>0</v>
      </c>
      <c r="AK473" s="1636">
        <f t="shared" si="348"/>
        <v>0</v>
      </c>
      <c r="AL473" s="1636">
        <f t="shared" si="348"/>
        <v>0</v>
      </c>
      <c r="AM473" s="1636">
        <f t="shared" si="348"/>
        <v>0</v>
      </c>
      <c r="AN473" s="1637"/>
      <c r="AO473" s="1722">
        <v>3.7</v>
      </c>
      <c r="AP473" s="1638"/>
      <c r="AQ473" s="1638"/>
      <c r="AR473" s="1638"/>
      <c r="AS473" s="1639"/>
      <c r="AT473" s="1638"/>
      <c r="AU473" s="1638"/>
      <c r="AV473" s="1638"/>
      <c r="AW473" s="1639"/>
      <c r="AX473" s="1640"/>
      <c r="AY473" s="1640"/>
      <c r="AZ473" s="1640"/>
      <c r="BA473" s="1641"/>
      <c r="BB473" s="1640"/>
      <c r="BC473" s="1640"/>
      <c r="BD473" s="1640"/>
      <c r="BE473" s="1644"/>
      <c r="BF473" s="1640"/>
      <c r="BG473" s="1640"/>
      <c r="BH473" s="1640"/>
      <c r="BI473" s="1641"/>
      <c r="BJ473" s="1640"/>
      <c r="BK473" s="1640"/>
      <c r="BL473" s="1640"/>
      <c r="BM473" s="1641"/>
      <c r="BN473" s="1640"/>
      <c r="BO473" s="1640"/>
      <c r="BP473" s="1640"/>
      <c r="BQ473" s="1641"/>
      <c r="BR473" s="1640"/>
      <c r="BS473" s="1640"/>
      <c r="BT473" s="1640"/>
      <c r="BU473" s="1641"/>
      <c r="BV473" s="1640"/>
      <c r="BW473" s="1640"/>
      <c r="BX473" s="1640"/>
      <c r="BY473" s="1641"/>
      <c r="BZ473" s="1640"/>
      <c r="CA473" s="1640"/>
      <c r="CB473" s="1640"/>
      <c r="CC473" s="1641"/>
      <c r="CD473" s="1640"/>
      <c r="CE473" s="1640"/>
      <c r="CF473" s="1640"/>
      <c r="CG473" s="1642"/>
      <c r="CH473" s="1641">
        <f t="shared" si="349"/>
        <v>40.200000000000003</v>
      </c>
      <c r="CI473" s="1641">
        <f t="shared" si="349"/>
        <v>0</v>
      </c>
      <c r="CJ473" s="1641">
        <f t="shared" si="349"/>
        <v>0</v>
      </c>
      <c r="CK473" s="1641">
        <f t="shared" si="349"/>
        <v>0</v>
      </c>
      <c r="CL473" s="1889">
        <v>40.200000000000003</v>
      </c>
      <c r="CM473" s="1889">
        <v>0</v>
      </c>
      <c r="CN473" s="1889">
        <v>0</v>
      </c>
      <c r="CO473" s="1889">
        <v>0</v>
      </c>
      <c r="CP473" s="1641"/>
      <c r="CQ473" s="1640"/>
      <c r="CR473" s="1640"/>
      <c r="CS473" s="1640"/>
    </row>
    <row r="474" spans="1:107" ht="15" customHeight="1" thickBot="1" x14ac:dyDescent="0.2">
      <c r="A474" s="1541" t="s">
        <v>86</v>
      </c>
      <c r="B474" s="1523" t="s">
        <v>79</v>
      </c>
      <c r="C474" s="1523" t="s">
        <v>80</v>
      </c>
      <c r="D474" s="1523" t="s">
        <v>125</v>
      </c>
      <c r="E474" s="1523" t="s">
        <v>215</v>
      </c>
      <c r="F474" s="1523"/>
      <c r="G474" s="1667">
        <v>222</v>
      </c>
      <c r="H474" s="1501">
        <v>0</v>
      </c>
      <c r="I474" s="1645"/>
      <c r="J474" s="1630"/>
      <c r="K474" s="1630"/>
      <c r="L474" s="1631"/>
      <c r="M474" s="1631"/>
      <c r="N474" s="1631"/>
      <c r="O474" s="1631"/>
      <c r="P474" s="1631"/>
      <c r="Q474" s="1631"/>
      <c r="R474" s="1631"/>
      <c r="S474" s="1631"/>
      <c r="T474" s="1632"/>
      <c r="U474" s="1633"/>
      <c r="V474" s="1633"/>
      <c r="W474" s="1634"/>
      <c r="X474" s="1634"/>
      <c r="Y474" s="1634"/>
      <c r="Z474" s="1635"/>
      <c r="AA474" s="1634"/>
      <c r="AB474" s="1634"/>
      <c r="AC474" s="1508">
        <f t="shared" si="343"/>
        <v>0</v>
      </c>
      <c r="AD474" s="1509">
        <f t="shared" si="344"/>
        <v>0</v>
      </c>
      <c r="AE474" s="1509">
        <f t="shared" si="345"/>
        <v>0</v>
      </c>
      <c r="AF474" s="1509">
        <f t="shared" si="345"/>
        <v>0</v>
      </c>
      <c r="AG474" s="1509">
        <f t="shared" si="345"/>
        <v>0</v>
      </c>
      <c r="AH474" s="1490">
        <f t="shared" si="308"/>
        <v>0</v>
      </c>
      <c r="AI474" s="1636">
        <f t="shared" si="346"/>
        <v>0</v>
      </c>
      <c r="AJ474" s="1636">
        <f t="shared" si="347"/>
        <v>0</v>
      </c>
      <c r="AK474" s="1636">
        <f t="shared" si="348"/>
        <v>0</v>
      </c>
      <c r="AL474" s="1636">
        <f t="shared" si="348"/>
        <v>0</v>
      </c>
      <c r="AM474" s="1636">
        <f t="shared" si="348"/>
        <v>0</v>
      </c>
      <c r="AN474" s="1637"/>
      <c r="AO474" s="1722">
        <v>0</v>
      </c>
      <c r="AP474" s="1638"/>
      <c r="AQ474" s="1638"/>
      <c r="AR474" s="1638"/>
      <c r="AS474" s="1639"/>
      <c r="AT474" s="1638"/>
      <c r="AU474" s="1638"/>
      <c r="AV474" s="1638"/>
      <c r="AW474" s="1639"/>
      <c r="AX474" s="1640"/>
      <c r="AY474" s="1640"/>
      <c r="AZ474" s="1640"/>
      <c r="BA474" s="1641"/>
      <c r="BB474" s="1640"/>
      <c r="BC474" s="1640"/>
      <c r="BD474" s="1640"/>
      <c r="BE474" s="1644"/>
      <c r="BF474" s="1640"/>
      <c r="BG474" s="1640"/>
      <c r="BH474" s="1640"/>
      <c r="BI474" s="1641"/>
      <c r="BJ474" s="1640"/>
      <c r="BK474" s="1640"/>
      <c r="BL474" s="1640"/>
      <c r="BM474" s="1641"/>
      <c r="BN474" s="1640"/>
      <c r="BO474" s="1640"/>
      <c r="BP474" s="1640"/>
      <c r="BQ474" s="1641"/>
      <c r="BR474" s="1640"/>
      <c r="BS474" s="1640"/>
      <c r="BT474" s="1640"/>
      <c r="BU474" s="1641"/>
      <c r="BV474" s="1640"/>
      <c r="BW474" s="1640"/>
      <c r="BX474" s="1640"/>
      <c r="BY474" s="1641"/>
      <c r="BZ474" s="1640"/>
      <c r="CA474" s="1640"/>
      <c r="CB474" s="1640"/>
      <c r="CC474" s="1641"/>
      <c r="CD474" s="1640"/>
      <c r="CE474" s="1640"/>
      <c r="CF474" s="1640"/>
      <c r="CG474" s="1642"/>
      <c r="CH474" s="1641">
        <f t="shared" si="349"/>
        <v>0</v>
      </c>
      <c r="CI474" s="1641">
        <f t="shared" si="349"/>
        <v>0</v>
      </c>
      <c r="CJ474" s="1641">
        <f t="shared" si="349"/>
        <v>0</v>
      </c>
      <c r="CK474" s="1641">
        <f t="shared" si="349"/>
        <v>0</v>
      </c>
      <c r="CL474" s="1889">
        <v>0</v>
      </c>
      <c r="CM474" s="1889">
        <v>0</v>
      </c>
      <c r="CN474" s="1889">
        <v>0</v>
      </c>
      <c r="CO474" s="1889">
        <v>0</v>
      </c>
      <c r="CP474" s="1641"/>
      <c r="CQ474" s="1640"/>
      <c r="CR474" s="1640"/>
      <c r="CS474" s="1640"/>
    </row>
    <row r="475" spans="1:107" ht="15" thickBot="1" x14ac:dyDescent="0.2">
      <c r="A475" s="1541" t="s">
        <v>87</v>
      </c>
      <c r="B475" s="1523" t="s">
        <v>79</v>
      </c>
      <c r="C475" s="1523" t="s">
        <v>80</v>
      </c>
      <c r="D475" s="1523" t="s">
        <v>125</v>
      </c>
      <c r="E475" s="1523" t="s">
        <v>215</v>
      </c>
      <c r="F475" s="1523"/>
      <c r="G475" s="1667">
        <v>223</v>
      </c>
      <c r="H475" s="1501">
        <v>267.89999999999998</v>
      </c>
      <c r="I475" s="1645"/>
      <c r="J475" s="1630"/>
      <c r="K475" s="1630"/>
      <c r="L475" s="1631"/>
      <c r="M475" s="1631"/>
      <c r="N475" s="1631"/>
      <c r="O475" s="1631"/>
      <c r="P475" s="1631"/>
      <c r="Q475" s="1631"/>
      <c r="R475" s="1631"/>
      <c r="S475" s="1631"/>
      <c r="T475" s="1632"/>
      <c r="U475" s="1633"/>
      <c r="V475" s="1633"/>
      <c r="W475" s="1634"/>
      <c r="X475" s="1634"/>
      <c r="Y475" s="1634"/>
      <c r="Z475" s="1635"/>
      <c r="AA475" s="1634"/>
      <c r="AB475" s="1634"/>
      <c r="AC475" s="1508">
        <f t="shared" si="343"/>
        <v>267.90000000000003</v>
      </c>
      <c r="AD475" s="1509">
        <f t="shared" si="344"/>
        <v>0</v>
      </c>
      <c r="AE475" s="1509">
        <f t="shared" si="345"/>
        <v>0</v>
      </c>
      <c r="AF475" s="1509">
        <f t="shared" si="345"/>
        <v>0</v>
      </c>
      <c r="AG475" s="1509">
        <f t="shared" si="345"/>
        <v>0</v>
      </c>
      <c r="AH475" s="1490">
        <f t="shared" si="308"/>
        <v>17.91</v>
      </c>
      <c r="AI475" s="1636">
        <f t="shared" si="346"/>
        <v>0</v>
      </c>
      <c r="AJ475" s="1636">
        <f t="shared" si="347"/>
        <v>0</v>
      </c>
      <c r="AK475" s="1636">
        <f t="shared" si="348"/>
        <v>0</v>
      </c>
      <c r="AL475" s="1636">
        <f t="shared" si="348"/>
        <v>0</v>
      </c>
      <c r="AM475" s="1636">
        <f t="shared" si="348"/>
        <v>0</v>
      </c>
      <c r="AN475" s="1637"/>
      <c r="AO475" s="1722">
        <v>22.3</v>
      </c>
      <c r="AP475" s="1638"/>
      <c r="AQ475" s="1638"/>
      <c r="AR475" s="1638"/>
      <c r="AS475" s="1639">
        <v>22.2</v>
      </c>
      <c r="AT475" s="1638"/>
      <c r="AU475" s="1638"/>
      <c r="AV475" s="1638"/>
      <c r="AW475" s="1639"/>
      <c r="AX475" s="1640"/>
      <c r="AY475" s="1640"/>
      <c r="AZ475" s="1640"/>
      <c r="BA475" s="1641"/>
      <c r="BB475" s="1640"/>
      <c r="BC475" s="1640"/>
      <c r="BD475" s="1640"/>
      <c r="BE475" s="1644">
        <f>55.39</f>
        <v>55.39</v>
      </c>
      <c r="BF475" s="1640"/>
      <c r="BG475" s="1640"/>
      <c r="BH475" s="1640"/>
      <c r="BI475" s="1641">
        <v>27.7</v>
      </c>
      <c r="BJ475" s="1640"/>
      <c r="BK475" s="1640"/>
      <c r="BL475" s="1640"/>
      <c r="BM475" s="1641"/>
      <c r="BN475" s="1640"/>
      <c r="BO475" s="1640"/>
      <c r="BP475" s="1640"/>
      <c r="BQ475" s="1641">
        <v>22.4</v>
      </c>
      <c r="BR475" s="1640"/>
      <c r="BS475" s="1640"/>
      <c r="BT475" s="1640"/>
      <c r="BU475" s="1641"/>
      <c r="BV475" s="1640"/>
      <c r="BW475" s="1640"/>
      <c r="BX475" s="1640"/>
      <c r="BY475" s="1641">
        <v>100</v>
      </c>
      <c r="BZ475" s="1640"/>
      <c r="CA475" s="1640"/>
      <c r="CB475" s="1640"/>
      <c r="CC475" s="1641"/>
      <c r="CD475" s="1640"/>
      <c r="CE475" s="1640"/>
      <c r="CF475" s="1640"/>
      <c r="CG475" s="1642"/>
      <c r="CH475" s="1641">
        <f t="shared" si="349"/>
        <v>17.91</v>
      </c>
      <c r="CI475" s="1641">
        <f t="shared" si="349"/>
        <v>0</v>
      </c>
      <c r="CJ475" s="1641">
        <f t="shared" si="349"/>
        <v>0</v>
      </c>
      <c r="CK475" s="1641">
        <f t="shared" si="349"/>
        <v>0</v>
      </c>
      <c r="CL475" s="1889">
        <v>17.91</v>
      </c>
      <c r="CM475" s="1889">
        <v>0</v>
      </c>
      <c r="CN475" s="1889">
        <v>0</v>
      </c>
      <c r="CO475" s="1889">
        <v>0</v>
      </c>
      <c r="CP475" s="1641"/>
      <c r="CQ475" s="1640"/>
      <c r="CR475" s="1640"/>
      <c r="CS475" s="1640"/>
    </row>
    <row r="476" spans="1:107" ht="15" thickBot="1" x14ac:dyDescent="0.2">
      <c r="A476" s="1541" t="s">
        <v>134</v>
      </c>
      <c r="B476" s="1523" t="s">
        <v>79</v>
      </c>
      <c r="C476" s="1523" t="s">
        <v>80</v>
      </c>
      <c r="D476" s="1523" t="s">
        <v>125</v>
      </c>
      <c r="E476" s="1523" t="s">
        <v>215</v>
      </c>
      <c r="F476" s="1523"/>
      <c r="G476" s="1667">
        <v>224</v>
      </c>
      <c r="H476" s="1501">
        <v>0</v>
      </c>
      <c r="I476" s="1645"/>
      <c r="J476" s="1630"/>
      <c r="K476" s="1630"/>
      <c r="L476" s="1631"/>
      <c r="M476" s="1631"/>
      <c r="N476" s="1631"/>
      <c r="O476" s="1631"/>
      <c r="P476" s="1631"/>
      <c r="Q476" s="1631"/>
      <c r="R476" s="1631"/>
      <c r="S476" s="1631"/>
      <c r="T476" s="1632"/>
      <c r="U476" s="1633"/>
      <c r="V476" s="1633"/>
      <c r="W476" s="1634"/>
      <c r="X476" s="1634"/>
      <c r="Y476" s="1634"/>
      <c r="Z476" s="1635"/>
      <c r="AA476" s="1634"/>
      <c r="AB476" s="1634"/>
      <c r="AC476" s="1508">
        <f t="shared" si="343"/>
        <v>0</v>
      </c>
      <c r="AD476" s="1509">
        <f t="shared" si="344"/>
        <v>0</v>
      </c>
      <c r="AE476" s="1509">
        <f t="shared" si="345"/>
        <v>0</v>
      </c>
      <c r="AF476" s="1509">
        <f t="shared" si="345"/>
        <v>0</v>
      </c>
      <c r="AG476" s="1509">
        <f t="shared" si="345"/>
        <v>0</v>
      </c>
      <c r="AH476" s="1490">
        <f t="shared" si="308"/>
        <v>0</v>
      </c>
      <c r="AI476" s="1636">
        <f t="shared" si="346"/>
        <v>0</v>
      </c>
      <c r="AJ476" s="1636">
        <f t="shared" si="347"/>
        <v>0</v>
      </c>
      <c r="AK476" s="1636">
        <f t="shared" si="348"/>
        <v>0</v>
      </c>
      <c r="AL476" s="1636">
        <f t="shared" si="348"/>
        <v>0</v>
      </c>
      <c r="AM476" s="1636">
        <f t="shared" si="348"/>
        <v>0</v>
      </c>
      <c r="AN476" s="1637"/>
      <c r="AO476" s="1722">
        <v>0</v>
      </c>
      <c r="AP476" s="1638"/>
      <c r="AQ476" s="1638"/>
      <c r="AR476" s="1638"/>
      <c r="AS476" s="1639"/>
      <c r="AT476" s="1638"/>
      <c r="AU476" s="1638"/>
      <c r="AV476" s="1638"/>
      <c r="AW476" s="1639"/>
      <c r="AX476" s="1640"/>
      <c r="AY476" s="1640"/>
      <c r="AZ476" s="1640"/>
      <c r="BA476" s="1641"/>
      <c r="BB476" s="1640"/>
      <c r="BC476" s="1640"/>
      <c r="BD476" s="1640"/>
      <c r="BE476" s="1644"/>
      <c r="BF476" s="1640"/>
      <c r="BG476" s="1640"/>
      <c r="BH476" s="1640"/>
      <c r="BI476" s="1641"/>
      <c r="BJ476" s="1640"/>
      <c r="BK476" s="1640"/>
      <c r="BL476" s="1640"/>
      <c r="BM476" s="1641"/>
      <c r="BN476" s="1640"/>
      <c r="BO476" s="1640"/>
      <c r="BP476" s="1640"/>
      <c r="BQ476" s="1641"/>
      <c r="BR476" s="1640"/>
      <c r="BS476" s="1640"/>
      <c r="BT476" s="1640"/>
      <c r="BU476" s="1641"/>
      <c r="BV476" s="1640"/>
      <c r="BW476" s="1640"/>
      <c r="BX476" s="1640"/>
      <c r="BY476" s="1641"/>
      <c r="BZ476" s="1640"/>
      <c r="CA476" s="1640"/>
      <c r="CB476" s="1640"/>
      <c r="CC476" s="1641"/>
      <c r="CD476" s="1640"/>
      <c r="CE476" s="1640"/>
      <c r="CF476" s="1640"/>
      <c r="CG476" s="1642"/>
      <c r="CH476" s="1641">
        <f t="shared" si="349"/>
        <v>0</v>
      </c>
      <c r="CI476" s="1641">
        <f t="shared" si="349"/>
        <v>0</v>
      </c>
      <c r="CJ476" s="1641">
        <f t="shared" si="349"/>
        <v>0</v>
      </c>
      <c r="CK476" s="1641">
        <f t="shared" si="349"/>
        <v>0</v>
      </c>
      <c r="CL476" s="1889">
        <v>0</v>
      </c>
      <c r="CM476" s="1889">
        <v>0</v>
      </c>
      <c r="CN476" s="1889">
        <v>0</v>
      </c>
      <c r="CO476" s="1889">
        <v>0</v>
      </c>
      <c r="CP476" s="1641"/>
      <c r="CQ476" s="1640"/>
      <c r="CR476" s="1640"/>
      <c r="CS476" s="1640"/>
    </row>
    <row r="477" spans="1:107" ht="15" thickBot="1" x14ac:dyDescent="0.2">
      <c r="A477" s="1541" t="s">
        <v>90</v>
      </c>
      <c r="B477" s="1523" t="s">
        <v>79</v>
      </c>
      <c r="C477" s="1523" t="s">
        <v>80</v>
      </c>
      <c r="D477" s="1523" t="s">
        <v>125</v>
      </c>
      <c r="E477" s="1523" t="s">
        <v>215</v>
      </c>
      <c r="F477" s="1523"/>
      <c r="G477" s="1667">
        <v>225</v>
      </c>
      <c r="H477" s="1501">
        <f>10.6+79.1+50</f>
        <v>139.69999999999999</v>
      </c>
      <c r="I477" s="1645"/>
      <c r="J477" s="1630">
        <f>540.6-V477</f>
        <v>60.600000000000023</v>
      </c>
      <c r="K477" s="1630"/>
      <c r="L477" s="1631"/>
      <c r="M477" s="1631"/>
      <c r="N477" s="1631"/>
      <c r="O477" s="1631"/>
      <c r="P477" s="1631"/>
      <c r="Q477" s="1631"/>
      <c r="R477" s="1631"/>
      <c r="S477" s="1631"/>
      <c r="T477" s="1632"/>
      <c r="U477" s="1633"/>
      <c r="V477" s="1633">
        <v>480</v>
      </c>
      <c r="W477" s="1634"/>
      <c r="X477" s="1634"/>
      <c r="Y477" s="1634"/>
      <c r="Z477" s="1635"/>
      <c r="AA477" s="1634"/>
      <c r="AB477" s="1634"/>
      <c r="AC477" s="1508">
        <f t="shared" si="343"/>
        <v>139.69999999999999</v>
      </c>
      <c r="AD477" s="1509">
        <f t="shared" si="344"/>
        <v>60.6</v>
      </c>
      <c r="AE477" s="1509">
        <f t="shared" si="345"/>
        <v>0</v>
      </c>
      <c r="AF477" s="1509">
        <f t="shared" si="345"/>
        <v>60.6</v>
      </c>
      <c r="AG477" s="1509">
        <f t="shared" si="345"/>
        <v>0</v>
      </c>
      <c r="AH477" s="1490">
        <f t="shared" si="308"/>
        <v>89.7</v>
      </c>
      <c r="AI477" s="1636">
        <f t="shared" si="346"/>
        <v>0</v>
      </c>
      <c r="AJ477" s="1636">
        <f t="shared" si="347"/>
        <v>0</v>
      </c>
      <c r="AK477" s="1636">
        <f t="shared" si="348"/>
        <v>0</v>
      </c>
      <c r="AL477" s="1636">
        <f t="shared" si="348"/>
        <v>0</v>
      </c>
      <c r="AM477" s="1636">
        <f t="shared" si="348"/>
        <v>0</v>
      </c>
      <c r="AN477" s="1637"/>
      <c r="AO477" s="1723"/>
      <c r="AP477" s="1638"/>
      <c r="AQ477" s="1638"/>
      <c r="AR477" s="1638"/>
      <c r="AS477" s="1639"/>
      <c r="AT477" s="1638"/>
      <c r="AU477" s="1638"/>
      <c r="AV477" s="1638"/>
      <c r="AW477" s="1639"/>
      <c r="AX477" s="1640"/>
      <c r="AY477" s="1640"/>
      <c r="AZ477" s="1640"/>
      <c r="BA477" s="1641"/>
      <c r="BB477" s="1640"/>
      <c r="BC477" s="1640"/>
      <c r="BD477" s="1640"/>
      <c r="BE477" s="1644"/>
      <c r="BF477" s="1640"/>
      <c r="BG477" s="1640"/>
      <c r="BH477" s="1640"/>
      <c r="BI477" s="1641"/>
      <c r="BJ477" s="1640"/>
      <c r="BK477" s="1640"/>
      <c r="BL477" s="1640"/>
      <c r="BM477" s="1641"/>
      <c r="BN477" s="1640"/>
      <c r="BO477" s="1640"/>
      <c r="BP477" s="1640"/>
      <c r="BQ477" s="1641">
        <v>50</v>
      </c>
      <c r="BR477" s="1640"/>
      <c r="BS477" s="1640"/>
      <c r="BT477" s="1640"/>
      <c r="BU477" s="1641"/>
      <c r="BV477" s="1640"/>
      <c r="BW477" s="1640"/>
      <c r="BX477" s="1640"/>
      <c r="BY477" s="1641"/>
      <c r="BZ477" s="1640"/>
      <c r="CA477" s="1640">
        <v>50</v>
      </c>
      <c r="CB477" s="1640"/>
      <c r="CC477" s="1641"/>
      <c r="CD477" s="1640"/>
      <c r="CE477" s="1640"/>
      <c r="CF477" s="1640"/>
      <c r="CG477" s="1642"/>
      <c r="CH477" s="1641">
        <f t="shared" si="349"/>
        <v>89.7</v>
      </c>
      <c r="CI477" s="1641">
        <f t="shared" si="349"/>
        <v>0</v>
      </c>
      <c r="CJ477" s="1641">
        <f t="shared" si="349"/>
        <v>10.6</v>
      </c>
      <c r="CK477" s="1641">
        <f t="shared" si="349"/>
        <v>0</v>
      </c>
      <c r="CL477" s="1889">
        <v>89.7</v>
      </c>
      <c r="CM477" s="1889">
        <v>0</v>
      </c>
      <c r="CN477" s="1889">
        <v>10.6</v>
      </c>
      <c r="CO477" s="1889">
        <v>0</v>
      </c>
      <c r="CP477" s="1641"/>
      <c r="CQ477" s="1640"/>
      <c r="CR477" s="1640"/>
      <c r="CS477" s="1640"/>
    </row>
    <row r="478" spans="1:107" ht="15" thickBot="1" x14ac:dyDescent="0.2">
      <c r="A478" s="1541" t="s">
        <v>91</v>
      </c>
      <c r="B478" s="1523" t="s">
        <v>79</v>
      </c>
      <c r="C478" s="1523" t="s">
        <v>80</v>
      </c>
      <c r="D478" s="1523" t="s">
        <v>125</v>
      </c>
      <c r="E478" s="1523" t="s">
        <v>215</v>
      </c>
      <c r="F478" s="1523"/>
      <c r="G478" s="1667">
        <v>226</v>
      </c>
      <c r="H478" s="1501">
        <f>35.046+497+88.754</f>
        <v>620.80000000000007</v>
      </c>
      <c r="I478" s="1645"/>
      <c r="J478" s="1630"/>
      <c r="K478" s="1630"/>
      <c r="L478" s="1631"/>
      <c r="M478" s="1631"/>
      <c r="N478" s="1631"/>
      <c r="O478" s="1631">
        <v>32.178750000000001</v>
      </c>
      <c r="P478" s="1631"/>
      <c r="Q478" s="1631"/>
      <c r="R478" s="1631"/>
      <c r="S478" s="1631">
        <v>900</v>
      </c>
      <c r="T478" s="1632"/>
      <c r="U478" s="1633"/>
      <c r="V478" s="1633"/>
      <c r="W478" s="1634"/>
      <c r="X478" s="1634"/>
      <c r="Y478" s="1634"/>
      <c r="Z478" s="1635"/>
      <c r="AA478" s="1634"/>
      <c r="AB478" s="1634"/>
      <c r="AC478" s="1508">
        <f t="shared" si="343"/>
        <v>620.79999999999995</v>
      </c>
      <c r="AD478" s="1509">
        <f t="shared" si="344"/>
        <v>0</v>
      </c>
      <c r="AE478" s="1509">
        <f t="shared" si="345"/>
        <v>0</v>
      </c>
      <c r="AF478" s="1509">
        <f t="shared" si="345"/>
        <v>0</v>
      </c>
      <c r="AG478" s="1509">
        <f t="shared" si="345"/>
        <v>0</v>
      </c>
      <c r="AH478" s="1490">
        <f t="shared" si="308"/>
        <v>290.61874999999998</v>
      </c>
      <c r="AI478" s="1636">
        <f t="shared" si="346"/>
        <v>0</v>
      </c>
      <c r="AJ478" s="1636">
        <f t="shared" si="347"/>
        <v>0</v>
      </c>
      <c r="AK478" s="1636">
        <f t="shared" si="348"/>
        <v>0</v>
      </c>
      <c r="AL478" s="1636">
        <f t="shared" si="348"/>
        <v>0</v>
      </c>
      <c r="AM478" s="1636">
        <f t="shared" si="348"/>
        <v>0</v>
      </c>
      <c r="AN478" s="1637"/>
      <c r="AO478" s="1723"/>
      <c r="AP478" s="1638"/>
      <c r="AQ478" s="1638"/>
      <c r="AR478" s="1638"/>
      <c r="AS478" s="1639"/>
      <c r="AT478" s="1638"/>
      <c r="AU478" s="1638"/>
      <c r="AV478" s="1638"/>
      <c r="AW478" s="1639"/>
      <c r="AX478" s="1640"/>
      <c r="AY478" s="1640"/>
      <c r="AZ478" s="1640"/>
      <c r="BA478" s="1641"/>
      <c r="BB478" s="1640"/>
      <c r="BC478" s="1640"/>
      <c r="BD478" s="1640"/>
      <c r="BE478" s="1644"/>
      <c r="BF478" s="1640"/>
      <c r="BG478" s="1640"/>
      <c r="BH478" s="1640"/>
      <c r="BI478" s="1641"/>
      <c r="BJ478" s="1640"/>
      <c r="BK478" s="1640"/>
      <c r="BL478" s="1640"/>
      <c r="BM478" s="1641"/>
      <c r="BN478" s="1640"/>
      <c r="BO478" s="1640"/>
      <c r="BP478" s="1640"/>
      <c r="BQ478" s="1641">
        <v>35.049999999999997</v>
      </c>
      <c r="BR478" s="1640"/>
      <c r="BS478" s="1640"/>
      <c r="BT478" s="1640"/>
      <c r="BU478" s="1641">
        <v>165.8</v>
      </c>
      <c r="BV478" s="1640"/>
      <c r="BW478" s="1640"/>
      <c r="BX478" s="1640"/>
      <c r="BY478" s="1641">
        <v>161.51</v>
      </c>
      <c r="BZ478" s="1640"/>
      <c r="CA478" s="1640"/>
      <c r="CB478" s="1640"/>
      <c r="CC478" s="1641"/>
      <c r="CD478" s="1640"/>
      <c r="CE478" s="1640"/>
      <c r="CF478" s="1640"/>
      <c r="CG478" s="1642">
        <v>32.178750000000001</v>
      </c>
      <c r="CH478" s="1641">
        <f t="shared" si="349"/>
        <v>258.44</v>
      </c>
      <c r="CI478" s="1641">
        <f t="shared" si="349"/>
        <v>0</v>
      </c>
      <c r="CJ478" s="1641">
        <f t="shared" si="349"/>
        <v>0</v>
      </c>
      <c r="CK478" s="1641">
        <f t="shared" si="349"/>
        <v>0</v>
      </c>
      <c r="CL478" s="1889">
        <v>258.44</v>
      </c>
      <c r="CM478" s="1889">
        <v>0</v>
      </c>
      <c r="CN478" s="1889">
        <v>0</v>
      </c>
      <c r="CO478" s="1889">
        <v>0</v>
      </c>
      <c r="CP478" s="1641"/>
      <c r="CQ478" s="1640"/>
      <c r="CR478" s="1640"/>
      <c r="CS478" s="1640"/>
    </row>
    <row r="479" spans="1:107" ht="15" thickBot="1" x14ac:dyDescent="0.2">
      <c r="A479" s="1541" t="s">
        <v>94</v>
      </c>
      <c r="B479" s="1523" t="s">
        <v>79</v>
      </c>
      <c r="C479" s="1523" t="s">
        <v>80</v>
      </c>
      <c r="D479" s="1523" t="s">
        <v>125</v>
      </c>
      <c r="E479" s="1523" t="s">
        <v>215</v>
      </c>
      <c r="F479" s="1523"/>
      <c r="G479" s="1667">
        <v>290</v>
      </c>
      <c r="H479" s="1501">
        <v>142.6</v>
      </c>
      <c r="I479" s="1645"/>
      <c r="J479" s="1630"/>
      <c r="K479" s="1630"/>
      <c r="L479" s="1631"/>
      <c r="M479" s="1631"/>
      <c r="N479" s="1631"/>
      <c r="O479" s="1631"/>
      <c r="P479" s="1631"/>
      <c r="Q479" s="1631"/>
      <c r="R479" s="1631"/>
      <c r="S479" s="1631"/>
      <c r="T479" s="1632"/>
      <c r="U479" s="1633"/>
      <c r="V479" s="1633"/>
      <c r="W479" s="1634"/>
      <c r="X479" s="1634"/>
      <c r="Y479" s="1634"/>
      <c r="Z479" s="1635"/>
      <c r="AA479" s="1634"/>
      <c r="AB479" s="1634"/>
      <c r="AC479" s="1508">
        <f t="shared" si="343"/>
        <v>142.60000000000002</v>
      </c>
      <c r="AD479" s="1509">
        <f t="shared" si="344"/>
        <v>0</v>
      </c>
      <c r="AE479" s="1509">
        <f t="shared" si="345"/>
        <v>0</v>
      </c>
      <c r="AF479" s="1509">
        <f t="shared" si="345"/>
        <v>0</v>
      </c>
      <c r="AG479" s="1509">
        <f t="shared" si="345"/>
        <v>0</v>
      </c>
      <c r="AH479" s="1490">
        <f t="shared" si="308"/>
        <v>35.700000000000003</v>
      </c>
      <c r="AI479" s="1636">
        <f t="shared" si="346"/>
        <v>0</v>
      </c>
      <c r="AJ479" s="1636">
        <f t="shared" si="347"/>
        <v>0</v>
      </c>
      <c r="AK479" s="1636">
        <f t="shared" si="348"/>
        <v>0</v>
      </c>
      <c r="AL479" s="1636">
        <f t="shared" si="348"/>
        <v>0</v>
      </c>
      <c r="AM479" s="1636">
        <f t="shared" si="348"/>
        <v>0</v>
      </c>
      <c r="AN479" s="1637"/>
      <c r="AO479" s="1722">
        <v>11.9</v>
      </c>
      <c r="AP479" s="1638"/>
      <c r="AQ479" s="1638"/>
      <c r="AR479" s="1638"/>
      <c r="AS479" s="1639"/>
      <c r="AT479" s="1638"/>
      <c r="AU479" s="1638"/>
      <c r="AV479" s="1638"/>
      <c r="AW479" s="1639"/>
      <c r="AX479" s="1640"/>
      <c r="AY479" s="1640"/>
      <c r="AZ479" s="1640"/>
      <c r="BA479" s="1641"/>
      <c r="BB479" s="1640"/>
      <c r="BC479" s="1640"/>
      <c r="BD479" s="1640"/>
      <c r="BE479" s="1644">
        <v>35.6</v>
      </c>
      <c r="BF479" s="1640"/>
      <c r="BG479" s="1640"/>
      <c r="BH479" s="1640"/>
      <c r="BI479" s="1641"/>
      <c r="BJ479" s="1640"/>
      <c r="BK479" s="1640"/>
      <c r="BL479" s="1640"/>
      <c r="BM479" s="1641"/>
      <c r="BN479" s="1640"/>
      <c r="BO479" s="1640"/>
      <c r="BP479" s="1640"/>
      <c r="BQ479" s="1641"/>
      <c r="BR479" s="1640"/>
      <c r="BS479" s="1640"/>
      <c r="BT479" s="1640"/>
      <c r="BU479" s="1641">
        <v>59.4</v>
      </c>
      <c r="BV479" s="1640"/>
      <c r="BW479" s="1640"/>
      <c r="BX479" s="1640"/>
      <c r="BY479" s="1641"/>
      <c r="BZ479" s="1640"/>
      <c r="CA479" s="1640"/>
      <c r="CB479" s="1640"/>
      <c r="CC479" s="1641"/>
      <c r="CD479" s="1640"/>
      <c r="CE479" s="1640"/>
      <c r="CF479" s="1640"/>
      <c r="CG479" s="1642"/>
      <c r="CH479" s="1641">
        <f t="shared" si="349"/>
        <v>35.700000000000003</v>
      </c>
      <c r="CI479" s="1641">
        <f t="shared" si="349"/>
        <v>0</v>
      </c>
      <c r="CJ479" s="1641">
        <f t="shared" si="349"/>
        <v>0</v>
      </c>
      <c r="CK479" s="1641">
        <f t="shared" si="349"/>
        <v>0</v>
      </c>
      <c r="CL479" s="1889">
        <v>35.700000000000003</v>
      </c>
      <c r="CM479" s="1889">
        <v>0</v>
      </c>
      <c r="CN479" s="1889">
        <v>0</v>
      </c>
      <c r="CO479" s="1889">
        <v>0</v>
      </c>
      <c r="CP479" s="1641"/>
      <c r="CQ479" s="1640"/>
      <c r="CR479" s="1640"/>
      <c r="CS479" s="1640"/>
    </row>
    <row r="480" spans="1:107" ht="15" thickBot="1" x14ac:dyDescent="0.2">
      <c r="A480" s="1541" t="s">
        <v>94</v>
      </c>
      <c r="B480" s="1523" t="s">
        <v>79</v>
      </c>
      <c r="C480" s="1523" t="s">
        <v>80</v>
      </c>
      <c r="D480" s="1523" t="s">
        <v>125</v>
      </c>
      <c r="E480" s="1523" t="s">
        <v>215</v>
      </c>
      <c r="F480" s="1523"/>
      <c r="G480" s="1667" t="s">
        <v>95</v>
      </c>
      <c r="H480" s="1501">
        <v>0</v>
      </c>
      <c r="I480" s="1645"/>
      <c r="J480" s="1630"/>
      <c r="K480" s="1630"/>
      <c r="L480" s="1631"/>
      <c r="M480" s="1631"/>
      <c r="N480" s="1631"/>
      <c r="O480" s="1631"/>
      <c r="P480" s="1631"/>
      <c r="Q480" s="1631"/>
      <c r="R480" s="1631"/>
      <c r="S480" s="1631"/>
      <c r="T480" s="1632"/>
      <c r="U480" s="1633"/>
      <c r="V480" s="1633"/>
      <c r="W480" s="1634"/>
      <c r="X480" s="1634"/>
      <c r="Y480" s="1634"/>
      <c r="Z480" s="1635"/>
      <c r="AA480" s="1634"/>
      <c r="AB480" s="1634"/>
      <c r="AC480" s="1508">
        <f t="shared" si="343"/>
        <v>0</v>
      </c>
      <c r="AD480" s="1509">
        <f t="shared" si="344"/>
        <v>0</v>
      </c>
      <c r="AE480" s="1509">
        <f t="shared" si="345"/>
        <v>0</v>
      </c>
      <c r="AF480" s="1509">
        <f t="shared" si="345"/>
        <v>0</v>
      </c>
      <c r="AG480" s="1509">
        <f t="shared" si="345"/>
        <v>0</v>
      </c>
      <c r="AH480" s="1490">
        <f t="shared" si="308"/>
        <v>0</v>
      </c>
      <c r="AI480" s="1636">
        <f t="shared" si="346"/>
        <v>0</v>
      </c>
      <c r="AJ480" s="1636">
        <f t="shared" si="347"/>
        <v>0</v>
      </c>
      <c r="AK480" s="1636">
        <f t="shared" si="348"/>
        <v>0</v>
      </c>
      <c r="AL480" s="1636">
        <f t="shared" si="348"/>
        <v>0</v>
      </c>
      <c r="AM480" s="1636">
        <f t="shared" si="348"/>
        <v>0</v>
      </c>
      <c r="AN480" s="1637"/>
      <c r="AO480" s="1722">
        <v>0</v>
      </c>
      <c r="AP480" s="1638"/>
      <c r="AQ480" s="1638"/>
      <c r="AR480" s="1638"/>
      <c r="AS480" s="1639"/>
      <c r="AT480" s="1638"/>
      <c r="AU480" s="1638"/>
      <c r="AV480" s="1638"/>
      <c r="AW480" s="1639"/>
      <c r="AX480" s="1640"/>
      <c r="AY480" s="1640"/>
      <c r="AZ480" s="1640"/>
      <c r="BA480" s="1641"/>
      <c r="BB480" s="1640"/>
      <c r="BC480" s="1640"/>
      <c r="BD480" s="1640"/>
      <c r="BE480" s="1644"/>
      <c r="BF480" s="1640"/>
      <c r="BG480" s="1640"/>
      <c r="BH480" s="1640"/>
      <c r="BI480" s="1641"/>
      <c r="BJ480" s="1640"/>
      <c r="BK480" s="1640"/>
      <c r="BL480" s="1640"/>
      <c r="BM480" s="1641"/>
      <c r="BN480" s="1640"/>
      <c r="BO480" s="1640"/>
      <c r="BP480" s="1640"/>
      <c r="BQ480" s="1641"/>
      <c r="BR480" s="1640"/>
      <c r="BS480" s="1640"/>
      <c r="BT480" s="1640"/>
      <c r="BU480" s="1641"/>
      <c r="BV480" s="1640"/>
      <c r="BW480" s="1640"/>
      <c r="BX480" s="1640"/>
      <c r="BY480" s="1641"/>
      <c r="BZ480" s="1640"/>
      <c r="CA480" s="1640"/>
      <c r="CB480" s="1640"/>
      <c r="CC480" s="1641"/>
      <c r="CD480" s="1640"/>
      <c r="CE480" s="1640"/>
      <c r="CF480" s="1640"/>
      <c r="CG480" s="1642"/>
      <c r="CH480" s="1641">
        <f t="shared" si="349"/>
        <v>0</v>
      </c>
      <c r="CI480" s="1641">
        <f t="shared" si="349"/>
        <v>0</v>
      </c>
      <c r="CJ480" s="1641">
        <f t="shared" si="349"/>
        <v>0</v>
      </c>
      <c r="CK480" s="1641">
        <f t="shared" si="349"/>
        <v>0</v>
      </c>
      <c r="CL480" s="1889">
        <v>0</v>
      </c>
      <c r="CM480" s="1889">
        <v>0</v>
      </c>
      <c r="CN480" s="1889">
        <v>0</v>
      </c>
      <c r="CO480" s="1889">
        <v>0</v>
      </c>
      <c r="CP480" s="1641"/>
      <c r="CQ480" s="1640"/>
      <c r="CR480" s="1640"/>
      <c r="CS480" s="1640"/>
    </row>
    <row r="481" spans="1:107" ht="15" thickBot="1" x14ac:dyDescent="0.2">
      <c r="A481" s="1541" t="s">
        <v>96</v>
      </c>
      <c r="B481" s="1523" t="s">
        <v>79</v>
      </c>
      <c r="C481" s="1523" t="s">
        <v>80</v>
      </c>
      <c r="D481" s="1523" t="s">
        <v>125</v>
      </c>
      <c r="E481" s="1523" t="s">
        <v>215</v>
      </c>
      <c r="F481" s="1523"/>
      <c r="G481" s="1667">
        <v>310</v>
      </c>
      <c r="H481" s="1501">
        <f>100.5-25.1</f>
        <v>75.400000000000006</v>
      </c>
      <c r="I481" s="1645"/>
      <c r="J481" s="1630"/>
      <c r="K481" s="1630"/>
      <c r="L481" s="1631"/>
      <c r="M481" s="1631"/>
      <c r="N481" s="1631"/>
      <c r="O481" s="1631"/>
      <c r="P481" s="1631"/>
      <c r="Q481" s="1631"/>
      <c r="R481" s="1631"/>
      <c r="S481" s="1631"/>
      <c r="T481" s="1632"/>
      <c r="U481" s="1633"/>
      <c r="V481" s="1633"/>
      <c r="W481" s="1634"/>
      <c r="X481" s="1634"/>
      <c r="Y481" s="1634"/>
      <c r="Z481" s="1635"/>
      <c r="AA481" s="1634"/>
      <c r="AB481" s="1634"/>
      <c r="AC481" s="1508">
        <f t="shared" si="343"/>
        <v>75.400000000000006</v>
      </c>
      <c r="AD481" s="1509">
        <f t="shared" si="344"/>
        <v>0</v>
      </c>
      <c r="AE481" s="1509">
        <f t="shared" si="345"/>
        <v>0</v>
      </c>
      <c r="AF481" s="1509">
        <f t="shared" si="345"/>
        <v>0</v>
      </c>
      <c r="AG481" s="1509">
        <f t="shared" si="345"/>
        <v>0</v>
      </c>
      <c r="AH481" s="1490">
        <f t="shared" ref="AH481:AH517" si="350">CG481+CL481</f>
        <v>75.400000000000006</v>
      </c>
      <c r="AI481" s="1636">
        <f t="shared" si="346"/>
        <v>0</v>
      </c>
      <c r="AJ481" s="1636">
        <f t="shared" si="347"/>
        <v>0</v>
      </c>
      <c r="AK481" s="1636">
        <f t="shared" si="348"/>
        <v>0</v>
      </c>
      <c r="AL481" s="1636">
        <f t="shared" si="348"/>
        <v>0</v>
      </c>
      <c r="AM481" s="1636">
        <f t="shared" si="348"/>
        <v>0</v>
      </c>
      <c r="AN481" s="1637"/>
      <c r="AO481" s="1723"/>
      <c r="AP481" s="1638"/>
      <c r="AQ481" s="1638"/>
      <c r="AR481" s="1638"/>
      <c r="AS481" s="1639"/>
      <c r="AT481" s="1638"/>
      <c r="AU481" s="1638"/>
      <c r="AV481" s="1638"/>
      <c r="AW481" s="1639"/>
      <c r="AX481" s="1640"/>
      <c r="AY481" s="1640"/>
      <c r="AZ481" s="1640"/>
      <c r="BA481" s="1641"/>
      <c r="BB481" s="1640"/>
      <c r="BC481" s="1640"/>
      <c r="BD481" s="1640"/>
      <c r="BE481" s="1644"/>
      <c r="BF481" s="1640"/>
      <c r="BG481" s="1640"/>
      <c r="BH481" s="1640"/>
      <c r="BI481" s="1641"/>
      <c r="BJ481" s="1640"/>
      <c r="BK481" s="1640"/>
      <c r="BL481" s="1640"/>
      <c r="BM481" s="1641"/>
      <c r="BN481" s="1640"/>
      <c r="BO481" s="1640"/>
      <c r="BP481" s="1640"/>
      <c r="BQ481" s="1641"/>
      <c r="BR481" s="1640"/>
      <c r="BS481" s="1640"/>
      <c r="BT481" s="1640"/>
      <c r="BU481" s="1641"/>
      <c r="BV481" s="1640"/>
      <c r="BW481" s="1640"/>
      <c r="BX481" s="1640"/>
      <c r="BY481" s="1641"/>
      <c r="BZ481" s="1640"/>
      <c r="CA481" s="1640"/>
      <c r="CB481" s="1640"/>
      <c r="CC481" s="1641"/>
      <c r="CD481" s="1640"/>
      <c r="CE481" s="1640"/>
      <c r="CF481" s="1640"/>
      <c r="CG481" s="1642"/>
      <c r="CH481" s="1641">
        <f t="shared" si="349"/>
        <v>75.400000000000006</v>
      </c>
      <c r="CI481" s="1641">
        <f t="shared" si="349"/>
        <v>0</v>
      </c>
      <c r="CJ481" s="1641">
        <f t="shared" si="349"/>
        <v>0</v>
      </c>
      <c r="CK481" s="1641">
        <f t="shared" si="349"/>
        <v>0</v>
      </c>
      <c r="CL481" s="1889">
        <v>75.400000000000006</v>
      </c>
      <c r="CM481" s="1889">
        <v>0</v>
      </c>
      <c r="CN481" s="1889">
        <v>0</v>
      </c>
      <c r="CO481" s="1889">
        <v>0</v>
      </c>
      <c r="CP481" s="1641"/>
      <c r="CQ481" s="1640"/>
      <c r="CR481" s="1640"/>
      <c r="CS481" s="1640"/>
    </row>
    <row r="482" spans="1:107" ht="15" thickBot="1" x14ac:dyDescent="0.2">
      <c r="A482" s="1541" t="s">
        <v>97</v>
      </c>
      <c r="B482" s="1523" t="s">
        <v>79</v>
      </c>
      <c r="C482" s="1523" t="s">
        <v>80</v>
      </c>
      <c r="D482" s="1523" t="s">
        <v>125</v>
      </c>
      <c r="E482" s="1523" t="s">
        <v>215</v>
      </c>
      <c r="F482" s="1523"/>
      <c r="G482" s="1667">
        <v>340</v>
      </c>
      <c r="H482" s="1501">
        <v>31.6</v>
      </c>
      <c r="I482" s="1645"/>
      <c r="J482" s="1630"/>
      <c r="K482" s="1630"/>
      <c r="L482" s="1631"/>
      <c r="M482" s="1631"/>
      <c r="N482" s="1631"/>
      <c r="O482" s="1631"/>
      <c r="P482" s="1631"/>
      <c r="Q482" s="1631"/>
      <c r="R482" s="1631"/>
      <c r="S482" s="1631"/>
      <c r="T482" s="1632"/>
      <c r="U482" s="1633"/>
      <c r="V482" s="1633"/>
      <c r="W482" s="1634"/>
      <c r="X482" s="1634"/>
      <c r="Y482" s="1634"/>
      <c r="Z482" s="1635"/>
      <c r="AA482" s="1634"/>
      <c r="AB482" s="1634"/>
      <c r="AC482" s="1508">
        <f t="shared" si="343"/>
        <v>31.6</v>
      </c>
      <c r="AD482" s="1509">
        <f t="shared" si="344"/>
        <v>0</v>
      </c>
      <c r="AE482" s="1509">
        <f t="shared" si="345"/>
        <v>0</v>
      </c>
      <c r="AF482" s="1509">
        <f t="shared" si="345"/>
        <v>0</v>
      </c>
      <c r="AG482" s="1509">
        <f t="shared" si="345"/>
        <v>0</v>
      </c>
      <c r="AH482" s="1490">
        <f t="shared" si="350"/>
        <v>29</v>
      </c>
      <c r="AI482" s="1636">
        <f t="shared" si="346"/>
        <v>0</v>
      </c>
      <c r="AJ482" s="1636">
        <f t="shared" si="347"/>
        <v>0</v>
      </c>
      <c r="AK482" s="1636">
        <f t="shared" si="348"/>
        <v>0</v>
      </c>
      <c r="AL482" s="1636">
        <f t="shared" si="348"/>
        <v>0</v>
      </c>
      <c r="AM482" s="1636">
        <f t="shared" si="348"/>
        <v>0</v>
      </c>
      <c r="AN482" s="1637"/>
      <c r="AO482" s="1722">
        <v>2.6</v>
      </c>
      <c r="AP482" s="1638"/>
      <c r="AQ482" s="1638"/>
      <c r="AR482" s="1638"/>
      <c r="AS482" s="1639"/>
      <c r="AT482" s="1638"/>
      <c r="AU482" s="1638"/>
      <c r="AV482" s="1638"/>
      <c r="AW482" s="1639"/>
      <c r="AX482" s="1640"/>
      <c r="AY482" s="1640"/>
      <c r="AZ482" s="1640"/>
      <c r="BA482" s="1641"/>
      <c r="BB482" s="1640"/>
      <c r="BC482" s="1640"/>
      <c r="BD482" s="1640"/>
      <c r="BE482" s="1644"/>
      <c r="BF482" s="1640"/>
      <c r="BG482" s="1640"/>
      <c r="BH482" s="1640"/>
      <c r="BI482" s="1641"/>
      <c r="BJ482" s="1640"/>
      <c r="BK482" s="1640"/>
      <c r="BL482" s="1640"/>
      <c r="BM482" s="1641"/>
      <c r="BN482" s="1640"/>
      <c r="BO482" s="1640"/>
      <c r="BP482" s="1640"/>
      <c r="BQ482" s="1641"/>
      <c r="BR482" s="1640"/>
      <c r="BS482" s="1640"/>
      <c r="BT482" s="1640"/>
      <c r="BU482" s="1641"/>
      <c r="BV482" s="1640"/>
      <c r="BW482" s="1640"/>
      <c r="BX482" s="1640"/>
      <c r="BY482" s="1641"/>
      <c r="BZ482" s="1640"/>
      <c r="CA482" s="1640"/>
      <c r="CB482" s="1640"/>
      <c r="CC482" s="1641"/>
      <c r="CD482" s="1640"/>
      <c r="CE482" s="1640"/>
      <c r="CF482" s="1640"/>
      <c r="CG482" s="1642"/>
      <c r="CH482" s="1641">
        <f t="shared" si="349"/>
        <v>29</v>
      </c>
      <c r="CI482" s="1641">
        <f t="shared" si="349"/>
        <v>0</v>
      </c>
      <c r="CJ482" s="1641">
        <f t="shared" si="349"/>
        <v>0</v>
      </c>
      <c r="CK482" s="1641">
        <f t="shared" si="349"/>
        <v>0</v>
      </c>
      <c r="CL482" s="1889">
        <v>29</v>
      </c>
      <c r="CM482" s="1889">
        <v>0</v>
      </c>
      <c r="CN482" s="1889">
        <v>0</v>
      </c>
      <c r="CO482" s="1889">
        <v>0</v>
      </c>
      <c r="CP482" s="1641"/>
      <c r="CQ482" s="1640"/>
      <c r="CR482" s="1640"/>
      <c r="CS482" s="1640"/>
    </row>
    <row r="483" spans="1:107" ht="15" thickBot="1" x14ac:dyDescent="0.2">
      <c r="A483" s="1528" t="s">
        <v>767</v>
      </c>
      <c r="B483" s="1530" t="s">
        <v>79</v>
      </c>
      <c r="C483" s="1530" t="s">
        <v>80</v>
      </c>
      <c r="D483" s="1530" t="s">
        <v>125</v>
      </c>
      <c r="E483" s="1530" t="s">
        <v>215</v>
      </c>
      <c r="F483" s="1530" t="s">
        <v>768</v>
      </c>
      <c r="G483" s="1600" t="s">
        <v>766</v>
      </c>
      <c r="H483" s="1647">
        <f>I469</f>
        <v>0</v>
      </c>
      <c r="I483" s="1645"/>
      <c r="J483" s="1630"/>
      <c r="K483" s="1630"/>
      <c r="L483" s="1631"/>
      <c r="M483" s="1631"/>
      <c r="N483" s="1631"/>
      <c r="O483" s="1631"/>
      <c r="P483" s="1631"/>
      <c r="Q483" s="1631"/>
      <c r="R483" s="1631"/>
      <c r="S483" s="1631"/>
      <c r="T483" s="1632"/>
      <c r="U483" s="1633"/>
      <c r="V483" s="1633"/>
      <c r="W483" s="1634"/>
      <c r="X483" s="1634"/>
      <c r="Y483" s="1634"/>
      <c r="Z483" s="1635"/>
      <c r="AA483" s="1634"/>
      <c r="AB483" s="1634"/>
      <c r="AC483" s="1508">
        <f t="shared" si="343"/>
        <v>0</v>
      </c>
      <c r="AD483" s="1509">
        <f t="shared" si="344"/>
        <v>0</v>
      </c>
      <c r="AE483" s="1509">
        <f>AP483+AT483+AX483+BB483+BF483+BJ483+BN483+BR483+BV483+BZ483+CD483+CI483</f>
        <v>0</v>
      </c>
      <c r="AF483" s="1509"/>
      <c r="AG483" s="1509"/>
      <c r="AH483" s="1490">
        <f t="shared" si="350"/>
        <v>0</v>
      </c>
      <c r="AI483" s="1636"/>
      <c r="AJ483" s="1636"/>
      <c r="AK483" s="1636"/>
      <c r="AL483" s="1636">
        <f t="shared" si="348"/>
        <v>0</v>
      </c>
      <c r="AM483" s="1636"/>
      <c r="AN483" s="1712"/>
      <c r="AO483" s="1713"/>
      <c r="AP483" s="1638"/>
      <c r="AQ483" s="1638"/>
      <c r="AR483" s="1638"/>
      <c r="AS483" s="1639"/>
      <c r="AT483" s="1638"/>
      <c r="AU483" s="1638"/>
      <c r="AV483" s="1638"/>
      <c r="AW483" s="1639"/>
      <c r="AX483" s="1640"/>
      <c r="AY483" s="1640"/>
      <c r="AZ483" s="1640"/>
      <c r="BA483" s="1641"/>
      <c r="BB483" s="1640"/>
      <c r="BC483" s="1640"/>
      <c r="BD483" s="1640"/>
      <c r="BE483" s="1644"/>
      <c r="BF483" s="1640"/>
      <c r="BG483" s="1640"/>
      <c r="BH483" s="1640"/>
      <c r="BI483" s="1641"/>
      <c r="BJ483" s="1640"/>
      <c r="BK483" s="1640"/>
      <c r="BL483" s="1640"/>
      <c r="BM483" s="1641"/>
      <c r="BN483" s="1640"/>
      <c r="BO483" s="1640"/>
      <c r="BP483" s="1640"/>
      <c r="BQ483" s="1641"/>
      <c r="BR483" s="1640"/>
      <c r="BS483" s="1640"/>
      <c r="BT483" s="1640"/>
      <c r="BU483" s="1641"/>
      <c r="BV483" s="1640"/>
      <c r="BW483" s="1640"/>
      <c r="BX483" s="1640"/>
      <c r="BY483" s="1641"/>
      <c r="BZ483" s="1640"/>
      <c r="CA483" s="1640"/>
      <c r="CB483" s="1640"/>
      <c r="CC483" s="1641"/>
      <c r="CD483" s="1640"/>
      <c r="CE483" s="1640"/>
      <c r="CF483" s="1640"/>
      <c r="CG483" s="1642"/>
      <c r="CH483" s="1641">
        <f t="shared" si="349"/>
        <v>0</v>
      </c>
      <c r="CI483" s="1641">
        <f t="shared" si="349"/>
        <v>0</v>
      </c>
      <c r="CJ483" s="1641">
        <f t="shared" si="349"/>
        <v>0</v>
      </c>
      <c r="CK483" s="1641">
        <f t="shared" si="349"/>
        <v>0</v>
      </c>
      <c r="CL483" s="1898"/>
      <c r="CM483" s="1898"/>
      <c r="CN483" s="1889">
        <v>0</v>
      </c>
      <c r="CO483" s="1898"/>
      <c r="CP483" s="1641"/>
      <c r="CQ483" s="1640"/>
      <c r="CR483" s="1640"/>
      <c r="CS483" s="1640"/>
    </row>
    <row r="484" spans="1:107" s="1886" customFormat="1" ht="27" thickBot="1" x14ac:dyDescent="0.2">
      <c r="A484" s="1873" t="s">
        <v>1274</v>
      </c>
      <c r="B484" s="1780" t="s">
        <v>79</v>
      </c>
      <c r="C484" s="1780" t="s">
        <v>80</v>
      </c>
      <c r="D484" s="1780" t="s">
        <v>125</v>
      </c>
      <c r="E484" s="1780" t="s">
        <v>215</v>
      </c>
      <c r="F484" s="1780">
        <v>600</v>
      </c>
      <c r="G484" s="1874"/>
      <c r="H484" s="1875">
        <f>H485+H499</f>
        <v>8819.7999999999993</v>
      </c>
      <c r="I484" s="1875">
        <f t="shared" ref="I484:CF484" si="351">I485+I499</f>
        <v>0</v>
      </c>
      <c r="J484" s="1875">
        <f>J485+J499</f>
        <v>200.4</v>
      </c>
      <c r="K484" s="1875">
        <f t="shared" si="351"/>
        <v>0</v>
      </c>
      <c r="L484" s="1876"/>
      <c r="M484" s="1876"/>
      <c r="N484" s="1876"/>
      <c r="O484" s="1876"/>
      <c r="P484" s="1876"/>
      <c r="Q484" s="1876"/>
      <c r="R484" s="1876"/>
      <c r="S484" s="1876"/>
      <c r="T484" s="1877"/>
      <c r="U484" s="1878"/>
      <c r="V484" s="1878"/>
      <c r="W484" s="1879"/>
      <c r="X484" s="1879"/>
      <c r="Y484" s="1879"/>
      <c r="Z484" s="1880"/>
      <c r="AA484" s="1879"/>
      <c r="AB484" s="1879"/>
      <c r="AC484" s="1881">
        <f t="shared" si="351"/>
        <v>8819.7999999999993</v>
      </c>
      <c r="AD484" s="1881">
        <f t="shared" si="351"/>
        <v>200.4</v>
      </c>
      <c r="AE484" s="1881">
        <f t="shared" si="351"/>
        <v>0</v>
      </c>
      <c r="AF484" s="1881">
        <f t="shared" si="351"/>
        <v>200.4</v>
      </c>
      <c r="AG484" s="1881">
        <f t="shared" si="351"/>
        <v>0</v>
      </c>
      <c r="AH484" s="1490">
        <f t="shared" si="350"/>
        <v>1816.17</v>
      </c>
      <c r="AI484" s="1882">
        <f t="shared" si="351"/>
        <v>0</v>
      </c>
      <c r="AJ484" s="1882">
        <f t="shared" si="351"/>
        <v>0</v>
      </c>
      <c r="AK484" s="1882">
        <f t="shared" si="351"/>
        <v>0</v>
      </c>
      <c r="AL484" s="1636">
        <f t="shared" si="348"/>
        <v>0</v>
      </c>
      <c r="AM484" s="1882">
        <f t="shared" si="351"/>
        <v>0</v>
      </c>
      <c r="AN484" s="1883"/>
      <c r="AO484" s="1875">
        <f t="shared" si="351"/>
        <v>656.9</v>
      </c>
      <c r="AP484" s="1875">
        <f t="shared" si="351"/>
        <v>0</v>
      </c>
      <c r="AQ484" s="1875">
        <f t="shared" si="351"/>
        <v>0</v>
      </c>
      <c r="AR484" s="1875">
        <f t="shared" si="351"/>
        <v>0</v>
      </c>
      <c r="AS484" s="1880">
        <f t="shared" si="351"/>
        <v>652.59999999999991</v>
      </c>
      <c r="AT484" s="1875">
        <f t="shared" si="351"/>
        <v>0</v>
      </c>
      <c r="AU484" s="1875">
        <f t="shared" si="351"/>
        <v>0</v>
      </c>
      <c r="AV484" s="1875">
        <f t="shared" si="351"/>
        <v>0</v>
      </c>
      <c r="AW484" s="1880">
        <f t="shared" si="351"/>
        <v>591.59999999999991</v>
      </c>
      <c r="AX484" s="1875">
        <f t="shared" si="351"/>
        <v>0</v>
      </c>
      <c r="AY484" s="1875">
        <f t="shared" si="351"/>
        <v>0</v>
      </c>
      <c r="AZ484" s="1875">
        <f t="shared" si="351"/>
        <v>0</v>
      </c>
      <c r="BA484" s="1883">
        <f t="shared" si="351"/>
        <v>591.5</v>
      </c>
      <c r="BB484" s="1875">
        <f t="shared" si="351"/>
        <v>0</v>
      </c>
      <c r="BC484" s="1875">
        <f t="shared" si="351"/>
        <v>0</v>
      </c>
      <c r="BD484" s="1875">
        <f t="shared" si="351"/>
        <v>0</v>
      </c>
      <c r="BE484" s="1539">
        <f t="shared" si="351"/>
        <v>624.03</v>
      </c>
      <c r="BF484" s="1875">
        <f t="shared" si="351"/>
        <v>0</v>
      </c>
      <c r="BG484" s="1875">
        <f t="shared" si="351"/>
        <v>0</v>
      </c>
      <c r="BH484" s="1875">
        <f t="shared" si="351"/>
        <v>0</v>
      </c>
      <c r="BI484" s="1883">
        <f t="shared" si="351"/>
        <v>195.35</v>
      </c>
      <c r="BJ484" s="1875">
        <f t="shared" si="351"/>
        <v>0</v>
      </c>
      <c r="BK484" s="1875">
        <f t="shared" si="351"/>
        <v>0</v>
      </c>
      <c r="BL484" s="1875">
        <f t="shared" si="351"/>
        <v>0</v>
      </c>
      <c r="BM484" s="1883">
        <f t="shared" si="351"/>
        <v>1001.25</v>
      </c>
      <c r="BN484" s="1875">
        <f t="shared" si="351"/>
        <v>0</v>
      </c>
      <c r="BO484" s="1875">
        <f t="shared" si="351"/>
        <v>0</v>
      </c>
      <c r="BP484" s="1875">
        <f t="shared" si="351"/>
        <v>0</v>
      </c>
      <c r="BQ484" s="1883">
        <f t="shared" si="351"/>
        <v>667.55</v>
      </c>
      <c r="BR484" s="1875">
        <f t="shared" si="351"/>
        <v>0</v>
      </c>
      <c r="BS484" s="1875">
        <f t="shared" si="351"/>
        <v>0</v>
      </c>
      <c r="BT484" s="1875">
        <f t="shared" si="351"/>
        <v>0</v>
      </c>
      <c r="BU484" s="1883">
        <f t="shared" si="351"/>
        <v>600.19999999999993</v>
      </c>
      <c r="BV484" s="1875">
        <f t="shared" si="351"/>
        <v>0</v>
      </c>
      <c r="BW484" s="1875">
        <f t="shared" si="351"/>
        <v>0</v>
      </c>
      <c r="BX484" s="1875">
        <f t="shared" si="351"/>
        <v>0</v>
      </c>
      <c r="BY484" s="1883">
        <f t="shared" si="351"/>
        <v>622.65</v>
      </c>
      <c r="BZ484" s="1875">
        <f t="shared" si="351"/>
        <v>0</v>
      </c>
      <c r="CA484" s="1875">
        <f t="shared" si="351"/>
        <v>50</v>
      </c>
      <c r="CB484" s="1875">
        <f t="shared" si="351"/>
        <v>0</v>
      </c>
      <c r="CC484" s="1883">
        <f t="shared" si="351"/>
        <v>800</v>
      </c>
      <c r="CD484" s="1875">
        <f t="shared" si="351"/>
        <v>0</v>
      </c>
      <c r="CE484" s="1875">
        <f t="shared" si="351"/>
        <v>0</v>
      </c>
      <c r="CF484" s="1875">
        <f t="shared" si="351"/>
        <v>0</v>
      </c>
      <c r="CG484" s="1884"/>
      <c r="CH484" s="1641">
        <f t="shared" si="349"/>
        <v>1816.17</v>
      </c>
      <c r="CI484" s="1641">
        <f t="shared" si="349"/>
        <v>0</v>
      </c>
      <c r="CJ484" s="1641">
        <f t="shared" si="349"/>
        <v>150.4</v>
      </c>
      <c r="CK484" s="1641">
        <f t="shared" si="349"/>
        <v>0</v>
      </c>
      <c r="CL484" s="1899">
        <v>1816.17</v>
      </c>
      <c r="CM484" s="1900">
        <v>0</v>
      </c>
      <c r="CN484" s="1889">
        <v>150.4</v>
      </c>
      <c r="CO484" s="1900">
        <v>0</v>
      </c>
      <c r="CP484" s="1883">
        <f>CP485+CP499</f>
        <v>0</v>
      </c>
      <c r="CQ484" s="1875">
        <f>CQ485+CQ499</f>
        <v>0</v>
      </c>
      <c r="CR484" s="1875">
        <f>CR485+CR499</f>
        <v>0</v>
      </c>
      <c r="CS484" s="1875">
        <f>CS485+CS499</f>
        <v>0</v>
      </c>
      <c r="CT484" s="1885"/>
      <c r="CU484" s="1885"/>
      <c r="CV484" s="1885"/>
      <c r="CW484" s="1885"/>
      <c r="CY484" s="1885"/>
    </row>
    <row r="485" spans="1:107" ht="53" thickBot="1" x14ac:dyDescent="0.2">
      <c r="A485" s="1748" t="s">
        <v>1135</v>
      </c>
      <c r="B485" s="1749" t="s">
        <v>79</v>
      </c>
      <c r="C485" s="1749" t="s">
        <v>80</v>
      </c>
      <c r="D485" s="1749" t="s">
        <v>125</v>
      </c>
      <c r="E485" s="1749" t="s">
        <v>215</v>
      </c>
      <c r="F485" s="1749">
        <v>600</v>
      </c>
      <c r="G485" s="1600" t="s">
        <v>766</v>
      </c>
      <c r="H485" s="1531">
        <f>H486+H487+H488+H489+H490+H491+H492+H493+H494+H495+H496+H497+H498</f>
        <v>8819.7999999999993</v>
      </c>
      <c r="I485" s="1531">
        <f t="shared" ref="I485:CF485" si="352">I486+I487+I488+I489+I490+I491+I492+I493+I494+I495+I496+I497+I498</f>
        <v>0</v>
      </c>
      <c r="J485" s="1531">
        <f>J486+J487+J488+J489+J490+J491+J492+J493+J494+J495+J496+J497+J498</f>
        <v>200.4</v>
      </c>
      <c r="K485" s="1531">
        <f t="shared" ref="K485:S485" si="353">K486+K487+K488+K489+K490+K491+K492+K493+K494+K495+K496+K497+K498</f>
        <v>0</v>
      </c>
      <c r="L485" s="1601"/>
      <c r="M485" s="1601"/>
      <c r="N485" s="1601"/>
      <c r="O485" s="1601">
        <f t="shared" si="353"/>
        <v>32.178750000000001</v>
      </c>
      <c r="P485" s="1601"/>
      <c r="Q485" s="1601">
        <f t="shared" si="353"/>
        <v>0</v>
      </c>
      <c r="R485" s="1601">
        <f t="shared" si="353"/>
        <v>0</v>
      </c>
      <c r="S485" s="1601">
        <f t="shared" si="353"/>
        <v>0</v>
      </c>
      <c r="T485" s="1602"/>
      <c r="U485" s="1533"/>
      <c r="V485" s="1533"/>
      <c r="W485" s="1534"/>
      <c r="X485" s="1534"/>
      <c r="Y485" s="1534"/>
      <c r="Z485" s="1535"/>
      <c r="AA485" s="1534"/>
      <c r="AB485" s="1534"/>
      <c r="AC485" s="1603">
        <f t="shared" si="352"/>
        <v>8819.7999999999993</v>
      </c>
      <c r="AD485" s="1603">
        <f t="shared" si="352"/>
        <v>200.4</v>
      </c>
      <c r="AE485" s="1603">
        <f t="shared" si="352"/>
        <v>0</v>
      </c>
      <c r="AF485" s="1603">
        <f t="shared" si="352"/>
        <v>200.4</v>
      </c>
      <c r="AG485" s="1603">
        <f t="shared" si="352"/>
        <v>0</v>
      </c>
      <c r="AH485" s="1490">
        <f t="shared" si="350"/>
        <v>1816.17</v>
      </c>
      <c r="AI485" s="1592">
        <f t="shared" si="352"/>
        <v>0</v>
      </c>
      <c r="AJ485" s="1592">
        <f t="shared" si="352"/>
        <v>0</v>
      </c>
      <c r="AK485" s="1592">
        <f t="shared" si="352"/>
        <v>0</v>
      </c>
      <c r="AL485" s="1636">
        <f t="shared" si="348"/>
        <v>0</v>
      </c>
      <c r="AM485" s="1592">
        <f t="shared" si="352"/>
        <v>0</v>
      </c>
      <c r="AN485" s="1717"/>
      <c r="AO485" s="1707">
        <f t="shared" si="352"/>
        <v>656.9</v>
      </c>
      <c r="AP485" s="1531">
        <f t="shared" si="352"/>
        <v>0</v>
      </c>
      <c r="AQ485" s="1531">
        <f t="shared" si="352"/>
        <v>0</v>
      </c>
      <c r="AR485" s="1531">
        <f t="shared" si="352"/>
        <v>0</v>
      </c>
      <c r="AS485" s="1535">
        <f t="shared" si="352"/>
        <v>652.59999999999991</v>
      </c>
      <c r="AT485" s="1531">
        <f t="shared" si="352"/>
        <v>0</v>
      </c>
      <c r="AU485" s="1531">
        <f t="shared" si="352"/>
        <v>0</v>
      </c>
      <c r="AV485" s="1531">
        <f t="shared" si="352"/>
        <v>0</v>
      </c>
      <c r="AW485" s="1535">
        <f t="shared" si="352"/>
        <v>591.59999999999991</v>
      </c>
      <c r="AX485" s="1531">
        <f t="shared" si="352"/>
        <v>0</v>
      </c>
      <c r="AY485" s="1531">
        <f t="shared" si="352"/>
        <v>0</v>
      </c>
      <c r="AZ485" s="1531">
        <f t="shared" si="352"/>
        <v>0</v>
      </c>
      <c r="BA485" s="1538">
        <f t="shared" si="352"/>
        <v>591.5</v>
      </c>
      <c r="BB485" s="1531">
        <f t="shared" si="352"/>
        <v>0</v>
      </c>
      <c r="BC485" s="1531">
        <f t="shared" si="352"/>
        <v>0</v>
      </c>
      <c r="BD485" s="1531">
        <f t="shared" si="352"/>
        <v>0</v>
      </c>
      <c r="BE485" s="1539">
        <f t="shared" si="352"/>
        <v>624.03</v>
      </c>
      <c r="BF485" s="1531">
        <f t="shared" si="352"/>
        <v>0</v>
      </c>
      <c r="BG485" s="1531">
        <f t="shared" si="352"/>
        <v>0</v>
      </c>
      <c r="BH485" s="1531">
        <f t="shared" si="352"/>
        <v>0</v>
      </c>
      <c r="BI485" s="1538">
        <f t="shared" si="352"/>
        <v>195.35</v>
      </c>
      <c r="BJ485" s="1531">
        <f t="shared" si="352"/>
        <v>0</v>
      </c>
      <c r="BK485" s="1531">
        <f t="shared" si="352"/>
        <v>0</v>
      </c>
      <c r="BL485" s="1531">
        <f t="shared" si="352"/>
        <v>0</v>
      </c>
      <c r="BM485" s="1538">
        <f t="shared" si="352"/>
        <v>1001.25</v>
      </c>
      <c r="BN485" s="1531">
        <f t="shared" si="352"/>
        <v>0</v>
      </c>
      <c r="BO485" s="1531">
        <f t="shared" si="352"/>
        <v>0</v>
      </c>
      <c r="BP485" s="1531">
        <f t="shared" si="352"/>
        <v>0</v>
      </c>
      <c r="BQ485" s="1538">
        <f t="shared" si="352"/>
        <v>667.55</v>
      </c>
      <c r="BR485" s="1531">
        <f t="shared" si="352"/>
        <v>0</v>
      </c>
      <c r="BS485" s="1531">
        <f t="shared" si="352"/>
        <v>0</v>
      </c>
      <c r="BT485" s="1531">
        <f t="shared" si="352"/>
        <v>0</v>
      </c>
      <c r="BU485" s="1538">
        <f t="shared" si="352"/>
        <v>600.19999999999993</v>
      </c>
      <c r="BV485" s="1531">
        <f t="shared" si="352"/>
        <v>0</v>
      </c>
      <c r="BW485" s="1531">
        <f t="shared" si="352"/>
        <v>0</v>
      </c>
      <c r="BX485" s="1531">
        <f t="shared" si="352"/>
        <v>0</v>
      </c>
      <c r="BY485" s="1538">
        <f t="shared" si="352"/>
        <v>622.65</v>
      </c>
      <c r="BZ485" s="1531">
        <f t="shared" si="352"/>
        <v>0</v>
      </c>
      <c r="CA485" s="1531">
        <f t="shared" si="352"/>
        <v>50</v>
      </c>
      <c r="CB485" s="1531">
        <f t="shared" si="352"/>
        <v>0</v>
      </c>
      <c r="CC485" s="1538">
        <f t="shared" si="352"/>
        <v>800</v>
      </c>
      <c r="CD485" s="1531">
        <f t="shared" si="352"/>
        <v>0</v>
      </c>
      <c r="CE485" s="1531">
        <f t="shared" si="352"/>
        <v>0</v>
      </c>
      <c r="CF485" s="1531">
        <f t="shared" si="352"/>
        <v>0</v>
      </c>
      <c r="CG485" s="1705"/>
      <c r="CH485" s="1641">
        <f t="shared" si="349"/>
        <v>1816.17</v>
      </c>
      <c r="CI485" s="1641">
        <f t="shared" si="349"/>
        <v>0</v>
      </c>
      <c r="CJ485" s="1641">
        <f t="shared" si="349"/>
        <v>150.4</v>
      </c>
      <c r="CK485" s="1641">
        <f t="shared" si="349"/>
        <v>0</v>
      </c>
      <c r="CL485" s="1901">
        <v>1816.17</v>
      </c>
      <c r="CM485" s="1902">
        <v>0</v>
      </c>
      <c r="CN485" s="1889">
        <v>150.4</v>
      </c>
      <c r="CO485" s="1902">
        <v>0</v>
      </c>
      <c r="CP485" s="1538">
        <f>CP486+CP487+CP488+CP489+CP490+CP491+CP492+CP493+CP494+CP495+CP496+CP497+CP498</f>
        <v>0</v>
      </c>
      <c r="CQ485" s="1531">
        <f>CQ486+CQ487+CQ488+CQ489+CQ490+CQ491+CQ492+CQ493+CQ494+CQ495+CQ496+CQ497+CQ498</f>
        <v>0</v>
      </c>
      <c r="CR485" s="1531">
        <f>CR486+CR487+CR488+CR489+CR490+CR491+CR492+CR493+CR494+CR495+CR496+CR497+CR498</f>
        <v>0</v>
      </c>
      <c r="CS485" s="1531">
        <f>CS486+CS487+CS488+CS489+CS490+CS491+CS492+CS493+CS494+CS495+CS496+CS497+CS498</f>
        <v>0</v>
      </c>
    </row>
    <row r="486" spans="1:107" ht="15" thickBot="1" x14ac:dyDescent="0.2">
      <c r="A486" s="1541" t="s">
        <v>78</v>
      </c>
      <c r="B486" s="1523" t="s">
        <v>79</v>
      </c>
      <c r="C486" s="1523" t="s">
        <v>80</v>
      </c>
      <c r="D486" s="1523" t="s">
        <v>125</v>
      </c>
      <c r="E486" s="1523" t="s">
        <v>215</v>
      </c>
      <c r="F486" s="1523"/>
      <c r="G486" s="1667">
        <v>211</v>
      </c>
      <c r="H486" s="1501">
        <v>5453.2</v>
      </c>
      <c r="I486" s="1645"/>
      <c r="J486" s="1630"/>
      <c r="K486" s="1630"/>
      <c r="L486" s="1631"/>
      <c r="M486" s="1631"/>
      <c r="N486" s="1631"/>
      <c r="O486" s="1631"/>
      <c r="P486" s="1631"/>
      <c r="Q486" s="1631"/>
      <c r="R486" s="1631"/>
      <c r="S486" s="1631"/>
      <c r="T486" s="1632"/>
      <c r="U486" s="1633"/>
      <c r="V486" s="1633"/>
      <c r="W486" s="1634">
        <f>H486/12</f>
        <v>454.43333333333334</v>
      </c>
      <c r="X486" s="1634">
        <f>AO486</f>
        <v>454.4</v>
      </c>
      <c r="Y486" s="1634">
        <f>CC486</f>
        <v>326.8</v>
      </c>
      <c r="Z486" s="1635">
        <v>326.8</v>
      </c>
      <c r="AA486" s="1634"/>
      <c r="AB486" s="1634"/>
      <c r="AC486" s="1508">
        <f t="shared" ref="AC486:AC499" si="354">AO486+AS486+AW486+BA486+BE486+BI486+BM486+BQ486+BU486+BY486+CC486+CH486</f>
        <v>5453.2000000000007</v>
      </c>
      <c r="AD486" s="1509">
        <f t="shared" ref="AD486:AD499" si="355">AE486+AF486+AG486</f>
        <v>0</v>
      </c>
      <c r="AE486" s="1509">
        <f t="shared" ref="AE486:AG498" si="356">AP486+AT486+AX486+BB486+BF486+BJ486+BN486+BR486+BV486+BZ486+CD486+CI486</f>
        <v>0</v>
      </c>
      <c r="AF486" s="1509">
        <f t="shared" si="356"/>
        <v>0</v>
      </c>
      <c r="AG486" s="1509">
        <f t="shared" si="356"/>
        <v>0</v>
      </c>
      <c r="AH486" s="1490">
        <f t="shared" si="350"/>
        <v>463.8</v>
      </c>
      <c r="AI486" s="1636">
        <f t="shared" ref="AI486:AI498" si="357">H486-AC486</f>
        <v>0</v>
      </c>
      <c r="AJ486" s="1636">
        <f t="shared" ref="AJ486:AJ498" si="358">AK486+AL486+AM486</f>
        <v>0</v>
      </c>
      <c r="AK486" s="1636">
        <f t="shared" ref="AK486:AM501" si="359">I486-AE486</f>
        <v>0</v>
      </c>
      <c r="AL486" s="1636">
        <f t="shared" si="359"/>
        <v>0</v>
      </c>
      <c r="AM486" s="1636">
        <f t="shared" si="359"/>
        <v>0</v>
      </c>
      <c r="AN486" s="1637">
        <f>AI486/4</f>
        <v>0</v>
      </c>
      <c r="AO486" s="1722">
        <v>454.4</v>
      </c>
      <c r="AP486" s="1638"/>
      <c r="AQ486" s="1638"/>
      <c r="AR486" s="1638"/>
      <c r="AS486" s="1639">
        <v>454.4</v>
      </c>
      <c r="AT486" s="1638"/>
      <c r="AU486" s="1638"/>
      <c r="AV486" s="1638"/>
      <c r="AW486" s="1640">
        <v>454.4</v>
      </c>
      <c r="AX486" s="1640"/>
      <c r="AY486" s="1640"/>
      <c r="AZ486" s="1640"/>
      <c r="BA486" s="1641">
        <v>454.3</v>
      </c>
      <c r="BB486" s="1640"/>
      <c r="BC486" s="1640"/>
      <c r="BD486" s="1640"/>
      <c r="BE486" s="1641">
        <v>454.3</v>
      </c>
      <c r="BF486" s="1640"/>
      <c r="BG486" s="1640"/>
      <c r="BH486" s="1640"/>
      <c r="BI486" s="1641">
        <f>181.75</f>
        <v>181.75</v>
      </c>
      <c r="BJ486" s="1640"/>
      <c r="BK486" s="1640"/>
      <c r="BL486" s="1640"/>
      <c r="BM486" s="1641">
        <f>272.55+454.3</f>
        <v>726.85</v>
      </c>
      <c r="BN486" s="1640"/>
      <c r="BO486" s="1640"/>
      <c r="BP486" s="1640"/>
      <c r="BQ486" s="1641">
        <v>454.3</v>
      </c>
      <c r="BR486" s="1640"/>
      <c r="BS486" s="1640"/>
      <c r="BT486" s="1640"/>
      <c r="BU486" s="1641">
        <v>454.4</v>
      </c>
      <c r="BV486" s="1640"/>
      <c r="BW486" s="1640"/>
      <c r="BX486" s="1640"/>
      <c r="BY486" s="1641">
        <v>573.5</v>
      </c>
      <c r="BZ486" s="1640"/>
      <c r="CA486" s="1640"/>
      <c r="CB486" s="1640"/>
      <c r="CC486" s="1641">
        <v>326.8</v>
      </c>
      <c r="CD486" s="1640"/>
      <c r="CE486" s="1640"/>
      <c r="CF486" s="1640"/>
      <c r="CG486" s="1642"/>
      <c r="CH486" s="1641">
        <f t="shared" si="349"/>
        <v>463.8</v>
      </c>
      <c r="CI486" s="1641">
        <f t="shared" si="349"/>
        <v>0</v>
      </c>
      <c r="CJ486" s="1641">
        <f t="shared" si="349"/>
        <v>0</v>
      </c>
      <c r="CK486" s="1641">
        <f t="shared" si="349"/>
        <v>0</v>
      </c>
      <c r="CL486" s="1889">
        <v>463.8</v>
      </c>
      <c r="CM486" s="1889">
        <v>0</v>
      </c>
      <c r="CN486" s="1889">
        <v>0</v>
      </c>
      <c r="CO486" s="1889">
        <v>0</v>
      </c>
      <c r="CP486" s="1641"/>
      <c r="CQ486" s="1640"/>
      <c r="CR486" s="1640"/>
      <c r="CS486" s="1640"/>
      <c r="CX486" s="1558">
        <f>H486/12*10-AC486</f>
        <v>-908.8666666666677</v>
      </c>
      <c r="CY486" s="1558">
        <f>AI486/3</f>
        <v>0</v>
      </c>
      <c r="CZ486" s="1558">
        <f>H486/12</f>
        <v>454.43333333333334</v>
      </c>
      <c r="DA486" s="1559"/>
      <c r="DB486" s="1559"/>
      <c r="DC486" s="1559"/>
    </row>
    <row r="487" spans="1:107" ht="15" thickBot="1" x14ac:dyDescent="0.2">
      <c r="A487" s="1541" t="s">
        <v>103</v>
      </c>
      <c r="B487" s="1523" t="s">
        <v>79</v>
      </c>
      <c r="C487" s="1523" t="s">
        <v>80</v>
      </c>
      <c r="D487" s="1523" t="s">
        <v>125</v>
      </c>
      <c r="E487" s="1523" t="s">
        <v>215</v>
      </c>
      <c r="F487" s="1523"/>
      <c r="G487" s="1667">
        <v>212</v>
      </c>
      <c r="H487" s="1501">
        <v>0</v>
      </c>
      <c r="I487" s="1645"/>
      <c r="J487" s="1630"/>
      <c r="K487" s="1630"/>
      <c r="L487" s="1631"/>
      <c r="M487" s="1631"/>
      <c r="N487" s="1631"/>
      <c r="O487" s="1631"/>
      <c r="P487" s="1631"/>
      <c r="Q487" s="1631"/>
      <c r="R487" s="1631"/>
      <c r="S487" s="1631"/>
      <c r="T487" s="1632"/>
      <c r="U487" s="1633"/>
      <c r="V487" s="1633"/>
      <c r="W487" s="1634"/>
      <c r="X487" s="1634"/>
      <c r="Y487" s="1634"/>
      <c r="Z487" s="1635"/>
      <c r="AA487" s="1634"/>
      <c r="AB487" s="1634"/>
      <c r="AC487" s="1508">
        <f t="shared" si="354"/>
        <v>0</v>
      </c>
      <c r="AD487" s="1509">
        <f t="shared" si="355"/>
        <v>0</v>
      </c>
      <c r="AE487" s="1509">
        <f t="shared" si="356"/>
        <v>0</v>
      </c>
      <c r="AF487" s="1509">
        <f t="shared" si="356"/>
        <v>0</v>
      </c>
      <c r="AG487" s="1509">
        <f t="shared" si="356"/>
        <v>0</v>
      </c>
      <c r="AH487" s="1490">
        <f t="shared" si="350"/>
        <v>0</v>
      </c>
      <c r="AI487" s="1636">
        <f t="shared" si="357"/>
        <v>0</v>
      </c>
      <c r="AJ487" s="1636">
        <f t="shared" si="358"/>
        <v>0</v>
      </c>
      <c r="AK487" s="1636">
        <f t="shared" si="359"/>
        <v>0</v>
      </c>
      <c r="AL487" s="1636">
        <f t="shared" si="359"/>
        <v>0</v>
      </c>
      <c r="AM487" s="1636">
        <f t="shared" si="359"/>
        <v>0</v>
      </c>
      <c r="AN487" s="1637"/>
      <c r="AO487" s="1722">
        <v>0</v>
      </c>
      <c r="AP487" s="1638"/>
      <c r="AQ487" s="1638"/>
      <c r="AR487" s="1638"/>
      <c r="AS487" s="1639"/>
      <c r="AT487" s="1638"/>
      <c r="AU487" s="1638"/>
      <c r="AV487" s="1638"/>
      <c r="AW487" s="1640"/>
      <c r="AX487" s="1640"/>
      <c r="AY487" s="1640"/>
      <c r="AZ487" s="1640"/>
      <c r="BA487" s="1641"/>
      <c r="BB487" s="1640"/>
      <c r="BC487" s="1640"/>
      <c r="BD487" s="1640"/>
      <c r="BE487" s="1641"/>
      <c r="BF487" s="1640"/>
      <c r="BG487" s="1640"/>
      <c r="BH487" s="1640"/>
      <c r="BI487" s="1641"/>
      <c r="BJ487" s="1640"/>
      <c r="BK487" s="1640"/>
      <c r="BL487" s="1640"/>
      <c r="BM487" s="1641"/>
      <c r="BN487" s="1640"/>
      <c r="BO487" s="1640"/>
      <c r="BP487" s="1640"/>
      <c r="BQ487" s="1641"/>
      <c r="BR487" s="1640"/>
      <c r="BS487" s="1640"/>
      <c r="BT487" s="1640"/>
      <c r="BU487" s="1641"/>
      <c r="BV487" s="1640"/>
      <c r="BW487" s="1640"/>
      <c r="BX487" s="1640"/>
      <c r="BY487" s="1641"/>
      <c r="BZ487" s="1640"/>
      <c r="CA487" s="1640"/>
      <c r="CB487" s="1640"/>
      <c r="CC487" s="1641"/>
      <c r="CD487" s="1640"/>
      <c r="CE487" s="1640"/>
      <c r="CF487" s="1640"/>
      <c r="CG487" s="1642"/>
      <c r="CH487" s="1641">
        <f t="shared" si="349"/>
        <v>0</v>
      </c>
      <c r="CI487" s="1641">
        <f t="shared" si="349"/>
        <v>0</v>
      </c>
      <c r="CJ487" s="1641">
        <f t="shared" si="349"/>
        <v>0</v>
      </c>
      <c r="CK487" s="1641">
        <f t="shared" si="349"/>
        <v>0</v>
      </c>
      <c r="CL487" s="1889">
        <v>0</v>
      </c>
      <c r="CM487" s="1889">
        <v>0</v>
      </c>
      <c r="CN487" s="1889">
        <v>0</v>
      </c>
      <c r="CO487" s="1889">
        <v>0</v>
      </c>
      <c r="CP487" s="1641"/>
      <c r="CQ487" s="1640"/>
      <c r="CR487" s="1640"/>
      <c r="CS487" s="1640"/>
      <c r="CX487" s="1558"/>
      <c r="CY487" s="1558"/>
      <c r="CZ487" s="1558"/>
      <c r="DA487" s="1559"/>
      <c r="DB487" s="1559"/>
      <c r="DC487" s="1559"/>
    </row>
    <row r="488" spans="1:107" ht="15" thickBot="1" x14ac:dyDescent="0.2">
      <c r="A488" s="1541" t="s">
        <v>84</v>
      </c>
      <c r="B488" s="1523" t="s">
        <v>79</v>
      </c>
      <c r="C488" s="1523" t="s">
        <v>80</v>
      </c>
      <c r="D488" s="1523" t="s">
        <v>125</v>
      </c>
      <c r="E488" s="1523" t="s">
        <v>215</v>
      </c>
      <c r="F488" s="1523"/>
      <c r="G488" s="1667">
        <v>213</v>
      </c>
      <c r="H488" s="1501">
        <v>1646.9</v>
      </c>
      <c r="I488" s="1645"/>
      <c r="J488" s="1630"/>
      <c r="K488" s="1630"/>
      <c r="L488" s="1631"/>
      <c r="M488" s="1631"/>
      <c r="N488" s="1631"/>
      <c r="O488" s="1631"/>
      <c r="P488" s="1631"/>
      <c r="Q488" s="1631"/>
      <c r="R488" s="1631"/>
      <c r="S488" s="1631"/>
      <c r="T488" s="1632"/>
      <c r="U488" s="1633"/>
      <c r="V488" s="1633"/>
      <c r="W488" s="1634">
        <f>H488/12</f>
        <v>137.24166666666667</v>
      </c>
      <c r="X488" s="1634">
        <f>AO488</f>
        <v>137.19999999999999</v>
      </c>
      <c r="Y488" s="1634">
        <f>CC488</f>
        <v>267.2</v>
      </c>
      <c r="Z488" s="1635">
        <v>267.2</v>
      </c>
      <c r="AA488" s="1634"/>
      <c r="AB488" s="1634"/>
      <c r="AC488" s="1508">
        <f t="shared" si="354"/>
        <v>1646.9</v>
      </c>
      <c r="AD488" s="1509">
        <f t="shared" si="355"/>
        <v>0</v>
      </c>
      <c r="AE488" s="1509">
        <f t="shared" si="356"/>
        <v>0</v>
      </c>
      <c r="AF488" s="1509">
        <f t="shared" si="356"/>
        <v>0</v>
      </c>
      <c r="AG488" s="1509">
        <f t="shared" si="356"/>
        <v>0</v>
      </c>
      <c r="AH488" s="1490">
        <f t="shared" si="350"/>
        <v>144.9</v>
      </c>
      <c r="AI488" s="1636">
        <f t="shared" si="357"/>
        <v>0</v>
      </c>
      <c r="AJ488" s="1636">
        <f t="shared" si="358"/>
        <v>0</v>
      </c>
      <c r="AK488" s="1636">
        <f t="shared" si="359"/>
        <v>0</v>
      </c>
      <c r="AL488" s="1636">
        <f t="shared" si="359"/>
        <v>0</v>
      </c>
      <c r="AM488" s="1636">
        <f t="shared" si="359"/>
        <v>0</v>
      </c>
      <c r="AN488" s="1637">
        <f>AI488/4</f>
        <v>0</v>
      </c>
      <c r="AO488" s="1722">
        <v>137.19999999999999</v>
      </c>
      <c r="AP488" s="1638"/>
      <c r="AQ488" s="1638"/>
      <c r="AR488" s="1638"/>
      <c r="AS488" s="1639">
        <v>137.19999999999999</v>
      </c>
      <c r="AT488" s="1638"/>
      <c r="AU488" s="1638"/>
      <c r="AV488" s="1638"/>
      <c r="AW488" s="1640">
        <v>137.19999999999999</v>
      </c>
      <c r="AX488" s="1640"/>
      <c r="AY488" s="1640"/>
      <c r="AZ488" s="1640"/>
      <c r="BA488" s="1641">
        <v>137.19999999999999</v>
      </c>
      <c r="BB488" s="1640"/>
      <c r="BC488" s="1640"/>
      <c r="BD488" s="1640"/>
      <c r="BE488" s="1641">
        <v>137.19999999999999</v>
      </c>
      <c r="BF488" s="1640"/>
      <c r="BG488" s="1640"/>
      <c r="BH488" s="1640"/>
      <c r="BI488" s="1641"/>
      <c r="BJ488" s="1640"/>
      <c r="BK488" s="1640"/>
      <c r="BL488" s="1640"/>
      <c r="BM488" s="1641">
        <f>137.2+137.2</f>
        <v>274.39999999999998</v>
      </c>
      <c r="BN488" s="1640"/>
      <c r="BO488" s="1640"/>
      <c r="BP488" s="1640"/>
      <c r="BQ488" s="1641">
        <v>137.19999999999999</v>
      </c>
      <c r="BR488" s="1640"/>
      <c r="BS488" s="1640"/>
      <c r="BT488" s="1640"/>
      <c r="BU488" s="1641">
        <v>137.19999999999999</v>
      </c>
      <c r="BV488" s="1640"/>
      <c r="BW488" s="1640"/>
      <c r="BX488" s="1640"/>
      <c r="BY488" s="1641"/>
      <c r="BZ488" s="1640"/>
      <c r="CA488" s="1640"/>
      <c r="CB488" s="1640"/>
      <c r="CC488" s="1641">
        <v>267.2</v>
      </c>
      <c r="CD488" s="1640"/>
      <c r="CE488" s="1640"/>
      <c r="CF488" s="1640"/>
      <c r="CG488" s="1642"/>
      <c r="CH488" s="1641">
        <f t="shared" si="349"/>
        <v>144.9</v>
      </c>
      <c r="CI488" s="1641">
        <f t="shared" si="349"/>
        <v>0</v>
      </c>
      <c r="CJ488" s="1641">
        <f t="shared" si="349"/>
        <v>0</v>
      </c>
      <c r="CK488" s="1641">
        <f t="shared" si="349"/>
        <v>0</v>
      </c>
      <c r="CL488" s="1889">
        <v>144.9</v>
      </c>
      <c r="CM488" s="1889">
        <v>0</v>
      </c>
      <c r="CN488" s="1889">
        <v>0</v>
      </c>
      <c r="CO488" s="1889">
        <v>0</v>
      </c>
      <c r="CP488" s="1641"/>
      <c r="CQ488" s="1640"/>
      <c r="CR488" s="1640"/>
      <c r="CS488" s="1640"/>
      <c r="CX488" s="1558">
        <f>H488/12*10-AC488</f>
        <v>-274.48333333333335</v>
      </c>
      <c r="CY488" s="1558">
        <f>AI488/3</f>
        <v>0</v>
      </c>
      <c r="CZ488" s="1558">
        <f>H488/12</f>
        <v>137.24166666666667</v>
      </c>
      <c r="DA488" s="1559"/>
      <c r="DB488" s="1559"/>
      <c r="DC488" s="1559"/>
    </row>
    <row r="489" spans="1:107" ht="15" thickBot="1" x14ac:dyDescent="0.2">
      <c r="A489" s="1541" t="s">
        <v>85</v>
      </c>
      <c r="B489" s="1523" t="s">
        <v>79</v>
      </c>
      <c r="C489" s="1523" t="s">
        <v>80</v>
      </c>
      <c r="D489" s="1523" t="s">
        <v>125</v>
      </c>
      <c r="E489" s="1523" t="s">
        <v>215</v>
      </c>
      <c r="F489" s="1523"/>
      <c r="G489" s="1667">
        <v>221</v>
      </c>
      <c r="H489" s="1501">
        <v>13.4</v>
      </c>
      <c r="I489" s="1645"/>
      <c r="J489" s="1630"/>
      <c r="K489" s="1630"/>
      <c r="L489" s="1631"/>
      <c r="M489" s="1631"/>
      <c r="N489" s="1631"/>
      <c r="O489" s="1631"/>
      <c r="P489" s="1631"/>
      <c r="Q489" s="1631"/>
      <c r="R489" s="1631"/>
      <c r="S489" s="1631"/>
      <c r="T489" s="1632"/>
      <c r="U489" s="1633"/>
      <c r="V489" s="1633"/>
      <c r="W489" s="1634"/>
      <c r="X489" s="1634"/>
      <c r="Y489" s="1634"/>
      <c r="Z489" s="1635"/>
      <c r="AA489" s="1634"/>
      <c r="AB489" s="1634"/>
      <c r="AC489" s="1508">
        <f t="shared" si="354"/>
        <v>13.4</v>
      </c>
      <c r="AD489" s="1509">
        <f t="shared" si="355"/>
        <v>0</v>
      </c>
      <c r="AE489" s="1509">
        <f t="shared" si="356"/>
        <v>0</v>
      </c>
      <c r="AF489" s="1509">
        <f t="shared" si="356"/>
        <v>0</v>
      </c>
      <c r="AG489" s="1509">
        <f t="shared" si="356"/>
        <v>0</v>
      </c>
      <c r="AH489" s="1490">
        <f t="shared" si="350"/>
        <v>12.3</v>
      </c>
      <c r="AI489" s="1636">
        <f t="shared" si="357"/>
        <v>0</v>
      </c>
      <c r="AJ489" s="1636">
        <f t="shared" si="358"/>
        <v>0</v>
      </c>
      <c r="AK489" s="1636">
        <f t="shared" si="359"/>
        <v>0</v>
      </c>
      <c r="AL489" s="1636">
        <f t="shared" si="359"/>
        <v>0</v>
      </c>
      <c r="AM489" s="1636">
        <f t="shared" si="359"/>
        <v>0</v>
      </c>
      <c r="AN489" s="1637"/>
      <c r="AO489" s="1722">
        <v>1.1000000000000001</v>
      </c>
      <c r="AP489" s="1638"/>
      <c r="AQ489" s="1638"/>
      <c r="AR489" s="1638"/>
      <c r="AS489" s="1639"/>
      <c r="AT489" s="1638"/>
      <c r="AU489" s="1638"/>
      <c r="AV489" s="1638"/>
      <c r="AW489" s="1639"/>
      <c r="AX489" s="1640"/>
      <c r="AY489" s="1640"/>
      <c r="AZ489" s="1640"/>
      <c r="BA489" s="1641"/>
      <c r="BB489" s="1640"/>
      <c r="BC489" s="1640"/>
      <c r="BD489" s="1640"/>
      <c r="BE489" s="1644"/>
      <c r="BF489" s="1640"/>
      <c r="BG489" s="1640"/>
      <c r="BH489" s="1640"/>
      <c r="BI489" s="1641"/>
      <c r="BJ489" s="1640"/>
      <c r="BK489" s="1640"/>
      <c r="BL489" s="1640"/>
      <c r="BM489" s="1641"/>
      <c r="BN489" s="1640"/>
      <c r="BO489" s="1640"/>
      <c r="BP489" s="1640"/>
      <c r="BQ489" s="1641"/>
      <c r="BR489" s="1640"/>
      <c r="BS489" s="1640"/>
      <c r="BT489" s="1640"/>
      <c r="BU489" s="1641"/>
      <c r="BV489" s="1640"/>
      <c r="BW489" s="1640"/>
      <c r="BX489" s="1640"/>
      <c r="BY489" s="1641"/>
      <c r="BZ489" s="1640"/>
      <c r="CA489" s="1640"/>
      <c r="CB489" s="1640"/>
      <c r="CC489" s="1641"/>
      <c r="CD489" s="1640"/>
      <c r="CE489" s="1640"/>
      <c r="CF489" s="1640"/>
      <c r="CG489" s="1642"/>
      <c r="CH489" s="1641">
        <f t="shared" si="349"/>
        <v>12.3</v>
      </c>
      <c r="CI489" s="1641">
        <f t="shared" si="349"/>
        <v>0</v>
      </c>
      <c r="CJ489" s="1641">
        <f t="shared" si="349"/>
        <v>0</v>
      </c>
      <c r="CK489" s="1641">
        <f t="shared" si="349"/>
        <v>0</v>
      </c>
      <c r="CL489" s="1889">
        <v>12.3</v>
      </c>
      <c r="CM489" s="1889">
        <v>0</v>
      </c>
      <c r="CN489" s="1889">
        <v>0</v>
      </c>
      <c r="CO489" s="1889">
        <v>0</v>
      </c>
      <c r="CP489" s="1641"/>
      <c r="CQ489" s="1640"/>
      <c r="CR489" s="1640"/>
      <c r="CS489" s="1640"/>
    </row>
    <row r="490" spans="1:107" ht="15" customHeight="1" thickBot="1" x14ac:dyDescent="0.2">
      <c r="A490" s="1541" t="s">
        <v>86</v>
      </c>
      <c r="B490" s="1523" t="s">
        <v>79</v>
      </c>
      <c r="C490" s="1523" t="s">
        <v>80</v>
      </c>
      <c r="D490" s="1523" t="s">
        <v>125</v>
      </c>
      <c r="E490" s="1523" t="s">
        <v>215</v>
      </c>
      <c r="F490" s="1523"/>
      <c r="G490" s="1667">
        <v>222</v>
      </c>
      <c r="H490" s="1501">
        <v>0</v>
      </c>
      <c r="I490" s="1645"/>
      <c r="J490" s="1630"/>
      <c r="K490" s="1630"/>
      <c r="L490" s="1631"/>
      <c r="M490" s="1631"/>
      <c r="N490" s="1631"/>
      <c r="O490" s="1631"/>
      <c r="P490" s="1631"/>
      <c r="Q490" s="1631"/>
      <c r="R490" s="1631"/>
      <c r="S490" s="1631"/>
      <c r="T490" s="1632"/>
      <c r="U490" s="1633"/>
      <c r="V490" s="1633"/>
      <c r="W490" s="1634"/>
      <c r="X490" s="1634"/>
      <c r="Y490" s="1634"/>
      <c r="Z490" s="1635"/>
      <c r="AA490" s="1634"/>
      <c r="AB490" s="1634"/>
      <c r="AC490" s="1508">
        <f t="shared" si="354"/>
        <v>0</v>
      </c>
      <c r="AD490" s="1509">
        <f t="shared" si="355"/>
        <v>0</v>
      </c>
      <c r="AE490" s="1509">
        <f t="shared" si="356"/>
        <v>0</v>
      </c>
      <c r="AF490" s="1509">
        <f t="shared" si="356"/>
        <v>0</v>
      </c>
      <c r="AG490" s="1509">
        <f t="shared" si="356"/>
        <v>0</v>
      </c>
      <c r="AH490" s="1490">
        <f t="shared" si="350"/>
        <v>0</v>
      </c>
      <c r="AI490" s="1636">
        <f t="shared" si="357"/>
        <v>0</v>
      </c>
      <c r="AJ490" s="1636">
        <f t="shared" si="358"/>
        <v>0</v>
      </c>
      <c r="AK490" s="1636">
        <f t="shared" si="359"/>
        <v>0</v>
      </c>
      <c r="AL490" s="1636">
        <f t="shared" si="359"/>
        <v>0</v>
      </c>
      <c r="AM490" s="1636">
        <f t="shared" si="359"/>
        <v>0</v>
      </c>
      <c r="AN490" s="1637"/>
      <c r="AO490" s="1722">
        <v>0</v>
      </c>
      <c r="AP490" s="1638"/>
      <c r="AQ490" s="1638"/>
      <c r="AR490" s="1638"/>
      <c r="AS490" s="1639"/>
      <c r="AT490" s="1638"/>
      <c r="AU490" s="1638"/>
      <c r="AV490" s="1638"/>
      <c r="AW490" s="1639"/>
      <c r="AX490" s="1640"/>
      <c r="AY490" s="1640"/>
      <c r="AZ490" s="1640"/>
      <c r="BA490" s="1641"/>
      <c r="BB490" s="1640"/>
      <c r="BC490" s="1640"/>
      <c r="BD490" s="1640"/>
      <c r="BE490" s="1644"/>
      <c r="BF490" s="1640"/>
      <c r="BG490" s="1640"/>
      <c r="BH490" s="1640"/>
      <c r="BI490" s="1641"/>
      <c r="BJ490" s="1640"/>
      <c r="BK490" s="1640"/>
      <c r="BL490" s="1640"/>
      <c r="BM490" s="1641"/>
      <c r="BN490" s="1640"/>
      <c r="BO490" s="1640"/>
      <c r="BP490" s="1640"/>
      <c r="BQ490" s="1641"/>
      <c r="BR490" s="1640"/>
      <c r="BS490" s="1640"/>
      <c r="BT490" s="1640"/>
      <c r="BU490" s="1641"/>
      <c r="BV490" s="1640"/>
      <c r="BW490" s="1640"/>
      <c r="BX490" s="1640"/>
      <c r="BY490" s="1641"/>
      <c r="BZ490" s="1640"/>
      <c r="CA490" s="1640"/>
      <c r="CB490" s="1640"/>
      <c r="CC490" s="1641"/>
      <c r="CD490" s="1640"/>
      <c r="CE490" s="1640"/>
      <c r="CF490" s="1640"/>
      <c r="CG490" s="1642"/>
      <c r="CH490" s="1641">
        <f t="shared" si="349"/>
        <v>0</v>
      </c>
      <c r="CI490" s="1641">
        <f t="shared" si="349"/>
        <v>0</v>
      </c>
      <c r="CJ490" s="1641">
        <f t="shared" si="349"/>
        <v>0</v>
      </c>
      <c r="CK490" s="1641">
        <f t="shared" si="349"/>
        <v>0</v>
      </c>
      <c r="CL490" s="1889">
        <v>0</v>
      </c>
      <c r="CM490" s="1889">
        <v>0</v>
      </c>
      <c r="CN490" s="1889">
        <v>0</v>
      </c>
      <c r="CO490" s="1889">
        <v>0</v>
      </c>
      <c r="CP490" s="1641"/>
      <c r="CQ490" s="1640"/>
      <c r="CR490" s="1640"/>
      <c r="CS490" s="1640"/>
    </row>
    <row r="491" spans="1:107" ht="15" thickBot="1" x14ac:dyDescent="0.2">
      <c r="A491" s="1541" t="s">
        <v>87</v>
      </c>
      <c r="B491" s="1523" t="s">
        <v>79</v>
      </c>
      <c r="C491" s="1523" t="s">
        <v>80</v>
      </c>
      <c r="D491" s="1523" t="s">
        <v>125</v>
      </c>
      <c r="E491" s="1523" t="s">
        <v>215</v>
      </c>
      <c r="F491" s="1523"/>
      <c r="G491" s="1667">
        <v>223</v>
      </c>
      <c r="H491" s="1501">
        <f>131.8+300+300</f>
        <v>731.8</v>
      </c>
      <c r="I491" s="1645"/>
      <c r="J491" s="1630"/>
      <c r="K491" s="1630"/>
      <c r="L491" s="1631"/>
      <c r="M491" s="1631"/>
      <c r="N491" s="1631"/>
      <c r="O491" s="1631"/>
      <c r="P491" s="1631"/>
      <c r="Q491" s="1631"/>
      <c r="R491" s="1631"/>
      <c r="S491" s="1631"/>
      <c r="T491" s="1632"/>
      <c r="U491" s="1633"/>
      <c r="V491" s="1633"/>
      <c r="W491" s="1634"/>
      <c r="X491" s="1634"/>
      <c r="Y491" s="1634"/>
      <c r="Z491" s="1635"/>
      <c r="AA491" s="1634"/>
      <c r="AB491" s="1634"/>
      <c r="AC491" s="1508">
        <f t="shared" si="354"/>
        <v>731.8</v>
      </c>
      <c r="AD491" s="1509">
        <f t="shared" si="355"/>
        <v>0</v>
      </c>
      <c r="AE491" s="1509">
        <f t="shared" si="356"/>
        <v>0</v>
      </c>
      <c r="AF491" s="1509">
        <f t="shared" si="356"/>
        <v>0</v>
      </c>
      <c r="AG491" s="1509">
        <f t="shared" si="356"/>
        <v>0</v>
      </c>
      <c r="AH491" s="1490">
        <f t="shared" si="350"/>
        <v>628.16999999999996</v>
      </c>
      <c r="AI491" s="1636">
        <f t="shared" si="357"/>
        <v>0</v>
      </c>
      <c r="AJ491" s="1636">
        <f t="shared" si="358"/>
        <v>0</v>
      </c>
      <c r="AK491" s="1636">
        <f t="shared" si="359"/>
        <v>0</v>
      </c>
      <c r="AL491" s="1636">
        <f t="shared" si="359"/>
        <v>0</v>
      </c>
      <c r="AM491" s="1636">
        <f t="shared" si="359"/>
        <v>0</v>
      </c>
      <c r="AN491" s="1637"/>
      <c r="AO491" s="1722">
        <v>11</v>
      </c>
      <c r="AP491" s="1638"/>
      <c r="AQ491" s="1638"/>
      <c r="AR491" s="1638"/>
      <c r="AS491" s="1639">
        <v>11</v>
      </c>
      <c r="AT491" s="1638"/>
      <c r="AU491" s="1638"/>
      <c r="AV491" s="1638"/>
      <c r="AW491" s="1639"/>
      <c r="AX491" s="1640"/>
      <c r="AY491" s="1640"/>
      <c r="AZ491" s="1640"/>
      <c r="BA491" s="1641"/>
      <c r="BB491" s="1640"/>
      <c r="BC491" s="1640"/>
      <c r="BD491" s="1640"/>
      <c r="BE491" s="1644">
        <v>27.23</v>
      </c>
      <c r="BF491" s="1640"/>
      <c r="BG491" s="1640"/>
      <c r="BH491" s="1640"/>
      <c r="BI491" s="1641">
        <v>13.6</v>
      </c>
      <c r="BJ491" s="1640"/>
      <c r="BK491" s="1640"/>
      <c r="BL491" s="1640"/>
      <c r="BM491" s="1641"/>
      <c r="BN491" s="1640"/>
      <c r="BO491" s="1640"/>
      <c r="BP491" s="1640"/>
      <c r="BQ491" s="1641">
        <v>11</v>
      </c>
      <c r="BR491" s="1640"/>
      <c r="BS491" s="1640"/>
      <c r="BT491" s="1640"/>
      <c r="BU491" s="1641"/>
      <c r="BV491" s="1640"/>
      <c r="BW491" s="1640"/>
      <c r="BX491" s="1640"/>
      <c r="BY491" s="1641">
        <v>29.8</v>
      </c>
      <c r="BZ491" s="1640"/>
      <c r="CA491" s="1640"/>
      <c r="CB491" s="1640"/>
      <c r="CC491" s="1641"/>
      <c r="CD491" s="1640"/>
      <c r="CE491" s="1640"/>
      <c r="CF491" s="1640"/>
      <c r="CG491" s="1642"/>
      <c r="CH491" s="1641">
        <f t="shared" si="349"/>
        <v>628.16999999999996</v>
      </c>
      <c r="CI491" s="1641">
        <f t="shared" si="349"/>
        <v>0</v>
      </c>
      <c r="CJ491" s="1641">
        <f t="shared" si="349"/>
        <v>0</v>
      </c>
      <c r="CK491" s="1641">
        <f t="shared" si="349"/>
        <v>0</v>
      </c>
      <c r="CL491" s="1889">
        <v>628.16999999999996</v>
      </c>
      <c r="CM491" s="1889">
        <v>0</v>
      </c>
      <c r="CN491" s="1889">
        <v>0</v>
      </c>
      <c r="CO491" s="1889">
        <v>0</v>
      </c>
      <c r="CP491" s="1641"/>
      <c r="CQ491" s="1640"/>
      <c r="CR491" s="1640"/>
      <c r="CS491" s="1640"/>
    </row>
    <row r="492" spans="1:107" ht="15" thickBot="1" x14ac:dyDescent="0.2">
      <c r="A492" s="1541" t="s">
        <v>134</v>
      </c>
      <c r="B492" s="1523" t="s">
        <v>79</v>
      </c>
      <c r="C492" s="1523" t="s">
        <v>80</v>
      </c>
      <c r="D492" s="1523" t="s">
        <v>125</v>
      </c>
      <c r="E492" s="1523" t="s">
        <v>215</v>
      </c>
      <c r="F492" s="1523"/>
      <c r="G492" s="1667">
        <v>224</v>
      </c>
      <c r="H492" s="1501">
        <f>600</f>
        <v>600</v>
      </c>
      <c r="I492" s="1645"/>
      <c r="J492" s="1630"/>
      <c r="K492" s="1630"/>
      <c r="L492" s="1631"/>
      <c r="M492" s="1631"/>
      <c r="N492" s="1631"/>
      <c r="O492" s="1631"/>
      <c r="P492" s="1631"/>
      <c r="Q492" s="1631"/>
      <c r="R492" s="1631"/>
      <c r="S492" s="1631"/>
      <c r="T492" s="1632"/>
      <c r="U492" s="1633"/>
      <c r="V492" s="1633"/>
      <c r="W492" s="1634"/>
      <c r="X492" s="1634"/>
      <c r="Y492" s="1634"/>
      <c r="Z492" s="1635"/>
      <c r="AA492" s="1634"/>
      <c r="AB492" s="1634"/>
      <c r="AC492" s="1508">
        <f t="shared" si="354"/>
        <v>600</v>
      </c>
      <c r="AD492" s="1509">
        <f t="shared" si="355"/>
        <v>0</v>
      </c>
      <c r="AE492" s="1509">
        <f t="shared" si="356"/>
        <v>0</v>
      </c>
      <c r="AF492" s="1509">
        <f t="shared" si="356"/>
        <v>0</v>
      </c>
      <c r="AG492" s="1509">
        <f t="shared" si="356"/>
        <v>0</v>
      </c>
      <c r="AH492" s="1490">
        <f t="shared" si="350"/>
        <v>294</v>
      </c>
      <c r="AI492" s="1636">
        <f t="shared" si="357"/>
        <v>0</v>
      </c>
      <c r="AJ492" s="1636">
        <f t="shared" si="358"/>
        <v>0</v>
      </c>
      <c r="AK492" s="1636">
        <f t="shared" si="359"/>
        <v>0</v>
      </c>
      <c r="AL492" s="1636">
        <f t="shared" si="359"/>
        <v>0</v>
      </c>
      <c r="AM492" s="1636">
        <f t="shared" si="359"/>
        <v>0</v>
      </c>
      <c r="AN492" s="1637"/>
      <c r="AO492" s="1722">
        <v>50</v>
      </c>
      <c r="AP492" s="1638"/>
      <c r="AQ492" s="1638"/>
      <c r="AR492" s="1638"/>
      <c r="AS492" s="1639">
        <v>50</v>
      </c>
      <c r="AT492" s="1638"/>
      <c r="AU492" s="1638"/>
      <c r="AV492" s="1638"/>
      <c r="AW492" s="1639"/>
      <c r="AX492" s="1640"/>
      <c r="AY492" s="1640"/>
      <c r="AZ492" s="1640"/>
      <c r="BA492" s="1641"/>
      <c r="BB492" s="1640"/>
      <c r="BC492" s="1640"/>
      <c r="BD492" s="1640"/>
      <c r="BE492" s="1644"/>
      <c r="BF492" s="1640"/>
      <c r="BG492" s="1640"/>
      <c r="BH492" s="1640"/>
      <c r="BI492" s="1641"/>
      <c r="BJ492" s="1640"/>
      <c r="BK492" s="1640"/>
      <c r="BL492" s="1640"/>
      <c r="BM492" s="1641"/>
      <c r="BN492" s="1640"/>
      <c r="BO492" s="1640"/>
      <c r="BP492" s="1640"/>
      <c r="BQ492" s="1641"/>
      <c r="BR492" s="1640"/>
      <c r="BS492" s="1640"/>
      <c r="BT492" s="1640"/>
      <c r="BU492" s="1641"/>
      <c r="BV492" s="1640"/>
      <c r="BW492" s="1640"/>
      <c r="BX492" s="1640"/>
      <c r="BY492" s="1641"/>
      <c r="BZ492" s="1640"/>
      <c r="CA492" s="1640"/>
      <c r="CB492" s="1640"/>
      <c r="CC492" s="1641">
        <v>206</v>
      </c>
      <c r="CD492" s="1640"/>
      <c r="CE492" s="1640"/>
      <c r="CF492" s="1640"/>
      <c r="CG492" s="1642"/>
      <c r="CH492" s="1641">
        <f t="shared" si="349"/>
        <v>294</v>
      </c>
      <c r="CI492" s="1641">
        <f t="shared" si="349"/>
        <v>0</v>
      </c>
      <c r="CJ492" s="1641">
        <f t="shared" si="349"/>
        <v>0</v>
      </c>
      <c r="CK492" s="1641">
        <f t="shared" si="349"/>
        <v>0</v>
      </c>
      <c r="CL492" s="1889">
        <v>294</v>
      </c>
      <c r="CM492" s="1889">
        <v>0</v>
      </c>
      <c r="CN492" s="1889">
        <v>0</v>
      </c>
      <c r="CO492" s="1889">
        <v>0</v>
      </c>
      <c r="CP492" s="1641"/>
      <c r="CQ492" s="1640"/>
      <c r="CR492" s="1640"/>
      <c r="CS492" s="1640"/>
    </row>
    <row r="493" spans="1:107" ht="15" thickBot="1" x14ac:dyDescent="0.2">
      <c r="A493" s="1541" t="s">
        <v>90</v>
      </c>
      <c r="B493" s="1523" t="s">
        <v>79</v>
      </c>
      <c r="C493" s="1523" t="s">
        <v>80</v>
      </c>
      <c r="D493" s="1523" t="s">
        <v>125</v>
      </c>
      <c r="E493" s="1523" t="s">
        <v>215</v>
      </c>
      <c r="F493" s="1523"/>
      <c r="G493" s="1667">
        <v>225</v>
      </c>
      <c r="H493" s="1501">
        <f>10+5+30</f>
        <v>45</v>
      </c>
      <c r="I493" s="1645"/>
      <c r="J493" s="1630">
        <f>235-V493</f>
        <v>200.4</v>
      </c>
      <c r="K493" s="1630"/>
      <c r="L493" s="1631"/>
      <c r="M493" s="1631"/>
      <c r="N493" s="1631"/>
      <c r="O493" s="1631"/>
      <c r="P493" s="1631"/>
      <c r="Q493" s="1631"/>
      <c r="R493" s="1631"/>
      <c r="S493" s="1631"/>
      <c r="T493" s="1632"/>
      <c r="U493" s="1633"/>
      <c r="V493" s="1633">
        <v>34.6</v>
      </c>
      <c r="W493" s="1634"/>
      <c r="X493" s="1634"/>
      <c r="Y493" s="1634"/>
      <c r="Z493" s="1635"/>
      <c r="AA493" s="1634"/>
      <c r="AB493" s="1634"/>
      <c r="AC493" s="1508">
        <f t="shared" si="354"/>
        <v>45</v>
      </c>
      <c r="AD493" s="1509">
        <f t="shared" si="355"/>
        <v>200.4</v>
      </c>
      <c r="AE493" s="1509">
        <f t="shared" si="356"/>
        <v>0</v>
      </c>
      <c r="AF493" s="1509">
        <f t="shared" si="356"/>
        <v>200.4</v>
      </c>
      <c r="AG493" s="1509">
        <f t="shared" si="356"/>
        <v>0</v>
      </c>
      <c r="AH493" s="1490">
        <f t="shared" si="350"/>
        <v>15</v>
      </c>
      <c r="AI493" s="1636">
        <f t="shared" si="357"/>
        <v>0</v>
      </c>
      <c r="AJ493" s="1636">
        <f t="shared" si="358"/>
        <v>0</v>
      </c>
      <c r="AK493" s="1636">
        <f t="shared" si="359"/>
        <v>0</v>
      </c>
      <c r="AL493" s="1636">
        <f t="shared" si="359"/>
        <v>0</v>
      </c>
      <c r="AM493" s="1636">
        <f t="shared" si="359"/>
        <v>0</v>
      </c>
      <c r="AN493" s="1637"/>
      <c r="AO493" s="1723"/>
      <c r="AP493" s="1638"/>
      <c r="AQ493" s="1638"/>
      <c r="AR493" s="1638"/>
      <c r="AS493" s="1639"/>
      <c r="AT493" s="1638"/>
      <c r="AU493" s="1638"/>
      <c r="AV493" s="1638"/>
      <c r="AW493" s="1639"/>
      <c r="AX493" s="1640"/>
      <c r="AY493" s="1640"/>
      <c r="AZ493" s="1640"/>
      <c r="BA493" s="1641"/>
      <c r="BB493" s="1640"/>
      <c r="BC493" s="1640"/>
      <c r="BD493" s="1640"/>
      <c r="BE493" s="1644"/>
      <c r="BF493" s="1640"/>
      <c r="BG493" s="1640"/>
      <c r="BH493" s="1640"/>
      <c r="BI493" s="1641"/>
      <c r="BJ493" s="1640"/>
      <c r="BK493" s="1640"/>
      <c r="BL493" s="1640"/>
      <c r="BM493" s="1641"/>
      <c r="BN493" s="1640"/>
      <c r="BO493" s="1640"/>
      <c r="BP493" s="1640"/>
      <c r="BQ493" s="1641">
        <v>30</v>
      </c>
      <c r="BR493" s="1640"/>
      <c r="BS493" s="1640"/>
      <c r="BT493" s="1640"/>
      <c r="BU493" s="1641"/>
      <c r="BV493" s="1640"/>
      <c r="BW493" s="1640"/>
      <c r="BX493" s="1640"/>
      <c r="BY493" s="1641"/>
      <c r="BZ493" s="1640"/>
      <c r="CA493" s="1640">
        <v>50</v>
      </c>
      <c r="CB493" s="1640"/>
      <c r="CC493" s="1641"/>
      <c r="CD493" s="1640"/>
      <c r="CE493" s="1640"/>
      <c r="CF493" s="1640"/>
      <c r="CG493" s="1642"/>
      <c r="CH493" s="1641">
        <f t="shared" si="349"/>
        <v>15</v>
      </c>
      <c r="CI493" s="1641">
        <f t="shared" si="349"/>
        <v>0</v>
      </c>
      <c r="CJ493" s="1641">
        <f t="shared" si="349"/>
        <v>150.4</v>
      </c>
      <c r="CK493" s="1641">
        <f t="shared" si="349"/>
        <v>0</v>
      </c>
      <c r="CL493" s="1889">
        <v>15</v>
      </c>
      <c r="CM493" s="1889">
        <v>0</v>
      </c>
      <c r="CN493" s="1889">
        <v>150.4</v>
      </c>
      <c r="CO493" s="1889">
        <v>0</v>
      </c>
      <c r="CP493" s="1641"/>
      <c r="CQ493" s="1640"/>
      <c r="CR493" s="1640"/>
      <c r="CS493" s="1640"/>
    </row>
    <row r="494" spans="1:107" ht="15" thickBot="1" x14ac:dyDescent="0.2">
      <c r="A494" s="1541" t="s">
        <v>91</v>
      </c>
      <c r="B494" s="1523" t="s">
        <v>79</v>
      </c>
      <c r="C494" s="1523" t="s">
        <v>80</v>
      </c>
      <c r="D494" s="1523" t="s">
        <v>125</v>
      </c>
      <c r="E494" s="1523" t="s">
        <v>215</v>
      </c>
      <c r="F494" s="1523"/>
      <c r="G494" s="1667">
        <v>226</v>
      </c>
      <c r="H494" s="1501">
        <f>35.046+5+100+25+25.1</f>
        <v>190.14599999999999</v>
      </c>
      <c r="I494" s="1645"/>
      <c r="J494" s="1630"/>
      <c r="K494" s="1630"/>
      <c r="L494" s="1631"/>
      <c r="M494" s="1631"/>
      <c r="N494" s="1631"/>
      <c r="O494" s="1631">
        <v>32.178750000000001</v>
      </c>
      <c r="P494" s="1631"/>
      <c r="Q494" s="1631"/>
      <c r="R494" s="1631"/>
      <c r="S494" s="1631"/>
      <c r="T494" s="1632"/>
      <c r="U494" s="1633"/>
      <c r="V494" s="1633"/>
      <c r="W494" s="1634"/>
      <c r="X494" s="1634"/>
      <c r="Y494" s="1634"/>
      <c r="Z494" s="1635"/>
      <c r="AA494" s="1634"/>
      <c r="AB494" s="1634"/>
      <c r="AC494" s="1508">
        <f t="shared" si="354"/>
        <v>190.14600000000002</v>
      </c>
      <c r="AD494" s="1509">
        <f t="shared" si="355"/>
        <v>0</v>
      </c>
      <c r="AE494" s="1509">
        <f t="shared" si="356"/>
        <v>0</v>
      </c>
      <c r="AF494" s="1509">
        <f t="shared" si="356"/>
        <v>0</v>
      </c>
      <c r="AG494" s="1509">
        <f t="shared" si="356"/>
        <v>0</v>
      </c>
      <c r="AH494" s="1490">
        <f t="shared" si="350"/>
        <v>187.27475000000001</v>
      </c>
      <c r="AI494" s="1636">
        <f t="shared" si="357"/>
        <v>0</v>
      </c>
      <c r="AJ494" s="1636">
        <f t="shared" si="358"/>
        <v>0</v>
      </c>
      <c r="AK494" s="1636">
        <f t="shared" si="359"/>
        <v>0</v>
      </c>
      <c r="AL494" s="1636">
        <f t="shared" si="359"/>
        <v>0</v>
      </c>
      <c r="AM494" s="1636">
        <f t="shared" si="359"/>
        <v>0</v>
      </c>
      <c r="AN494" s="1637"/>
      <c r="AO494" s="1723"/>
      <c r="AP494" s="1638"/>
      <c r="AQ494" s="1638"/>
      <c r="AR494" s="1638"/>
      <c r="AS494" s="1639"/>
      <c r="AT494" s="1638"/>
      <c r="AU494" s="1638"/>
      <c r="AV494" s="1638"/>
      <c r="AW494" s="1639"/>
      <c r="AX494" s="1640"/>
      <c r="AY494" s="1640"/>
      <c r="AZ494" s="1640"/>
      <c r="BA494" s="1641"/>
      <c r="BB494" s="1640"/>
      <c r="BC494" s="1640"/>
      <c r="BD494" s="1640"/>
      <c r="BE494" s="1644"/>
      <c r="BF494" s="1640"/>
      <c r="BG494" s="1640"/>
      <c r="BH494" s="1640"/>
      <c r="BI494" s="1641"/>
      <c r="BJ494" s="1640"/>
      <c r="BK494" s="1640"/>
      <c r="BL494" s="1640"/>
      <c r="BM494" s="1641"/>
      <c r="BN494" s="1640"/>
      <c r="BO494" s="1640"/>
      <c r="BP494" s="1640"/>
      <c r="BQ494" s="1641">
        <v>35.049999999999997</v>
      </c>
      <c r="BR494" s="1640"/>
      <c r="BS494" s="1640"/>
      <c r="BT494" s="1640"/>
      <c r="BU494" s="1641"/>
      <c r="BV494" s="1640"/>
      <c r="BW494" s="1640"/>
      <c r="BX494" s="1640"/>
      <c r="BY494" s="1641"/>
      <c r="BZ494" s="1640"/>
      <c r="CA494" s="1640"/>
      <c r="CB494" s="1640"/>
      <c r="CC494" s="1641"/>
      <c r="CD494" s="1640"/>
      <c r="CE494" s="1640"/>
      <c r="CF494" s="1640"/>
      <c r="CG494" s="1642">
        <v>32.178750000000001</v>
      </c>
      <c r="CH494" s="1641">
        <f t="shared" si="349"/>
        <v>155.096</v>
      </c>
      <c r="CI494" s="1641">
        <f t="shared" si="349"/>
        <v>0</v>
      </c>
      <c r="CJ494" s="1641">
        <f t="shared" si="349"/>
        <v>0</v>
      </c>
      <c r="CK494" s="1641">
        <f t="shared" si="349"/>
        <v>0</v>
      </c>
      <c r="CL494" s="1889">
        <v>155.096</v>
      </c>
      <c r="CM494" s="1889">
        <v>0</v>
      </c>
      <c r="CN494" s="1889">
        <v>0</v>
      </c>
      <c r="CO494" s="1889">
        <v>0</v>
      </c>
      <c r="CP494" s="1641"/>
      <c r="CQ494" s="1640"/>
      <c r="CR494" s="1640"/>
      <c r="CS494" s="1640"/>
    </row>
    <row r="495" spans="1:107" ht="15" thickBot="1" x14ac:dyDescent="0.2">
      <c r="A495" s="1541" t="s">
        <v>94</v>
      </c>
      <c r="B495" s="1523" t="s">
        <v>79</v>
      </c>
      <c r="C495" s="1523" t="s">
        <v>80</v>
      </c>
      <c r="D495" s="1523" t="s">
        <v>125</v>
      </c>
      <c r="E495" s="1523" t="s">
        <v>215</v>
      </c>
      <c r="F495" s="1523"/>
      <c r="G495" s="1667">
        <v>290</v>
      </c>
      <c r="H495" s="1501">
        <f>19.4+1.204</f>
        <v>20.603999999999999</v>
      </c>
      <c r="I495" s="1645"/>
      <c r="J495" s="1630"/>
      <c r="K495" s="1630"/>
      <c r="L495" s="1631"/>
      <c r="M495" s="1631"/>
      <c r="N495" s="1631"/>
      <c r="O495" s="1631"/>
      <c r="P495" s="1631"/>
      <c r="Q495" s="1631"/>
      <c r="R495" s="1631"/>
      <c r="S495" s="1631"/>
      <c r="T495" s="1632"/>
      <c r="U495" s="1633"/>
      <c r="V495" s="1633"/>
      <c r="W495" s="1634"/>
      <c r="X495" s="1634"/>
      <c r="Y495" s="1634"/>
      <c r="Z495" s="1635"/>
      <c r="AA495" s="1634"/>
      <c r="AB495" s="1634"/>
      <c r="AC495" s="1508">
        <f t="shared" si="354"/>
        <v>20.603999999999999</v>
      </c>
      <c r="AD495" s="1509">
        <f t="shared" si="355"/>
        <v>0</v>
      </c>
      <c r="AE495" s="1509">
        <f t="shared" si="356"/>
        <v>0</v>
      </c>
      <c r="AF495" s="1509">
        <f t="shared" si="356"/>
        <v>0</v>
      </c>
      <c r="AG495" s="1509">
        <f t="shared" si="356"/>
        <v>0</v>
      </c>
      <c r="AH495" s="1490">
        <f t="shared" si="350"/>
        <v>5.1040000000000001</v>
      </c>
      <c r="AI495" s="1636">
        <f t="shared" si="357"/>
        <v>0</v>
      </c>
      <c r="AJ495" s="1636">
        <f t="shared" si="358"/>
        <v>0</v>
      </c>
      <c r="AK495" s="1636">
        <f t="shared" si="359"/>
        <v>0</v>
      </c>
      <c r="AL495" s="1636">
        <f t="shared" si="359"/>
        <v>0</v>
      </c>
      <c r="AM495" s="1636">
        <f t="shared" si="359"/>
        <v>0</v>
      </c>
      <c r="AN495" s="1637"/>
      <c r="AO495" s="1722">
        <v>1.6</v>
      </c>
      <c r="AP495" s="1638"/>
      <c r="AQ495" s="1638"/>
      <c r="AR495" s="1638"/>
      <c r="AS495" s="1639"/>
      <c r="AT495" s="1638"/>
      <c r="AU495" s="1638"/>
      <c r="AV495" s="1638"/>
      <c r="AW495" s="1639"/>
      <c r="AX495" s="1640"/>
      <c r="AY495" s="1640"/>
      <c r="AZ495" s="1640"/>
      <c r="BA495" s="1641"/>
      <c r="BB495" s="1640"/>
      <c r="BC495" s="1640"/>
      <c r="BD495" s="1640"/>
      <c r="BE495" s="1644">
        <v>5.3</v>
      </c>
      <c r="BF495" s="1640"/>
      <c r="BG495" s="1640"/>
      <c r="BH495" s="1640"/>
      <c r="BI495" s="1641"/>
      <c r="BJ495" s="1640"/>
      <c r="BK495" s="1640"/>
      <c r="BL495" s="1640"/>
      <c r="BM495" s="1641"/>
      <c r="BN495" s="1640"/>
      <c r="BO495" s="1640"/>
      <c r="BP495" s="1640"/>
      <c r="BQ495" s="1641"/>
      <c r="BR495" s="1640"/>
      <c r="BS495" s="1640"/>
      <c r="BT495" s="1640"/>
      <c r="BU495" s="1641">
        <v>8.6</v>
      </c>
      <c r="BV495" s="1640"/>
      <c r="BW495" s="1640"/>
      <c r="BX495" s="1640"/>
      <c r="BY495" s="1641"/>
      <c r="BZ495" s="1640"/>
      <c r="CA495" s="1640"/>
      <c r="CB495" s="1640"/>
      <c r="CC495" s="1641"/>
      <c r="CD495" s="1640"/>
      <c r="CE495" s="1640"/>
      <c r="CF495" s="1640"/>
      <c r="CG495" s="1642"/>
      <c r="CH495" s="1641">
        <f t="shared" si="349"/>
        <v>5.1040000000000001</v>
      </c>
      <c r="CI495" s="1641">
        <f t="shared" si="349"/>
        <v>0</v>
      </c>
      <c r="CJ495" s="1641">
        <f t="shared" si="349"/>
        <v>0</v>
      </c>
      <c r="CK495" s="1641">
        <f t="shared" si="349"/>
        <v>0</v>
      </c>
      <c r="CL495" s="1889">
        <v>5.1040000000000001</v>
      </c>
      <c r="CM495" s="1889">
        <v>0</v>
      </c>
      <c r="CN495" s="1889">
        <v>0</v>
      </c>
      <c r="CO495" s="1889">
        <v>0</v>
      </c>
      <c r="CP495" s="1641"/>
      <c r="CQ495" s="1640"/>
      <c r="CR495" s="1640"/>
      <c r="CS495" s="1640"/>
    </row>
    <row r="496" spans="1:107" ht="15" thickBot="1" x14ac:dyDescent="0.2">
      <c r="A496" s="1541" t="s">
        <v>94</v>
      </c>
      <c r="B496" s="1523" t="s">
        <v>79</v>
      </c>
      <c r="C496" s="1523" t="s">
        <v>80</v>
      </c>
      <c r="D496" s="1523" t="s">
        <v>125</v>
      </c>
      <c r="E496" s="1523" t="s">
        <v>215</v>
      </c>
      <c r="F496" s="1523"/>
      <c r="G496" s="1667" t="s">
        <v>95</v>
      </c>
      <c r="H496" s="1501">
        <v>0</v>
      </c>
      <c r="I496" s="1645"/>
      <c r="J496" s="1630"/>
      <c r="K496" s="1630"/>
      <c r="L496" s="1631"/>
      <c r="M496" s="1631"/>
      <c r="N496" s="1631"/>
      <c r="O496" s="1631"/>
      <c r="P496" s="1631"/>
      <c r="Q496" s="1631"/>
      <c r="R496" s="1631"/>
      <c r="S496" s="1631"/>
      <c r="T496" s="1632"/>
      <c r="U496" s="1633"/>
      <c r="V496" s="1633"/>
      <c r="W496" s="1634"/>
      <c r="X496" s="1634"/>
      <c r="Y496" s="1634"/>
      <c r="Z496" s="1635"/>
      <c r="AA496" s="1634"/>
      <c r="AB496" s="1634"/>
      <c r="AC496" s="1508">
        <f t="shared" si="354"/>
        <v>0</v>
      </c>
      <c r="AD496" s="1509">
        <f t="shared" si="355"/>
        <v>0</v>
      </c>
      <c r="AE496" s="1509">
        <f t="shared" si="356"/>
        <v>0</v>
      </c>
      <c r="AF496" s="1509">
        <f t="shared" si="356"/>
        <v>0</v>
      </c>
      <c r="AG496" s="1509">
        <f t="shared" si="356"/>
        <v>0</v>
      </c>
      <c r="AH496" s="1490">
        <f t="shared" si="350"/>
        <v>0</v>
      </c>
      <c r="AI496" s="1636">
        <f t="shared" si="357"/>
        <v>0</v>
      </c>
      <c r="AJ496" s="1636">
        <f t="shared" si="358"/>
        <v>0</v>
      </c>
      <c r="AK496" s="1636">
        <f t="shared" si="359"/>
        <v>0</v>
      </c>
      <c r="AL496" s="1636">
        <f t="shared" si="359"/>
        <v>0</v>
      </c>
      <c r="AM496" s="1636">
        <f t="shared" si="359"/>
        <v>0</v>
      </c>
      <c r="AN496" s="1637"/>
      <c r="AO496" s="1722">
        <v>0</v>
      </c>
      <c r="AP496" s="1638"/>
      <c r="AQ496" s="1638"/>
      <c r="AR496" s="1638"/>
      <c r="AS496" s="1639"/>
      <c r="AT496" s="1638"/>
      <c r="AU496" s="1638"/>
      <c r="AV496" s="1638"/>
      <c r="AW496" s="1639"/>
      <c r="AX496" s="1640"/>
      <c r="AY496" s="1640"/>
      <c r="AZ496" s="1640"/>
      <c r="BA496" s="1641"/>
      <c r="BB496" s="1640"/>
      <c r="BC496" s="1640"/>
      <c r="BD496" s="1640"/>
      <c r="BE496" s="1644"/>
      <c r="BF496" s="1640"/>
      <c r="BG496" s="1640"/>
      <c r="BH496" s="1640"/>
      <c r="BI496" s="1641"/>
      <c r="BJ496" s="1640"/>
      <c r="BK496" s="1640"/>
      <c r="BL496" s="1640"/>
      <c r="BM496" s="1641"/>
      <c r="BN496" s="1640"/>
      <c r="BO496" s="1640"/>
      <c r="BP496" s="1640"/>
      <c r="BQ496" s="1641"/>
      <c r="BR496" s="1640"/>
      <c r="BS496" s="1640"/>
      <c r="BT496" s="1640"/>
      <c r="BU496" s="1641"/>
      <c r="BV496" s="1640"/>
      <c r="BW496" s="1640"/>
      <c r="BX496" s="1640"/>
      <c r="BY496" s="1641"/>
      <c r="BZ496" s="1640"/>
      <c r="CA496" s="1640"/>
      <c r="CB496" s="1640"/>
      <c r="CC496" s="1641"/>
      <c r="CD496" s="1640"/>
      <c r="CE496" s="1640"/>
      <c r="CF496" s="1640"/>
      <c r="CG496" s="1642"/>
      <c r="CH496" s="1641">
        <f t="shared" si="349"/>
        <v>0</v>
      </c>
      <c r="CI496" s="1641">
        <f t="shared" si="349"/>
        <v>0</v>
      </c>
      <c r="CJ496" s="1641">
        <f t="shared" si="349"/>
        <v>0</v>
      </c>
      <c r="CK496" s="1641">
        <f t="shared" si="349"/>
        <v>0</v>
      </c>
      <c r="CL496" s="1889">
        <v>0</v>
      </c>
      <c r="CM496" s="1889">
        <v>0</v>
      </c>
      <c r="CN496" s="1889">
        <v>0</v>
      </c>
      <c r="CO496" s="1889">
        <v>0</v>
      </c>
      <c r="CP496" s="1641"/>
      <c r="CQ496" s="1640"/>
      <c r="CR496" s="1640"/>
      <c r="CS496" s="1640"/>
    </row>
    <row r="497" spans="1:107" ht="15" thickBot="1" x14ac:dyDescent="0.2">
      <c r="A497" s="1541" t="s">
        <v>96</v>
      </c>
      <c r="B497" s="1523" t="s">
        <v>79</v>
      </c>
      <c r="C497" s="1523" t="s">
        <v>80</v>
      </c>
      <c r="D497" s="1523" t="s">
        <v>125</v>
      </c>
      <c r="E497" s="1523" t="s">
        <v>215</v>
      </c>
      <c r="F497" s="1523"/>
      <c r="G497" s="1667">
        <v>310</v>
      </c>
      <c r="H497" s="1501">
        <v>101</v>
      </c>
      <c r="I497" s="1645"/>
      <c r="J497" s="1630">
        <f>10-V497</f>
        <v>0</v>
      </c>
      <c r="K497" s="1630"/>
      <c r="L497" s="1631"/>
      <c r="M497" s="1631"/>
      <c r="N497" s="1631"/>
      <c r="O497" s="1631"/>
      <c r="P497" s="1631"/>
      <c r="Q497" s="1631"/>
      <c r="R497" s="1631"/>
      <c r="S497" s="1631"/>
      <c r="T497" s="1632"/>
      <c r="U497" s="1633"/>
      <c r="V497" s="1633">
        <v>10</v>
      </c>
      <c r="W497" s="1634"/>
      <c r="X497" s="1634"/>
      <c r="Y497" s="1634"/>
      <c r="Z497" s="1635"/>
      <c r="AA497" s="1634"/>
      <c r="AB497" s="1634"/>
      <c r="AC497" s="1508">
        <f t="shared" si="354"/>
        <v>101</v>
      </c>
      <c r="AD497" s="1509">
        <f t="shared" si="355"/>
        <v>0</v>
      </c>
      <c r="AE497" s="1509">
        <f t="shared" si="356"/>
        <v>0</v>
      </c>
      <c r="AF497" s="1509">
        <f t="shared" si="356"/>
        <v>0</v>
      </c>
      <c r="AG497" s="1509">
        <f t="shared" si="356"/>
        <v>0</v>
      </c>
      <c r="AH497" s="1490">
        <f t="shared" si="350"/>
        <v>81.650000000000006</v>
      </c>
      <c r="AI497" s="1636">
        <f t="shared" si="357"/>
        <v>0</v>
      </c>
      <c r="AJ497" s="1636">
        <f t="shared" si="358"/>
        <v>0</v>
      </c>
      <c r="AK497" s="1636">
        <f t="shared" si="359"/>
        <v>0</v>
      </c>
      <c r="AL497" s="1636">
        <f t="shared" si="359"/>
        <v>0</v>
      </c>
      <c r="AM497" s="1636">
        <f t="shared" si="359"/>
        <v>0</v>
      </c>
      <c r="AN497" s="1637"/>
      <c r="AO497" s="1723"/>
      <c r="AP497" s="1638"/>
      <c r="AQ497" s="1638"/>
      <c r="AR497" s="1638"/>
      <c r="AS497" s="1639"/>
      <c r="AT497" s="1638"/>
      <c r="AU497" s="1638"/>
      <c r="AV497" s="1638"/>
      <c r="AW497" s="1639"/>
      <c r="AX497" s="1640"/>
      <c r="AY497" s="1640"/>
      <c r="AZ497" s="1640"/>
      <c r="BA497" s="1641"/>
      <c r="BB497" s="1640"/>
      <c r="BC497" s="1640"/>
      <c r="BD497" s="1640"/>
      <c r="BE497" s="1644"/>
      <c r="BF497" s="1640"/>
      <c r="BG497" s="1640"/>
      <c r="BH497" s="1640"/>
      <c r="BI497" s="1641"/>
      <c r="BJ497" s="1640"/>
      <c r="BK497" s="1640"/>
      <c r="BL497" s="1640"/>
      <c r="BM497" s="1641"/>
      <c r="BN497" s="1640"/>
      <c r="BO497" s="1640"/>
      <c r="BP497" s="1640"/>
      <c r="BQ497" s="1641"/>
      <c r="BR497" s="1640"/>
      <c r="BS497" s="1640"/>
      <c r="BT497" s="1640"/>
      <c r="BU497" s="1641"/>
      <c r="BV497" s="1640"/>
      <c r="BW497" s="1640"/>
      <c r="BX497" s="1640"/>
      <c r="BY497" s="1641">
        <v>19.350000000000001</v>
      </c>
      <c r="BZ497" s="1640"/>
      <c r="CA497" s="1640"/>
      <c r="CB497" s="1640"/>
      <c r="CC497" s="1641"/>
      <c r="CD497" s="1640"/>
      <c r="CE497" s="1640"/>
      <c r="CF497" s="1640"/>
      <c r="CG497" s="1642"/>
      <c r="CH497" s="1641">
        <f t="shared" si="349"/>
        <v>81.650000000000006</v>
      </c>
      <c r="CI497" s="1641">
        <f t="shared" si="349"/>
        <v>0</v>
      </c>
      <c r="CJ497" s="1641">
        <f t="shared" si="349"/>
        <v>0</v>
      </c>
      <c r="CK497" s="1641">
        <f t="shared" si="349"/>
        <v>0</v>
      </c>
      <c r="CL497" s="1889">
        <v>81.650000000000006</v>
      </c>
      <c r="CM497" s="1889">
        <v>0</v>
      </c>
      <c r="CN497" s="1889">
        <v>0</v>
      </c>
      <c r="CO497" s="1889">
        <v>0</v>
      </c>
      <c r="CP497" s="1641"/>
      <c r="CQ497" s="1640"/>
      <c r="CR497" s="1640"/>
      <c r="CS497" s="1640"/>
    </row>
    <row r="498" spans="1:107" ht="15" thickBot="1" x14ac:dyDescent="0.2">
      <c r="A498" s="1541" t="s">
        <v>97</v>
      </c>
      <c r="B498" s="1523" t="s">
        <v>79</v>
      </c>
      <c r="C498" s="1523" t="s">
        <v>80</v>
      </c>
      <c r="D498" s="1523" t="s">
        <v>125</v>
      </c>
      <c r="E498" s="1523" t="s">
        <v>215</v>
      </c>
      <c r="F498" s="1523"/>
      <c r="G498" s="1667">
        <v>340</v>
      </c>
      <c r="H498" s="1501">
        <f>17.75</f>
        <v>17.75</v>
      </c>
      <c r="I498" s="1645"/>
      <c r="J498" s="1630"/>
      <c r="K498" s="1630"/>
      <c r="L498" s="1631"/>
      <c r="M498" s="1631"/>
      <c r="N498" s="1631"/>
      <c r="O498" s="1631"/>
      <c r="P498" s="1631"/>
      <c r="Q498" s="1631"/>
      <c r="R498" s="1631"/>
      <c r="S498" s="1631"/>
      <c r="T498" s="1632"/>
      <c r="U498" s="1633"/>
      <c r="V498" s="1633"/>
      <c r="W498" s="1634"/>
      <c r="X498" s="1634"/>
      <c r="Y498" s="1634"/>
      <c r="Z498" s="1635"/>
      <c r="AA498" s="1634"/>
      <c r="AB498" s="1634"/>
      <c r="AC498" s="1508">
        <f t="shared" si="354"/>
        <v>17.75</v>
      </c>
      <c r="AD498" s="1509">
        <f t="shared" si="355"/>
        <v>0</v>
      </c>
      <c r="AE498" s="1509">
        <f t="shared" si="356"/>
        <v>0</v>
      </c>
      <c r="AF498" s="1509">
        <f t="shared" si="356"/>
        <v>0</v>
      </c>
      <c r="AG498" s="1509">
        <f t="shared" si="356"/>
        <v>0</v>
      </c>
      <c r="AH498" s="1490">
        <f t="shared" si="350"/>
        <v>16.149999999999999</v>
      </c>
      <c r="AI498" s="1636">
        <f t="shared" si="357"/>
        <v>0</v>
      </c>
      <c r="AJ498" s="1636">
        <f t="shared" si="358"/>
        <v>0</v>
      </c>
      <c r="AK498" s="1636">
        <f t="shared" si="359"/>
        <v>0</v>
      </c>
      <c r="AL498" s="1636">
        <f t="shared" si="359"/>
        <v>0</v>
      </c>
      <c r="AM498" s="1636">
        <f t="shared" si="359"/>
        <v>0</v>
      </c>
      <c r="AN498" s="1637"/>
      <c r="AO498" s="1722">
        <v>1.6</v>
      </c>
      <c r="AP498" s="1638"/>
      <c r="AQ498" s="1638"/>
      <c r="AR498" s="1638"/>
      <c r="AS498" s="1639"/>
      <c r="AT498" s="1638"/>
      <c r="AU498" s="1638"/>
      <c r="AV498" s="1638"/>
      <c r="AW498" s="1639"/>
      <c r="AX498" s="1640"/>
      <c r="AY498" s="1640"/>
      <c r="AZ498" s="1640"/>
      <c r="BA498" s="1641"/>
      <c r="BB498" s="1640"/>
      <c r="BC498" s="1640"/>
      <c r="BD498" s="1640"/>
      <c r="BE498" s="1644"/>
      <c r="BF498" s="1640"/>
      <c r="BG498" s="1640"/>
      <c r="BH498" s="1640"/>
      <c r="BI498" s="1641"/>
      <c r="BJ498" s="1640"/>
      <c r="BK498" s="1640"/>
      <c r="BL498" s="1640"/>
      <c r="BM498" s="1641"/>
      <c r="BN498" s="1640"/>
      <c r="BO498" s="1640"/>
      <c r="BP498" s="1640"/>
      <c r="BQ498" s="1641"/>
      <c r="BR498" s="1640"/>
      <c r="BS498" s="1640"/>
      <c r="BT498" s="1640"/>
      <c r="BU498" s="1641"/>
      <c r="BV498" s="1640"/>
      <c r="BW498" s="1640"/>
      <c r="BX498" s="1640"/>
      <c r="BY498" s="1641"/>
      <c r="BZ498" s="1640"/>
      <c r="CA498" s="1640"/>
      <c r="CB498" s="1640"/>
      <c r="CC498" s="1641"/>
      <c r="CD498" s="1640"/>
      <c r="CE498" s="1640"/>
      <c r="CF498" s="1640"/>
      <c r="CG498" s="1642"/>
      <c r="CH498" s="1641">
        <f t="shared" si="349"/>
        <v>16.149999999999999</v>
      </c>
      <c r="CI498" s="1641">
        <f t="shared" si="349"/>
        <v>0</v>
      </c>
      <c r="CJ498" s="1641">
        <f t="shared" si="349"/>
        <v>0</v>
      </c>
      <c r="CK498" s="1641">
        <f t="shared" si="349"/>
        <v>0</v>
      </c>
      <c r="CL498" s="1889">
        <v>16.149999999999999</v>
      </c>
      <c r="CM498" s="1889">
        <v>0</v>
      </c>
      <c r="CN498" s="1889">
        <v>0</v>
      </c>
      <c r="CO498" s="1889">
        <v>0</v>
      </c>
      <c r="CP498" s="1641"/>
      <c r="CQ498" s="1640"/>
      <c r="CR498" s="1640"/>
      <c r="CS498" s="1640"/>
    </row>
    <row r="499" spans="1:107" ht="15" thickBot="1" x14ac:dyDescent="0.2">
      <c r="A499" s="1528" t="s">
        <v>767</v>
      </c>
      <c r="B499" s="1530" t="s">
        <v>79</v>
      </c>
      <c r="C499" s="1530" t="s">
        <v>80</v>
      </c>
      <c r="D499" s="1530" t="s">
        <v>125</v>
      </c>
      <c r="E499" s="1530" t="s">
        <v>215</v>
      </c>
      <c r="F499" s="1530" t="s">
        <v>768</v>
      </c>
      <c r="G499" s="1600" t="s">
        <v>766</v>
      </c>
      <c r="H499" s="1647">
        <f>I485</f>
        <v>0</v>
      </c>
      <c r="I499" s="1645"/>
      <c r="J499" s="1630"/>
      <c r="K499" s="1630"/>
      <c r="L499" s="1631"/>
      <c r="M499" s="1631"/>
      <c r="N499" s="1631"/>
      <c r="O499" s="1631"/>
      <c r="P499" s="1631"/>
      <c r="Q499" s="1631"/>
      <c r="R499" s="1631"/>
      <c r="S499" s="1631"/>
      <c r="T499" s="1632"/>
      <c r="U499" s="1633"/>
      <c r="V499" s="1633"/>
      <c r="W499" s="1634"/>
      <c r="X499" s="1634"/>
      <c r="Y499" s="1634"/>
      <c r="Z499" s="1635"/>
      <c r="AA499" s="1634"/>
      <c r="AB499" s="1634"/>
      <c r="AC499" s="1508">
        <f t="shared" si="354"/>
        <v>0</v>
      </c>
      <c r="AD499" s="1509">
        <f t="shared" si="355"/>
        <v>0</v>
      </c>
      <c r="AE499" s="1509">
        <f>AP499+AT499+AX499+BB499+BF499+BJ499+BN499+BR499+BV499+BZ499+CD499+CI499</f>
        <v>0</v>
      </c>
      <c r="AF499" s="1509"/>
      <c r="AG499" s="1509"/>
      <c r="AH499" s="1490">
        <f t="shared" si="350"/>
        <v>0</v>
      </c>
      <c r="AI499" s="1636"/>
      <c r="AJ499" s="1636"/>
      <c r="AK499" s="1636"/>
      <c r="AL499" s="1636">
        <f t="shared" si="359"/>
        <v>0</v>
      </c>
      <c r="AM499" s="1636"/>
      <c r="AN499" s="1712"/>
      <c r="AO499" s="1713"/>
      <c r="AP499" s="1638"/>
      <c r="AQ499" s="1638"/>
      <c r="AR499" s="1638"/>
      <c r="AS499" s="1639"/>
      <c r="AT499" s="1638"/>
      <c r="AU499" s="1638"/>
      <c r="AV499" s="1638"/>
      <c r="AW499" s="1639"/>
      <c r="AX499" s="1640"/>
      <c r="AY499" s="1640"/>
      <c r="AZ499" s="1640"/>
      <c r="BA499" s="1641"/>
      <c r="BB499" s="1640"/>
      <c r="BC499" s="1640"/>
      <c r="BD499" s="1640"/>
      <c r="BE499" s="1644"/>
      <c r="BF499" s="1640"/>
      <c r="BG499" s="1640"/>
      <c r="BH499" s="1640"/>
      <c r="BI499" s="1641"/>
      <c r="BJ499" s="1640"/>
      <c r="BK499" s="1640"/>
      <c r="BL499" s="1640"/>
      <c r="BM499" s="1641"/>
      <c r="BN499" s="1640"/>
      <c r="BO499" s="1640"/>
      <c r="BP499" s="1640"/>
      <c r="BQ499" s="1641"/>
      <c r="BR499" s="1640"/>
      <c r="BS499" s="1640"/>
      <c r="BT499" s="1640"/>
      <c r="BU499" s="1641"/>
      <c r="BV499" s="1640"/>
      <c r="BW499" s="1640"/>
      <c r="BX499" s="1640"/>
      <c r="BY499" s="1641"/>
      <c r="BZ499" s="1640"/>
      <c r="CA499" s="1640"/>
      <c r="CB499" s="1640"/>
      <c r="CC499" s="1641"/>
      <c r="CD499" s="1640"/>
      <c r="CE499" s="1640"/>
      <c r="CF499" s="1640"/>
      <c r="CG499" s="1642"/>
      <c r="CH499" s="1641">
        <f t="shared" si="349"/>
        <v>0</v>
      </c>
      <c r="CI499" s="1641">
        <f t="shared" si="349"/>
        <v>0</v>
      </c>
      <c r="CJ499" s="1641">
        <f t="shared" si="349"/>
        <v>0</v>
      </c>
      <c r="CK499" s="1641">
        <f t="shared" si="349"/>
        <v>0</v>
      </c>
      <c r="CL499" s="1898"/>
      <c r="CM499" s="1898"/>
      <c r="CN499" s="1889">
        <v>0</v>
      </c>
      <c r="CO499" s="1898"/>
      <c r="CP499" s="1641"/>
      <c r="CQ499" s="1640"/>
      <c r="CR499" s="1640"/>
      <c r="CS499" s="1640"/>
    </row>
    <row r="500" spans="1:107" s="1886" customFormat="1" ht="39.75" customHeight="1" thickBot="1" x14ac:dyDescent="0.2">
      <c r="A500" s="1873" t="s">
        <v>1275</v>
      </c>
      <c r="B500" s="1780" t="s">
        <v>79</v>
      </c>
      <c r="C500" s="1780" t="s">
        <v>80</v>
      </c>
      <c r="D500" s="1780" t="s">
        <v>125</v>
      </c>
      <c r="E500" s="1780" t="s">
        <v>215</v>
      </c>
      <c r="F500" s="1780">
        <v>600</v>
      </c>
      <c r="G500" s="1874"/>
      <c r="H500" s="1875">
        <f>H501+H515</f>
        <v>3335.2999999999993</v>
      </c>
      <c r="I500" s="1875">
        <f t="shared" ref="I500:CF500" si="360">I501+I515</f>
        <v>0</v>
      </c>
      <c r="J500" s="1875">
        <f>J501+J515</f>
        <v>52</v>
      </c>
      <c r="K500" s="1875">
        <f t="shared" si="360"/>
        <v>0</v>
      </c>
      <c r="L500" s="1876"/>
      <c r="M500" s="1876"/>
      <c r="N500" s="1876"/>
      <c r="O500" s="1876"/>
      <c r="P500" s="1876"/>
      <c r="Q500" s="1876"/>
      <c r="R500" s="1876"/>
      <c r="S500" s="1876"/>
      <c r="T500" s="1877"/>
      <c r="U500" s="1878"/>
      <c r="V500" s="1878"/>
      <c r="W500" s="1879"/>
      <c r="X500" s="1879"/>
      <c r="Y500" s="1879"/>
      <c r="Z500" s="1880"/>
      <c r="AA500" s="1879"/>
      <c r="AB500" s="1879"/>
      <c r="AC500" s="1881">
        <f t="shared" si="360"/>
        <v>3335.2999999999993</v>
      </c>
      <c r="AD500" s="1881">
        <f t="shared" si="360"/>
        <v>52</v>
      </c>
      <c r="AE500" s="1881">
        <f t="shared" si="360"/>
        <v>0</v>
      </c>
      <c r="AF500" s="1881">
        <f t="shared" si="360"/>
        <v>52</v>
      </c>
      <c r="AG500" s="1881">
        <f t="shared" si="360"/>
        <v>0</v>
      </c>
      <c r="AH500" s="1490">
        <f t="shared" si="350"/>
        <v>444.48</v>
      </c>
      <c r="AI500" s="1882">
        <f t="shared" si="360"/>
        <v>0</v>
      </c>
      <c r="AJ500" s="1882">
        <f t="shared" si="360"/>
        <v>0</v>
      </c>
      <c r="AK500" s="1882">
        <f t="shared" si="360"/>
        <v>0</v>
      </c>
      <c r="AL500" s="1636">
        <f t="shared" si="359"/>
        <v>0</v>
      </c>
      <c r="AM500" s="1882">
        <f t="shared" si="360"/>
        <v>0</v>
      </c>
      <c r="AN500" s="1883"/>
      <c r="AO500" s="1875">
        <f t="shared" si="360"/>
        <v>261.99999999999994</v>
      </c>
      <c r="AP500" s="1875">
        <f t="shared" si="360"/>
        <v>0</v>
      </c>
      <c r="AQ500" s="1875">
        <f t="shared" si="360"/>
        <v>0</v>
      </c>
      <c r="AR500" s="1875">
        <f t="shared" si="360"/>
        <v>0</v>
      </c>
      <c r="AS500" s="1880">
        <f t="shared" si="360"/>
        <v>256.89999999999998</v>
      </c>
      <c r="AT500" s="1875">
        <f t="shared" si="360"/>
        <v>0</v>
      </c>
      <c r="AU500" s="1875">
        <f t="shared" si="360"/>
        <v>0</v>
      </c>
      <c r="AV500" s="1875">
        <f t="shared" si="360"/>
        <v>0</v>
      </c>
      <c r="AW500" s="1880">
        <f t="shared" si="360"/>
        <v>251.5</v>
      </c>
      <c r="AX500" s="1875">
        <f t="shared" si="360"/>
        <v>0</v>
      </c>
      <c r="AY500" s="1875">
        <f t="shared" si="360"/>
        <v>0</v>
      </c>
      <c r="AZ500" s="1875">
        <f t="shared" si="360"/>
        <v>0</v>
      </c>
      <c r="BA500" s="1883">
        <f t="shared" si="360"/>
        <v>251.5</v>
      </c>
      <c r="BB500" s="1875">
        <f t="shared" si="360"/>
        <v>0</v>
      </c>
      <c r="BC500" s="1875">
        <f t="shared" si="360"/>
        <v>0</v>
      </c>
      <c r="BD500" s="1875">
        <f t="shared" si="360"/>
        <v>0</v>
      </c>
      <c r="BE500" s="1539">
        <f t="shared" si="360"/>
        <v>268.97000000000003</v>
      </c>
      <c r="BF500" s="1875">
        <f t="shared" si="360"/>
        <v>0</v>
      </c>
      <c r="BG500" s="1875">
        <f t="shared" si="360"/>
        <v>0</v>
      </c>
      <c r="BH500" s="1875">
        <f t="shared" si="360"/>
        <v>0</v>
      </c>
      <c r="BI500" s="1883">
        <f t="shared" si="360"/>
        <v>83.965000000000003</v>
      </c>
      <c r="BJ500" s="1875">
        <f t="shared" si="360"/>
        <v>0</v>
      </c>
      <c r="BK500" s="1875">
        <f t="shared" si="360"/>
        <v>0</v>
      </c>
      <c r="BL500" s="1875">
        <f t="shared" si="360"/>
        <v>0</v>
      </c>
      <c r="BM500" s="1883">
        <f t="shared" si="360"/>
        <v>425.73500000000001</v>
      </c>
      <c r="BN500" s="1875">
        <f t="shared" si="360"/>
        <v>0</v>
      </c>
      <c r="BO500" s="1875">
        <f t="shared" si="360"/>
        <v>0</v>
      </c>
      <c r="BP500" s="1875">
        <f t="shared" si="360"/>
        <v>0</v>
      </c>
      <c r="BQ500" s="1883">
        <f t="shared" si="360"/>
        <v>326.15000000000003</v>
      </c>
      <c r="BR500" s="1875">
        <f t="shared" si="360"/>
        <v>0</v>
      </c>
      <c r="BS500" s="1875">
        <f t="shared" si="360"/>
        <v>0</v>
      </c>
      <c r="BT500" s="1875">
        <f t="shared" si="360"/>
        <v>0</v>
      </c>
      <c r="BU500" s="1883">
        <f t="shared" si="360"/>
        <v>258.5</v>
      </c>
      <c r="BV500" s="1875">
        <f t="shared" si="360"/>
        <v>0</v>
      </c>
      <c r="BW500" s="1875">
        <f t="shared" si="360"/>
        <v>0</v>
      </c>
      <c r="BX500" s="1875">
        <f t="shared" si="360"/>
        <v>0</v>
      </c>
      <c r="BY500" s="1883">
        <f t="shared" si="360"/>
        <v>261.39999999999998</v>
      </c>
      <c r="BZ500" s="1875">
        <f t="shared" si="360"/>
        <v>0</v>
      </c>
      <c r="CA500" s="1875">
        <f t="shared" si="360"/>
        <v>10</v>
      </c>
      <c r="CB500" s="1875">
        <f t="shared" si="360"/>
        <v>0</v>
      </c>
      <c r="CC500" s="1883">
        <f t="shared" si="360"/>
        <v>244.2</v>
      </c>
      <c r="CD500" s="1875">
        <f t="shared" si="360"/>
        <v>0</v>
      </c>
      <c r="CE500" s="1875">
        <f t="shared" si="360"/>
        <v>0</v>
      </c>
      <c r="CF500" s="1875">
        <f t="shared" si="360"/>
        <v>0</v>
      </c>
      <c r="CG500" s="1884"/>
      <c r="CH500" s="1641">
        <f t="shared" si="349"/>
        <v>444.48</v>
      </c>
      <c r="CI500" s="1641">
        <f t="shared" si="349"/>
        <v>0</v>
      </c>
      <c r="CJ500" s="1641">
        <f t="shared" si="349"/>
        <v>42</v>
      </c>
      <c r="CK500" s="1641">
        <f t="shared" si="349"/>
        <v>0</v>
      </c>
      <c r="CL500" s="1900">
        <v>444.48</v>
      </c>
      <c r="CM500" s="1900">
        <v>0</v>
      </c>
      <c r="CN500" s="1889">
        <v>42</v>
      </c>
      <c r="CO500" s="1900">
        <v>0</v>
      </c>
      <c r="CP500" s="1883">
        <f>CP501+CP515</f>
        <v>0</v>
      </c>
      <c r="CQ500" s="1875">
        <f>CQ501+CQ515</f>
        <v>0</v>
      </c>
      <c r="CR500" s="1875">
        <f>CR501+CR515</f>
        <v>0</v>
      </c>
      <c r="CS500" s="1875">
        <f>CS501+CS515</f>
        <v>0</v>
      </c>
      <c r="CT500" s="1885"/>
      <c r="CU500" s="1885"/>
      <c r="CV500" s="1885"/>
      <c r="CW500" s="1885"/>
      <c r="CY500" s="1885"/>
    </row>
    <row r="501" spans="1:107" ht="53" thickBot="1" x14ac:dyDescent="0.2">
      <c r="A501" s="1748" t="s">
        <v>1135</v>
      </c>
      <c r="B501" s="1749" t="s">
        <v>79</v>
      </c>
      <c r="C501" s="1749" t="s">
        <v>80</v>
      </c>
      <c r="D501" s="1749" t="s">
        <v>125</v>
      </c>
      <c r="E501" s="1749" t="s">
        <v>215</v>
      </c>
      <c r="F501" s="1749">
        <v>600</v>
      </c>
      <c r="G501" s="1600" t="s">
        <v>766</v>
      </c>
      <c r="H501" s="1531">
        <f>H502+H503+H504+H505+H506+H507+H508+H509+H510+H511+H512+H513+H514</f>
        <v>3335.2999999999993</v>
      </c>
      <c r="I501" s="1531">
        <f t="shared" ref="I501:CF501" si="361">I502+I503+I504+I505+I506+I507+I508+I509+I510+I511+I512+I513+I514</f>
        <v>0</v>
      </c>
      <c r="J501" s="1531">
        <f>J502+J503+J504+J505+J506+J507+J508+J509+J510+J511+J512+J513+J514</f>
        <v>52</v>
      </c>
      <c r="K501" s="1531">
        <f t="shared" si="361"/>
        <v>0</v>
      </c>
      <c r="L501" s="1601"/>
      <c r="M501" s="1601"/>
      <c r="N501" s="1601"/>
      <c r="O501" s="1601">
        <f t="shared" si="361"/>
        <v>32.178750000000001</v>
      </c>
      <c r="P501" s="1601"/>
      <c r="Q501" s="1601">
        <f t="shared" si="361"/>
        <v>0</v>
      </c>
      <c r="R501" s="1601">
        <f t="shared" si="361"/>
        <v>0</v>
      </c>
      <c r="S501" s="1601">
        <f t="shared" si="361"/>
        <v>700</v>
      </c>
      <c r="T501" s="1602"/>
      <c r="U501" s="1533"/>
      <c r="V501" s="1533"/>
      <c r="W501" s="1534"/>
      <c r="X501" s="1534"/>
      <c r="Y501" s="1534"/>
      <c r="Z501" s="1535"/>
      <c r="AA501" s="1534"/>
      <c r="AB501" s="1534"/>
      <c r="AC501" s="1603">
        <f t="shared" si="361"/>
        <v>3335.2999999999993</v>
      </c>
      <c r="AD501" s="1603">
        <f t="shared" si="361"/>
        <v>52</v>
      </c>
      <c r="AE501" s="1603">
        <f t="shared" si="361"/>
        <v>0</v>
      </c>
      <c r="AF501" s="1603">
        <f t="shared" si="361"/>
        <v>52</v>
      </c>
      <c r="AG501" s="1603">
        <f t="shared" si="361"/>
        <v>0</v>
      </c>
      <c r="AH501" s="1490">
        <f t="shared" si="350"/>
        <v>444.48</v>
      </c>
      <c r="AI501" s="1592">
        <f t="shared" si="361"/>
        <v>0</v>
      </c>
      <c r="AJ501" s="1592">
        <f t="shared" si="361"/>
        <v>0</v>
      </c>
      <c r="AK501" s="1592">
        <f t="shared" si="361"/>
        <v>0</v>
      </c>
      <c r="AL501" s="1636">
        <f t="shared" si="359"/>
        <v>0</v>
      </c>
      <c r="AM501" s="1592">
        <f t="shared" si="361"/>
        <v>0</v>
      </c>
      <c r="AN501" s="1706"/>
      <c r="AO501" s="1707">
        <f t="shared" si="361"/>
        <v>261.99999999999994</v>
      </c>
      <c r="AP501" s="1531">
        <f t="shared" si="361"/>
        <v>0</v>
      </c>
      <c r="AQ501" s="1531">
        <f t="shared" si="361"/>
        <v>0</v>
      </c>
      <c r="AR501" s="1531">
        <f t="shared" si="361"/>
        <v>0</v>
      </c>
      <c r="AS501" s="1535">
        <f t="shared" si="361"/>
        <v>256.89999999999998</v>
      </c>
      <c r="AT501" s="1531">
        <f t="shared" si="361"/>
        <v>0</v>
      </c>
      <c r="AU501" s="1531">
        <f t="shared" si="361"/>
        <v>0</v>
      </c>
      <c r="AV501" s="1531">
        <f t="shared" si="361"/>
        <v>0</v>
      </c>
      <c r="AW501" s="1535">
        <f t="shared" si="361"/>
        <v>251.5</v>
      </c>
      <c r="AX501" s="1531">
        <f t="shared" si="361"/>
        <v>0</v>
      </c>
      <c r="AY501" s="1531">
        <f t="shared" si="361"/>
        <v>0</v>
      </c>
      <c r="AZ501" s="1531">
        <f t="shared" si="361"/>
        <v>0</v>
      </c>
      <c r="BA501" s="1538">
        <f t="shared" si="361"/>
        <v>251.5</v>
      </c>
      <c r="BB501" s="1531">
        <f t="shared" si="361"/>
        <v>0</v>
      </c>
      <c r="BC501" s="1531">
        <f t="shared" si="361"/>
        <v>0</v>
      </c>
      <c r="BD501" s="1531">
        <f t="shared" si="361"/>
        <v>0</v>
      </c>
      <c r="BE501" s="1539">
        <f t="shared" si="361"/>
        <v>268.97000000000003</v>
      </c>
      <c r="BF501" s="1531">
        <f t="shared" si="361"/>
        <v>0</v>
      </c>
      <c r="BG501" s="1531">
        <f t="shared" si="361"/>
        <v>0</v>
      </c>
      <c r="BH501" s="1531">
        <f t="shared" si="361"/>
        <v>0</v>
      </c>
      <c r="BI501" s="1538">
        <f t="shared" si="361"/>
        <v>83.965000000000003</v>
      </c>
      <c r="BJ501" s="1531">
        <f t="shared" si="361"/>
        <v>0</v>
      </c>
      <c r="BK501" s="1531">
        <f t="shared" si="361"/>
        <v>0</v>
      </c>
      <c r="BL501" s="1531">
        <f t="shared" si="361"/>
        <v>0</v>
      </c>
      <c r="BM501" s="1538">
        <f t="shared" si="361"/>
        <v>425.73500000000001</v>
      </c>
      <c r="BN501" s="1531">
        <f t="shared" si="361"/>
        <v>0</v>
      </c>
      <c r="BO501" s="1531">
        <f t="shared" si="361"/>
        <v>0</v>
      </c>
      <c r="BP501" s="1531">
        <f t="shared" si="361"/>
        <v>0</v>
      </c>
      <c r="BQ501" s="1538">
        <f t="shared" si="361"/>
        <v>326.15000000000003</v>
      </c>
      <c r="BR501" s="1531">
        <f t="shared" si="361"/>
        <v>0</v>
      </c>
      <c r="BS501" s="1531">
        <f t="shared" si="361"/>
        <v>0</v>
      </c>
      <c r="BT501" s="1531">
        <f t="shared" si="361"/>
        <v>0</v>
      </c>
      <c r="BU501" s="1538">
        <f t="shared" si="361"/>
        <v>258.5</v>
      </c>
      <c r="BV501" s="1531">
        <f t="shared" si="361"/>
        <v>0</v>
      </c>
      <c r="BW501" s="1531">
        <f t="shared" si="361"/>
        <v>0</v>
      </c>
      <c r="BX501" s="1531">
        <f t="shared" si="361"/>
        <v>0</v>
      </c>
      <c r="BY501" s="1538">
        <f t="shared" si="361"/>
        <v>261.39999999999998</v>
      </c>
      <c r="BZ501" s="1531">
        <f t="shared" si="361"/>
        <v>0</v>
      </c>
      <c r="CA501" s="1531">
        <f t="shared" si="361"/>
        <v>10</v>
      </c>
      <c r="CB501" s="1531">
        <f t="shared" si="361"/>
        <v>0</v>
      </c>
      <c r="CC501" s="1538">
        <f t="shared" si="361"/>
        <v>244.2</v>
      </c>
      <c r="CD501" s="1531">
        <f t="shared" si="361"/>
        <v>0</v>
      </c>
      <c r="CE501" s="1531">
        <f t="shared" si="361"/>
        <v>0</v>
      </c>
      <c r="CF501" s="1531">
        <f t="shared" si="361"/>
        <v>0</v>
      </c>
      <c r="CG501" s="1705"/>
      <c r="CH501" s="1641">
        <f t="shared" si="349"/>
        <v>444.48</v>
      </c>
      <c r="CI501" s="1641">
        <f t="shared" si="349"/>
        <v>0</v>
      </c>
      <c r="CJ501" s="1641">
        <f t="shared" si="349"/>
        <v>42</v>
      </c>
      <c r="CK501" s="1641">
        <f t="shared" si="349"/>
        <v>0</v>
      </c>
      <c r="CL501" s="1902">
        <v>444.48</v>
      </c>
      <c r="CM501" s="1902">
        <v>0</v>
      </c>
      <c r="CN501" s="1889">
        <v>42</v>
      </c>
      <c r="CO501" s="1902">
        <v>0</v>
      </c>
      <c r="CP501" s="1538">
        <f>CP502+CP503+CP504+CP505+CP506+CP507+CP508+CP509+CP510+CP511+CP512+CP513+CP514</f>
        <v>0</v>
      </c>
      <c r="CQ501" s="1531">
        <f>CQ502+CQ503+CQ504+CQ505+CQ506+CQ507+CQ508+CQ509+CQ510+CQ511+CQ512+CQ513+CQ514</f>
        <v>0</v>
      </c>
      <c r="CR501" s="1531">
        <f>CR502+CR503+CR504+CR505+CR506+CR507+CR508+CR509+CR510+CR511+CR512+CR513+CR514</f>
        <v>0</v>
      </c>
      <c r="CS501" s="1531">
        <f>CS502+CS503+CS504+CS505+CS506+CS507+CS508+CS509+CS510+CS511+CS512+CS513+CS514</f>
        <v>0</v>
      </c>
    </row>
    <row r="502" spans="1:107" ht="15" thickBot="1" x14ac:dyDescent="0.2">
      <c r="A502" s="1541" t="s">
        <v>78</v>
      </c>
      <c r="B502" s="1523" t="s">
        <v>79</v>
      </c>
      <c r="C502" s="1523" t="s">
        <v>80</v>
      </c>
      <c r="D502" s="1523" t="s">
        <v>125</v>
      </c>
      <c r="E502" s="1523" t="s">
        <v>215</v>
      </c>
      <c r="F502" s="1523"/>
      <c r="G502" s="1667">
        <v>211</v>
      </c>
      <c r="H502" s="1501">
        <v>2317.8000000000002</v>
      </c>
      <c r="I502" s="1645"/>
      <c r="J502" s="1630"/>
      <c r="K502" s="1630"/>
      <c r="L502" s="1631"/>
      <c r="M502" s="1631"/>
      <c r="N502" s="1631"/>
      <c r="O502" s="1631"/>
      <c r="P502" s="1631"/>
      <c r="Q502" s="1631"/>
      <c r="R502" s="1631"/>
      <c r="S502" s="1631"/>
      <c r="T502" s="1632"/>
      <c r="U502" s="1633"/>
      <c r="V502" s="1633"/>
      <c r="W502" s="1634">
        <f>H502/12</f>
        <v>193.15</v>
      </c>
      <c r="X502" s="1634">
        <f>AO502</f>
        <v>193.2</v>
      </c>
      <c r="Y502" s="1634">
        <f>CC502</f>
        <v>130.5</v>
      </c>
      <c r="Z502" s="1635">
        <v>130.5</v>
      </c>
      <c r="AA502" s="1634"/>
      <c r="AB502" s="1634"/>
      <c r="AC502" s="1508">
        <f t="shared" ref="AC502:AC517" si="362">AO502+AS502+AW502+BA502+BE502+BI502+BM502+BQ502+BU502+BY502+CC502+CH502</f>
        <v>2317.8000000000002</v>
      </c>
      <c r="AD502" s="1509">
        <f t="shared" ref="AD502:AD517" si="363">AE502+AF502+AG502</f>
        <v>0</v>
      </c>
      <c r="AE502" s="1509">
        <f t="shared" ref="AE502:AG514" si="364">AP502+AT502+AX502+BB502+BF502+BJ502+BN502+BR502+BV502+BZ502+CD502+CI502</f>
        <v>0</v>
      </c>
      <c r="AF502" s="1509">
        <f t="shared" si="364"/>
        <v>0</v>
      </c>
      <c r="AG502" s="1509">
        <f t="shared" si="364"/>
        <v>0</v>
      </c>
      <c r="AH502" s="1490">
        <f t="shared" si="350"/>
        <v>197</v>
      </c>
      <c r="AI502" s="1636">
        <f t="shared" ref="AI502:AI514" si="365">H502-AC502</f>
        <v>0</v>
      </c>
      <c r="AJ502" s="1636">
        <f t="shared" ref="AJ502:AJ514" si="366">AK502+AL502+AM502</f>
        <v>0</v>
      </c>
      <c r="AK502" s="1636">
        <f t="shared" ref="AK502:AM517" si="367">I502-AE502</f>
        <v>0</v>
      </c>
      <c r="AL502" s="1636">
        <f t="shared" si="367"/>
        <v>0</v>
      </c>
      <c r="AM502" s="1636">
        <f t="shared" si="367"/>
        <v>0</v>
      </c>
      <c r="AN502" s="1637">
        <f>AI502/4</f>
        <v>0</v>
      </c>
      <c r="AO502" s="1722">
        <v>193.2</v>
      </c>
      <c r="AP502" s="1638"/>
      <c r="AQ502" s="1638"/>
      <c r="AR502" s="1638"/>
      <c r="AS502" s="1639">
        <v>193.2</v>
      </c>
      <c r="AT502" s="1638"/>
      <c r="AU502" s="1638"/>
      <c r="AV502" s="1638"/>
      <c r="AW502" s="1640">
        <v>193.2</v>
      </c>
      <c r="AX502" s="1640"/>
      <c r="AY502" s="1640"/>
      <c r="AZ502" s="1640"/>
      <c r="BA502" s="1641">
        <v>193.2</v>
      </c>
      <c r="BB502" s="1640"/>
      <c r="BC502" s="1640"/>
      <c r="BD502" s="1640"/>
      <c r="BE502" s="1641">
        <v>193.2</v>
      </c>
      <c r="BF502" s="1640"/>
      <c r="BG502" s="1640"/>
      <c r="BH502" s="1640"/>
      <c r="BI502" s="1641">
        <f>77.265</f>
        <v>77.265000000000001</v>
      </c>
      <c r="BJ502" s="1640"/>
      <c r="BK502" s="1640"/>
      <c r="BL502" s="1640"/>
      <c r="BM502" s="1641">
        <f>115.935+193.2</f>
        <v>309.13499999999999</v>
      </c>
      <c r="BN502" s="1640"/>
      <c r="BO502" s="1640"/>
      <c r="BP502" s="1640"/>
      <c r="BQ502" s="1641">
        <v>193.2</v>
      </c>
      <c r="BR502" s="1640"/>
      <c r="BS502" s="1640"/>
      <c r="BT502" s="1640"/>
      <c r="BU502" s="1641">
        <v>193.2</v>
      </c>
      <c r="BV502" s="1640"/>
      <c r="BW502" s="1640"/>
      <c r="BX502" s="1640"/>
      <c r="BY502" s="1641">
        <v>251.5</v>
      </c>
      <c r="BZ502" s="1640"/>
      <c r="CA502" s="1640"/>
      <c r="CB502" s="1640"/>
      <c r="CC502" s="1641">
        <v>130.5</v>
      </c>
      <c r="CD502" s="1640"/>
      <c r="CE502" s="1640"/>
      <c r="CF502" s="1640"/>
      <c r="CG502" s="1642"/>
      <c r="CH502" s="1641">
        <f t="shared" si="349"/>
        <v>197</v>
      </c>
      <c r="CI502" s="1641">
        <f t="shared" si="349"/>
        <v>0</v>
      </c>
      <c r="CJ502" s="1641">
        <f t="shared" si="349"/>
        <v>0</v>
      </c>
      <c r="CK502" s="1641">
        <f t="shared" si="349"/>
        <v>0</v>
      </c>
      <c r="CL502" s="1889">
        <v>197</v>
      </c>
      <c r="CM502" s="1889">
        <v>0</v>
      </c>
      <c r="CN502" s="1889">
        <v>0</v>
      </c>
      <c r="CO502" s="1889">
        <v>0</v>
      </c>
      <c r="CP502" s="1641"/>
      <c r="CQ502" s="1640"/>
      <c r="CR502" s="1640"/>
      <c r="CS502" s="1640"/>
      <c r="CX502" s="1558">
        <f>H502/12*10-AC502</f>
        <v>-386.30000000000018</v>
      </c>
      <c r="CY502" s="1558">
        <f>AI502/3</f>
        <v>0</v>
      </c>
      <c r="CZ502" s="1558">
        <f>H502/12</f>
        <v>193.15</v>
      </c>
      <c r="DA502" s="1559"/>
      <c r="DB502" s="1559"/>
      <c r="DC502" s="1559"/>
    </row>
    <row r="503" spans="1:107" ht="15" thickBot="1" x14ac:dyDescent="0.2">
      <c r="A503" s="1541" t="s">
        <v>103</v>
      </c>
      <c r="B503" s="1523" t="s">
        <v>79</v>
      </c>
      <c r="C503" s="1523" t="s">
        <v>80</v>
      </c>
      <c r="D503" s="1523" t="s">
        <v>125</v>
      </c>
      <c r="E503" s="1523" t="s">
        <v>215</v>
      </c>
      <c r="F503" s="1523"/>
      <c r="G503" s="1667">
        <v>212</v>
      </c>
      <c r="H503" s="1501">
        <v>0</v>
      </c>
      <c r="I503" s="1645"/>
      <c r="J503" s="1630"/>
      <c r="K503" s="1630"/>
      <c r="L503" s="1631"/>
      <c r="M503" s="1631"/>
      <c r="N503" s="1631"/>
      <c r="O503" s="1631"/>
      <c r="P503" s="1631"/>
      <c r="Q503" s="1631"/>
      <c r="R503" s="1631"/>
      <c r="S503" s="1631"/>
      <c r="T503" s="1632"/>
      <c r="U503" s="1633"/>
      <c r="V503" s="1633"/>
      <c r="W503" s="1634"/>
      <c r="X503" s="1634"/>
      <c r="Y503" s="1634"/>
      <c r="Z503" s="1635"/>
      <c r="AA503" s="1634"/>
      <c r="AB503" s="1634"/>
      <c r="AC503" s="1508">
        <f t="shared" si="362"/>
        <v>0</v>
      </c>
      <c r="AD503" s="1509">
        <f t="shared" si="363"/>
        <v>0</v>
      </c>
      <c r="AE503" s="1509">
        <f t="shared" si="364"/>
        <v>0</v>
      </c>
      <c r="AF503" s="1509">
        <f t="shared" si="364"/>
        <v>0</v>
      </c>
      <c r="AG503" s="1509">
        <f t="shared" si="364"/>
        <v>0</v>
      </c>
      <c r="AH503" s="1490">
        <f t="shared" si="350"/>
        <v>0</v>
      </c>
      <c r="AI503" s="1636">
        <f t="shared" si="365"/>
        <v>0</v>
      </c>
      <c r="AJ503" s="1636">
        <f t="shared" si="366"/>
        <v>0</v>
      </c>
      <c r="AK503" s="1636">
        <f t="shared" si="367"/>
        <v>0</v>
      </c>
      <c r="AL503" s="1636">
        <f t="shared" si="367"/>
        <v>0</v>
      </c>
      <c r="AM503" s="1636">
        <f t="shared" si="367"/>
        <v>0</v>
      </c>
      <c r="AN503" s="1637"/>
      <c r="AO503" s="1722">
        <v>0</v>
      </c>
      <c r="AP503" s="1638"/>
      <c r="AQ503" s="1638"/>
      <c r="AR503" s="1638"/>
      <c r="AS503" s="1639"/>
      <c r="AT503" s="1638"/>
      <c r="AU503" s="1638"/>
      <c r="AV503" s="1638"/>
      <c r="AW503" s="1640"/>
      <c r="AX503" s="1640"/>
      <c r="AY503" s="1640"/>
      <c r="AZ503" s="1640"/>
      <c r="BA503" s="1641"/>
      <c r="BB503" s="1640"/>
      <c r="BC503" s="1640"/>
      <c r="BD503" s="1640"/>
      <c r="BE503" s="1641"/>
      <c r="BF503" s="1640"/>
      <c r="BG503" s="1640"/>
      <c r="BH503" s="1640"/>
      <c r="BI503" s="1641"/>
      <c r="BJ503" s="1640"/>
      <c r="BK503" s="1640"/>
      <c r="BL503" s="1640"/>
      <c r="BM503" s="1641"/>
      <c r="BN503" s="1640"/>
      <c r="BO503" s="1640"/>
      <c r="BP503" s="1640"/>
      <c r="BQ503" s="1641"/>
      <c r="BR503" s="1640"/>
      <c r="BS503" s="1640"/>
      <c r="BT503" s="1640"/>
      <c r="BU503" s="1641"/>
      <c r="BV503" s="1640"/>
      <c r="BW503" s="1640"/>
      <c r="BX503" s="1640"/>
      <c r="BY503" s="1641"/>
      <c r="BZ503" s="1640"/>
      <c r="CA503" s="1640"/>
      <c r="CB503" s="1640"/>
      <c r="CC503" s="1641"/>
      <c r="CD503" s="1640"/>
      <c r="CE503" s="1640"/>
      <c r="CF503" s="1640"/>
      <c r="CG503" s="1642"/>
      <c r="CH503" s="1641">
        <f t="shared" si="349"/>
        <v>0</v>
      </c>
      <c r="CI503" s="1641">
        <f t="shared" si="349"/>
        <v>0</v>
      </c>
      <c r="CJ503" s="1641">
        <f t="shared" si="349"/>
        <v>0</v>
      </c>
      <c r="CK503" s="1641">
        <f t="shared" si="349"/>
        <v>0</v>
      </c>
      <c r="CL503" s="1889">
        <v>0</v>
      </c>
      <c r="CM503" s="1889">
        <v>0</v>
      </c>
      <c r="CN503" s="1889">
        <v>0</v>
      </c>
      <c r="CO503" s="1889">
        <v>0</v>
      </c>
      <c r="CP503" s="1641"/>
      <c r="CQ503" s="1640"/>
      <c r="CR503" s="1640"/>
      <c r="CS503" s="1640"/>
      <c r="CX503" s="1558"/>
      <c r="CY503" s="1558"/>
      <c r="CZ503" s="1558"/>
      <c r="DA503" s="1559"/>
      <c r="DB503" s="1559"/>
      <c r="DC503" s="1559"/>
    </row>
    <row r="504" spans="1:107" ht="15" thickBot="1" x14ac:dyDescent="0.2">
      <c r="A504" s="1541" t="s">
        <v>84</v>
      </c>
      <c r="B504" s="1523" t="s">
        <v>79</v>
      </c>
      <c r="C504" s="1523" t="s">
        <v>80</v>
      </c>
      <c r="D504" s="1523" t="s">
        <v>125</v>
      </c>
      <c r="E504" s="1523" t="s">
        <v>215</v>
      </c>
      <c r="F504" s="1523"/>
      <c r="G504" s="1667">
        <v>213</v>
      </c>
      <c r="H504" s="1501">
        <v>700</v>
      </c>
      <c r="I504" s="1645"/>
      <c r="J504" s="1630"/>
      <c r="K504" s="1630"/>
      <c r="L504" s="1631"/>
      <c r="M504" s="1631"/>
      <c r="N504" s="1631"/>
      <c r="O504" s="1631"/>
      <c r="P504" s="1631"/>
      <c r="Q504" s="1631"/>
      <c r="R504" s="1631"/>
      <c r="S504" s="1631"/>
      <c r="T504" s="1632"/>
      <c r="U504" s="1633"/>
      <c r="V504" s="1633"/>
      <c r="W504" s="1634">
        <f>H504/12</f>
        <v>58.333333333333336</v>
      </c>
      <c r="X504" s="1634">
        <f>AO504</f>
        <v>58.3</v>
      </c>
      <c r="Y504" s="1634">
        <f>CC504</f>
        <v>113.7</v>
      </c>
      <c r="Z504" s="1635">
        <v>113.7</v>
      </c>
      <c r="AA504" s="1634"/>
      <c r="AB504" s="1634"/>
      <c r="AC504" s="1508">
        <f t="shared" si="362"/>
        <v>700.00000000000011</v>
      </c>
      <c r="AD504" s="1509">
        <f t="shared" si="363"/>
        <v>0</v>
      </c>
      <c r="AE504" s="1509">
        <f t="shared" si="364"/>
        <v>0</v>
      </c>
      <c r="AF504" s="1509">
        <f t="shared" si="364"/>
        <v>0</v>
      </c>
      <c r="AG504" s="1509">
        <f t="shared" si="364"/>
        <v>0</v>
      </c>
      <c r="AH504" s="1490">
        <f t="shared" si="350"/>
        <v>61.6</v>
      </c>
      <c r="AI504" s="1636">
        <f t="shared" si="365"/>
        <v>0</v>
      </c>
      <c r="AJ504" s="1636">
        <f t="shared" si="366"/>
        <v>0</v>
      </c>
      <c r="AK504" s="1636">
        <f t="shared" si="367"/>
        <v>0</v>
      </c>
      <c r="AL504" s="1636">
        <f t="shared" si="367"/>
        <v>0</v>
      </c>
      <c r="AM504" s="1636">
        <f t="shared" si="367"/>
        <v>0</v>
      </c>
      <c r="AN504" s="1637">
        <f>AI504/4</f>
        <v>0</v>
      </c>
      <c r="AO504" s="1722">
        <v>58.3</v>
      </c>
      <c r="AP504" s="1638"/>
      <c r="AQ504" s="1638"/>
      <c r="AR504" s="1638"/>
      <c r="AS504" s="1639">
        <v>58.3</v>
      </c>
      <c r="AT504" s="1638"/>
      <c r="AU504" s="1638"/>
      <c r="AV504" s="1638"/>
      <c r="AW504" s="1640">
        <v>58.3</v>
      </c>
      <c r="AX504" s="1640"/>
      <c r="AY504" s="1640"/>
      <c r="AZ504" s="1640"/>
      <c r="BA504" s="1641">
        <v>58.3</v>
      </c>
      <c r="BB504" s="1640"/>
      <c r="BC504" s="1640"/>
      <c r="BD504" s="1640"/>
      <c r="BE504" s="1641">
        <v>58.3</v>
      </c>
      <c r="BF504" s="1640"/>
      <c r="BG504" s="1640"/>
      <c r="BH504" s="1640"/>
      <c r="BI504" s="1641"/>
      <c r="BJ504" s="1640"/>
      <c r="BK504" s="1640"/>
      <c r="BL504" s="1640"/>
      <c r="BM504" s="1641">
        <f>58.3+58.3</f>
        <v>116.6</v>
      </c>
      <c r="BN504" s="1640"/>
      <c r="BO504" s="1640"/>
      <c r="BP504" s="1640"/>
      <c r="BQ504" s="1641">
        <v>58.3</v>
      </c>
      <c r="BR504" s="1640"/>
      <c r="BS504" s="1640"/>
      <c r="BT504" s="1640"/>
      <c r="BU504" s="1641">
        <v>58.3</v>
      </c>
      <c r="BV504" s="1640"/>
      <c r="BW504" s="1640"/>
      <c r="BX504" s="1640"/>
      <c r="BY504" s="1641"/>
      <c r="BZ504" s="1640"/>
      <c r="CA504" s="1640"/>
      <c r="CB504" s="1640"/>
      <c r="CC504" s="1641">
        <v>113.7</v>
      </c>
      <c r="CD504" s="1640"/>
      <c r="CE504" s="1640"/>
      <c r="CF504" s="1640"/>
      <c r="CG504" s="1642"/>
      <c r="CH504" s="1641">
        <f t="shared" si="349"/>
        <v>61.6</v>
      </c>
      <c r="CI504" s="1641">
        <f t="shared" si="349"/>
        <v>0</v>
      </c>
      <c r="CJ504" s="1641">
        <f t="shared" si="349"/>
        <v>0</v>
      </c>
      <c r="CK504" s="1641">
        <f t="shared" si="349"/>
        <v>0</v>
      </c>
      <c r="CL504" s="1889">
        <v>61.6</v>
      </c>
      <c r="CM504" s="1889">
        <v>0</v>
      </c>
      <c r="CN504" s="1889">
        <v>0</v>
      </c>
      <c r="CO504" s="1889">
        <v>0</v>
      </c>
      <c r="CP504" s="1641"/>
      <c r="CQ504" s="1640"/>
      <c r="CR504" s="1640"/>
      <c r="CS504" s="1640"/>
      <c r="CX504" s="1558">
        <f>H504/12*10-AC504</f>
        <v>-116.66666666666674</v>
      </c>
      <c r="CY504" s="1558">
        <f>AI504/3</f>
        <v>0</v>
      </c>
      <c r="CZ504" s="1558">
        <f>H504/12</f>
        <v>58.333333333333336</v>
      </c>
      <c r="DA504" s="1559"/>
      <c r="DB504" s="1559"/>
      <c r="DC504" s="1559"/>
    </row>
    <row r="505" spans="1:107" ht="15" thickBot="1" x14ac:dyDescent="0.2">
      <c r="A505" s="1541" t="s">
        <v>85</v>
      </c>
      <c r="B505" s="1523" t="s">
        <v>79</v>
      </c>
      <c r="C505" s="1523" t="s">
        <v>80</v>
      </c>
      <c r="D505" s="1523" t="s">
        <v>125</v>
      </c>
      <c r="E505" s="1523" t="s">
        <v>215</v>
      </c>
      <c r="F505" s="1523"/>
      <c r="G505" s="1667">
        <v>221</v>
      </c>
      <c r="H505" s="1501">
        <f>10.3+10.4</f>
        <v>20.700000000000003</v>
      </c>
      <c r="I505" s="1645"/>
      <c r="J505" s="1630"/>
      <c r="K505" s="1630"/>
      <c r="L505" s="1631"/>
      <c r="M505" s="1631"/>
      <c r="N505" s="1631"/>
      <c r="O505" s="1631"/>
      <c r="P505" s="1631"/>
      <c r="Q505" s="1631"/>
      <c r="R505" s="1631"/>
      <c r="S505" s="1631"/>
      <c r="T505" s="1632"/>
      <c r="U505" s="1633"/>
      <c r="V505" s="1633"/>
      <c r="W505" s="1634"/>
      <c r="X505" s="1634"/>
      <c r="Y505" s="1634"/>
      <c r="Z505" s="1635"/>
      <c r="AA505" s="1634"/>
      <c r="AB505" s="1634"/>
      <c r="AC505" s="1508">
        <f t="shared" si="362"/>
        <v>20.7</v>
      </c>
      <c r="AD505" s="1509">
        <f t="shared" si="363"/>
        <v>0</v>
      </c>
      <c r="AE505" s="1509">
        <f t="shared" si="364"/>
        <v>0</v>
      </c>
      <c r="AF505" s="1509">
        <f t="shared" si="364"/>
        <v>0</v>
      </c>
      <c r="AG505" s="1509">
        <f t="shared" si="364"/>
        <v>0</v>
      </c>
      <c r="AH505" s="1490">
        <f t="shared" si="350"/>
        <v>19</v>
      </c>
      <c r="AI505" s="1636">
        <f t="shared" si="365"/>
        <v>0</v>
      </c>
      <c r="AJ505" s="1636">
        <f t="shared" si="366"/>
        <v>0</v>
      </c>
      <c r="AK505" s="1636">
        <f t="shared" si="367"/>
        <v>0</v>
      </c>
      <c r="AL505" s="1636">
        <f t="shared" si="367"/>
        <v>0</v>
      </c>
      <c r="AM505" s="1636">
        <f t="shared" si="367"/>
        <v>0</v>
      </c>
      <c r="AN505" s="1637"/>
      <c r="AO505" s="1722">
        <v>1.7</v>
      </c>
      <c r="AP505" s="1638"/>
      <c r="AQ505" s="1638"/>
      <c r="AR505" s="1638"/>
      <c r="AS505" s="1639"/>
      <c r="AT505" s="1638"/>
      <c r="AU505" s="1638"/>
      <c r="AV505" s="1638"/>
      <c r="AW505" s="1639"/>
      <c r="AX505" s="1640"/>
      <c r="AY505" s="1640"/>
      <c r="AZ505" s="1640"/>
      <c r="BA505" s="1641"/>
      <c r="BB505" s="1640"/>
      <c r="BC505" s="1640"/>
      <c r="BD505" s="1640"/>
      <c r="BE505" s="1644"/>
      <c r="BF505" s="1640"/>
      <c r="BG505" s="1640"/>
      <c r="BH505" s="1640"/>
      <c r="BI505" s="1641"/>
      <c r="BJ505" s="1640"/>
      <c r="BK505" s="1640"/>
      <c r="BL505" s="1640"/>
      <c r="BM505" s="1641"/>
      <c r="BN505" s="1640"/>
      <c r="BO505" s="1640"/>
      <c r="BP505" s="1640"/>
      <c r="BQ505" s="1641"/>
      <c r="BR505" s="1640"/>
      <c r="BS505" s="1640"/>
      <c r="BT505" s="1640"/>
      <c r="BU505" s="1641"/>
      <c r="BV505" s="1640"/>
      <c r="BW505" s="1640"/>
      <c r="BX505" s="1640"/>
      <c r="BY505" s="1641"/>
      <c r="BZ505" s="1640"/>
      <c r="CA505" s="1640"/>
      <c r="CB505" s="1640"/>
      <c r="CC505" s="1641"/>
      <c r="CD505" s="1640"/>
      <c r="CE505" s="1640"/>
      <c r="CF505" s="1640"/>
      <c r="CG505" s="1642"/>
      <c r="CH505" s="1641">
        <f t="shared" si="349"/>
        <v>19</v>
      </c>
      <c r="CI505" s="1641">
        <f t="shared" si="349"/>
        <v>0</v>
      </c>
      <c r="CJ505" s="1641">
        <f t="shared" si="349"/>
        <v>0</v>
      </c>
      <c r="CK505" s="1641">
        <f t="shared" si="349"/>
        <v>0</v>
      </c>
      <c r="CL505" s="1889">
        <v>19</v>
      </c>
      <c r="CM505" s="1889">
        <v>0</v>
      </c>
      <c r="CN505" s="1889">
        <v>0</v>
      </c>
      <c r="CO505" s="1889">
        <v>0</v>
      </c>
      <c r="CP505" s="1641"/>
      <c r="CQ505" s="1640"/>
      <c r="CR505" s="1640"/>
      <c r="CS505" s="1640"/>
    </row>
    <row r="506" spans="1:107" ht="15" customHeight="1" thickBot="1" x14ac:dyDescent="0.2">
      <c r="A506" s="1541" t="s">
        <v>86</v>
      </c>
      <c r="B506" s="1523" t="s">
        <v>79</v>
      </c>
      <c r="C506" s="1523" t="s">
        <v>80</v>
      </c>
      <c r="D506" s="1523" t="s">
        <v>125</v>
      </c>
      <c r="E506" s="1523" t="s">
        <v>215</v>
      </c>
      <c r="F506" s="1523"/>
      <c r="G506" s="1667">
        <v>222</v>
      </c>
      <c r="H506" s="1501">
        <v>0</v>
      </c>
      <c r="I506" s="1645"/>
      <c r="J506" s="1630"/>
      <c r="K506" s="1630"/>
      <c r="L506" s="1631"/>
      <c r="M506" s="1631"/>
      <c r="N506" s="1631"/>
      <c r="O506" s="1631"/>
      <c r="P506" s="1631"/>
      <c r="Q506" s="1631"/>
      <c r="R506" s="1631"/>
      <c r="S506" s="1631"/>
      <c r="T506" s="1632"/>
      <c r="U506" s="1633"/>
      <c r="V506" s="1633"/>
      <c r="W506" s="1634"/>
      <c r="X506" s="1634"/>
      <c r="Y506" s="1634"/>
      <c r="Z506" s="1635"/>
      <c r="AA506" s="1634"/>
      <c r="AB506" s="1634"/>
      <c r="AC506" s="1508">
        <f t="shared" si="362"/>
        <v>0</v>
      </c>
      <c r="AD506" s="1509">
        <f t="shared" si="363"/>
        <v>0</v>
      </c>
      <c r="AE506" s="1509">
        <f t="shared" si="364"/>
        <v>0</v>
      </c>
      <c r="AF506" s="1509">
        <f t="shared" si="364"/>
        <v>0</v>
      </c>
      <c r="AG506" s="1509">
        <f t="shared" si="364"/>
        <v>0</v>
      </c>
      <c r="AH506" s="1490">
        <f t="shared" si="350"/>
        <v>0</v>
      </c>
      <c r="AI506" s="1636">
        <f t="shared" si="365"/>
        <v>0</v>
      </c>
      <c r="AJ506" s="1636">
        <f t="shared" si="366"/>
        <v>0</v>
      </c>
      <c r="AK506" s="1636">
        <f t="shared" si="367"/>
        <v>0</v>
      </c>
      <c r="AL506" s="1636">
        <f t="shared" si="367"/>
        <v>0</v>
      </c>
      <c r="AM506" s="1636">
        <f t="shared" si="367"/>
        <v>0</v>
      </c>
      <c r="AN506" s="1637"/>
      <c r="AO506" s="1722">
        <v>0</v>
      </c>
      <c r="AP506" s="1638"/>
      <c r="AQ506" s="1638"/>
      <c r="AR506" s="1638"/>
      <c r="AS506" s="1639"/>
      <c r="AT506" s="1638"/>
      <c r="AU506" s="1638"/>
      <c r="AV506" s="1638"/>
      <c r="AW506" s="1639"/>
      <c r="AX506" s="1640"/>
      <c r="AY506" s="1640"/>
      <c r="AZ506" s="1640"/>
      <c r="BA506" s="1641"/>
      <c r="BB506" s="1640"/>
      <c r="BC506" s="1640"/>
      <c r="BD506" s="1640"/>
      <c r="BE506" s="1644"/>
      <c r="BF506" s="1640"/>
      <c r="BG506" s="1640"/>
      <c r="BH506" s="1640"/>
      <c r="BI506" s="1641"/>
      <c r="BJ506" s="1640"/>
      <c r="BK506" s="1640"/>
      <c r="BL506" s="1640"/>
      <c r="BM506" s="1641"/>
      <c r="BN506" s="1640"/>
      <c r="BO506" s="1640"/>
      <c r="BP506" s="1640"/>
      <c r="BQ506" s="1641"/>
      <c r="BR506" s="1640"/>
      <c r="BS506" s="1640"/>
      <c r="BT506" s="1640"/>
      <c r="BU506" s="1641"/>
      <c r="BV506" s="1640"/>
      <c r="BW506" s="1640"/>
      <c r="BX506" s="1640"/>
      <c r="BY506" s="1641"/>
      <c r="BZ506" s="1640"/>
      <c r="CA506" s="1640"/>
      <c r="CB506" s="1640"/>
      <c r="CC506" s="1641"/>
      <c r="CD506" s="1640"/>
      <c r="CE506" s="1640"/>
      <c r="CF506" s="1640"/>
      <c r="CG506" s="1642"/>
      <c r="CH506" s="1641">
        <f t="shared" si="349"/>
        <v>0</v>
      </c>
      <c r="CI506" s="1641">
        <f t="shared" si="349"/>
        <v>0</v>
      </c>
      <c r="CJ506" s="1641">
        <f t="shared" si="349"/>
        <v>0</v>
      </c>
      <c r="CK506" s="1641">
        <f t="shared" si="349"/>
        <v>0</v>
      </c>
      <c r="CL506" s="1889">
        <v>0</v>
      </c>
      <c r="CM506" s="1889">
        <v>0</v>
      </c>
      <c r="CN506" s="1889">
        <v>0</v>
      </c>
      <c r="CO506" s="1889">
        <v>0</v>
      </c>
      <c r="CP506" s="1641"/>
      <c r="CQ506" s="1640"/>
      <c r="CR506" s="1640"/>
      <c r="CS506" s="1640"/>
    </row>
    <row r="507" spans="1:107" ht="15" thickBot="1" x14ac:dyDescent="0.2">
      <c r="A507" s="1541" t="s">
        <v>87</v>
      </c>
      <c r="B507" s="1523" t="s">
        <v>79</v>
      </c>
      <c r="C507" s="1523" t="s">
        <v>80</v>
      </c>
      <c r="D507" s="1523" t="s">
        <v>125</v>
      </c>
      <c r="E507" s="1523" t="s">
        <v>215</v>
      </c>
      <c r="F507" s="1523"/>
      <c r="G507" s="1667">
        <v>223</v>
      </c>
      <c r="H507" s="1501">
        <v>64.7</v>
      </c>
      <c r="I507" s="1645"/>
      <c r="J507" s="1630"/>
      <c r="K507" s="1630"/>
      <c r="L507" s="1631"/>
      <c r="M507" s="1631"/>
      <c r="N507" s="1631"/>
      <c r="O507" s="1631"/>
      <c r="P507" s="1631"/>
      <c r="Q507" s="1631"/>
      <c r="R507" s="1631"/>
      <c r="S507" s="1631"/>
      <c r="T507" s="1632"/>
      <c r="U507" s="1633"/>
      <c r="V507" s="1633"/>
      <c r="W507" s="1634"/>
      <c r="X507" s="1634"/>
      <c r="Y507" s="1634"/>
      <c r="Z507" s="1635"/>
      <c r="AA507" s="1634"/>
      <c r="AB507" s="1634"/>
      <c r="AC507" s="1508">
        <f t="shared" si="362"/>
        <v>64.7</v>
      </c>
      <c r="AD507" s="1509">
        <f t="shared" si="363"/>
        <v>0</v>
      </c>
      <c r="AE507" s="1509">
        <f t="shared" si="364"/>
        <v>0</v>
      </c>
      <c r="AF507" s="1509">
        <f t="shared" si="364"/>
        <v>0</v>
      </c>
      <c r="AG507" s="1509">
        <f t="shared" si="364"/>
        <v>0</v>
      </c>
      <c r="AH507" s="1490">
        <f t="shared" si="350"/>
        <v>9.33</v>
      </c>
      <c r="AI507" s="1636">
        <f t="shared" si="365"/>
        <v>0</v>
      </c>
      <c r="AJ507" s="1636">
        <f t="shared" si="366"/>
        <v>0</v>
      </c>
      <c r="AK507" s="1636">
        <f t="shared" si="367"/>
        <v>0</v>
      </c>
      <c r="AL507" s="1636">
        <f t="shared" si="367"/>
        <v>0</v>
      </c>
      <c r="AM507" s="1636">
        <f t="shared" si="367"/>
        <v>0</v>
      </c>
      <c r="AN507" s="1637"/>
      <c r="AO507" s="1722">
        <v>5.4</v>
      </c>
      <c r="AP507" s="1638"/>
      <c r="AQ507" s="1638"/>
      <c r="AR507" s="1638"/>
      <c r="AS507" s="1639">
        <v>5.4</v>
      </c>
      <c r="AT507" s="1638"/>
      <c r="AU507" s="1638"/>
      <c r="AV507" s="1638"/>
      <c r="AW507" s="1639"/>
      <c r="AX507" s="1640"/>
      <c r="AY507" s="1640"/>
      <c r="AZ507" s="1640"/>
      <c r="BA507" s="1641"/>
      <c r="BB507" s="1640"/>
      <c r="BC507" s="1640"/>
      <c r="BD507" s="1640"/>
      <c r="BE507" s="1644">
        <v>13.37</v>
      </c>
      <c r="BF507" s="1640"/>
      <c r="BG507" s="1640"/>
      <c r="BH507" s="1640"/>
      <c r="BI507" s="1641">
        <v>6.7</v>
      </c>
      <c r="BJ507" s="1640"/>
      <c r="BK507" s="1640"/>
      <c r="BL507" s="1640"/>
      <c r="BM507" s="1641"/>
      <c r="BN507" s="1640"/>
      <c r="BO507" s="1640"/>
      <c r="BP507" s="1640"/>
      <c r="BQ507" s="1641">
        <v>14.6</v>
      </c>
      <c r="BR507" s="1640"/>
      <c r="BS507" s="1640"/>
      <c r="BT507" s="1640"/>
      <c r="BU507" s="1641"/>
      <c r="BV507" s="1640"/>
      <c r="BW507" s="1640"/>
      <c r="BX507" s="1640"/>
      <c r="BY507" s="1641">
        <v>9.9</v>
      </c>
      <c r="BZ507" s="1640"/>
      <c r="CA507" s="1640"/>
      <c r="CB507" s="1640"/>
      <c r="CC507" s="1641"/>
      <c r="CD507" s="1640"/>
      <c r="CE507" s="1640"/>
      <c r="CF507" s="1640"/>
      <c r="CG507" s="1642"/>
      <c r="CH507" s="1641">
        <f t="shared" si="349"/>
        <v>9.33</v>
      </c>
      <c r="CI507" s="1641">
        <f t="shared" si="349"/>
        <v>0</v>
      </c>
      <c r="CJ507" s="1641">
        <f t="shared" si="349"/>
        <v>0</v>
      </c>
      <c r="CK507" s="1641">
        <f t="shared" si="349"/>
        <v>0</v>
      </c>
      <c r="CL507" s="1889">
        <v>9.33</v>
      </c>
      <c r="CM507" s="1889">
        <v>0</v>
      </c>
      <c r="CN507" s="1889">
        <v>0</v>
      </c>
      <c r="CO507" s="1889">
        <v>0</v>
      </c>
      <c r="CP507" s="1641"/>
      <c r="CQ507" s="1640"/>
      <c r="CR507" s="1640"/>
      <c r="CS507" s="1640"/>
    </row>
    <row r="508" spans="1:107" ht="15" thickBot="1" x14ac:dyDescent="0.2">
      <c r="A508" s="1541" t="s">
        <v>134</v>
      </c>
      <c r="B508" s="1523" t="s">
        <v>79</v>
      </c>
      <c r="C508" s="1523" t="s">
        <v>80</v>
      </c>
      <c r="D508" s="1523" t="s">
        <v>125</v>
      </c>
      <c r="E508" s="1523" t="s">
        <v>215</v>
      </c>
      <c r="F508" s="1523"/>
      <c r="G508" s="1667">
        <v>224</v>
      </c>
      <c r="H508" s="1501">
        <v>0</v>
      </c>
      <c r="I508" s="1645"/>
      <c r="J508" s="1630"/>
      <c r="K508" s="1630"/>
      <c r="L508" s="1631"/>
      <c r="M508" s="1631"/>
      <c r="N508" s="1631"/>
      <c r="O508" s="1631"/>
      <c r="P508" s="1631"/>
      <c r="Q508" s="1631"/>
      <c r="R508" s="1631"/>
      <c r="S508" s="1631"/>
      <c r="T508" s="1632"/>
      <c r="U508" s="1633"/>
      <c r="V508" s="1633"/>
      <c r="W508" s="1634"/>
      <c r="X508" s="1634"/>
      <c r="Y508" s="1634"/>
      <c r="Z508" s="1635"/>
      <c r="AA508" s="1634"/>
      <c r="AB508" s="1634"/>
      <c r="AC508" s="1508">
        <f t="shared" si="362"/>
        <v>0</v>
      </c>
      <c r="AD508" s="1509">
        <f t="shared" si="363"/>
        <v>0</v>
      </c>
      <c r="AE508" s="1509">
        <f t="shared" si="364"/>
        <v>0</v>
      </c>
      <c r="AF508" s="1509">
        <f t="shared" si="364"/>
        <v>0</v>
      </c>
      <c r="AG508" s="1509">
        <f t="shared" si="364"/>
        <v>0</v>
      </c>
      <c r="AH508" s="1490">
        <f t="shared" si="350"/>
        <v>0</v>
      </c>
      <c r="AI508" s="1636">
        <f t="shared" si="365"/>
        <v>0</v>
      </c>
      <c r="AJ508" s="1636">
        <f t="shared" si="366"/>
        <v>0</v>
      </c>
      <c r="AK508" s="1636">
        <f t="shared" si="367"/>
        <v>0</v>
      </c>
      <c r="AL508" s="1636">
        <f t="shared" si="367"/>
        <v>0</v>
      </c>
      <c r="AM508" s="1636">
        <f t="shared" si="367"/>
        <v>0</v>
      </c>
      <c r="AN508" s="1637"/>
      <c r="AO508" s="1722">
        <v>0</v>
      </c>
      <c r="AP508" s="1638"/>
      <c r="AQ508" s="1638"/>
      <c r="AR508" s="1638"/>
      <c r="AS508" s="1639"/>
      <c r="AT508" s="1638"/>
      <c r="AU508" s="1638"/>
      <c r="AV508" s="1638"/>
      <c r="AW508" s="1639"/>
      <c r="AX508" s="1640"/>
      <c r="AY508" s="1640"/>
      <c r="AZ508" s="1640"/>
      <c r="BA508" s="1641"/>
      <c r="BB508" s="1640"/>
      <c r="BC508" s="1640"/>
      <c r="BD508" s="1640"/>
      <c r="BE508" s="1644"/>
      <c r="BF508" s="1640"/>
      <c r="BG508" s="1640"/>
      <c r="BH508" s="1640"/>
      <c r="BI508" s="1641"/>
      <c r="BJ508" s="1640"/>
      <c r="BK508" s="1640"/>
      <c r="BL508" s="1640"/>
      <c r="BM508" s="1641"/>
      <c r="BN508" s="1640"/>
      <c r="BO508" s="1640"/>
      <c r="BP508" s="1640"/>
      <c r="BQ508" s="1641"/>
      <c r="BR508" s="1640"/>
      <c r="BS508" s="1640"/>
      <c r="BT508" s="1640"/>
      <c r="BU508" s="1641"/>
      <c r="BV508" s="1640"/>
      <c r="BW508" s="1640"/>
      <c r="BX508" s="1640"/>
      <c r="BY508" s="1641"/>
      <c r="BZ508" s="1640"/>
      <c r="CA508" s="1640"/>
      <c r="CB508" s="1640"/>
      <c r="CC508" s="1641"/>
      <c r="CD508" s="1640"/>
      <c r="CE508" s="1640"/>
      <c r="CF508" s="1640"/>
      <c r="CG508" s="1642"/>
      <c r="CH508" s="1641">
        <f t="shared" si="349"/>
        <v>0</v>
      </c>
      <c r="CI508" s="1641">
        <f t="shared" si="349"/>
        <v>0</v>
      </c>
      <c r="CJ508" s="1641">
        <f t="shared" si="349"/>
        <v>0</v>
      </c>
      <c r="CK508" s="1641">
        <f t="shared" si="349"/>
        <v>0</v>
      </c>
      <c r="CL508" s="1889">
        <v>0</v>
      </c>
      <c r="CM508" s="1889">
        <v>0</v>
      </c>
      <c r="CN508" s="1889">
        <v>0</v>
      </c>
      <c r="CO508" s="1889">
        <v>0</v>
      </c>
      <c r="CP508" s="1641"/>
      <c r="CQ508" s="1640"/>
      <c r="CR508" s="1640"/>
      <c r="CS508" s="1640"/>
    </row>
    <row r="509" spans="1:107" ht="15" thickBot="1" x14ac:dyDescent="0.2">
      <c r="A509" s="1541" t="s">
        <v>90</v>
      </c>
      <c r="B509" s="1523" t="s">
        <v>79</v>
      </c>
      <c r="C509" s="1523" t="s">
        <v>80</v>
      </c>
      <c r="D509" s="1523" t="s">
        <v>125</v>
      </c>
      <c r="E509" s="1523" t="s">
        <v>215</v>
      </c>
      <c r="F509" s="1523"/>
      <c r="G509" s="1667">
        <v>225</v>
      </c>
      <c r="H509" s="1501">
        <f>15.9+4+5+2+3.2+25</f>
        <v>55.099999999999994</v>
      </c>
      <c r="I509" s="1645"/>
      <c r="J509" s="1630">
        <f>61.48-V509</f>
        <v>52</v>
      </c>
      <c r="K509" s="1630"/>
      <c r="L509" s="1631"/>
      <c r="M509" s="1631"/>
      <c r="N509" s="1631"/>
      <c r="O509" s="1631"/>
      <c r="P509" s="1631"/>
      <c r="Q509" s="1631"/>
      <c r="R509" s="1631"/>
      <c r="S509" s="1631"/>
      <c r="T509" s="1632"/>
      <c r="U509" s="1633"/>
      <c r="V509" s="1633">
        <v>9.48</v>
      </c>
      <c r="W509" s="1634"/>
      <c r="X509" s="1634"/>
      <c r="Y509" s="1634"/>
      <c r="Z509" s="1635"/>
      <c r="AA509" s="1634"/>
      <c r="AB509" s="1634"/>
      <c r="AC509" s="1508">
        <f t="shared" si="362"/>
        <v>55.1</v>
      </c>
      <c r="AD509" s="1509">
        <f t="shared" si="363"/>
        <v>52</v>
      </c>
      <c r="AE509" s="1509">
        <f t="shared" si="364"/>
        <v>0</v>
      </c>
      <c r="AF509" s="1509">
        <f t="shared" si="364"/>
        <v>52</v>
      </c>
      <c r="AG509" s="1509">
        <f t="shared" si="364"/>
        <v>0</v>
      </c>
      <c r="AH509" s="1490">
        <f t="shared" si="350"/>
        <v>30.1</v>
      </c>
      <c r="AI509" s="1636">
        <f t="shared" si="365"/>
        <v>0</v>
      </c>
      <c r="AJ509" s="1636">
        <f t="shared" si="366"/>
        <v>0</v>
      </c>
      <c r="AK509" s="1636">
        <f t="shared" si="367"/>
        <v>0</v>
      </c>
      <c r="AL509" s="1636">
        <f t="shared" si="367"/>
        <v>0</v>
      </c>
      <c r="AM509" s="1636">
        <f t="shared" si="367"/>
        <v>0</v>
      </c>
      <c r="AN509" s="1637"/>
      <c r="AO509" s="1723"/>
      <c r="AP509" s="1638"/>
      <c r="AQ509" s="1638"/>
      <c r="AR509" s="1638"/>
      <c r="AS509" s="1639"/>
      <c r="AT509" s="1638"/>
      <c r="AU509" s="1638"/>
      <c r="AV509" s="1638"/>
      <c r="AW509" s="1639"/>
      <c r="AX509" s="1640"/>
      <c r="AY509" s="1640"/>
      <c r="AZ509" s="1640"/>
      <c r="BA509" s="1641"/>
      <c r="BB509" s="1640"/>
      <c r="BC509" s="1640"/>
      <c r="BD509" s="1640"/>
      <c r="BE509" s="1644"/>
      <c r="BF509" s="1640"/>
      <c r="BG509" s="1640"/>
      <c r="BH509" s="1640"/>
      <c r="BI509" s="1641"/>
      <c r="BJ509" s="1640"/>
      <c r="BK509" s="1640"/>
      <c r="BL509" s="1640"/>
      <c r="BM509" s="1641"/>
      <c r="BN509" s="1640"/>
      <c r="BO509" s="1640"/>
      <c r="BP509" s="1640"/>
      <c r="BQ509" s="1641">
        <v>25</v>
      </c>
      <c r="BR509" s="1640"/>
      <c r="BS509" s="1640"/>
      <c r="BT509" s="1640"/>
      <c r="BU509" s="1641"/>
      <c r="BV509" s="1640"/>
      <c r="BW509" s="1640"/>
      <c r="BX509" s="1640"/>
      <c r="BY509" s="1641"/>
      <c r="BZ509" s="1640"/>
      <c r="CA509" s="1640">
        <v>10</v>
      </c>
      <c r="CB509" s="1640"/>
      <c r="CC509" s="1641"/>
      <c r="CD509" s="1640"/>
      <c r="CE509" s="1640"/>
      <c r="CF509" s="1640"/>
      <c r="CG509" s="1642"/>
      <c r="CH509" s="1641">
        <f t="shared" si="349"/>
        <v>30.1</v>
      </c>
      <c r="CI509" s="1641">
        <f t="shared" si="349"/>
        <v>0</v>
      </c>
      <c r="CJ509" s="1641">
        <f t="shared" si="349"/>
        <v>42</v>
      </c>
      <c r="CK509" s="1641">
        <f t="shared" si="349"/>
        <v>0</v>
      </c>
      <c r="CL509" s="1889">
        <v>30.1</v>
      </c>
      <c r="CM509" s="1889">
        <v>0</v>
      </c>
      <c r="CN509" s="1889">
        <v>42</v>
      </c>
      <c r="CO509" s="1889">
        <v>0</v>
      </c>
      <c r="CP509" s="1641"/>
      <c r="CQ509" s="1640"/>
      <c r="CR509" s="1640"/>
      <c r="CS509" s="1640"/>
    </row>
    <row r="510" spans="1:107" ht="15" thickBot="1" x14ac:dyDescent="0.2">
      <c r="A510" s="1541" t="s">
        <v>91</v>
      </c>
      <c r="B510" s="1523" t="s">
        <v>79</v>
      </c>
      <c r="C510" s="1523" t="s">
        <v>80</v>
      </c>
      <c r="D510" s="1523" t="s">
        <v>125</v>
      </c>
      <c r="E510" s="1523" t="s">
        <v>215</v>
      </c>
      <c r="F510" s="1523"/>
      <c r="G510" s="1667">
        <v>226</v>
      </c>
      <c r="H510" s="1501">
        <f>35.046+13+30</f>
        <v>78.045999999999992</v>
      </c>
      <c r="I510" s="1645"/>
      <c r="J510" s="1630"/>
      <c r="K510" s="1630"/>
      <c r="L510" s="1631"/>
      <c r="M510" s="1631"/>
      <c r="N510" s="1631">
        <v>300</v>
      </c>
      <c r="O510" s="1631">
        <v>32.178750000000001</v>
      </c>
      <c r="P510" s="1631"/>
      <c r="Q510" s="1631"/>
      <c r="R510" s="1631"/>
      <c r="S510" s="1631">
        <v>700</v>
      </c>
      <c r="T510" s="1632"/>
      <c r="U510" s="1633"/>
      <c r="V510" s="1633"/>
      <c r="W510" s="1634"/>
      <c r="X510" s="1634"/>
      <c r="Y510" s="1634"/>
      <c r="Z510" s="1635"/>
      <c r="AA510" s="1634"/>
      <c r="AB510" s="1634"/>
      <c r="AC510" s="1508">
        <f t="shared" si="362"/>
        <v>78.045999999999992</v>
      </c>
      <c r="AD510" s="1509">
        <f t="shared" si="363"/>
        <v>0</v>
      </c>
      <c r="AE510" s="1509">
        <f t="shared" si="364"/>
        <v>0</v>
      </c>
      <c r="AF510" s="1509">
        <f t="shared" si="364"/>
        <v>0</v>
      </c>
      <c r="AG510" s="1509">
        <f t="shared" si="364"/>
        <v>0</v>
      </c>
      <c r="AH510" s="1490">
        <f t="shared" si="350"/>
        <v>75.174750000000003</v>
      </c>
      <c r="AI510" s="1636">
        <f t="shared" si="365"/>
        <v>0</v>
      </c>
      <c r="AJ510" s="1636">
        <f t="shared" si="366"/>
        <v>0</v>
      </c>
      <c r="AK510" s="1636">
        <f t="shared" si="367"/>
        <v>0</v>
      </c>
      <c r="AL510" s="1636">
        <f t="shared" si="367"/>
        <v>0</v>
      </c>
      <c r="AM510" s="1636">
        <f t="shared" si="367"/>
        <v>0</v>
      </c>
      <c r="AN510" s="1637"/>
      <c r="AO510" s="1723"/>
      <c r="AP510" s="1638"/>
      <c r="AQ510" s="1638"/>
      <c r="AR510" s="1638"/>
      <c r="AS510" s="1639"/>
      <c r="AT510" s="1638"/>
      <c r="AU510" s="1638"/>
      <c r="AV510" s="1638"/>
      <c r="AW510" s="1639"/>
      <c r="AX510" s="1640"/>
      <c r="AY510" s="1640"/>
      <c r="AZ510" s="1640"/>
      <c r="BA510" s="1641"/>
      <c r="BB510" s="1640"/>
      <c r="BC510" s="1640"/>
      <c r="BD510" s="1640"/>
      <c r="BE510" s="1644"/>
      <c r="BF510" s="1640"/>
      <c r="BG510" s="1640"/>
      <c r="BH510" s="1640"/>
      <c r="BI510" s="1641"/>
      <c r="BJ510" s="1640"/>
      <c r="BK510" s="1640"/>
      <c r="BL510" s="1640"/>
      <c r="BM510" s="1641"/>
      <c r="BN510" s="1640"/>
      <c r="BO510" s="1640"/>
      <c r="BP510" s="1640"/>
      <c r="BQ510" s="1641">
        <v>35.049999999999997</v>
      </c>
      <c r="BR510" s="1640"/>
      <c r="BS510" s="1640"/>
      <c r="BT510" s="1640"/>
      <c r="BU510" s="1641"/>
      <c r="BV510" s="1640"/>
      <c r="BW510" s="1640"/>
      <c r="BX510" s="1640"/>
      <c r="BY510" s="1641"/>
      <c r="BZ510" s="1640"/>
      <c r="CA510" s="1640"/>
      <c r="CB510" s="1640"/>
      <c r="CC510" s="1641"/>
      <c r="CD510" s="1640"/>
      <c r="CE510" s="1640"/>
      <c r="CF510" s="1640"/>
      <c r="CG510" s="1642">
        <v>32.178750000000001</v>
      </c>
      <c r="CH510" s="1641">
        <f t="shared" si="349"/>
        <v>42.996000000000002</v>
      </c>
      <c r="CI510" s="1641">
        <f t="shared" si="349"/>
        <v>0</v>
      </c>
      <c r="CJ510" s="1641">
        <f t="shared" si="349"/>
        <v>0</v>
      </c>
      <c r="CK510" s="1641">
        <f t="shared" si="349"/>
        <v>0</v>
      </c>
      <c r="CL510" s="1889">
        <v>42.996000000000002</v>
      </c>
      <c r="CM510" s="1889">
        <v>0</v>
      </c>
      <c r="CN510" s="1889">
        <v>0</v>
      </c>
      <c r="CO510" s="1889">
        <v>0</v>
      </c>
      <c r="CP510" s="1641"/>
      <c r="CQ510" s="1640"/>
      <c r="CR510" s="1640"/>
      <c r="CS510" s="1640"/>
    </row>
    <row r="511" spans="1:107" ht="15" thickBot="1" x14ac:dyDescent="0.2">
      <c r="A511" s="1541" t="s">
        <v>94</v>
      </c>
      <c r="B511" s="1523" t="s">
        <v>79</v>
      </c>
      <c r="C511" s="1523" t="s">
        <v>80</v>
      </c>
      <c r="D511" s="1523" t="s">
        <v>125</v>
      </c>
      <c r="E511" s="1523" t="s">
        <v>215</v>
      </c>
      <c r="F511" s="1523"/>
      <c r="G511" s="1667">
        <v>290</v>
      </c>
      <c r="H511" s="1501">
        <v>16.600000000000001</v>
      </c>
      <c r="I511" s="1645"/>
      <c r="J511" s="1630"/>
      <c r="K511" s="1630"/>
      <c r="L511" s="1631"/>
      <c r="M511" s="1631"/>
      <c r="N511" s="1631"/>
      <c r="O511" s="1631"/>
      <c r="P511" s="1631"/>
      <c r="Q511" s="1631"/>
      <c r="R511" s="1631"/>
      <c r="S511" s="1631"/>
      <c r="T511" s="1632"/>
      <c r="U511" s="1633"/>
      <c r="V511" s="1633"/>
      <c r="W511" s="1634"/>
      <c r="X511" s="1634"/>
      <c r="Y511" s="1634"/>
      <c r="Z511" s="1635"/>
      <c r="AA511" s="1634"/>
      <c r="AB511" s="1634"/>
      <c r="AC511" s="1508">
        <f t="shared" si="362"/>
        <v>16.600000000000001</v>
      </c>
      <c r="AD511" s="1509">
        <f t="shared" si="363"/>
        <v>0</v>
      </c>
      <c r="AE511" s="1509">
        <f t="shared" si="364"/>
        <v>0</v>
      </c>
      <c r="AF511" s="1509">
        <f t="shared" si="364"/>
        <v>0</v>
      </c>
      <c r="AG511" s="1509">
        <f t="shared" si="364"/>
        <v>0</v>
      </c>
      <c r="AH511" s="1490">
        <f t="shared" si="350"/>
        <v>4.0999999999999996</v>
      </c>
      <c r="AI511" s="1636">
        <f t="shared" si="365"/>
        <v>0</v>
      </c>
      <c r="AJ511" s="1636">
        <f t="shared" si="366"/>
        <v>0</v>
      </c>
      <c r="AK511" s="1636">
        <f t="shared" si="367"/>
        <v>0</v>
      </c>
      <c r="AL511" s="1636">
        <f t="shared" si="367"/>
        <v>0</v>
      </c>
      <c r="AM511" s="1636">
        <f t="shared" si="367"/>
        <v>0</v>
      </c>
      <c r="AN511" s="1637"/>
      <c r="AO511" s="1722">
        <v>1.4</v>
      </c>
      <c r="AP511" s="1638"/>
      <c r="AQ511" s="1638"/>
      <c r="AR511" s="1638"/>
      <c r="AS511" s="1639"/>
      <c r="AT511" s="1638"/>
      <c r="AU511" s="1638"/>
      <c r="AV511" s="1638"/>
      <c r="AW511" s="1639"/>
      <c r="AX511" s="1640"/>
      <c r="AY511" s="1640"/>
      <c r="AZ511" s="1640"/>
      <c r="BA511" s="1641"/>
      <c r="BB511" s="1640"/>
      <c r="BC511" s="1640"/>
      <c r="BD511" s="1640"/>
      <c r="BE511" s="1644">
        <v>4.0999999999999996</v>
      </c>
      <c r="BF511" s="1640"/>
      <c r="BG511" s="1640"/>
      <c r="BH511" s="1640"/>
      <c r="BI511" s="1641"/>
      <c r="BJ511" s="1640"/>
      <c r="BK511" s="1640"/>
      <c r="BL511" s="1640"/>
      <c r="BM511" s="1641"/>
      <c r="BN511" s="1640"/>
      <c r="BO511" s="1640"/>
      <c r="BP511" s="1640"/>
      <c r="BQ511" s="1641"/>
      <c r="BR511" s="1640"/>
      <c r="BS511" s="1640"/>
      <c r="BT511" s="1640"/>
      <c r="BU511" s="1641">
        <v>7</v>
      </c>
      <c r="BV511" s="1640"/>
      <c r="BW511" s="1640"/>
      <c r="BX511" s="1640"/>
      <c r="BY511" s="1641"/>
      <c r="BZ511" s="1640"/>
      <c r="CA511" s="1640"/>
      <c r="CB511" s="1640"/>
      <c r="CC511" s="1641"/>
      <c r="CD511" s="1640"/>
      <c r="CE511" s="1640"/>
      <c r="CF511" s="1640"/>
      <c r="CG511" s="1642"/>
      <c r="CH511" s="1641">
        <f t="shared" si="349"/>
        <v>4.0999999999999996</v>
      </c>
      <c r="CI511" s="1641">
        <f t="shared" si="349"/>
        <v>0</v>
      </c>
      <c r="CJ511" s="1641">
        <f t="shared" si="349"/>
        <v>0</v>
      </c>
      <c r="CK511" s="1641">
        <f t="shared" si="349"/>
        <v>0</v>
      </c>
      <c r="CL511" s="1889">
        <v>4.0999999999999996</v>
      </c>
      <c r="CM511" s="1889">
        <v>0</v>
      </c>
      <c r="CN511" s="1889">
        <v>0</v>
      </c>
      <c r="CO511" s="1889">
        <v>0</v>
      </c>
      <c r="CP511" s="1641"/>
      <c r="CQ511" s="1640"/>
      <c r="CR511" s="1640"/>
      <c r="CS511" s="1640"/>
    </row>
    <row r="512" spans="1:107" ht="15" thickBot="1" x14ac:dyDescent="0.2">
      <c r="A512" s="1541" t="s">
        <v>94</v>
      </c>
      <c r="B512" s="1523" t="s">
        <v>79</v>
      </c>
      <c r="C512" s="1523" t="s">
        <v>80</v>
      </c>
      <c r="D512" s="1523" t="s">
        <v>125</v>
      </c>
      <c r="E512" s="1523" t="s">
        <v>215</v>
      </c>
      <c r="F512" s="1523"/>
      <c r="G512" s="1667" t="s">
        <v>95</v>
      </c>
      <c r="H512" s="1501">
        <v>0</v>
      </c>
      <c r="I512" s="1645"/>
      <c r="J512" s="1630"/>
      <c r="K512" s="1630"/>
      <c r="L512" s="1631"/>
      <c r="M512" s="1631"/>
      <c r="N512" s="1631"/>
      <c r="O512" s="1631"/>
      <c r="P512" s="1631"/>
      <c r="Q512" s="1631"/>
      <c r="R512" s="1631"/>
      <c r="S512" s="1631"/>
      <c r="T512" s="1632"/>
      <c r="U512" s="1633"/>
      <c r="V512" s="1633"/>
      <c r="W512" s="1634"/>
      <c r="X512" s="1634"/>
      <c r="Y512" s="1634"/>
      <c r="Z512" s="1635"/>
      <c r="AA512" s="1634"/>
      <c r="AB512" s="1634"/>
      <c r="AC512" s="1508">
        <f t="shared" si="362"/>
        <v>0</v>
      </c>
      <c r="AD512" s="1509">
        <f t="shared" si="363"/>
        <v>0</v>
      </c>
      <c r="AE512" s="1509">
        <f t="shared" si="364"/>
        <v>0</v>
      </c>
      <c r="AF512" s="1509">
        <f t="shared" si="364"/>
        <v>0</v>
      </c>
      <c r="AG512" s="1509">
        <f t="shared" si="364"/>
        <v>0</v>
      </c>
      <c r="AH512" s="1490">
        <f t="shared" si="350"/>
        <v>0</v>
      </c>
      <c r="AI512" s="1636">
        <f t="shared" si="365"/>
        <v>0</v>
      </c>
      <c r="AJ512" s="1636">
        <f t="shared" si="366"/>
        <v>0</v>
      </c>
      <c r="AK512" s="1636">
        <f t="shared" si="367"/>
        <v>0</v>
      </c>
      <c r="AL512" s="1636">
        <f t="shared" si="367"/>
        <v>0</v>
      </c>
      <c r="AM512" s="1636">
        <f t="shared" si="367"/>
        <v>0</v>
      </c>
      <c r="AN512" s="1637"/>
      <c r="AO512" s="1722">
        <v>0</v>
      </c>
      <c r="AP512" s="1638"/>
      <c r="AQ512" s="1638"/>
      <c r="AR512" s="1638"/>
      <c r="AS512" s="1639"/>
      <c r="AT512" s="1638"/>
      <c r="AU512" s="1638"/>
      <c r="AV512" s="1638"/>
      <c r="AW512" s="1639"/>
      <c r="AX512" s="1640"/>
      <c r="AY512" s="1640"/>
      <c r="AZ512" s="1640"/>
      <c r="BA512" s="1641"/>
      <c r="BB512" s="1640"/>
      <c r="BC512" s="1640"/>
      <c r="BD512" s="1640"/>
      <c r="BE512" s="1644"/>
      <c r="BF512" s="1640"/>
      <c r="BG512" s="1640"/>
      <c r="BH512" s="1640"/>
      <c r="BI512" s="1641"/>
      <c r="BJ512" s="1640"/>
      <c r="BK512" s="1640"/>
      <c r="BL512" s="1640"/>
      <c r="BM512" s="1641"/>
      <c r="BN512" s="1640"/>
      <c r="BO512" s="1640"/>
      <c r="BP512" s="1640"/>
      <c r="BQ512" s="1641"/>
      <c r="BR512" s="1640"/>
      <c r="BS512" s="1640"/>
      <c r="BT512" s="1640"/>
      <c r="BU512" s="1641"/>
      <c r="BV512" s="1640"/>
      <c r="BW512" s="1640"/>
      <c r="BX512" s="1640"/>
      <c r="BY512" s="1641"/>
      <c r="BZ512" s="1640"/>
      <c r="CA512" s="1640"/>
      <c r="CB512" s="1640"/>
      <c r="CC512" s="1641"/>
      <c r="CD512" s="1640"/>
      <c r="CE512" s="1640"/>
      <c r="CF512" s="1640"/>
      <c r="CG512" s="1642"/>
      <c r="CH512" s="1641">
        <f t="shared" si="349"/>
        <v>0</v>
      </c>
      <c r="CI512" s="1641">
        <f t="shared" si="349"/>
        <v>0</v>
      </c>
      <c r="CJ512" s="1641">
        <f t="shared" si="349"/>
        <v>0</v>
      </c>
      <c r="CK512" s="1641">
        <f t="shared" si="349"/>
        <v>0</v>
      </c>
      <c r="CL512" s="1889">
        <v>0</v>
      </c>
      <c r="CM512" s="1889">
        <v>0</v>
      </c>
      <c r="CN512" s="1889">
        <v>0</v>
      </c>
      <c r="CO512" s="1889">
        <v>0</v>
      </c>
      <c r="CP512" s="1641"/>
      <c r="CQ512" s="1640"/>
      <c r="CR512" s="1640"/>
      <c r="CS512" s="1640"/>
    </row>
    <row r="513" spans="1:104" ht="15" thickBot="1" x14ac:dyDescent="0.2">
      <c r="A513" s="1541" t="s">
        <v>96</v>
      </c>
      <c r="B513" s="1523" t="s">
        <v>79</v>
      </c>
      <c r="C513" s="1523" t="s">
        <v>80</v>
      </c>
      <c r="D513" s="1523" t="s">
        <v>125</v>
      </c>
      <c r="E513" s="1523" t="s">
        <v>215</v>
      </c>
      <c r="F513" s="1523"/>
      <c r="G513" s="1667">
        <v>310</v>
      </c>
      <c r="H513" s="1501">
        <f>58</f>
        <v>58</v>
      </c>
      <c r="I513" s="1645"/>
      <c r="J513" s="1630"/>
      <c r="K513" s="1630"/>
      <c r="L513" s="1631"/>
      <c r="M513" s="1631"/>
      <c r="N513" s="1631"/>
      <c r="O513" s="1631"/>
      <c r="P513" s="1631"/>
      <c r="Q513" s="1631"/>
      <c r="R513" s="1631"/>
      <c r="S513" s="1631"/>
      <c r="T513" s="1632"/>
      <c r="U513" s="1633"/>
      <c r="V513" s="1633"/>
      <c r="W513" s="1634"/>
      <c r="X513" s="1634"/>
      <c r="Y513" s="1634"/>
      <c r="Z513" s="1635"/>
      <c r="AA513" s="1634"/>
      <c r="AB513" s="1634"/>
      <c r="AC513" s="1508">
        <f t="shared" si="362"/>
        <v>58</v>
      </c>
      <c r="AD513" s="1509">
        <f t="shared" si="363"/>
        <v>0</v>
      </c>
      <c r="AE513" s="1509">
        <f t="shared" si="364"/>
        <v>0</v>
      </c>
      <c r="AF513" s="1509">
        <f t="shared" si="364"/>
        <v>0</v>
      </c>
      <c r="AG513" s="1509">
        <f t="shared" si="364"/>
        <v>0</v>
      </c>
      <c r="AH513" s="1490">
        <f t="shared" si="350"/>
        <v>58</v>
      </c>
      <c r="AI513" s="1636">
        <f t="shared" si="365"/>
        <v>0</v>
      </c>
      <c r="AJ513" s="1636">
        <f t="shared" si="366"/>
        <v>0</v>
      </c>
      <c r="AK513" s="1636">
        <f t="shared" si="367"/>
        <v>0</v>
      </c>
      <c r="AL513" s="1636">
        <f t="shared" si="367"/>
        <v>0</v>
      </c>
      <c r="AM513" s="1636">
        <f t="shared" si="367"/>
        <v>0</v>
      </c>
      <c r="AN513" s="1637"/>
      <c r="AO513" s="1723"/>
      <c r="AP513" s="1638"/>
      <c r="AQ513" s="1638"/>
      <c r="AR513" s="1638"/>
      <c r="AS513" s="1639"/>
      <c r="AT513" s="1638"/>
      <c r="AU513" s="1638"/>
      <c r="AV513" s="1638"/>
      <c r="AW513" s="1639"/>
      <c r="AX513" s="1640"/>
      <c r="AY513" s="1640"/>
      <c r="AZ513" s="1640"/>
      <c r="BA513" s="1641"/>
      <c r="BB513" s="1640"/>
      <c r="BC513" s="1640"/>
      <c r="BD513" s="1640"/>
      <c r="BE513" s="1644"/>
      <c r="BF513" s="1640"/>
      <c r="BG513" s="1640"/>
      <c r="BH513" s="1640"/>
      <c r="BI513" s="1641"/>
      <c r="BJ513" s="1640"/>
      <c r="BK513" s="1640"/>
      <c r="BL513" s="1640"/>
      <c r="BM513" s="1641"/>
      <c r="BN513" s="1640"/>
      <c r="BO513" s="1640"/>
      <c r="BP513" s="1640"/>
      <c r="BQ513" s="1641"/>
      <c r="BR513" s="1640"/>
      <c r="BS513" s="1640"/>
      <c r="BT513" s="1640"/>
      <c r="BU513" s="1641"/>
      <c r="BV513" s="1640"/>
      <c r="BW513" s="1640"/>
      <c r="BX513" s="1640"/>
      <c r="BY513" s="1641"/>
      <c r="BZ513" s="1640"/>
      <c r="CA513" s="1640"/>
      <c r="CB513" s="1640"/>
      <c r="CC513" s="1641"/>
      <c r="CD513" s="1640"/>
      <c r="CE513" s="1640"/>
      <c r="CF513" s="1640"/>
      <c r="CG513" s="1642"/>
      <c r="CH513" s="1641">
        <f t="shared" si="349"/>
        <v>58</v>
      </c>
      <c r="CI513" s="1641">
        <f t="shared" si="349"/>
        <v>0</v>
      </c>
      <c r="CJ513" s="1641">
        <f t="shared" si="349"/>
        <v>0</v>
      </c>
      <c r="CK513" s="1641">
        <f t="shared" si="349"/>
        <v>0</v>
      </c>
      <c r="CL513" s="1889">
        <v>58</v>
      </c>
      <c r="CM513" s="1889">
        <v>0</v>
      </c>
      <c r="CN513" s="1889">
        <v>0</v>
      </c>
      <c r="CO513" s="1889">
        <v>0</v>
      </c>
      <c r="CP513" s="1641"/>
      <c r="CQ513" s="1640"/>
      <c r="CR513" s="1640"/>
      <c r="CS513" s="1640"/>
    </row>
    <row r="514" spans="1:104" ht="15" thickBot="1" x14ac:dyDescent="0.2">
      <c r="A514" s="1541" t="s">
        <v>97</v>
      </c>
      <c r="B514" s="1523" t="s">
        <v>79</v>
      </c>
      <c r="C514" s="1523" t="s">
        <v>80</v>
      </c>
      <c r="D514" s="1523" t="s">
        <v>125</v>
      </c>
      <c r="E514" s="1523" t="s">
        <v>215</v>
      </c>
      <c r="F514" s="1523"/>
      <c r="G514" s="1667">
        <v>340</v>
      </c>
      <c r="H514" s="1501">
        <f>24.4-0.046</f>
        <v>24.353999999999999</v>
      </c>
      <c r="I514" s="1645"/>
      <c r="J514" s="1630"/>
      <c r="K514" s="1630"/>
      <c r="L514" s="1631"/>
      <c r="M514" s="1631"/>
      <c r="N514" s="1631"/>
      <c r="O514" s="1631"/>
      <c r="P514" s="1631"/>
      <c r="Q514" s="1631"/>
      <c r="R514" s="1631"/>
      <c r="S514" s="1631"/>
      <c r="T514" s="1632"/>
      <c r="U514" s="1633"/>
      <c r="V514" s="1633"/>
      <c r="W514" s="1634"/>
      <c r="X514" s="1634"/>
      <c r="Y514" s="1634"/>
      <c r="Z514" s="1635"/>
      <c r="AA514" s="1634"/>
      <c r="AB514" s="1634"/>
      <c r="AC514" s="1508">
        <f t="shared" si="362"/>
        <v>24.353999999999999</v>
      </c>
      <c r="AD514" s="1509">
        <f t="shared" si="363"/>
        <v>0</v>
      </c>
      <c r="AE514" s="1509">
        <f t="shared" si="364"/>
        <v>0</v>
      </c>
      <c r="AF514" s="1509">
        <f t="shared" si="364"/>
        <v>0</v>
      </c>
      <c r="AG514" s="1509">
        <f t="shared" si="364"/>
        <v>0</v>
      </c>
      <c r="AH514" s="1490">
        <f t="shared" si="350"/>
        <v>22.353999999999999</v>
      </c>
      <c r="AI514" s="1636">
        <f t="shared" si="365"/>
        <v>0</v>
      </c>
      <c r="AJ514" s="1636">
        <f t="shared" si="366"/>
        <v>0</v>
      </c>
      <c r="AK514" s="1636">
        <f t="shared" si="367"/>
        <v>0</v>
      </c>
      <c r="AL514" s="1636">
        <f t="shared" si="367"/>
        <v>0</v>
      </c>
      <c r="AM514" s="1636">
        <f t="shared" si="367"/>
        <v>0</v>
      </c>
      <c r="AN514" s="1637"/>
      <c r="AO514" s="1722">
        <v>2</v>
      </c>
      <c r="AP514" s="1638"/>
      <c r="AQ514" s="1638"/>
      <c r="AR514" s="1638"/>
      <c r="AS514" s="1639"/>
      <c r="AT514" s="1638"/>
      <c r="AU514" s="1638"/>
      <c r="AV514" s="1638"/>
      <c r="AW514" s="1639"/>
      <c r="AX514" s="1640"/>
      <c r="AY514" s="1640"/>
      <c r="AZ514" s="1640"/>
      <c r="BA514" s="1641"/>
      <c r="BB514" s="1640"/>
      <c r="BC514" s="1640"/>
      <c r="BD514" s="1640"/>
      <c r="BE514" s="1644"/>
      <c r="BF514" s="1640"/>
      <c r="BG514" s="1640"/>
      <c r="BH514" s="1640"/>
      <c r="BI514" s="1641"/>
      <c r="BJ514" s="1640"/>
      <c r="BK514" s="1640"/>
      <c r="BL514" s="1640"/>
      <c r="BM514" s="1641"/>
      <c r="BN514" s="1640"/>
      <c r="BO514" s="1640"/>
      <c r="BP514" s="1640"/>
      <c r="BQ514" s="1641"/>
      <c r="BR514" s="1640"/>
      <c r="BS514" s="1640"/>
      <c r="BT514" s="1640"/>
      <c r="BU514" s="1641"/>
      <c r="BV514" s="1640"/>
      <c r="BW514" s="1640"/>
      <c r="BX514" s="1640"/>
      <c r="BY514" s="1641"/>
      <c r="BZ514" s="1640"/>
      <c r="CA514" s="1640"/>
      <c r="CB514" s="1640"/>
      <c r="CC514" s="1641"/>
      <c r="CD514" s="1640"/>
      <c r="CE514" s="1640"/>
      <c r="CF514" s="1640"/>
      <c r="CG514" s="1642"/>
      <c r="CH514" s="1641">
        <f t="shared" si="349"/>
        <v>22.353999999999999</v>
      </c>
      <c r="CI514" s="1641">
        <f t="shared" si="349"/>
        <v>0</v>
      </c>
      <c r="CJ514" s="1641">
        <f t="shared" si="349"/>
        <v>0</v>
      </c>
      <c r="CK514" s="1641">
        <f t="shared" si="349"/>
        <v>0</v>
      </c>
      <c r="CL514" s="1889">
        <v>22.353999999999999</v>
      </c>
      <c r="CM514" s="1889">
        <v>0</v>
      </c>
      <c r="CN514" s="1889">
        <v>0</v>
      </c>
      <c r="CO514" s="1889">
        <v>0</v>
      </c>
      <c r="CP514" s="1641"/>
      <c r="CQ514" s="1640"/>
      <c r="CR514" s="1640"/>
      <c r="CS514" s="1640"/>
    </row>
    <row r="515" spans="1:104" ht="14" x14ac:dyDescent="0.15">
      <c r="A515" s="1528" t="s">
        <v>767</v>
      </c>
      <c r="B515" s="1530" t="s">
        <v>79</v>
      </c>
      <c r="C515" s="1530" t="s">
        <v>80</v>
      </c>
      <c r="D515" s="1530" t="s">
        <v>125</v>
      </c>
      <c r="E515" s="1530" t="s">
        <v>215</v>
      </c>
      <c r="F515" s="1530" t="s">
        <v>768</v>
      </c>
      <c r="G515" s="1600" t="s">
        <v>766</v>
      </c>
      <c r="H515" s="1647">
        <f>I501</f>
        <v>0</v>
      </c>
      <c r="I515" s="1645"/>
      <c r="J515" s="1630"/>
      <c r="K515" s="1630"/>
      <c r="L515" s="1631"/>
      <c r="M515" s="1631"/>
      <c r="N515" s="1631"/>
      <c r="O515" s="1631"/>
      <c r="P515" s="1631"/>
      <c r="Q515" s="1631"/>
      <c r="R515" s="1631"/>
      <c r="S515" s="1631"/>
      <c r="T515" s="1632"/>
      <c r="U515" s="1633"/>
      <c r="V515" s="1633"/>
      <c r="W515" s="1634"/>
      <c r="X515" s="1634"/>
      <c r="Y515" s="1634"/>
      <c r="Z515" s="1635"/>
      <c r="AA515" s="1634"/>
      <c r="AB515" s="1634"/>
      <c r="AC515" s="1508">
        <f t="shared" si="362"/>
        <v>0</v>
      </c>
      <c r="AD515" s="1509">
        <f t="shared" si="363"/>
        <v>0</v>
      </c>
      <c r="AE515" s="1509">
        <f>AP515+AT515+AX515+BB515+BF515+BJ515+BN515+BR515+BV515+BZ515+CD515+CI515</f>
        <v>0</v>
      </c>
      <c r="AF515" s="1509"/>
      <c r="AG515" s="1509"/>
      <c r="AH515" s="1490">
        <f t="shared" si="350"/>
        <v>0</v>
      </c>
      <c r="AI515" s="1636"/>
      <c r="AJ515" s="1636"/>
      <c r="AK515" s="1636"/>
      <c r="AL515" s="1636">
        <f t="shared" si="367"/>
        <v>0</v>
      </c>
      <c r="AM515" s="1636"/>
      <c r="AN515" s="1712"/>
      <c r="AO515" s="1713"/>
      <c r="AP515" s="1638"/>
      <c r="AQ515" s="1638"/>
      <c r="AR515" s="1638"/>
      <c r="AS515" s="1639"/>
      <c r="AT515" s="1638"/>
      <c r="AU515" s="1638"/>
      <c r="AV515" s="1638"/>
      <c r="AW515" s="1639"/>
      <c r="AX515" s="1640"/>
      <c r="AY515" s="1640"/>
      <c r="AZ515" s="1640"/>
      <c r="BA515" s="1641"/>
      <c r="BB515" s="1640"/>
      <c r="BC515" s="1640"/>
      <c r="BD515" s="1640"/>
      <c r="BE515" s="1644"/>
      <c r="BF515" s="1640"/>
      <c r="BG515" s="1640"/>
      <c r="BH515" s="1640"/>
      <c r="BI515" s="1641"/>
      <c r="BJ515" s="1640"/>
      <c r="BK515" s="1640"/>
      <c r="BL515" s="1640"/>
      <c r="BM515" s="1641"/>
      <c r="BN515" s="1640"/>
      <c r="BO515" s="1640"/>
      <c r="BP515" s="1640"/>
      <c r="BQ515" s="1641"/>
      <c r="BR515" s="1640"/>
      <c r="BS515" s="1640"/>
      <c r="BT515" s="1640"/>
      <c r="BU515" s="1641"/>
      <c r="BV515" s="1640"/>
      <c r="BW515" s="1640"/>
      <c r="BX515" s="1640"/>
      <c r="BY515" s="1641"/>
      <c r="BZ515" s="1640"/>
      <c r="CA515" s="1640"/>
      <c r="CB515" s="1640"/>
      <c r="CC515" s="1641"/>
      <c r="CD515" s="1640"/>
      <c r="CE515" s="1640"/>
      <c r="CF515" s="1640"/>
      <c r="CG515" s="1642"/>
      <c r="CH515" s="1641"/>
      <c r="CI515" s="1640"/>
      <c r="CJ515" s="1640"/>
      <c r="CK515" s="1640"/>
    </row>
    <row r="516" spans="1:104" s="1559" customFormat="1" ht="26" x14ac:dyDescent="0.15">
      <c r="A516" s="1802" t="s">
        <v>795</v>
      </c>
      <c r="B516" s="1803" t="s">
        <v>79</v>
      </c>
      <c r="C516" s="1803" t="s">
        <v>80</v>
      </c>
      <c r="D516" s="1803" t="s">
        <v>125</v>
      </c>
      <c r="E516" s="1803" t="s">
        <v>239</v>
      </c>
      <c r="F516" s="1803"/>
      <c r="G516" s="1667"/>
      <c r="H516" s="1502"/>
      <c r="I516" s="1645"/>
      <c r="J516" s="1630"/>
      <c r="K516" s="1630"/>
      <c r="L516" s="1631"/>
      <c r="M516" s="1631"/>
      <c r="N516" s="1631"/>
      <c r="O516" s="1631"/>
      <c r="P516" s="1631"/>
      <c r="Q516" s="1631"/>
      <c r="R516" s="1631"/>
      <c r="S516" s="1631"/>
      <c r="T516" s="1632"/>
      <c r="U516" s="1633"/>
      <c r="V516" s="1633"/>
      <c r="W516" s="1634"/>
      <c r="X516" s="1634"/>
      <c r="Y516" s="1634"/>
      <c r="Z516" s="1635"/>
      <c r="AA516" s="1634"/>
      <c r="AB516" s="1634"/>
      <c r="AC516" s="1508">
        <f t="shared" si="362"/>
        <v>0</v>
      </c>
      <c r="AD516" s="1509">
        <f t="shared" si="363"/>
        <v>0</v>
      </c>
      <c r="AE516" s="1509">
        <f>AP516+AT516+AX516+BB516+BF516+BJ516+BN516+BR516+BV516+BZ516+CD516+CI516</f>
        <v>0</v>
      </c>
      <c r="AF516" s="1509">
        <f>AQ516+AU516+AY516+BC516+BG516+BK516+BO516+BS516+BW516+CA516+CE516+CJ516</f>
        <v>0</v>
      </c>
      <c r="AG516" s="1509">
        <f>AR516+AV516+AZ516+BD516+BH516+BL516+BP516+BT516+BX516+CB516+CF516+CK516</f>
        <v>0</v>
      </c>
      <c r="AH516" s="1490">
        <f t="shared" si="350"/>
        <v>0</v>
      </c>
      <c r="AI516" s="1636">
        <f>H516-AC516</f>
        <v>0</v>
      </c>
      <c r="AJ516" s="1636">
        <f>AK516+AL516+AM516</f>
        <v>0</v>
      </c>
      <c r="AK516" s="1636">
        <f>I516-AE516</f>
        <v>0</v>
      </c>
      <c r="AL516" s="1636">
        <f t="shared" si="367"/>
        <v>0</v>
      </c>
      <c r="AM516" s="1636">
        <f>K516-AG516</f>
        <v>0</v>
      </c>
      <c r="AN516" s="1637"/>
      <c r="AO516" s="1637"/>
      <c r="AP516" s="1753"/>
      <c r="AQ516" s="1753"/>
      <c r="AR516" s="1753"/>
      <c r="AS516" s="1639"/>
      <c r="AT516" s="1753"/>
      <c r="AU516" s="1753"/>
      <c r="AV516" s="1753"/>
      <c r="AW516" s="1639"/>
      <c r="AX516" s="1641"/>
      <c r="AY516" s="1641"/>
      <c r="AZ516" s="1641"/>
      <c r="BA516" s="1641"/>
      <c r="BB516" s="1641"/>
      <c r="BC516" s="1641"/>
      <c r="BD516" s="1641"/>
      <c r="BE516" s="1644"/>
      <c r="BF516" s="1641"/>
      <c r="BG516" s="1641"/>
      <c r="BH516" s="1641"/>
      <c r="BI516" s="1641"/>
      <c r="BJ516" s="1641"/>
      <c r="BK516" s="1641"/>
      <c r="BL516" s="1641"/>
      <c r="BM516" s="1641"/>
      <c r="BN516" s="1641"/>
      <c r="BO516" s="1641"/>
      <c r="BP516" s="1641"/>
      <c r="BQ516" s="1641"/>
      <c r="BR516" s="1641"/>
      <c r="BS516" s="1641"/>
      <c r="BT516" s="1641"/>
      <c r="BU516" s="1641"/>
      <c r="BV516" s="1641"/>
      <c r="BW516" s="1641"/>
      <c r="BX516" s="1641"/>
      <c r="BY516" s="1641"/>
      <c r="BZ516" s="1641"/>
      <c r="CA516" s="1641"/>
      <c r="CB516" s="1641"/>
      <c r="CC516" s="1641"/>
      <c r="CD516" s="1641"/>
      <c r="CE516" s="1641"/>
      <c r="CF516" s="1641"/>
      <c r="CG516" s="1691"/>
      <c r="CH516" s="1641"/>
      <c r="CI516" s="1641"/>
      <c r="CJ516" s="1641"/>
      <c r="CK516" s="1641"/>
      <c r="CL516" s="1558"/>
      <c r="CM516" s="1558"/>
      <c r="CN516" s="1558"/>
      <c r="CO516" s="1558"/>
      <c r="CP516" s="1558"/>
      <c r="CQ516" s="1558"/>
      <c r="CR516" s="1558"/>
      <c r="CS516" s="1558"/>
      <c r="CT516" s="1558"/>
      <c r="CU516" s="1558"/>
      <c r="CV516" s="1558"/>
      <c r="CW516" s="1558"/>
      <c r="CY516" s="1558"/>
    </row>
    <row r="517" spans="1:104" s="1559" customFormat="1" ht="52" x14ac:dyDescent="0.15">
      <c r="A517" s="1521" t="s">
        <v>796</v>
      </c>
      <c r="B517" s="1522" t="s">
        <v>79</v>
      </c>
      <c r="C517" s="1522" t="s">
        <v>80</v>
      </c>
      <c r="D517" s="1522" t="s">
        <v>125</v>
      </c>
      <c r="E517" s="1522" t="s">
        <v>216</v>
      </c>
      <c r="F517" s="1522"/>
      <c r="G517" s="1667"/>
      <c r="H517" s="1502"/>
      <c r="I517" s="1645"/>
      <c r="J517" s="1630"/>
      <c r="K517" s="1630"/>
      <c r="L517" s="1631"/>
      <c r="M517" s="1631"/>
      <c r="N517" s="1631"/>
      <c r="O517" s="1631"/>
      <c r="P517" s="1631"/>
      <c r="Q517" s="1631"/>
      <c r="R517" s="1631"/>
      <c r="S517" s="1631"/>
      <c r="T517" s="1632"/>
      <c r="U517" s="1633"/>
      <c r="V517" s="1633"/>
      <c r="W517" s="1634"/>
      <c r="X517" s="1634"/>
      <c r="Y517" s="1634"/>
      <c r="Z517" s="1635"/>
      <c r="AA517" s="1634"/>
      <c r="AB517" s="1634"/>
      <c r="AC517" s="1508">
        <f t="shared" si="362"/>
        <v>0</v>
      </c>
      <c r="AD517" s="1509">
        <f t="shared" si="363"/>
        <v>0</v>
      </c>
      <c r="AE517" s="1509">
        <f>AP517+AT517+AX517+BB517+BF517+BJ517+BN517+BR517+BV517+BZ517+CD517+CI517</f>
        <v>0</v>
      </c>
      <c r="AF517" s="1509">
        <f>AQ517+AU517+AY517+BC517+BG517+BK517+BO517+BS517+BW517+CA517+CE517+CJ517</f>
        <v>0</v>
      </c>
      <c r="AG517" s="1509">
        <f>AR517+AV517+AZ517+BD517+BH517+BL517+BP517+BT517+BX517+CB517+CF517+CK517</f>
        <v>0</v>
      </c>
      <c r="AH517" s="1490">
        <f t="shared" si="350"/>
        <v>0</v>
      </c>
      <c r="AI517" s="1636">
        <f>H517-AC517</f>
        <v>0</v>
      </c>
      <c r="AJ517" s="1636">
        <f>AK517+AL517+AM517</f>
        <v>0</v>
      </c>
      <c r="AK517" s="1636">
        <f>I517-AE517</f>
        <v>0</v>
      </c>
      <c r="AL517" s="1636">
        <f t="shared" si="367"/>
        <v>0</v>
      </c>
      <c r="AM517" s="1636">
        <f>K517-AG517</f>
        <v>0</v>
      </c>
      <c r="AN517" s="1637"/>
      <c r="AO517" s="1637"/>
      <c r="AP517" s="1753"/>
      <c r="AQ517" s="1753"/>
      <c r="AR517" s="1753"/>
      <c r="AS517" s="1639"/>
      <c r="AT517" s="1753"/>
      <c r="AU517" s="1753"/>
      <c r="AV517" s="1753"/>
      <c r="AW517" s="1639"/>
      <c r="AX517" s="1641"/>
      <c r="AY517" s="1641"/>
      <c r="AZ517" s="1641"/>
      <c r="BA517" s="1641"/>
      <c r="BB517" s="1641"/>
      <c r="BC517" s="1641"/>
      <c r="BD517" s="1641"/>
      <c r="BE517" s="1644"/>
      <c r="BF517" s="1641"/>
      <c r="BG517" s="1641"/>
      <c r="BH517" s="1641"/>
      <c r="BI517" s="1641"/>
      <c r="BJ517" s="1641"/>
      <c r="BK517" s="1641"/>
      <c r="BL517" s="1641"/>
      <c r="BM517" s="1641"/>
      <c r="BN517" s="1641"/>
      <c r="BO517" s="1641"/>
      <c r="BP517" s="1641"/>
      <c r="BQ517" s="1641"/>
      <c r="BR517" s="1641"/>
      <c r="BS517" s="1641"/>
      <c r="BT517" s="1641"/>
      <c r="BU517" s="1641"/>
      <c r="BV517" s="1641"/>
      <c r="BW517" s="1641"/>
      <c r="BX517" s="1641"/>
      <c r="BY517" s="1641"/>
      <c r="BZ517" s="1641"/>
      <c r="CA517" s="1641"/>
      <c r="CB517" s="1641"/>
      <c r="CC517" s="1641"/>
      <c r="CD517" s="1641"/>
      <c r="CE517" s="1641"/>
      <c r="CF517" s="1641"/>
      <c r="CG517" s="1691"/>
      <c r="CH517" s="1641"/>
      <c r="CI517" s="1641"/>
      <c r="CJ517" s="1641"/>
      <c r="CK517" s="1641"/>
      <c r="CL517" s="1558"/>
      <c r="CM517" s="1558"/>
      <c r="CN517" s="1558"/>
      <c r="CO517" s="1558"/>
      <c r="CP517" s="1558"/>
      <c r="CQ517" s="1558"/>
      <c r="CR517" s="1558"/>
      <c r="CS517" s="1558"/>
      <c r="CT517" s="1558"/>
      <c r="CU517" s="1558"/>
      <c r="CV517" s="1558"/>
      <c r="CW517" s="1558"/>
      <c r="CY517" s="1558"/>
    </row>
    <row r="518" spans="1:104" s="1559" customFormat="1" ht="27" thickBot="1" x14ac:dyDescent="0.2">
      <c r="A518" s="1779" t="s">
        <v>1125</v>
      </c>
      <c r="B518" s="1780" t="s">
        <v>79</v>
      </c>
      <c r="C518" s="1780" t="s">
        <v>80</v>
      </c>
      <c r="D518" s="1780" t="s">
        <v>125</v>
      </c>
      <c r="E518" s="1780" t="s">
        <v>216</v>
      </c>
      <c r="F518" s="1780">
        <v>600</v>
      </c>
      <c r="G518" s="1864"/>
      <c r="H518" s="1578">
        <f>H519+H533</f>
        <v>709588.44705000008</v>
      </c>
      <c r="I518" s="1578">
        <f>I519-[6]Документ!$J$50</f>
        <v>-170.23000000001048</v>
      </c>
      <c r="J518" s="1578">
        <f>J519+J533</f>
        <v>5492.03</v>
      </c>
      <c r="K518" s="1578">
        <f t="shared" ref="K518:CK518" si="368">K519+K533</f>
        <v>7361.1349999999993</v>
      </c>
      <c r="L518" s="1579"/>
      <c r="M518" s="1579"/>
      <c r="N518" s="1579"/>
      <c r="O518" s="1579"/>
      <c r="P518" s="1579"/>
      <c r="Q518" s="1579"/>
      <c r="R518" s="1579"/>
      <c r="S518" s="1579"/>
      <c r="T518" s="1586">
        <f>T519+T533</f>
        <v>93000</v>
      </c>
      <c r="U518" s="1581">
        <f>U519+U533</f>
        <v>26606.6</v>
      </c>
      <c r="V518" s="1581"/>
      <c r="W518" s="1582"/>
      <c r="X518" s="1582"/>
      <c r="Y518" s="1582"/>
      <c r="Z518" s="1583"/>
      <c r="AA518" s="1582"/>
      <c r="AB518" s="1582"/>
      <c r="AC518" s="1584">
        <f t="shared" si="368"/>
        <v>532751.51705000014</v>
      </c>
      <c r="AD518" s="1584">
        <f>AD519+AD533</f>
        <v>133690.095</v>
      </c>
      <c r="AE518" s="1584">
        <f>AE519+AE533</f>
        <v>120836.93000000001</v>
      </c>
      <c r="AF518" s="1584">
        <f>AF519+AF533</f>
        <v>5492.03</v>
      </c>
      <c r="AG518" s="1584">
        <f>AG519+AG533</f>
        <v>7361.1350000000002</v>
      </c>
      <c r="AH518" s="1584">
        <f>AH519+AH533</f>
        <v>25197.116999999998</v>
      </c>
      <c r="AI518" s="1585">
        <f t="shared" si="368"/>
        <v>7.1054273576010019E-15</v>
      </c>
      <c r="AJ518" s="1585">
        <f t="shared" si="368"/>
        <v>56000</v>
      </c>
      <c r="AK518" s="1585">
        <f t="shared" si="368"/>
        <v>56000</v>
      </c>
      <c r="AL518" s="1636">
        <f>J518-AF518</f>
        <v>0</v>
      </c>
      <c r="AM518" s="1585">
        <f t="shared" si="368"/>
        <v>0</v>
      </c>
      <c r="AN518" s="1586"/>
      <c r="AO518" s="1586">
        <f t="shared" si="368"/>
        <v>47530.679999999986</v>
      </c>
      <c r="AP518" s="1586">
        <f t="shared" si="368"/>
        <v>108.3</v>
      </c>
      <c r="AQ518" s="1586">
        <f t="shared" si="368"/>
        <v>0</v>
      </c>
      <c r="AR518" s="1586">
        <f t="shared" si="368"/>
        <v>0</v>
      </c>
      <c r="AS518" s="1583">
        <f t="shared" si="368"/>
        <v>40247.299999999996</v>
      </c>
      <c r="AT518" s="1586">
        <f t="shared" si="368"/>
        <v>100</v>
      </c>
      <c r="AU518" s="1586">
        <f t="shared" si="368"/>
        <v>0</v>
      </c>
      <c r="AV518" s="1586">
        <f t="shared" si="368"/>
        <v>0</v>
      </c>
      <c r="AW518" s="1583">
        <f t="shared" si="368"/>
        <v>40769.700000000004</v>
      </c>
      <c r="AX518" s="1586">
        <f t="shared" si="368"/>
        <v>18018.2</v>
      </c>
      <c r="AY518" s="1586">
        <f t="shared" si="368"/>
        <v>0</v>
      </c>
      <c r="AZ518" s="1586">
        <f t="shared" si="368"/>
        <v>0</v>
      </c>
      <c r="BA518" s="1586">
        <f t="shared" si="368"/>
        <v>44440.729999999996</v>
      </c>
      <c r="BB518" s="1586">
        <f t="shared" si="368"/>
        <v>4250</v>
      </c>
      <c r="BC518" s="1586">
        <f t="shared" si="368"/>
        <v>0</v>
      </c>
      <c r="BD518" s="1586">
        <f t="shared" si="368"/>
        <v>0</v>
      </c>
      <c r="BE518" s="1511">
        <f t="shared" si="368"/>
        <v>50876.010050000004</v>
      </c>
      <c r="BF518" s="1586">
        <f t="shared" si="368"/>
        <v>2665.7</v>
      </c>
      <c r="BG518" s="1586">
        <f t="shared" si="368"/>
        <v>0</v>
      </c>
      <c r="BH518" s="1586">
        <f t="shared" si="368"/>
        <v>389.24299999999999</v>
      </c>
      <c r="BI518" s="1586">
        <f t="shared" si="368"/>
        <v>40047.127000000008</v>
      </c>
      <c r="BJ518" s="1586">
        <f t="shared" si="368"/>
        <v>0</v>
      </c>
      <c r="BK518" s="1586">
        <f t="shared" si="368"/>
        <v>0</v>
      </c>
      <c r="BL518" s="1586">
        <f t="shared" si="368"/>
        <v>0</v>
      </c>
      <c r="BM518" s="1586">
        <f t="shared" si="368"/>
        <v>75787.159999999989</v>
      </c>
      <c r="BN518" s="1586">
        <f t="shared" si="368"/>
        <v>6800</v>
      </c>
      <c r="BO518" s="1586">
        <f t="shared" si="368"/>
        <v>0</v>
      </c>
      <c r="BP518" s="1586">
        <f t="shared" si="368"/>
        <v>340</v>
      </c>
      <c r="BQ518" s="1586">
        <f t="shared" si="368"/>
        <v>45873.299999999996</v>
      </c>
      <c r="BR518" s="1586">
        <f t="shared" si="368"/>
        <v>12145</v>
      </c>
      <c r="BS518" s="1586">
        <f t="shared" si="368"/>
        <v>0</v>
      </c>
      <c r="BT518" s="1586">
        <f t="shared" si="368"/>
        <v>300</v>
      </c>
      <c r="BU518" s="1586">
        <f t="shared" si="368"/>
        <v>41301.35</v>
      </c>
      <c r="BV518" s="1586">
        <f t="shared" si="368"/>
        <v>10779.169</v>
      </c>
      <c r="BW518" s="1586">
        <f t="shared" si="368"/>
        <v>1400</v>
      </c>
      <c r="BX518" s="1586">
        <f t="shared" si="368"/>
        <v>5218.1570000000002</v>
      </c>
      <c r="BY518" s="1586">
        <f t="shared" si="368"/>
        <v>23225.910000000007</v>
      </c>
      <c r="BZ518" s="1586">
        <f t="shared" si="368"/>
        <v>8983.4380000000019</v>
      </c>
      <c r="CA518" s="1586">
        <f t="shared" si="368"/>
        <v>616.5</v>
      </c>
      <c r="CB518" s="1586">
        <f t="shared" si="368"/>
        <v>0</v>
      </c>
      <c r="CC518" s="1586">
        <f t="shared" si="368"/>
        <v>63655.13299999998</v>
      </c>
      <c r="CD518" s="1586">
        <f t="shared" si="368"/>
        <v>933.07799999999997</v>
      </c>
      <c r="CE518" s="1586">
        <f t="shared" si="368"/>
        <v>0</v>
      </c>
      <c r="CF518" s="1586">
        <f t="shared" si="368"/>
        <v>0</v>
      </c>
      <c r="CG518" s="1587"/>
      <c r="CH518" s="1586">
        <f t="shared" si="368"/>
        <v>18997.116999999998</v>
      </c>
      <c r="CI518" s="1586">
        <f t="shared" si="368"/>
        <v>32054.045000000002</v>
      </c>
      <c r="CJ518" s="1586">
        <f t="shared" si="368"/>
        <v>3475.53</v>
      </c>
      <c r="CK518" s="1586">
        <f t="shared" si="368"/>
        <v>1113.7350000000001</v>
      </c>
      <c r="CL518" s="1558"/>
      <c r="CM518" s="1558"/>
      <c r="CN518" s="1558"/>
      <c r="CO518" s="1558"/>
      <c r="CP518" s="1558"/>
      <c r="CQ518" s="1558"/>
      <c r="CR518" s="1558"/>
      <c r="CS518" s="1558"/>
      <c r="CT518" s="1558"/>
      <c r="CU518" s="1558"/>
      <c r="CV518" s="1558"/>
      <c r="CW518" s="1558"/>
      <c r="CY518" s="1558"/>
    </row>
    <row r="519" spans="1:104" s="1872" customFormat="1" ht="53" thickBot="1" x14ac:dyDescent="0.2">
      <c r="A519" s="1802" t="s">
        <v>1135</v>
      </c>
      <c r="B519" s="1803" t="s">
        <v>79</v>
      </c>
      <c r="C519" s="1803" t="s">
        <v>80</v>
      </c>
      <c r="D519" s="1803" t="s">
        <v>125</v>
      </c>
      <c r="E519" s="1803" t="s">
        <v>216</v>
      </c>
      <c r="F519" s="1803" t="s">
        <v>765</v>
      </c>
      <c r="G519" s="1866" t="s">
        <v>766</v>
      </c>
      <c r="H519" s="1517">
        <f>H520+H521+H522+H523+H524+H525+H526+H527+H528+H529+H530+H531+H532</f>
        <v>532751.51705000002</v>
      </c>
      <c r="I519" s="1517">
        <f>I520+I521+I522+I523+I524+I525+I526+I527+I528+I529+I530+I531+I532</f>
        <v>176836.93</v>
      </c>
      <c r="J519" s="1517">
        <f>J520+J521+J522+J523+J524+J525+J526+J527+J528+J529+J530+J531+J532</f>
        <v>5492.03</v>
      </c>
      <c r="K519" s="1517">
        <f t="shared" ref="K519:CK519" si="369">K520+K521+K522+K523+K524+K525+K526+K527+K528+K529+K530+K531+K532</f>
        <v>7361.1349999999993</v>
      </c>
      <c r="L519" s="1517">
        <f t="shared" si="369"/>
        <v>0</v>
      </c>
      <c r="M519" s="1517">
        <f t="shared" si="369"/>
        <v>0</v>
      </c>
      <c r="N519" s="1517">
        <f t="shared" si="369"/>
        <v>600</v>
      </c>
      <c r="O519" s="1517">
        <f t="shared" si="369"/>
        <v>0</v>
      </c>
      <c r="P519" s="1517">
        <f t="shared" si="369"/>
        <v>3300</v>
      </c>
      <c r="Q519" s="1517">
        <f t="shared" si="369"/>
        <v>9247.2454999999991</v>
      </c>
      <c r="R519" s="1518">
        <f t="shared" si="369"/>
        <v>1000</v>
      </c>
      <c r="S519" s="1518">
        <f t="shared" si="369"/>
        <v>9530.9599999999991</v>
      </c>
      <c r="T519" s="1539">
        <f>T520+T521+T522+T523+T524+T525+T526+T527+T528+T529+T530+T531+T532</f>
        <v>93000</v>
      </c>
      <c r="U519" s="1588">
        <f>U520+U521+U522+U523+U524+U525+U526+U527+U528+U529+U530+U531+U532</f>
        <v>26606.6</v>
      </c>
      <c r="V519" s="1588"/>
      <c r="W519" s="1589"/>
      <c r="X519" s="1938"/>
      <c r="Y519" s="1939"/>
      <c r="Z519" s="1940"/>
      <c r="AA519" s="1939"/>
      <c r="AB519" s="1939"/>
      <c r="AC519" s="1591">
        <f t="shared" ref="AC519:AH519" si="370">AC520+AC521+AC522+AC523+AC524+AC525+AC526+AC527+AC528+AC529+AC530+AC531+AC532</f>
        <v>532751.51705000014</v>
      </c>
      <c r="AD519" s="1591">
        <f t="shared" si="370"/>
        <v>133690.095</v>
      </c>
      <c r="AE519" s="1591">
        <f t="shared" si="370"/>
        <v>120836.93000000001</v>
      </c>
      <c r="AF519" s="1591">
        <f t="shared" si="370"/>
        <v>5492.03</v>
      </c>
      <c r="AG519" s="1591">
        <f t="shared" si="370"/>
        <v>7361.1350000000002</v>
      </c>
      <c r="AH519" s="1591">
        <f t="shared" si="370"/>
        <v>25197.116999999998</v>
      </c>
      <c r="AI519" s="1592">
        <f t="shared" si="369"/>
        <v>7.1054273576010019E-15</v>
      </c>
      <c r="AJ519" s="1592">
        <f t="shared" si="369"/>
        <v>56000</v>
      </c>
      <c r="AK519" s="1592">
        <f t="shared" si="369"/>
        <v>56000</v>
      </c>
      <c r="AL519" s="1636">
        <f>J519-AF519</f>
        <v>0</v>
      </c>
      <c r="AM519" s="1592">
        <f t="shared" si="369"/>
        <v>0</v>
      </c>
      <c r="AN519" s="1539"/>
      <c r="AO519" s="1539">
        <f>AO520+AO521+AO522+AO523+AO524+AO525+AO526+AO527+AO528+AO529+AO530+AO531+AO532</f>
        <v>47530.679999999986</v>
      </c>
      <c r="AP519" s="1539">
        <f t="shared" si="369"/>
        <v>108.3</v>
      </c>
      <c r="AQ519" s="1539">
        <f t="shared" si="369"/>
        <v>0</v>
      </c>
      <c r="AR519" s="1539">
        <f t="shared" si="369"/>
        <v>0</v>
      </c>
      <c r="AS519" s="1590">
        <f t="shared" si="369"/>
        <v>40247.299999999996</v>
      </c>
      <c r="AT519" s="1539">
        <f t="shared" si="369"/>
        <v>100</v>
      </c>
      <c r="AU519" s="1539">
        <f t="shared" si="369"/>
        <v>0</v>
      </c>
      <c r="AV519" s="1539">
        <f t="shared" si="369"/>
        <v>0</v>
      </c>
      <c r="AW519" s="1590">
        <f t="shared" si="369"/>
        <v>40769.700000000004</v>
      </c>
      <c r="AX519" s="1539">
        <f t="shared" si="369"/>
        <v>18018.2</v>
      </c>
      <c r="AY519" s="1539">
        <f t="shared" si="369"/>
        <v>0</v>
      </c>
      <c r="AZ519" s="1539">
        <f t="shared" si="369"/>
        <v>0</v>
      </c>
      <c r="BA519" s="1539">
        <f t="shared" si="369"/>
        <v>44440.729999999996</v>
      </c>
      <c r="BB519" s="1539">
        <f t="shared" si="369"/>
        <v>4250</v>
      </c>
      <c r="BC519" s="1539">
        <f t="shared" si="369"/>
        <v>0</v>
      </c>
      <c r="BD519" s="1539">
        <f t="shared" si="369"/>
        <v>0</v>
      </c>
      <c r="BE519" s="1539">
        <f t="shared" si="369"/>
        <v>50876.010050000004</v>
      </c>
      <c r="BF519" s="1539">
        <f t="shared" si="369"/>
        <v>2665.7</v>
      </c>
      <c r="BG519" s="1539">
        <f t="shared" si="369"/>
        <v>0</v>
      </c>
      <c r="BH519" s="1539">
        <f t="shared" si="369"/>
        <v>389.24299999999999</v>
      </c>
      <c r="BI519" s="1539">
        <f t="shared" si="369"/>
        <v>40047.127000000008</v>
      </c>
      <c r="BJ519" s="1539">
        <f t="shared" si="369"/>
        <v>0</v>
      </c>
      <c r="BK519" s="1539">
        <f t="shared" si="369"/>
        <v>0</v>
      </c>
      <c r="BL519" s="1539">
        <f t="shared" si="369"/>
        <v>0</v>
      </c>
      <c r="BM519" s="1539">
        <f t="shared" si="369"/>
        <v>75787.159999999989</v>
      </c>
      <c r="BN519" s="1539">
        <f t="shared" si="369"/>
        <v>6800</v>
      </c>
      <c r="BO519" s="1539">
        <f t="shared" si="369"/>
        <v>0</v>
      </c>
      <c r="BP519" s="1539">
        <f t="shared" si="369"/>
        <v>340</v>
      </c>
      <c r="BQ519" s="1539">
        <f t="shared" si="369"/>
        <v>45873.299999999996</v>
      </c>
      <c r="BR519" s="1539">
        <f t="shared" si="369"/>
        <v>12145</v>
      </c>
      <c r="BS519" s="1539">
        <f t="shared" si="369"/>
        <v>0</v>
      </c>
      <c r="BT519" s="1539">
        <f t="shared" si="369"/>
        <v>300</v>
      </c>
      <c r="BU519" s="1539">
        <f t="shared" si="369"/>
        <v>41301.35</v>
      </c>
      <c r="BV519" s="1539">
        <f t="shared" si="369"/>
        <v>10779.169</v>
      </c>
      <c r="BW519" s="1539">
        <f t="shared" si="369"/>
        <v>1400</v>
      </c>
      <c r="BX519" s="1539">
        <f t="shared" si="369"/>
        <v>5218.1570000000002</v>
      </c>
      <c r="BY519" s="1539">
        <f t="shared" si="369"/>
        <v>23225.910000000007</v>
      </c>
      <c r="BZ519" s="1539">
        <f t="shared" si="369"/>
        <v>8983.4380000000019</v>
      </c>
      <c r="CA519" s="1539">
        <f t="shared" si="369"/>
        <v>616.5</v>
      </c>
      <c r="CB519" s="1539">
        <f t="shared" si="369"/>
        <v>0</v>
      </c>
      <c r="CC519" s="1539">
        <f t="shared" si="369"/>
        <v>63655.13299999998</v>
      </c>
      <c r="CD519" s="1539">
        <f t="shared" si="369"/>
        <v>933.07799999999997</v>
      </c>
      <c r="CE519" s="1539">
        <f t="shared" si="369"/>
        <v>0</v>
      </c>
      <c r="CF519" s="1539">
        <f t="shared" si="369"/>
        <v>0</v>
      </c>
      <c r="CG519" s="1593"/>
      <c r="CH519" s="1539">
        <f t="shared" si="369"/>
        <v>18997.116999999998</v>
      </c>
      <c r="CI519" s="1539">
        <f t="shared" si="369"/>
        <v>32054.045000000002</v>
      </c>
      <c r="CJ519" s="1539">
        <f t="shared" si="369"/>
        <v>3475.53</v>
      </c>
      <c r="CK519" s="1539">
        <f t="shared" si="369"/>
        <v>1113.7350000000001</v>
      </c>
      <c r="CL519" s="1871"/>
      <c r="CM519" s="1871"/>
      <c r="CN519" s="1871"/>
      <c r="CO519" s="1871"/>
      <c r="CP519" s="1871"/>
      <c r="CQ519" s="1871"/>
      <c r="CR519" s="1871"/>
      <c r="CS519" s="1871"/>
      <c r="CT519" s="1871"/>
      <c r="CU519" s="1871"/>
      <c r="CV519" s="1871"/>
      <c r="CW519" s="1871"/>
      <c r="CY519" s="1871"/>
    </row>
    <row r="520" spans="1:104" s="1559" customFormat="1" x14ac:dyDescent="0.15">
      <c r="A520" s="1541" t="s">
        <v>78</v>
      </c>
      <c r="B520" s="1523" t="s">
        <v>79</v>
      </c>
      <c r="C520" s="1523" t="s">
        <v>80</v>
      </c>
      <c r="D520" s="1523" t="s">
        <v>125</v>
      </c>
      <c r="E520" s="1523" t="s">
        <v>216</v>
      </c>
      <c r="F520" s="1523"/>
      <c r="G520" s="1667">
        <v>211</v>
      </c>
      <c r="H520" s="1502">
        <f>H536+H552+H568+H584+H600+H616+H633+H649+H665+H681+H697+H729+H745+H761+H777+H793+H809+H825+H841+H857+H873+H889+H905+H921+H713</f>
        <v>365760.3</v>
      </c>
      <c r="I520" s="1502">
        <f>I536+I552+I568+I584+I600+I616+I633+I649+I665+I681+I697+I729+I745+I761+I777+I793+I809+I825+I841+I857+I873+I889+I905+I921+I713</f>
        <v>0</v>
      </c>
      <c r="J520" s="1502">
        <f t="shared" ref="J520:AM528" si="371">J536+J552+J568+J584+J600+J616+J633+J649+J665+J681+J697+J729+J745+J761+J777+J793+J809+J825+J841+J857+J873+J889+J905+J921+J713</f>
        <v>0</v>
      </c>
      <c r="K520" s="1502">
        <f t="shared" si="371"/>
        <v>0</v>
      </c>
      <c r="L520" s="1502">
        <f t="shared" si="371"/>
        <v>0</v>
      </c>
      <c r="M520" s="1502">
        <f t="shared" si="371"/>
        <v>0</v>
      </c>
      <c r="N520" s="1502">
        <f t="shared" si="371"/>
        <v>0</v>
      </c>
      <c r="O520" s="1502">
        <f t="shared" si="371"/>
        <v>0</v>
      </c>
      <c r="P520" s="1502">
        <f t="shared" si="371"/>
        <v>0</v>
      </c>
      <c r="Q520" s="1502">
        <f t="shared" si="371"/>
        <v>0</v>
      </c>
      <c r="R520" s="1503">
        <f t="shared" si="371"/>
        <v>0</v>
      </c>
      <c r="S520" s="1503">
        <f t="shared" si="371"/>
        <v>0</v>
      </c>
      <c r="T520" s="1511">
        <f t="shared" si="371"/>
        <v>0</v>
      </c>
      <c r="U520" s="1511">
        <f t="shared" si="371"/>
        <v>0</v>
      </c>
      <c r="V520" s="1511">
        <f t="shared" si="371"/>
        <v>0</v>
      </c>
      <c r="W520" s="1511">
        <f t="shared" si="371"/>
        <v>28961.51833333333</v>
      </c>
      <c r="X520" s="1511">
        <f t="shared" si="371"/>
        <v>29659.37</v>
      </c>
      <c r="Y520" s="1511">
        <f t="shared" si="371"/>
        <v>47723.419999999984</v>
      </c>
      <c r="Z520" s="1511">
        <f t="shared" si="371"/>
        <v>31781.359999999997</v>
      </c>
      <c r="AA520" s="1511">
        <f t="shared" si="371"/>
        <v>-30057.209999999995</v>
      </c>
      <c r="AB520" s="1511">
        <f t="shared" si="371"/>
        <v>15390.2</v>
      </c>
      <c r="AC520" s="1511">
        <f t="shared" si="371"/>
        <v>365760.30000000005</v>
      </c>
      <c r="AD520" s="1511">
        <f t="shared" si="371"/>
        <v>0</v>
      </c>
      <c r="AE520" s="1511">
        <f t="shared" si="371"/>
        <v>0</v>
      </c>
      <c r="AF520" s="1511">
        <f t="shared" si="371"/>
        <v>0</v>
      </c>
      <c r="AG520" s="1511">
        <f t="shared" si="371"/>
        <v>0</v>
      </c>
      <c r="AH520" s="1511">
        <f t="shared" si="371"/>
        <v>8160.7359999999999</v>
      </c>
      <c r="AI520" s="1511">
        <f t="shared" si="371"/>
        <v>0</v>
      </c>
      <c r="AJ520" s="1511">
        <f t="shared" si="371"/>
        <v>0</v>
      </c>
      <c r="AK520" s="1511">
        <f t="shared" si="371"/>
        <v>0</v>
      </c>
      <c r="AL520" s="1511">
        <f t="shared" si="371"/>
        <v>0</v>
      </c>
      <c r="AM520" s="1511">
        <f t="shared" si="371"/>
        <v>0</v>
      </c>
      <c r="AN520" s="1510">
        <f t="shared" ref="AN520:CK525" si="372">AN536+AN552+AN568+AN584+AN600+AN616+AN633+AN649+AN665+AN681+AN697+AN729+AN745+AN761+AN777+AN793+AN809+AN825+AN841+AN857+AN873+AN889+AN905+AN921</f>
        <v>0</v>
      </c>
      <c r="AO520" s="1511">
        <f t="shared" si="372"/>
        <v>30292.5</v>
      </c>
      <c r="AP520" s="1511">
        <f t="shared" si="372"/>
        <v>0</v>
      </c>
      <c r="AQ520" s="1511">
        <f t="shared" si="372"/>
        <v>0</v>
      </c>
      <c r="AR520" s="1511">
        <f t="shared" si="372"/>
        <v>0</v>
      </c>
      <c r="AS520" s="1507">
        <f t="shared" si="372"/>
        <v>30292.5</v>
      </c>
      <c r="AT520" s="1511">
        <f t="shared" si="372"/>
        <v>0</v>
      </c>
      <c r="AU520" s="1511">
        <f t="shared" si="372"/>
        <v>0</v>
      </c>
      <c r="AV520" s="1511">
        <f t="shared" si="372"/>
        <v>0</v>
      </c>
      <c r="AW520" s="1507">
        <f t="shared" si="372"/>
        <v>30280.308000000001</v>
      </c>
      <c r="AX520" s="1511">
        <f t="shared" si="372"/>
        <v>0</v>
      </c>
      <c r="AY520" s="1511">
        <f t="shared" si="372"/>
        <v>0</v>
      </c>
      <c r="AZ520" s="1511">
        <f t="shared" si="372"/>
        <v>0</v>
      </c>
      <c r="BA520" s="1511">
        <f t="shared" si="372"/>
        <v>30292.53</v>
      </c>
      <c r="BB520" s="1511">
        <f t="shared" si="372"/>
        <v>0</v>
      </c>
      <c r="BC520" s="1511">
        <f t="shared" si="372"/>
        <v>0</v>
      </c>
      <c r="BD520" s="1511">
        <f t="shared" si="372"/>
        <v>0</v>
      </c>
      <c r="BE520" s="1511">
        <f t="shared" si="372"/>
        <v>35705.300000000003</v>
      </c>
      <c r="BF520" s="1511">
        <f t="shared" si="372"/>
        <v>0</v>
      </c>
      <c r="BG520" s="1511">
        <f t="shared" si="372"/>
        <v>0</v>
      </c>
      <c r="BH520" s="1511">
        <f t="shared" si="372"/>
        <v>0</v>
      </c>
      <c r="BI520" s="1511">
        <f t="shared" si="372"/>
        <v>19927.945000000003</v>
      </c>
      <c r="BJ520" s="1511">
        <f t="shared" si="372"/>
        <v>0</v>
      </c>
      <c r="BK520" s="1511">
        <f t="shared" si="372"/>
        <v>0</v>
      </c>
      <c r="BL520" s="1511">
        <f t="shared" si="372"/>
        <v>0</v>
      </c>
      <c r="BM520" s="1511">
        <f t="shared" si="372"/>
        <v>54225.820999999989</v>
      </c>
      <c r="BN520" s="1511">
        <f t="shared" si="372"/>
        <v>0</v>
      </c>
      <c r="BO520" s="1511">
        <f t="shared" si="372"/>
        <v>0</v>
      </c>
      <c r="BP520" s="1511">
        <f t="shared" si="372"/>
        <v>0</v>
      </c>
      <c r="BQ520" s="1511">
        <f t="shared" si="372"/>
        <v>32703.39</v>
      </c>
      <c r="BR520" s="1511">
        <f t="shared" si="372"/>
        <v>0</v>
      </c>
      <c r="BS520" s="1511">
        <f t="shared" si="372"/>
        <v>0</v>
      </c>
      <c r="BT520" s="1511">
        <f t="shared" si="372"/>
        <v>0</v>
      </c>
      <c r="BU520" s="1511">
        <f t="shared" si="372"/>
        <v>26821.599999999999</v>
      </c>
      <c r="BV520" s="1511">
        <f t="shared" si="372"/>
        <v>0</v>
      </c>
      <c r="BW520" s="1511">
        <f t="shared" si="372"/>
        <v>0</v>
      </c>
      <c r="BX520" s="1511">
        <f t="shared" si="372"/>
        <v>0</v>
      </c>
      <c r="BY520" s="1511">
        <f t="shared" si="372"/>
        <v>18448.110000000004</v>
      </c>
      <c r="BZ520" s="1511">
        <f t="shared" si="372"/>
        <v>0</v>
      </c>
      <c r="CA520" s="1511">
        <f t="shared" si="372"/>
        <v>0</v>
      </c>
      <c r="CB520" s="1511">
        <f t="shared" si="372"/>
        <v>0</v>
      </c>
      <c r="CC520" s="1511">
        <f t="shared" si="372"/>
        <v>48609.559999999983</v>
      </c>
      <c r="CD520" s="1511">
        <f t="shared" si="372"/>
        <v>0</v>
      </c>
      <c r="CE520" s="1511">
        <f t="shared" si="372"/>
        <v>0</v>
      </c>
      <c r="CF520" s="1511">
        <f t="shared" si="372"/>
        <v>0</v>
      </c>
      <c r="CG520" s="1596"/>
      <c r="CH520" s="1511">
        <f t="shared" si="372"/>
        <v>8160.7359999999999</v>
      </c>
      <c r="CI520" s="1511">
        <f t="shared" si="372"/>
        <v>0</v>
      </c>
      <c r="CJ520" s="1511">
        <f t="shared" si="372"/>
        <v>0</v>
      </c>
      <c r="CK520" s="1511">
        <f t="shared" si="372"/>
        <v>0</v>
      </c>
      <c r="CL520" s="1558"/>
      <c r="CM520" s="1558"/>
      <c r="CN520" s="1558"/>
      <c r="CO520" s="1558"/>
      <c r="CP520" s="1558"/>
      <c r="CQ520" s="1558"/>
      <c r="CR520" s="1558"/>
      <c r="CS520" s="1558"/>
      <c r="CT520" s="1558"/>
      <c r="CU520" s="1558"/>
      <c r="CV520" s="1558"/>
      <c r="CW520" s="1558"/>
      <c r="CX520" s="1558">
        <f>H520/12*10-AC520</f>
        <v>-60960.050000000047</v>
      </c>
      <c r="CY520" s="1558">
        <f>AI520/3</f>
        <v>0</v>
      </c>
      <c r="CZ520" s="1558">
        <f>H520/12</f>
        <v>30480.024999999998</v>
      </c>
    </row>
    <row r="521" spans="1:104" s="1559" customFormat="1" x14ac:dyDescent="0.15">
      <c r="A521" s="1541" t="s">
        <v>103</v>
      </c>
      <c r="B521" s="1523" t="s">
        <v>79</v>
      </c>
      <c r="C521" s="1523" t="s">
        <v>80</v>
      </c>
      <c r="D521" s="1523" t="s">
        <v>125</v>
      </c>
      <c r="E521" s="1523" t="s">
        <v>216</v>
      </c>
      <c r="F521" s="1523"/>
      <c r="G521" s="1667">
        <v>212</v>
      </c>
      <c r="H521" s="1502">
        <f t="shared" ref="H521:I528" si="373">H537+H553+H569+H585+H601+H617+H634+H650+H666+H682+H698+H730+H746+H762+H778+H794+H810+H826+H842+H858+H874+H890+H906+H922+H714</f>
        <v>0</v>
      </c>
      <c r="I521" s="1502">
        <f t="shared" si="373"/>
        <v>14.7</v>
      </c>
      <c r="J521" s="1502">
        <f t="shared" si="371"/>
        <v>0</v>
      </c>
      <c r="K521" s="1502">
        <f t="shared" si="371"/>
        <v>26</v>
      </c>
      <c r="L521" s="1502">
        <f t="shared" si="371"/>
        <v>0</v>
      </c>
      <c r="M521" s="1502">
        <f t="shared" si="371"/>
        <v>0</v>
      </c>
      <c r="N521" s="1502">
        <f t="shared" si="371"/>
        <v>0</v>
      </c>
      <c r="O521" s="1502">
        <f t="shared" si="371"/>
        <v>0</v>
      </c>
      <c r="P521" s="1502">
        <f t="shared" si="371"/>
        <v>0</v>
      </c>
      <c r="Q521" s="1502">
        <f t="shared" si="371"/>
        <v>0</v>
      </c>
      <c r="R521" s="1503">
        <f t="shared" si="371"/>
        <v>0</v>
      </c>
      <c r="S521" s="1503">
        <f t="shared" si="371"/>
        <v>0</v>
      </c>
      <c r="T521" s="1511">
        <f t="shared" si="371"/>
        <v>0</v>
      </c>
      <c r="U521" s="1511">
        <f t="shared" si="371"/>
        <v>0</v>
      </c>
      <c r="V521" s="1511">
        <f t="shared" si="371"/>
        <v>0</v>
      </c>
      <c r="W521" s="1511">
        <f t="shared" si="371"/>
        <v>0</v>
      </c>
      <c r="X521" s="1511">
        <f t="shared" si="371"/>
        <v>0</v>
      </c>
      <c r="Y521" s="1511">
        <f t="shared" si="371"/>
        <v>0</v>
      </c>
      <c r="Z521" s="1511">
        <f t="shared" si="371"/>
        <v>0</v>
      </c>
      <c r="AA521" s="1511">
        <f t="shared" si="371"/>
        <v>0</v>
      </c>
      <c r="AB521" s="1511">
        <f t="shared" si="371"/>
        <v>0</v>
      </c>
      <c r="AC521" s="1511">
        <f t="shared" si="371"/>
        <v>0</v>
      </c>
      <c r="AD521" s="1511">
        <f t="shared" si="371"/>
        <v>40.700000000000003</v>
      </c>
      <c r="AE521" s="1511">
        <f t="shared" si="371"/>
        <v>14.7</v>
      </c>
      <c r="AF521" s="1511">
        <f t="shared" si="371"/>
        <v>0</v>
      </c>
      <c r="AG521" s="1511">
        <f t="shared" si="371"/>
        <v>26</v>
      </c>
      <c r="AH521" s="1511">
        <f t="shared" si="371"/>
        <v>0</v>
      </c>
      <c r="AI521" s="1511">
        <f t="shared" si="371"/>
        <v>0</v>
      </c>
      <c r="AJ521" s="1511">
        <f t="shared" si="371"/>
        <v>0</v>
      </c>
      <c r="AK521" s="1511">
        <f t="shared" si="371"/>
        <v>0</v>
      </c>
      <c r="AL521" s="1511">
        <f t="shared" si="371"/>
        <v>0</v>
      </c>
      <c r="AM521" s="1511">
        <f t="shared" si="371"/>
        <v>0</v>
      </c>
      <c r="AN521" s="1510">
        <f t="shared" si="372"/>
        <v>0</v>
      </c>
      <c r="AO521" s="1511">
        <f t="shared" si="372"/>
        <v>0</v>
      </c>
      <c r="AP521" s="1511">
        <f t="shared" si="372"/>
        <v>0</v>
      </c>
      <c r="AQ521" s="1511">
        <f t="shared" si="372"/>
        <v>0</v>
      </c>
      <c r="AR521" s="1511">
        <f t="shared" si="372"/>
        <v>0</v>
      </c>
      <c r="AS521" s="1507">
        <f t="shared" si="372"/>
        <v>0</v>
      </c>
      <c r="AT521" s="1511">
        <f t="shared" si="372"/>
        <v>0</v>
      </c>
      <c r="AU521" s="1511">
        <f t="shared" si="372"/>
        <v>0</v>
      </c>
      <c r="AV521" s="1511">
        <f t="shared" si="372"/>
        <v>0</v>
      </c>
      <c r="AW521" s="1507">
        <f t="shared" si="372"/>
        <v>0</v>
      </c>
      <c r="AX521" s="1511">
        <f t="shared" si="372"/>
        <v>0</v>
      </c>
      <c r="AY521" s="1511">
        <f t="shared" si="372"/>
        <v>0</v>
      </c>
      <c r="AZ521" s="1511">
        <f t="shared" si="372"/>
        <v>0</v>
      </c>
      <c r="BA521" s="1511">
        <f t="shared" si="372"/>
        <v>0</v>
      </c>
      <c r="BB521" s="1511">
        <f t="shared" si="372"/>
        <v>0</v>
      </c>
      <c r="BC521" s="1511">
        <f t="shared" si="372"/>
        <v>0</v>
      </c>
      <c r="BD521" s="1511">
        <f t="shared" si="372"/>
        <v>0</v>
      </c>
      <c r="BE521" s="1511">
        <f t="shared" si="372"/>
        <v>0</v>
      </c>
      <c r="BF521" s="1511">
        <f t="shared" si="372"/>
        <v>0</v>
      </c>
      <c r="BG521" s="1511">
        <f t="shared" si="372"/>
        <v>0</v>
      </c>
      <c r="BH521" s="1511">
        <f t="shared" si="372"/>
        <v>26</v>
      </c>
      <c r="BI521" s="1511">
        <f t="shared" si="372"/>
        <v>0</v>
      </c>
      <c r="BJ521" s="1511">
        <f t="shared" si="372"/>
        <v>0</v>
      </c>
      <c r="BK521" s="1511">
        <f t="shared" si="372"/>
        <v>0</v>
      </c>
      <c r="BL521" s="1511">
        <f t="shared" si="372"/>
        <v>0</v>
      </c>
      <c r="BM521" s="1511">
        <f t="shared" si="372"/>
        <v>0</v>
      </c>
      <c r="BN521" s="1511">
        <f t="shared" si="372"/>
        <v>0</v>
      </c>
      <c r="BO521" s="1511">
        <f t="shared" si="372"/>
        <v>0</v>
      </c>
      <c r="BP521" s="1511">
        <f t="shared" si="372"/>
        <v>0</v>
      </c>
      <c r="BQ521" s="1511">
        <f t="shared" si="372"/>
        <v>0</v>
      </c>
      <c r="BR521" s="1511">
        <f t="shared" si="372"/>
        <v>0</v>
      </c>
      <c r="BS521" s="1511">
        <f t="shared" si="372"/>
        <v>0</v>
      </c>
      <c r="BT521" s="1511">
        <f t="shared" si="372"/>
        <v>0</v>
      </c>
      <c r="BU521" s="1511">
        <f t="shared" si="372"/>
        <v>0</v>
      </c>
      <c r="BV521" s="1511">
        <f t="shared" si="372"/>
        <v>0</v>
      </c>
      <c r="BW521" s="1511">
        <f t="shared" si="372"/>
        <v>0</v>
      </c>
      <c r="BX521" s="1511">
        <f t="shared" si="372"/>
        <v>0</v>
      </c>
      <c r="BY521" s="1511">
        <f t="shared" si="372"/>
        <v>0</v>
      </c>
      <c r="BZ521" s="1511">
        <f t="shared" si="372"/>
        <v>14.7</v>
      </c>
      <c r="CA521" s="1511">
        <f t="shared" si="372"/>
        <v>0</v>
      </c>
      <c r="CB521" s="1511">
        <f t="shared" si="372"/>
        <v>0</v>
      </c>
      <c r="CC521" s="1511">
        <f t="shared" si="372"/>
        <v>0</v>
      </c>
      <c r="CD521" s="1511">
        <f t="shared" si="372"/>
        <v>0</v>
      </c>
      <c r="CE521" s="1511">
        <f t="shared" si="372"/>
        <v>0</v>
      </c>
      <c r="CF521" s="1511">
        <f t="shared" si="372"/>
        <v>0</v>
      </c>
      <c r="CG521" s="1596"/>
      <c r="CH521" s="1511">
        <f t="shared" si="372"/>
        <v>0</v>
      </c>
      <c r="CI521" s="1511">
        <f t="shared" si="372"/>
        <v>0</v>
      </c>
      <c r="CJ521" s="1511">
        <f t="shared" si="372"/>
        <v>0</v>
      </c>
      <c r="CK521" s="1511">
        <f t="shared" si="372"/>
        <v>0</v>
      </c>
      <c r="CL521" s="1558"/>
      <c r="CM521" s="1558"/>
      <c r="CN521" s="1558"/>
      <c r="CO521" s="1558"/>
      <c r="CP521" s="1558"/>
      <c r="CQ521" s="1558"/>
      <c r="CR521" s="1558"/>
      <c r="CS521" s="1558"/>
      <c r="CT521" s="1558"/>
      <c r="CU521" s="1558"/>
      <c r="CV521" s="1558"/>
      <c r="CW521" s="1558"/>
      <c r="CX521" s="1558"/>
      <c r="CY521" s="1558"/>
      <c r="CZ521" s="1558"/>
    </row>
    <row r="522" spans="1:104" s="1559" customFormat="1" x14ac:dyDescent="0.15">
      <c r="A522" s="1541" t="s">
        <v>84</v>
      </c>
      <c r="B522" s="1523" t="s">
        <v>79</v>
      </c>
      <c r="C522" s="1523" t="s">
        <v>80</v>
      </c>
      <c r="D522" s="1523" t="s">
        <v>125</v>
      </c>
      <c r="E522" s="1523" t="s">
        <v>216</v>
      </c>
      <c r="F522" s="1523"/>
      <c r="G522" s="1667">
        <v>213</v>
      </c>
      <c r="H522" s="1502">
        <f t="shared" si="373"/>
        <v>110377.49999999999</v>
      </c>
      <c r="I522" s="1502">
        <f t="shared" si="373"/>
        <v>0</v>
      </c>
      <c r="J522" s="1502">
        <f t="shared" si="371"/>
        <v>0</v>
      </c>
      <c r="K522" s="1502">
        <f t="shared" si="371"/>
        <v>0</v>
      </c>
      <c r="L522" s="1502">
        <f t="shared" si="371"/>
        <v>0</v>
      </c>
      <c r="M522" s="1502">
        <f t="shared" si="371"/>
        <v>0</v>
      </c>
      <c r="N522" s="1502">
        <f t="shared" si="371"/>
        <v>0</v>
      </c>
      <c r="O522" s="1502">
        <f t="shared" si="371"/>
        <v>0</v>
      </c>
      <c r="P522" s="1502">
        <f t="shared" si="371"/>
        <v>0</v>
      </c>
      <c r="Q522" s="1502">
        <f t="shared" si="371"/>
        <v>0</v>
      </c>
      <c r="R522" s="1503">
        <f t="shared" si="371"/>
        <v>0</v>
      </c>
      <c r="S522" s="1503">
        <f t="shared" si="371"/>
        <v>0</v>
      </c>
      <c r="T522" s="1511">
        <f t="shared" si="371"/>
        <v>0</v>
      </c>
      <c r="U522" s="1511">
        <f t="shared" si="371"/>
        <v>0</v>
      </c>
      <c r="V522" s="1511">
        <f t="shared" si="371"/>
        <v>0</v>
      </c>
      <c r="W522" s="1511">
        <f t="shared" si="371"/>
        <v>8721.4750000000004</v>
      </c>
      <c r="X522" s="1511">
        <f t="shared" si="371"/>
        <v>8914.5</v>
      </c>
      <c r="Y522" s="1511">
        <f t="shared" si="371"/>
        <v>14594.772999999996</v>
      </c>
      <c r="Z522" s="1511">
        <f t="shared" si="371"/>
        <v>15045.572999999995</v>
      </c>
      <c r="AA522" s="1511">
        <f t="shared" si="371"/>
        <v>-14015.605999999996</v>
      </c>
      <c r="AB522" s="1511">
        <f t="shared" si="371"/>
        <v>4706.5730000000003</v>
      </c>
      <c r="AC522" s="1511">
        <f t="shared" si="371"/>
        <v>110377.49999999999</v>
      </c>
      <c r="AD522" s="1511">
        <f t="shared" si="371"/>
        <v>0</v>
      </c>
      <c r="AE522" s="1511">
        <f t="shared" si="371"/>
        <v>0</v>
      </c>
      <c r="AF522" s="1511">
        <f t="shared" si="371"/>
        <v>0</v>
      </c>
      <c r="AG522" s="1511">
        <f t="shared" si="371"/>
        <v>0</v>
      </c>
      <c r="AH522" s="1511">
        <f t="shared" si="371"/>
        <v>3693.2830000000004</v>
      </c>
      <c r="AI522" s="1511">
        <f t="shared" si="371"/>
        <v>0</v>
      </c>
      <c r="AJ522" s="1511">
        <f t="shared" si="371"/>
        <v>0</v>
      </c>
      <c r="AK522" s="1511">
        <f t="shared" si="371"/>
        <v>0</v>
      </c>
      <c r="AL522" s="1511">
        <f t="shared" si="371"/>
        <v>0</v>
      </c>
      <c r="AM522" s="1511">
        <f t="shared" si="371"/>
        <v>0</v>
      </c>
      <c r="AN522" s="1510">
        <f t="shared" si="372"/>
        <v>0</v>
      </c>
      <c r="AO522" s="1511">
        <f t="shared" si="372"/>
        <v>9148.7000000000007</v>
      </c>
      <c r="AP522" s="1511">
        <f t="shared" si="372"/>
        <v>0</v>
      </c>
      <c r="AQ522" s="1511">
        <f t="shared" si="372"/>
        <v>0</v>
      </c>
      <c r="AR522" s="1511">
        <f t="shared" si="372"/>
        <v>0</v>
      </c>
      <c r="AS522" s="1507">
        <f t="shared" si="372"/>
        <v>9148.7000000000007</v>
      </c>
      <c r="AT522" s="1511">
        <f t="shared" si="372"/>
        <v>0</v>
      </c>
      <c r="AU522" s="1511">
        <f t="shared" si="372"/>
        <v>0</v>
      </c>
      <c r="AV522" s="1511">
        <f t="shared" si="372"/>
        <v>0</v>
      </c>
      <c r="AW522" s="1507">
        <f t="shared" si="372"/>
        <v>9148.2000000000007</v>
      </c>
      <c r="AX522" s="1511">
        <f t="shared" si="372"/>
        <v>0</v>
      </c>
      <c r="AY522" s="1511">
        <f t="shared" si="372"/>
        <v>0</v>
      </c>
      <c r="AZ522" s="1511">
        <f t="shared" si="372"/>
        <v>0</v>
      </c>
      <c r="BA522" s="1511">
        <f t="shared" si="372"/>
        <v>9148.2000000000007</v>
      </c>
      <c r="BB522" s="1511">
        <f t="shared" si="372"/>
        <v>0</v>
      </c>
      <c r="BC522" s="1511">
        <f t="shared" si="372"/>
        <v>0</v>
      </c>
      <c r="BD522" s="1511">
        <f t="shared" si="372"/>
        <v>0</v>
      </c>
      <c r="BE522" s="1511">
        <f t="shared" si="372"/>
        <v>10783.000000000002</v>
      </c>
      <c r="BF522" s="1511">
        <f t="shared" si="372"/>
        <v>0</v>
      </c>
      <c r="BG522" s="1511">
        <f t="shared" si="372"/>
        <v>0</v>
      </c>
      <c r="BH522" s="1511">
        <f t="shared" si="372"/>
        <v>0</v>
      </c>
      <c r="BI522" s="1511">
        <f t="shared" si="372"/>
        <v>2374.355</v>
      </c>
      <c r="BJ522" s="1511">
        <f t="shared" si="372"/>
        <v>0</v>
      </c>
      <c r="BK522" s="1511">
        <f t="shared" si="372"/>
        <v>0</v>
      </c>
      <c r="BL522" s="1511">
        <f t="shared" si="372"/>
        <v>0</v>
      </c>
      <c r="BM522" s="1511">
        <f t="shared" si="372"/>
        <v>19942.539000000001</v>
      </c>
      <c r="BN522" s="1511">
        <f t="shared" si="372"/>
        <v>0</v>
      </c>
      <c r="BO522" s="1511">
        <f t="shared" si="372"/>
        <v>0</v>
      </c>
      <c r="BP522" s="1511">
        <f t="shared" si="372"/>
        <v>0</v>
      </c>
      <c r="BQ522" s="1511">
        <f t="shared" si="372"/>
        <v>9886.1999999999989</v>
      </c>
      <c r="BR522" s="1511">
        <f t="shared" si="372"/>
        <v>0</v>
      </c>
      <c r="BS522" s="1511">
        <f t="shared" si="372"/>
        <v>0</v>
      </c>
      <c r="BT522" s="1511">
        <f t="shared" si="372"/>
        <v>0</v>
      </c>
      <c r="BU522" s="1511">
        <f t="shared" si="372"/>
        <v>8115.4000000000015</v>
      </c>
      <c r="BV522" s="1511">
        <f t="shared" si="372"/>
        <v>0</v>
      </c>
      <c r="BW522" s="1511">
        <f t="shared" si="372"/>
        <v>0</v>
      </c>
      <c r="BX522" s="1511">
        <f t="shared" si="372"/>
        <v>0</v>
      </c>
      <c r="BY522" s="1511">
        <f t="shared" si="372"/>
        <v>3943.3500000000004</v>
      </c>
      <c r="BZ522" s="1511">
        <f t="shared" si="372"/>
        <v>0</v>
      </c>
      <c r="CA522" s="1511">
        <f t="shared" si="372"/>
        <v>0</v>
      </c>
      <c r="CB522" s="1511">
        <f t="shared" si="372"/>
        <v>0</v>
      </c>
      <c r="CC522" s="1511">
        <f t="shared" si="372"/>
        <v>15045.572999999995</v>
      </c>
      <c r="CD522" s="1511">
        <f t="shared" si="372"/>
        <v>0</v>
      </c>
      <c r="CE522" s="1511">
        <f t="shared" si="372"/>
        <v>0</v>
      </c>
      <c r="CF522" s="1511">
        <f t="shared" si="372"/>
        <v>0</v>
      </c>
      <c r="CG522" s="1596"/>
      <c r="CH522" s="1511">
        <f t="shared" si="372"/>
        <v>3693.2830000000004</v>
      </c>
      <c r="CI522" s="1511">
        <f t="shared" si="372"/>
        <v>0</v>
      </c>
      <c r="CJ522" s="1511">
        <f t="shared" si="372"/>
        <v>0</v>
      </c>
      <c r="CK522" s="1511">
        <f t="shared" si="372"/>
        <v>0</v>
      </c>
      <c r="CL522" s="1558"/>
      <c r="CM522" s="1558"/>
      <c r="CN522" s="1558"/>
      <c r="CO522" s="1558"/>
      <c r="CP522" s="1558"/>
      <c r="CQ522" s="1558"/>
      <c r="CR522" s="1558"/>
      <c r="CS522" s="1558"/>
      <c r="CT522" s="1558"/>
      <c r="CU522" s="1558"/>
      <c r="CV522" s="1558"/>
      <c r="CW522" s="1558"/>
      <c r="CX522" s="1558">
        <f>H522/12*10-AC522</f>
        <v>-18396.25</v>
      </c>
      <c r="CY522" s="1558">
        <f>AI522/3</f>
        <v>0</v>
      </c>
      <c r="CZ522" s="1558">
        <f>H522/12</f>
        <v>9198.1249999999982</v>
      </c>
    </row>
    <row r="523" spans="1:104" s="1559" customFormat="1" x14ac:dyDescent="0.15">
      <c r="A523" s="1541" t="s">
        <v>85</v>
      </c>
      <c r="B523" s="1523" t="s">
        <v>79</v>
      </c>
      <c r="C523" s="1523" t="s">
        <v>80</v>
      </c>
      <c r="D523" s="1523" t="s">
        <v>125</v>
      </c>
      <c r="E523" s="1523" t="s">
        <v>216</v>
      </c>
      <c r="F523" s="1523"/>
      <c r="G523" s="1667">
        <v>221</v>
      </c>
      <c r="H523" s="1502">
        <f t="shared" si="373"/>
        <v>0</v>
      </c>
      <c r="I523" s="1502">
        <f t="shared" si="373"/>
        <v>0</v>
      </c>
      <c r="J523" s="1502">
        <f t="shared" si="371"/>
        <v>0</v>
      </c>
      <c r="K523" s="1502">
        <f t="shared" si="371"/>
        <v>0</v>
      </c>
      <c r="L523" s="1502">
        <f t="shared" si="371"/>
        <v>0</v>
      </c>
      <c r="M523" s="1502">
        <f t="shared" si="371"/>
        <v>0</v>
      </c>
      <c r="N523" s="1502">
        <f t="shared" si="371"/>
        <v>0</v>
      </c>
      <c r="O523" s="1502">
        <f t="shared" si="371"/>
        <v>0</v>
      </c>
      <c r="P523" s="1502">
        <f t="shared" si="371"/>
        <v>0</v>
      </c>
      <c r="Q523" s="1502">
        <f t="shared" si="371"/>
        <v>0</v>
      </c>
      <c r="R523" s="1503">
        <f t="shared" si="371"/>
        <v>0</v>
      </c>
      <c r="S523" s="1503">
        <f t="shared" si="371"/>
        <v>0</v>
      </c>
      <c r="T523" s="1511">
        <f t="shared" si="371"/>
        <v>0</v>
      </c>
      <c r="U523" s="1511">
        <f t="shared" si="371"/>
        <v>0</v>
      </c>
      <c r="V523" s="1511">
        <f t="shared" si="371"/>
        <v>0</v>
      </c>
      <c r="W523" s="1511">
        <f t="shared" si="371"/>
        <v>0</v>
      </c>
      <c r="X523" s="1511">
        <f t="shared" si="371"/>
        <v>0</v>
      </c>
      <c r="Y523" s="1511">
        <f t="shared" si="371"/>
        <v>0</v>
      </c>
      <c r="Z523" s="1511">
        <f t="shared" si="371"/>
        <v>0</v>
      </c>
      <c r="AA523" s="1511">
        <f t="shared" si="371"/>
        <v>0</v>
      </c>
      <c r="AB523" s="1511">
        <f t="shared" si="371"/>
        <v>0</v>
      </c>
      <c r="AC523" s="1511">
        <f t="shared" si="371"/>
        <v>0</v>
      </c>
      <c r="AD523" s="1511">
        <f t="shared" si="371"/>
        <v>0</v>
      </c>
      <c r="AE523" s="1511">
        <f t="shared" si="371"/>
        <v>0</v>
      </c>
      <c r="AF523" s="1511">
        <f t="shared" si="371"/>
        <v>0</v>
      </c>
      <c r="AG523" s="1511">
        <f t="shared" si="371"/>
        <v>0</v>
      </c>
      <c r="AH523" s="1511">
        <f t="shared" si="371"/>
        <v>0</v>
      </c>
      <c r="AI523" s="1511">
        <f t="shared" si="371"/>
        <v>0</v>
      </c>
      <c r="AJ523" s="1511">
        <f t="shared" si="371"/>
        <v>0</v>
      </c>
      <c r="AK523" s="1511">
        <f t="shared" si="371"/>
        <v>0</v>
      </c>
      <c r="AL523" s="1511">
        <f t="shared" si="371"/>
        <v>0</v>
      </c>
      <c r="AM523" s="1511">
        <f t="shared" si="371"/>
        <v>0</v>
      </c>
      <c r="AN523" s="1511"/>
      <c r="AO523" s="1511">
        <f t="shared" si="372"/>
        <v>0</v>
      </c>
      <c r="AP523" s="1511">
        <f t="shared" si="372"/>
        <v>0</v>
      </c>
      <c r="AQ523" s="1511">
        <f t="shared" si="372"/>
        <v>0</v>
      </c>
      <c r="AR523" s="1511">
        <f t="shared" si="372"/>
        <v>0</v>
      </c>
      <c r="AS523" s="1507">
        <f t="shared" si="372"/>
        <v>0</v>
      </c>
      <c r="AT523" s="1511">
        <f t="shared" si="372"/>
        <v>0</v>
      </c>
      <c r="AU523" s="1511">
        <f t="shared" si="372"/>
        <v>0</v>
      </c>
      <c r="AV523" s="1511">
        <f t="shared" si="372"/>
        <v>0</v>
      </c>
      <c r="AW523" s="1507">
        <f t="shared" si="372"/>
        <v>0</v>
      </c>
      <c r="AX523" s="1511">
        <f t="shared" si="372"/>
        <v>0</v>
      </c>
      <c r="AY523" s="1511">
        <f t="shared" si="372"/>
        <v>0</v>
      </c>
      <c r="AZ523" s="1511">
        <f t="shared" si="372"/>
        <v>0</v>
      </c>
      <c r="BA523" s="1511">
        <f t="shared" si="372"/>
        <v>0</v>
      </c>
      <c r="BB523" s="1511">
        <f t="shared" si="372"/>
        <v>0</v>
      </c>
      <c r="BC523" s="1511">
        <f t="shared" si="372"/>
        <v>0</v>
      </c>
      <c r="BD523" s="1511">
        <f t="shared" si="372"/>
        <v>0</v>
      </c>
      <c r="BE523" s="1511">
        <f t="shared" si="372"/>
        <v>0</v>
      </c>
      <c r="BF523" s="1511">
        <f t="shared" si="372"/>
        <v>0</v>
      </c>
      <c r="BG523" s="1511">
        <f t="shared" si="372"/>
        <v>0</v>
      </c>
      <c r="BH523" s="1511">
        <f t="shared" si="372"/>
        <v>0</v>
      </c>
      <c r="BI523" s="1511">
        <f t="shared" si="372"/>
        <v>0</v>
      </c>
      <c r="BJ523" s="1511">
        <f t="shared" si="372"/>
        <v>0</v>
      </c>
      <c r="BK523" s="1511">
        <f t="shared" si="372"/>
        <v>0</v>
      </c>
      <c r="BL523" s="1511">
        <f t="shared" si="372"/>
        <v>0</v>
      </c>
      <c r="BM523" s="1511">
        <f t="shared" si="372"/>
        <v>0</v>
      </c>
      <c r="BN523" s="1511">
        <f t="shared" si="372"/>
        <v>0</v>
      </c>
      <c r="BO523" s="1511">
        <f t="shared" si="372"/>
        <v>0</v>
      </c>
      <c r="BP523" s="1511">
        <f t="shared" si="372"/>
        <v>0</v>
      </c>
      <c r="BQ523" s="1511">
        <f t="shared" si="372"/>
        <v>0</v>
      </c>
      <c r="BR523" s="1511">
        <f t="shared" si="372"/>
        <v>0</v>
      </c>
      <c r="BS523" s="1511">
        <f t="shared" si="372"/>
        <v>0</v>
      </c>
      <c r="BT523" s="1511">
        <f t="shared" si="372"/>
        <v>0</v>
      </c>
      <c r="BU523" s="1511">
        <f t="shared" si="372"/>
        <v>0</v>
      </c>
      <c r="BV523" s="1511">
        <f t="shared" si="372"/>
        <v>0</v>
      </c>
      <c r="BW523" s="1511">
        <f t="shared" si="372"/>
        <v>0</v>
      </c>
      <c r="BX523" s="1511">
        <f t="shared" si="372"/>
        <v>0</v>
      </c>
      <c r="BY523" s="1511">
        <f t="shared" si="372"/>
        <v>0</v>
      </c>
      <c r="BZ523" s="1511">
        <f t="shared" si="372"/>
        <v>0</v>
      </c>
      <c r="CA523" s="1511">
        <f t="shared" si="372"/>
        <v>0</v>
      </c>
      <c r="CB523" s="1511">
        <f t="shared" si="372"/>
        <v>0</v>
      </c>
      <c r="CC523" s="1511">
        <f t="shared" si="372"/>
        <v>0</v>
      </c>
      <c r="CD523" s="1511">
        <f t="shared" si="372"/>
        <v>0</v>
      </c>
      <c r="CE523" s="1511">
        <f t="shared" si="372"/>
        <v>0</v>
      </c>
      <c r="CF523" s="1511">
        <f t="shared" si="372"/>
        <v>0</v>
      </c>
      <c r="CG523" s="1596"/>
      <c r="CH523" s="1511">
        <f t="shared" si="372"/>
        <v>0</v>
      </c>
      <c r="CI523" s="1511">
        <f t="shared" si="372"/>
        <v>0</v>
      </c>
      <c r="CJ523" s="1511">
        <f t="shared" si="372"/>
        <v>0</v>
      </c>
      <c r="CK523" s="1511">
        <f t="shared" si="372"/>
        <v>0</v>
      </c>
      <c r="CL523" s="1558"/>
      <c r="CM523" s="1558"/>
      <c r="CN523" s="1558"/>
      <c r="CO523" s="1558"/>
      <c r="CP523" s="1558"/>
      <c r="CQ523" s="1558"/>
      <c r="CR523" s="1558"/>
      <c r="CS523" s="1558"/>
      <c r="CT523" s="1558"/>
      <c r="CU523" s="1558"/>
      <c r="CV523" s="1558"/>
      <c r="CW523" s="1558"/>
      <c r="CY523" s="1558"/>
    </row>
    <row r="524" spans="1:104" s="1559" customFormat="1" x14ac:dyDescent="0.15">
      <c r="A524" s="1541" t="s">
        <v>86</v>
      </c>
      <c r="B524" s="1523" t="s">
        <v>79</v>
      </c>
      <c r="C524" s="1523" t="s">
        <v>80</v>
      </c>
      <c r="D524" s="1523" t="s">
        <v>125</v>
      </c>
      <c r="E524" s="1523" t="s">
        <v>216</v>
      </c>
      <c r="F524" s="1523"/>
      <c r="G524" s="1667">
        <v>222</v>
      </c>
      <c r="H524" s="1502">
        <f t="shared" si="373"/>
        <v>250</v>
      </c>
      <c r="I524" s="1502">
        <f t="shared" si="373"/>
        <v>1855</v>
      </c>
      <c r="J524" s="1502">
        <f t="shared" si="371"/>
        <v>0</v>
      </c>
      <c r="K524" s="1502">
        <f t="shared" si="371"/>
        <v>170</v>
      </c>
      <c r="L524" s="1502">
        <f t="shared" si="371"/>
        <v>0</v>
      </c>
      <c r="M524" s="1502">
        <f t="shared" si="371"/>
        <v>0</v>
      </c>
      <c r="N524" s="1502">
        <f t="shared" si="371"/>
        <v>0</v>
      </c>
      <c r="O524" s="1502">
        <f t="shared" si="371"/>
        <v>0</v>
      </c>
      <c r="P524" s="1502">
        <f t="shared" si="371"/>
        <v>0</v>
      </c>
      <c r="Q524" s="1502">
        <f t="shared" si="371"/>
        <v>0</v>
      </c>
      <c r="R524" s="1503">
        <f t="shared" si="371"/>
        <v>0</v>
      </c>
      <c r="S524" s="1503">
        <f t="shared" si="371"/>
        <v>0</v>
      </c>
      <c r="T524" s="1511">
        <f t="shared" si="371"/>
        <v>0</v>
      </c>
      <c r="U524" s="1511">
        <f t="shared" si="371"/>
        <v>0</v>
      </c>
      <c r="V524" s="1511">
        <f t="shared" si="371"/>
        <v>0</v>
      </c>
      <c r="W524" s="1511">
        <f t="shared" si="371"/>
        <v>0</v>
      </c>
      <c r="X524" s="1511">
        <f t="shared" si="371"/>
        <v>0</v>
      </c>
      <c r="Y524" s="1511">
        <f t="shared" si="371"/>
        <v>0</v>
      </c>
      <c r="Z524" s="1511">
        <f t="shared" si="371"/>
        <v>0</v>
      </c>
      <c r="AA524" s="1511">
        <f t="shared" si="371"/>
        <v>0</v>
      </c>
      <c r="AB524" s="1511">
        <f t="shared" si="371"/>
        <v>0</v>
      </c>
      <c r="AC524" s="1511">
        <f t="shared" si="371"/>
        <v>249.99999999999997</v>
      </c>
      <c r="AD524" s="1511">
        <f t="shared" si="371"/>
        <v>2025</v>
      </c>
      <c r="AE524" s="1511">
        <f t="shared" si="371"/>
        <v>1855</v>
      </c>
      <c r="AF524" s="1511">
        <f t="shared" si="371"/>
        <v>0</v>
      </c>
      <c r="AG524" s="1511">
        <f t="shared" si="371"/>
        <v>170</v>
      </c>
      <c r="AH524" s="1511">
        <f t="shared" si="371"/>
        <v>0</v>
      </c>
      <c r="AI524" s="1511">
        <f t="shared" si="371"/>
        <v>0</v>
      </c>
      <c r="AJ524" s="1511">
        <f t="shared" si="371"/>
        <v>0</v>
      </c>
      <c r="AK524" s="1511">
        <f t="shared" si="371"/>
        <v>0</v>
      </c>
      <c r="AL524" s="1511">
        <f t="shared" si="371"/>
        <v>0</v>
      </c>
      <c r="AM524" s="1511">
        <f t="shared" si="371"/>
        <v>0</v>
      </c>
      <c r="AN524" s="1511"/>
      <c r="AO524" s="1511">
        <f t="shared" si="372"/>
        <v>66.7</v>
      </c>
      <c r="AP524" s="1511">
        <f t="shared" si="372"/>
        <v>0</v>
      </c>
      <c r="AQ524" s="1511">
        <f t="shared" si="372"/>
        <v>0</v>
      </c>
      <c r="AR524" s="1511">
        <f t="shared" si="372"/>
        <v>0</v>
      </c>
      <c r="AS524" s="1507">
        <f t="shared" si="372"/>
        <v>0</v>
      </c>
      <c r="AT524" s="1511">
        <f t="shared" si="372"/>
        <v>0</v>
      </c>
      <c r="AU524" s="1511">
        <f t="shared" si="372"/>
        <v>0</v>
      </c>
      <c r="AV524" s="1511">
        <f t="shared" si="372"/>
        <v>0</v>
      </c>
      <c r="AW524" s="1507">
        <f t="shared" si="372"/>
        <v>0</v>
      </c>
      <c r="AX524" s="1511">
        <f t="shared" si="372"/>
        <v>0</v>
      </c>
      <c r="AY524" s="1511">
        <f t="shared" si="372"/>
        <v>0</v>
      </c>
      <c r="AZ524" s="1511">
        <f t="shared" si="372"/>
        <v>0</v>
      </c>
      <c r="BA524" s="1511">
        <f t="shared" si="372"/>
        <v>0</v>
      </c>
      <c r="BB524" s="1511">
        <f t="shared" si="372"/>
        <v>0</v>
      </c>
      <c r="BC524" s="1511">
        <f t="shared" si="372"/>
        <v>0</v>
      </c>
      <c r="BD524" s="1511">
        <f t="shared" si="372"/>
        <v>0</v>
      </c>
      <c r="BE524" s="1511">
        <f t="shared" si="372"/>
        <v>166.7</v>
      </c>
      <c r="BF524" s="1511">
        <f t="shared" si="372"/>
        <v>0</v>
      </c>
      <c r="BG524" s="1511">
        <f t="shared" si="372"/>
        <v>0</v>
      </c>
      <c r="BH524" s="1511">
        <f t="shared" si="372"/>
        <v>170</v>
      </c>
      <c r="BI524" s="1511">
        <f t="shared" si="372"/>
        <v>0</v>
      </c>
      <c r="BJ524" s="1511">
        <f t="shared" si="372"/>
        <v>0</v>
      </c>
      <c r="BK524" s="1511">
        <f t="shared" si="372"/>
        <v>0</v>
      </c>
      <c r="BL524" s="1511">
        <f t="shared" si="372"/>
        <v>0</v>
      </c>
      <c r="BM524" s="1511">
        <f t="shared" si="372"/>
        <v>0</v>
      </c>
      <c r="BN524" s="1511">
        <f t="shared" si="372"/>
        <v>0</v>
      </c>
      <c r="BO524" s="1511">
        <f t="shared" si="372"/>
        <v>0</v>
      </c>
      <c r="BP524" s="1511">
        <f t="shared" si="372"/>
        <v>0</v>
      </c>
      <c r="BQ524" s="1511">
        <f t="shared" si="372"/>
        <v>16.600000000000001</v>
      </c>
      <c r="BR524" s="1511">
        <f t="shared" si="372"/>
        <v>0</v>
      </c>
      <c r="BS524" s="1511">
        <f t="shared" si="372"/>
        <v>0</v>
      </c>
      <c r="BT524" s="1511">
        <f t="shared" si="372"/>
        <v>0</v>
      </c>
      <c r="BU524" s="1511">
        <f t="shared" si="372"/>
        <v>0</v>
      </c>
      <c r="BV524" s="1511">
        <f t="shared" si="372"/>
        <v>0</v>
      </c>
      <c r="BW524" s="1511">
        <f t="shared" si="372"/>
        <v>0</v>
      </c>
      <c r="BX524" s="1511">
        <f t="shared" si="372"/>
        <v>0</v>
      </c>
      <c r="BY524" s="1511">
        <f t="shared" si="372"/>
        <v>0</v>
      </c>
      <c r="BZ524" s="1511">
        <f t="shared" si="372"/>
        <v>555</v>
      </c>
      <c r="CA524" s="1511">
        <f t="shared" si="372"/>
        <v>0</v>
      </c>
      <c r="CB524" s="1511">
        <f t="shared" si="372"/>
        <v>0</v>
      </c>
      <c r="CC524" s="1511">
        <f t="shared" si="372"/>
        <v>0</v>
      </c>
      <c r="CD524" s="1511">
        <f t="shared" si="372"/>
        <v>0</v>
      </c>
      <c r="CE524" s="1511">
        <f t="shared" si="372"/>
        <v>0</v>
      </c>
      <c r="CF524" s="1511">
        <f t="shared" si="372"/>
        <v>0</v>
      </c>
      <c r="CG524" s="1596"/>
      <c r="CH524" s="1511">
        <f t="shared" si="372"/>
        <v>0</v>
      </c>
      <c r="CI524" s="1511">
        <f t="shared" si="372"/>
        <v>1300</v>
      </c>
      <c r="CJ524" s="1511">
        <f t="shared" si="372"/>
        <v>0</v>
      </c>
      <c r="CK524" s="1511">
        <f t="shared" si="372"/>
        <v>0</v>
      </c>
      <c r="CL524" s="1558"/>
      <c r="CM524" s="1558"/>
      <c r="CN524" s="1558"/>
      <c r="CO524" s="1558"/>
      <c r="CP524" s="1558"/>
      <c r="CQ524" s="1558"/>
      <c r="CR524" s="1558"/>
      <c r="CS524" s="1558"/>
      <c r="CT524" s="1558"/>
      <c r="CU524" s="1558"/>
      <c r="CV524" s="1558"/>
      <c r="CW524" s="1558"/>
      <c r="CY524" s="1558"/>
    </row>
    <row r="525" spans="1:104" s="1559" customFormat="1" x14ac:dyDescent="0.15">
      <c r="A525" s="1541" t="s">
        <v>87</v>
      </c>
      <c r="B525" s="1523" t="s">
        <v>79</v>
      </c>
      <c r="C525" s="1523" t="s">
        <v>80</v>
      </c>
      <c r="D525" s="1523" t="s">
        <v>125</v>
      </c>
      <c r="E525" s="1523" t="s">
        <v>216</v>
      </c>
      <c r="F525" s="1523"/>
      <c r="G525" s="1667">
        <v>223</v>
      </c>
      <c r="H525" s="1502">
        <f t="shared" si="373"/>
        <v>8319.4000000000015</v>
      </c>
      <c r="I525" s="1502">
        <f t="shared" si="373"/>
        <v>0</v>
      </c>
      <c r="J525" s="1502">
        <f t="shared" si="371"/>
        <v>0</v>
      </c>
      <c r="K525" s="1502">
        <f t="shared" si="371"/>
        <v>0</v>
      </c>
      <c r="L525" s="1502">
        <f t="shared" si="371"/>
        <v>0</v>
      </c>
      <c r="M525" s="1502">
        <f t="shared" si="371"/>
        <v>0</v>
      </c>
      <c r="N525" s="1502">
        <f t="shared" si="371"/>
        <v>0</v>
      </c>
      <c r="O525" s="1502">
        <f t="shared" si="371"/>
        <v>0</v>
      </c>
      <c r="P525" s="1502">
        <f t="shared" si="371"/>
        <v>0</v>
      </c>
      <c r="Q525" s="1502">
        <f t="shared" si="371"/>
        <v>0</v>
      </c>
      <c r="R525" s="1503">
        <f t="shared" si="371"/>
        <v>0</v>
      </c>
      <c r="S525" s="1503">
        <f t="shared" si="371"/>
        <v>0</v>
      </c>
      <c r="T525" s="1511">
        <f t="shared" si="371"/>
        <v>0</v>
      </c>
      <c r="U525" s="1511">
        <f t="shared" si="371"/>
        <v>0</v>
      </c>
      <c r="V525" s="1511">
        <f t="shared" si="371"/>
        <v>0</v>
      </c>
      <c r="W525" s="1511">
        <f t="shared" si="371"/>
        <v>0</v>
      </c>
      <c r="X525" s="1511">
        <f t="shared" si="371"/>
        <v>0</v>
      </c>
      <c r="Y525" s="1511">
        <f t="shared" si="371"/>
        <v>0</v>
      </c>
      <c r="Z525" s="1511">
        <f t="shared" si="371"/>
        <v>0</v>
      </c>
      <c r="AA525" s="1511">
        <f t="shared" si="371"/>
        <v>0</v>
      </c>
      <c r="AB525" s="1511">
        <f t="shared" si="371"/>
        <v>0</v>
      </c>
      <c r="AC525" s="1511">
        <f t="shared" si="371"/>
        <v>8319.4000000000015</v>
      </c>
      <c r="AD525" s="1511">
        <f t="shared" si="371"/>
        <v>0</v>
      </c>
      <c r="AE525" s="1511">
        <f t="shared" si="371"/>
        <v>0</v>
      </c>
      <c r="AF525" s="1511">
        <f t="shared" si="371"/>
        <v>0</v>
      </c>
      <c r="AG525" s="1511">
        <f t="shared" si="371"/>
        <v>0</v>
      </c>
      <c r="AH525" s="1511">
        <f t="shared" si="371"/>
        <v>908.3</v>
      </c>
      <c r="AI525" s="1511">
        <f t="shared" si="371"/>
        <v>0</v>
      </c>
      <c r="AJ525" s="1511">
        <f t="shared" si="371"/>
        <v>0</v>
      </c>
      <c r="AK525" s="1511">
        <f t="shared" si="371"/>
        <v>0</v>
      </c>
      <c r="AL525" s="1511">
        <f t="shared" si="371"/>
        <v>0</v>
      </c>
      <c r="AM525" s="1511">
        <f t="shared" si="371"/>
        <v>0</v>
      </c>
      <c r="AN525" s="1511"/>
      <c r="AO525" s="1511">
        <f t="shared" si="372"/>
        <v>823.0999999999998</v>
      </c>
      <c r="AP525" s="1511">
        <f t="shared" si="372"/>
        <v>0</v>
      </c>
      <c r="AQ525" s="1511">
        <f t="shared" si="372"/>
        <v>0</v>
      </c>
      <c r="AR525" s="1511">
        <f t="shared" si="372"/>
        <v>0</v>
      </c>
      <c r="AS525" s="1507">
        <f t="shared" si="372"/>
        <v>722.6</v>
      </c>
      <c r="AT525" s="1511">
        <f t="shared" si="372"/>
        <v>0</v>
      </c>
      <c r="AU525" s="1511">
        <f t="shared" si="372"/>
        <v>0</v>
      </c>
      <c r="AV525" s="1511">
        <f t="shared" si="372"/>
        <v>0</v>
      </c>
      <c r="AW525" s="1507">
        <f t="shared" si="372"/>
        <v>0</v>
      </c>
      <c r="AX525" s="1511">
        <f t="shared" si="372"/>
        <v>0</v>
      </c>
      <c r="AY525" s="1511">
        <f t="shared" si="372"/>
        <v>0</v>
      </c>
      <c r="AZ525" s="1511">
        <f t="shared" si="372"/>
        <v>0</v>
      </c>
      <c r="BA525" s="1511">
        <f t="shared" ref="BA525:CK525" si="374">BA541+BA557+BA573+BA589+BA605+BA621+BA638+BA654+BA670+BA686+BA702+BA734+BA750+BA766+BA782+BA798+BA814+BA830+BA846+BA862+BA878+BA894+BA910+BA926</f>
        <v>0</v>
      </c>
      <c r="BB525" s="1511">
        <f t="shared" si="374"/>
        <v>0</v>
      </c>
      <c r="BC525" s="1511">
        <f t="shared" si="374"/>
        <v>0</v>
      </c>
      <c r="BD525" s="1511">
        <f t="shared" si="374"/>
        <v>0</v>
      </c>
      <c r="BE525" s="1511">
        <f t="shared" si="374"/>
        <v>1613.1999999999998</v>
      </c>
      <c r="BF525" s="1511">
        <f t="shared" si="374"/>
        <v>0</v>
      </c>
      <c r="BG525" s="1511">
        <f t="shared" si="374"/>
        <v>0</v>
      </c>
      <c r="BH525" s="1511">
        <f t="shared" si="374"/>
        <v>0</v>
      </c>
      <c r="BI525" s="1511">
        <f t="shared" si="374"/>
        <v>806.59999999999991</v>
      </c>
      <c r="BJ525" s="1511">
        <f t="shared" si="374"/>
        <v>0</v>
      </c>
      <c r="BK525" s="1511">
        <f t="shared" si="374"/>
        <v>0</v>
      </c>
      <c r="BL525" s="1511">
        <f t="shared" si="374"/>
        <v>0</v>
      </c>
      <c r="BM525" s="1511">
        <f t="shared" si="374"/>
        <v>0</v>
      </c>
      <c r="BN525" s="1511">
        <f t="shared" si="374"/>
        <v>0</v>
      </c>
      <c r="BO525" s="1511">
        <f t="shared" si="374"/>
        <v>0</v>
      </c>
      <c r="BP525" s="1511">
        <f t="shared" si="374"/>
        <v>0</v>
      </c>
      <c r="BQ525" s="1511">
        <f t="shared" si="374"/>
        <v>846.6</v>
      </c>
      <c r="BR525" s="1511">
        <f t="shared" si="374"/>
        <v>0</v>
      </c>
      <c r="BS525" s="1511">
        <f t="shared" si="374"/>
        <v>0</v>
      </c>
      <c r="BT525" s="1511">
        <f t="shared" si="374"/>
        <v>0</v>
      </c>
      <c r="BU525" s="1511">
        <f t="shared" si="374"/>
        <v>1694.4499999999998</v>
      </c>
      <c r="BV525" s="1511">
        <f t="shared" si="374"/>
        <v>0</v>
      </c>
      <c r="BW525" s="1511">
        <f t="shared" si="374"/>
        <v>0</v>
      </c>
      <c r="BX525" s="1511">
        <f t="shared" si="374"/>
        <v>0</v>
      </c>
      <c r="BY525" s="1511">
        <f t="shared" si="374"/>
        <v>933.55000000000007</v>
      </c>
      <c r="BZ525" s="1511">
        <f t="shared" si="374"/>
        <v>0</v>
      </c>
      <c r="CA525" s="1511">
        <f t="shared" si="374"/>
        <v>0</v>
      </c>
      <c r="CB525" s="1511">
        <f t="shared" si="374"/>
        <v>0</v>
      </c>
      <c r="CC525" s="1511">
        <f t="shared" si="374"/>
        <v>-29</v>
      </c>
      <c r="CD525" s="1511">
        <f t="shared" si="374"/>
        <v>0</v>
      </c>
      <c r="CE525" s="1511">
        <f t="shared" si="374"/>
        <v>0</v>
      </c>
      <c r="CF525" s="1511">
        <f t="shared" si="374"/>
        <v>0</v>
      </c>
      <c r="CG525" s="1596"/>
      <c r="CH525" s="1511">
        <f t="shared" si="374"/>
        <v>908.3</v>
      </c>
      <c r="CI525" s="1511">
        <f t="shared" si="374"/>
        <v>0</v>
      </c>
      <c r="CJ525" s="1511">
        <f t="shared" si="374"/>
        <v>0</v>
      </c>
      <c r="CK525" s="1511">
        <f t="shared" si="374"/>
        <v>0</v>
      </c>
      <c r="CL525" s="1558"/>
      <c r="CM525" s="1558"/>
      <c r="CN525" s="1558"/>
      <c r="CO525" s="1558">
        <f>1613.2/1981.25</f>
        <v>0.81423343848580443</v>
      </c>
      <c r="CP525" s="1510">
        <f>CP541+CP557+CP573+CP589+CP605+CP621+CP638+CP654+CP670+CP686+CP702+CP734+CP750+CP766+CP782+CP798+CP814+CP830+CP846+CP862+CP878+CP894+CP910+CP926</f>
        <v>0</v>
      </c>
      <c r="CQ525" s="1558"/>
      <c r="CR525" s="1558"/>
      <c r="CS525" s="1558"/>
      <c r="CT525" s="1558"/>
      <c r="CU525" s="1558"/>
      <c r="CV525" s="1558"/>
      <c r="CW525" s="1558"/>
      <c r="CY525" s="1558"/>
    </row>
    <row r="526" spans="1:104" s="1559" customFormat="1" x14ac:dyDescent="0.15">
      <c r="A526" s="1541" t="s">
        <v>134</v>
      </c>
      <c r="B526" s="1523" t="s">
        <v>79</v>
      </c>
      <c r="C526" s="1523" t="s">
        <v>80</v>
      </c>
      <c r="D526" s="1523" t="s">
        <v>125</v>
      </c>
      <c r="E526" s="1523" t="s">
        <v>216</v>
      </c>
      <c r="F526" s="1523"/>
      <c r="G526" s="1667">
        <v>224</v>
      </c>
      <c r="H526" s="1502">
        <f t="shared" si="373"/>
        <v>1317.4459999999999</v>
      </c>
      <c r="I526" s="1502">
        <f t="shared" si="373"/>
        <v>0</v>
      </c>
      <c r="J526" s="1502">
        <f t="shared" si="371"/>
        <v>0</v>
      </c>
      <c r="K526" s="1502">
        <f t="shared" si="371"/>
        <v>0</v>
      </c>
      <c r="L526" s="1502">
        <f t="shared" si="371"/>
        <v>0</v>
      </c>
      <c r="M526" s="1502">
        <f t="shared" si="371"/>
        <v>0</v>
      </c>
      <c r="N526" s="1502">
        <f t="shared" si="371"/>
        <v>0</v>
      </c>
      <c r="O526" s="1502">
        <f t="shared" si="371"/>
        <v>0</v>
      </c>
      <c r="P526" s="1502">
        <f t="shared" si="371"/>
        <v>0</v>
      </c>
      <c r="Q526" s="1502">
        <f t="shared" si="371"/>
        <v>0</v>
      </c>
      <c r="R526" s="1503">
        <f t="shared" si="371"/>
        <v>0</v>
      </c>
      <c r="S526" s="1503">
        <f t="shared" si="371"/>
        <v>0</v>
      </c>
      <c r="T526" s="1511">
        <f t="shared" si="371"/>
        <v>0</v>
      </c>
      <c r="U526" s="1511">
        <f t="shared" si="371"/>
        <v>0</v>
      </c>
      <c r="V526" s="1511">
        <f t="shared" si="371"/>
        <v>0</v>
      </c>
      <c r="W526" s="1511">
        <f t="shared" si="371"/>
        <v>0</v>
      </c>
      <c r="X526" s="1511">
        <f t="shared" si="371"/>
        <v>0</v>
      </c>
      <c r="Y526" s="1511">
        <f t="shared" si="371"/>
        <v>0</v>
      </c>
      <c r="Z526" s="1511">
        <f t="shared" si="371"/>
        <v>0</v>
      </c>
      <c r="AA526" s="1511">
        <f t="shared" si="371"/>
        <v>0</v>
      </c>
      <c r="AB526" s="1511">
        <f t="shared" si="371"/>
        <v>0</v>
      </c>
      <c r="AC526" s="1511">
        <f t="shared" si="371"/>
        <v>1317.4459999999999</v>
      </c>
      <c r="AD526" s="1511">
        <f t="shared" si="371"/>
        <v>0</v>
      </c>
      <c r="AE526" s="1511">
        <f t="shared" si="371"/>
        <v>0</v>
      </c>
      <c r="AF526" s="1511">
        <f t="shared" si="371"/>
        <v>0</v>
      </c>
      <c r="AG526" s="1511">
        <f t="shared" si="371"/>
        <v>0</v>
      </c>
      <c r="AH526" s="1511">
        <f t="shared" si="371"/>
        <v>275.39999999999998</v>
      </c>
      <c r="AI526" s="1511">
        <f t="shared" si="371"/>
        <v>0</v>
      </c>
      <c r="AJ526" s="1511">
        <f t="shared" si="371"/>
        <v>0</v>
      </c>
      <c r="AK526" s="1511">
        <f t="shared" si="371"/>
        <v>0</v>
      </c>
      <c r="AL526" s="1511">
        <f t="shared" si="371"/>
        <v>0</v>
      </c>
      <c r="AM526" s="1511">
        <f t="shared" si="371"/>
        <v>0</v>
      </c>
      <c r="AN526" s="1511"/>
      <c r="AO526" s="1511">
        <f t="shared" ref="AO526:CK528" si="375">AO542+AO558+AO574+AO590+AO606+AO622+AO639+AO655+AO671+AO687+AO703+AO735+AO751+AO767+AO783+AO799+AO815+AO831+AO847+AO863+AO879+AO895+AO911+AO927</f>
        <v>83.5</v>
      </c>
      <c r="AP526" s="1511">
        <f t="shared" si="375"/>
        <v>0</v>
      </c>
      <c r="AQ526" s="1511">
        <f t="shared" si="375"/>
        <v>0</v>
      </c>
      <c r="AR526" s="1511">
        <f t="shared" si="375"/>
        <v>0</v>
      </c>
      <c r="AS526" s="1507">
        <f t="shared" si="375"/>
        <v>83.5</v>
      </c>
      <c r="AT526" s="1511">
        <f t="shared" si="375"/>
        <v>0</v>
      </c>
      <c r="AU526" s="1511">
        <f t="shared" si="375"/>
        <v>0</v>
      </c>
      <c r="AV526" s="1511">
        <f t="shared" si="375"/>
        <v>0</v>
      </c>
      <c r="AW526" s="1507">
        <f t="shared" si="375"/>
        <v>300</v>
      </c>
      <c r="AX526" s="1511">
        <f t="shared" si="375"/>
        <v>0</v>
      </c>
      <c r="AY526" s="1511">
        <f t="shared" si="375"/>
        <v>0</v>
      </c>
      <c r="AZ526" s="1511">
        <f t="shared" si="375"/>
        <v>0</v>
      </c>
      <c r="BA526" s="1511">
        <f t="shared" si="375"/>
        <v>0</v>
      </c>
      <c r="BB526" s="1511">
        <f t="shared" si="375"/>
        <v>0</v>
      </c>
      <c r="BC526" s="1511">
        <f t="shared" si="375"/>
        <v>0</v>
      </c>
      <c r="BD526" s="1511">
        <f t="shared" si="375"/>
        <v>0</v>
      </c>
      <c r="BE526" s="1511">
        <f t="shared" si="375"/>
        <v>0</v>
      </c>
      <c r="BF526" s="1511">
        <f t="shared" si="375"/>
        <v>0</v>
      </c>
      <c r="BG526" s="1511">
        <f t="shared" si="375"/>
        <v>0</v>
      </c>
      <c r="BH526" s="1511">
        <f t="shared" si="375"/>
        <v>0</v>
      </c>
      <c r="BI526" s="1511">
        <f t="shared" si="375"/>
        <v>0</v>
      </c>
      <c r="BJ526" s="1511">
        <f t="shared" si="375"/>
        <v>0</v>
      </c>
      <c r="BK526" s="1511">
        <f t="shared" si="375"/>
        <v>0</v>
      </c>
      <c r="BL526" s="1511">
        <f t="shared" si="375"/>
        <v>0</v>
      </c>
      <c r="BM526" s="1511">
        <f t="shared" si="375"/>
        <v>0</v>
      </c>
      <c r="BN526" s="1511">
        <f t="shared" si="375"/>
        <v>0</v>
      </c>
      <c r="BO526" s="1511">
        <f t="shared" si="375"/>
        <v>0</v>
      </c>
      <c r="BP526" s="1511">
        <f t="shared" si="375"/>
        <v>0</v>
      </c>
      <c r="BQ526" s="1511">
        <f t="shared" si="375"/>
        <v>250</v>
      </c>
      <c r="BR526" s="1511">
        <f t="shared" si="375"/>
        <v>0</v>
      </c>
      <c r="BS526" s="1511">
        <f t="shared" si="375"/>
        <v>0</v>
      </c>
      <c r="BT526" s="1511">
        <f t="shared" si="375"/>
        <v>0</v>
      </c>
      <c r="BU526" s="1511">
        <f t="shared" si="375"/>
        <v>210</v>
      </c>
      <c r="BV526" s="1511">
        <f t="shared" si="375"/>
        <v>0</v>
      </c>
      <c r="BW526" s="1511">
        <f t="shared" si="375"/>
        <v>0</v>
      </c>
      <c r="BX526" s="1511">
        <f t="shared" si="375"/>
        <v>0</v>
      </c>
      <c r="BY526" s="1511">
        <f t="shared" si="375"/>
        <v>0</v>
      </c>
      <c r="BZ526" s="1511">
        <f t="shared" si="375"/>
        <v>0</v>
      </c>
      <c r="CA526" s="1511">
        <f t="shared" si="375"/>
        <v>0</v>
      </c>
      <c r="CB526" s="1511">
        <f t="shared" si="375"/>
        <v>0</v>
      </c>
      <c r="CC526" s="1511">
        <f t="shared" si="375"/>
        <v>0</v>
      </c>
      <c r="CD526" s="1511">
        <f t="shared" si="375"/>
        <v>0</v>
      </c>
      <c r="CE526" s="1511">
        <f t="shared" si="375"/>
        <v>0</v>
      </c>
      <c r="CF526" s="1511">
        <f t="shared" si="375"/>
        <v>0</v>
      </c>
      <c r="CG526" s="1596"/>
      <c r="CH526" s="1511">
        <f t="shared" si="375"/>
        <v>390.44600000000003</v>
      </c>
      <c r="CI526" s="1511">
        <f t="shared" si="375"/>
        <v>0</v>
      </c>
      <c r="CJ526" s="1511">
        <f t="shared" si="375"/>
        <v>0</v>
      </c>
      <c r="CK526" s="1511">
        <f t="shared" si="375"/>
        <v>0</v>
      </c>
      <c r="CL526" s="1558"/>
      <c r="CM526" s="1558"/>
      <c r="CN526" s="1558"/>
      <c r="CO526" s="1558"/>
      <c r="CP526" s="1558"/>
      <c r="CQ526" s="1558"/>
      <c r="CR526" s="1558"/>
      <c r="CS526" s="1558"/>
      <c r="CT526" s="1558"/>
      <c r="CU526" s="1558"/>
      <c r="CV526" s="1558"/>
      <c r="CW526" s="1558"/>
      <c r="CY526" s="1558"/>
    </row>
    <row r="527" spans="1:104" s="1559" customFormat="1" x14ac:dyDescent="0.15">
      <c r="A527" s="1541" t="s">
        <v>90</v>
      </c>
      <c r="B527" s="1523" t="s">
        <v>79</v>
      </c>
      <c r="C527" s="1523" t="s">
        <v>80</v>
      </c>
      <c r="D527" s="1523" t="s">
        <v>125</v>
      </c>
      <c r="E527" s="1523" t="s">
        <v>216</v>
      </c>
      <c r="F527" s="1523"/>
      <c r="G527" s="1667">
        <v>225</v>
      </c>
      <c r="H527" s="1502">
        <f t="shared" si="373"/>
        <v>21061.4</v>
      </c>
      <c r="I527" s="1502">
        <f t="shared" si="373"/>
        <v>80000</v>
      </c>
      <c r="J527" s="1502">
        <f t="shared" si="371"/>
        <v>4942.92</v>
      </c>
      <c r="K527" s="1502">
        <f t="shared" si="371"/>
        <v>0</v>
      </c>
      <c r="L527" s="1502">
        <f t="shared" si="371"/>
        <v>0</v>
      </c>
      <c r="M527" s="1502">
        <f t="shared" si="371"/>
        <v>0</v>
      </c>
      <c r="N527" s="1502">
        <f t="shared" si="371"/>
        <v>0</v>
      </c>
      <c r="O527" s="1502">
        <f t="shared" si="371"/>
        <v>0</v>
      </c>
      <c r="P527" s="1502">
        <f t="shared" si="371"/>
        <v>0</v>
      </c>
      <c r="Q527" s="1502">
        <f t="shared" si="371"/>
        <v>0</v>
      </c>
      <c r="R527" s="1503">
        <f t="shared" si="371"/>
        <v>0</v>
      </c>
      <c r="S527" s="1503">
        <f t="shared" si="371"/>
        <v>0</v>
      </c>
      <c r="T527" s="1511">
        <f t="shared" si="371"/>
        <v>80000</v>
      </c>
      <c r="U527" s="1511">
        <f t="shared" si="371"/>
        <v>1710.7570000000001</v>
      </c>
      <c r="V527" s="1511">
        <f t="shared" si="371"/>
        <v>1165.22</v>
      </c>
      <c r="W527" s="1511">
        <f t="shared" si="371"/>
        <v>0</v>
      </c>
      <c r="X527" s="1511">
        <f t="shared" si="371"/>
        <v>0</v>
      </c>
      <c r="Y527" s="1511">
        <f t="shared" si="371"/>
        <v>0</v>
      </c>
      <c r="Z527" s="1511">
        <f t="shared" si="371"/>
        <v>0</v>
      </c>
      <c r="AA527" s="1511">
        <f t="shared" si="371"/>
        <v>0</v>
      </c>
      <c r="AB527" s="1511">
        <f t="shared" si="371"/>
        <v>0</v>
      </c>
      <c r="AC527" s="1511">
        <f t="shared" si="371"/>
        <v>21061.4</v>
      </c>
      <c r="AD527" s="1511">
        <f t="shared" si="371"/>
        <v>28942.92</v>
      </c>
      <c r="AE527" s="1511">
        <f t="shared" si="371"/>
        <v>24000</v>
      </c>
      <c r="AF527" s="1511">
        <f t="shared" si="371"/>
        <v>4942.92</v>
      </c>
      <c r="AG527" s="1511">
        <f t="shared" si="371"/>
        <v>0</v>
      </c>
      <c r="AH527" s="1511">
        <f t="shared" si="371"/>
        <v>99</v>
      </c>
      <c r="AI527" s="1511">
        <f t="shared" si="371"/>
        <v>0</v>
      </c>
      <c r="AJ527" s="1511">
        <f t="shared" si="371"/>
        <v>56000</v>
      </c>
      <c r="AK527" s="1511">
        <f t="shared" si="371"/>
        <v>56000</v>
      </c>
      <c r="AL527" s="1511">
        <f t="shared" si="371"/>
        <v>0</v>
      </c>
      <c r="AM527" s="1511">
        <f t="shared" si="371"/>
        <v>0</v>
      </c>
      <c r="AN527" s="1511"/>
      <c r="AO527" s="1511">
        <f t="shared" si="375"/>
        <v>0</v>
      </c>
      <c r="AP527" s="1511">
        <f t="shared" si="375"/>
        <v>0</v>
      </c>
      <c r="AQ527" s="1511">
        <f t="shared" si="375"/>
        <v>0</v>
      </c>
      <c r="AR527" s="1511">
        <f t="shared" si="375"/>
        <v>0</v>
      </c>
      <c r="AS527" s="1507">
        <f t="shared" si="375"/>
        <v>0</v>
      </c>
      <c r="AT527" s="1511">
        <f t="shared" si="375"/>
        <v>0</v>
      </c>
      <c r="AU527" s="1511">
        <f t="shared" si="375"/>
        <v>0</v>
      </c>
      <c r="AV527" s="1511">
        <f t="shared" si="375"/>
        <v>0</v>
      </c>
      <c r="AW527" s="1507">
        <f t="shared" si="375"/>
        <v>0</v>
      </c>
      <c r="AX527" s="1511">
        <f t="shared" si="375"/>
        <v>0</v>
      </c>
      <c r="AY527" s="1511">
        <f t="shared" si="375"/>
        <v>0</v>
      </c>
      <c r="AZ527" s="1511">
        <f t="shared" si="375"/>
        <v>0</v>
      </c>
      <c r="BA527" s="1511">
        <f t="shared" si="375"/>
        <v>5000</v>
      </c>
      <c r="BB527" s="1511">
        <f t="shared" si="375"/>
        <v>0</v>
      </c>
      <c r="BC527" s="1511">
        <f t="shared" si="375"/>
        <v>0</v>
      </c>
      <c r="BD527" s="1511">
        <f t="shared" si="375"/>
        <v>0</v>
      </c>
      <c r="BE527" s="1511">
        <f t="shared" si="375"/>
        <v>11</v>
      </c>
      <c r="BF527" s="1511">
        <f t="shared" si="375"/>
        <v>0</v>
      </c>
      <c r="BG527" s="1511">
        <f t="shared" si="375"/>
        <v>0</v>
      </c>
      <c r="BH527" s="1511">
        <f t="shared" si="375"/>
        <v>0</v>
      </c>
      <c r="BI527" s="1511">
        <f t="shared" si="375"/>
        <v>14740</v>
      </c>
      <c r="BJ527" s="1511">
        <f t="shared" si="375"/>
        <v>0</v>
      </c>
      <c r="BK527" s="1511">
        <f t="shared" si="375"/>
        <v>0</v>
      </c>
      <c r="BL527" s="1511">
        <f t="shared" si="375"/>
        <v>0</v>
      </c>
      <c r="BM527" s="1511">
        <f t="shared" si="375"/>
        <v>0</v>
      </c>
      <c r="BN527" s="1511">
        <f t="shared" si="375"/>
        <v>0</v>
      </c>
      <c r="BO527" s="1511">
        <f t="shared" si="375"/>
        <v>0</v>
      </c>
      <c r="BP527" s="1511">
        <f t="shared" si="375"/>
        <v>0</v>
      </c>
      <c r="BQ527" s="1511">
        <f t="shared" si="375"/>
        <v>1211.4000000000001</v>
      </c>
      <c r="BR527" s="1511">
        <f t="shared" si="375"/>
        <v>0</v>
      </c>
      <c r="BS527" s="1511">
        <f t="shared" si="375"/>
        <v>0</v>
      </c>
      <c r="BT527" s="1511">
        <f t="shared" si="375"/>
        <v>0</v>
      </c>
      <c r="BU527" s="1511">
        <f t="shared" si="375"/>
        <v>0</v>
      </c>
      <c r="BV527" s="1511">
        <f t="shared" si="375"/>
        <v>0</v>
      </c>
      <c r="BW527" s="1511">
        <f t="shared" si="375"/>
        <v>1000</v>
      </c>
      <c r="BX527" s="1511">
        <f t="shared" si="375"/>
        <v>0</v>
      </c>
      <c r="BY527" s="1511">
        <f t="shared" si="375"/>
        <v>0</v>
      </c>
      <c r="BZ527" s="1511">
        <f t="shared" si="375"/>
        <v>0</v>
      </c>
      <c r="CA527" s="1511">
        <f t="shared" si="375"/>
        <v>616.5</v>
      </c>
      <c r="CB527" s="1511">
        <f t="shared" si="375"/>
        <v>0</v>
      </c>
      <c r="CC527" s="1511">
        <f t="shared" si="375"/>
        <v>0</v>
      </c>
      <c r="CD527" s="1511">
        <f t="shared" si="375"/>
        <v>0</v>
      </c>
      <c r="CE527" s="1511">
        <f t="shared" si="375"/>
        <v>0</v>
      </c>
      <c r="CF527" s="1511">
        <f t="shared" si="375"/>
        <v>0</v>
      </c>
      <c r="CG527" s="1596"/>
      <c r="CH527" s="1511">
        <f t="shared" si="375"/>
        <v>99</v>
      </c>
      <c r="CI527" s="1511">
        <f t="shared" si="375"/>
        <v>0</v>
      </c>
      <c r="CJ527" s="1511">
        <f t="shared" si="375"/>
        <v>3326.42</v>
      </c>
      <c r="CK527" s="1511">
        <f t="shared" si="375"/>
        <v>0</v>
      </c>
      <c r="CL527" s="1558"/>
      <c r="CM527" s="1558"/>
      <c r="CN527" s="1558"/>
      <c r="CO527" s="1558"/>
      <c r="CP527" s="1558"/>
      <c r="CQ527" s="1558"/>
      <c r="CR527" s="1558"/>
      <c r="CS527" s="1558"/>
      <c r="CT527" s="1558"/>
      <c r="CU527" s="1558"/>
      <c r="CV527" s="1558"/>
      <c r="CW527" s="1558"/>
      <c r="CY527" s="1558"/>
    </row>
    <row r="528" spans="1:104" s="1559" customFormat="1" x14ac:dyDescent="0.15">
      <c r="A528" s="1541" t="s">
        <v>91</v>
      </c>
      <c r="B528" s="1523" t="s">
        <v>79</v>
      </c>
      <c r="C528" s="1523" t="s">
        <v>80</v>
      </c>
      <c r="D528" s="1523" t="s">
        <v>125</v>
      </c>
      <c r="E528" s="1523" t="s">
        <v>216</v>
      </c>
      <c r="F528" s="1523"/>
      <c r="G528" s="1667">
        <v>226</v>
      </c>
      <c r="H528" s="1502">
        <f t="shared" si="373"/>
        <v>8947.91705</v>
      </c>
      <c r="I528" s="1502">
        <f t="shared" si="373"/>
        <v>49862.477999999996</v>
      </c>
      <c r="J528" s="1502">
        <f t="shared" si="371"/>
        <v>549.11</v>
      </c>
      <c r="K528" s="1502">
        <f t="shared" si="371"/>
        <v>1650.1449999999998</v>
      </c>
      <c r="L528" s="1502">
        <f t="shared" si="371"/>
        <v>0</v>
      </c>
      <c r="M528" s="1502">
        <f t="shared" si="371"/>
        <v>0</v>
      </c>
      <c r="N528" s="1502">
        <f t="shared" si="371"/>
        <v>600</v>
      </c>
      <c r="O528" s="1502">
        <f t="shared" si="371"/>
        <v>0</v>
      </c>
      <c r="P528" s="1502">
        <f t="shared" si="371"/>
        <v>3300</v>
      </c>
      <c r="Q528" s="1502">
        <f t="shared" si="371"/>
        <v>9247.2454999999991</v>
      </c>
      <c r="R528" s="1503">
        <f t="shared" si="371"/>
        <v>1000</v>
      </c>
      <c r="S528" s="1503">
        <f t="shared" si="371"/>
        <v>9530.9599999999991</v>
      </c>
      <c r="T528" s="1511">
        <f t="shared" si="371"/>
        <v>13000</v>
      </c>
      <c r="U528" s="1511">
        <f t="shared" si="371"/>
        <v>2589.2429999999999</v>
      </c>
      <c r="V528" s="1511">
        <f t="shared" si="371"/>
        <v>217.89</v>
      </c>
      <c r="W528" s="1511">
        <f t="shared" si="371"/>
        <v>0</v>
      </c>
      <c r="X528" s="1511">
        <f t="shared" si="371"/>
        <v>0</v>
      </c>
      <c r="Y528" s="1511">
        <f t="shared" ref="Y528:AM528" si="376">Y544+Y560+Y576+Y592+Y608+Y624+Y641+Y657+Y673+Y689+Y705+Y737+Y753+Y769+Y785+Y801+Y817+Y833+Y849+Y865+Y881+Y897+Y913+Y929+Y721</f>
        <v>0</v>
      </c>
      <c r="Z528" s="1511">
        <f t="shared" si="376"/>
        <v>0</v>
      </c>
      <c r="AA528" s="1511">
        <f t="shared" si="376"/>
        <v>1042.8309999999999</v>
      </c>
      <c r="AB528" s="1511">
        <f t="shared" si="376"/>
        <v>1042.8309999999999</v>
      </c>
      <c r="AC528" s="1511">
        <f t="shared" si="376"/>
        <v>8947.91705</v>
      </c>
      <c r="AD528" s="1511">
        <f t="shared" si="376"/>
        <v>52061.732999999993</v>
      </c>
      <c r="AE528" s="1511">
        <f t="shared" si="376"/>
        <v>49862.477999999996</v>
      </c>
      <c r="AF528" s="1511">
        <f t="shared" si="376"/>
        <v>549.11</v>
      </c>
      <c r="AG528" s="1511">
        <f t="shared" si="376"/>
        <v>1650.145</v>
      </c>
      <c r="AH528" s="1511">
        <f t="shared" si="376"/>
        <v>7882.5800000000008</v>
      </c>
      <c r="AI528" s="1511">
        <f t="shared" si="376"/>
        <v>0</v>
      </c>
      <c r="AJ528" s="1511">
        <f t="shared" si="376"/>
        <v>6.1839422471621219E-14</v>
      </c>
      <c r="AK528" s="1511">
        <f t="shared" si="376"/>
        <v>6.1839422471621219E-14</v>
      </c>
      <c r="AL528" s="1511">
        <f t="shared" si="376"/>
        <v>0</v>
      </c>
      <c r="AM528" s="1511">
        <f t="shared" si="376"/>
        <v>0</v>
      </c>
      <c r="AN528" s="1511"/>
      <c r="AO528" s="1511">
        <f t="shared" si="375"/>
        <v>5905.8799999999992</v>
      </c>
      <c r="AP528" s="1511">
        <f t="shared" si="375"/>
        <v>108.3</v>
      </c>
      <c r="AQ528" s="1511">
        <f t="shared" si="375"/>
        <v>0</v>
      </c>
      <c r="AR528" s="1511">
        <f t="shared" si="375"/>
        <v>0</v>
      </c>
      <c r="AS528" s="1507">
        <f t="shared" si="375"/>
        <v>0</v>
      </c>
      <c r="AT528" s="1511">
        <f t="shared" si="375"/>
        <v>0</v>
      </c>
      <c r="AU528" s="1511">
        <f t="shared" si="375"/>
        <v>0</v>
      </c>
      <c r="AV528" s="1511">
        <f t="shared" si="375"/>
        <v>0</v>
      </c>
      <c r="AW528" s="1507">
        <f t="shared" si="375"/>
        <v>845.7</v>
      </c>
      <c r="AX528" s="1511">
        <f t="shared" si="375"/>
        <v>2018.2</v>
      </c>
      <c r="AY528" s="1511">
        <f t="shared" si="375"/>
        <v>0</v>
      </c>
      <c r="AZ528" s="1511">
        <f t="shared" si="375"/>
        <v>0</v>
      </c>
      <c r="BA528" s="1511">
        <f t="shared" si="375"/>
        <v>-85</v>
      </c>
      <c r="BB528" s="1511">
        <f t="shared" si="375"/>
        <v>4120</v>
      </c>
      <c r="BC528" s="1511">
        <f t="shared" si="375"/>
        <v>0</v>
      </c>
      <c r="BD528" s="1511">
        <f t="shared" si="375"/>
        <v>0</v>
      </c>
      <c r="BE528" s="1511">
        <f t="shared" si="375"/>
        <v>-918.53594999999996</v>
      </c>
      <c r="BF528" s="1511">
        <f t="shared" si="375"/>
        <v>2665.7</v>
      </c>
      <c r="BG528" s="1511">
        <f t="shared" si="375"/>
        <v>0</v>
      </c>
      <c r="BH528" s="1511">
        <f t="shared" si="375"/>
        <v>193.24299999999999</v>
      </c>
      <c r="BI528" s="1511">
        <f t="shared" si="375"/>
        <v>611.42699999999991</v>
      </c>
      <c r="BJ528" s="1511">
        <f t="shared" si="375"/>
        <v>0</v>
      </c>
      <c r="BK528" s="1511">
        <f t="shared" si="375"/>
        <v>0</v>
      </c>
      <c r="BL528" s="1511">
        <f t="shared" si="375"/>
        <v>0</v>
      </c>
      <c r="BM528" s="1511">
        <f t="shared" si="375"/>
        <v>147.5</v>
      </c>
      <c r="BN528" s="1511">
        <f t="shared" si="375"/>
        <v>4950</v>
      </c>
      <c r="BO528" s="1511">
        <f t="shared" si="375"/>
        <v>0</v>
      </c>
      <c r="BP528" s="1511">
        <f t="shared" si="375"/>
        <v>340</v>
      </c>
      <c r="BQ528" s="1511">
        <f t="shared" si="375"/>
        <v>923.41199999999992</v>
      </c>
      <c r="BR528" s="1511">
        <f t="shared" si="375"/>
        <v>6635</v>
      </c>
      <c r="BS528" s="1511">
        <f t="shared" si="375"/>
        <v>0</v>
      </c>
      <c r="BT528" s="1511">
        <f t="shared" si="375"/>
        <v>0</v>
      </c>
      <c r="BU528" s="1511">
        <f t="shared" si="375"/>
        <v>0</v>
      </c>
      <c r="BV528" s="1511">
        <f t="shared" si="375"/>
        <v>4898.6489999999994</v>
      </c>
      <c r="BW528" s="1511">
        <f t="shared" si="375"/>
        <v>400</v>
      </c>
      <c r="BX528" s="1511">
        <f t="shared" si="375"/>
        <v>110</v>
      </c>
      <c r="BY528" s="1511">
        <f t="shared" si="375"/>
        <v>-50</v>
      </c>
      <c r="BZ528" s="1511">
        <f t="shared" si="375"/>
        <v>6212.2110000000011</v>
      </c>
      <c r="CA528" s="1511">
        <f t="shared" si="375"/>
        <v>0</v>
      </c>
      <c r="CB528" s="1511">
        <f t="shared" si="375"/>
        <v>0</v>
      </c>
      <c r="CC528" s="1511">
        <f t="shared" si="375"/>
        <v>0</v>
      </c>
      <c r="CD528" s="1511">
        <f t="shared" si="375"/>
        <v>0</v>
      </c>
      <c r="CE528" s="1511">
        <f t="shared" si="375"/>
        <v>0</v>
      </c>
      <c r="CF528" s="1511">
        <f t="shared" si="375"/>
        <v>0</v>
      </c>
      <c r="CG528" s="1596"/>
      <c r="CH528" s="1511">
        <f t="shared" si="375"/>
        <v>1567.5339999999999</v>
      </c>
      <c r="CI528" s="1511">
        <f t="shared" si="375"/>
        <v>18254.418000000001</v>
      </c>
      <c r="CJ528" s="1511">
        <f t="shared" si="375"/>
        <v>149.11000000000001</v>
      </c>
      <c r="CK528" s="1511">
        <f t="shared" si="375"/>
        <v>1006.902</v>
      </c>
      <c r="CL528" s="1558"/>
      <c r="CM528" s="1558"/>
      <c r="CN528" s="1558"/>
      <c r="CO528" s="1558"/>
      <c r="CP528" s="1558"/>
      <c r="CQ528" s="1558"/>
      <c r="CR528" s="1558"/>
      <c r="CS528" s="1558"/>
      <c r="CT528" s="1558"/>
      <c r="CU528" s="1558"/>
      <c r="CV528" s="1558"/>
      <c r="CW528" s="1558"/>
      <c r="CY528" s="1558"/>
    </row>
    <row r="529" spans="1:107" s="1559" customFormat="1" x14ac:dyDescent="0.15">
      <c r="A529" s="1541" t="s">
        <v>94</v>
      </c>
      <c r="B529" s="1523" t="s">
        <v>79</v>
      </c>
      <c r="C529" s="1523" t="s">
        <v>80</v>
      </c>
      <c r="D529" s="1523" t="s">
        <v>125</v>
      </c>
      <c r="E529" s="1523" t="s">
        <v>216</v>
      </c>
      <c r="F529" s="1523"/>
      <c r="G529" s="1667">
        <v>290</v>
      </c>
      <c r="H529" s="1502">
        <f t="shared" ref="H529:AM532" si="377">H545+H561+H577+H593+H609+H626+H642+H658+H674+H690+H706+H738+H754+H770+H786+H802+H818+H834+H850+H866+H882+H898+H914+H930+H722</f>
        <v>10521.500000000004</v>
      </c>
      <c r="I529" s="1502">
        <f t="shared" si="377"/>
        <v>0</v>
      </c>
      <c r="J529" s="1502">
        <f t="shared" si="377"/>
        <v>0</v>
      </c>
      <c r="K529" s="1502">
        <f t="shared" si="377"/>
        <v>0</v>
      </c>
      <c r="L529" s="1502">
        <f t="shared" si="377"/>
        <v>0</v>
      </c>
      <c r="M529" s="1502">
        <f t="shared" si="377"/>
        <v>0</v>
      </c>
      <c r="N529" s="1502">
        <f t="shared" si="377"/>
        <v>0</v>
      </c>
      <c r="O529" s="1502">
        <f t="shared" si="377"/>
        <v>0</v>
      </c>
      <c r="P529" s="1502">
        <f t="shared" si="377"/>
        <v>0</v>
      </c>
      <c r="Q529" s="1502">
        <f t="shared" si="377"/>
        <v>0</v>
      </c>
      <c r="R529" s="1503">
        <f t="shared" si="377"/>
        <v>0</v>
      </c>
      <c r="S529" s="1503">
        <f t="shared" si="377"/>
        <v>0</v>
      </c>
      <c r="T529" s="1511">
        <f t="shared" si="377"/>
        <v>0</v>
      </c>
      <c r="U529" s="1511">
        <f t="shared" si="377"/>
        <v>0</v>
      </c>
      <c r="V529" s="1511">
        <f t="shared" si="377"/>
        <v>0</v>
      </c>
      <c r="W529" s="1511">
        <f t="shared" si="377"/>
        <v>0</v>
      </c>
      <c r="X529" s="1511">
        <f t="shared" si="377"/>
        <v>0</v>
      </c>
      <c r="Y529" s="1511">
        <f t="shared" si="377"/>
        <v>0</v>
      </c>
      <c r="Z529" s="1511">
        <f t="shared" si="377"/>
        <v>0</v>
      </c>
      <c r="AA529" s="1511">
        <f t="shared" si="377"/>
        <v>2.2749999999999999</v>
      </c>
      <c r="AB529" s="1511">
        <f t="shared" si="377"/>
        <v>2.2749999999999999</v>
      </c>
      <c r="AC529" s="1511">
        <f t="shared" si="377"/>
        <v>10521.500000000004</v>
      </c>
      <c r="AD529" s="1511">
        <f t="shared" si="377"/>
        <v>0</v>
      </c>
      <c r="AE529" s="1511">
        <f t="shared" si="377"/>
        <v>0</v>
      </c>
      <c r="AF529" s="1511">
        <f t="shared" si="377"/>
        <v>0</v>
      </c>
      <c r="AG529" s="1511">
        <f t="shared" si="377"/>
        <v>0</v>
      </c>
      <c r="AH529" s="1511">
        <f t="shared" si="377"/>
        <v>2562.9120000000003</v>
      </c>
      <c r="AI529" s="1511">
        <f t="shared" si="377"/>
        <v>7.1054273576010019E-15</v>
      </c>
      <c r="AJ529" s="1511">
        <f t="shared" si="377"/>
        <v>0</v>
      </c>
      <c r="AK529" s="1511">
        <f t="shared" si="377"/>
        <v>0</v>
      </c>
      <c r="AL529" s="1511">
        <f t="shared" si="377"/>
        <v>0</v>
      </c>
      <c r="AM529" s="1511">
        <f t="shared" si="377"/>
        <v>0</v>
      </c>
      <c r="AN529" s="1511"/>
      <c r="AO529" s="1511">
        <f t="shared" ref="AO529:CK532" si="378">AO545+AO561+AO577+AO593+AO609+AO626+AO642+AO658+AO674+AO690+AO706+AO738+AO754+AO770+AO786+AO802+AO818+AO834+AO850+AO866+AO882+AO898+AO914+AO930</f>
        <v>852.7</v>
      </c>
      <c r="AP529" s="1511">
        <f t="shared" si="378"/>
        <v>0</v>
      </c>
      <c r="AQ529" s="1511">
        <f t="shared" si="378"/>
        <v>0</v>
      </c>
      <c r="AR529" s="1511">
        <f t="shared" si="378"/>
        <v>0</v>
      </c>
      <c r="AS529" s="1507">
        <f t="shared" si="378"/>
        <v>0</v>
      </c>
      <c r="AT529" s="1511">
        <f t="shared" si="378"/>
        <v>0</v>
      </c>
      <c r="AU529" s="1511">
        <f t="shared" si="378"/>
        <v>0</v>
      </c>
      <c r="AV529" s="1511">
        <f t="shared" si="378"/>
        <v>0</v>
      </c>
      <c r="AW529" s="1507">
        <f t="shared" si="378"/>
        <v>1.1919999999999999</v>
      </c>
      <c r="AX529" s="1511">
        <f t="shared" si="378"/>
        <v>0</v>
      </c>
      <c r="AY529" s="1511">
        <f t="shared" si="378"/>
        <v>0</v>
      </c>
      <c r="AZ529" s="1511">
        <f t="shared" si="378"/>
        <v>0</v>
      </c>
      <c r="BA529" s="1511">
        <f t="shared" si="378"/>
        <v>0</v>
      </c>
      <c r="BB529" s="1511">
        <f t="shared" si="378"/>
        <v>0</v>
      </c>
      <c r="BC529" s="1511">
        <f t="shared" si="378"/>
        <v>0</v>
      </c>
      <c r="BD529" s="1511">
        <f t="shared" si="378"/>
        <v>0</v>
      </c>
      <c r="BE529" s="1511">
        <f t="shared" si="378"/>
        <v>2761.4460000000004</v>
      </c>
      <c r="BF529" s="1511">
        <f t="shared" si="378"/>
        <v>0</v>
      </c>
      <c r="BG529" s="1511">
        <f t="shared" si="378"/>
        <v>0</v>
      </c>
      <c r="BH529" s="1511">
        <f t="shared" si="378"/>
        <v>0</v>
      </c>
      <c r="BI529" s="1511">
        <f t="shared" si="378"/>
        <v>0</v>
      </c>
      <c r="BJ529" s="1511">
        <f t="shared" si="378"/>
        <v>0</v>
      </c>
      <c r="BK529" s="1511">
        <f t="shared" si="378"/>
        <v>0</v>
      </c>
      <c r="BL529" s="1511">
        <f t="shared" si="378"/>
        <v>0</v>
      </c>
      <c r="BM529" s="1511">
        <f t="shared" si="378"/>
        <v>13.8</v>
      </c>
      <c r="BN529" s="1511">
        <f t="shared" si="378"/>
        <v>0</v>
      </c>
      <c r="BO529" s="1511">
        <f t="shared" si="378"/>
        <v>0</v>
      </c>
      <c r="BP529" s="1511">
        <f t="shared" si="378"/>
        <v>0</v>
      </c>
      <c r="BQ529" s="1511">
        <f t="shared" si="378"/>
        <v>26.150000000000002</v>
      </c>
      <c r="BR529" s="1511">
        <f t="shared" si="378"/>
        <v>0</v>
      </c>
      <c r="BS529" s="1511">
        <f t="shared" si="378"/>
        <v>0</v>
      </c>
      <c r="BT529" s="1511">
        <f t="shared" si="378"/>
        <v>0</v>
      </c>
      <c r="BU529" s="1511">
        <f t="shared" si="378"/>
        <v>4459.8999999999996</v>
      </c>
      <c r="BV529" s="1511">
        <f t="shared" si="378"/>
        <v>0</v>
      </c>
      <c r="BW529" s="1511">
        <f t="shared" si="378"/>
        <v>0</v>
      </c>
      <c r="BX529" s="1511">
        <f t="shared" si="378"/>
        <v>0</v>
      </c>
      <c r="BY529" s="1511">
        <f t="shared" si="378"/>
        <v>-156.6</v>
      </c>
      <c r="BZ529" s="1511">
        <f t="shared" si="378"/>
        <v>0</v>
      </c>
      <c r="CA529" s="1511">
        <f t="shared" si="378"/>
        <v>0</v>
      </c>
      <c r="CB529" s="1511">
        <f t="shared" si="378"/>
        <v>0</v>
      </c>
      <c r="CC529" s="1511">
        <f t="shared" si="378"/>
        <v>0</v>
      </c>
      <c r="CD529" s="1511">
        <f t="shared" si="378"/>
        <v>0</v>
      </c>
      <c r="CE529" s="1511">
        <f t="shared" si="378"/>
        <v>0</v>
      </c>
      <c r="CF529" s="1511">
        <f t="shared" si="378"/>
        <v>0</v>
      </c>
      <c r="CG529" s="1596"/>
      <c r="CH529" s="1511">
        <f t="shared" si="378"/>
        <v>2562.9120000000003</v>
      </c>
      <c r="CI529" s="1511">
        <f t="shared" si="378"/>
        <v>0</v>
      </c>
      <c r="CJ529" s="1511">
        <f t="shared" si="378"/>
        <v>0</v>
      </c>
      <c r="CK529" s="1511">
        <f t="shared" si="378"/>
        <v>0</v>
      </c>
      <c r="CL529" s="1558"/>
      <c r="CM529" s="1558"/>
      <c r="CN529" s="1558"/>
      <c r="CO529" s="1558"/>
      <c r="CP529" s="1558"/>
      <c r="CQ529" s="1558"/>
      <c r="CR529" s="1558"/>
      <c r="CS529" s="1558"/>
      <c r="CT529" s="1558"/>
      <c r="CU529" s="1558"/>
      <c r="CV529" s="1558"/>
      <c r="CW529" s="1558"/>
      <c r="CY529" s="1558"/>
    </row>
    <row r="530" spans="1:107" s="1559" customFormat="1" x14ac:dyDescent="0.15">
      <c r="A530" s="1541" t="s">
        <v>94</v>
      </c>
      <c r="B530" s="1523" t="s">
        <v>79</v>
      </c>
      <c r="C530" s="1523" t="s">
        <v>80</v>
      </c>
      <c r="D530" s="1523" t="s">
        <v>125</v>
      </c>
      <c r="E530" s="1523" t="s">
        <v>216</v>
      </c>
      <c r="F530" s="1523"/>
      <c r="G530" s="1667" t="s">
        <v>95</v>
      </c>
      <c r="H530" s="1502">
        <f t="shared" si="377"/>
        <v>0</v>
      </c>
      <c r="I530" s="1502">
        <f t="shared" si="377"/>
        <v>0</v>
      </c>
      <c r="J530" s="1502">
        <f t="shared" si="377"/>
        <v>0</v>
      </c>
      <c r="K530" s="1502">
        <f t="shared" si="377"/>
        <v>0</v>
      </c>
      <c r="L530" s="1502">
        <f t="shared" si="377"/>
        <v>0</v>
      </c>
      <c r="M530" s="1502">
        <f t="shared" si="377"/>
        <v>0</v>
      </c>
      <c r="N530" s="1502">
        <f t="shared" si="377"/>
        <v>0</v>
      </c>
      <c r="O530" s="1502">
        <f t="shared" si="377"/>
        <v>0</v>
      </c>
      <c r="P530" s="1502">
        <f t="shared" si="377"/>
        <v>0</v>
      </c>
      <c r="Q530" s="1502">
        <f t="shared" si="377"/>
        <v>0</v>
      </c>
      <c r="R530" s="1503">
        <f t="shared" si="377"/>
        <v>0</v>
      </c>
      <c r="S530" s="1503">
        <f t="shared" si="377"/>
        <v>0</v>
      </c>
      <c r="T530" s="1511">
        <f t="shared" si="377"/>
        <v>0</v>
      </c>
      <c r="U530" s="1511">
        <f t="shared" si="377"/>
        <v>0</v>
      </c>
      <c r="V530" s="1511">
        <f t="shared" si="377"/>
        <v>0</v>
      </c>
      <c r="W530" s="1511">
        <f t="shared" si="377"/>
        <v>0</v>
      </c>
      <c r="X530" s="1511">
        <f t="shared" si="377"/>
        <v>0</v>
      </c>
      <c r="Y530" s="1511">
        <f t="shared" si="377"/>
        <v>0</v>
      </c>
      <c r="Z530" s="1511">
        <f t="shared" si="377"/>
        <v>0</v>
      </c>
      <c r="AA530" s="1511">
        <f t="shared" si="377"/>
        <v>0</v>
      </c>
      <c r="AB530" s="1511">
        <f t="shared" si="377"/>
        <v>0</v>
      </c>
      <c r="AC530" s="1511">
        <f t="shared" si="377"/>
        <v>0</v>
      </c>
      <c r="AD530" s="1511">
        <f t="shared" si="377"/>
        <v>0</v>
      </c>
      <c r="AE530" s="1511">
        <f t="shared" si="377"/>
        <v>0</v>
      </c>
      <c r="AF530" s="1511">
        <f t="shared" si="377"/>
        <v>0</v>
      </c>
      <c r="AG530" s="1511">
        <f t="shared" si="377"/>
        <v>0</v>
      </c>
      <c r="AH530" s="1511">
        <f t="shared" si="377"/>
        <v>0</v>
      </c>
      <c r="AI530" s="1511">
        <f t="shared" si="377"/>
        <v>0</v>
      </c>
      <c r="AJ530" s="1511">
        <f t="shared" si="377"/>
        <v>0</v>
      </c>
      <c r="AK530" s="1511">
        <f t="shared" si="377"/>
        <v>0</v>
      </c>
      <c r="AL530" s="1511">
        <f t="shared" si="377"/>
        <v>0</v>
      </c>
      <c r="AM530" s="1511">
        <f t="shared" si="377"/>
        <v>0</v>
      </c>
      <c r="AN530" s="1511"/>
      <c r="AO530" s="1511">
        <f t="shared" si="378"/>
        <v>0</v>
      </c>
      <c r="AP530" s="1511">
        <f t="shared" si="378"/>
        <v>0</v>
      </c>
      <c r="AQ530" s="1511">
        <f t="shared" si="378"/>
        <v>0</v>
      </c>
      <c r="AR530" s="1511">
        <f t="shared" si="378"/>
        <v>0</v>
      </c>
      <c r="AS530" s="1507">
        <f t="shared" si="378"/>
        <v>0</v>
      </c>
      <c r="AT530" s="1511">
        <f t="shared" si="378"/>
        <v>0</v>
      </c>
      <c r="AU530" s="1511">
        <f t="shared" si="378"/>
        <v>0</v>
      </c>
      <c r="AV530" s="1511">
        <f t="shared" si="378"/>
        <v>0</v>
      </c>
      <c r="AW530" s="1507">
        <f t="shared" si="378"/>
        <v>0</v>
      </c>
      <c r="AX530" s="1511">
        <f t="shared" si="378"/>
        <v>0</v>
      </c>
      <c r="AY530" s="1511">
        <f t="shared" si="378"/>
        <v>0</v>
      </c>
      <c r="AZ530" s="1511">
        <f t="shared" si="378"/>
        <v>0</v>
      </c>
      <c r="BA530" s="1511">
        <f t="shared" si="378"/>
        <v>0</v>
      </c>
      <c r="BB530" s="1511">
        <f t="shared" si="378"/>
        <v>0</v>
      </c>
      <c r="BC530" s="1511">
        <f t="shared" si="378"/>
        <v>0</v>
      </c>
      <c r="BD530" s="1511">
        <f t="shared" si="378"/>
        <v>0</v>
      </c>
      <c r="BE530" s="1511">
        <f t="shared" si="378"/>
        <v>0</v>
      </c>
      <c r="BF530" s="1511">
        <f t="shared" si="378"/>
        <v>0</v>
      </c>
      <c r="BG530" s="1511">
        <f t="shared" si="378"/>
        <v>0</v>
      </c>
      <c r="BH530" s="1511">
        <f t="shared" si="378"/>
        <v>0</v>
      </c>
      <c r="BI530" s="1511">
        <f t="shared" si="378"/>
        <v>0</v>
      </c>
      <c r="BJ530" s="1511">
        <f t="shared" si="378"/>
        <v>0</v>
      </c>
      <c r="BK530" s="1511">
        <f t="shared" si="378"/>
        <v>0</v>
      </c>
      <c r="BL530" s="1511">
        <f t="shared" si="378"/>
        <v>0</v>
      </c>
      <c r="BM530" s="1511">
        <f t="shared" si="378"/>
        <v>0</v>
      </c>
      <c r="BN530" s="1511">
        <f t="shared" si="378"/>
        <v>0</v>
      </c>
      <c r="BO530" s="1511">
        <f t="shared" si="378"/>
        <v>0</v>
      </c>
      <c r="BP530" s="1511">
        <f t="shared" si="378"/>
        <v>0</v>
      </c>
      <c r="BQ530" s="1511">
        <f t="shared" si="378"/>
        <v>0</v>
      </c>
      <c r="BR530" s="1511">
        <f t="shared" si="378"/>
        <v>0</v>
      </c>
      <c r="BS530" s="1511">
        <f t="shared" si="378"/>
        <v>0</v>
      </c>
      <c r="BT530" s="1511">
        <f t="shared" si="378"/>
        <v>0</v>
      </c>
      <c r="BU530" s="1511">
        <f t="shared" si="378"/>
        <v>0</v>
      </c>
      <c r="BV530" s="1511">
        <f t="shared" si="378"/>
        <v>0</v>
      </c>
      <c r="BW530" s="1511">
        <f t="shared" si="378"/>
        <v>0</v>
      </c>
      <c r="BX530" s="1511">
        <f t="shared" si="378"/>
        <v>0</v>
      </c>
      <c r="BY530" s="1511">
        <f t="shared" si="378"/>
        <v>0</v>
      </c>
      <c r="BZ530" s="1511">
        <f t="shared" si="378"/>
        <v>0</v>
      </c>
      <c r="CA530" s="1511">
        <f t="shared" si="378"/>
        <v>0</v>
      </c>
      <c r="CB530" s="1511">
        <f t="shared" si="378"/>
        <v>0</v>
      </c>
      <c r="CC530" s="1511">
        <f t="shared" si="378"/>
        <v>0</v>
      </c>
      <c r="CD530" s="1511">
        <f t="shared" si="378"/>
        <v>0</v>
      </c>
      <c r="CE530" s="1511">
        <f t="shared" si="378"/>
        <v>0</v>
      </c>
      <c r="CF530" s="1511">
        <f t="shared" si="378"/>
        <v>0</v>
      </c>
      <c r="CG530" s="1596"/>
      <c r="CH530" s="1511">
        <f t="shared" si="378"/>
        <v>0</v>
      </c>
      <c r="CI530" s="1511">
        <f t="shared" si="378"/>
        <v>0</v>
      </c>
      <c r="CJ530" s="1511">
        <f t="shared" si="378"/>
        <v>0</v>
      </c>
      <c r="CK530" s="1511">
        <f t="shared" si="378"/>
        <v>0</v>
      </c>
      <c r="CL530" s="1558"/>
      <c r="CM530" s="1558"/>
      <c r="CN530" s="1558"/>
      <c r="CO530" s="1558"/>
      <c r="CP530" s="1558"/>
      <c r="CQ530" s="1558"/>
      <c r="CR530" s="1558"/>
      <c r="CS530" s="1558"/>
      <c r="CT530" s="1558"/>
      <c r="CU530" s="1558"/>
      <c r="CV530" s="1558"/>
      <c r="CW530" s="1558"/>
      <c r="CY530" s="1558"/>
    </row>
    <row r="531" spans="1:107" s="1559" customFormat="1" x14ac:dyDescent="0.15">
      <c r="A531" s="1541" t="s">
        <v>96</v>
      </c>
      <c r="B531" s="1523" t="s">
        <v>79</v>
      </c>
      <c r="C531" s="1523" t="s">
        <v>80</v>
      </c>
      <c r="D531" s="1523" t="s">
        <v>125</v>
      </c>
      <c r="E531" s="1523" t="s">
        <v>216</v>
      </c>
      <c r="F531" s="1523"/>
      <c r="G531" s="1667">
        <v>310</v>
      </c>
      <c r="H531" s="1502">
        <f t="shared" si="377"/>
        <v>2802.518</v>
      </c>
      <c r="I531" s="1502">
        <f t="shared" si="377"/>
        <v>45104.752000000008</v>
      </c>
      <c r="J531" s="1502">
        <f t="shared" si="377"/>
        <v>0</v>
      </c>
      <c r="K531" s="1502">
        <f t="shared" si="377"/>
        <v>5514.99</v>
      </c>
      <c r="L531" s="1502">
        <f t="shared" si="377"/>
        <v>0</v>
      </c>
      <c r="M531" s="1502">
        <f t="shared" si="377"/>
        <v>0</v>
      </c>
      <c r="N531" s="1502">
        <f t="shared" si="377"/>
        <v>0</v>
      </c>
      <c r="O531" s="1502">
        <f t="shared" si="377"/>
        <v>0</v>
      </c>
      <c r="P531" s="1502">
        <f t="shared" si="377"/>
        <v>0</v>
      </c>
      <c r="Q531" s="1502">
        <f t="shared" si="377"/>
        <v>0</v>
      </c>
      <c r="R531" s="1503">
        <f t="shared" si="377"/>
        <v>0</v>
      </c>
      <c r="S531" s="1503">
        <f t="shared" si="377"/>
        <v>0</v>
      </c>
      <c r="T531" s="1511">
        <f t="shared" si="377"/>
        <v>0</v>
      </c>
      <c r="U531" s="1511">
        <f t="shared" si="377"/>
        <v>9235</v>
      </c>
      <c r="V531" s="1511">
        <f t="shared" si="377"/>
        <v>670</v>
      </c>
      <c r="W531" s="1511">
        <f t="shared" si="377"/>
        <v>0</v>
      </c>
      <c r="X531" s="1511">
        <f t="shared" si="377"/>
        <v>0</v>
      </c>
      <c r="Y531" s="1511">
        <f t="shared" si="377"/>
        <v>0</v>
      </c>
      <c r="Z531" s="1511">
        <f t="shared" si="377"/>
        <v>0</v>
      </c>
      <c r="AA531" s="1511">
        <f t="shared" si="377"/>
        <v>335.92099999999999</v>
      </c>
      <c r="AB531" s="1511">
        <f t="shared" si="377"/>
        <v>335.92099999999999</v>
      </c>
      <c r="AC531" s="1511">
        <f t="shared" si="377"/>
        <v>2802.518</v>
      </c>
      <c r="AD531" s="1511">
        <f t="shared" si="377"/>
        <v>50619.742000000006</v>
      </c>
      <c r="AE531" s="1511">
        <f t="shared" si="377"/>
        <v>45104.752000000008</v>
      </c>
      <c r="AF531" s="1511">
        <f t="shared" si="377"/>
        <v>0</v>
      </c>
      <c r="AG531" s="1511">
        <f t="shared" si="377"/>
        <v>5514.99</v>
      </c>
      <c r="AH531" s="1511">
        <f t="shared" si="377"/>
        <v>580.60599999999999</v>
      </c>
      <c r="AI531" s="1511">
        <f t="shared" si="377"/>
        <v>0</v>
      </c>
      <c r="AJ531" s="1511">
        <f t="shared" si="377"/>
        <v>0</v>
      </c>
      <c r="AK531" s="1511">
        <f t="shared" si="377"/>
        <v>0</v>
      </c>
      <c r="AL531" s="1511">
        <f t="shared" si="377"/>
        <v>0</v>
      </c>
      <c r="AM531" s="1511">
        <f t="shared" si="377"/>
        <v>0</v>
      </c>
      <c r="AN531" s="1511"/>
      <c r="AO531" s="1511">
        <f t="shared" si="378"/>
        <v>0</v>
      </c>
      <c r="AP531" s="1511">
        <f t="shared" si="378"/>
        <v>0</v>
      </c>
      <c r="AQ531" s="1511">
        <f t="shared" si="378"/>
        <v>0</v>
      </c>
      <c r="AR531" s="1511">
        <f t="shared" si="378"/>
        <v>0</v>
      </c>
      <c r="AS531" s="1507">
        <f t="shared" si="378"/>
        <v>0</v>
      </c>
      <c r="AT531" s="1511">
        <f t="shared" si="378"/>
        <v>100</v>
      </c>
      <c r="AU531" s="1511">
        <f t="shared" si="378"/>
        <v>0</v>
      </c>
      <c r="AV531" s="1511">
        <f t="shared" si="378"/>
        <v>0</v>
      </c>
      <c r="AW531" s="1507">
        <f t="shared" si="378"/>
        <v>48</v>
      </c>
      <c r="AX531" s="1511">
        <f t="shared" si="378"/>
        <v>16000</v>
      </c>
      <c r="AY531" s="1511">
        <f t="shared" si="378"/>
        <v>0</v>
      </c>
      <c r="AZ531" s="1511">
        <f t="shared" si="378"/>
        <v>0</v>
      </c>
      <c r="BA531" s="1511">
        <f t="shared" si="378"/>
        <v>30</v>
      </c>
      <c r="BB531" s="1511">
        <f t="shared" si="378"/>
        <v>130</v>
      </c>
      <c r="BC531" s="1511">
        <f t="shared" si="378"/>
        <v>0</v>
      </c>
      <c r="BD531" s="1511">
        <f t="shared" si="378"/>
        <v>0</v>
      </c>
      <c r="BE531" s="1511">
        <f t="shared" si="378"/>
        <v>102.06399999999999</v>
      </c>
      <c r="BF531" s="1511">
        <f t="shared" si="378"/>
        <v>0</v>
      </c>
      <c r="BG531" s="1511">
        <f t="shared" si="378"/>
        <v>0</v>
      </c>
      <c r="BH531" s="1511">
        <f t="shared" si="378"/>
        <v>0</v>
      </c>
      <c r="BI531" s="1511">
        <f t="shared" si="378"/>
        <v>1286.8</v>
      </c>
      <c r="BJ531" s="1511">
        <f t="shared" si="378"/>
        <v>0</v>
      </c>
      <c r="BK531" s="1511">
        <f t="shared" si="378"/>
        <v>0</v>
      </c>
      <c r="BL531" s="1511">
        <f t="shared" si="378"/>
        <v>0</v>
      </c>
      <c r="BM531" s="1511">
        <f t="shared" si="378"/>
        <v>755</v>
      </c>
      <c r="BN531" s="1511">
        <f t="shared" si="378"/>
        <v>1850</v>
      </c>
      <c r="BO531" s="1511">
        <f t="shared" si="378"/>
        <v>0</v>
      </c>
      <c r="BP531" s="1511">
        <f t="shared" si="378"/>
        <v>0</v>
      </c>
      <c r="BQ531" s="1511">
        <f t="shared" si="378"/>
        <v>4.8000000000000001E-2</v>
      </c>
      <c r="BR531" s="1511">
        <f t="shared" si="378"/>
        <v>5510</v>
      </c>
      <c r="BS531" s="1511">
        <f t="shared" si="378"/>
        <v>0</v>
      </c>
      <c r="BT531" s="1511">
        <f t="shared" si="378"/>
        <v>300</v>
      </c>
      <c r="BU531" s="1511">
        <f t="shared" si="378"/>
        <v>0</v>
      </c>
      <c r="BV531" s="1511">
        <f t="shared" si="378"/>
        <v>5880.52</v>
      </c>
      <c r="BW531" s="1511">
        <f t="shared" si="378"/>
        <v>0</v>
      </c>
      <c r="BX531" s="1511">
        <f t="shared" si="378"/>
        <v>5108.1570000000002</v>
      </c>
      <c r="BY531" s="1511">
        <f t="shared" si="378"/>
        <v>0</v>
      </c>
      <c r="BZ531" s="1511">
        <f t="shared" si="378"/>
        <v>2201.527</v>
      </c>
      <c r="CA531" s="1511">
        <f t="shared" si="378"/>
        <v>0</v>
      </c>
      <c r="CB531" s="1511">
        <f t="shared" si="378"/>
        <v>0</v>
      </c>
      <c r="CC531" s="1511">
        <f t="shared" si="378"/>
        <v>0</v>
      </c>
      <c r="CD531" s="1511">
        <f t="shared" si="378"/>
        <v>933.07799999999997</v>
      </c>
      <c r="CE531" s="1511">
        <f t="shared" si="378"/>
        <v>0</v>
      </c>
      <c r="CF531" s="1511">
        <f t="shared" si="378"/>
        <v>0</v>
      </c>
      <c r="CG531" s="1596"/>
      <c r="CH531" s="1511">
        <f t="shared" si="378"/>
        <v>580.60599999999999</v>
      </c>
      <c r="CI531" s="1511">
        <f t="shared" si="378"/>
        <v>12499.627</v>
      </c>
      <c r="CJ531" s="1511">
        <f t="shared" si="378"/>
        <v>0</v>
      </c>
      <c r="CK531" s="1511">
        <f t="shared" si="378"/>
        <v>106.833</v>
      </c>
      <c r="CL531" s="1558"/>
      <c r="CM531" s="1558"/>
      <c r="CN531" s="1558"/>
      <c r="CO531" s="1558"/>
      <c r="CP531" s="1558"/>
      <c r="CQ531" s="1558"/>
      <c r="CR531" s="1558"/>
      <c r="CS531" s="1558"/>
      <c r="CT531" s="1558"/>
      <c r="CU531" s="1558"/>
      <c r="CV531" s="1558"/>
      <c r="CW531" s="1558"/>
      <c r="CY531" s="1558"/>
    </row>
    <row r="532" spans="1:107" s="1559" customFormat="1" x14ac:dyDescent="0.15">
      <c r="A532" s="1541" t="s">
        <v>97</v>
      </c>
      <c r="B532" s="1523" t="s">
        <v>79</v>
      </c>
      <c r="C532" s="1523" t="s">
        <v>80</v>
      </c>
      <c r="D532" s="1523" t="s">
        <v>125</v>
      </c>
      <c r="E532" s="1523" t="s">
        <v>216</v>
      </c>
      <c r="F532" s="1523"/>
      <c r="G532" s="1667">
        <v>340</v>
      </c>
      <c r="H532" s="1502">
        <f t="shared" si="377"/>
        <v>3393.5360000000001</v>
      </c>
      <c r="I532" s="1502">
        <f t="shared" si="377"/>
        <v>0</v>
      </c>
      <c r="J532" s="1502">
        <f t="shared" si="377"/>
        <v>0</v>
      </c>
      <c r="K532" s="1502">
        <f t="shared" si="377"/>
        <v>0</v>
      </c>
      <c r="L532" s="1502">
        <f t="shared" si="377"/>
        <v>0</v>
      </c>
      <c r="M532" s="1502">
        <f t="shared" si="377"/>
        <v>0</v>
      </c>
      <c r="N532" s="1502">
        <f t="shared" si="377"/>
        <v>0</v>
      </c>
      <c r="O532" s="1502">
        <f t="shared" si="377"/>
        <v>0</v>
      </c>
      <c r="P532" s="1502">
        <f t="shared" si="377"/>
        <v>0</v>
      </c>
      <c r="Q532" s="1502">
        <f t="shared" si="377"/>
        <v>0</v>
      </c>
      <c r="R532" s="1503">
        <f t="shared" si="377"/>
        <v>0</v>
      </c>
      <c r="S532" s="1503">
        <f t="shared" si="377"/>
        <v>0</v>
      </c>
      <c r="T532" s="1511">
        <f t="shared" si="377"/>
        <v>0</v>
      </c>
      <c r="U532" s="1511">
        <f t="shared" si="377"/>
        <v>13071.6</v>
      </c>
      <c r="V532" s="1511">
        <f t="shared" si="377"/>
        <v>0</v>
      </c>
      <c r="W532" s="1511">
        <f t="shared" si="377"/>
        <v>0</v>
      </c>
      <c r="X532" s="1511">
        <f t="shared" si="377"/>
        <v>0</v>
      </c>
      <c r="Y532" s="1511">
        <f t="shared" si="377"/>
        <v>0</v>
      </c>
      <c r="Z532" s="1511">
        <f t="shared" si="377"/>
        <v>0</v>
      </c>
      <c r="AA532" s="1511">
        <f t="shared" si="377"/>
        <v>0</v>
      </c>
      <c r="AB532" s="1511">
        <f t="shared" si="377"/>
        <v>0</v>
      </c>
      <c r="AC532" s="1511">
        <f t="shared" si="377"/>
        <v>3393.5360000000001</v>
      </c>
      <c r="AD532" s="1511">
        <f t="shared" si="377"/>
        <v>0</v>
      </c>
      <c r="AE532" s="1511">
        <f t="shared" si="377"/>
        <v>0</v>
      </c>
      <c r="AF532" s="1511">
        <f t="shared" si="377"/>
        <v>0</v>
      </c>
      <c r="AG532" s="1511">
        <f t="shared" si="377"/>
        <v>0</v>
      </c>
      <c r="AH532" s="1511">
        <f t="shared" si="377"/>
        <v>1034.3</v>
      </c>
      <c r="AI532" s="1511">
        <f t="shared" si="377"/>
        <v>0</v>
      </c>
      <c r="AJ532" s="1511">
        <f t="shared" si="377"/>
        <v>0</v>
      </c>
      <c r="AK532" s="1511">
        <f t="shared" si="377"/>
        <v>0</v>
      </c>
      <c r="AL532" s="1511">
        <f t="shared" si="377"/>
        <v>0</v>
      </c>
      <c r="AM532" s="1511">
        <f t="shared" si="377"/>
        <v>0</v>
      </c>
      <c r="AN532" s="1511"/>
      <c r="AO532" s="1511">
        <f t="shared" si="378"/>
        <v>357.60000000000008</v>
      </c>
      <c r="AP532" s="1511">
        <f t="shared" si="378"/>
        <v>0</v>
      </c>
      <c r="AQ532" s="1511">
        <f t="shared" si="378"/>
        <v>0</v>
      </c>
      <c r="AR532" s="1511">
        <f t="shared" si="378"/>
        <v>0</v>
      </c>
      <c r="AS532" s="1507">
        <f t="shared" si="378"/>
        <v>0</v>
      </c>
      <c r="AT532" s="1511">
        <f t="shared" si="378"/>
        <v>0</v>
      </c>
      <c r="AU532" s="1511">
        <f t="shared" si="378"/>
        <v>0</v>
      </c>
      <c r="AV532" s="1511">
        <f t="shared" si="378"/>
        <v>0</v>
      </c>
      <c r="AW532" s="1507">
        <f t="shared" si="378"/>
        <v>146.30000000000001</v>
      </c>
      <c r="AX532" s="1511">
        <f t="shared" si="378"/>
        <v>0</v>
      </c>
      <c r="AY532" s="1511">
        <f t="shared" si="378"/>
        <v>0</v>
      </c>
      <c r="AZ532" s="1511">
        <f t="shared" si="378"/>
        <v>0</v>
      </c>
      <c r="BA532" s="1511">
        <f t="shared" si="378"/>
        <v>55</v>
      </c>
      <c r="BB532" s="1511">
        <f t="shared" si="378"/>
        <v>0</v>
      </c>
      <c r="BC532" s="1511">
        <f t="shared" si="378"/>
        <v>0</v>
      </c>
      <c r="BD532" s="1511">
        <f t="shared" si="378"/>
        <v>0</v>
      </c>
      <c r="BE532" s="1511">
        <f t="shared" si="378"/>
        <v>651.83600000000001</v>
      </c>
      <c r="BF532" s="1511">
        <f t="shared" si="378"/>
        <v>0</v>
      </c>
      <c r="BG532" s="1511">
        <f t="shared" si="378"/>
        <v>0</v>
      </c>
      <c r="BH532" s="1511">
        <f t="shared" si="378"/>
        <v>0</v>
      </c>
      <c r="BI532" s="1511">
        <f t="shared" si="378"/>
        <v>300</v>
      </c>
      <c r="BJ532" s="1511">
        <f t="shared" si="378"/>
        <v>0</v>
      </c>
      <c r="BK532" s="1511">
        <f t="shared" si="378"/>
        <v>0</v>
      </c>
      <c r="BL532" s="1511">
        <f t="shared" si="378"/>
        <v>0</v>
      </c>
      <c r="BM532" s="1511">
        <f t="shared" si="378"/>
        <v>702.5</v>
      </c>
      <c r="BN532" s="1511">
        <f t="shared" si="378"/>
        <v>0</v>
      </c>
      <c r="BO532" s="1511">
        <f t="shared" si="378"/>
        <v>0</v>
      </c>
      <c r="BP532" s="1511">
        <f t="shared" si="378"/>
        <v>0</v>
      </c>
      <c r="BQ532" s="1511">
        <f t="shared" si="378"/>
        <v>9.5</v>
      </c>
      <c r="BR532" s="1511">
        <f t="shared" si="378"/>
        <v>0</v>
      </c>
      <c r="BS532" s="1511">
        <f t="shared" si="378"/>
        <v>0</v>
      </c>
      <c r="BT532" s="1511">
        <f t="shared" si="378"/>
        <v>0</v>
      </c>
      <c r="BU532" s="1511">
        <f t="shared" si="378"/>
        <v>0</v>
      </c>
      <c r="BV532" s="1511">
        <f t="shared" si="378"/>
        <v>0</v>
      </c>
      <c r="BW532" s="1511">
        <f t="shared" si="378"/>
        <v>0</v>
      </c>
      <c r="BX532" s="1511">
        <f t="shared" si="378"/>
        <v>0</v>
      </c>
      <c r="BY532" s="1511">
        <f t="shared" si="378"/>
        <v>107.5</v>
      </c>
      <c r="BZ532" s="1511">
        <f t="shared" si="378"/>
        <v>0</v>
      </c>
      <c r="CA532" s="1511">
        <f t="shared" si="378"/>
        <v>0</v>
      </c>
      <c r="CB532" s="1511">
        <f t="shared" si="378"/>
        <v>0</v>
      </c>
      <c r="CC532" s="1511">
        <f t="shared" si="378"/>
        <v>29</v>
      </c>
      <c r="CD532" s="1511">
        <f t="shared" si="378"/>
        <v>0</v>
      </c>
      <c r="CE532" s="1511">
        <f t="shared" si="378"/>
        <v>0</v>
      </c>
      <c r="CF532" s="1511">
        <f t="shared" si="378"/>
        <v>0</v>
      </c>
      <c r="CG532" s="1596"/>
      <c r="CH532" s="1511">
        <f t="shared" si="378"/>
        <v>1034.3</v>
      </c>
      <c r="CI532" s="1511">
        <f t="shared" si="378"/>
        <v>0</v>
      </c>
      <c r="CJ532" s="1511">
        <f t="shared" si="378"/>
        <v>0</v>
      </c>
      <c r="CK532" s="1511">
        <f t="shared" si="378"/>
        <v>0</v>
      </c>
      <c r="CL532" s="1558"/>
      <c r="CM532" s="1558"/>
      <c r="CN532" s="1558"/>
      <c r="CO532" s="1558"/>
      <c r="CP532" s="1558"/>
      <c r="CQ532" s="1558"/>
      <c r="CR532" s="1558"/>
      <c r="CS532" s="1558"/>
      <c r="CT532" s="1558"/>
      <c r="CU532" s="1558"/>
      <c r="CV532" s="1558"/>
      <c r="CW532" s="1558"/>
      <c r="CY532" s="1558"/>
    </row>
    <row r="533" spans="1:107" s="1559" customFormat="1" ht="14" x14ac:dyDescent="0.15">
      <c r="A533" s="1528" t="s">
        <v>767</v>
      </c>
      <c r="B533" s="1530" t="s">
        <v>79</v>
      </c>
      <c r="C533" s="1530" t="s">
        <v>80</v>
      </c>
      <c r="D533" s="1530" t="s">
        <v>125</v>
      </c>
      <c r="E533" s="1530" t="s">
        <v>216</v>
      </c>
      <c r="F533" s="1530">
        <v>612</v>
      </c>
      <c r="G533" s="1687" t="s">
        <v>766</v>
      </c>
      <c r="H533" s="1647">
        <f>I519</f>
        <v>176836.93</v>
      </c>
      <c r="I533" s="1531"/>
      <c r="J533" s="1531"/>
      <c r="K533" s="1531"/>
      <c r="L533" s="1601"/>
      <c r="M533" s="1601"/>
      <c r="N533" s="1601"/>
      <c r="O533" s="1601"/>
      <c r="P533" s="1601"/>
      <c r="Q533" s="1601"/>
      <c r="R533" s="1601"/>
      <c r="S533" s="1601"/>
      <c r="T533" s="1538"/>
      <c r="U533" s="1538"/>
      <c r="V533" s="1538"/>
      <c r="W533" s="1538"/>
      <c r="X533" s="1538"/>
      <c r="Y533" s="1538"/>
      <c r="Z533" s="1538"/>
      <c r="AA533" s="1538"/>
      <c r="AB533" s="1538"/>
      <c r="AC533" s="1538"/>
      <c r="AD533" s="1538"/>
      <c r="AE533" s="1538"/>
      <c r="AF533" s="1538"/>
      <c r="AG533" s="1538"/>
      <c r="AH533" s="1538"/>
      <c r="AI533" s="1538"/>
      <c r="AJ533" s="1538"/>
      <c r="AK533" s="1538"/>
      <c r="AL533" s="1538"/>
      <c r="AM533" s="1538"/>
      <c r="AN533" s="1538"/>
      <c r="AO533" s="1538"/>
      <c r="AP533" s="1538"/>
      <c r="AQ533" s="1538"/>
      <c r="AR533" s="1538"/>
      <c r="AS533" s="1535"/>
      <c r="AT533" s="1538"/>
      <c r="AU533" s="1538"/>
      <c r="AV533" s="1538"/>
      <c r="AW533" s="1535"/>
      <c r="AX533" s="1538"/>
      <c r="AY533" s="1538"/>
      <c r="AZ533" s="1538"/>
      <c r="BA533" s="1538"/>
      <c r="BB533" s="1538"/>
      <c r="BC533" s="1538"/>
      <c r="BD533" s="1538"/>
      <c r="BE533" s="1539"/>
      <c r="BF533" s="1538"/>
      <c r="BG533" s="1538"/>
      <c r="BH533" s="1538"/>
      <c r="BI533" s="1538"/>
      <c r="BJ533" s="1538"/>
      <c r="BK533" s="1538"/>
      <c r="BL533" s="1538"/>
      <c r="BM533" s="1538"/>
      <c r="BN533" s="1538"/>
      <c r="BO533" s="1538"/>
      <c r="BP533" s="1538"/>
      <c r="BQ533" s="1538"/>
      <c r="BR533" s="1538"/>
      <c r="BS533" s="1538"/>
      <c r="BT533" s="1538"/>
      <c r="BU533" s="1538"/>
      <c r="BV533" s="1538"/>
      <c r="BW533" s="1538"/>
      <c r="BX533" s="1538"/>
      <c r="BY533" s="1538"/>
      <c r="BZ533" s="1538"/>
      <c r="CA533" s="1538"/>
      <c r="CB533" s="1538"/>
      <c r="CC533" s="1538"/>
      <c r="CD533" s="1538"/>
      <c r="CE533" s="1538"/>
      <c r="CF533" s="1538"/>
      <c r="CG533" s="1604"/>
      <c r="CH533" s="1538"/>
      <c r="CI533" s="1538"/>
      <c r="CJ533" s="1538"/>
      <c r="CK533" s="1538"/>
      <c r="CL533" s="1558"/>
      <c r="CM533" s="1558"/>
      <c r="CN533" s="1558"/>
      <c r="CO533" s="1558"/>
      <c r="CP533" s="1558"/>
      <c r="CQ533" s="1558"/>
      <c r="CR533" s="1558"/>
      <c r="CS533" s="1558"/>
      <c r="CT533" s="1558"/>
      <c r="CU533" s="1558"/>
      <c r="CV533" s="1558"/>
      <c r="CW533" s="1558"/>
      <c r="CY533" s="1558"/>
    </row>
    <row r="534" spans="1:107" s="1886" customFormat="1" ht="39" x14ac:dyDescent="0.15">
      <c r="A534" s="1873" t="s">
        <v>1276</v>
      </c>
      <c r="B534" s="1941" t="s">
        <v>79</v>
      </c>
      <c r="C534" s="1941" t="s">
        <v>80</v>
      </c>
      <c r="D534" s="1941" t="s">
        <v>125</v>
      </c>
      <c r="E534" s="1941" t="s">
        <v>216</v>
      </c>
      <c r="F534" s="1941">
        <v>600</v>
      </c>
      <c r="G534" s="1874"/>
      <c r="H534" s="1606">
        <f>H535+H549</f>
        <v>50339.493000000002</v>
      </c>
      <c r="I534" s="1606"/>
      <c r="J534" s="1606">
        <f>J535+J549</f>
        <v>1500</v>
      </c>
      <c r="K534" s="1606">
        <f t="shared" ref="K534:CK534" si="379">K535+K549</f>
        <v>4974.99</v>
      </c>
      <c r="L534" s="1607"/>
      <c r="M534" s="1607"/>
      <c r="N534" s="1607"/>
      <c r="O534" s="1607"/>
      <c r="P534" s="1607"/>
      <c r="Q534" s="1607"/>
      <c r="R534" s="1607"/>
      <c r="S534" s="1607"/>
      <c r="T534" s="1608"/>
      <c r="U534" s="1609"/>
      <c r="V534" s="1609"/>
      <c r="W534" s="1610"/>
      <c r="X534" s="1610"/>
      <c r="Y534" s="1610"/>
      <c r="Z534" s="1611"/>
      <c r="AA534" s="1610"/>
      <c r="AB534" s="1610"/>
      <c r="AC534" s="1612">
        <f t="shared" si="379"/>
        <v>45288.646000000008</v>
      </c>
      <c r="AD534" s="1612">
        <f t="shared" si="379"/>
        <v>11525.837</v>
      </c>
      <c r="AE534" s="1612">
        <f t="shared" si="379"/>
        <v>5050.8469999999998</v>
      </c>
      <c r="AF534" s="1612">
        <f t="shared" si="379"/>
        <v>1500</v>
      </c>
      <c r="AG534" s="1612">
        <f t="shared" si="379"/>
        <v>4974.99</v>
      </c>
      <c r="AH534" s="1490">
        <f t="shared" ref="AH534:AH597" si="380">CG534+CL534</f>
        <v>0</v>
      </c>
      <c r="AI534" s="1613">
        <f t="shared" si="379"/>
        <v>0</v>
      </c>
      <c r="AJ534" s="1613">
        <f t="shared" si="379"/>
        <v>0</v>
      </c>
      <c r="AK534" s="1613">
        <f t="shared" si="379"/>
        <v>0</v>
      </c>
      <c r="AL534" s="1636">
        <f t="shared" ref="AL534:AM565" si="381">J534-AF534</f>
        <v>0</v>
      </c>
      <c r="AM534" s="1613">
        <f t="shared" si="379"/>
        <v>0</v>
      </c>
      <c r="AN534" s="1614"/>
      <c r="AO534" s="1606">
        <f t="shared" si="379"/>
        <v>3168.3</v>
      </c>
      <c r="AP534" s="1606">
        <f t="shared" si="379"/>
        <v>0</v>
      </c>
      <c r="AQ534" s="1606">
        <f t="shared" si="379"/>
        <v>0</v>
      </c>
      <c r="AR534" s="1606">
        <f t="shared" si="379"/>
        <v>0</v>
      </c>
      <c r="AS534" s="1611">
        <f t="shared" si="379"/>
        <v>2928.7000000000003</v>
      </c>
      <c r="AT534" s="1606">
        <f t="shared" si="379"/>
        <v>0</v>
      </c>
      <c r="AU534" s="1606">
        <f t="shared" si="379"/>
        <v>0</v>
      </c>
      <c r="AV534" s="1606">
        <f t="shared" si="379"/>
        <v>0</v>
      </c>
      <c r="AW534" s="1611">
        <f t="shared" si="379"/>
        <v>2721.9</v>
      </c>
      <c r="AX534" s="1606">
        <f t="shared" si="379"/>
        <v>0</v>
      </c>
      <c r="AY534" s="1606">
        <f t="shared" si="379"/>
        <v>0</v>
      </c>
      <c r="AZ534" s="1606">
        <f t="shared" si="379"/>
        <v>0</v>
      </c>
      <c r="BA534" s="1614">
        <f t="shared" si="379"/>
        <v>4721.93</v>
      </c>
      <c r="BB534" s="1606">
        <f t="shared" si="379"/>
        <v>0</v>
      </c>
      <c r="BC534" s="1606">
        <f t="shared" si="379"/>
        <v>0</v>
      </c>
      <c r="BD534" s="1606">
        <f t="shared" si="379"/>
        <v>0</v>
      </c>
      <c r="BE534" s="1615">
        <f t="shared" si="379"/>
        <v>3945.8</v>
      </c>
      <c r="BF534" s="1606">
        <f t="shared" si="379"/>
        <v>0</v>
      </c>
      <c r="BG534" s="1606">
        <f t="shared" si="379"/>
        <v>0</v>
      </c>
      <c r="BH534" s="1606">
        <f t="shared" si="379"/>
        <v>0</v>
      </c>
      <c r="BI534" s="1614">
        <f t="shared" si="379"/>
        <v>9360.68</v>
      </c>
      <c r="BJ534" s="1606">
        <f t="shared" si="379"/>
        <v>0</v>
      </c>
      <c r="BK534" s="1606">
        <f t="shared" si="379"/>
        <v>0</v>
      </c>
      <c r="BL534" s="1606">
        <f t="shared" si="379"/>
        <v>0</v>
      </c>
      <c r="BM534" s="1614">
        <f t="shared" si="379"/>
        <v>1863.18</v>
      </c>
      <c r="BN534" s="1606">
        <f t="shared" si="379"/>
        <v>0</v>
      </c>
      <c r="BO534" s="1606">
        <f t="shared" si="379"/>
        <v>0</v>
      </c>
      <c r="BP534" s="1606">
        <f t="shared" si="379"/>
        <v>0</v>
      </c>
      <c r="BQ534" s="1614">
        <f t="shared" si="379"/>
        <v>3120.9459999999999</v>
      </c>
      <c r="BR534" s="1606">
        <f t="shared" si="379"/>
        <v>1837.6</v>
      </c>
      <c r="BS534" s="1606">
        <f t="shared" si="379"/>
        <v>0</v>
      </c>
      <c r="BT534" s="1606">
        <f t="shared" si="379"/>
        <v>0</v>
      </c>
      <c r="BU534" s="1614">
        <f t="shared" si="379"/>
        <v>4345.3999999999996</v>
      </c>
      <c r="BV534" s="1606">
        <f t="shared" si="379"/>
        <v>1011.72</v>
      </c>
      <c r="BW534" s="1606">
        <f t="shared" si="379"/>
        <v>0</v>
      </c>
      <c r="BX534" s="1606">
        <f t="shared" si="379"/>
        <v>4974.99</v>
      </c>
      <c r="BY534" s="1614">
        <f t="shared" si="379"/>
        <v>2955.6699999999996</v>
      </c>
      <c r="BZ534" s="1606">
        <f t="shared" si="379"/>
        <v>2201.527</v>
      </c>
      <c r="CA534" s="1606">
        <f t="shared" si="379"/>
        <v>0</v>
      </c>
      <c r="CB534" s="1606">
        <f t="shared" si="379"/>
        <v>0</v>
      </c>
      <c r="CC534" s="1614">
        <f t="shared" si="379"/>
        <v>4642.5</v>
      </c>
      <c r="CD534" s="1606">
        <f t="shared" si="379"/>
        <v>0</v>
      </c>
      <c r="CE534" s="1606">
        <f t="shared" si="379"/>
        <v>0</v>
      </c>
      <c r="CF534" s="1606">
        <f t="shared" si="379"/>
        <v>0</v>
      </c>
      <c r="CG534" s="1616"/>
      <c r="CH534" s="1614">
        <f t="shared" si="379"/>
        <v>1513.6399999999999</v>
      </c>
      <c r="CI534" s="1606">
        <f t="shared" si="379"/>
        <v>0</v>
      </c>
      <c r="CJ534" s="1606">
        <f t="shared" si="379"/>
        <v>1500</v>
      </c>
      <c r="CK534" s="1606">
        <f t="shared" si="379"/>
        <v>0</v>
      </c>
      <c r="CL534" s="1885"/>
      <c r="CM534" s="1885"/>
      <c r="CN534" s="1885"/>
      <c r="CO534" s="1885"/>
      <c r="CP534" s="1885"/>
      <c r="CQ534" s="1885"/>
      <c r="CR534" s="1885"/>
      <c r="CS534" s="1885"/>
      <c r="CT534" s="1885"/>
      <c r="CU534" s="1885"/>
      <c r="CV534" s="1885"/>
      <c r="CW534" s="1885"/>
      <c r="CY534" s="1885"/>
    </row>
    <row r="535" spans="1:107" ht="53" thickBot="1" x14ac:dyDescent="0.2">
      <c r="A535" s="1748" t="s">
        <v>1135</v>
      </c>
      <c r="B535" s="1749" t="s">
        <v>79</v>
      </c>
      <c r="C535" s="1749" t="s">
        <v>80</v>
      </c>
      <c r="D535" s="1749" t="s">
        <v>125</v>
      </c>
      <c r="E535" s="1749" t="s">
        <v>216</v>
      </c>
      <c r="F535" s="1749" t="s">
        <v>765</v>
      </c>
      <c r="G535" s="1600" t="s">
        <v>766</v>
      </c>
      <c r="H535" s="1531">
        <f>H536+H537+H538+H539+H540+H541+H542+H543+H544+H545+H546+H547+H548</f>
        <v>45288.646000000001</v>
      </c>
      <c r="I535" s="1531">
        <f>I536+I537+I538+I539+I540+I541+I542+I543+I544+I545+I546+I547+I548</f>
        <v>5050.8469999999998</v>
      </c>
      <c r="J535" s="1531">
        <f>J536+J537+J538+J539+J540+J541+J542+J543+J544+J545+J546+J547+J548</f>
        <v>1500</v>
      </c>
      <c r="K535" s="1531">
        <f t="shared" ref="K535:CK535" si="382">K536+K537+K538+K539+K540+K541+K542+K543+K544+K545+K546+K547+K548</f>
        <v>4974.99</v>
      </c>
      <c r="L535" s="1601"/>
      <c r="M535" s="1601"/>
      <c r="N535" s="1601"/>
      <c r="O535" s="1601">
        <f t="shared" si="382"/>
        <v>0</v>
      </c>
      <c r="P535" s="1601"/>
      <c r="Q535" s="1601">
        <f t="shared" si="382"/>
        <v>0</v>
      </c>
      <c r="R535" s="1601">
        <f t="shared" si="382"/>
        <v>60</v>
      </c>
      <c r="S535" s="1601">
        <f t="shared" si="382"/>
        <v>3000</v>
      </c>
      <c r="T535" s="1602"/>
      <c r="U535" s="1533"/>
      <c r="V535" s="1533"/>
      <c r="W535" s="1534"/>
      <c r="X535" s="1534"/>
      <c r="Y535" s="1534"/>
      <c r="Z535" s="1535"/>
      <c r="AA535" s="1534"/>
      <c r="AB535" s="1534"/>
      <c r="AC535" s="1603">
        <f t="shared" si="382"/>
        <v>45288.646000000008</v>
      </c>
      <c r="AD535" s="1603">
        <f t="shared" si="382"/>
        <v>11525.837</v>
      </c>
      <c r="AE535" s="1603">
        <f t="shared" si="382"/>
        <v>5050.8469999999998</v>
      </c>
      <c r="AF535" s="1603">
        <f t="shared" si="382"/>
        <v>1500</v>
      </c>
      <c r="AG535" s="1603">
        <f t="shared" si="382"/>
        <v>4974.99</v>
      </c>
      <c r="AH535" s="1490">
        <f t="shared" si="380"/>
        <v>0</v>
      </c>
      <c r="AI535" s="1592">
        <f t="shared" si="382"/>
        <v>0</v>
      </c>
      <c r="AJ535" s="1592">
        <f t="shared" si="382"/>
        <v>0</v>
      </c>
      <c r="AK535" s="1592">
        <f t="shared" si="382"/>
        <v>0</v>
      </c>
      <c r="AL535" s="1636">
        <f t="shared" si="381"/>
        <v>0</v>
      </c>
      <c r="AM535" s="1592">
        <f t="shared" si="382"/>
        <v>0</v>
      </c>
      <c r="AN535" s="1717"/>
      <c r="AO535" s="1707">
        <f t="shared" si="382"/>
        <v>3168.3</v>
      </c>
      <c r="AP535" s="1531">
        <f t="shared" si="382"/>
        <v>0</v>
      </c>
      <c r="AQ535" s="1531">
        <f t="shared" si="382"/>
        <v>0</v>
      </c>
      <c r="AR535" s="1531">
        <f t="shared" si="382"/>
        <v>0</v>
      </c>
      <c r="AS535" s="1535">
        <f t="shared" si="382"/>
        <v>2928.7000000000003</v>
      </c>
      <c r="AT535" s="1531">
        <f t="shared" si="382"/>
        <v>0</v>
      </c>
      <c r="AU535" s="1531">
        <f t="shared" si="382"/>
        <v>0</v>
      </c>
      <c r="AV535" s="1531">
        <f t="shared" si="382"/>
        <v>0</v>
      </c>
      <c r="AW535" s="1535">
        <f t="shared" si="382"/>
        <v>2721.9</v>
      </c>
      <c r="AX535" s="1531">
        <f t="shared" si="382"/>
        <v>0</v>
      </c>
      <c r="AY535" s="1531">
        <f t="shared" si="382"/>
        <v>0</v>
      </c>
      <c r="AZ535" s="1531">
        <f t="shared" si="382"/>
        <v>0</v>
      </c>
      <c r="BA535" s="1538">
        <f t="shared" si="382"/>
        <v>4721.93</v>
      </c>
      <c r="BB535" s="1531">
        <f t="shared" si="382"/>
        <v>0</v>
      </c>
      <c r="BC535" s="1531">
        <f t="shared" si="382"/>
        <v>0</v>
      </c>
      <c r="BD535" s="1531">
        <f t="shared" si="382"/>
        <v>0</v>
      </c>
      <c r="BE535" s="1539">
        <f t="shared" si="382"/>
        <v>3945.8</v>
      </c>
      <c r="BF535" s="1531">
        <f t="shared" si="382"/>
        <v>0</v>
      </c>
      <c r="BG535" s="1531">
        <f t="shared" si="382"/>
        <v>0</v>
      </c>
      <c r="BH535" s="1531">
        <f t="shared" si="382"/>
        <v>0</v>
      </c>
      <c r="BI535" s="1538">
        <f t="shared" si="382"/>
        <v>9360.68</v>
      </c>
      <c r="BJ535" s="1531">
        <f t="shared" si="382"/>
        <v>0</v>
      </c>
      <c r="BK535" s="1531">
        <f t="shared" si="382"/>
        <v>0</v>
      </c>
      <c r="BL535" s="1531">
        <f t="shared" si="382"/>
        <v>0</v>
      </c>
      <c r="BM535" s="1538">
        <f t="shared" si="382"/>
        <v>1863.18</v>
      </c>
      <c r="BN535" s="1531">
        <f t="shared" si="382"/>
        <v>0</v>
      </c>
      <c r="BO535" s="1531">
        <f t="shared" si="382"/>
        <v>0</v>
      </c>
      <c r="BP535" s="1531">
        <f t="shared" si="382"/>
        <v>0</v>
      </c>
      <c r="BQ535" s="1538">
        <f t="shared" si="382"/>
        <v>3120.9459999999999</v>
      </c>
      <c r="BR535" s="1531">
        <f t="shared" si="382"/>
        <v>1837.6</v>
      </c>
      <c r="BS535" s="1531">
        <f t="shared" si="382"/>
        <v>0</v>
      </c>
      <c r="BT535" s="1531">
        <f t="shared" si="382"/>
        <v>0</v>
      </c>
      <c r="BU535" s="1538">
        <f t="shared" si="382"/>
        <v>4345.3999999999996</v>
      </c>
      <c r="BV535" s="1531">
        <f t="shared" si="382"/>
        <v>1011.72</v>
      </c>
      <c r="BW535" s="1531">
        <f t="shared" si="382"/>
        <v>0</v>
      </c>
      <c r="BX535" s="1531">
        <f t="shared" si="382"/>
        <v>4974.99</v>
      </c>
      <c r="BY535" s="1538">
        <f t="shared" si="382"/>
        <v>2955.6699999999996</v>
      </c>
      <c r="BZ535" s="1531">
        <f t="shared" si="382"/>
        <v>2201.527</v>
      </c>
      <c r="CA535" s="1531">
        <f t="shared" si="382"/>
        <v>0</v>
      </c>
      <c r="CB535" s="1531">
        <f t="shared" si="382"/>
        <v>0</v>
      </c>
      <c r="CC535" s="1538">
        <f t="shared" si="382"/>
        <v>4642.5</v>
      </c>
      <c r="CD535" s="1531">
        <f t="shared" si="382"/>
        <v>0</v>
      </c>
      <c r="CE535" s="1531">
        <f t="shared" si="382"/>
        <v>0</v>
      </c>
      <c r="CF535" s="1531">
        <f t="shared" si="382"/>
        <v>0</v>
      </c>
      <c r="CG535" s="1705"/>
      <c r="CH535" s="1538">
        <f t="shared" si="382"/>
        <v>1513.6399999999999</v>
      </c>
      <c r="CI535" s="1531">
        <f t="shared" si="382"/>
        <v>0</v>
      </c>
      <c r="CJ535" s="1531">
        <f t="shared" si="382"/>
        <v>1500</v>
      </c>
      <c r="CK535" s="1531">
        <f t="shared" si="382"/>
        <v>0</v>
      </c>
    </row>
    <row r="536" spans="1:107" ht="15" thickBot="1" x14ac:dyDescent="0.2">
      <c r="A536" s="1541" t="s">
        <v>78</v>
      </c>
      <c r="B536" s="1523" t="s">
        <v>79</v>
      </c>
      <c r="C536" s="1523" t="s">
        <v>80</v>
      </c>
      <c r="D536" s="1523" t="s">
        <v>125</v>
      </c>
      <c r="E536" s="1523" t="s">
        <v>216</v>
      </c>
      <c r="F536" s="1523"/>
      <c r="G536" s="1667">
        <v>211</v>
      </c>
      <c r="H536" s="1501">
        <v>25091</v>
      </c>
      <c r="I536" s="1501"/>
      <c r="J536" s="1630"/>
      <c r="K536" s="1630"/>
      <c r="L536" s="1631"/>
      <c r="M536" s="1631"/>
      <c r="N536" s="1631"/>
      <c r="O536" s="1631"/>
      <c r="P536" s="1631"/>
      <c r="Q536" s="1631"/>
      <c r="R536" s="1631"/>
      <c r="S536" s="1631"/>
      <c r="T536" s="1632"/>
      <c r="U536" s="1633"/>
      <c r="V536" s="1633"/>
      <c r="W536" s="1634">
        <f>H536/12</f>
        <v>2090.9166666666665</v>
      </c>
      <c r="X536" s="1634">
        <f>AO536</f>
        <v>2090.9</v>
      </c>
      <c r="Y536" s="1634">
        <f>CC536</f>
        <v>3621.5</v>
      </c>
      <c r="Z536" s="1635">
        <v>2367</v>
      </c>
      <c r="AA536" s="1634">
        <f>AB536-Z536</f>
        <v>-2367</v>
      </c>
      <c r="AB536" s="1511">
        <f>AI536</f>
        <v>0</v>
      </c>
      <c r="AC536" s="1508">
        <f t="shared" ref="AC536:AC548" si="383">AO536+AS536+AW536+BA536+BE536+BI536+BM536+BQ536+BU536+BY536+CC536+CH536</f>
        <v>25091.000000000004</v>
      </c>
      <c r="AD536" s="1509">
        <f t="shared" ref="AD536:AD548" si="384">AE536+AF536+AG536</f>
        <v>0</v>
      </c>
      <c r="AE536" s="1509">
        <f t="shared" ref="AE536:AG548" si="385">AP536+AT536+AX536+BB536+BF536+BJ536+BN536+BR536+BV536+BZ536+CD536+CI536</f>
        <v>0</v>
      </c>
      <c r="AF536" s="1509">
        <f t="shared" si="385"/>
        <v>0</v>
      </c>
      <c r="AG536" s="1509">
        <f t="shared" si="385"/>
        <v>0</v>
      </c>
      <c r="AH536" s="1490">
        <f t="shared" si="380"/>
        <v>560.24</v>
      </c>
      <c r="AI536" s="1636">
        <f t="shared" ref="AI536:AI548" si="386">H536-AC536</f>
        <v>0</v>
      </c>
      <c r="AJ536" s="1636">
        <f t="shared" ref="AJ536:AJ548" si="387">AK536+AL536+AM536</f>
        <v>0</v>
      </c>
      <c r="AK536" s="1636">
        <f t="shared" ref="AK536:AK548" si="388">I536-AE536</f>
        <v>0</v>
      </c>
      <c r="AL536" s="1636">
        <f t="shared" si="381"/>
        <v>0</v>
      </c>
      <c r="AM536" s="1636">
        <f t="shared" si="381"/>
        <v>0</v>
      </c>
      <c r="AN536" s="1637">
        <f>AI536/4</f>
        <v>0</v>
      </c>
      <c r="AO536" s="1722">
        <v>2090.9</v>
      </c>
      <c r="AP536" s="1638"/>
      <c r="AQ536" s="1638"/>
      <c r="AR536" s="1638"/>
      <c r="AS536" s="1639">
        <v>2090.9</v>
      </c>
      <c r="AT536" s="1638"/>
      <c r="AU536" s="1638"/>
      <c r="AV536" s="1638"/>
      <c r="AW536" s="1640">
        <v>2090.9</v>
      </c>
      <c r="AX536" s="1640"/>
      <c r="AY536" s="1640"/>
      <c r="AZ536" s="1640"/>
      <c r="BA536" s="1641">
        <v>2090.9299999999998</v>
      </c>
      <c r="BB536" s="1640"/>
      <c r="BC536" s="1640"/>
      <c r="BD536" s="1640"/>
      <c r="BE536" s="1641">
        <v>2090.9</v>
      </c>
      <c r="BF536" s="1640"/>
      <c r="BG536" s="1640"/>
      <c r="BH536" s="1640"/>
      <c r="BI536" s="1641">
        <f>958.78+2090.9</f>
        <v>3049.6800000000003</v>
      </c>
      <c r="BJ536" s="1640"/>
      <c r="BK536" s="1640"/>
      <c r="BL536" s="1640"/>
      <c r="BM536" s="1641">
        <v>1132.18</v>
      </c>
      <c r="BN536" s="1640"/>
      <c r="BO536" s="1640"/>
      <c r="BP536" s="1640"/>
      <c r="BQ536" s="1641">
        <v>2090.9</v>
      </c>
      <c r="BR536" s="1640"/>
      <c r="BS536" s="1640"/>
      <c r="BT536" s="1640"/>
      <c r="BU536" s="1641">
        <v>2090.9</v>
      </c>
      <c r="BV536" s="1640"/>
      <c r="BW536" s="1640"/>
      <c r="BX536" s="1640"/>
      <c r="BY536" s="1641">
        <f>627.27+598.3+865.5</f>
        <v>2091.0699999999997</v>
      </c>
      <c r="BZ536" s="1640"/>
      <c r="CA536" s="1640"/>
      <c r="CB536" s="1640"/>
      <c r="CC536" s="1641">
        <f>1254.5+2367</f>
        <v>3621.5</v>
      </c>
      <c r="CD536" s="1640"/>
      <c r="CE536" s="1640"/>
      <c r="CF536" s="1640"/>
      <c r="CG536" s="1642"/>
      <c r="CH536" s="1641">
        <f>CL536+CP536</f>
        <v>560.24</v>
      </c>
      <c r="CI536" s="1641">
        <f>CM536+CQ536</f>
        <v>0</v>
      </c>
      <c r="CJ536" s="1641">
        <f>CN536+CR536</f>
        <v>0</v>
      </c>
      <c r="CK536" s="1641">
        <f>CO536+CS536</f>
        <v>0</v>
      </c>
      <c r="CL536" s="1888">
        <v>560.24</v>
      </c>
      <c r="CM536" s="1888">
        <v>0</v>
      </c>
      <c r="CN536" s="1888">
        <v>0</v>
      </c>
      <c r="CO536" s="1888">
        <v>0</v>
      </c>
      <c r="CP536" s="1641"/>
      <c r="CQ536" s="1640"/>
      <c r="CR536" s="1640"/>
      <c r="CS536" s="1640"/>
      <c r="CX536" s="1558">
        <f>H536/12*10-AC536</f>
        <v>-4181.8333333333394</v>
      </c>
      <c r="CY536" s="1558">
        <f>AI536/3</f>
        <v>0</v>
      </c>
      <c r="CZ536" s="1558">
        <f>H536/12</f>
        <v>2090.9166666666665</v>
      </c>
      <c r="DA536" s="1559"/>
      <c r="DB536" s="1559"/>
      <c r="DC536" s="1559"/>
    </row>
    <row r="537" spans="1:107" ht="15" thickBot="1" x14ac:dyDescent="0.2">
      <c r="A537" s="1541" t="s">
        <v>103</v>
      </c>
      <c r="B537" s="1523" t="s">
        <v>79</v>
      </c>
      <c r="C537" s="1523" t="s">
        <v>80</v>
      </c>
      <c r="D537" s="1523" t="s">
        <v>125</v>
      </c>
      <c r="E537" s="1523" t="s">
        <v>216</v>
      </c>
      <c r="F537" s="1523"/>
      <c r="G537" s="1667">
        <v>212</v>
      </c>
      <c r="H537" s="1501"/>
      <c r="I537" s="1501"/>
      <c r="J537" s="1630"/>
      <c r="K537" s="1630"/>
      <c r="L537" s="1631"/>
      <c r="M537" s="1631"/>
      <c r="N537" s="1631"/>
      <c r="O537" s="1631"/>
      <c r="P537" s="1631"/>
      <c r="Q537" s="1631"/>
      <c r="R537" s="1631"/>
      <c r="S537" s="1631"/>
      <c r="T537" s="1632"/>
      <c r="U537" s="1633"/>
      <c r="V537" s="1633"/>
      <c r="W537" s="1634"/>
      <c r="X537" s="1634"/>
      <c r="Y537" s="1634">
        <f>CC537</f>
        <v>0</v>
      </c>
      <c r="Z537" s="1635">
        <f>AI537-X537</f>
        <v>0</v>
      </c>
      <c r="AA537" s="1634">
        <f t="shared" ref="AA537:AA600" si="389">AB537-Z537</f>
        <v>0</v>
      </c>
      <c r="AB537" s="1511"/>
      <c r="AC537" s="1508">
        <f t="shared" si="383"/>
        <v>0</v>
      </c>
      <c r="AD537" s="1509">
        <f t="shared" si="384"/>
        <v>0</v>
      </c>
      <c r="AE537" s="1509">
        <f t="shared" si="385"/>
        <v>0</v>
      </c>
      <c r="AF537" s="1509">
        <f t="shared" si="385"/>
        <v>0</v>
      </c>
      <c r="AG537" s="1509">
        <f t="shared" si="385"/>
        <v>0</v>
      </c>
      <c r="AH537" s="1490">
        <f t="shared" si="380"/>
        <v>0</v>
      </c>
      <c r="AI537" s="1636">
        <f t="shared" si="386"/>
        <v>0</v>
      </c>
      <c r="AJ537" s="1636">
        <f t="shared" si="387"/>
        <v>0</v>
      </c>
      <c r="AK537" s="1636">
        <f t="shared" si="388"/>
        <v>0</v>
      </c>
      <c r="AL537" s="1636">
        <f t="shared" si="381"/>
        <v>0</v>
      </c>
      <c r="AM537" s="1636">
        <f t="shared" si="381"/>
        <v>0</v>
      </c>
      <c r="AN537" s="1637"/>
      <c r="AO537" s="1722">
        <v>0</v>
      </c>
      <c r="AP537" s="1638"/>
      <c r="AQ537" s="1638"/>
      <c r="AR537" s="1638"/>
      <c r="AS537" s="1639"/>
      <c r="AT537" s="1638"/>
      <c r="AU537" s="1638"/>
      <c r="AV537" s="1638"/>
      <c r="AW537" s="1640"/>
      <c r="AX537" s="1640"/>
      <c r="AY537" s="1640"/>
      <c r="AZ537" s="1640"/>
      <c r="BA537" s="1641"/>
      <c r="BB537" s="1640"/>
      <c r="BC537" s="1640"/>
      <c r="BD537" s="1640"/>
      <c r="BE537" s="1641"/>
      <c r="BF537" s="1640"/>
      <c r="BG537" s="1640"/>
      <c r="BH537" s="1640"/>
      <c r="BI537" s="1641"/>
      <c r="BJ537" s="1640"/>
      <c r="BK537" s="1640"/>
      <c r="BL537" s="1640"/>
      <c r="BM537" s="1641"/>
      <c r="BN537" s="1640"/>
      <c r="BO537" s="1640"/>
      <c r="BP537" s="1640"/>
      <c r="BQ537" s="1641"/>
      <c r="BR537" s="1640"/>
      <c r="BS537" s="1640"/>
      <c r="BT537" s="1640"/>
      <c r="BU537" s="1641"/>
      <c r="BV537" s="1640"/>
      <c r="BW537" s="1640"/>
      <c r="BX537" s="1640"/>
      <c r="BY537" s="1641"/>
      <c r="BZ537" s="1640"/>
      <c r="CA537" s="1640"/>
      <c r="CB537" s="1640"/>
      <c r="CC537" s="1641"/>
      <c r="CD537" s="1640"/>
      <c r="CE537" s="1640"/>
      <c r="CF537" s="1640"/>
      <c r="CG537" s="1642"/>
      <c r="CH537" s="1641">
        <f t="shared" ref="CH537:CK600" si="390">CL537+CP537</f>
        <v>0</v>
      </c>
      <c r="CI537" s="1641">
        <f t="shared" si="390"/>
        <v>0</v>
      </c>
      <c r="CJ537" s="1641">
        <f t="shared" si="390"/>
        <v>0</v>
      </c>
      <c r="CK537" s="1641">
        <f t="shared" si="390"/>
        <v>0</v>
      </c>
      <c r="CL537" s="1889">
        <v>0</v>
      </c>
      <c r="CM537" s="1889">
        <v>0</v>
      </c>
      <c r="CN537" s="1889">
        <v>0</v>
      </c>
      <c r="CO537" s="1889">
        <v>0</v>
      </c>
      <c r="CP537" s="1641"/>
      <c r="CQ537" s="1640"/>
      <c r="CR537" s="1640"/>
      <c r="CS537" s="1640"/>
      <c r="CX537" s="1558"/>
      <c r="CY537" s="1558"/>
      <c r="CZ537" s="1558"/>
      <c r="DA537" s="1559"/>
      <c r="DB537" s="1559"/>
      <c r="DC537" s="1559"/>
    </row>
    <row r="538" spans="1:107" ht="15" thickBot="1" x14ac:dyDescent="0.2">
      <c r="A538" s="1541" t="s">
        <v>84</v>
      </c>
      <c r="B538" s="1523" t="s">
        <v>79</v>
      </c>
      <c r="C538" s="1523" t="s">
        <v>80</v>
      </c>
      <c r="D538" s="1523" t="s">
        <v>125</v>
      </c>
      <c r="E538" s="1523" t="s">
        <v>216</v>
      </c>
      <c r="F538" s="1523"/>
      <c r="G538" s="1667">
        <v>213</v>
      </c>
      <c r="H538" s="1501">
        <v>7577.5</v>
      </c>
      <c r="I538" s="1501"/>
      <c r="J538" s="1630"/>
      <c r="K538" s="1630"/>
      <c r="L538" s="1631"/>
      <c r="M538" s="1631"/>
      <c r="N538" s="1631"/>
      <c r="O538" s="1631"/>
      <c r="P538" s="1631"/>
      <c r="Q538" s="1631"/>
      <c r="R538" s="1631"/>
      <c r="S538" s="1631"/>
      <c r="T538" s="1632"/>
      <c r="U538" s="1633"/>
      <c r="V538" s="1633"/>
      <c r="W538" s="1634">
        <f>H538/12</f>
        <v>631.45833333333337</v>
      </c>
      <c r="X538" s="1634">
        <f>AO538</f>
        <v>631.5</v>
      </c>
      <c r="Y538" s="1634">
        <f>CC538</f>
        <v>1021</v>
      </c>
      <c r="Z538" s="1635">
        <v>1021</v>
      </c>
      <c r="AA538" s="1634">
        <f t="shared" si="389"/>
        <v>-1021</v>
      </c>
      <c r="AB538" s="1511">
        <f>AI538</f>
        <v>0</v>
      </c>
      <c r="AC538" s="1508">
        <f t="shared" si="383"/>
        <v>7577.5</v>
      </c>
      <c r="AD538" s="1509">
        <f t="shared" si="384"/>
        <v>0</v>
      </c>
      <c r="AE538" s="1509">
        <f t="shared" si="385"/>
        <v>0</v>
      </c>
      <c r="AF538" s="1509">
        <f t="shared" si="385"/>
        <v>0</v>
      </c>
      <c r="AG538" s="1509">
        <f t="shared" si="385"/>
        <v>0</v>
      </c>
      <c r="AH538" s="1490">
        <f t="shared" si="380"/>
        <v>241.9</v>
      </c>
      <c r="AI538" s="1636">
        <f t="shared" si="386"/>
        <v>0</v>
      </c>
      <c r="AJ538" s="1636">
        <f t="shared" si="387"/>
        <v>0</v>
      </c>
      <c r="AK538" s="1636">
        <f t="shared" si="388"/>
        <v>0</v>
      </c>
      <c r="AL538" s="1636">
        <f t="shared" si="381"/>
        <v>0</v>
      </c>
      <c r="AM538" s="1636">
        <f t="shared" si="381"/>
        <v>0</v>
      </c>
      <c r="AN538" s="1637">
        <f>AI538/4</f>
        <v>0</v>
      </c>
      <c r="AO538" s="1722">
        <v>631.5</v>
      </c>
      <c r="AP538" s="1638"/>
      <c r="AQ538" s="1638"/>
      <c r="AR538" s="1638"/>
      <c r="AS538" s="1639">
        <v>631.5</v>
      </c>
      <c r="AT538" s="1638"/>
      <c r="AU538" s="1638"/>
      <c r="AV538" s="1638"/>
      <c r="AW538" s="1640">
        <v>631</v>
      </c>
      <c r="AX538" s="1640"/>
      <c r="AY538" s="1640"/>
      <c r="AZ538" s="1640"/>
      <c r="BA538" s="1641">
        <v>631</v>
      </c>
      <c r="BB538" s="1640"/>
      <c r="BC538" s="1640"/>
      <c r="BD538" s="1640"/>
      <c r="BE538" s="1641">
        <v>631</v>
      </c>
      <c r="BF538" s="1640"/>
      <c r="BG538" s="1640"/>
      <c r="BH538" s="1640"/>
      <c r="BI538" s="1641">
        <f>631</f>
        <v>631</v>
      </c>
      <c r="BJ538" s="1640"/>
      <c r="BK538" s="1640"/>
      <c r="BL538" s="1640"/>
      <c r="BM538" s="1641">
        <v>631</v>
      </c>
      <c r="BN538" s="1640"/>
      <c r="BO538" s="1640"/>
      <c r="BP538" s="1640"/>
      <c r="BQ538" s="1641">
        <v>631</v>
      </c>
      <c r="BR538" s="1640"/>
      <c r="BS538" s="1640"/>
      <c r="BT538" s="1640"/>
      <c r="BU538" s="1641">
        <v>631</v>
      </c>
      <c r="BV538" s="1640"/>
      <c r="BW538" s="1640"/>
      <c r="BX538" s="1640"/>
      <c r="BY538" s="1641">
        <v>634.6</v>
      </c>
      <c r="BZ538" s="1640"/>
      <c r="CA538" s="1640"/>
      <c r="CB538" s="1640"/>
      <c r="CC538" s="1641">
        <v>1021</v>
      </c>
      <c r="CD538" s="1640"/>
      <c r="CE538" s="1640"/>
      <c r="CF538" s="1640"/>
      <c r="CG538" s="1642"/>
      <c r="CH538" s="1641">
        <f t="shared" si="390"/>
        <v>241.9</v>
      </c>
      <c r="CI538" s="1641">
        <f t="shared" si="390"/>
        <v>0</v>
      </c>
      <c r="CJ538" s="1641">
        <f t="shared" si="390"/>
        <v>0</v>
      </c>
      <c r="CK538" s="1641">
        <f t="shared" si="390"/>
        <v>0</v>
      </c>
      <c r="CL538" s="1889">
        <v>241.9</v>
      </c>
      <c r="CM538" s="1889">
        <v>0</v>
      </c>
      <c r="CN538" s="1889">
        <v>0</v>
      </c>
      <c r="CO538" s="1889">
        <v>0</v>
      </c>
      <c r="CP538" s="1641"/>
      <c r="CQ538" s="1640"/>
      <c r="CR538" s="1640"/>
      <c r="CS538" s="1640"/>
      <c r="CX538" s="1558">
        <f>H538/12*10-AC538</f>
        <v>-1262.9166666666661</v>
      </c>
      <c r="CY538" s="1558">
        <f>AI538/3</f>
        <v>0</v>
      </c>
      <c r="CZ538" s="1558">
        <f>H538/12</f>
        <v>631.45833333333337</v>
      </c>
      <c r="DA538" s="1559"/>
      <c r="DB538" s="1559"/>
      <c r="DC538" s="1559"/>
    </row>
    <row r="539" spans="1:107" ht="15" thickBot="1" x14ac:dyDescent="0.2">
      <c r="A539" s="1541" t="s">
        <v>85</v>
      </c>
      <c r="B539" s="1523" t="s">
        <v>79</v>
      </c>
      <c r="C539" s="1523" t="s">
        <v>80</v>
      </c>
      <c r="D539" s="1523" t="s">
        <v>125</v>
      </c>
      <c r="E539" s="1523" t="s">
        <v>216</v>
      </c>
      <c r="F539" s="1523"/>
      <c r="G539" s="1667">
        <v>221</v>
      </c>
      <c r="H539" s="1501"/>
      <c r="I539" s="1501"/>
      <c r="J539" s="1630"/>
      <c r="K539" s="1630"/>
      <c r="L539" s="1631"/>
      <c r="M539" s="1631"/>
      <c r="N539" s="1631"/>
      <c r="O539" s="1631"/>
      <c r="P539" s="1631"/>
      <c r="Q539" s="1631"/>
      <c r="R539" s="1631"/>
      <c r="S539" s="1631"/>
      <c r="T539" s="1632"/>
      <c r="U539" s="1633"/>
      <c r="V539" s="1633"/>
      <c r="W539" s="1634"/>
      <c r="X539" s="1634"/>
      <c r="Y539" s="1634"/>
      <c r="Z539" s="1635"/>
      <c r="AA539" s="1634">
        <f t="shared" si="389"/>
        <v>0</v>
      </c>
      <c r="AB539" s="1634"/>
      <c r="AC539" s="1508">
        <f t="shared" si="383"/>
        <v>0</v>
      </c>
      <c r="AD539" s="1509">
        <f t="shared" si="384"/>
        <v>0</v>
      </c>
      <c r="AE539" s="1509">
        <f t="shared" si="385"/>
        <v>0</v>
      </c>
      <c r="AF539" s="1509">
        <f t="shared" si="385"/>
        <v>0</v>
      </c>
      <c r="AG539" s="1509">
        <f t="shared" si="385"/>
        <v>0</v>
      </c>
      <c r="AH539" s="1490">
        <f t="shared" si="380"/>
        <v>0</v>
      </c>
      <c r="AI539" s="1636">
        <f t="shared" si="386"/>
        <v>0</v>
      </c>
      <c r="AJ539" s="1636">
        <f t="shared" si="387"/>
        <v>0</v>
      </c>
      <c r="AK539" s="1636">
        <f t="shared" si="388"/>
        <v>0</v>
      </c>
      <c r="AL539" s="1636">
        <f t="shared" si="381"/>
        <v>0</v>
      </c>
      <c r="AM539" s="1636">
        <f t="shared" si="381"/>
        <v>0</v>
      </c>
      <c r="AN539" s="1637"/>
      <c r="AO539" s="1722">
        <v>0</v>
      </c>
      <c r="AP539" s="1638"/>
      <c r="AQ539" s="1638"/>
      <c r="AR539" s="1638"/>
      <c r="AS539" s="1639"/>
      <c r="AT539" s="1638"/>
      <c r="AU539" s="1638"/>
      <c r="AV539" s="1638"/>
      <c r="AW539" s="1639"/>
      <c r="AX539" s="1640"/>
      <c r="AY539" s="1640"/>
      <c r="AZ539" s="1640"/>
      <c r="BA539" s="1641"/>
      <c r="BB539" s="1640"/>
      <c r="BC539" s="1640"/>
      <c r="BD539" s="1640"/>
      <c r="BE539" s="1644"/>
      <c r="BF539" s="1640"/>
      <c r="BG539" s="1640"/>
      <c r="BH539" s="1640"/>
      <c r="BI539" s="1641"/>
      <c r="BJ539" s="1640"/>
      <c r="BK539" s="1640"/>
      <c r="BL539" s="1640"/>
      <c r="BM539" s="1641"/>
      <c r="BN539" s="1640"/>
      <c r="BO539" s="1640"/>
      <c r="BP539" s="1640"/>
      <c r="BQ539" s="1641"/>
      <c r="BR539" s="1640"/>
      <c r="BS539" s="1640"/>
      <c r="BT539" s="1640"/>
      <c r="BU539" s="1641"/>
      <c r="BV539" s="1640"/>
      <c r="BW539" s="1640"/>
      <c r="BX539" s="1640"/>
      <c r="BY539" s="1641"/>
      <c r="BZ539" s="1640"/>
      <c r="CA539" s="1640"/>
      <c r="CB539" s="1640"/>
      <c r="CC539" s="1641"/>
      <c r="CD539" s="1640"/>
      <c r="CE539" s="1640"/>
      <c r="CF539" s="1640"/>
      <c r="CG539" s="1642"/>
      <c r="CH539" s="1641">
        <f t="shared" si="390"/>
        <v>0</v>
      </c>
      <c r="CI539" s="1641">
        <f t="shared" si="390"/>
        <v>0</v>
      </c>
      <c r="CJ539" s="1641">
        <f t="shared" si="390"/>
        <v>0</v>
      </c>
      <c r="CK539" s="1641">
        <f t="shared" si="390"/>
        <v>0</v>
      </c>
      <c r="CL539" s="1889">
        <v>0</v>
      </c>
      <c r="CM539" s="1889">
        <v>0</v>
      </c>
      <c r="CN539" s="1889">
        <v>0</v>
      </c>
      <c r="CO539" s="1889">
        <v>0</v>
      </c>
      <c r="CP539" s="1641"/>
      <c r="CQ539" s="1640"/>
      <c r="CR539" s="1640"/>
      <c r="CS539" s="1640"/>
    </row>
    <row r="540" spans="1:107" ht="15" thickBot="1" x14ac:dyDescent="0.2">
      <c r="A540" s="1541" t="s">
        <v>86</v>
      </c>
      <c r="B540" s="1523" t="s">
        <v>79</v>
      </c>
      <c r="C540" s="1523" t="s">
        <v>80</v>
      </c>
      <c r="D540" s="1523" t="s">
        <v>125</v>
      </c>
      <c r="E540" s="1523" t="s">
        <v>216</v>
      </c>
      <c r="F540" s="1523"/>
      <c r="G540" s="1667">
        <v>222</v>
      </c>
      <c r="H540" s="1501"/>
      <c r="I540" s="1501"/>
      <c r="J540" s="1630"/>
      <c r="K540" s="1630"/>
      <c r="L540" s="1631"/>
      <c r="M540" s="1631"/>
      <c r="N540" s="1631"/>
      <c r="O540" s="1631"/>
      <c r="P540" s="1631"/>
      <c r="Q540" s="1631"/>
      <c r="R540" s="1631"/>
      <c r="S540" s="1631"/>
      <c r="T540" s="1632"/>
      <c r="U540" s="1633"/>
      <c r="V540" s="1633"/>
      <c r="W540" s="1634"/>
      <c r="X540" s="1634"/>
      <c r="Y540" s="1634"/>
      <c r="Z540" s="1635"/>
      <c r="AA540" s="1634">
        <f t="shared" si="389"/>
        <v>0</v>
      </c>
      <c r="AB540" s="1634"/>
      <c r="AC540" s="1508">
        <f t="shared" si="383"/>
        <v>0</v>
      </c>
      <c r="AD540" s="1509">
        <f t="shared" si="384"/>
        <v>0</v>
      </c>
      <c r="AE540" s="1509">
        <f t="shared" si="385"/>
        <v>0</v>
      </c>
      <c r="AF540" s="1509">
        <f t="shared" si="385"/>
        <v>0</v>
      </c>
      <c r="AG540" s="1509">
        <f t="shared" si="385"/>
        <v>0</v>
      </c>
      <c r="AH540" s="1490">
        <f t="shared" si="380"/>
        <v>0</v>
      </c>
      <c r="AI540" s="1636">
        <f t="shared" si="386"/>
        <v>0</v>
      </c>
      <c r="AJ540" s="1636">
        <f t="shared" si="387"/>
        <v>0</v>
      </c>
      <c r="AK540" s="1636">
        <f t="shared" si="388"/>
        <v>0</v>
      </c>
      <c r="AL540" s="1636">
        <f t="shared" si="381"/>
        <v>0</v>
      </c>
      <c r="AM540" s="1636">
        <f t="shared" si="381"/>
        <v>0</v>
      </c>
      <c r="AN540" s="1637"/>
      <c r="AO540" s="1722">
        <v>0</v>
      </c>
      <c r="AP540" s="1638"/>
      <c r="AQ540" s="1638"/>
      <c r="AR540" s="1638"/>
      <c r="AS540" s="1639"/>
      <c r="AT540" s="1638"/>
      <c r="AU540" s="1638"/>
      <c r="AV540" s="1638"/>
      <c r="AW540" s="1639"/>
      <c r="AX540" s="1640"/>
      <c r="AY540" s="1640"/>
      <c r="AZ540" s="1640"/>
      <c r="BA540" s="1641"/>
      <c r="BB540" s="1640"/>
      <c r="BC540" s="1640"/>
      <c r="BD540" s="1640"/>
      <c r="BE540" s="1644"/>
      <c r="BF540" s="1640"/>
      <c r="BG540" s="1640"/>
      <c r="BH540" s="1640"/>
      <c r="BI540" s="1641"/>
      <c r="BJ540" s="1640"/>
      <c r="BK540" s="1640"/>
      <c r="BL540" s="1640"/>
      <c r="BM540" s="1641"/>
      <c r="BN540" s="1640"/>
      <c r="BO540" s="1640"/>
      <c r="BP540" s="1640"/>
      <c r="BQ540" s="1641"/>
      <c r="BR540" s="1640"/>
      <c r="BS540" s="1640"/>
      <c r="BT540" s="1640"/>
      <c r="BU540" s="1641"/>
      <c r="BV540" s="1640"/>
      <c r="BW540" s="1640"/>
      <c r="BX540" s="1640"/>
      <c r="BY540" s="1641"/>
      <c r="BZ540" s="1640"/>
      <c r="CA540" s="1640"/>
      <c r="CB540" s="1640"/>
      <c r="CC540" s="1641"/>
      <c r="CD540" s="1640"/>
      <c r="CE540" s="1640"/>
      <c r="CF540" s="1640"/>
      <c r="CG540" s="1642"/>
      <c r="CH540" s="1641">
        <f t="shared" si="390"/>
        <v>0</v>
      </c>
      <c r="CI540" s="1641">
        <f t="shared" si="390"/>
        <v>0</v>
      </c>
      <c r="CJ540" s="1641">
        <f t="shared" si="390"/>
        <v>0</v>
      </c>
      <c r="CK540" s="1641">
        <f t="shared" si="390"/>
        <v>0</v>
      </c>
      <c r="CL540" s="1889">
        <v>0</v>
      </c>
      <c r="CM540" s="1889">
        <v>0</v>
      </c>
      <c r="CN540" s="1889">
        <v>0</v>
      </c>
      <c r="CO540" s="1889">
        <v>0</v>
      </c>
      <c r="CP540" s="1641"/>
      <c r="CQ540" s="1640"/>
      <c r="CR540" s="1640"/>
      <c r="CS540" s="1640"/>
    </row>
    <row r="541" spans="1:107" ht="15" thickBot="1" x14ac:dyDescent="0.2">
      <c r="A541" s="1541" t="s">
        <v>87</v>
      </c>
      <c r="B541" s="1523" t="s">
        <v>79</v>
      </c>
      <c r="C541" s="1523" t="s">
        <v>80</v>
      </c>
      <c r="D541" s="1523" t="s">
        <v>125</v>
      </c>
      <c r="E541" s="1523" t="s">
        <v>216</v>
      </c>
      <c r="F541" s="1523"/>
      <c r="G541" s="1667">
        <v>223</v>
      </c>
      <c r="H541" s="1501">
        <f>2477.1-50</f>
        <v>2427.1</v>
      </c>
      <c r="I541" s="1501"/>
      <c r="J541" s="1630"/>
      <c r="K541" s="1630"/>
      <c r="L541" s="1631"/>
      <c r="M541" s="1631"/>
      <c r="N541" s="1631"/>
      <c r="O541" s="1631"/>
      <c r="P541" s="1631"/>
      <c r="Q541" s="1631"/>
      <c r="R541" s="1631"/>
      <c r="S541" s="1631"/>
      <c r="T541" s="1632"/>
      <c r="U541" s="1633"/>
      <c r="V541" s="1633"/>
      <c r="W541" s="1634"/>
      <c r="X541" s="1634"/>
      <c r="Y541" s="1634"/>
      <c r="Z541" s="1635"/>
      <c r="AA541" s="1634">
        <f t="shared" si="389"/>
        <v>0</v>
      </c>
      <c r="AB541" s="1634"/>
      <c r="AC541" s="1508">
        <f t="shared" si="383"/>
        <v>2427.1</v>
      </c>
      <c r="AD541" s="1509">
        <f t="shared" si="384"/>
        <v>0</v>
      </c>
      <c r="AE541" s="1509">
        <f t="shared" si="385"/>
        <v>0</v>
      </c>
      <c r="AF541" s="1509">
        <f t="shared" si="385"/>
        <v>0</v>
      </c>
      <c r="AG541" s="1509">
        <f t="shared" si="385"/>
        <v>0</v>
      </c>
      <c r="AH541" s="1490">
        <f t="shared" si="380"/>
        <v>248.4</v>
      </c>
      <c r="AI541" s="1636">
        <f t="shared" si="386"/>
        <v>0</v>
      </c>
      <c r="AJ541" s="1636">
        <f t="shared" si="387"/>
        <v>0</v>
      </c>
      <c r="AK541" s="1636">
        <f t="shared" si="388"/>
        <v>0</v>
      </c>
      <c r="AL541" s="1636">
        <f t="shared" si="381"/>
        <v>0</v>
      </c>
      <c r="AM541" s="1636">
        <f t="shared" si="381"/>
        <v>0</v>
      </c>
      <c r="AN541" s="1637"/>
      <c r="AO541" s="1722">
        <f>206.4+100</f>
        <v>306.39999999999998</v>
      </c>
      <c r="AP541" s="1638"/>
      <c r="AQ541" s="1638"/>
      <c r="AR541" s="1638"/>
      <c r="AS541" s="1639">
        <v>206.3</v>
      </c>
      <c r="AT541" s="1638"/>
      <c r="AU541" s="1638"/>
      <c r="AV541" s="1638"/>
      <c r="AW541" s="1639"/>
      <c r="AX541" s="1640"/>
      <c r="AY541" s="1640"/>
      <c r="AZ541" s="1640"/>
      <c r="BA541" s="1641"/>
      <c r="BB541" s="1640"/>
      <c r="BC541" s="1640"/>
      <c r="BD541" s="1640"/>
      <c r="BE541" s="1644">
        <v>468</v>
      </c>
      <c r="BF541" s="1640"/>
      <c r="BG541" s="1640"/>
      <c r="BH541" s="1640"/>
      <c r="BI541" s="1641">
        <v>234</v>
      </c>
      <c r="BJ541" s="1640"/>
      <c r="BK541" s="1640"/>
      <c r="BL541" s="1640"/>
      <c r="BM541" s="1641"/>
      <c r="BN541" s="1640"/>
      <c r="BO541" s="1640"/>
      <c r="BP541" s="1640"/>
      <c r="BQ541" s="1641">
        <v>234</v>
      </c>
      <c r="BR541" s="1640"/>
      <c r="BS541" s="1640"/>
      <c r="BT541" s="1640"/>
      <c r="BU541" s="1641">
        <v>500</v>
      </c>
      <c r="BV541" s="1640"/>
      <c r="BW541" s="1640"/>
      <c r="BX541" s="1640"/>
      <c r="BY541" s="1641">
        <v>230</v>
      </c>
      <c r="BZ541" s="1640"/>
      <c r="CA541" s="1640"/>
      <c r="CB541" s="1640"/>
      <c r="CC541" s="1641"/>
      <c r="CD541" s="1640"/>
      <c r="CE541" s="1640"/>
      <c r="CF541" s="1640"/>
      <c r="CG541" s="1642"/>
      <c r="CH541" s="1641">
        <f t="shared" si="390"/>
        <v>248.4</v>
      </c>
      <c r="CI541" s="1641">
        <f t="shared" si="390"/>
        <v>0</v>
      </c>
      <c r="CJ541" s="1641">
        <f t="shared" si="390"/>
        <v>0</v>
      </c>
      <c r="CK541" s="1641">
        <f t="shared" si="390"/>
        <v>0</v>
      </c>
      <c r="CL541" s="1889">
        <v>248.4</v>
      </c>
      <c r="CM541" s="1889">
        <v>0</v>
      </c>
      <c r="CN541" s="1889">
        <v>0</v>
      </c>
      <c r="CO541" s="1889">
        <v>0</v>
      </c>
      <c r="CP541" s="1641"/>
      <c r="CQ541" s="1640"/>
      <c r="CR541" s="1640"/>
      <c r="CS541" s="1640"/>
    </row>
    <row r="542" spans="1:107" ht="15" thickBot="1" x14ac:dyDescent="0.2">
      <c r="A542" s="1541" t="s">
        <v>134</v>
      </c>
      <c r="B542" s="1523" t="s">
        <v>79</v>
      </c>
      <c r="C542" s="1523" t="s">
        <v>80</v>
      </c>
      <c r="D542" s="1523" t="s">
        <v>125</v>
      </c>
      <c r="E542" s="1523" t="s">
        <v>216</v>
      </c>
      <c r="F542" s="1523"/>
      <c r="G542" s="1667">
        <v>224</v>
      </c>
      <c r="H542" s="1501"/>
      <c r="I542" s="1501"/>
      <c r="J542" s="1630"/>
      <c r="K542" s="1630"/>
      <c r="L542" s="1631"/>
      <c r="M542" s="1631"/>
      <c r="N542" s="1631"/>
      <c r="O542" s="1631"/>
      <c r="P542" s="1631"/>
      <c r="Q542" s="1631"/>
      <c r="R542" s="1631"/>
      <c r="S542" s="1631"/>
      <c r="T542" s="1632"/>
      <c r="U542" s="1633"/>
      <c r="V542" s="1633"/>
      <c r="W542" s="1634"/>
      <c r="X542" s="1634"/>
      <c r="Y542" s="1634"/>
      <c r="Z542" s="1635"/>
      <c r="AA542" s="1634">
        <f t="shared" si="389"/>
        <v>0</v>
      </c>
      <c r="AB542" s="1634"/>
      <c r="AC542" s="1508">
        <f t="shared" si="383"/>
        <v>0</v>
      </c>
      <c r="AD542" s="1509">
        <f t="shared" si="384"/>
        <v>0</v>
      </c>
      <c r="AE542" s="1509">
        <f t="shared" si="385"/>
        <v>0</v>
      </c>
      <c r="AF542" s="1509">
        <f t="shared" si="385"/>
        <v>0</v>
      </c>
      <c r="AG542" s="1509">
        <f t="shared" si="385"/>
        <v>0</v>
      </c>
      <c r="AH542" s="1490">
        <f t="shared" si="380"/>
        <v>0</v>
      </c>
      <c r="AI542" s="1636">
        <f t="shared" si="386"/>
        <v>0</v>
      </c>
      <c r="AJ542" s="1636">
        <f t="shared" si="387"/>
        <v>0</v>
      </c>
      <c r="AK542" s="1636">
        <f t="shared" si="388"/>
        <v>0</v>
      </c>
      <c r="AL542" s="1636">
        <f t="shared" si="381"/>
        <v>0</v>
      </c>
      <c r="AM542" s="1636">
        <f t="shared" si="381"/>
        <v>0</v>
      </c>
      <c r="AN542" s="1637"/>
      <c r="AO542" s="1722">
        <v>0</v>
      </c>
      <c r="AP542" s="1638"/>
      <c r="AQ542" s="1638"/>
      <c r="AR542" s="1638"/>
      <c r="AS542" s="1639"/>
      <c r="AT542" s="1638"/>
      <c r="AU542" s="1638"/>
      <c r="AV542" s="1638"/>
      <c r="AW542" s="1639"/>
      <c r="AX542" s="1640"/>
      <c r="AY542" s="1640"/>
      <c r="AZ542" s="1640"/>
      <c r="BA542" s="1641"/>
      <c r="BB542" s="1640"/>
      <c r="BC542" s="1640"/>
      <c r="BD542" s="1640"/>
      <c r="BE542" s="1644"/>
      <c r="BF542" s="1640"/>
      <c r="BG542" s="1640"/>
      <c r="BH542" s="1640"/>
      <c r="BI542" s="1641"/>
      <c r="BJ542" s="1640"/>
      <c r="BK542" s="1640"/>
      <c r="BL542" s="1640"/>
      <c r="BM542" s="1641"/>
      <c r="BN542" s="1640"/>
      <c r="BO542" s="1640"/>
      <c r="BP542" s="1640"/>
      <c r="BQ542" s="1641"/>
      <c r="BR542" s="1640"/>
      <c r="BS542" s="1640"/>
      <c r="BT542" s="1640"/>
      <c r="BU542" s="1641"/>
      <c r="BV542" s="1640"/>
      <c r="BW542" s="1640"/>
      <c r="BX542" s="1640"/>
      <c r="BY542" s="1641"/>
      <c r="BZ542" s="1640"/>
      <c r="CA542" s="1640"/>
      <c r="CB542" s="1640"/>
      <c r="CC542" s="1641"/>
      <c r="CD542" s="1640"/>
      <c r="CE542" s="1640"/>
      <c r="CF542" s="1640"/>
      <c r="CG542" s="1642"/>
      <c r="CH542" s="1641">
        <f t="shared" si="390"/>
        <v>0</v>
      </c>
      <c r="CI542" s="1641">
        <f t="shared" si="390"/>
        <v>0</v>
      </c>
      <c r="CJ542" s="1641">
        <f t="shared" si="390"/>
        <v>0</v>
      </c>
      <c r="CK542" s="1641">
        <f t="shared" si="390"/>
        <v>0</v>
      </c>
      <c r="CL542" s="1889">
        <v>0</v>
      </c>
      <c r="CM542" s="1889">
        <v>0</v>
      </c>
      <c r="CN542" s="1889">
        <v>0</v>
      </c>
      <c r="CO542" s="1889">
        <v>0</v>
      </c>
      <c r="CP542" s="1641"/>
      <c r="CQ542" s="1640"/>
      <c r="CR542" s="1640"/>
      <c r="CS542" s="1640"/>
    </row>
    <row r="543" spans="1:107" ht="15" thickBot="1" x14ac:dyDescent="0.2">
      <c r="A543" s="1541" t="s">
        <v>90</v>
      </c>
      <c r="B543" s="1523" t="s">
        <v>79</v>
      </c>
      <c r="C543" s="1523" t="s">
        <v>80</v>
      </c>
      <c r="D543" s="1523" t="s">
        <v>125</v>
      </c>
      <c r="E543" s="1523" t="s">
        <v>216</v>
      </c>
      <c r="F543" s="1523"/>
      <c r="G543" s="1667">
        <v>225</v>
      </c>
      <c r="H543" s="1501">
        <f>7346+50+24+130-74</f>
        <v>7476</v>
      </c>
      <c r="I543" s="1501"/>
      <c r="J543" s="1630">
        <f>1520.5-V543</f>
        <v>1500</v>
      </c>
      <c r="K543" s="1630"/>
      <c r="L543" s="1631"/>
      <c r="M543" s="1631"/>
      <c r="N543" s="1631"/>
      <c r="O543" s="1631"/>
      <c r="P543" s="1631"/>
      <c r="Q543" s="1631"/>
      <c r="R543" s="1631"/>
      <c r="S543" s="1631"/>
      <c r="T543" s="1632"/>
      <c r="U543" s="1633"/>
      <c r="V543" s="1633">
        <v>20.5</v>
      </c>
      <c r="W543" s="1634"/>
      <c r="X543" s="1634"/>
      <c r="Y543" s="1634"/>
      <c r="Z543" s="1635"/>
      <c r="AA543" s="1634">
        <f t="shared" si="389"/>
        <v>0</v>
      </c>
      <c r="AB543" s="1634"/>
      <c r="AC543" s="1508">
        <f t="shared" si="383"/>
        <v>7476</v>
      </c>
      <c r="AD543" s="1509">
        <f t="shared" si="384"/>
        <v>1500</v>
      </c>
      <c r="AE543" s="1509">
        <f t="shared" si="385"/>
        <v>0</v>
      </c>
      <c r="AF543" s="1509">
        <f t="shared" si="385"/>
        <v>1500</v>
      </c>
      <c r="AG543" s="1509">
        <f t="shared" si="385"/>
        <v>0</v>
      </c>
      <c r="AH543" s="1490">
        <f t="shared" si="380"/>
        <v>0</v>
      </c>
      <c r="AI543" s="1636">
        <f t="shared" si="386"/>
        <v>0</v>
      </c>
      <c r="AJ543" s="1636">
        <f t="shared" si="387"/>
        <v>0</v>
      </c>
      <c r="AK543" s="1636">
        <f t="shared" si="388"/>
        <v>0</v>
      </c>
      <c r="AL543" s="1636">
        <f t="shared" si="381"/>
        <v>0</v>
      </c>
      <c r="AM543" s="1636">
        <f t="shared" si="381"/>
        <v>0</v>
      </c>
      <c r="AN543" s="1637"/>
      <c r="AO543" s="1723"/>
      <c r="AP543" s="1638"/>
      <c r="AQ543" s="1638"/>
      <c r="AR543" s="1638"/>
      <c r="AS543" s="1639"/>
      <c r="AT543" s="1638"/>
      <c r="AU543" s="1638"/>
      <c r="AV543" s="1638"/>
      <c r="AW543" s="1639"/>
      <c r="AX543" s="1640"/>
      <c r="AY543" s="1640"/>
      <c r="AZ543" s="1640"/>
      <c r="BA543" s="1641">
        <v>2000</v>
      </c>
      <c r="BB543" s="1640"/>
      <c r="BC543" s="1640"/>
      <c r="BD543" s="1640"/>
      <c r="BE543" s="1644"/>
      <c r="BF543" s="1640"/>
      <c r="BG543" s="1640"/>
      <c r="BH543" s="1640"/>
      <c r="BI543" s="1641">
        <v>5346</v>
      </c>
      <c r="BJ543" s="1640"/>
      <c r="BK543" s="1640"/>
      <c r="BL543" s="1640"/>
      <c r="BM543" s="1641"/>
      <c r="BN543" s="1640"/>
      <c r="BO543" s="1640"/>
      <c r="BP543" s="1640"/>
      <c r="BQ543" s="1641">
        <v>130</v>
      </c>
      <c r="BR543" s="1640"/>
      <c r="BS543" s="1640"/>
      <c r="BT543" s="1640"/>
      <c r="BU543" s="1641"/>
      <c r="BV543" s="1640"/>
      <c r="BW543" s="1640"/>
      <c r="BX543" s="1640"/>
      <c r="BY543" s="1641"/>
      <c r="BZ543" s="1640"/>
      <c r="CA543" s="1640"/>
      <c r="CB543" s="1640"/>
      <c r="CC543" s="1641"/>
      <c r="CD543" s="1640"/>
      <c r="CE543" s="1640"/>
      <c r="CF543" s="1640"/>
      <c r="CG543" s="1642"/>
      <c r="CH543" s="1641">
        <f t="shared" si="390"/>
        <v>0</v>
      </c>
      <c r="CI543" s="1641">
        <f t="shared" si="390"/>
        <v>0</v>
      </c>
      <c r="CJ543" s="1641">
        <f t="shared" si="390"/>
        <v>1500</v>
      </c>
      <c r="CK543" s="1641">
        <f t="shared" si="390"/>
        <v>0</v>
      </c>
      <c r="CL543" s="1889">
        <v>0</v>
      </c>
      <c r="CM543" s="1889">
        <v>0</v>
      </c>
      <c r="CN543" s="1890">
        <v>1500</v>
      </c>
      <c r="CO543" s="1889">
        <v>0</v>
      </c>
      <c r="CP543" s="1641"/>
      <c r="CQ543" s="1640"/>
      <c r="CR543" s="1640"/>
      <c r="CS543" s="1640"/>
    </row>
    <row r="544" spans="1:107" s="1919" customFormat="1" ht="15" thickBot="1" x14ac:dyDescent="0.2">
      <c r="A544" s="1541" t="s">
        <v>91</v>
      </c>
      <c r="B544" s="1523" t="s">
        <v>79</v>
      </c>
      <c r="C544" s="1523" t="s">
        <v>80</v>
      </c>
      <c r="D544" s="1523" t="s">
        <v>125</v>
      </c>
      <c r="E544" s="1523" t="s">
        <v>216</v>
      </c>
      <c r="F544" s="1523"/>
      <c r="G544" s="1667">
        <v>226</v>
      </c>
      <c r="H544" s="1501">
        <f>35+26+138-163.954</f>
        <v>35.045999999999992</v>
      </c>
      <c r="I544" s="1501">
        <f>5074-3300-74</f>
        <v>1700</v>
      </c>
      <c r="J544" s="1630">
        <f>100-V544</f>
        <v>0</v>
      </c>
      <c r="K544" s="1630"/>
      <c r="L544" s="1631"/>
      <c r="M544" s="1631"/>
      <c r="N544" s="1631"/>
      <c r="O544" s="1631"/>
      <c r="P544" s="1631">
        <v>3300</v>
      </c>
      <c r="Q544" s="1631"/>
      <c r="R544" s="1631">
        <v>60</v>
      </c>
      <c r="S544" s="1631">
        <v>3000</v>
      </c>
      <c r="T544" s="1632"/>
      <c r="U544" s="1633"/>
      <c r="V544" s="1633">
        <v>100</v>
      </c>
      <c r="W544" s="1920"/>
      <c r="X544" s="1920"/>
      <c r="Y544" s="1920"/>
      <c r="Z544" s="1635"/>
      <c r="AA544" s="1634">
        <f t="shared" si="389"/>
        <v>0</v>
      </c>
      <c r="AB544" s="1920"/>
      <c r="AC544" s="1920">
        <f t="shared" si="383"/>
        <v>35.045999999999999</v>
      </c>
      <c r="AD544" s="1921">
        <f t="shared" si="384"/>
        <v>1700</v>
      </c>
      <c r="AE544" s="1921">
        <f t="shared" si="385"/>
        <v>1700</v>
      </c>
      <c r="AF544" s="1921">
        <f t="shared" si="385"/>
        <v>0</v>
      </c>
      <c r="AG544" s="1921">
        <f t="shared" si="385"/>
        <v>0</v>
      </c>
      <c r="AH544" s="1490">
        <f t="shared" si="380"/>
        <v>3300</v>
      </c>
      <c r="AI544" s="1920">
        <f t="shared" si="386"/>
        <v>0</v>
      </c>
      <c r="AJ544" s="1920">
        <f t="shared" si="387"/>
        <v>0</v>
      </c>
      <c r="AK544" s="1920">
        <f t="shared" si="388"/>
        <v>0</v>
      </c>
      <c r="AL544" s="1920">
        <f t="shared" si="381"/>
        <v>0</v>
      </c>
      <c r="AM544" s="1920">
        <f t="shared" si="381"/>
        <v>0</v>
      </c>
      <c r="AN544" s="1637"/>
      <c r="AO544" s="1928"/>
      <c r="AP544" s="1923"/>
      <c r="AQ544" s="1923"/>
      <c r="AR544" s="1923"/>
      <c r="AS544" s="1639"/>
      <c r="AT544" s="1923"/>
      <c r="AU544" s="1923"/>
      <c r="AV544" s="1923"/>
      <c r="AW544" s="1924"/>
      <c r="AX544" s="1924"/>
      <c r="AY544" s="1924"/>
      <c r="AZ544" s="1924"/>
      <c r="BA544" s="1641"/>
      <c r="BB544" s="1924"/>
      <c r="BC544" s="1924"/>
      <c r="BD544" s="1924"/>
      <c r="BE544" s="1644"/>
      <c r="BF544" s="1924"/>
      <c r="BG544" s="1924"/>
      <c r="BH544" s="1924"/>
      <c r="BI544" s="1641"/>
      <c r="BJ544" s="1924"/>
      <c r="BK544" s="1924"/>
      <c r="BL544" s="1924"/>
      <c r="BM544" s="1641"/>
      <c r="BN544" s="1924"/>
      <c r="BO544" s="1924"/>
      <c r="BP544" s="1924"/>
      <c r="BQ544" s="1641">
        <v>35.045999999999999</v>
      </c>
      <c r="BR544" s="1924"/>
      <c r="BS544" s="1924"/>
      <c r="BT544" s="1924"/>
      <c r="BU544" s="1641"/>
      <c r="BV544" s="1924">
        <v>1700</v>
      </c>
      <c r="BW544" s="1924"/>
      <c r="BX544" s="1924"/>
      <c r="BY544" s="1641"/>
      <c r="BZ544" s="1924"/>
      <c r="CA544" s="1924"/>
      <c r="CB544" s="1924"/>
      <c r="CC544" s="1924"/>
      <c r="CD544" s="1924"/>
      <c r="CE544" s="1924"/>
      <c r="CF544" s="1924"/>
      <c r="CG544" s="1925">
        <v>3300</v>
      </c>
      <c r="CH544" s="1641">
        <f t="shared" si="390"/>
        <v>0</v>
      </c>
      <c r="CI544" s="1641">
        <f t="shared" si="390"/>
        <v>0</v>
      </c>
      <c r="CJ544" s="1641">
        <f t="shared" si="390"/>
        <v>0</v>
      </c>
      <c r="CK544" s="1641">
        <f t="shared" si="390"/>
        <v>0</v>
      </c>
      <c r="CL544" s="1926">
        <v>0</v>
      </c>
      <c r="CM544" s="1926">
        <v>0</v>
      </c>
      <c r="CN544" s="1926">
        <v>0</v>
      </c>
      <c r="CO544" s="1926">
        <v>0</v>
      </c>
      <c r="CP544" s="1641"/>
      <c r="CQ544" s="1924"/>
      <c r="CR544" s="1924"/>
      <c r="CS544" s="1924"/>
      <c r="CT544" s="1918"/>
      <c r="CU544" s="1918"/>
      <c r="CV544" s="1918"/>
      <c r="CW544" s="1918"/>
      <c r="CY544" s="1918"/>
    </row>
    <row r="545" spans="1:107" ht="15" thickBot="1" x14ac:dyDescent="0.2">
      <c r="A545" s="1541" t="s">
        <v>94</v>
      </c>
      <c r="B545" s="1523" t="s">
        <v>79</v>
      </c>
      <c r="C545" s="1523" t="s">
        <v>80</v>
      </c>
      <c r="D545" s="1523" t="s">
        <v>125</v>
      </c>
      <c r="E545" s="1523" t="s">
        <v>216</v>
      </c>
      <c r="F545" s="1523"/>
      <c r="G545" s="1667">
        <v>290</v>
      </c>
      <c r="H545" s="1501">
        <f>2664.5-200</f>
        <v>2464.5</v>
      </c>
      <c r="I545" s="1501"/>
      <c r="J545" s="1630"/>
      <c r="K545" s="1630"/>
      <c r="L545" s="1631"/>
      <c r="M545" s="1631"/>
      <c r="N545" s="1631"/>
      <c r="O545" s="1631"/>
      <c r="P545" s="1631"/>
      <c r="Q545" s="1631"/>
      <c r="R545" s="1631"/>
      <c r="S545" s="1631"/>
      <c r="T545" s="1632"/>
      <c r="U545" s="1633"/>
      <c r="V545" s="1633"/>
      <c r="W545" s="1634"/>
      <c r="X545" s="1634"/>
      <c r="Y545" s="1634"/>
      <c r="Z545" s="1635"/>
      <c r="AA545" s="1634">
        <f t="shared" si="389"/>
        <v>0</v>
      </c>
      <c r="AB545" s="1634"/>
      <c r="AC545" s="1508">
        <f t="shared" si="383"/>
        <v>2464.5</v>
      </c>
      <c r="AD545" s="1509">
        <f t="shared" si="384"/>
        <v>0</v>
      </c>
      <c r="AE545" s="1509">
        <f t="shared" si="385"/>
        <v>0</v>
      </c>
      <c r="AF545" s="1509">
        <f t="shared" si="385"/>
        <v>0</v>
      </c>
      <c r="AG545" s="1509">
        <f t="shared" si="385"/>
        <v>0</v>
      </c>
      <c r="AH545" s="1490">
        <f t="shared" si="380"/>
        <v>463.1</v>
      </c>
      <c r="AI545" s="1636">
        <f t="shared" si="386"/>
        <v>0</v>
      </c>
      <c r="AJ545" s="1636">
        <f t="shared" si="387"/>
        <v>0</v>
      </c>
      <c r="AK545" s="1636">
        <f t="shared" si="388"/>
        <v>0</v>
      </c>
      <c r="AL545" s="1636">
        <f t="shared" si="381"/>
        <v>0</v>
      </c>
      <c r="AM545" s="1636">
        <f t="shared" si="381"/>
        <v>0</v>
      </c>
      <c r="AN545" s="1637"/>
      <c r="AO545" s="1722">
        <f>222-100</f>
        <v>122</v>
      </c>
      <c r="AP545" s="1638"/>
      <c r="AQ545" s="1638"/>
      <c r="AR545" s="1638"/>
      <c r="AS545" s="1639"/>
      <c r="AT545" s="1638"/>
      <c r="AU545" s="1638"/>
      <c r="AV545" s="1638"/>
      <c r="AW545" s="1639"/>
      <c r="AX545" s="1640"/>
      <c r="AY545" s="1640"/>
      <c r="AZ545" s="1640"/>
      <c r="BA545" s="1641"/>
      <c r="BB545" s="1640"/>
      <c r="BC545" s="1640"/>
      <c r="BD545" s="1640"/>
      <c r="BE545" s="1644">
        <f>766.2-10.3</f>
        <v>755.90000000000009</v>
      </c>
      <c r="BF545" s="1640"/>
      <c r="BG545" s="1640"/>
      <c r="BH545" s="1640"/>
      <c r="BI545" s="1641"/>
      <c r="BJ545" s="1640"/>
      <c r="BK545" s="1640"/>
      <c r="BL545" s="1640"/>
      <c r="BM545" s="1641"/>
      <c r="BN545" s="1640"/>
      <c r="BO545" s="1640"/>
      <c r="BP545" s="1640"/>
      <c r="BQ545" s="1641"/>
      <c r="BR545" s="1640"/>
      <c r="BS545" s="1640"/>
      <c r="BT545" s="1640"/>
      <c r="BU545" s="1641">
        <f>1130-6.5</f>
        <v>1123.5</v>
      </c>
      <c r="BV545" s="1640"/>
      <c r="BW545" s="1640"/>
      <c r="BX545" s="1640"/>
      <c r="BY545" s="1641"/>
      <c r="BZ545" s="1640"/>
      <c r="CA545" s="1640"/>
      <c r="CB545" s="1640"/>
      <c r="CC545" s="1641"/>
      <c r="CD545" s="1640"/>
      <c r="CE545" s="1640"/>
      <c r="CF545" s="1640"/>
      <c r="CG545" s="1642"/>
      <c r="CH545" s="1641">
        <f t="shared" si="390"/>
        <v>463.1</v>
      </c>
      <c r="CI545" s="1641">
        <f t="shared" si="390"/>
        <v>0</v>
      </c>
      <c r="CJ545" s="1641">
        <f t="shared" si="390"/>
        <v>0</v>
      </c>
      <c r="CK545" s="1641">
        <f t="shared" si="390"/>
        <v>0</v>
      </c>
      <c r="CL545" s="1889">
        <v>463.1</v>
      </c>
      <c r="CM545" s="1889">
        <v>0</v>
      </c>
      <c r="CN545" s="1889">
        <v>0</v>
      </c>
      <c r="CO545" s="1889">
        <v>0</v>
      </c>
      <c r="CP545" s="1641"/>
      <c r="CQ545" s="1640"/>
      <c r="CR545" s="1640"/>
      <c r="CS545" s="1640"/>
    </row>
    <row r="546" spans="1:107" ht="15" thickBot="1" x14ac:dyDescent="0.2">
      <c r="A546" s="1541" t="s">
        <v>94</v>
      </c>
      <c r="B546" s="1523" t="s">
        <v>79</v>
      </c>
      <c r="C546" s="1523" t="s">
        <v>80</v>
      </c>
      <c r="D546" s="1523" t="s">
        <v>125</v>
      </c>
      <c r="E546" s="1523" t="s">
        <v>216</v>
      </c>
      <c r="F546" s="1523"/>
      <c r="G546" s="1667" t="s">
        <v>95</v>
      </c>
      <c r="H546" s="1501"/>
      <c r="I546" s="1501"/>
      <c r="J546" s="1630"/>
      <c r="K546" s="1630"/>
      <c r="L546" s="1631"/>
      <c r="M546" s="1631"/>
      <c r="N546" s="1631"/>
      <c r="O546" s="1631"/>
      <c r="P546" s="1631"/>
      <c r="Q546" s="1631"/>
      <c r="R546" s="1631"/>
      <c r="S546" s="1631"/>
      <c r="T546" s="1632"/>
      <c r="U546" s="1633"/>
      <c r="V546" s="1633"/>
      <c r="W546" s="1634"/>
      <c r="X546" s="1634"/>
      <c r="Y546" s="1634"/>
      <c r="Z546" s="1635"/>
      <c r="AA546" s="1634">
        <f t="shared" si="389"/>
        <v>0</v>
      </c>
      <c r="AB546" s="1634"/>
      <c r="AC546" s="1508">
        <f t="shared" si="383"/>
        <v>0</v>
      </c>
      <c r="AD546" s="1509">
        <f t="shared" si="384"/>
        <v>0</v>
      </c>
      <c r="AE546" s="1509">
        <f t="shared" si="385"/>
        <v>0</v>
      </c>
      <c r="AF546" s="1509">
        <f t="shared" si="385"/>
        <v>0</v>
      </c>
      <c r="AG546" s="1509">
        <f t="shared" si="385"/>
        <v>0</v>
      </c>
      <c r="AH546" s="1490">
        <f t="shared" si="380"/>
        <v>0</v>
      </c>
      <c r="AI546" s="1636">
        <f t="shared" si="386"/>
        <v>0</v>
      </c>
      <c r="AJ546" s="1636">
        <f t="shared" si="387"/>
        <v>0</v>
      </c>
      <c r="AK546" s="1636">
        <f t="shared" si="388"/>
        <v>0</v>
      </c>
      <c r="AL546" s="1636">
        <f t="shared" si="381"/>
        <v>0</v>
      </c>
      <c r="AM546" s="1636">
        <f t="shared" si="381"/>
        <v>0</v>
      </c>
      <c r="AN546" s="1637"/>
      <c r="AO546" s="1722">
        <v>0</v>
      </c>
      <c r="AP546" s="1638"/>
      <c r="AQ546" s="1638"/>
      <c r="AR546" s="1638"/>
      <c r="AS546" s="1639"/>
      <c r="AT546" s="1638"/>
      <c r="AU546" s="1638"/>
      <c r="AV546" s="1638"/>
      <c r="AW546" s="1639"/>
      <c r="AX546" s="1640"/>
      <c r="AY546" s="1640"/>
      <c r="AZ546" s="1640"/>
      <c r="BA546" s="1641"/>
      <c r="BB546" s="1640"/>
      <c r="BC546" s="1640"/>
      <c r="BD546" s="1640"/>
      <c r="BE546" s="1644"/>
      <c r="BF546" s="1640"/>
      <c r="BG546" s="1640"/>
      <c r="BH546" s="1640"/>
      <c r="BI546" s="1641"/>
      <c r="BJ546" s="1640"/>
      <c r="BK546" s="1640"/>
      <c r="BL546" s="1640"/>
      <c r="BM546" s="1641"/>
      <c r="BN546" s="1640"/>
      <c r="BO546" s="1640"/>
      <c r="BP546" s="1640"/>
      <c r="BQ546" s="1641"/>
      <c r="BR546" s="1640"/>
      <c r="BS546" s="1640"/>
      <c r="BT546" s="1640"/>
      <c r="BU546" s="1641"/>
      <c r="BV546" s="1640"/>
      <c r="BW546" s="1640"/>
      <c r="BX546" s="1640"/>
      <c r="BY546" s="1641"/>
      <c r="BZ546" s="1640"/>
      <c r="CA546" s="1640"/>
      <c r="CB546" s="1640"/>
      <c r="CC546" s="1641"/>
      <c r="CD546" s="1640"/>
      <c r="CE546" s="1640"/>
      <c r="CF546" s="1640"/>
      <c r="CG546" s="1642"/>
      <c r="CH546" s="1641">
        <f t="shared" si="390"/>
        <v>0</v>
      </c>
      <c r="CI546" s="1641">
        <f t="shared" si="390"/>
        <v>0</v>
      </c>
      <c r="CJ546" s="1641">
        <f t="shared" si="390"/>
        <v>0</v>
      </c>
      <c r="CK546" s="1641">
        <f t="shared" si="390"/>
        <v>0</v>
      </c>
      <c r="CL546" s="1889">
        <v>0</v>
      </c>
      <c r="CM546" s="1889">
        <v>0</v>
      </c>
      <c r="CN546" s="1889">
        <v>0</v>
      </c>
      <c r="CO546" s="1889">
        <v>0</v>
      </c>
      <c r="CP546" s="1641"/>
      <c r="CQ546" s="1640"/>
      <c r="CR546" s="1640"/>
      <c r="CS546" s="1640"/>
    </row>
    <row r="547" spans="1:107" ht="15" thickBot="1" x14ac:dyDescent="0.2">
      <c r="A547" s="1541" t="s">
        <v>96</v>
      </c>
      <c r="B547" s="1523" t="s">
        <v>79</v>
      </c>
      <c r="C547" s="1523" t="s">
        <v>80</v>
      </c>
      <c r="D547" s="1523" t="s">
        <v>125</v>
      </c>
      <c r="E547" s="1523" t="s">
        <v>216</v>
      </c>
      <c r="F547" s="1523"/>
      <c r="G547" s="1667">
        <v>310</v>
      </c>
      <c r="H547" s="1501">
        <f>95+17-12</f>
        <v>100</v>
      </c>
      <c r="I547" s="1501">
        <f>500+4200+3362-4200-500-11.153</f>
        <v>3350.8470000000002</v>
      </c>
      <c r="J547" s="1630">
        <f>300-V547</f>
        <v>0</v>
      </c>
      <c r="K547" s="1630">
        <f>5000-25.01</f>
        <v>4974.99</v>
      </c>
      <c r="L547" s="1631"/>
      <c r="M547" s="1631"/>
      <c r="N547" s="1631"/>
      <c r="O547" s="1631"/>
      <c r="P547" s="1631"/>
      <c r="Q547" s="1631"/>
      <c r="R547" s="1631"/>
      <c r="S547" s="1631"/>
      <c r="T547" s="1632"/>
      <c r="U547" s="1633"/>
      <c r="V547" s="1633">
        <v>300</v>
      </c>
      <c r="W547" s="1634"/>
      <c r="X547" s="1634"/>
      <c r="Y547" s="1634"/>
      <c r="Z547" s="1635"/>
      <c r="AA547" s="1634">
        <f t="shared" si="389"/>
        <v>0</v>
      </c>
      <c r="AB547" s="1634"/>
      <c r="AC547" s="1508">
        <f t="shared" si="383"/>
        <v>100</v>
      </c>
      <c r="AD547" s="1509">
        <f t="shared" si="384"/>
        <v>8325.8369999999995</v>
      </c>
      <c r="AE547" s="1509">
        <f t="shared" si="385"/>
        <v>3350.8469999999998</v>
      </c>
      <c r="AF547" s="1509">
        <f t="shared" si="385"/>
        <v>0</v>
      </c>
      <c r="AG547" s="1509">
        <f t="shared" si="385"/>
        <v>4974.99</v>
      </c>
      <c r="AH547" s="1490">
        <f t="shared" si="380"/>
        <v>0</v>
      </c>
      <c r="AI547" s="1636">
        <f t="shared" si="386"/>
        <v>0</v>
      </c>
      <c r="AJ547" s="1636">
        <f t="shared" si="387"/>
        <v>0</v>
      </c>
      <c r="AK547" s="1636">
        <f t="shared" si="388"/>
        <v>0</v>
      </c>
      <c r="AL547" s="1636">
        <f t="shared" si="381"/>
        <v>0</v>
      </c>
      <c r="AM547" s="1636">
        <f t="shared" si="381"/>
        <v>0</v>
      </c>
      <c r="AN547" s="1637"/>
      <c r="AO547" s="1723"/>
      <c r="AP547" s="1638"/>
      <c r="AQ547" s="1638"/>
      <c r="AR547" s="1638"/>
      <c r="AS547" s="1639"/>
      <c r="AT547" s="1638"/>
      <c r="AU547" s="1638"/>
      <c r="AV547" s="1638"/>
      <c r="AW547" s="1639"/>
      <c r="AX547" s="1640"/>
      <c r="AY547" s="1640"/>
      <c r="AZ547" s="1640"/>
      <c r="BA547" s="1641"/>
      <c r="BB547" s="1640"/>
      <c r="BC547" s="1640"/>
      <c r="BD547" s="1640"/>
      <c r="BE547" s="1644"/>
      <c r="BF547" s="1640"/>
      <c r="BG547" s="1640"/>
      <c r="BH547" s="1640"/>
      <c r="BI547" s="1641">
        <v>100</v>
      </c>
      <c r="BJ547" s="1640"/>
      <c r="BK547" s="1640"/>
      <c r="BL547" s="1640"/>
      <c r="BM547" s="1641"/>
      <c r="BN547" s="1640"/>
      <c r="BO547" s="1640"/>
      <c r="BP547" s="1640"/>
      <c r="BQ547" s="1641"/>
      <c r="BR547" s="1640">
        <v>1837.6</v>
      </c>
      <c r="BS547" s="1640"/>
      <c r="BT547" s="1640"/>
      <c r="BU547" s="1641"/>
      <c r="BV547" s="1640">
        <f>-1500+811.72</f>
        <v>-688.28</v>
      </c>
      <c r="BW547" s="1640"/>
      <c r="BX547" s="1640">
        <f>1500+3474.99</f>
        <v>4974.99</v>
      </c>
      <c r="BY547" s="1641"/>
      <c r="BZ547" s="1640">
        <v>2201.527</v>
      </c>
      <c r="CA547" s="1640"/>
      <c r="CB547" s="1640"/>
      <c r="CC547" s="1641"/>
      <c r="CD547" s="1640"/>
      <c r="CE547" s="1640"/>
      <c r="CF547" s="1640"/>
      <c r="CG547" s="1642"/>
      <c r="CH547" s="1641">
        <f t="shared" si="390"/>
        <v>0</v>
      </c>
      <c r="CI547" s="1641">
        <f t="shared" si="390"/>
        <v>0</v>
      </c>
      <c r="CJ547" s="1641">
        <f t="shared" si="390"/>
        <v>0</v>
      </c>
      <c r="CK547" s="1641">
        <v>0</v>
      </c>
      <c r="CL547" s="1889">
        <v>0</v>
      </c>
      <c r="CM547" s="1889">
        <v>0</v>
      </c>
      <c r="CN547" s="1889">
        <v>0</v>
      </c>
      <c r="CO547" s="1889">
        <v>25.01</v>
      </c>
      <c r="CP547" s="1641"/>
      <c r="CQ547" s="1640"/>
      <c r="CR547" s="1640"/>
      <c r="CS547" s="1640"/>
    </row>
    <row r="548" spans="1:107" ht="15" thickBot="1" x14ac:dyDescent="0.2">
      <c r="A548" s="1541" t="s">
        <v>97</v>
      </c>
      <c r="B548" s="1523" t="s">
        <v>79</v>
      </c>
      <c r="C548" s="1523" t="s">
        <v>80</v>
      </c>
      <c r="D548" s="1523" t="s">
        <v>125</v>
      </c>
      <c r="E548" s="1523" t="s">
        <v>216</v>
      </c>
      <c r="F548" s="1523"/>
      <c r="G548" s="1667">
        <v>340</v>
      </c>
      <c r="H548" s="1501">
        <f>300-U548-32.5</f>
        <v>117.5</v>
      </c>
      <c r="I548" s="1501"/>
      <c r="J548" s="1630"/>
      <c r="K548" s="1630"/>
      <c r="L548" s="1631"/>
      <c r="M548" s="1631"/>
      <c r="N548" s="1631"/>
      <c r="O548" s="1631"/>
      <c r="P548" s="1631"/>
      <c r="Q548" s="1631"/>
      <c r="R548" s="1631"/>
      <c r="S548" s="1631"/>
      <c r="T548" s="1632"/>
      <c r="U548" s="1633">
        <f>100+50</f>
        <v>150</v>
      </c>
      <c r="V548" s="1633"/>
      <c r="W548" s="1634"/>
      <c r="X548" s="1634"/>
      <c r="Y548" s="1634"/>
      <c r="Z548" s="1635"/>
      <c r="AA548" s="1634">
        <f t="shared" si="389"/>
        <v>0</v>
      </c>
      <c r="AB548" s="1634"/>
      <c r="AC548" s="1508">
        <f t="shared" si="383"/>
        <v>117.5</v>
      </c>
      <c r="AD548" s="1509">
        <f t="shared" si="384"/>
        <v>0</v>
      </c>
      <c r="AE548" s="1509">
        <f t="shared" si="385"/>
        <v>0</v>
      </c>
      <c r="AF548" s="1509">
        <f t="shared" si="385"/>
        <v>0</v>
      </c>
      <c r="AG548" s="1509">
        <f t="shared" si="385"/>
        <v>0</v>
      </c>
      <c r="AH548" s="1490">
        <f t="shared" si="380"/>
        <v>0</v>
      </c>
      <c r="AI548" s="1636">
        <f t="shared" si="386"/>
        <v>0</v>
      </c>
      <c r="AJ548" s="1636">
        <f t="shared" si="387"/>
        <v>0</v>
      </c>
      <c r="AK548" s="1636">
        <f t="shared" si="388"/>
        <v>0</v>
      </c>
      <c r="AL548" s="1636">
        <f t="shared" si="381"/>
        <v>0</v>
      </c>
      <c r="AM548" s="1636">
        <f t="shared" si="381"/>
        <v>0</v>
      </c>
      <c r="AN548" s="1637"/>
      <c r="AO548" s="1722">
        <f>20-2.5</f>
        <v>17.5</v>
      </c>
      <c r="AP548" s="1638"/>
      <c r="AQ548" s="1638"/>
      <c r="AR548" s="1638"/>
      <c r="AS548" s="1639"/>
      <c r="AT548" s="1638"/>
      <c r="AU548" s="1638"/>
      <c r="AV548" s="1638"/>
      <c r="AW548" s="1639"/>
      <c r="AX548" s="1640"/>
      <c r="AY548" s="1640"/>
      <c r="AZ548" s="1640"/>
      <c r="BA548" s="1641"/>
      <c r="BB548" s="1640"/>
      <c r="BC548" s="1640"/>
      <c r="BD548" s="1640"/>
      <c r="BE548" s="1644"/>
      <c r="BF548" s="1640"/>
      <c r="BG548" s="1640"/>
      <c r="BH548" s="1640"/>
      <c r="BI548" s="1641"/>
      <c r="BJ548" s="1640"/>
      <c r="BK548" s="1640"/>
      <c r="BL548" s="1640"/>
      <c r="BM548" s="1641">
        <v>100</v>
      </c>
      <c r="BN548" s="1640"/>
      <c r="BO548" s="1640"/>
      <c r="BP548" s="1640"/>
      <c r="BQ548" s="1641"/>
      <c r="BR548" s="1640"/>
      <c r="BS548" s="1640"/>
      <c r="BT548" s="1640"/>
      <c r="BU548" s="1641"/>
      <c r="BV548" s="1640"/>
      <c r="BW548" s="1640"/>
      <c r="BX548" s="1640"/>
      <c r="BY548" s="1641"/>
      <c r="BZ548" s="1640"/>
      <c r="CA548" s="1640"/>
      <c r="CB548" s="1640"/>
      <c r="CC548" s="1641"/>
      <c r="CD548" s="1640"/>
      <c r="CE548" s="1640"/>
      <c r="CF548" s="1640"/>
      <c r="CG548" s="1642"/>
      <c r="CH548" s="1641">
        <f t="shared" si="390"/>
        <v>0</v>
      </c>
      <c r="CI548" s="1641">
        <f t="shared" si="390"/>
        <v>0</v>
      </c>
      <c r="CJ548" s="1641">
        <f t="shared" si="390"/>
        <v>0</v>
      </c>
      <c r="CK548" s="1641">
        <f t="shared" si="390"/>
        <v>0</v>
      </c>
      <c r="CL548" s="1889">
        <v>0</v>
      </c>
      <c r="CM548" s="1889">
        <v>0</v>
      </c>
      <c r="CN548" s="1889">
        <v>0</v>
      </c>
      <c r="CO548" s="1889">
        <v>0</v>
      </c>
      <c r="CP548" s="1641"/>
      <c r="CQ548" s="1640"/>
      <c r="CR548" s="1640"/>
      <c r="CS548" s="1640"/>
    </row>
    <row r="549" spans="1:107" ht="15" thickBot="1" x14ac:dyDescent="0.2">
      <c r="A549" s="1528" t="s">
        <v>767</v>
      </c>
      <c r="B549" s="1530" t="s">
        <v>79</v>
      </c>
      <c r="C549" s="1530" t="s">
        <v>80</v>
      </c>
      <c r="D549" s="1530" t="s">
        <v>125</v>
      </c>
      <c r="E549" s="1530" t="s">
        <v>216</v>
      </c>
      <c r="F549" s="1530">
        <v>612</v>
      </c>
      <c r="G549" s="1687" t="s">
        <v>766</v>
      </c>
      <c r="H549" s="1647">
        <f>I535</f>
        <v>5050.8469999999998</v>
      </c>
      <c r="I549" s="1645"/>
      <c r="J549" s="1630"/>
      <c r="K549" s="1630"/>
      <c r="L549" s="1631"/>
      <c r="M549" s="1631"/>
      <c r="N549" s="1631"/>
      <c r="O549" s="1631"/>
      <c r="P549" s="1631"/>
      <c r="Q549" s="1631"/>
      <c r="R549" s="1631"/>
      <c r="S549" s="1631"/>
      <c r="T549" s="1632"/>
      <c r="U549" s="1633"/>
      <c r="V549" s="1633"/>
      <c r="W549" s="1634"/>
      <c r="X549" s="1634"/>
      <c r="Y549" s="1634"/>
      <c r="Z549" s="1635"/>
      <c r="AA549" s="1634">
        <f t="shared" si="389"/>
        <v>0</v>
      </c>
      <c r="AB549" s="1634"/>
      <c r="AC549" s="1508"/>
      <c r="AD549" s="1509"/>
      <c r="AE549" s="1509"/>
      <c r="AF549" s="1509"/>
      <c r="AG549" s="1509"/>
      <c r="AH549" s="1490">
        <f t="shared" si="380"/>
        <v>0</v>
      </c>
      <c r="AI549" s="1636"/>
      <c r="AJ549" s="1636"/>
      <c r="AK549" s="1636"/>
      <c r="AL549" s="1636">
        <f t="shared" si="381"/>
        <v>0</v>
      </c>
      <c r="AM549" s="1636"/>
      <c r="AN549" s="1712"/>
      <c r="AO549" s="1713"/>
      <c r="AP549" s="1638"/>
      <c r="AQ549" s="1638"/>
      <c r="AR549" s="1638"/>
      <c r="AS549" s="1639"/>
      <c r="AT549" s="1638"/>
      <c r="AU549" s="1638"/>
      <c r="AV549" s="1638"/>
      <c r="AW549" s="1639"/>
      <c r="AX549" s="1640"/>
      <c r="AY549" s="1640"/>
      <c r="AZ549" s="1640"/>
      <c r="BA549" s="1641"/>
      <c r="BB549" s="1640"/>
      <c r="BC549" s="1640"/>
      <c r="BD549" s="1640"/>
      <c r="BE549" s="1644"/>
      <c r="BF549" s="1640"/>
      <c r="BG549" s="1640"/>
      <c r="BH549" s="1640"/>
      <c r="BI549" s="1641"/>
      <c r="BJ549" s="1640"/>
      <c r="BK549" s="1640"/>
      <c r="BL549" s="1640"/>
      <c r="BM549" s="1641"/>
      <c r="BN549" s="1640"/>
      <c r="BO549" s="1640"/>
      <c r="BP549" s="1640"/>
      <c r="BQ549" s="1641"/>
      <c r="BR549" s="1640"/>
      <c r="BS549" s="1640"/>
      <c r="BT549" s="1640"/>
      <c r="BU549" s="1641"/>
      <c r="BV549" s="1640"/>
      <c r="BW549" s="1640"/>
      <c r="BX549" s="1640"/>
      <c r="BY549" s="1641"/>
      <c r="BZ549" s="1640"/>
      <c r="CA549" s="1640"/>
      <c r="CB549" s="1640"/>
      <c r="CC549" s="1641"/>
      <c r="CD549" s="1640"/>
      <c r="CE549" s="1640"/>
      <c r="CF549" s="1640"/>
      <c r="CG549" s="1642"/>
      <c r="CH549" s="1641">
        <f t="shared" si="390"/>
        <v>0</v>
      </c>
      <c r="CI549" s="1641">
        <f t="shared" si="390"/>
        <v>0</v>
      </c>
      <c r="CJ549" s="1641">
        <f t="shared" si="390"/>
        <v>0</v>
      </c>
      <c r="CK549" s="1641">
        <f t="shared" si="390"/>
        <v>0</v>
      </c>
      <c r="CL549" s="1898"/>
      <c r="CM549" s="1898"/>
      <c r="CN549" s="1889">
        <v>0</v>
      </c>
      <c r="CO549" s="1898"/>
      <c r="CP549" s="1641"/>
      <c r="CQ549" s="1640"/>
      <c r="CR549" s="1640"/>
      <c r="CS549" s="1640"/>
    </row>
    <row r="550" spans="1:107" s="1886" customFormat="1" ht="27" thickBot="1" x14ac:dyDescent="0.2">
      <c r="A550" s="1873" t="s">
        <v>1277</v>
      </c>
      <c r="B550" s="1941" t="s">
        <v>79</v>
      </c>
      <c r="C550" s="1941" t="s">
        <v>80</v>
      </c>
      <c r="D550" s="1941" t="s">
        <v>125</v>
      </c>
      <c r="E550" s="1941" t="s">
        <v>216</v>
      </c>
      <c r="F550" s="1941">
        <v>600</v>
      </c>
      <c r="G550" s="1874"/>
      <c r="H550" s="1606">
        <f>H551+H565</f>
        <v>37455.296999999999</v>
      </c>
      <c r="I550" s="1606">
        <f t="shared" ref="I550:CF550" si="391">I551+I565</f>
        <v>1562.2969999999998</v>
      </c>
      <c r="J550" s="1606">
        <f>J551+J565</f>
        <v>1671.73</v>
      </c>
      <c r="K550" s="1606">
        <f t="shared" si="391"/>
        <v>0</v>
      </c>
      <c r="L550" s="1607"/>
      <c r="M550" s="1607"/>
      <c r="N550" s="1607"/>
      <c r="O550" s="1607"/>
      <c r="P550" s="1607"/>
      <c r="Q550" s="1607"/>
      <c r="R550" s="1607"/>
      <c r="S550" s="1607"/>
      <c r="T550" s="1608"/>
      <c r="U550" s="1609"/>
      <c r="V550" s="1609"/>
      <c r="W550" s="1610"/>
      <c r="X550" s="1610"/>
      <c r="Y550" s="1610"/>
      <c r="Z550" s="1611"/>
      <c r="AA550" s="1634">
        <f t="shared" si="389"/>
        <v>0</v>
      </c>
      <c r="AB550" s="1610"/>
      <c r="AC550" s="1612">
        <f t="shared" si="391"/>
        <v>35893</v>
      </c>
      <c r="AD550" s="1612">
        <f t="shared" si="391"/>
        <v>3234.027</v>
      </c>
      <c r="AE550" s="1612">
        <f t="shared" si="391"/>
        <v>1562.297</v>
      </c>
      <c r="AF550" s="1612">
        <f t="shared" si="391"/>
        <v>1671.73</v>
      </c>
      <c r="AG550" s="1612">
        <f t="shared" si="391"/>
        <v>0</v>
      </c>
      <c r="AH550" s="1490">
        <f t="shared" si="380"/>
        <v>1372.134</v>
      </c>
      <c r="AI550" s="1613">
        <f t="shared" si="391"/>
        <v>0</v>
      </c>
      <c r="AJ550" s="1613">
        <f t="shared" si="391"/>
        <v>0</v>
      </c>
      <c r="AK550" s="1613">
        <f t="shared" si="391"/>
        <v>0</v>
      </c>
      <c r="AL550" s="1636">
        <f t="shared" si="381"/>
        <v>0</v>
      </c>
      <c r="AM550" s="1613">
        <f t="shared" si="391"/>
        <v>0</v>
      </c>
      <c r="AN550" s="1614"/>
      <c r="AO550" s="1606">
        <f t="shared" si="391"/>
        <v>2977.7</v>
      </c>
      <c r="AP550" s="1606">
        <f t="shared" si="391"/>
        <v>0</v>
      </c>
      <c r="AQ550" s="1606">
        <f t="shared" si="391"/>
        <v>0</v>
      </c>
      <c r="AR550" s="1606">
        <f t="shared" si="391"/>
        <v>0</v>
      </c>
      <c r="AS550" s="1611">
        <f t="shared" si="391"/>
        <v>2882.4</v>
      </c>
      <c r="AT550" s="1606">
        <f t="shared" si="391"/>
        <v>0</v>
      </c>
      <c r="AU550" s="1606">
        <f t="shared" si="391"/>
        <v>0</v>
      </c>
      <c r="AV550" s="1606">
        <f t="shared" si="391"/>
        <v>0</v>
      </c>
      <c r="AW550" s="1611">
        <f t="shared" si="391"/>
        <v>2778.9</v>
      </c>
      <c r="AX550" s="1606">
        <f t="shared" si="391"/>
        <v>0</v>
      </c>
      <c r="AY550" s="1606">
        <f t="shared" si="391"/>
        <v>0</v>
      </c>
      <c r="AZ550" s="1606">
        <f t="shared" si="391"/>
        <v>0</v>
      </c>
      <c r="BA550" s="1614">
        <f t="shared" si="391"/>
        <v>2778.9</v>
      </c>
      <c r="BB550" s="1606">
        <f t="shared" si="391"/>
        <v>0</v>
      </c>
      <c r="BC550" s="1606">
        <f t="shared" si="391"/>
        <v>0</v>
      </c>
      <c r="BD550" s="1606">
        <f t="shared" si="391"/>
        <v>0</v>
      </c>
      <c r="BE550" s="1615">
        <f t="shared" si="391"/>
        <v>3256</v>
      </c>
      <c r="BF550" s="1606">
        <f t="shared" si="391"/>
        <v>0</v>
      </c>
      <c r="BG550" s="1606">
        <f t="shared" si="391"/>
        <v>0</v>
      </c>
      <c r="BH550" s="1606">
        <f t="shared" si="391"/>
        <v>0</v>
      </c>
      <c r="BI550" s="1614">
        <f t="shared" si="391"/>
        <v>898.94899999999996</v>
      </c>
      <c r="BJ550" s="1606">
        <f t="shared" si="391"/>
        <v>0</v>
      </c>
      <c r="BK550" s="1606">
        <f t="shared" si="391"/>
        <v>0</v>
      </c>
      <c r="BL550" s="1606">
        <f t="shared" si="391"/>
        <v>0</v>
      </c>
      <c r="BM550" s="1614">
        <f t="shared" si="391"/>
        <v>7752.2510000000011</v>
      </c>
      <c r="BN550" s="1606">
        <f t="shared" si="391"/>
        <v>0</v>
      </c>
      <c r="BO550" s="1606">
        <f t="shared" si="391"/>
        <v>0</v>
      </c>
      <c r="BP550" s="1606">
        <f t="shared" si="391"/>
        <v>0</v>
      </c>
      <c r="BQ550" s="1614">
        <f t="shared" si="391"/>
        <v>3048.4459999999999</v>
      </c>
      <c r="BR550" s="1606">
        <f t="shared" si="391"/>
        <v>0</v>
      </c>
      <c r="BS550" s="1606">
        <f t="shared" si="391"/>
        <v>0</v>
      </c>
      <c r="BT550" s="1606">
        <f t="shared" si="391"/>
        <v>0</v>
      </c>
      <c r="BU550" s="1614">
        <f t="shared" si="391"/>
        <v>2713.4</v>
      </c>
      <c r="BV550" s="1606">
        <f t="shared" si="391"/>
        <v>0</v>
      </c>
      <c r="BW550" s="1606">
        <f t="shared" si="391"/>
        <v>1000</v>
      </c>
      <c r="BX550" s="1606">
        <f t="shared" si="391"/>
        <v>0</v>
      </c>
      <c r="BY550" s="1614">
        <f t="shared" si="391"/>
        <v>714.62</v>
      </c>
      <c r="BZ550" s="1606">
        <f t="shared" si="391"/>
        <v>100</v>
      </c>
      <c r="CA550" s="1606">
        <f t="shared" si="391"/>
        <v>200</v>
      </c>
      <c r="CB550" s="1606">
        <f t="shared" si="391"/>
        <v>0</v>
      </c>
      <c r="CC550" s="1614">
        <f t="shared" si="391"/>
        <v>4719.3</v>
      </c>
      <c r="CD550" s="1606">
        <f t="shared" si="391"/>
        <v>933.07799999999997</v>
      </c>
      <c r="CE550" s="1606">
        <f t="shared" si="391"/>
        <v>0</v>
      </c>
      <c r="CF550" s="1606">
        <f t="shared" si="391"/>
        <v>0</v>
      </c>
      <c r="CG550" s="1616"/>
      <c r="CH550" s="1641">
        <f t="shared" si="390"/>
        <v>1372.134</v>
      </c>
      <c r="CI550" s="1641">
        <f t="shared" si="390"/>
        <v>529.21900000000005</v>
      </c>
      <c r="CJ550" s="1641">
        <f t="shared" si="390"/>
        <v>471.73</v>
      </c>
      <c r="CK550" s="1641">
        <f t="shared" si="390"/>
        <v>0</v>
      </c>
      <c r="CL550" s="1942">
        <v>1372.134</v>
      </c>
      <c r="CM550" s="1943">
        <v>529.21900000000005</v>
      </c>
      <c r="CN550" s="1889">
        <v>471.73</v>
      </c>
      <c r="CO550" s="1943">
        <v>0</v>
      </c>
      <c r="CP550" s="1614">
        <f>CP551+CP565</f>
        <v>0</v>
      </c>
      <c r="CQ550" s="1606">
        <f>CQ551+CQ565</f>
        <v>0</v>
      </c>
      <c r="CR550" s="1606">
        <f>CR551+CR565</f>
        <v>0</v>
      </c>
      <c r="CS550" s="1606">
        <f>CS551+CS565</f>
        <v>0</v>
      </c>
      <c r="CT550" s="1885"/>
      <c r="CU550" s="1885"/>
      <c r="CV550" s="1885"/>
      <c r="CW550" s="1885"/>
      <c r="CY550" s="1885"/>
    </row>
    <row r="551" spans="1:107" ht="53" thickBot="1" x14ac:dyDescent="0.2">
      <c r="A551" s="1748" t="s">
        <v>1135</v>
      </c>
      <c r="B551" s="1749" t="s">
        <v>79</v>
      </c>
      <c r="C551" s="1749" t="s">
        <v>80</v>
      </c>
      <c r="D551" s="1749" t="s">
        <v>125</v>
      </c>
      <c r="E551" s="1749" t="s">
        <v>216</v>
      </c>
      <c r="F551" s="1749" t="s">
        <v>765</v>
      </c>
      <c r="G551" s="1600" t="s">
        <v>766</v>
      </c>
      <c r="H551" s="1531">
        <f>H552+H553+H554+H555+H556+H557+H558+H559+H560+H561+H562+H563+H564</f>
        <v>35893</v>
      </c>
      <c r="I551" s="1531">
        <f t="shared" ref="I551:CF551" si="392">I552+I553+I554+I555+I556+I557+I558+I559+I560+I561+I562+I563+I564</f>
        <v>1562.2969999999998</v>
      </c>
      <c r="J551" s="1531">
        <f>J552+J553+J554+J555+J556+J557+J558+J559+J560+J561+J562+J563+J564</f>
        <v>1671.73</v>
      </c>
      <c r="K551" s="1531">
        <f t="shared" si="392"/>
        <v>0</v>
      </c>
      <c r="L551" s="1601"/>
      <c r="M551" s="1601"/>
      <c r="N551" s="1601"/>
      <c r="O551" s="1601">
        <f t="shared" si="392"/>
        <v>0</v>
      </c>
      <c r="P551" s="1601"/>
      <c r="Q551" s="1601">
        <f t="shared" si="392"/>
        <v>0</v>
      </c>
      <c r="R551" s="1601">
        <f t="shared" si="392"/>
        <v>240</v>
      </c>
      <c r="S551" s="1601">
        <f t="shared" si="392"/>
        <v>1800.96</v>
      </c>
      <c r="T551" s="1602"/>
      <c r="U551" s="1533"/>
      <c r="V551" s="1533"/>
      <c r="W551" s="1534"/>
      <c r="X551" s="1534"/>
      <c r="Y551" s="1534"/>
      <c r="Z551" s="1535"/>
      <c r="AA551" s="1634">
        <f t="shared" si="389"/>
        <v>0</v>
      </c>
      <c r="AB551" s="1534"/>
      <c r="AC551" s="1603">
        <f t="shared" si="392"/>
        <v>35893</v>
      </c>
      <c r="AD551" s="1603">
        <f t="shared" si="392"/>
        <v>3234.027</v>
      </c>
      <c r="AE551" s="1603">
        <f t="shared" si="392"/>
        <v>1562.297</v>
      </c>
      <c r="AF551" s="1603">
        <f t="shared" si="392"/>
        <v>1671.73</v>
      </c>
      <c r="AG551" s="1603">
        <f t="shared" si="392"/>
        <v>0</v>
      </c>
      <c r="AH551" s="1490">
        <f t="shared" si="380"/>
        <v>1372.134</v>
      </c>
      <c r="AI551" s="1592">
        <f t="shared" si="392"/>
        <v>0</v>
      </c>
      <c r="AJ551" s="1592">
        <f t="shared" si="392"/>
        <v>0</v>
      </c>
      <c r="AK551" s="1592">
        <f t="shared" si="392"/>
        <v>0</v>
      </c>
      <c r="AL551" s="1636">
        <f t="shared" si="381"/>
        <v>0</v>
      </c>
      <c r="AM551" s="1592">
        <f t="shared" si="392"/>
        <v>0</v>
      </c>
      <c r="AN551" s="1706"/>
      <c r="AO551" s="1707">
        <f t="shared" si="392"/>
        <v>2977.7</v>
      </c>
      <c r="AP551" s="1531">
        <f t="shared" si="392"/>
        <v>0</v>
      </c>
      <c r="AQ551" s="1531">
        <f t="shared" si="392"/>
        <v>0</v>
      </c>
      <c r="AR551" s="1531">
        <f t="shared" si="392"/>
        <v>0</v>
      </c>
      <c r="AS551" s="1535">
        <f t="shared" si="392"/>
        <v>2882.4</v>
      </c>
      <c r="AT551" s="1531">
        <f t="shared" si="392"/>
        <v>0</v>
      </c>
      <c r="AU551" s="1531">
        <f t="shared" si="392"/>
        <v>0</v>
      </c>
      <c r="AV551" s="1531">
        <f t="shared" si="392"/>
        <v>0</v>
      </c>
      <c r="AW551" s="1535">
        <f t="shared" si="392"/>
        <v>2778.9</v>
      </c>
      <c r="AX551" s="1531">
        <f t="shared" si="392"/>
        <v>0</v>
      </c>
      <c r="AY551" s="1531">
        <f t="shared" si="392"/>
        <v>0</v>
      </c>
      <c r="AZ551" s="1531">
        <f t="shared" si="392"/>
        <v>0</v>
      </c>
      <c r="BA551" s="1538">
        <f t="shared" si="392"/>
        <v>2778.9</v>
      </c>
      <c r="BB551" s="1531">
        <f t="shared" si="392"/>
        <v>0</v>
      </c>
      <c r="BC551" s="1531">
        <f t="shared" si="392"/>
        <v>0</v>
      </c>
      <c r="BD551" s="1531">
        <f t="shared" si="392"/>
        <v>0</v>
      </c>
      <c r="BE551" s="1539">
        <f t="shared" si="392"/>
        <v>3256</v>
      </c>
      <c r="BF551" s="1531">
        <f t="shared" si="392"/>
        <v>0</v>
      </c>
      <c r="BG551" s="1531">
        <f t="shared" si="392"/>
        <v>0</v>
      </c>
      <c r="BH551" s="1531">
        <f t="shared" si="392"/>
        <v>0</v>
      </c>
      <c r="BI551" s="1538">
        <f t="shared" si="392"/>
        <v>898.94899999999996</v>
      </c>
      <c r="BJ551" s="1531">
        <f t="shared" si="392"/>
        <v>0</v>
      </c>
      <c r="BK551" s="1531">
        <f t="shared" si="392"/>
        <v>0</v>
      </c>
      <c r="BL551" s="1531">
        <f t="shared" si="392"/>
        <v>0</v>
      </c>
      <c r="BM551" s="1538">
        <f t="shared" si="392"/>
        <v>7752.2510000000011</v>
      </c>
      <c r="BN551" s="1531">
        <f t="shared" si="392"/>
        <v>0</v>
      </c>
      <c r="BO551" s="1531">
        <f t="shared" si="392"/>
        <v>0</v>
      </c>
      <c r="BP551" s="1531">
        <f t="shared" si="392"/>
        <v>0</v>
      </c>
      <c r="BQ551" s="1538">
        <f t="shared" si="392"/>
        <v>3048.4459999999999</v>
      </c>
      <c r="BR551" s="1531">
        <f t="shared" si="392"/>
        <v>0</v>
      </c>
      <c r="BS551" s="1531">
        <f t="shared" si="392"/>
        <v>0</v>
      </c>
      <c r="BT551" s="1531">
        <f t="shared" si="392"/>
        <v>0</v>
      </c>
      <c r="BU551" s="1538">
        <f t="shared" si="392"/>
        <v>2713.4</v>
      </c>
      <c r="BV551" s="1531">
        <f t="shared" si="392"/>
        <v>0</v>
      </c>
      <c r="BW551" s="1531">
        <f t="shared" si="392"/>
        <v>1000</v>
      </c>
      <c r="BX551" s="1531">
        <f t="shared" si="392"/>
        <v>0</v>
      </c>
      <c r="BY551" s="1538">
        <f t="shared" si="392"/>
        <v>714.62</v>
      </c>
      <c r="BZ551" s="1531">
        <f t="shared" si="392"/>
        <v>100</v>
      </c>
      <c r="CA551" s="1531">
        <f t="shared" si="392"/>
        <v>200</v>
      </c>
      <c r="CB551" s="1531">
        <f t="shared" si="392"/>
        <v>0</v>
      </c>
      <c r="CC551" s="1538">
        <f t="shared" si="392"/>
        <v>4719.3</v>
      </c>
      <c r="CD551" s="1531">
        <f t="shared" si="392"/>
        <v>933.07799999999997</v>
      </c>
      <c r="CE551" s="1531">
        <f t="shared" si="392"/>
        <v>0</v>
      </c>
      <c r="CF551" s="1531">
        <f t="shared" si="392"/>
        <v>0</v>
      </c>
      <c r="CG551" s="1705"/>
      <c r="CH551" s="1641">
        <f t="shared" si="390"/>
        <v>1372.134</v>
      </c>
      <c r="CI551" s="1641">
        <f t="shared" si="390"/>
        <v>529.21900000000005</v>
      </c>
      <c r="CJ551" s="1641">
        <f t="shared" si="390"/>
        <v>471.73</v>
      </c>
      <c r="CK551" s="1641">
        <f t="shared" si="390"/>
        <v>0</v>
      </c>
      <c r="CL551" s="1901">
        <v>1372.134</v>
      </c>
      <c r="CM551" s="1902">
        <v>529.21900000000005</v>
      </c>
      <c r="CN551" s="1889">
        <v>471.73</v>
      </c>
      <c r="CO551" s="1902">
        <v>0</v>
      </c>
      <c r="CP551" s="1538">
        <f>CP552+CP553+CP554+CP555+CP556+CP557+CP558+CP559+CP560+CP561+CP562+CP563+CP564</f>
        <v>0</v>
      </c>
      <c r="CQ551" s="1531">
        <f>CQ552+CQ553+CQ554+CQ555+CQ556+CQ557+CQ558+CQ559+CQ560+CQ561+CQ562+CQ563+CQ564</f>
        <v>0</v>
      </c>
      <c r="CR551" s="1531">
        <f>CR552+CR553+CR554+CR555+CR556+CR557+CR558+CR559+CR560+CR561+CR562+CR563+CR564</f>
        <v>0</v>
      </c>
      <c r="CS551" s="1531">
        <f>CS552+CS553+CS554+CS555+CS556+CS557+CS558+CS559+CS560+CS561+CS562+CS563+CS564</f>
        <v>0</v>
      </c>
    </row>
    <row r="552" spans="1:107" ht="15" thickBot="1" x14ac:dyDescent="0.2">
      <c r="A552" s="1541" t="s">
        <v>78</v>
      </c>
      <c r="B552" s="1523" t="s">
        <v>79</v>
      </c>
      <c r="C552" s="1523" t="s">
        <v>80</v>
      </c>
      <c r="D552" s="1523" t="s">
        <v>125</v>
      </c>
      <c r="E552" s="1523" t="s">
        <v>216</v>
      </c>
      <c r="F552" s="1523"/>
      <c r="G552" s="1667">
        <v>211</v>
      </c>
      <c r="H552" s="1501">
        <f>25611.2-105</f>
        <v>25506.2</v>
      </c>
      <c r="I552" s="1501"/>
      <c r="J552" s="1630"/>
      <c r="K552" s="1630"/>
      <c r="L552" s="1631"/>
      <c r="M552" s="1631"/>
      <c r="N552" s="1631"/>
      <c r="O552" s="1631"/>
      <c r="P552" s="1631"/>
      <c r="Q552" s="1631"/>
      <c r="R552" s="1631"/>
      <c r="S552" s="1631"/>
      <c r="T552" s="1632"/>
      <c r="U552" s="1633"/>
      <c r="V552" s="1633"/>
      <c r="W552" s="1634">
        <f>H552/12</f>
        <v>2125.5166666666669</v>
      </c>
      <c r="X552" s="1634">
        <f>AO552</f>
        <v>2134.3000000000002</v>
      </c>
      <c r="Y552" s="1634">
        <f>CC552</f>
        <v>3681.3</v>
      </c>
      <c r="Z552" s="1635">
        <v>2406</v>
      </c>
      <c r="AA552" s="1634">
        <f t="shared" si="389"/>
        <v>-2406</v>
      </c>
      <c r="AB552" s="1511">
        <f>AI552</f>
        <v>0</v>
      </c>
      <c r="AC552" s="1508">
        <f t="shared" ref="AC552:AC564" si="393">AO552+AS552+AW552+BA552+BE552+BI552+BM552+BQ552+BU552+BY552+CC552+CH552</f>
        <v>25506.2</v>
      </c>
      <c r="AD552" s="1509">
        <f t="shared" ref="AD552:AD564" si="394">AE552+AF552+AG552</f>
        <v>0</v>
      </c>
      <c r="AE552" s="1509">
        <f t="shared" ref="AE552:AG564" si="395">AP552+AT552+AX552+BB552+BF552+BJ552+BN552+BR552+BV552+BZ552+CD552+CI552</f>
        <v>0</v>
      </c>
      <c r="AF552" s="1509">
        <f t="shared" si="395"/>
        <v>0</v>
      </c>
      <c r="AG552" s="1509">
        <f t="shared" si="395"/>
        <v>0</v>
      </c>
      <c r="AH552" s="1490">
        <f t="shared" si="380"/>
        <v>569.48</v>
      </c>
      <c r="AI552" s="1636">
        <f t="shared" ref="AI552:AI564" si="396">H552-AC552</f>
        <v>0</v>
      </c>
      <c r="AJ552" s="1636">
        <f t="shared" ref="AJ552:AJ564" si="397">AK552+AL552+AM552</f>
        <v>0</v>
      </c>
      <c r="AK552" s="1636">
        <f t="shared" ref="AK552:AK564" si="398">I552-AE552</f>
        <v>0</v>
      </c>
      <c r="AL552" s="1636">
        <f t="shared" si="381"/>
        <v>0</v>
      </c>
      <c r="AM552" s="1636">
        <f t="shared" si="381"/>
        <v>0</v>
      </c>
      <c r="AN552" s="1637">
        <f>AI552/4</f>
        <v>0</v>
      </c>
      <c r="AO552" s="1722">
        <v>2134.3000000000002</v>
      </c>
      <c r="AP552" s="1638"/>
      <c r="AQ552" s="1638"/>
      <c r="AR552" s="1638"/>
      <c r="AS552" s="1639">
        <v>2134.3000000000002</v>
      </c>
      <c r="AT552" s="1638"/>
      <c r="AU552" s="1638"/>
      <c r="AV552" s="1638"/>
      <c r="AW552" s="1640">
        <v>2134.3000000000002</v>
      </c>
      <c r="AX552" s="1640"/>
      <c r="AY552" s="1640"/>
      <c r="AZ552" s="1640"/>
      <c r="BA552" s="1641">
        <v>2134.3000000000002</v>
      </c>
      <c r="BB552" s="1640"/>
      <c r="BC552" s="1640"/>
      <c r="BD552" s="1640"/>
      <c r="BE552" s="1641">
        <v>2134.3000000000002</v>
      </c>
      <c r="BF552" s="1640"/>
      <c r="BG552" s="1640"/>
      <c r="BH552" s="1640"/>
      <c r="BI552" s="1641">
        <f>684.449</f>
        <v>684.44899999999996</v>
      </c>
      <c r="BJ552" s="1640"/>
      <c r="BK552" s="1640"/>
      <c r="BL552" s="1640"/>
      <c r="BM552" s="1641">
        <f>1449.851+4268.6</f>
        <v>5718.4510000000009</v>
      </c>
      <c r="BN552" s="1640"/>
      <c r="BO552" s="1640"/>
      <c r="BP552" s="1640"/>
      <c r="BQ552" s="1641">
        <v>2134.3000000000002</v>
      </c>
      <c r="BR552" s="1640"/>
      <c r="BS552" s="1640"/>
      <c r="BT552" s="1640"/>
      <c r="BU552" s="1641">
        <v>1574.4</v>
      </c>
      <c r="BV552" s="1640"/>
      <c r="BW552" s="1640"/>
      <c r="BX552" s="1640"/>
      <c r="BY552" s="1641">
        <v>472.32</v>
      </c>
      <c r="BZ552" s="1640"/>
      <c r="CA552" s="1640"/>
      <c r="CB552" s="1640"/>
      <c r="CC552" s="1641">
        <f>1275.3+2406</f>
        <v>3681.3</v>
      </c>
      <c r="CD552" s="1640"/>
      <c r="CE552" s="1640"/>
      <c r="CF552" s="1640"/>
      <c r="CG552" s="1642"/>
      <c r="CH552" s="1641">
        <f t="shared" si="390"/>
        <v>569.48</v>
      </c>
      <c r="CI552" s="1641">
        <f t="shared" si="390"/>
        <v>0</v>
      </c>
      <c r="CJ552" s="1641">
        <f t="shared" si="390"/>
        <v>0</v>
      </c>
      <c r="CK552" s="1641">
        <f t="shared" si="390"/>
        <v>0</v>
      </c>
      <c r="CL552" s="1889">
        <v>569.48</v>
      </c>
      <c r="CM552" s="1889">
        <v>0</v>
      </c>
      <c r="CN552" s="1889">
        <v>0</v>
      </c>
      <c r="CO552" s="1889">
        <v>0</v>
      </c>
      <c r="CP552" s="1641"/>
      <c r="CQ552" s="1640"/>
      <c r="CR552" s="1640"/>
      <c r="CS552" s="1640"/>
      <c r="CX552" s="1558">
        <f>H552/12*10-AC552</f>
        <v>-4251.0333333333328</v>
      </c>
      <c r="CY552" s="1558">
        <f>AI552/3</f>
        <v>0</v>
      </c>
      <c r="CZ552" s="1558">
        <f>H552/12</f>
        <v>2125.5166666666669</v>
      </c>
      <c r="DA552" s="1559"/>
      <c r="DB552" s="1559"/>
      <c r="DC552" s="1559"/>
    </row>
    <row r="553" spans="1:107" ht="15" thickBot="1" x14ac:dyDescent="0.2">
      <c r="A553" s="1541" t="s">
        <v>103</v>
      </c>
      <c r="B553" s="1523" t="s">
        <v>79</v>
      </c>
      <c r="C553" s="1523" t="s">
        <v>80</v>
      </c>
      <c r="D553" s="1523" t="s">
        <v>125</v>
      </c>
      <c r="E553" s="1523" t="s">
        <v>216</v>
      </c>
      <c r="F553" s="1523"/>
      <c r="G553" s="1667">
        <v>212</v>
      </c>
      <c r="H553" s="1501"/>
      <c r="I553" s="1501"/>
      <c r="J553" s="1630"/>
      <c r="K553" s="1630"/>
      <c r="L553" s="1631"/>
      <c r="M553" s="1631"/>
      <c r="N553" s="1631"/>
      <c r="O553" s="1631"/>
      <c r="P553" s="1631"/>
      <c r="Q553" s="1631"/>
      <c r="R553" s="1631"/>
      <c r="S553" s="1631"/>
      <c r="T553" s="1632"/>
      <c r="U553" s="1633"/>
      <c r="V553" s="1633"/>
      <c r="W553" s="1634"/>
      <c r="X553" s="1634"/>
      <c r="Y553" s="1634">
        <f>CC553</f>
        <v>0</v>
      </c>
      <c r="Z553" s="1635">
        <f>AI553-X553</f>
        <v>0</v>
      </c>
      <c r="AA553" s="1634">
        <f t="shared" si="389"/>
        <v>0</v>
      </c>
      <c r="AB553" s="1511"/>
      <c r="AC553" s="1508">
        <f t="shared" si="393"/>
        <v>0</v>
      </c>
      <c r="AD553" s="1509">
        <f t="shared" si="394"/>
        <v>0</v>
      </c>
      <c r="AE553" s="1509">
        <f t="shared" si="395"/>
        <v>0</v>
      </c>
      <c r="AF553" s="1509">
        <f t="shared" si="395"/>
        <v>0</v>
      </c>
      <c r="AG553" s="1509">
        <f t="shared" si="395"/>
        <v>0</v>
      </c>
      <c r="AH553" s="1490">
        <f t="shared" si="380"/>
        <v>0</v>
      </c>
      <c r="AI553" s="1636">
        <f t="shared" si="396"/>
        <v>0</v>
      </c>
      <c r="AJ553" s="1636">
        <f t="shared" si="397"/>
        <v>0</v>
      </c>
      <c r="AK553" s="1636">
        <f t="shared" si="398"/>
        <v>0</v>
      </c>
      <c r="AL553" s="1636">
        <f t="shared" si="381"/>
        <v>0</v>
      </c>
      <c r="AM553" s="1636">
        <f t="shared" si="381"/>
        <v>0</v>
      </c>
      <c r="AN553" s="1637"/>
      <c r="AO553" s="1722">
        <v>0</v>
      </c>
      <c r="AP553" s="1638"/>
      <c r="AQ553" s="1638"/>
      <c r="AR553" s="1638"/>
      <c r="AS553" s="1639"/>
      <c r="AT553" s="1638"/>
      <c r="AU553" s="1638"/>
      <c r="AV553" s="1638"/>
      <c r="AW553" s="1640"/>
      <c r="AX553" s="1640"/>
      <c r="AY553" s="1640"/>
      <c r="AZ553" s="1640"/>
      <c r="BA553" s="1641"/>
      <c r="BB553" s="1640"/>
      <c r="BC553" s="1640"/>
      <c r="BD553" s="1640"/>
      <c r="BE553" s="1641"/>
      <c r="BF553" s="1640"/>
      <c r="BG553" s="1640"/>
      <c r="BH553" s="1640"/>
      <c r="BI553" s="1641"/>
      <c r="BJ553" s="1640"/>
      <c r="BK553" s="1640"/>
      <c r="BL553" s="1640"/>
      <c r="BM553" s="1641"/>
      <c r="BN553" s="1640"/>
      <c r="BO553" s="1640"/>
      <c r="BP553" s="1640"/>
      <c r="BQ553" s="1641"/>
      <c r="BR553" s="1640"/>
      <c r="BS553" s="1640"/>
      <c r="BT553" s="1640"/>
      <c r="BU553" s="1641"/>
      <c r="BV553" s="1640"/>
      <c r="BW553" s="1640"/>
      <c r="BX553" s="1640"/>
      <c r="BY553" s="1641"/>
      <c r="BZ553" s="1640"/>
      <c r="CA553" s="1640"/>
      <c r="CB553" s="1640"/>
      <c r="CC553" s="1641"/>
      <c r="CD553" s="1640"/>
      <c r="CE553" s="1640"/>
      <c r="CF553" s="1640"/>
      <c r="CG553" s="1642"/>
      <c r="CH553" s="1641">
        <f t="shared" si="390"/>
        <v>0</v>
      </c>
      <c r="CI553" s="1641">
        <f t="shared" si="390"/>
        <v>0</v>
      </c>
      <c r="CJ553" s="1641">
        <f t="shared" si="390"/>
        <v>0</v>
      </c>
      <c r="CK553" s="1641">
        <f t="shared" si="390"/>
        <v>0</v>
      </c>
      <c r="CL553" s="1889">
        <v>0</v>
      </c>
      <c r="CM553" s="1889">
        <v>0</v>
      </c>
      <c r="CN553" s="1889">
        <v>0</v>
      </c>
      <c r="CO553" s="1889">
        <v>0</v>
      </c>
      <c r="CP553" s="1641"/>
      <c r="CQ553" s="1640"/>
      <c r="CR553" s="1640"/>
      <c r="CS553" s="1640"/>
      <c r="CX553" s="1558"/>
      <c r="CY553" s="1558"/>
      <c r="CZ553" s="1558"/>
      <c r="DA553" s="1559"/>
      <c r="DB553" s="1559"/>
      <c r="DC553" s="1559"/>
    </row>
    <row r="554" spans="1:107" ht="15" thickBot="1" x14ac:dyDescent="0.2">
      <c r="A554" s="1541" t="s">
        <v>84</v>
      </c>
      <c r="B554" s="1523" t="s">
        <v>79</v>
      </c>
      <c r="C554" s="1523" t="s">
        <v>80</v>
      </c>
      <c r="D554" s="1523" t="s">
        <v>125</v>
      </c>
      <c r="E554" s="1523" t="s">
        <v>216</v>
      </c>
      <c r="F554" s="1523"/>
      <c r="G554" s="1667">
        <v>213</v>
      </c>
      <c r="H554" s="1501">
        <f>7734.6-31.7</f>
        <v>7702.9000000000005</v>
      </c>
      <c r="I554" s="1501"/>
      <c r="J554" s="1630"/>
      <c r="K554" s="1630"/>
      <c r="L554" s="1631"/>
      <c r="M554" s="1631"/>
      <c r="N554" s="1631"/>
      <c r="O554" s="1631"/>
      <c r="P554" s="1631"/>
      <c r="Q554" s="1631"/>
      <c r="R554" s="1631"/>
      <c r="S554" s="1631"/>
      <c r="T554" s="1632"/>
      <c r="U554" s="1633"/>
      <c r="V554" s="1633"/>
      <c r="W554" s="1634">
        <f>H554/12</f>
        <v>641.90833333333342</v>
      </c>
      <c r="X554" s="1634">
        <f>AO554</f>
        <v>644.6</v>
      </c>
      <c r="Y554" s="1634">
        <f>CC554</f>
        <v>1038</v>
      </c>
      <c r="Z554" s="1635">
        <v>1038</v>
      </c>
      <c r="AA554" s="1634">
        <f t="shared" si="389"/>
        <v>-1038</v>
      </c>
      <c r="AB554" s="1511">
        <f>AI554</f>
        <v>0</v>
      </c>
      <c r="AC554" s="1508">
        <f t="shared" si="393"/>
        <v>7702.9000000000005</v>
      </c>
      <c r="AD554" s="1509">
        <f t="shared" si="394"/>
        <v>0</v>
      </c>
      <c r="AE554" s="1509">
        <f t="shared" si="395"/>
        <v>0</v>
      </c>
      <c r="AF554" s="1509">
        <f t="shared" si="395"/>
        <v>0</v>
      </c>
      <c r="AG554" s="1509">
        <f t="shared" si="395"/>
        <v>0</v>
      </c>
      <c r="AH554" s="1490">
        <f t="shared" si="380"/>
        <v>245.8</v>
      </c>
      <c r="AI554" s="1636">
        <f t="shared" si="396"/>
        <v>0</v>
      </c>
      <c r="AJ554" s="1636">
        <f t="shared" si="397"/>
        <v>0</v>
      </c>
      <c r="AK554" s="1636">
        <f t="shared" si="398"/>
        <v>0</v>
      </c>
      <c r="AL554" s="1636">
        <f t="shared" si="381"/>
        <v>0</v>
      </c>
      <c r="AM554" s="1636">
        <f t="shared" si="381"/>
        <v>0</v>
      </c>
      <c r="AN554" s="1637">
        <f>AI554/4</f>
        <v>0</v>
      </c>
      <c r="AO554" s="1722">
        <v>644.6</v>
      </c>
      <c r="AP554" s="1638"/>
      <c r="AQ554" s="1638"/>
      <c r="AR554" s="1638"/>
      <c r="AS554" s="1639">
        <v>644.6</v>
      </c>
      <c r="AT554" s="1638"/>
      <c r="AU554" s="1638"/>
      <c r="AV554" s="1638"/>
      <c r="AW554" s="1640">
        <v>644.6</v>
      </c>
      <c r="AX554" s="1640"/>
      <c r="AY554" s="1640"/>
      <c r="AZ554" s="1640"/>
      <c r="BA554" s="1641">
        <v>644.6</v>
      </c>
      <c r="BB554" s="1640"/>
      <c r="BC554" s="1640"/>
      <c r="BD554" s="1640"/>
      <c r="BE554" s="1641">
        <v>644.6</v>
      </c>
      <c r="BF554" s="1640"/>
      <c r="BG554" s="1640"/>
      <c r="BH554" s="1640"/>
      <c r="BI554" s="1641"/>
      <c r="BJ554" s="1640"/>
      <c r="BK554" s="1640"/>
      <c r="BL554" s="1640"/>
      <c r="BM554" s="1641">
        <f>644.6+1289.2</f>
        <v>1933.8000000000002</v>
      </c>
      <c r="BN554" s="1640"/>
      <c r="BO554" s="1640"/>
      <c r="BP554" s="1640"/>
      <c r="BQ554" s="1641">
        <v>644.6</v>
      </c>
      <c r="BR554" s="1640"/>
      <c r="BS554" s="1640"/>
      <c r="BT554" s="1640"/>
      <c r="BU554" s="1641">
        <v>475.4</v>
      </c>
      <c r="BV554" s="1640"/>
      <c r="BW554" s="1640"/>
      <c r="BX554" s="1640"/>
      <c r="BY554" s="1641">
        <v>142.30000000000001</v>
      </c>
      <c r="BZ554" s="1640"/>
      <c r="CA554" s="1640"/>
      <c r="CB554" s="1640"/>
      <c r="CC554" s="1641">
        <v>1038</v>
      </c>
      <c r="CD554" s="1640"/>
      <c r="CE554" s="1640"/>
      <c r="CF554" s="1640"/>
      <c r="CG554" s="1642"/>
      <c r="CH554" s="1641">
        <f t="shared" si="390"/>
        <v>245.8</v>
      </c>
      <c r="CI554" s="1641">
        <f t="shared" si="390"/>
        <v>0</v>
      </c>
      <c r="CJ554" s="1641">
        <f t="shared" si="390"/>
        <v>0</v>
      </c>
      <c r="CK554" s="1641">
        <f t="shared" si="390"/>
        <v>0</v>
      </c>
      <c r="CL554" s="1889">
        <v>245.8</v>
      </c>
      <c r="CM554" s="1889">
        <v>0</v>
      </c>
      <c r="CN554" s="1889">
        <v>0</v>
      </c>
      <c r="CO554" s="1889">
        <v>0</v>
      </c>
      <c r="CP554" s="1641"/>
      <c r="CQ554" s="1640"/>
      <c r="CR554" s="1640"/>
      <c r="CS554" s="1640"/>
      <c r="CX554" s="1558">
        <f>H554/12*10-AC554</f>
        <v>-1283.8166666666666</v>
      </c>
      <c r="CY554" s="1558">
        <f>AI554/3</f>
        <v>0</v>
      </c>
      <c r="CZ554" s="1558">
        <f>H554/12</f>
        <v>641.90833333333342</v>
      </c>
      <c r="DA554" s="1559"/>
      <c r="DB554" s="1559"/>
      <c r="DC554" s="1559"/>
    </row>
    <row r="555" spans="1:107" ht="15" thickBot="1" x14ac:dyDescent="0.2">
      <c r="A555" s="1541" t="s">
        <v>85</v>
      </c>
      <c r="B555" s="1523" t="s">
        <v>79</v>
      </c>
      <c r="C555" s="1523" t="s">
        <v>80</v>
      </c>
      <c r="D555" s="1523" t="s">
        <v>125</v>
      </c>
      <c r="E555" s="1523" t="s">
        <v>216</v>
      </c>
      <c r="F555" s="1523"/>
      <c r="G555" s="1667">
        <v>221</v>
      </c>
      <c r="H555" s="1501"/>
      <c r="I555" s="1501"/>
      <c r="J555" s="1630"/>
      <c r="K555" s="1630"/>
      <c r="L555" s="1631"/>
      <c r="M555" s="1631"/>
      <c r="N555" s="1631"/>
      <c r="O555" s="1631"/>
      <c r="P555" s="1631"/>
      <c r="Q555" s="1631"/>
      <c r="R555" s="1631"/>
      <c r="S555" s="1631"/>
      <c r="T555" s="1632"/>
      <c r="U555" s="1633"/>
      <c r="V555" s="1633"/>
      <c r="W555" s="1634"/>
      <c r="X555" s="1634"/>
      <c r="Y555" s="1634"/>
      <c r="Z555" s="1635"/>
      <c r="AA555" s="1634">
        <f t="shared" si="389"/>
        <v>0</v>
      </c>
      <c r="AB555" s="1634"/>
      <c r="AC555" s="1508">
        <f t="shared" si="393"/>
        <v>0</v>
      </c>
      <c r="AD555" s="1509">
        <f t="shared" si="394"/>
        <v>0</v>
      </c>
      <c r="AE555" s="1509">
        <f t="shared" si="395"/>
        <v>0</v>
      </c>
      <c r="AF555" s="1509">
        <f t="shared" si="395"/>
        <v>0</v>
      </c>
      <c r="AG555" s="1509">
        <f t="shared" si="395"/>
        <v>0</v>
      </c>
      <c r="AH555" s="1490">
        <f t="shared" si="380"/>
        <v>0</v>
      </c>
      <c r="AI555" s="1636">
        <f t="shared" si="396"/>
        <v>0</v>
      </c>
      <c r="AJ555" s="1636">
        <f t="shared" si="397"/>
        <v>0</v>
      </c>
      <c r="AK555" s="1636">
        <f t="shared" si="398"/>
        <v>0</v>
      </c>
      <c r="AL555" s="1636">
        <f t="shared" si="381"/>
        <v>0</v>
      </c>
      <c r="AM555" s="1636">
        <f t="shared" si="381"/>
        <v>0</v>
      </c>
      <c r="AN555" s="1637"/>
      <c r="AO555" s="1722">
        <v>0</v>
      </c>
      <c r="AP555" s="1638"/>
      <c r="AQ555" s="1638"/>
      <c r="AR555" s="1638"/>
      <c r="AS555" s="1639"/>
      <c r="AT555" s="1638"/>
      <c r="AU555" s="1638"/>
      <c r="AV555" s="1638"/>
      <c r="AW555" s="1639"/>
      <c r="AX555" s="1640"/>
      <c r="AY555" s="1640"/>
      <c r="AZ555" s="1640"/>
      <c r="BA555" s="1641"/>
      <c r="BB555" s="1640"/>
      <c r="BC555" s="1640"/>
      <c r="BD555" s="1640"/>
      <c r="BE555" s="1644"/>
      <c r="BF555" s="1640"/>
      <c r="BG555" s="1640"/>
      <c r="BH555" s="1640"/>
      <c r="BI555" s="1641"/>
      <c r="BJ555" s="1640"/>
      <c r="BK555" s="1640"/>
      <c r="BL555" s="1640"/>
      <c r="BM555" s="1641"/>
      <c r="BN555" s="1640"/>
      <c r="BO555" s="1640"/>
      <c r="BP555" s="1640"/>
      <c r="BQ555" s="1641"/>
      <c r="BR555" s="1640"/>
      <c r="BS555" s="1640"/>
      <c r="BT555" s="1640"/>
      <c r="BU555" s="1641"/>
      <c r="BV555" s="1640"/>
      <c r="BW555" s="1640"/>
      <c r="BX555" s="1640"/>
      <c r="BY555" s="1641"/>
      <c r="BZ555" s="1640"/>
      <c r="CA555" s="1640"/>
      <c r="CB555" s="1640"/>
      <c r="CC555" s="1641"/>
      <c r="CD555" s="1640"/>
      <c r="CE555" s="1640"/>
      <c r="CF555" s="1640"/>
      <c r="CG555" s="1642"/>
      <c r="CH555" s="1641">
        <f t="shared" si="390"/>
        <v>0</v>
      </c>
      <c r="CI555" s="1641">
        <f t="shared" si="390"/>
        <v>0</v>
      </c>
      <c r="CJ555" s="1641">
        <f t="shared" si="390"/>
        <v>0</v>
      </c>
      <c r="CK555" s="1641">
        <f t="shared" si="390"/>
        <v>0</v>
      </c>
      <c r="CL555" s="1889">
        <v>0</v>
      </c>
      <c r="CM555" s="1889">
        <v>0</v>
      </c>
      <c r="CN555" s="1889">
        <v>0</v>
      </c>
      <c r="CO555" s="1889">
        <v>0</v>
      </c>
      <c r="CP555" s="1641"/>
      <c r="CQ555" s="1640"/>
      <c r="CR555" s="1640"/>
      <c r="CS555" s="1640"/>
    </row>
    <row r="556" spans="1:107" ht="15" thickBot="1" x14ac:dyDescent="0.2">
      <c r="A556" s="1541" t="s">
        <v>86</v>
      </c>
      <c r="B556" s="1523" t="s">
        <v>79</v>
      </c>
      <c r="C556" s="1523" t="s">
        <v>80</v>
      </c>
      <c r="D556" s="1523" t="s">
        <v>125</v>
      </c>
      <c r="E556" s="1523" t="s">
        <v>216</v>
      </c>
      <c r="F556" s="1523"/>
      <c r="G556" s="1667">
        <v>222</v>
      </c>
      <c r="H556" s="1501"/>
      <c r="I556" s="1501"/>
      <c r="J556" s="1630"/>
      <c r="K556" s="1630"/>
      <c r="L556" s="1631"/>
      <c r="M556" s="1631"/>
      <c r="N556" s="1631"/>
      <c r="O556" s="1631"/>
      <c r="P556" s="1631"/>
      <c r="Q556" s="1631"/>
      <c r="R556" s="1631"/>
      <c r="S556" s="1631"/>
      <c r="T556" s="1632"/>
      <c r="U556" s="1633"/>
      <c r="V556" s="1633"/>
      <c r="W556" s="1634"/>
      <c r="X556" s="1634"/>
      <c r="Y556" s="1634"/>
      <c r="Z556" s="1635"/>
      <c r="AA556" s="1634">
        <f t="shared" si="389"/>
        <v>0</v>
      </c>
      <c r="AB556" s="1634"/>
      <c r="AC556" s="1508">
        <f t="shared" si="393"/>
        <v>0</v>
      </c>
      <c r="AD556" s="1509">
        <f t="shared" si="394"/>
        <v>0</v>
      </c>
      <c r="AE556" s="1509">
        <f t="shared" si="395"/>
        <v>0</v>
      </c>
      <c r="AF556" s="1509">
        <f t="shared" si="395"/>
        <v>0</v>
      </c>
      <c r="AG556" s="1509">
        <f t="shared" si="395"/>
        <v>0</v>
      </c>
      <c r="AH556" s="1490">
        <f t="shared" si="380"/>
        <v>0</v>
      </c>
      <c r="AI556" s="1636">
        <f t="shared" si="396"/>
        <v>0</v>
      </c>
      <c r="AJ556" s="1636">
        <f t="shared" si="397"/>
        <v>0</v>
      </c>
      <c r="AK556" s="1636">
        <f t="shared" si="398"/>
        <v>0</v>
      </c>
      <c r="AL556" s="1636">
        <f t="shared" si="381"/>
        <v>0</v>
      </c>
      <c r="AM556" s="1636">
        <f t="shared" si="381"/>
        <v>0</v>
      </c>
      <c r="AN556" s="1637"/>
      <c r="AO556" s="1722">
        <v>0</v>
      </c>
      <c r="AP556" s="1638"/>
      <c r="AQ556" s="1638"/>
      <c r="AR556" s="1638"/>
      <c r="AS556" s="1639"/>
      <c r="AT556" s="1638"/>
      <c r="AU556" s="1638"/>
      <c r="AV556" s="1638"/>
      <c r="AW556" s="1639"/>
      <c r="AX556" s="1640"/>
      <c r="AY556" s="1640"/>
      <c r="AZ556" s="1640"/>
      <c r="BA556" s="1641"/>
      <c r="BB556" s="1640"/>
      <c r="BC556" s="1640"/>
      <c r="BD556" s="1640"/>
      <c r="BE556" s="1644"/>
      <c r="BF556" s="1640"/>
      <c r="BG556" s="1640"/>
      <c r="BH556" s="1640"/>
      <c r="BI556" s="1641"/>
      <c r="BJ556" s="1640"/>
      <c r="BK556" s="1640"/>
      <c r="BL556" s="1640"/>
      <c r="BM556" s="1641"/>
      <c r="BN556" s="1640"/>
      <c r="BO556" s="1640"/>
      <c r="BP556" s="1640"/>
      <c r="BQ556" s="1641"/>
      <c r="BR556" s="1640"/>
      <c r="BS556" s="1640"/>
      <c r="BT556" s="1640"/>
      <c r="BU556" s="1641"/>
      <c r="BV556" s="1640"/>
      <c r="BW556" s="1640"/>
      <c r="BX556" s="1640"/>
      <c r="BY556" s="1641"/>
      <c r="BZ556" s="1640"/>
      <c r="CA556" s="1640"/>
      <c r="CB556" s="1640"/>
      <c r="CC556" s="1641"/>
      <c r="CD556" s="1640"/>
      <c r="CE556" s="1640"/>
      <c r="CF556" s="1640"/>
      <c r="CG556" s="1642"/>
      <c r="CH556" s="1641">
        <f t="shared" si="390"/>
        <v>0</v>
      </c>
      <c r="CI556" s="1641">
        <f t="shared" si="390"/>
        <v>0</v>
      </c>
      <c r="CJ556" s="1641">
        <f t="shared" si="390"/>
        <v>0</v>
      </c>
      <c r="CK556" s="1641">
        <f t="shared" si="390"/>
        <v>0</v>
      </c>
      <c r="CL556" s="1889">
        <v>0</v>
      </c>
      <c r="CM556" s="1889">
        <v>0</v>
      </c>
      <c r="CN556" s="1889">
        <v>0</v>
      </c>
      <c r="CO556" s="1889">
        <v>0</v>
      </c>
      <c r="CP556" s="1641"/>
      <c r="CQ556" s="1640"/>
      <c r="CR556" s="1640"/>
      <c r="CS556" s="1640"/>
    </row>
    <row r="557" spans="1:107" ht="15" thickBot="1" x14ac:dyDescent="0.2">
      <c r="A557" s="1541" t="s">
        <v>87</v>
      </c>
      <c r="B557" s="1523" t="s">
        <v>79</v>
      </c>
      <c r="C557" s="1523" t="s">
        <v>80</v>
      </c>
      <c r="D557" s="1523" t="s">
        <v>125</v>
      </c>
      <c r="E557" s="1523" t="s">
        <v>216</v>
      </c>
      <c r="F557" s="1523"/>
      <c r="G557" s="1667">
        <v>223</v>
      </c>
      <c r="H557" s="1501">
        <f>1242.9-31.3</f>
        <v>1211.6000000000001</v>
      </c>
      <c r="I557" s="1501"/>
      <c r="J557" s="1630"/>
      <c r="K557" s="1630"/>
      <c r="L557" s="1631"/>
      <c r="M557" s="1631"/>
      <c r="N557" s="1631"/>
      <c r="O557" s="1631"/>
      <c r="P557" s="1631"/>
      <c r="Q557" s="1631"/>
      <c r="R557" s="1631"/>
      <c r="S557" s="1631"/>
      <c r="T557" s="1632"/>
      <c r="U557" s="1633"/>
      <c r="V557" s="1633"/>
      <c r="W557" s="1634"/>
      <c r="X557" s="1634"/>
      <c r="Y557" s="1634"/>
      <c r="Z557" s="1635"/>
      <c r="AA557" s="1634">
        <f t="shared" si="389"/>
        <v>0</v>
      </c>
      <c r="AB557" s="1634"/>
      <c r="AC557" s="1508">
        <f t="shared" si="393"/>
        <v>1211.6000000000001</v>
      </c>
      <c r="AD557" s="1509">
        <f t="shared" si="394"/>
        <v>0</v>
      </c>
      <c r="AE557" s="1509">
        <f t="shared" si="395"/>
        <v>0</v>
      </c>
      <c r="AF557" s="1509">
        <f t="shared" si="395"/>
        <v>0</v>
      </c>
      <c r="AG557" s="1509">
        <f t="shared" si="395"/>
        <v>0</v>
      </c>
      <c r="AH557" s="1490">
        <f t="shared" si="380"/>
        <v>202.9</v>
      </c>
      <c r="AI557" s="1636">
        <f t="shared" si="396"/>
        <v>0</v>
      </c>
      <c r="AJ557" s="1636">
        <f t="shared" si="397"/>
        <v>0</v>
      </c>
      <c r="AK557" s="1636">
        <f t="shared" si="398"/>
        <v>0</v>
      </c>
      <c r="AL557" s="1636">
        <f t="shared" si="381"/>
        <v>0</v>
      </c>
      <c r="AM557" s="1636">
        <f t="shared" si="381"/>
        <v>0</v>
      </c>
      <c r="AN557" s="1637"/>
      <c r="AO557" s="1722">
        <v>103.6</v>
      </c>
      <c r="AP557" s="1638"/>
      <c r="AQ557" s="1638"/>
      <c r="AR557" s="1638"/>
      <c r="AS557" s="1639">
        <v>103.5</v>
      </c>
      <c r="AT557" s="1638"/>
      <c r="AU557" s="1638"/>
      <c r="AV557" s="1638"/>
      <c r="AW557" s="1639"/>
      <c r="AX557" s="1640"/>
      <c r="AY557" s="1640"/>
      <c r="AZ557" s="1640"/>
      <c r="BA557" s="1641"/>
      <c r="BB557" s="1640"/>
      <c r="BC557" s="1640"/>
      <c r="BD557" s="1640"/>
      <c r="BE557" s="1644">
        <v>229</v>
      </c>
      <c r="BF557" s="1640"/>
      <c r="BG557" s="1640"/>
      <c r="BH557" s="1640"/>
      <c r="BI557" s="1641">
        <v>114.5</v>
      </c>
      <c r="BJ557" s="1640"/>
      <c r="BK557" s="1640"/>
      <c r="BL557" s="1640"/>
      <c r="BM557" s="1641"/>
      <c r="BN557" s="1640"/>
      <c r="BO557" s="1640"/>
      <c r="BP557" s="1640"/>
      <c r="BQ557" s="1641">
        <v>114.5</v>
      </c>
      <c r="BR557" s="1640"/>
      <c r="BS557" s="1640"/>
      <c r="BT557" s="1640"/>
      <c r="BU557" s="1641">
        <v>243.6</v>
      </c>
      <c r="BV557" s="1640"/>
      <c r="BW557" s="1640"/>
      <c r="BX557" s="1640"/>
      <c r="BY557" s="1641">
        <v>100</v>
      </c>
      <c r="BZ557" s="1640"/>
      <c r="CA557" s="1640"/>
      <c r="CB557" s="1640"/>
      <c r="CC557" s="1641"/>
      <c r="CD557" s="1640"/>
      <c r="CE557" s="1640"/>
      <c r="CF557" s="1640"/>
      <c r="CG557" s="1642"/>
      <c r="CH557" s="1641">
        <f t="shared" si="390"/>
        <v>202.9</v>
      </c>
      <c r="CI557" s="1641">
        <f t="shared" si="390"/>
        <v>0</v>
      </c>
      <c r="CJ557" s="1641">
        <f t="shared" si="390"/>
        <v>0</v>
      </c>
      <c r="CK557" s="1641">
        <f t="shared" si="390"/>
        <v>0</v>
      </c>
      <c r="CL557" s="1889">
        <v>202.9</v>
      </c>
      <c r="CM557" s="1889">
        <v>0</v>
      </c>
      <c r="CN557" s="1889">
        <v>0</v>
      </c>
      <c r="CO557" s="1889">
        <v>0</v>
      </c>
      <c r="CP557" s="1641"/>
      <c r="CQ557" s="1640"/>
      <c r="CR557" s="1640"/>
      <c r="CS557" s="1640"/>
    </row>
    <row r="558" spans="1:107" ht="15" thickBot="1" x14ac:dyDescent="0.2">
      <c r="A558" s="1541" t="s">
        <v>134</v>
      </c>
      <c r="B558" s="1523" t="s">
        <v>79</v>
      </c>
      <c r="C558" s="1523" t="s">
        <v>80</v>
      </c>
      <c r="D558" s="1523" t="s">
        <v>125</v>
      </c>
      <c r="E558" s="1523" t="s">
        <v>216</v>
      </c>
      <c r="F558" s="1523"/>
      <c r="G558" s="1667">
        <v>224</v>
      </c>
      <c r="H558" s="1501"/>
      <c r="I558" s="1501"/>
      <c r="J558" s="1630"/>
      <c r="K558" s="1630"/>
      <c r="L558" s="1631"/>
      <c r="M558" s="1631"/>
      <c r="N558" s="1631"/>
      <c r="O558" s="1631"/>
      <c r="P558" s="1631"/>
      <c r="Q558" s="1631"/>
      <c r="R558" s="1631"/>
      <c r="S558" s="1631"/>
      <c r="T558" s="1632"/>
      <c r="U558" s="1633"/>
      <c r="V558" s="1633"/>
      <c r="W558" s="1634"/>
      <c r="X558" s="1634"/>
      <c r="Y558" s="1634"/>
      <c r="Z558" s="1635"/>
      <c r="AA558" s="1634">
        <f t="shared" si="389"/>
        <v>0</v>
      </c>
      <c r="AB558" s="1634"/>
      <c r="AC558" s="1508">
        <f t="shared" si="393"/>
        <v>0</v>
      </c>
      <c r="AD558" s="1509">
        <f t="shared" si="394"/>
        <v>0</v>
      </c>
      <c r="AE558" s="1509">
        <f t="shared" si="395"/>
        <v>0</v>
      </c>
      <c r="AF558" s="1509">
        <f t="shared" si="395"/>
        <v>0</v>
      </c>
      <c r="AG558" s="1509">
        <f t="shared" si="395"/>
        <v>0</v>
      </c>
      <c r="AH558" s="1490">
        <f t="shared" si="380"/>
        <v>0</v>
      </c>
      <c r="AI558" s="1636">
        <f t="shared" si="396"/>
        <v>0</v>
      </c>
      <c r="AJ558" s="1636">
        <f t="shared" si="397"/>
        <v>0</v>
      </c>
      <c r="AK558" s="1636">
        <f t="shared" si="398"/>
        <v>0</v>
      </c>
      <c r="AL558" s="1636">
        <f t="shared" si="381"/>
        <v>0</v>
      </c>
      <c r="AM558" s="1636">
        <f t="shared" si="381"/>
        <v>0</v>
      </c>
      <c r="AN558" s="1637"/>
      <c r="AO558" s="1722">
        <v>0</v>
      </c>
      <c r="AP558" s="1638"/>
      <c r="AQ558" s="1638"/>
      <c r="AR558" s="1638"/>
      <c r="AS558" s="1639"/>
      <c r="AT558" s="1638"/>
      <c r="AU558" s="1638"/>
      <c r="AV558" s="1638"/>
      <c r="AW558" s="1639"/>
      <c r="AX558" s="1640"/>
      <c r="AY558" s="1640"/>
      <c r="AZ558" s="1640"/>
      <c r="BA558" s="1641"/>
      <c r="BB558" s="1640"/>
      <c r="BC558" s="1640"/>
      <c r="BD558" s="1640"/>
      <c r="BE558" s="1644"/>
      <c r="BF558" s="1640"/>
      <c r="BG558" s="1640"/>
      <c r="BH558" s="1640"/>
      <c r="BI558" s="1641"/>
      <c r="BJ558" s="1640"/>
      <c r="BK558" s="1640"/>
      <c r="BL558" s="1640"/>
      <c r="BM558" s="1641"/>
      <c r="BN558" s="1640"/>
      <c r="BO558" s="1640"/>
      <c r="BP558" s="1640"/>
      <c r="BQ558" s="1641"/>
      <c r="BR558" s="1640"/>
      <c r="BS558" s="1640"/>
      <c r="BT558" s="1640"/>
      <c r="BU558" s="1641"/>
      <c r="BV558" s="1640"/>
      <c r="BW558" s="1640"/>
      <c r="BX558" s="1640"/>
      <c r="BY558" s="1641"/>
      <c r="BZ558" s="1640"/>
      <c r="CA558" s="1640"/>
      <c r="CB558" s="1640"/>
      <c r="CC558" s="1641"/>
      <c r="CD558" s="1640"/>
      <c r="CE558" s="1640"/>
      <c r="CF558" s="1640"/>
      <c r="CG558" s="1642"/>
      <c r="CH558" s="1641">
        <f t="shared" si="390"/>
        <v>0</v>
      </c>
      <c r="CI558" s="1641">
        <f t="shared" si="390"/>
        <v>0</v>
      </c>
      <c r="CJ558" s="1641">
        <f t="shared" si="390"/>
        <v>0</v>
      </c>
      <c r="CK558" s="1641">
        <f t="shared" si="390"/>
        <v>0</v>
      </c>
      <c r="CL558" s="1889">
        <v>0</v>
      </c>
      <c r="CM558" s="1889">
        <v>0</v>
      </c>
      <c r="CN558" s="1889">
        <v>0</v>
      </c>
      <c r="CO558" s="1889">
        <v>0</v>
      </c>
      <c r="CP558" s="1641"/>
      <c r="CQ558" s="1640"/>
      <c r="CR558" s="1640"/>
      <c r="CS558" s="1640"/>
    </row>
    <row r="559" spans="1:107" ht="15" thickBot="1" x14ac:dyDescent="0.2">
      <c r="A559" s="1541" t="s">
        <v>90</v>
      </c>
      <c r="B559" s="1523" t="s">
        <v>79</v>
      </c>
      <c r="C559" s="1523" t="s">
        <v>80</v>
      </c>
      <c r="D559" s="1523" t="s">
        <v>125</v>
      </c>
      <c r="E559" s="1523" t="s">
        <v>216</v>
      </c>
      <c r="F559" s="1523"/>
      <c r="G559" s="1667">
        <v>225</v>
      </c>
      <c r="H559" s="1501">
        <f>11+120</f>
        <v>131</v>
      </c>
      <c r="I559" s="1501"/>
      <c r="J559" s="1630">
        <f>2039.83-V559</f>
        <v>1671.73</v>
      </c>
      <c r="K559" s="1630"/>
      <c r="L559" s="1631"/>
      <c r="M559" s="1631"/>
      <c r="N559" s="1631"/>
      <c r="O559" s="1631"/>
      <c r="P559" s="1631"/>
      <c r="Q559" s="1631"/>
      <c r="R559" s="1631"/>
      <c r="S559" s="1631"/>
      <c r="T559" s="1632"/>
      <c r="U559" s="1633"/>
      <c r="V559" s="1633">
        <v>368.1</v>
      </c>
      <c r="W559" s="1634"/>
      <c r="X559" s="1634"/>
      <c r="Y559" s="1634"/>
      <c r="Z559" s="1635"/>
      <c r="AA559" s="1634">
        <f t="shared" si="389"/>
        <v>0</v>
      </c>
      <c r="AB559" s="1634"/>
      <c r="AC559" s="1508">
        <f t="shared" si="393"/>
        <v>131</v>
      </c>
      <c r="AD559" s="1509">
        <f t="shared" si="394"/>
        <v>1671.73</v>
      </c>
      <c r="AE559" s="1509">
        <f t="shared" si="395"/>
        <v>0</v>
      </c>
      <c r="AF559" s="1509">
        <f t="shared" si="395"/>
        <v>1671.73</v>
      </c>
      <c r="AG559" s="1509">
        <f t="shared" si="395"/>
        <v>0</v>
      </c>
      <c r="AH559" s="1490">
        <f t="shared" si="380"/>
        <v>11</v>
      </c>
      <c r="AI559" s="1636">
        <f t="shared" si="396"/>
        <v>0</v>
      </c>
      <c r="AJ559" s="1636">
        <f t="shared" si="397"/>
        <v>0</v>
      </c>
      <c r="AK559" s="1636">
        <f t="shared" si="398"/>
        <v>0</v>
      </c>
      <c r="AL559" s="1636">
        <f t="shared" si="381"/>
        <v>0</v>
      </c>
      <c r="AM559" s="1636">
        <f t="shared" si="381"/>
        <v>0</v>
      </c>
      <c r="AN559" s="1637"/>
      <c r="AO559" s="1723"/>
      <c r="AP559" s="1638"/>
      <c r="AQ559" s="1638"/>
      <c r="AR559" s="1638"/>
      <c r="AS559" s="1639"/>
      <c r="AT559" s="1638"/>
      <c r="AU559" s="1638"/>
      <c r="AV559" s="1638"/>
      <c r="AW559" s="1639"/>
      <c r="AX559" s="1640"/>
      <c r="AY559" s="1640"/>
      <c r="AZ559" s="1640"/>
      <c r="BA559" s="1641"/>
      <c r="BB559" s="1640"/>
      <c r="BC559" s="1640"/>
      <c r="BD559" s="1640"/>
      <c r="BE559" s="1644"/>
      <c r="BF559" s="1640"/>
      <c r="BG559" s="1640"/>
      <c r="BH559" s="1640"/>
      <c r="BI559" s="1641"/>
      <c r="BJ559" s="1640"/>
      <c r="BK559" s="1640"/>
      <c r="BL559" s="1640"/>
      <c r="BM559" s="1641"/>
      <c r="BN559" s="1640"/>
      <c r="BO559" s="1640"/>
      <c r="BP559" s="1640"/>
      <c r="BQ559" s="1641">
        <v>120</v>
      </c>
      <c r="BR559" s="1640"/>
      <c r="BS559" s="1640"/>
      <c r="BT559" s="1640"/>
      <c r="BU559" s="1641"/>
      <c r="BV559" s="1640"/>
      <c r="BW559" s="1640">
        <v>1000</v>
      </c>
      <c r="BX559" s="1640"/>
      <c r="BY559" s="1641"/>
      <c r="BZ559" s="1640"/>
      <c r="CA559" s="1640">
        <v>200</v>
      </c>
      <c r="CB559" s="1640"/>
      <c r="CC559" s="1641"/>
      <c r="CD559" s="1640"/>
      <c r="CE559" s="1640"/>
      <c r="CF559" s="1640"/>
      <c r="CG559" s="1642"/>
      <c r="CH559" s="1641">
        <f t="shared" si="390"/>
        <v>11</v>
      </c>
      <c r="CI559" s="1641">
        <f t="shared" si="390"/>
        <v>0</v>
      </c>
      <c r="CJ559" s="1641">
        <f t="shared" si="390"/>
        <v>471.73</v>
      </c>
      <c r="CK559" s="1641">
        <f t="shared" si="390"/>
        <v>0</v>
      </c>
      <c r="CL559" s="1889">
        <v>11</v>
      </c>
      <c r="CM559" s="1889">
        <v>0</v>
      </c>
      <c r="CN559" s="1889">
        <v>471.73</v>
      </c>
      <c r="CO559" s="1889">
        <v>0</v>
      </c>
      <c r="CP559" s="1641"/>
      <c r="CQ559" s="1640"/>
      <c r="CR559" s="1640"/>
      <c r="CS559" s="1640"/>
    </row>
    <row r="560" spans="1:107" ht="15" thickBot="1" x14ac:dyDescent="0.2">
      <c r="A560" s="1541" t="s">
        <v>91</v>
      </c>
      <c r="B560" s="1523" t="s">
        <v>79</v>
      </c>
      <c r="C560" s="1523" t="s">
        <v>80</v>
      </c>
      <c r="D560" s="1523" t="s">
        <v>125</v>
      </c>
      <c r="E560" s="1523" t="s">
        <v>216</v>
      </c>
      <c r="F560" s="1523"/>
      <c r="G560" s="1667">
        <v>226</v>
      </c>
      <c r="H560" s="1501">
        <f>35+14</f>
        <v>49</v>
      </c>
      <c r="I560" s="1501">
        <v>100</v>
      </c>
      <c r="J560" s="1630"/>
      <c r="K560" s="1630">
        <f>100-U560</f>
        <v>0</v>
      </c>
      <c r="L560" s="1631"/>
      <c r="M560" s="1631"/>
      <c r="N560" s="1631"/>
      <c r="O560" s="1631"/>
      <c r="P560" s="1631"/>
      <c r="Q560" s="1631"/>
      <c r="R560" s="1631">
        <v>240</v>
      </c>
      <c r="S560" s="1631">
        <v>1800.96</v>
      </c>
      <c r="T560" s="1632"/>
      <c r="U560" s="1633">
        <v>100</v>
      </c>
      <c r="V560" s="1633"/>
      <c r="W560" s="1634"/>
      <c r="X560" s="1634"/>
      <c r="Y560" s="1634"/>
      <c r="Z560" s="1635"/>
      <c r="AA560" s="1634">
        <f t="shared" si="389"/>
        <v>0</v>
      </c>
      <c r="AB560" s="1634"/>
      <c r="AC560" s="1508">
        <f t="shared" si="393"/>
        <v>49</v>
      </c>
      <c r="AD560" s="1509">
        <f t="shared" si="394"/>
        <v>100</v>
      </c>
      <c r="AE560" s="1509">
        <f t="shared" si="395"/>
        <v>100</v>
      </c>
      <c r="AF560" s="1509">
        <f t="shared" si="395"/>
        <v>0</v>
      </c>
      <c r="AG560" s="1509">
        <f t="shared" si="395"/>
        <v>0</v>
      </c>
      <c r="AH560" s="1490">
        <f t="shared" si="380"/>
        <v>13.954000000000001</v>
      </c>
      <c r="AI560" s="1636">
        <f t="shared" si="396"/>
        <v>0</v>
      </c>
      <c r="AJ560" s="1636">
        <f t="shared" si="397"/>
        <v>0</v>
      </c>
      <c r="AK560" s="1636">
        <f t="shared" si="398"/>
        <v>0</v>
      </c>
      <c r="AL560" s="1636">
        <f t="shared" si="381"/>
        <v>0</v>
      </c>
      <c r="AM560" s="1636">
        <f t="shared" si="381"/>
        <v>0</v>
      </c>
      <c r="AN560" s="1637"/>
      <c r="AO560" s="1723"/>
      <c r="AP560" s="1638"/>
      <c r="AQ560" s="1638"/>
      <c r="AR560" s="1638"/>
      <c r="AS560" s="1639"/>
      <c r="AT560" s="1638"/>
      <c r="AU560" s="1638"/>
      <c r="AV560" s="1638"/>
      <c r="AW560" s="1639"/>
      <c r="AX560" s="1640"/>
      <c r="AY560" s="1640"/>
      <c r="AZ560" s="1640"/>
      <c r="BA560" s="1641"/>
      <c r="BB560" s="1640"/>
      <c r="BC560" s="1640"/>
      <c r="BD560" s="1640"/>
      <c r="BE560" s="1644"/>
      <c r="BF560" s="1640"/>
      <c r="BG560" s="1640"/>
      <c r="BH560" s="1640"/>
      <c r="BI560" s="1641"/>
      <c r="BJ560" s="1640"/>
      <c r="BK560" s="1640"/>
      <c r="BL560" s="1640"/>
      <c r="BM560" s="1641"/>
      <c r="BN560" s="1640"/>
      <c r="BO560" s="1640"/>
      <c r="BP560" s="1640"/>
      <c r="BQ560" s="1641">
        <v>35.045999999999999</v>
      </c>
      <c r="BR560" s="1640"/>
      <c r="BS560" s="1640"/>
      <c r="BT560" s="1640"/>
      <c r="BU560" s="1641"/>
      <c r="BV560" s="1640"/>
      <c r="BW560" s="1640"/>
      <c r="BX560" s="1640"/>
      <c r="BY560" s="1641"/>
      <c r="BZ560" s="1640">
        <v>100</v>
      </c>
      <c r="CA560" s="1640"/>
      <c r="CB560" s="1640"/>
      <c r="CC560" s="1641"/>
      <c r="CD560" s="1640"/>
      <c r="CE560" s="1640"/>
      <c r="CF560" s="1640"/>
      <c r="CG560" s="1642"/>
      <c r="CH560" s="1641">
        <f t="shared" si="390"/>
        <v>13.954000000000001</v>
      </c>
      <c r="CI560" s="1641">
        <f t="shared" si="390"/>
        <v>0</v>
      </c>
      <c r="CJ560" s="1641">
        <f t="shared" si="390"/>
        <v>0</v>
      </c>
      <c r="CK560" s="1641">
        <f t="shared" si="390"/>
        <v>0</v>
      </c>
      <c r="CL560" s="1889">
        <v>13.954000000000001</v>
      </c>
      <c r="CM560" s="1889">
        <v>0</v>
      </c>
      <c r="CN560" s="1889">
        <v>0</v>
      </c>
      <c r="CO560" s="1889">
        <v>0</v>
      </c>
      <c r="CP560" s="1641"/>
      <c r="CQ560" s="1640"/>
      <c r="CR560" s="1640"/>
      <c r="CS560" s="1640"/>
    </row>
    <row r="561" spans="1:107" ht="15" thickBot="1" x14ac:dyDescent="0.2">
      <c r="A561" s="1541" t="s">
        <v>94</v>
      </c>
      <c r="B561" s="1523" t="s">
        <v>79</v>
      </c>
      <c r="C561" s="1523" t="s">
        <v>80</v>
      </c>
      <c r="D561" s="1523" t="s">
        <v>125</v>
      </c>
      <c r="E561" s="1523" t="s">
        <v>216</v>
      </c>
      <c r="F561" s="1523"/>
      <c r="G561" s="1667">
        <v>290</v>
      </c>
      <c r="H561" s="1501">
        <v>992.3</v>
      </c>
      <c r="I561" s="1501"/>
      <c r="J561" s="1630"/>
      <c r="K561" s="1630"/>
      <c r="L561" s="1631"/>
      <c r="M561" s="1631"/>
      <c r="N561" s="1631"/>
      <c r="O561" s="1631"/>
      <c r="P561" s="1631"/>
      <c r="Q561" s="1631"/>
      <c r="R561" s="1631"/>
      <c r="S561" s="1631"/>
      <c r="T561" s="1632"/>
      <c r="U561" s="1633"/>
      <c r="V561" s="1633"/>
      <c r="W561" s="1634"/>
      <c r="X561" s="1634"/>
      <c r="Y561" s="1634"/>
      <c r="Z561" s="1635"/>
      <c r="AA561" s="1634">
        <f>AB561-Z561</f>
        <v>0</v>
      </c>
      <c r="AB561" s="1634"/>
      <c r="AC561" s="1508">
        <f t="shared" si="393"/>
        <v>992.3</v>
      </c>
      <c r="AD561" s="1509">
        <f t="shared" si="394"/>
        <v>0</v>
      </c>
      <c r="AE561" s="1509">
        <f t="shared" si="395"/>
        <v>0</v>
      </c>
      <c r="AF561" s="1509">
        <f t="shared" si="395"/>
        <v>0</v>
      </c>
      <c r="AG561" s="1509">
        <f t="shared" si="395"/>
        <v>0</v>
      </c>
      <c r="AH561" s="1490">
        <f t="shared" si="380"/>
        <v>241.5</v>
      </c>
      <c r="AI561" s="1636">
        <f t="shared" si="396"/>
        <v>0</v>
      </c>
      <c r="AJ561" s="1636">
        <f t="shared" si="397"/>
        <v>0</v>
      </c>
      <c r="AK561" s="1636">
        <f t="shared" si="398"/>
        <v>0</v>
      </c>
      <c r="AL561" s="1636">
        <f t="shared" si="381"/>
        <v>0</v>
      </c>
      <c r="AM561" s="1636">
        <f t="shared" si="381"/>
        <v>0</v>
      </c>
      <c r="AN561" s="1637"/>
      <c r="AO561" s="1722">
        <v>82.7</v>
      </c>
      <c r="AP561" s="1638"/>
      <c r="AQ561" s="1638"/>
      <c r="AR561" s="1638"/>
      <c r="AS561" s="1639"/>
      <c r="AT561" s="1638"/>
      <c r="AU561" s="1638"/>
      <c r="AV561" s="1638"/>
      <c r="AW561" s="1639"/>
      <c r="AX561" s="1640"/>
      <c r="AY561" s="1640"/>
      <c r="AZ561" s="1640"/>
      <c r="BA561" s="1641"/>
      <c r="BB561" s="1640"/>
      <c r="BC561" s="1640"/>
      <c r="BD561" s="1640"/>
      <c r="BE561" s="1644">
        <v>248.1</v>
      </c>
      <c r="BF561" s="1640"/>
      <c r="BG561" s="1640"/>
      <c r="BH561" s="1640"/>
      <c r="BI561" s="1641"/>
      <c r="BJ561" s="1640"/>
      <c r="BK561" s="1640"/>
      <c r="BL561" s="1640"/>
      <c r="BM561" s="1641"/>
      <c r="BN561" s="1640"/>
      <c r="BO561" s="1640"/>
      <c r="BP561" s="1640"/>
      <c r="BQ561" s="1641"/>
      <c r="BR561" s="1640"/>
      <c r="BS561" s="1640"/>
      <c r="BT561" s="1640"/>
      <c r="BU561" s="1641">
        <v>420</v>
      </c>
      <c r="BV561" s="1640"/>
      <c r="BW561" s="1640"/>
      <c r="BX561" s="1640"/>
      <c r="BY561" s="1641"/>
      <c r="BZ561" s="1640"/>
      <c r="CA561" s="1640"/>
      <c r="CB561" s="1640"/>
      <c r="CC561" s="1641"/>
      <c r="CD561" s="1640"/>
      <c r="CE561" s="1640"/>
      <c r="CF561" s="1640"/>
      <c r="CG561" s="1642"/>
      <c r="CH561" s="1641">
        <f t="shared" si="390"/>
        <v>241.5</v>
      </c>
      <c r="CI561" s="1641">
        <f t="shared" si="390"/>
        <v>0</v>
      </c>
      <c r="CJ561" s="1641">
        <f t="shared" si="390"/>
        <v>0</v>
      </c>
      <c r="CK561" s="1641">
        <f t="shared" si="390"/>
        <v>0</v>
      </c>
      <c r="CL561" s="1889">
        <v>241.5</v>
      </c>
      <c r="CM561" s="1889">
        <v>0</v>
      </c>
      <c r="CN561" s="1889">
        <v>0</v>
      </c>
      <c r="CO561" s="1889">
        <v>0</v>
      </c>
      <c r="CP561" s="1641"/>
      <c r="CQ561" s="1640"/>
      <c r="CR561" s="1640"/>
      <c r="CS561" s="1640"/>
    </row>
    <row r="562" spans="1:107" ht="15" thickBot="1" x14ac:dyDescent="0.2">
      <c r="A562" s="1541" t="s">
        <v>94</v>
      </c>
      <c r="B562" s="1523" t="s">
        <v>79</v>
      </c>
      <c r="C562" s="1523" t="s">
        <v>80</v>
      </c>
      <c r="D562" s="1523" t="s">
        <v>125</v>
      </c>
      <c r="E562" s="1523" t="s">
        <v>216</v>
      </c>
      <c r="F562" s="1523"/>
      <c r="G562" s="1667" t="s">
        <v>95</v>
      </c>
      <c r="H562" s="1501"/>
      <c r="I562" s="1501"/>
      <c r="J562" s="1630"/>
      <c r="K562" s="1630"/>
      <c r="L562" s="1631"/>
      <c r="M562" s="1631"/>
      <c r="N562" s="1631"/>
      <c r="O562" s="1631"/>
      <c r="P562" s="1631"/>
      <c r="Q562" s="1631"/>
      <c r="R562" s="1631"/>
      <c r="S562" s="1631"/>
      <c r="T562" s="1632"/>
      <c r="U562" s="1633"/>
      <c r="V562" s="1633"/>
      <c r="W562" s="1634"/>
      <c r="X562" s="1634"/>
      <c r="Y562" s="1634"/>
      <c r="Z562" s="1635"/>
      <c r="AA562" s="1634">
        <f t="shared" si="389"/>
        <v>0</v>
      </c>
      <c r="AB562" s="1634"/>
      <c r="AC562" s="1508">
        <f t="shared" si="393"/>
        <v>0</v>
      </c>
      <c r="AD562" s="1509">
        <f t="shared" si="394"/>
        <v>0</v>
      </c>
      <c r="AE562" s="1509">
        <f t="shared" si="395"/>
        <v>0</v>
      </c>
      <c r="AF562" s="1509">
        <f t="shared" si="395"/>
        <v>0</v>
      </c>
      <c r="AG562" s="1509">
        <f t="shared" si="395"/>
        <v>0</v>
      </c>
      <c r="AH562" s="1490">
        <f t="shared" si="380"/>
        <v>0</v>
      </c>
      <c r="AI562" s="1636">
        <f t="shared" si="396"/>
        <v>0</v>
      </c>
      <c r="AJ562" s="1636">
        <f t="shared" si="397"/>
        <v>0</v>
      </c>
      <c r="AK562" s="1636">
        <f t="shared" si="398"/>
        <v>0</v>
      </c>
      <c r="AL562" s="1636">
        <f t="shared" si="381"/>
        <v>0</v>
      </c>
      <c r="AM562" s="1636">
        <f t="shared" si="381"/>
        <v>0</v>
      </c>
      <c r="AN562" s="1637"/>
      <c r="AO562" s="1722">
        <v>0</v>
      </c>
      <c r="AP562" s="1638"/>
      <c r="AQ562" s="1638"/>
      <c r="AR562" s="1638"/>
      <c r="AS562" s="1639"/>
      <c r="AT562" s="1638"/>
      <c r="AU562" s="1638"/>
      <c r="AV562" s="1638"/>
      <c r="AW562" s="1639"/>
      <c r="AX562" s="1640"/>
      <c r="AY562" s="1640"/>
      <c r="AZ562" s="1640"/>
      <c r="BA562" s="1641"/>
      <c r="BB562" s="1640"/>
      <c r="BC562" s="1640"/>
      <c r="BD562" s="1640"/>
      <c r="BE562" s="1644"/>
      <c r="BF562" s="1640"/>
      <c r="BG562" s="1640"/>
      <c r="BH562" s="1640"/>
      <c r="BI562" s="1641"/>
      <c r="BJ562" s="1640"/>
      <c r="BK562" s="1640"/>
      <c r="BL562" s="1640"/>
      <c r="BM562" s="1641"/>
      <c r="BN562" s="1640"/>
      <c r="BO562" s="1640"/>
      <c r="BP562" s="1640"/>
      <c r="BQ562" s="1641"/>
      <c r="BR562" s="1640"/>
      <c r="BS562" s="1640"/>
      <c r="BT562" s="1640"/>
      <c r="BU562" s="1641"/>
      <c r="BV562" s="1640"/>
      <c r="BW562" s="1640"/>
      <c r="BX562" s="1640"/>
      <c r="BY562" s="1641"/>
      <c r="BZ562" s="1640"/>
      <c r="CA562" s="1640"/>
      <c r="CB562" s="1640"/>
      <c r="CC562" s="1641"/>
      <c r="CD562" s="1640"/>
      <c r="CE562" s="1640"/>
      <c r="CF562" s="1640"/>
      <c r="CG562" s="1642"/>
      <c r="CH562" s="1641">
        <f t="shared" si="390"/>
        <v>0</v>
      </c>
      <c r="CI562" s="1641">
        <f t="shared" si="390"/>
        <v>0</v>
      </c>
      <c r="CJ562" s="1641">
        <f t="shared" si="390"/>
        <v>0</v>
      </c>
      <c r="CK562" s="1641">
        <f t="shared" si="390"/>
        <v>0</v>
      </c>
      <c r="CL562" s="1889">
        <v>0</v>
      </c>
      <c r="CM562" s="1889">
        <v>0</v>
      </c>
      <c r="CN562" s="1889">
        <v>0</v>
      </c>
      <c r="CO562" s="1889">
        <v>0</v>
      </c>
      <c r="CP562" s="1641"/>
      <c r="CQ562" s="1640"/>
      <c r="CR562" s="1640"/>
      <c r="CS562" s="1640"/>
    </row>
    <row r="563" spans="1:107" ht="15" thickBot="1" x14ac:dyDescent="0.2">
      <c r="A563" s="1541" t="s">
        <v>96</v>
      </c>
      <c r="B563" s="1523" t="s">
        <v>79</v>
      </c>
      <c r="C563" s="1523" t="s">
        <v>80</v>
      </c>
      <c r="D563" s="1523" t="s">
        <v>125</v>
      </c>
      <c r="E563" s="1523" t="s">
        <v>216</v>
      </c>
      <c r="F563" s="1523"/>
      <c r="G563" s="1667">
        <v>310</v>
      </c>
      <c r="H563" s="1501">
        <v>100</v>
      </c>
      <c r="I563" s="1501">
        <f>875+1000+590.6-U563-3.303</f>
        <v>1462.2969999999998</v>
      </c>
      <c r="J563" s="1630"/>
      <c r="K563" s="1630"/>
      <c r="L563" s="1631"/>
      <c r="M563" s="1631"/>
      <c r="N563" s="1631"/>
      <c r="O563" s="1631"/>
      <c r="P563" s="1631"/>
      <c r="Q563" s="1631"/>
      <c r="R563" s="1631"/>
      <c r="S563" s="1631"/>
      <c r="T563" s="1632"/>
      <c r="U563" s="1633">
        <v>1000</v>
      </c>
      <c r="V563" s="1633"/>
      <c r="W563" s="1634"/>
      <c r="X563" s="1634"/>
      <c r="Y563" s="1634"/>
      <c r="Z563" s="1635"/>
      <c r="AA563" s="1634">
        <f t="shared" si="389"/>
        <v>0</v>
      </c>
      <c r="AB563" s="1634"/>
      <c r="AC563" s="1508">
        <f t="shared" si="393"/>
        <v>100</v>
      </c>
      <c r="AD563" s="1509">
        <f t="shared" si="394"/>
        <v>1462.297</v>
      </c>
      <c r="AE563" s="1509">
        <f t="shared" si="395"/>
        <v>1462.297</v>
      </c>
      <c r="AF563" s="1509">
        <f t="shared" si="395"/>
        <v>0</v>
      </c>
      <c r="AG563" s="1509">
        <f t="shared" si="395"/>
        <v>0</v>
      </c>
      <c r="AH563" s="1490">
        <f t="shared" si="380"/>
        <v>0</v>
      </c>
      <c r="AI563" s="1636">
        <f t="shared" si="396"/>
        <v>0</v>
      </c>
      <c r="AJ563" s="1636">
        <f t="shared" si="397"/>
        <v>0</v>
      </c>
      <c r="AK563" s="1636">
        <f t="shared" si="398"/>
        <v>0</v>
      </c>
      <c r="AL563" s="1636">
        <f t="shared" si="381"/>
        <v>0</v>
      </c>
      <c r="AM563" s="1636">
        <f t="shared" si="381"/>
        <v>0</v>
      </c>
      <c r="AN563" s="1637"/>
      <c r="AO563" s="1723"/>
      <c r="AP563" s="1638"/>
      <c r="AQ563" s="1638"/>
      <c r="AR563" s="1638"/>
      <c r="AS563" s="1639"/>
      <c r="AT563" s="1638"/>
      <c r="AU563" s="1638"/>
      <c r="AV563" s="1638"/>
      <c r="AW563" s="1639"/>
      <c r="AX563" s="1640"/>
      <c r="AY563" s="1640"/>
      <c r="AZ563" s="1640"/>
      <c r="BA563" s="1641"/>
      <c r="BB563" s="1640"/>
      <c r="BC563" s="1640"/>
      <c r="BD563" s="1640"/>
      <c r="BE563" s="1644"/>
      <c r="BF563" s="1640"/>
      <c r="BG563" s="1640"/>
      <c r="BH563" s="1640"/>
      <c r="BI563" s="1641">
        <v>100</v>
      </c>
      <c r="BJ563" s="1640"/>
      <c r="BK563" s="1640"/>
      <c r="BL563" s="1640"/>
      <c r="BM563" s="1641"/>
      <c r="BN563" s="1640"/>
      <c r="BO563" s="1640"/>
      <c r="BP563" s="1640"/>
      <c r="BQ563" s="1641"/>
      <c r="BR563" s="1640"/>
      <c r="BS563" s="1640"/>
      <c r="BT563" s="1640"/>
      <c r="BU563" s="1641"/>
      <c r="BV563" s="1640"/>
      <c r="BW563" s="1640"/>
      <c r="BX563" s="1640"/>
      <c r="BY563" s="1641"/>
      <c r="BZ563" s="1640"/>
      <c r="CA563" s="1640"/>
      <c r="CB563" s="1640"/>
      <c r="CC563" s="1641"/>
      <c r="CD563" s="1640">
        <f>875+58.078</f>
        <v>933.07799999999997</v>
      </c>
      <c r="CE563" s="1640"/>
      <c r="CF563" s="1640"/>
      <c r="CG563" s="1642"/>
      <c r="CH563" s="1641">
        <f t="shared" si="390"/>
        <v>0</v>
      </c>
      <c r="CI563" s="1641">
        <f t="shared" si="390"/>
        <v>529.21900000000005</v>
      </c>
      <c r="CJ563" s="1641">
        <f t="shared" si="390"/>
        <v>0</v>
      </c>
      <c r="CK563" s="1641">
        <f t="shared" si="390"/>
        <v>0</v>
      </c>
      <c r="CL563" s="1889">
        <v>0</v>
      </c>
      <c r="CM563" s="1889">
        <v>529.21900000000005</v>
      </c>
      <c r="CN563" s="1889">
        <v>0</v>
      </c>
      <c r="CO563" s="1889">
        <v>0</v>
      </c>
      <c r="CP563" s="1641"/>
      <c r="CQ563" s="1640"/>
      <c r="CR563" s="1640"/>
      <c r="CS563" s="1640"/>
    </row>
    <row r="564" spans="1:107" s="1952" customFormat="1" ht="15" thickBot="1" x14ac:dyDescent="0.2">
      <c r="A564" s="1541" t="s">
        <v>97</v>
      </c>
      <c r="B564" s="1523" t="s">
        <v>79</v>
      </c>
      <c r="C564" s="1523" t="s">
        <v>80</v>
      </c>
      <c r="D564" s="1523" t="s">
        <v>125</v>
      </c>
      <c r="E564" s="1523" t="s">
        <v>216</v>
      </c>
      <c r="F564" s="1523"/>
      <c r="G564" s="1667">
        <v>340</v>
      </c>
      <c r="H564" s="1501">
        <v>200</v>
      </c>
      <c r="I564" s="1501"/>
      <c r="J564" s="1630"/>
      <c r="K564" s="1630"/>
      <c r="L564" s="1631"/>
      <c r="M564" s="1631"/>
      <c r="N564" s="1631"/>
      <c r="O564" s="1631"/>
      <c r="P564" s="1631"/>
      <c r="Q564" s="1631"/>
      <c r="R564" s="1631"/>
      <c r="S564" s="1631"/>
      <c r="T564" s="1632"/>
      <c r="U564" s="1633"/>
      <c r="V564" s="1633"/>
      <c r="W564" s="1634"/>
      <c r="X564" s="1634"/>
      <c r="Y564" s="1634"/>
      <c r="Z564" s="1635"/>
      <c r="AA564" s="1634">
        <f t="shared" si="389"/>
        <v>0</v>
      </c>
      <c r="AB564" s="1634"/>
      <c r="AC564" s="1944">
        <f t="shared" si="393"/>
        <v>200</v>
      </c>
      <c r="AD564" s="1945">
        <f t="shared" si="394"/>
        <v>0</v>
      </c>
      <c r="AE564" s="1945">
        <f t="shared" si="395"/>
        <v>0</v>
      </c>
      <c r="AF564" s="1945">
        <f t="shared" si="395"/>
        <v>0</v>
      </c>
      <c r="AG564" s="1945">
        <f t="shared" si="395"/>
        <v>0</v>
      </c>
      <c r="AH564" s="1490">
        <f t="shared" si="380"/>
        <v>87.5</v>
      </c>
      <c r="AI564" s="1944">
        <f t="shared" si="396"/>
        <v>0</v>
      </c>
      <c r="AJ564" s="1944">
        <f t="shared" si="397"/>
        <v>0</v>
      </c>
      <c r="AK564" s="1944">
        <f t="shared" si="398"/>
        <v>0</v>
      </c>
      <c r="AL564" s="1636">
        <f t="shared" si="381"/>
        <v>0</v>
      </c>
      <c r="AM564" s="1944">
        <f t="shared" si="381"/>
        <v>0</v>
      </c>
      <c r="AN564" s="1637"/>
      <c r="AO564" s="1946">
        <v>12.5</v>
      </c>
      <c r="AP564" s="1947"/>
      <c r="AQ564" s="1947"/>
      <c r="AR564" s="1947"/>
      <c r="AS564" s="1639"/>
      <c r="AT564" s="1947"/>
      <c r="AU564" s="1947"/>
      <c r="AV564" s="1947"/>
      <c r="AW564" s="1948"/>
      <c r="AX564" s="1948"/>
      <c r="AY564" s="1948"/>
      <c r="AZ564" s="1948"/>
      <c r="BA564" s="1641"/>
      <c r="BB564" s="1948"/>
      <c r="BC564" s="1948"/>
      <c r="BD564" s="1948"/>
      <c r="BE564" s="1644"/>
      <c r="BF564" s="1948"/>
      <c r="BG564" s="1948"/>
      <c r="BH564" s="1948"/>
      <c r="BI564" s="1641"/>
      <c r="BJ564" s="1948"/>
      <c r="BK564" s="1948"/>
      <c r="BL564" s="1948"/>
      <c r="BM564" s="1641">
        <v>100</v>
      </c>
      <c r="BN564" s="1948"/>
      <c r="BO564" s="1948"/>
      <c r="BP564" s="1948"/>
      <c r="BQ564" s="1641"/>
      <c r="BR564" s="1948"/>
      <c r="BS564" s="1948"/>
      <c r="BT564" s="1948"/>
      <c r="BU564" s="1641"/>
      <c r="BV564" s="1948"/>
      <c r="BW564" s="1948"/>
      <c r="BX564" s="1948"/>
      <c r="BY564" s="1641"/>
      <c r="BZ564" s="1948"/>
      <c r="CA564" s="1948"/>
      <c r="CB564" s="1948"/>
      <c r="CC564" s="1641"/>
      <c r="CD564" s="1948"/>
      <c r="CE564" s="1948"/>
      <c r="CF564" s="1948"/>
      <c r="CG564" s="1949"/>
      <c r="CH564" s="1641">
        <f t="shared" si="390"/>
        <v>87.5</v>
      </c>
      <c r="CI564" s="1641">
        <f t="shared" si="390"/>
        <v>0</v>
      </c>
      <c r="CJ564" s="1641">
        <f t="shared" si="390"/>
        <v>0</v>
      </c>
      <c r="CK564" s="1641">
        <f t="shared" si="390"/>
        <v>0</v>
      </c>
      <c r="CL564" s="1950">
        <v>87.5</v>
      </c>
      <c r="CM564" s="1950">
        <v>0</v>
      </c>
      <c r="CN564" s="1889">
        <v>0</v>
      </c>
      <c r="CO564" s="1950">
        <v>0</v>
      </c>
      <c r="CP564" s="1641"/>
      <c r="CQ564" s="1948"/>
      <c r="CR564" s="1948"/>
      <c r="CS564" s="1948"/>
      <c r="CT564" s="1951"/>
      <c r="CU564" s="1951"/>
      <c r="CV564" s="1951"/>
      <c r="CW564" s="1951"/>
      <c r="CY564" s="1951"/>
    </row>
    <row r="565" spans="1:107" ht="15" thickBot="1" x14ac:dyDescent="0.2">
      <c r="A565" s="1528" t="s">
        <v>767</v>
      </c>
      <c r="B565" s="1530" t="s">
        <v>79</v>
      </c>
      <c r="C565" s="1530" t="s">
        <v>80</v>
      </c>
      <c r="D565" s="1530" t="s">
        <v>125</v>
      </c>
      <c r="E565" s="1530" t="s">
        <v>216</v>
      </c>
      <c r="F565" s="1530">
        <v>612</v>
      </c>
      <c r="G565" s="1687" t="s">
        <v>766</v>
      </c>
      <c r="H565" s="1647">
        <f>I551</f>
        <v>1562.2969999999998</v>
      </c>
      <c r="I565" s="1645"/>
      <c r="J565" s="1630"/>
      <c r="K565" s="1630"/>
      <c r="L565" s="1631"/>
      <c r="M565" s="1631"/>
      <c r="N565" s="1631"/>
      <c r="O565" s="1631"/>
      <c r="P565" s="1631"/>
      <c r="Q565" s="1631"/>
      <c r="R565" s="1631"/>
      <c r="S565" s="1631"/>
      <c r="T565" s="1632"/>
      <c r="U565" s="1633"/>
      <c r="V565" s="1633"/>
      <c r="W565" s="1634"/>
      <c r="X565" s="1634"/>
      <c r="Y565" s="1634"/>
      <c r="Z565" s="1635"/>
      <c r="AA565" s="1634">
        <f t="shared" si="389"/>
        <v>0</v>
      </c>
      <c r="AB565" s="1634"/>
      <c r="AC565" s="1508"/>
      <c r="AD565" s="1509"/>
      <c r="AE565" s="1509"/>
      <c r="AF565" s="1509"/>
      <c r="AG565" s="1509"/>
      <c r="AH565" s="1490">
        <f t="shared" si="380"/>
        <v>0</v>
      </c>
      <c r="AI565" s="1636"/>
      <c r="AJ565" s="1636"/>
      <c r="AK565" s="1636"/>
      <c r="AL565" s="1636">
        <f t="shared" si="381"/>
        <v>0</v>
      </c>
      <c r="AM565" s="1636"/>
      <c r="AN565" s="1712"/>
      <c r="AO565" s="1713"/>
      <c r="AP565" s="1638"/>
      <c r="AQ565" s="1638"/>
      <c r="AR565" s="1638"/>
      <c r="AS565" s="1639"/>
      <c r="AT565" s="1638"/>
      <c r="AU565" s="1638"/>
      <c r="AV565" s="1638"/>
      <c r="AW565" s="1639"/>
      <c r="AX565" s="1640"/>
      <c r="AY565" s="1640"/>
      <c r="AZ565" s="1640"/>
      <c r="BA565" s="1641"/>
      <c r="BB565" s="1640"/>
      <c r="BC565" s="1640"/>
      <c r="BD565" s="1640"/>
      <c r="BE565" s="1644"/>
      <c r="BF565" s="1640"/>
      <c r="BG565" s="1640"/>
      <c r="BH565" s="1640"/>
      <c r="BI565" s="1641"/>
      <c r="BJ565" s="1640"/>
      <c r="BK565" s="1640"/>
      <c r="BL565" s="1640"/>
      <c r="BM565" s="1641"/>
      <c r="BN565" s="1640"/>
      <c r="BO565" s="1640"/>
      <c r="BP565" s="1640"/>
      <c r="BQ565" s="1641"/>
      <c r="BR565" s="1640"/>
      <c r="BS565" s="1640"/>
      <c r="BT565" s="1640"/>
      <c r="BU565" s="1641"/>
      <c r="BV565" s="1640"/>
      <c r="BW565" s="1640"/>
      <c r="BX565" s="1640"/>
      <c r="BY565" s="1641"/>
      <c r="BZ565" s="1640"/>
      <c r="CA565" s="1640"/>
      <c r="CB565" s="1640"/>
      <c r="CC565" s="1641"/>
      <c r="CD565" s="1640"/>
      <c r="CE565" s="1640"/>
      <c r="CF565" s="1640"/>
      <c r="CG565" s="1642"/>
      <c r="CH565" s="1641">
        <f t="shared" si="390"/>
        <v>0</v>
      </c>
      <c r="CI565" s="1641">
        <f t="shared" si="390"/>
        <v>0</v>
      </c>
      <c r="CJ565" s="1641">
        <f t="shared" si="390"/>
        <v>0</v>
      </c>
      <c r="CK565" s="1641">
        <f t="shared" si="390"/>
        <v>0</v>
      </c>
      <c r="CL565" s="1898"/>
      <c r="CM565" s="1898"/>
      <c r="CN565" s="1889">
        <v>0</v>
      </c>
      <c r="CO565" s="1898"/>
      <c r="CP565" s="1641"/>
      <c r="CQ565" s="1640"/>
      <c r="CR565" s="1640"/>
      <c r="CS565" s="1640"/>
    </row>
    <row r="566" spans="1:107" s="1886" customFormat="1" ht="40" thickBot="1" x14ac:dyDescent="0.2">
      <c r="A566" s="1873" t="s">
        <v>1278</v>
      </c>
      <c r="B566" s="1941" t="s">
        <v>79</v>
      </c>
      <c r="C566" s="1941" t="s">
        <v>80</v>
      </c>
      <c r="D566" s="1941" t="s">
        <v>125</v>
      </c>
      <c r="E566" s="1941" t="s">
        <v>216</v>
      </c>
      <c r="F566" s="1941">
        <v>600</v>
      </c>
      <c r="G566" s="1874"/>
      <c r="H566" s="1606">
        <f>H567+H581</f>
        <v>42806.072999999997</v>
      </c>
      <c r="I566" s="1606">
        <f t="shared" ref="I566:CF566" si="399">I567+I581</f>
        <v>1233.2190000000001</v>
      </c>
      <c r="J566" s="1606">
        <f>J567+J581</f>
        <v>717.81</v>
      </c>
      <c r="K566" s="1606">
        <f t="shared" si="399"/>
        <v>189.91900000000001</v>
      </c>
      <c r="L566" s="1607"/>
      <c r="M566" s="1607"/>
      <c r="N566" s="1607"/>
      <c r="O566" s="1607"/>
      <c r="P566" s="1607"/>
      <c r="Q566" s="1607"/>
      <c r="R566" s="1607"/>
      <c r="S566" s="1607"/>
      <c r="T566" s="1608"/>
      <c r="U566" s="1609"/>
      <c r="V566" s="1609"/>
      <c r="W566" s="1610"/>
      <c r="X566" s="1610"/>
      <c r="Y566" s="1610"/>
      <c r="Z566" s="1611"/>
      <c r="AA566" s="1634">
        <f t="shared" si="389"/>
        <v>0</v>
      </c>
      <c r="AB566" s="1610"/>
      <c r="AC566" s="1612">
        <f t="shared" si="399"/>
        <v>41572.853999999999</v>
      </c>
      <c r="AD566" s="1612">
        <f t="shared" si="399"/>
        <v>2140.9479999999999</v>
      </c>
      <c r="AE566" s="1612">
        <f t="shared" si="399"/>
        <v>1233.2190000000001</v>
      </c>
      <c r="AF566" s="1612">
        <f t="shared" si="399"/>
        <v>717.81</v>
      </c>
      <c r="AG566" s="1612">
        <f t="shared" si="399"/>
        <v>189.91900000000001</v>
      </c>
      <c r="AH566" s="1490">
        <f t="shared" si="380"/>
        <v>1987.365</v>
      </c>
      <c r="AI566" s="1613">
        <f t="shared" si="399"/>
        <v>0</v>
      </c>
      <c r="AJ566" s="1613">
        <f t="shared" si="399"/>
        <v>0</v>
      </c>
      <c r="AK566" s="1613">
        <f t="shared" si="399"/>
        <v>0</v>
      </c>
      <c r="AL566" s="1636">
        <f t="shared" ref="AL566:AM597" si="400">J566-AF566</f>
        <v>0</v>
      </c>
      <c r="AM566" s="1613">
        <f t="shared" si="399"/>
        <v>0</v>
      </c>
      <c r="AN566" s="1614"/>
      <c r="AO566" s="1606">
        <f t="shared" si="399"/>
        <v>2760</v>
      </c>
      <c r="AP566" s="1606">
        <f t="shared" si="399"/>
        <v>0</v>
      </c>
      <c r="AQ566" s="1606">
        <f t="shared" si="399"/>
        <v>0</v>
      </c>
      <c r="AR566" s="1606">
        <f t="shared" si="399"/>
        <v>0</v>
      </c>
      <c r="AS566" s="1611">
        <f t="shared" si="399"/>
        <v>2512.2999999999997</v>
      </c>
      <c r="AT566" s="1606">
        <f t="shared" si="399"/>
        <v>0</v>
      </c>
      <c r="AU566" s="1606">
        <f t="shared" si="399"/>
        <v>0</v>
      </c>
      <c r="AV566" s="1606">
        <f t="shared" si="399"/>
        <v>0</v>
      </c>
      <c r="AW566" s="1611">
        <f t="shared" si="399"/>
        <v>2390.1</v>
      </c>
      <c r="AX566" s="1606">
        <f t="shared" si="399"/>
        <v>0</v>
      </c>
      <c r="AY566" s="1606">
        <f t="shared" si="399"/>
        <v>0</v>
      </c>
      <c r="AZ566" s="1606">
        <f t="shared" si="399"/>
        <v>0</v>
      </c>
      <c r="BA566" s="1614">
        <f t="shared" si="399"/>
        <v>4390.1000000000004</v>
      </c>
      <c r="BB566" s="1606">
        <f t="shared" si="399"/>
        <v>0</v>
      </c>
      <c r="BC566" s="1606">
        <f t="shared" si="399"/>
        <v>0</v>
      </c>
      <c r="BD566" s="1606">
        <f t="shared" si="399"/>
        <v>0</v>
      </c>
      <c r="BE566" s="1615">
        <f t="shared" si="399"/>
        <v>3233</v>
      </c>
      <c r="BF566" s="1606">
        <f t="shared" si="399"/>
        <v>0</v>
      </c>
      <c r="BG566" s="1606">
        <f t="shared" si="399"/>
        <v>0</v>
      </c>
      <c r="BH566" s="1606">
        <f t="shared" si="399"/>
        <v>0</v>
      </c>
      <c r="BI566" s="1614">
        <f t="shared" si="399"/>
        <v>6821.7079999999996</v>
      </c>
      <c r="BJ566" s="1606">
        <f t="shared" si="399"/>
        <v>0</v>
      </c>
      <c r="BK566" s="1606">
        <f t="shared" si="399"/>
        <v>0</v>
      </c>
      <c r="BL566" s="1606">
        <f t="shared" si="399"/>
        <v>0</v>
      </c>
      <c r="BM566" s="1614">
        <f t="shared" si="399"/>
        <v>6681.5919999999996</v>
      </c>
      <c r="BN566" s="1606">
        <f t="shared" si="399"/>
        <v>159.5</v>
      </c>
      <c r="BO566" s="1606">
        <f t="shared" si="399"/>
        <v>0</v>
      </c>
      <c r="BP566" s="1606">
        <f t="shared" si="399"/>
        <v>0</v>
      </c>
      <c r="BQ566" s="1614">
        <f t="shared" si="399"/>
        <v>2668.1459999999997</v>
      </c>
      <c r="BR566" s="1606">
        <f t="shared" si="399"/>
        <v>0</v>
      </c>
      <c r="BS566" s="1606">
        <f t="shared" si="399"/>
        <v>0</v>
      </c>
      <c r="BT566" s="1606">
        <f t="shared" si="399"/>
        <v>0</v>
      </c>
      <c r="BU566" s="1614">
        <f t="shared" si="399"/>
        <v>3338.5</v>
      </c>
      <c r="BV566" s="1606">
        <f t="shared" si="399"/>
        <v>0</v>
      </c>
      <c r="BW566" s="1606">
        <f t="shared" si="399"/>
        <v>0</v>
      </c>
      <c r="BX566" s="1606">
        <f t="shared" si="399"/>
        <v>0</v>
      </c>
      <c r="BY566" s="1614">
        <f t="shared" si="399"/>
        <v>755.15</v>
      </c>
      <c r="BZ566" s="1606">
        <f t="shared" si="399"/>
        <v>544.5</v>
      </c>
      <c r="CA566" s="1606">
        <f t="shared" si="399"/>
        <v>200</v>
      </c>
      <c r="CB566" s="1606">
        <f t="shared" si="399"/>
        <v>0</v>
      </c>
      <c r="CC566" s="1614">
        <f t="shared" si="399"/>
        <v>4034.893</v>
      </c>
      <c r="CD566" s="1606">
        <f t="shared" si="399"/>
        <v>0</v>
      </c>
      <c r="CE566" s="1606">
        <f t="shared" si="399"/>
        <v>0</v>
      </c>
      <c r="CF566" s="1606">
        <f t="shared" si="399"/>
        <v>0</v>
      </c>
      <c r="CG566" s="1616"/>
      <c r="CH566" s="1641">
        <f t="shared" si="390"/>
        <v>1987.365</v>
      </c>
      <c r="CI566" s="1641">
        <f t="shared" si="390"/>
        <v>529.21900000000005</v>
      </c>
      <c r="CJ566" s="1641">
        <f t="shared" si="390"/>
        <v>517.80999999999995</v>
      </c>
      <c r="CK566" s="1641">
        <f t="shared" si="390"/>
        <v>0</v>
      </c>
      <c r="CL566" s="1942">
        <v>1987.365</v>
      </c>
      <c r="CM566" s="1943">
        <v>529.21900000000005</v>
      </c>
      <c r="CN566" s="1889">
        <v>517.80999999999995</v>
      </c>
      <c r="CO566" s="1943">
        <v>0</v>
      </c>
      <c r="CP566" s="1614">
        <f>CP567+CP581</f>
        <v>0</v>
      </c>
      <c r="CQ566" s="1606">
        <f>CQ567+CQ581</f>
        <v>0</v>
      </c>
      <c r="CR566" s="1606">
        <f>CR567+CR581</f>
        <v>0</v>
      </c>
      <c r="CS566" s="1606">
        <f>CS567+CS581</f>
        <v>0</v>
      </c>
      <c r="CT566" s="1885"/>
      <c r="CU566" s="1885"/>
      <c r="CV566" s="1885"/>
      <c r="CW566" s="1885"/>
      <c r="CY566" s="1885"/>
    </row>
    <row r="567" spans="1:107" ht="53" thickBot="1" x14ac:dyDescent="0.2">
      <c r="A567" s="1748" t="s">
        <v>1135</v>
      </c>
      <c r="B567" s="1749" t="s">
        <v>79</v>
      </c>
      <c r="C567" s="1749" t="s">
        <v>80</v>
      </c>
      <c r="D567" s="1749" t="s">
        <v>125</v>
      </c>
      <c r="E567" s="1749" t="s">
        <v>216</v>
      </c>
      <c r="F567" s="1749" t="s">
        <v>765</v>
      </c>
      <c r="G567" s="1600" t="s">
        <v>766</v>
      </c>
      <c r="H567" s="1531">
        <f>H568+H569+H570+H571+H572+H573+H574+H575+H576+H577+H578+H579+H580</f>
        <v>41572.853999999999</v>
      </c>
      <c r="I567" s="1531">
        <f t="shared" ref="I567:CF567" si="401">I568+I569+I570+I571+I572+I573+I574+I575+I576+I577+I578+I579+I580</f>
        <v>1233.2190000000001</v>
      </c>
      <c r="J567" s="1531">
        <f>J568+J569+J570+J571+J572+J573+J574+J575+J576+J577+J578+J579+J580</f>
        <v>717.81</v>
      </c>
      <c r="K567" s="1531">
        <f t="shared" si="401"/>
        <v>189.91900000000001</v>
      </c>
      <c r="L567" s="1601"/>
      <c r="M567" s="1601"/>
      <c r="N567" s="1601"/>
      <c r="O567" s="1601">
        <f t="shared" si="401"/>
        <v>0</v>
      </c>
      <c r="P567" s="1601"/>
      <c r="Q567" s="1601">
        <f t="shared" si="401"/>
        <v>0</v>
      </c>
      <c r="R567" s="1601">
        <f t="shared" si="401"/>
        <v>60</v>
      </c>
      <c r="S567" s="1601">
        <f t="shared" si="401"/>
        <v>3480</v>
      </c>
      <c r="T567" s="1602"/>
      <c r="U567" s="1533"/>
      <c r="V567" s="1533"/>
      <c r="W567" s="1534"/>
      <c r="X567" s="1534"/>
      <c r="Y567" s="1534"/>
      <c r="Z567" s="1535"/>
      <c r="AA567" s="1634">
        <f t="shared" si="389"/>
        <v>0</v>
      </c>
      <c r="AB567" s="1534"/>
      <c r="AC567" s="1603">
        <f t="shared" si="401"/>
        <v>41572.853999999999</v>
      </c>
      <c r="AD567" s="1603">
        <f t="shared" si="401"/>
        <v>2140.9479999999999</v>
      </c>
      <c r="AE567" s="1603">
        <f t="shared" si="401"/>
        <v>1233.2190000000001</v>
      </c>
      <c r="AF567" s="1603">
        <f t="shared" si="401"/>
        <v>717.81</v>
      </c>
      <c r="AG567" s="1603">
        <f t="shared" si="401"/>
        <v>189.91900000000001</v>
      </c>
      <c r="AH567" s="1490">
        <f t="shared" si="380"/>
        <v>1987.365</v>
      </c>
      <c r="AI567" s="1592">
        <f t="shared" si="401"/>
        <v>0</v>
      </c>
      <c r="AJ567" s="1592">
        <f t="shared" si="401"/>
        <v>0</v>
      </c>
      <c r="AK567" s="1592">
        <f t="shared" si="401"/>
        <v>0</v>
      </c>
      <c r="AL567" s="1636">
        <f t="shared" si="400"/>
        <v>0</v>
      </c>
      <c r="AM567" s="1592">
        <f t="shared" si="401"/>
        <v>0</v>
      </c>
      <c r="AN567" s="1706"/>
      <c r="AO567" s="1707">
        <f t="shared" si="401"/>
        <v>2760</v>
      </c>
      <c r="AP567" s="1531">
        <f t="shared" si="401"/>
        <v>0</v>
      </c>
      <c r="AQ567" s="1531">
        <f t="shared" si="401"/>
        <v>0</v>
      </c>
      <c r="AR567" s="1531">
        <f t="shared" si="401"/>
        <v>0</v>
      </c>
      <c r="AS567" s="1535">
        <f t="shared" si="401"/>
        <v>2512.2999999999997</v>
      </c>
      <c r="AT567" s="1531">
        <f t="shared" si="401"/>
        <v>0</v>
      </c>
      <c r="AU567" s="1531">
        <f t="shared" si="401"/>
        <v>0</v>
      </c>
      <c r="AV567" s="1531">
        <f t="shared" si="401"/>
        <v>0</v>
      </c>
      <c r="AW567" s="1535">
        <f t="shared" si="401"/>
        <v>2390.1</v>
      </c>
      <c r="AX567" s="1531">
        <f t="shared" si="401"/>
        <v>0</v>
      </c>
      <c r="AY567" s="1531">
        <f t="shared" si="401"/>
        <v>0</v>
      </c>
      <c r="AZ567" s="1531">
        <f t="shared" si="401"/>
        <v>0</v>
      </c>
      <c r="BA567" s="1538">
        <f t="shared" si="401"/>
        <v>4390.1000000000004</v>
      </c>
      <c r="BB567" s="1531">
        <f t="shared" si="401"/>
        <v>0</v>
      </c>
      <c r="BC567" s="1531">
        <f t="shared" si="401"/>
        <v>0</v>
      </c>
      <c r="BD567" s="1531">
        <f t="shared" si="401"/>
        <v>0</v>
      </c>
      <c r="BE567" s="1539">
        <f t="shared" si="401"/>
        <v>3233</v>
      </c>
      <c r="BF567" s="1531">
        <f t="shared" si="401"/>
        <v>0</v>
      </c>
      <c r="BG567" s="1531">
        <f t="shared" si="401"/>
        <v>0</v>
      </c>
      <c r="BH567" s="1531">
        <f t="shared" si="401"/>
        <v>0</v>
      </c>
      <c r="BI567" s="1538">
        <f t="shared" si="401"/>
        <v>6821.7079999999996</v>
      </c>
      <c r="BJ567" s="1531">
        <f t="shared" si="401"/>
        <v>0</v>
      </c>
      <c r="BK567" s="1531">
        <f t="shared" si="401"/>
        <v>0</v>
      </c>
      <c r="BL567" s="1531">
        <f t="shared" si="401"/>
        <v>0</v>
      </c>
      <c r="BM567" s="1538">
        <f t="shared" si="401"/>
        <v>6681.5919999999996</v>
      </c>
      <c r="BN567" s="1531">
        <f t="shared" si="401"/>
        <v>159.5</v>
      </c>
      <c r="BO567" s="1531">
        <f t="shared" si="401"/>
        <v>0</v>
      </c>
      <c r="BP567" s="1531">
        <f t="shared" si="401"/>
        <v>0</v>
      </c>
      <c r="BQ567" s="1538">
        <f t="shared" si="401"/>
        <v>2668.1459999999997</v>
      </c>
      <c r="BR567" s="1531">
        <f t="shared" si="401"/>
        <v>0</v>
      </c>
      <c r="BS567" s="1531">
        <f t="shared" si="401"/>
        <v>0</v>
      </c>
      <c r="BT567" s="1531">
        <f t="shared" si="401"/>
        <v>0</v>
      </c>
      <c r="BU567" s="1538">
        <f t="shared" si="401"/>
        <v>3338.5</v>
      </c>
      <c r="BV567" s="1531">
        <f t="shared" si="401"/>
        <v>0</v>
      </c>
      <c r="BW567" s="1531">
        <f t="shared" si="401"/>
        <v>0</v>
      </c>
      <c r="BX567" s="1531">
        <f t="shared" si="401"/>
        <v>0</v>
      </c>
      <c r="BY567" s="1538">
        <f t="shared" si="401"/>
        <v>755.15</v>
      </c>
      <c r="BZ567" s="1531">
        <f t="shared" si="401"/>
        <v>544.5</v>
      </c>
      <c r="CA567" s="1531">
        <f t="shared" si="401"/>
        <v>200</v>
      </c>
      <c r="CB567" s="1531">
        <f t="shared" si="401"/>
        <v>0</v>
      </c>
      <c r="CC567" s="1538">
        <f t="shared" si="401"/>
        <v>4034.893</v>
      </c>
      <c r="CD567" s="1531">
        <f t="shared" si="401"/>
        <v>0</v>
      </c>
      <c r="CE567" s="1531">
        <f t="shared" si="401"/>
        <v>0</v>
      </c>
      <c r="CF567" s="1531">
        <f t="shared" si="401"/>
        <v>0</v>
      </c>
      <c r="CG567" s="1705"/>
      <c r="CH567" s="1641">
        <f t="shared" si="390"/>
        <v>1987.365</v>
      </c>
      <c r="CI567" s="1641">
        <f t="shared" si="390"/>
        <v>529.21900000000005</v>
      </c>
      <c r="CJ567" s="1641">
        <f t="shared" si="390"/>
        <v>517.80999999999995</v>
      </c>
      <c r="CK567" s="1641">
        <f t="shared" si="390"/>
        <v>0</v>
      </c>
      <c r="CL567" s="1901">
        <v>1987.365</v>
      </c>
      <c r="CM567" s="1902">
        <v>529.21900000000005</v>
      </c>
      <c r="CN567" s="1889">
        <v>517.80999999999995</v>
      </c>
      <c r="CO567" s="1902">
        <v>0</v>
      </c>
      <c r="CP567" s="1538">
        <f>CP568+CP569+CP570+CP571+CP572+CP573+CP574+CP575+CP576+CP577+CP578+CP579+CP580</f>
        <v>0</v>
      </c>
      <c r="CQ567" s="1531">
        <f>CQ568+CQ569+CQ570+CQ571+CQ572+CQ573+CQ574+CQ575+CQ576+CQ577+CQ578+CQ579+CQ580</f>
        <v>0</v>
      </c>
      <c r="CR567" s="1531">
        <f>CR568+CR569+CR570+CR571+CR572+CR573+CR574+CR575+CR576+CR577+CR578+CR579+CR580</f>
        <v>0</v>
      </c>
      <c r="CS567" s="1531">
        <f>CS568+CS569+CS570+CS571+CS572+CS573+CS574+CS575+CS576+CS577+CS578+CS579+CS580</f>
        <v>0</v>
      </c>
    </row>
    <row r="568" spans="1:107" ht="15" thickBot="1" x14ac:dyDescent="0.2">
      <c r="A568" s="1541" t="s">
        <v>78</v>
      </c>
      <c r="B568" s="1523" t="s">
        <v>79</v>
      </c>
      <c r="C568" s="1523" t="s">
        <v>80</v>
      </c>
      <c r="D568" s="1523" t="s">
        <v>125</v>
      </c>
      <c r="E568" s="1523" t="s">
        <v>216</v>
      </c>
      <c r="F568" s="1523"/>
      <c r="G568" s="1667">
        <v>211</v>
      </c>
      <c r="H568" s="1501">
        <f>22028.3-105+55+178.6</f>
        <v>22156.899999999998</v>
      </c>
      <c r="I568" s="1501"/>
      <c r="J568" s="1630"/>
      <c r="K568" s="1630"/>
      <c r="L568" s="1631"/>
      <c r="M568" s="1631"/>
      <c r="N568" s="1631"/>
      <c r="O568" s="1631"/>
      <c r="P568" s="1631"/>
      <c r="Q568" s="1631"/>
      <c r="R568" s="1631"/>
      <c r="S568" s="1631"/>
      <c r="T568" s="1632"/>
      <c r="U568" s="1633"/>
      <c r="V568" s="1633"/>
      <c r="W568" s="1634">
        <f>H568/12</f>
        <v>1846.4083333333331</v>
      </c>
      <c r="X568" s="1634">
        <f>AO568</f>
        <v>1835.7</v>
      </c>
      <c r="Y568" s="1634">
        <f>CC568</f>
        <v>3032.4</v>
      </c>
      <c r="Z568" s="1635">
        <v>1982</v>
      </c>
      <c r="AA568" s="1634">
        <f t="shared" si="389"/>
        <v>-1982</v>
      </c>
      <c r="AB568" s="1511">
        <f>AI568</f>
        <v>0</v>
      </c>
      <c r="AC568" s="1508">
        <f t="shared" ref="AC568:AC580" si="402">AO568+AS568+AW568+BA568+BE568+BI568+BM568+BQ568+BU568+BY568+CC568+CH568</f>
        <v>22156.9</v>
      </c>
      <c r="AD568" s="1509">
        <f t="shared" ref="AD568:AD580" si="403">AE568+AF568+AG568</f>
        <v>0</v>
      </c>
      <c r="AE568" s="1509">
        <f t="shared" ref="AE568:AG580" si="404">AP568+AT568+AX568+BB568+BF568+BJ568+BN568+BR568+BV568+BZ568+CD568+CI568</f>
        <v>0</v>
      </c>
      <c r="AF568" s="1509">
        <f t="shared" si="404"/>
        <v>0</v>
      </c>
      <c r="AG568" s="1509">
        <f t="shared" si="404"/>
        <v>0</v>
      </c>
      <c r="AH568" s="1490">
        <f t="shared" si="380"/>
        <v>647.54999999999995</v>
      </c>
      <c r="AI568" s="1636">
        <f t="shared" ref="AI568:AI580" si="405">H568-AC568</f>
        <v>0</v>
      </c>
      <c r="AJ568" s="1636">
        <f t="shared" ref="AJ568:AJ580" si="406">AK568+AL568+AM568</f>
        <v>0</v>
      </c>
      <c r="AK568" s="1636">
        <f t="shared" ref="AK568:AK580" si="407">I568-AE568</f>
        <v>0</v>
      </c>
      <c r="AL568" s="1636">
        <f t="shared" si="400"/>
        <v>0</v>
      </c>
      <c r="AM568" s="1636">
        <f t="shared" si="400"/>
        <v>0</v>
      </c>
      <c r="AN568" s="1637">
        <f>AI568/4</f>
        <v>0</v>
      </c>
      <c r="AO568" s="1722">
        <v>1835.7</v>
      </c>
      <c r="AP568" s="1638"/>
      <c r="AQ568" s="1638"/>
      <c r="AR568" s="1638"/>
      <c r="AS568" s="1639">
        <v>1835.7</v>
      </c>
      <c r="AT568" s="1638"/>
      <c r="AU568" s="1638"/>
      <c r="AV568" s="1638"/>
      <c r="AW568" s="1640">
        <v>1835.7</v>
      </c>
      <c r="AX568" s="1640"/>
      <c r="AY568" s="1640"/>
      <c r="AZ568" s="1640"/>
      <c r="BA568" s="1641">
        <v>1835.7</v>
      </c>
      <c r="BB568" s="1640"/>
      <c r="BC568" s="1640"/>
      <c r="BD568" s="1640"/>
      <c r="BE568" s="1641">
        <v>1835.7</v>
      </c>
      <c r="BF568" s="1640"/>
      <c r="BG568" s="1640"/>
      <c r="BH568" s="1640"/>
      <c r="BI568" s="1641">
        <f>588.708</f>
        <v>588.70799999999997</v>
      </c>
      <c r="BJ568" s="1640"/>
      <c r="BK568" s="1640"/>
      <c r="BL568" s="1640"/>
      <c r="BM568" s="1641">
        <f>1246.992+3671.4</f>
        <v>4918.3919999999998</v>
      </c>
      <c r="BN568" s="1640"/>
      <c r="BO568" s="1640"/>
      <c r="BP568" s="1640"/>
      <c r="BQ568" s="1641">
        <v>1835.7</v>
      </c>
      <c r="BR568" s="1640"/>
      <c r="BS568" s="1640"/>
      <c r="BT568" s="1640"/>
      <c r="BU568" s="1641">
        <v>1350.5</v>
      </c>
      <c r="BV568" s="1640"/>
      <c r="BW568" s="1640"/>
      <c r="BX568" s="1640"/>
      <c r="BY568" s="1641">
        <f>405.15+200</f>
        <v>605.15</v>
      </c>
      <c r="BZ568" s="1640"/>
      <c r="CA568" s="1640"/>
      <c r="CB568" s="1640"/>
      <c r="CC568" s="1641">
        <f>1050.4+1982</f>
        <v>3032.4</v>
      </c>
      <c r="CD568" s="1640"/>
      <c r="CE568" s="1640"/>
      <c r="CF568" s="1640"/>
      <c r="CG568" s="1642"/>
      <c r="CH568" s="1641">
        <f t="shared" si="390"/>
        <v>647.54999999999995</v>
      </c>
      <c r="CI568" s="1641">
        <f t="shared" si="390"/>
        <v>0</v>
      </c>
      <c r="CJ568" s="1641">
        <f t="shared" si="390"/>
        <v>0</v>
      </c>
      <c r="CK568" s="1641">
        <f t="shared" si="390"/>
        <v>0</v>
      </c>
      <c r="CL568" s="1889">
        <v>647.54999999999995</v>
      </c>
      <c r="CM568" s="1889">
        <v>0</v>
      </c>
      <c r="CN568" s="1889">
        <v>0</v>
      </c>
      <c r="CO568" s="1889">
        <v>0</v>
      </c>
      <c r="CP568" s="1641"/>
      <c r="CQ568" s="1640"/>
      <c r="CR568" s="1640"/>
      <c r="CS568" s="1640"/>
      <c r="CX568" s="1558">
        <f>H568/12*10-AC568</f>
        <v>-3692.8166666666693</v>
      </c>
      <c r="CY568" s="1558">
        <f>AI568/3</f>
        <v>0</v>
      </c>
      <c r="CZ568" s="1558">
        <f>H568/12</f>
        <v>1846.4083333333331</v>
      </c>
      <c r="DA568" s="1559"/>
      <c r="DB568" s="1559"/>
      <c r="DC568" s="1559"/>
    </row>
    <row r="569" spans="1:107" ht="15" thickBot="1" x14ac:dyDescent="0.2">
      <c r="A569" s="1541" t="s">
        <v>103</v>
      </c>
      <c r="B569" s="1523" t="s">
        <v>79</v>
      </c>
      <c r="C569" s="1523" t="s">
        <v>80</v>
      </c>
      <c r="D569" s="1523" t="s">
        <v>125</v>
      </c>
      <c r="E569" s="1523" t="s">
        <v>216</v>
      </c>
      <c r="F569" s="1523"/>
      <c r="G569" s="1667">
        <v>212</v>
      </c>
      <c r="H569" s="1501"/>
      <c r="I569" s="1501"/>
      <c r="J569" s="1630"/>
      <c r="K569" s="1630"/>
      <c r="L569" s="1631"/>
      <c r="M569" s="1631"/>
      <c r="N569" s="1631"/>
      <c r="O569" s="1631"/>
      <c r="P569" s="1631"/>
      <c r="Q569" s="1631"/>
      <c r="R569" s="1631"/>
      <c r="S569" s="1631"/>
      <c r="T569" s="1632"/>
      <c r="U569" s="1633"/>
      <c r="V569" s="1633"/>
      <c r="W569" s="1634"/>
      <c r="X569" s="1634"/>
      <c r="Y569" s="1634">
        <f>CC569</f>
        <v>0</v>
      </c>
      <c r="Z569" s="1635">
        <f>AI569-X569</f>
        <v>0</v>
      </c>
      <c r="AA569" s="1634">
        <f t="shared" si="389"/>
        <v>0</v>
      </c>
      <c r="AB569" s="1511"/>
      <c r="AC569" s="1508">
        <f t="shared" si="402"/>
        <v>0</v>
      </c>
      <c r="AD569" s="1509">
        <f t="shared" si="403"/>
        <v>0</v>
      </c>
      <c r="AE569" s="1509">
        <f t="shared" si="404"/>
        <v>0</v>
      </c>
      <c r="AF569" s="1509">
        <f t="shared" si="404"/>
        <v>0</v>
      </c>
      <c r="AG569" s="1509">
        <f t="shared" si="404"/>
        <v>0</v>
      </c>
      <c r="AH569" s="1490">
        <f t="shared" si="380"/>
        <v>0</v>
      </c>
      <c r="AI569" s="1636">
        <f t="shared" si="405"/>
        <v>0</v>
      </c>
      <c r="AJ569" s="1636">
        <f t="shared" si="406"/>
        <v>0</v>
      </c>
      <c r="AK569" s="1636">
        <f t="shared" si="407"/>
        <v>0</v>
      </c>
      <c r="AL569" s="1636">
        <f t="shared" si="400"/>
        <v>0</v>
      </c>
      <c r="AM569" s="1636">
        <f t="shared" si="400"/>
        <v>0</v>
      </c>
      <c r="AN569" s="1637"/>
      <c r="AO569" s="1722">
        <v>0</v>
      </c>
      <c r="AP569" s="1638"/>
      <c r="AQ569" s="1638"/>
      <c r="AR569" s="1638"/>
      <c r="AS569" s="1639"/>
      <c r="AT569" s="1638"/>
      <c r="AU569" s="1638"/>
      <c r="AV569" s="1638"/>
      <c r="AW569" s="1640"/>
      <c r="AX569" s="1640"/>
      <c r="AY569" s="1640"/>
      <c r="AZ569" s="1640"/>
      <c r="BA569" s="1641"/>
      <c r="BB569" s="1640"/>
      <c r="BC569" s="1640"/>
      <c r="BD569" s="1640"/>
      <c r="BE569" s="1641"/>
      <c r="BF569" s="1640"/>
      <c r="BG569" s="1640"/>
      <c r="BH569" s="1640"/>
      <c r="BI569" s="1641"/>
      <c r="BJ569" s="1640"/>
      <c r="BK569" s="1640"/>
      <c r="BL569" s="1640"/>
      <c r="BM569" s="1641"/>
      <c r="BN569" s="1640"/>
      <c r="BO569" s="1640"/>
      <c r="BP569" s="1640"/>
      <c r="BQ569" s="1641"/>
      <c r="BR569" s="1640"/>
      <c r="BS569" s="1640"/>
      <c r="BT569" s="1640"/>
      <c r="BU569" s="1641"/>
      <c r="BV569" s="1640"/>
      <c r="BW569" s="1640"/>
      <c r="BX569" s="1640"/>
      <c r="BY569" s="1641"/>
      <c r="BZ569" s="1640"/>
      <c r="CA569" s="1640"/>
      <c r="CB569" s="1640"/>
      <c r="CC569" s="1641"/>
      <c r="CD569" s="1640"/>
      <c r="CE569" s="1640"/>
      <c r="CF569" s="1640"/>
      <c r="CG569" s="1642"/>
      <c r="CH569" s="1641">
        <f t="shared" si="390"/>
        <v>0</v>
      </c>
      <c r="CI569" s="1641">
        <f t="shared" si="390"/>
        <v>0</v>
      </c>
      <c r="CJ569" s="1641">
        <f t="shared" si="390"/>
        <v>0</v>
      </c>
      <c r="CK569" s="1641">
        <f t="shared" si="390"/>
        <v>0</v>
      </c>
      <c r="CL569" s="1889">
        <v>0</v>
      </c>
      <c r="CM569" s="1889">
        <v>0</v>
      </c>
      <c r="CN569" s="1889">
        <v>0</v>
      </c>
      <c r="CO569" s="1889">
        <v>0</v>
      </c>
      <c r="CP569" s="1641"/>
      <c r="CQ569" s="1640"/>
      <c r="CR569" s="1640"/>
      <c r="CS569" s="1640"/>
      <c r="CX569" s="1558"/>
      <c r="CY569" s="1558"/>
      <c r="CZ569" s="1558"/>
      <c r="DA569" s="1559"/>
      <c r="DB569" s="1559"/>
      <c r="DC569" s="1559"/>
    </row>
    <row r="570" spans="1:107" ht="15" thickBot="1" x14ac:dyDescent="0.2">
      <c r="A570" s="1541" t="s">
        <v>84</v>
      </c>
      <c r="B570" s="1523" t="s">
        <v>79</v>
      </c>
      <c r="C570" s="1523" t="s">
        <v>80</v>
      </c>
      <c r="D570" s="1523" t="s">
        <v>125</v>
      </c>
      <c r="E570" s="1523" t="s">
        <v>216</v>
      </c>
      <c r="F570" s="1523"/>
      <c r="G570" s="1667">
        <v>213</v>
      </c>
      <c r="H570" s="1501">
        <f>6652.5-31.7+16.6+53.9</f>
        <v>6691.3</v>
      </c>
      <c r="I570" s="1501"/>
      <c r="J570" s="1630"/>
      <c r="K570" s="1630"/>
      <c r="L570" s="1631"/>
      <c r="M570" s="1631"/>
      <c r="N570" s="1631"/>
      <c r="O570" s="1631"/>
      <c r="P570" s="1631"/>
      <c r="Q570" s="1631"/>
      <c r="R570" s="1631"/>
      <c r="S570" s="1631"/>
      <c r="T570" s="1632"/>
      <c r="U570" s="1633"/>
      <c r="V570" s="1633"/>
      <c r="W570" s="1634">
        <f>H570/12</f>
        <v>557.60833333333335</v>
      </c>
      <c r="X570" s="1634">
        <f>AO570</f>
        <v>554.4</v>
      </c>
      <c r="Y570" s="1634">
        <f>CC570</f>
        <v>1002.4930000000001</v>
      </c>
      <c r="Z570" s="1635">
        <v>1002.4930000000001</v>
      </c>
      <c r="AA570" s="1634">
        <f t="shared" si="389"/>
        <v>-1002.4930000000001</v>
      </c>
      <c r="AB570" s="1511">
        <f>AI570</f>
        <v>0</v>
      </c>
      <c r="AC570" s="1508">
        <f t="shared" si="402"/>
        <v>6691.3</v>
      </c>
      <c r="AD570" s="1509">
        <f t="shared" si="403"/>
        <v>0</v>
      </c>
      <c r="AE570" s="1509">
        <f t="shared" si="404"/>
        <v>0</v>
      </c>
      <c r="AF570" s="1509">
        <f t="shared" si="404"/>
        <v>0</v>
      </c>
      <c r="AG570" s="1509">
        <f t="shared" si="404"/>
        <v>0</v>
      </c>
      <c r="AH570" s="1490">
        <f t="shared" si="380"/>
        <v>291.40699999999998</v>
      </c>
      <c r="AI570" s="1636">
        <f t="shared" si="405"/>
        <v>0</v>
      </c>
      <c r="AJ570" s="1636">
        <f t="shared" si="406"/>
        <v>0</v>
      </c>
      <c r="AK570" s="1636">
        <f t="shared" si="407"/>
        <v>0</v>
      </c>
      <c r="AL570" s="1636">
        <f t="shared" si="400"/>
        <v>0</v>
      </c>
      <c r="AM570" s="1636">
        <f t="shared" si="400"/>
        <v>0</v>
      </c>
      <c r="AN570" s="1637">
        <f>AI570/4</f>
        <v>0</v>
      </c>
      <c r="AO570" s="1722">
        <v>554.4</v>
      </c>
      <c r="AP570" s="1638"/>
      <c r="AQ570" s="1638"/>
      <c r="AR570" s="1638"/>
      <c r="AS570" s="1639">
        <v>554.4</v>
      </c>
      <c r="AT570" s="1638"/>
      <c r="AU570" s="1638"/>
      <c r="AV570" s="1638"/>
      <c r="AW570" s="1640">
        <v>554.4</v>
      </c>
      <c r="AX570" s="1640"/>
      <c r="AY570" s="1640"/>
      <c r="AZ570" s="1640"/>
      <c r="BA570" s="1641">
        <v>554.4</v>
      </c>
      <c r="BB570" s="1640"/>
      <c r="BC570" s="1640"/>
      <c r="BD570" s="1640"/>
      <c r="BE570" s="1641">
        <v>554.4</v>
      </c>
      <c r="BF570" s="1640"/>
      <c r="BG570" s="1640"/>
      <c r="BH570" s="1640"/>
      <c r="BI570" s="1641"/>
      <c r="BJ570" s="1640"/>
      <c r="BK570" s="1640"/>
      <c r="BL570" s="1640"/>
      <c r="BM570" s="1641">
        <f>554.4+1108.8</f>
        <v>1663.1999999999998</v>
      </c>
      <c r="BN570" s="1640"/>
      <c r="BO570" s="1640"/>
      <c r="BP570" s="1640"/>
      <c r="BQ570" s="1641">
        <v>554.4</v>
      </c>
      <c r="BR570" s="1640"/>
      <c r="BS570" s="1640"/>
      <c r="BT570" s="1640"/>
      <c r="BU570" s="1641">
        <v>407.8</v>
      </c>
      <c r="BV570" s="1640"/>
      <c r="BW570" s="1640"/>
      <c r="BX570" s="1640"/>
      <c r="BY570" s="1641"/>
      <c r="BZ570" s="1640"/>
      <c r="CA570" s="1640"/>
      <c r="CB570" s="1640"/>
      <c r="CC570" s="1641">
        <v>1002.4930000000001</v>
      </c>
      <c r="CD570" s="1640"/>
      <c r="CE570" s="1640"/>
      <c r="CF570" s="1640"/>
      <c r="CG570" s="1642"/>
      <c r="CH570" s="1641">
        <f t="shared" si="390"/>
        <v>291.40699999999998</v>
      </c>
      <c r="CI570" s="1641">
        <f t="shared" si="390"/>
        <v>0</v>
      </c>
      <c r="CJ570" s="1641">
        <f t="shared" si="390"/>
        <v>0</v>
      </c>
      <c r="CK570" s="1641">
        <f t="shared" si="390"/>
        <v>0</v>
      </c>
      <c r="CL570" s="1889">
        <v>291.40699999999998</v>
      </c>
      <c r="CM570" s="1889">
        <v>0</v>
      </c>
      <c r="CN570" s="1889">
        <v>0</v>
      </c>
      <c r="CO570" s="1889">
        <v>0</v>
      </c>
      <c r="CP570" s="1641"/>
      <c r="CQ570" s="1640"/>
      <c r="CR570" s="1640"/>
      <c r="CS570" s="1640"/>
      <c r="CX570" s="1558">
        <f>H570/12*10-AC570</f>
        <v>-1115.2166666666662</v>
      </c>
      <c r="CY570" s="1558">
        <f>AI570/3</f>
        <v>0</v>
      </c>
      <c r="CZ570" s="1558">
        <f>H570/12</f>
        <v>557.60833333333335</v>
      </c>
      <c r="DA570" s="1559"/>
      <c r="DB570" s="1559"/>
      <c r="DC570" s="1559"/>
    </row>
    <row r="571" spans="1:107" ht="15" thickBot="1" x14ac:dyDescent="0.2">
      <c r="A571" s="1541" t="s">
        <v>85</v>
      </c>
      <c r="B571" s="1523" t="s">
        <v>79</v>
      </c>
      <c r="C571" s="1523" t="s">
        <v>80</v>
      </c>
      <c r="D571" s="1523" t="s">
        <v>125</v>
      </c>
      <c r="E571" s="1523" t="s">
        <v>216</v>
      </c>
      <c r="F571" s="1523"/>
      <c r="G571" s="1667">
        <v>221</v>
      </c>
      <c r="H571" s="1501"/>
      <c r="I571" s="1501"/>
      <c r="J571" s="1630"/>
      <c r="K571" s="1630"/>
      <c r="L571" s="1631"/>
      <c r="M571" s="1631"/>
      <c r="N571" s="1631"/>
      <c r="O571" s="1631"/>
      <c r="P571" s="1631"/>
      <c r="Q571" s="1631"/>
      <c r="R571" s="1631"/>
      <c r="S571" s="1631"/>
      <c r="T571" s="1632"/>
      <c r="U571" s="1633"/>
      <c r="V571" s="1633"/>
      <c r="W571" s="1634"/>
      <c r="X571" s="1634"/>
      <c r="Y571" s="1634"/>
      <c r="Z571" s="1635"/>
      <c r="AA571" s="1634">
        <f t="shared" si="389"/>
        <v>0</v>
      </c>
      <c r="AB571" s="1634"/>
      <c r="AC571" s="1508">
        <f t="shared" si="402"/>
        <v>0</v>
      </c>
      <c r="AD571" s="1509">
        <f t="shared" si="403"/>
        <v>0</v>
      </c>
      <c r="AE571" s="1509">
        <f t="shared" si="404"/>
        <v>0</v>
      </c>
      <c r="AF571" s="1509">
        <f t="shared" si="404"/>
        <v>0</v>
      </c>
      <c r="AG571" s="1509">
        <f t="shared" si="404"/>
        <v>0</v>
      </c>
      <c r="AH571" s="1490">
        <f t="shared" si="380"/>
        <v>0</v>
      </c>
      <c r="AI571" s="1636">
        <f t="shared" si="405"/>
        <v>0</v>
      </c>
      <c r="AJ571" s="1636">
        <f t="shared" si="406"/>
        <v>0</v>
      </c>
      <c r="AK571" s="1636">
        <f t="shared" si="407"/>
        <v>0</v>
      </c>
      <c r="AL571" s="1636">
        <f t="shared" si="400"/>
        <v>0</v>
      </c>
      <c r="AM571" s="1636">
        <f t="shared" si="400"/>
        <v>0</v>
      </c>
      <c r="AN571" s="1637"/>
      <c r="AO571" s="1722">
        <v>0</v>
      </c>
      <c r="AP571" s="1638"/>
      <c r="AQ571" s="1638"/>
      <c r="AR571" s="1638"/>
      <c r="AS571" s="1639"/>
      <c r="AT571" s="1638"/>
      <c r="AU571" s="1638"/>
      <c r="AV571" s="1638"/>
      <c r="AW571" s="1639"/>
      <c r="AX571" s="1640"/>
      <c r="AY571" s="1640"/>
      <c r="AZ571" s="1640"/>
      <c r="BA571" s="1641"/>
      <c r="BB571" s="1640"/>
      <c r="BC571" s="1640"/>
      <c r="BD571" s="1640"/>
      <c r="BE571" s="1644"/>
      <c r="BF571" s="1640"/>
      <c r="BG571" s="1640"/>
      <c r="BH571" s="1640"/>
      <c r="BI571" s="1641"/>
      <c r="BJ571" s="1640"/>
      <c r="BK571" s="1640"/>
      <c r="BL571" s="1640"/>
      <c r="BM571" s="1641"/>
      <c r="BN571" s="1640"/>
      <c r="BO571" s="1640"/>
      <c r="BP571" s="1640"/>
      <c r="BQ571" s="1641"/>
      <c r="BR571" s="1640"/>
      <c r="BS571" s="1640"/>
      <c r="BT571" s="1640"/>
      <c r="BU571" s="1641"/>
      <c r="BV571" s="1640"/>
      <c r="BW571" s="1640"/>
      <c r="BX571" s="1640"/>
      <c r="BY571" s="1641"/>
      <c r="BZ571" s="1640"/>
      <c r="CA571" s="1640"/>
      <c r="CB571" s="1640"/>
      <c r="CC571" s="1641"/>
      <c r="CD571" s="1640"/>
      <c r="CE571" s="1640"/>
      <c r="CF571" s="1640"/>
      <c r="CG571" s="1642"/>
      <c r="CH571" s="1641">
        <f t="shared" si="390"/>
        <v>0</v>
      </c>
      <c r="CI571" s="1641">
        <f t="shared" si="390"/>
        <v>0</v>
      </c>
      <c r="CJ571" s="1641">
        <f t="shared" si="390"/>
        <v>0</v>
      </c>
      <c r="CK571" s="1641">
        <f t="shared" si="390"/>
        <v>0</v>
      </c>
      <c r="CL571" s="1889">
        <v>0</v>
      </c>
      <c r="CM571" s="1889">
        <v>0</v>
      </c>
      <c r="CN571" s="1889">
        <v>0</v>
      </c>
      <c r="CO571" s="1889">
        <v>0</v>
      </c>
      <c r="CP571" s="1641"/>
      <c r="CQ571" s="1640"/>
      <c r="CR571" s="1640"/>
      <c r="CS571" s="1640"/>
    </row>
    <row r="572" spans="1:107" ht="15" thickBot="1" x14ac:dyDescent="0.2">
      <c r="A572" s="1541" t="s">
        <v>86</v>
      </c>
      <c r="B572" s="1523" t="s">
        <v>79</v>
      </c>
      <c r="C572" s="1523" t="s">
        <v>80</v>
      </c>
      <c r="D572" s="1523" t="s">
        <v>125</v>
      </c>
      <c r="E572" s="1523" t="s">
        <v>216</v>
      </c>
      <c r="F572" s="1523"/>
      <c r="G572" s="1667">
        <v>222</v>
      </c>
      <c r="H572" s="1501"/>
      <c r="I572" s="1501"/>
      <c r="J572" s="1630"/>
      <c r="K572" s="1630"/>
      <c r="L572" s="1631"/>
      <c r="M572" s="1631"/>
      <c r="N572" s="1631"/>
      <c r="O572" s="1631"/>
      <c r="P572" s="1631"/>
      <c r="Q572" s="1631"/>
      <c r="R572" s="1631"/>
      <c r="S572" s="1631"/>
      <c r="T572" s="1632"/>
      <c r="U572" s="1633"/>
      <c r="V572" s="1633"/>
      <c r="W572" s="1634"/>
      <c r="X572" s="1634"/>
      <c r="Y572" s="1634"/>
      <c r="Z572" s="1635"/>
      <c r="AA572" s="1634">
        <f t="shared" si="389"/>
        <v>0</v>
      </c>
      <c r="AB572" s="1634"/>
      <c r="AC572" s="1508">
        <f t="shared" si="402"/>
        <v>0</v>
      </c>
      <c r="AD572" s="1509">
        <f t="shared" si="403"/>
        <v>0</v>
      </c>
      <c r="AE572" s="1509">
        <f t="shared" si="404"/>
        <v>0</v>
      </c>
      <c r="AF572" s="1509">
        <f t="shared" si="404"/>
        <v>0</v>
      </c>
      <c r="AG572" s="1509">
        <f t="shared" si="404"/>
        <v>0</v>
      </c>
      <c r="AH572" s="1490">
        <f t="shared" si="380"/>
        <v>0</v>
      </c>
      <c r="AI572" s="1636">
        <f t="shared" si="405"/>
        <v>0</v>
      </c>
      <c r="AJ572" s="1636">
        <f t="shared" si="406"/>
        <v>0</v>
      </c>
      <c r="AK572" s="1636">
        <f t="shared" si="407"/>
        <v>0</v>
      </c>
      <c r="AL572" s="1636">
        <f t="shared" si="400"/>
        <v>0</v>
      </c>
      <c r="AM572" s="1636">
        <f t="shared" si="400"/>
        <v>0</v>
      </c>
      <c r="AN572" s="1637"/>
      <c r="AO572" s="1722">
        <v>0</v>
      </c>
      <c r="AP572" s="1638"/>
      <c r="AQ572" s="1638"/>
      <c r="AR572" s="1638"/>
      <c r="AS572" s="1639"/>
      <c r="AT572" s="1638"/>
      <c r="AU572" s="1638"/>
      <c r="AV572" s="1638"/>
      <c r="AW572" s="1639"/>
      <c r="AX572" s="1640"/>
      <c r="AY572" s="1640"/>
      <c r="AZ572" s="1640"/>
      <c r="BA572" s="1641"/>
      <c r="BB572" s="1640"/>
      <c r="BC572" s="1640"/>
      <c r="BD572" s="1640"/>
      <c r="BE572" s="1644"/>
      <c r="BF572" s="1640"/>
      <c r="BG572" s="1640"/>
      <c r="BH572" s="1640"/>
      <c r="BI572" s="1641"/>
      <c r="BJ572" s="1640"/>
      <c r="BK572" s="1640"/>
      <c r="BL572" s="1640"/>
      <c r="BM572" s="1641"/>
      <c r="BN572" s="1640"/>
      <c r="BO572" s="1640"/>
      <c r="BP572" s="1640"/>
      <c r="BQ572" s="1641"/>
      <c r="BR572" s="1640"/>
      <c r="BS572" s="1640"/>
      <c r="BT572" s="1640"/>
      <c r="BU572" s="1641"/>
      <c r="BV572" s="1640"/>
      <c r="BW572" s="1640"/>
      <c r="BX572" s="1640"/>
      <c r="BY572" s="1641"/>
      <c r="BZ572" s="1640"/>
      <c r="CA572" s="1640"/>
      <c r="CB572" s="1640"/>
      <c r="CC572" s="1641"/>
      <c r="CD572" s="1640"/>
      <c r="CE572" s="1640"/>
      <c r="CF572" s="1640"/>
      <c r="CG572" s="1642"/>
      <c r="CH572" s="1641">
        <f t="shared" si="390"/>
        <v>0</v>
      </c>
      <c r="CI572" s="1641">
        <f t="shared" si="390"/>
        <v>0</v>
      </c>
      <c r="CJ572" s="1641">
        <f t="shared" si="390"/>
        <v>0</v>
      </c>
      <c r="CK572" s="1641">
        <f t="shared" si="390"/>
        <v>0</v>
      </c>
      <c r="CL572" s="1889">
        <v>0</v>
      </c>
      <c r="CM572" s="1889">
        <v>0</v>
      </c>
      <c r="CN572" s="1889">
        <v>0</v>
      </c>
      <c r="CO572" s="1889">
        <v>0</v>
      </c>
      <c r="CP572" s="1641"/>
      <c r="CQ572" s="1640"/>
      <c r="CR572" s="1640"/>
      <c r="CS572" s="1640"/>
    </row>
    <row r="573" spans="1:107" ht="15" thickBot="1" x14ac:dyDescent="0.2">
      <c r="A573" s="1541" t="s">
        <v>87</v>
      </c>
      <c r="B573" s="1523" t="s">
        <v>79</v>
      </c>
      <c r="C573" s="1523" t="s">
        <v>80</v>
      </c>
      <c r="D573" s="1523" t="s">
        <v>125</v>
      </c>
      <c r="E573" s="1523" t="s">
        <v>216</v>
      </c>
      <c r="F573" s="1523"/>
      <c r="G573" s="1667">
        <v>223</v>
      </c>
      <c r="H573" s="1501">
        <f>1467.1-59.4</f>
        <v>1407.6999999999998</v>
      </c>
      <c r="I573" s="1501"/>
      <c r="J573" s="1630"/>
      <c r="K573" s="1630"/>
      <c r="L573" s="1631"/>
      <c r="M573" s="1631"/>
      <c r="N573" s="1631"/>
      <c r="O573" s="1631"/>
      <c r="P573" s="1631"/>
      <c r="Q573" s="1631"/>
      <c r="R573" s="1631"/>
      <c r="S573" s="1631"/>
      <c r="T573" s="1632"/>
      <c r="U573" s="1633"/>
      <c r="V573" s="1633"/>
      <c r="W573" s="1634"/>
      <c r="X573" s="1634"/>
      <c r="Y573" s="1634"/>
      <c r="Z573" s="1635"/>
      <c r="AA573" s="1634">
        <f t="shared" si="389"/>
        <v>0</v>
      </c>
      <c r="AB573" s="1634"/>
      <c r="AC573" s="1508">
        <f t="shared" si="402"/>
        <v>1407.7</v>
      </c>
      <c r="AD573" s="1509">
        <f t="shared" si="403"/>
        <v>0</v>
      </c>
      <c r="AE573" s="1509">
        <f t="shared" si="404"/>
        <v>0</v>
      </c>
      <c r="AF573" s="1509">
        <f t="shared" si="404"/>
        <v>0</v>
      </c>
      <c r="AG573" s="1509">
        <f t="shared" si="404"/>
        <v>0</v>
      </c>
      <c r="AH573" s="1490">
        <f t="shared" si="380"/>
        <v>201.2</v>
      </c>
      <c r="AI573" s="1636">
        <f t="shared" si="405"/>
        <v>0</v>
      </c>
      <c r="AJ573" s="1636">
        <f t="shared" si="406"/>
        <v>0</v>
      </c>
      <c r="AK573" s="1636">
        <f t="shared" si="407"/>
        <v>0</v>
      </c>
      <c r="AL573" s="1636">
        <f t="shared" si="400"/>
        <v>0</v>
      </c>
      <c r="AM573" s="1636">
        <f t="shared" si="400"/>
        <v>0</v>
      </c>
      <c r="AN573" s="1637"/>
      <c r="AO573" s="1722">
        <v>122.3</v>
      </c>
      <c r="AP573" s="1638"/>
      <c r="AQ573" s="1638"/>
      <c r="AR573" s="1638"/>
      <c r="AS573" s="1639">
        <v>122.2</v>
      </c>
      <c r="AT573" s="1638"/>
      <c r="AU573" s="1638"/>
      <c r="AV573" s="1638"/>
      <c r="AW573" s="1639"/>
      <c r="AX573" s="1640"/>
      <c r="AY573" s="1640"/>
      <c r="AZ573" s="1640"/>
      <c r="BA573" s="1641"/>
      <c r="BB573" s="1640"/>
      <c r="BC573" s="1640"/>
      <c r="BD573" s="1640"/>
      <c r="BE573" s="1644">
        <v>266</v>
      </c>
      <c r="BF573" s="1640"/>
      <c r="BG573" s="1640"/>
      <c r="BH573" s="1640"/>
      <c r="BI573" s="1641">
        <v>133</v>
      </c>
      <c r="BJ573" s="1640"/>
      <c r="BK573" s="1640"/>
      <c r="BL573" s="1640"/>
      <c r="BM573" s="1641"/>
      <c r="BN573" s="1640"/>
      <c r="BO573" s="1640"/>
      <c r="BP573" s="1640"/>
      <c r="BQ573" s="1641">
        <v>133</v>
      </c>
      <c r="BR573" s="1640"/>
      <c r="BS573" s="1640"/>
      <c r="BT573" s="1640"/>
      <c r="BU573" s="1641">
        <v>280</v>
      </c>
      <c r="BV573" s="1640"/>
      <c r="BW573" s="1640"/>
      <c r="BX573" s="1640"/>
      <c r="BY573" s="1641">
        <v>150</v>
      </c>
      <c r="BZ573" s="1640"/>
      <c r="CA573" s="1640"/>
      <c r="CB573" s="1640"/>
      <c r="CC573" s="1641"/>
      <c r="CD573" s="1640"/>
      <c r="CE573" s="1640"/>
      <c r="CF573" s="1640"/>
      <c r="CG573" s="1642"/>
      <c r="CH573" s="1641">
        <f t="shared" si="390"/>
        <v>201.2</v>
      </c>
      <c r="CI573" s="1641">
        <f t="shared" si="390"/>
        <v>0</v>
      </c>
      <c r="CJ573" s="1641">
        <f t="shared" si="390"/>
        <v>0</v>
      </c>
      <c r="CK573" s="1641">
        <f t="shared" si="390"/>
        <v>0</v>
      </c>
      <c r="CL573" s="1889">
        <v>201.2</v>
      </c>
      <c r="CM573" s="1889">
        <v>0</v>
      </c>
      <c r="CN573" s="1889">
        <v>0</v>
      </c>
      <c r="CO573" s="1889">
        <v>0</v>
      </c>
      <c r="CP573" s="1641"/>
      <c r="CQ573" s="1640"/>
      <c r="CR573" s="1640"/>
      <c r="CS573" s="1640"/>
    </row>
    <row r="574" spans="1:107" ht="15" thickBot="1" x14ac:dyDescent="0.2">
      <c r="A574" s="1541" t="s">
        <v>134</v>
      </c>
      <c r="B574" s="1523" t="s">
        <v>79</v>
      </c>
      <c r="C574" s="1523" t="s">
        <v>80</v>
      </c>
      <c r="D574" s="1523" t="s">
        <v>125</v>
      </c>
      <c r="E574" s="1523" t="s">
        <v>216</v>
      </c>
      <c r="F574" s="1523"/>
      <c r="G574" s="1667">
        <v>224</v>
      </c>
      <c r="H574" s="1501"/>
      <c r="I574" s="1501"/>
      <c r="J574" s="1630"/>
      <c r="K574" s="1630"/>
      <c r="L574" s="1631"/>
      <c r="M574" s="1631"/>
      <c r="N574" s="1631"/>
      <c r="O574" s="1631"/>
      <c r="P574" s="1631"/>
      <c r="Q574" s="1631"/>
      <c r="R574" s="1631"/>
      <c r="S574" s="1631"/>
      <c r="T574" s="1632"/>
      <c r="U574" s="1633"/>
      <c r="V574" s="1633"/>
      <c r="W574" s="1634"/>
      <c r="X574" s="1634"/>
      <c r="Y574" s="1634"/>
      <c r="Z574" s="1635"/>
      <c r="AA574" s="1634">
        <f>AB574-Z574</f>
        <v>0</v>
      </c>
      <c r="AB574" s="1634"/>
      <c r="AC574" s="1508">
        <f t="shared" si="402"/>
        <v>0</v>
      </c>
      <c r="AD574" s="1509">
        <f t="shared" si="403"/>
        <v>0</v>
      </c>
      <c r="AE574" s="1509">
        <f t="shared" si="404"/>
        <v>0</v>
      </c>
      <c r="AF574" s="1509">
        <f t="shared" si="404"/>
        <v>0</v>
      </c>
      <c r="AG574" s="1509">
        <f t="shared" si="404"/>
        <v>0</v>
      </c>
      <c r="AH574" s="1490">
        <f t="shared" si="380"/>
        <v>0</v>
      </c>
      <c r="AI574" s="1636">
        <f t="shared" si="405"/>
        <v>0</v>
      </c>
      <c r="AJ574" s="1636">
        <f t="shared" si="406"/>
        <v>0</v>
      </c>
      <c r="AK574" s="1636">
        <f t="shared" si="407"/>
        <v>0</v>
      </c>
      <c r="AL574" s="1636">
        <f t="shared" si="400"/>
        <v>0</v>
      </c>
      <c r="AM574" s="1636">
        <f t="shared" si="400"/>
        <v>0</v>
      </c>
      <c r="AN574" s="1637"/>
      <c r="AO574" s="1722">
        <v>0</v>
      </c>
      <c r="AP574" s="1638"/>
      <c r="AQ574" s="1638"/>
      <c r="AR574" s="1638"/>
      <c r="AS574" s="1639"/>
      <c r="AT574" s="1638"/>
      <c r="AU574" s="1638"/>
      <c r="AV574" s="1638"/>
      <c r="AW574" s="1639"/>
      <c r="AX574" s="1640"/>
      <c r="AY574" s="1640"/>
      <c r="AZ574" s="1640"/>
      <c r="BA574" s="1641"/>
      <c r="BB574" s="1640"/>
      <c r="BC574" s="1640"/>
      <c r="BD574" s="1640"/>
      <c r="BE574" s="1644"/>
      <c r="BF574" s="1640"/>
      <c r="BG574" s="1640"/>
      <c r="BH574" s="1640"/>
      <c r="BI574" s="1641"/>
      <c r="BJ574" s="1640"/>
      <c r="BK574" s="1640"/>
      <c r="BL574" s="1640"/>
      <c r="BM574" s="1641"/>
      <c r="BN574" s="1640"/>
      <c r="BO574" s="1640"/>
      <c r="BP574" s="1640"/>
      <c r="BQ574" s="1641"/>
      <c r="BR574" s="1640"/>
      <c r="BS574" s="1640"/>
      <c r="BT574" s="1640"/>
      <c r="BU574" s="1641"/>
      <c r="BV574" s="1640"/>
      <c r="BW574" s="1640"/>
      <c r="BX574" s="1640"/>
      <c r="BY574" s="1641"/>
      <c r="BZ574" s="1640"/>
      <c r="CA574" s="1640"/>
      <c r="CB574" s="1640"/>
      <c r="CC574" s="1641"/>
      <c r="CD574" s="1640"/>
      <c r="CE574" s="1640"/>
      <c r="CF574" s="1640"/>
      <c r="CG574" s="1642"/>
      <c r="CH574" s="1641">
        <f t="shared" si="390"/>
        <v>0</v>
      </c>
      <c r="CI574" s="1641">
        <f t="shared" si="390"/>
        <v>0</v>
      </c>
      <c r="CJ574" s="1641">
        <f t="shared" si="390"/>
        <v>0</v>
      </c>
      <c r="CK574" s="1641">
        <f t="shared" si="390"/>
        <v>0</v>
      </c>
      <c r="CL574" s="1889">
        <v>0</v>
      </c>
      <c r="CM574" s="1889">
        <v>0</v>
      </c>
      <c r="CN574" s="1889">
        <v>0</v>
      </c>
      <c r="CO574" s="1889">
        <v>0</v>
      </c>
      <c r="CP574" s="1641"/>
      <c r="CQ574" s="1640"/>
      <c r="CR574" s="1640"/>
      <c r="CS574" s="1640"/>
    </row>
    <row r="575" spans="1:107" ht="15" thickBot="1" x14ac:dyDescent="0.2">
      <c r="A575" s="1541" t="s">
        <v>90</v>
      </c>
      <c r="B575" s="1523" t="s">
        <v>79</v>
      </c>
      <c r="C575" s="1523" t="s">
        <v>80</v>
      </c>
      <c r="D575" s="1523" t="s">
        <v>125</v>
      </c>
      <c r="E575" s="1523" t="s">
        <v>216</v>
      </c>
      <c r="F575" s="1523"/>
      <c r="G575" s="1667">
        <v>225</v>
      </c>
      <c r="H575" s="1501">
        <f>8000+17.7+110</f>
        <v>8127.7</v>
      </c>
      <c r="I575" s="1501"/>
      <c r="J575" s="1630">
        <f>867.81-V575</f>
        <v>717.81</v>
      </c>
      <c r="K575" s="1630"/>
      <c r="L575" s="1631"/>
      <c r="M575" s="1631"/>
      <c r="N575" s="1631"/>
      <c r="O575" s="1631"/>
      <c r="P575" s="1631"/>
      <c r="Q575" s="1631"/>
      <c r="R575" s="1631"/>
      <c r="S575" s="1631"/>
      <c r="T575" s="1632"/>
      <c r="U575" s="1633"/>
      <c r="V575" s="1633">
        <v>150</v>
      </c>
      <c r="W575" s="1634"/>
      <c r="X575" s="1634"/>
      <c r="Y575" s="1634"/>
      <c r="Z575" s="1635"/>
      <c r="AA575" s="1634">
        <f t="shared" si="389"/>
        <v>0</v>
      </c>
      <c r="AB575" s="1634"/>
      <c r="AC575" s="1508">
        <f t="shared" si="402"/>
        <v>8127.7</v>
      </c>
      <c r="AD575" s="1509">
        <f t="shared" si="403"/>
        <v>717.81</v>
      </c>
      <c r="AE575" s="1509">
        <f t="shared" si="404"/>
        <v>0</v>
      </c>
      <c r="AF575" s="1509">
        <f t="shared" si="404"/>
        <v>717.81</v>
      </c>
      <c r="AG575" s="1509">
        <f t="shared" si="404"/>
        <v>0</v>
      </c>
      <c r="AH575" s="1490">
        <f t="shared" si="380"/>
        <v>17.7</v>
      </c>
      <c r="AI575" s="1636">
        <f t="shared" si="405"/>
        <v>0</v>
      </c>
      <c r="AJ575" s="1636">
        <f t="shared" si="406"/>
        <v>0</v>
      </c>
      <c r="AK575" s="1636">
        <f t="shared" si="407"/>
        <v>0</v>
      </c>
      <c r="AL575" s="1636">
        <f t="shared" si="400"/>
        <v>0</v>
      </c>
      <c r="AM575" s="1636">
        <f t="shared" si="400"/>
        <v>0</v>
      </c>
      <c r="AN575" s="1637"/>
      <c r="AO575" s="1723"/>
      <c r="AP575" s="1638"/>
      <c r="AQ575" s="1638"/>
      <c r="AR575" s="1638"/>
      <c r="AS575" s="1639"/>
      <c r="AT575" s="1638"/>
      <c r="AU575" s="1638"/>
      <c r="AV575" s="1638"/>
      <c r="AW575" s="1639"/>
      <c r="AX575" s="1640"/>
      <c r="AY575" s="1640"/>
      <c r="AZ575" s="1640"/>
      <c r="BA575" s="1641">
        <v>2000</v>
      </c>
      <c r="BB575" s="1640"/>
      <c r="BC575" s="1640"/>
      <c r="BD575" s="1640"/>
      <c r="BE575" s="1644"/>
      <c r="BF575" s="1640"/>
      <c r="BG575" s="1640"/>
      <c r="BH575" s="1640"/>
      <c r="BI575" s="1641">
        <v>6000</v>
      </c>
      <c r="BJ575" s="1640"/>
      <c r="BK575" s="1640"/>
      <c r="BL575" s="1640"/>
      <c r="BM575" s="1641"/>
      <c r="BN575" s="1640"/>
      <c r="BO575" s="1640"/>
      <c r="BP575" s="1640"/>
      <c r="BQ575" s="1641">
        <v>110</v>
      </c>
      <c r="BR575" s="1640"/>
      <c r="BS575" s="1640"/>
      <c r="BT575" s="1640"/>
      <c r="BU575" s="1641"/>
      <c r="BV575" s="1640"/>
      <c r="BW575" s="1640"/>
      <c r="BX575" s="1640"/>
      <c r="BY575" s="1641"/>
      <c r="BZ575" s="1640"/>
      <c r="CA575" s="1640">
        <v>200</v>
      </c>
      <c r="CB575" s="1640"/>
      <c r="CC575" s="1641"/>
      <c r="CD575" s="1640"/>
      <c r="CE575" s="1640"/>
      <c r="CF575" s="1640"/>
      <c r="CG575" s="1642"/>
      <c r="CH575" s="1641">
        <f t="shared" si="390"/>
        <v>17.7</v>
      </c>
      <c r="CI575" s="1641">
        <f t="shared" si="390"/>
        <v>0</v>
      </c>
      <c r="CJ575" s="1641">
        <f t="shared" si="390"/>
        <v>517.80999999999995</v>
      </c>
      <c r="CK575" s="1641">
        <f t="shared" si="390"/>
        <v>0</v>
      </c>
      <c r="CL575" s="1889">
        <v>17.7</v>
      </c>
      <c r="CM575" s="1889">
        <v>0</v>
      </c>
      <c r="CN575" s="1889">
        <v>517.80999999999995</v>
      </c>
      <c r="CO575" s="1889">
        <v>0</v>
      </c>
      <c r="CP575" s="1641"/>
      <c r="CQ575" s="1640"/>
      <c r="CR575" s="1640"/>
      <c r="CS575" s="1640"/>
    </row>
    <row r="576" spans="1:107" ht="15" thickBot="1" x14ac:dyDescent="0.2">
      <c r="A576" s="1541" t="s">
        <v>91</v>
      </c>
      <c r="B576" s="1523" t="s">
        <v>79</v>
      </c>
      <c r="C576" s="1523" t="s">
        <v>80</v>
      </c>
      <c r="D576" s="1523" t="s">
        <v>125</v>
      </c>
      <c r="E576" s="1523" t="s">
        <v>216</v>
      </c>
      <c r="F576" s="1523"/>
      <c r="G576" s="1667">
        <v>226</v>
      </c>
      <c r="H576" s="1501">
        <f>35+19+194.154-160-20</f>
        <v>68.153999999999996</v>
      </c>
      <c r="I576" s="1501">
        <f>904-200</f>
        <v>704</v>
      </c>
      <c r="J576" s="1630"/>
      <c r="K576" s="1630">
        <f>100-U576+189.919</f>
        <v>189.91900000000001</v>
      </c>
      <c r="L576" s="1631"/>
      <c r="M576" s="1631"/>
      <c r="N576" s="1631"/>
      <c r="O576" s="1631"/>
      <c r="P576" s="1631"/>
      <c r="Q576" s="1631"/>
      <c r="R576" s="1631">
        <v>60</v>
      </c>
      <c r="S576" s="1631">
        <v>3480</v>
      </c>
      <c r="T576" s="1632"/>
      <c r="U576" s="1633">
        <v>100</v>
      </c>
      <c r="V576" s="1633"/>
      <c r="W576" s="1634"/>
      <c r="X576" s="1634"/>
      <c r="Y576" s="1634"/>
      <c r="Z576" s="1635"/>
      <c r="AA576" s="1634">
        <f t="shared" si="389"/>
        <v>0</v>
      </c>
      <c r="AB576" s="1634"/>
      <c r="AC576" s="1508">
        <f t="shared" si="402"/>
        <v>68.153999999999996</v>
      </c>
      <c r="AD576" s="1509">
        <f t="shared" si="403"/>
        <v>893.91899999999998</v>
      </c>
      <c r="AE576" s="1509">
        <f t="shared" si="404"/>
        <v>704</v>
      </c>
      <c r="AF576" s="1509">
        <f t="shared" si="404"/>
        <v>0</v>
      </c>
      <c r="AG576" s="1509">
        <f t="shared" si="404"/>
        <v>189.91900000000001</v>
      </c>
      <c r="AH576" s="1490">
        <f t="shared" si="380"/>
        <v>33.107999999999997</v>
      </c>
      <c r="AI576" s="1636">
        <f t="shared" si="405"/>
        <v>0</v>
      </c>
      <c r="AJ576" s="1636">
        <f t="shared" si="406"/>
        <v>0</v>
      </c>
      <c r="AK576" s="1636">
        <f t="shared" si="407"/>
        <v>0</v>
      </c>
      <c r="AL576" s="1636">
        <f t="shared" si="400"/>
        <v>0</v>
      </c>
      <c r="AM576" s="1636">
        <f t="shared" si="400"/>
        <v>0</v>
      </c>
      <c r="AN576" s="1637"/>
      <c r="AO576" s="1723"/>
      <c r="AP576" s="1638"/>
      <c r="AQ576" s="1638"/>
      <c r="AR576" s="1638"/>
      <c r="AS576" s="1639"/>
      <c r="AT576" s="1638"/>
      <c r="AU576" s="1638"/>
      <c r="AV576" s="1638"/>
      <c r="AW576" s="1639"/>
      <c r="AX576" s="1640"/>
      <c r="AY576" s="1640"/>
      <c r="AZ576" s="1640"/>
      <c r="BA576" s="1641"/>
      <c r="BB576" s="1640"/>
      <c r="BC576" s="1640"/>
      <c r="BD576" s="1640"/>
      <c r="BE576" s="1644"/>
      <c r="BF576" s="1640"/>
      <c r="BG576" s="1640"/>
      <c r="BH576" s="1640"/>
      <c r="BI576" s="1641"/>
      <c r="BJ576" s="1640"/>
      <c r="BK576" s="1640"/>
      <c r="BL576" s="1640"/>
      <c r="BM576" s="1641"/>
      <c r="BN576" s="1640">
        <v>159.5</v>
      </c>
      <c r="BO576" s="1640"/>
      <c r="BP576" s="1640"/>
      <c r="BQ576" s="1641">
        <v>35.045999999999999</v>
      </c>
      <c r="BR576" s="1640"/>
      <c r="BS576" s="1640"/>
      <c r="BT576" s="1640"/>
      <c r="BU576" s="1641"/>
      <c r="BV576" s="1640"/>
      <c r="BW576" s="1640"/>
      <c r="BX576" s="1640"/>
      <c r="BY576" s="1641"/>
      <c r="BZ576" s="1640">
        <v>544.5</v>
      </c>
      <c r="CA576" s="1640"/>
      <c r="CB576" s="1640"/>
      <c r="CC576" s="1641"/>
      <c r="CD576" s="1640"/>
      <c r="CE576" s="1640"/>
      <c r="CF576" s="1640"/>
      <c r="CG576" s="1642"/>
      <c r="CH576" s="1641">
        <f t="shared" si="390"/>
        <v>33.107999999999997</v>
      </c>
      <c r="CI576" s="1641">
        <f t="shared" si="390"/>
        <v>0</v>
      </c>
      <c r="CJ576" s="1641">
        <f t="shared" si="390"/>
        <v>0</v>
      </c>
      <c r="CK576" s="1641">
        <v>189.91900000000001</v>
      </c>
      <c r="CL576" s="1889">
        <v>33.107999999999997</v>
      </c>
      <c r="CM576" s="1889">
        <v>0</v>
      </c>
      <c r="CN576" s="1889">
        <v>0</v>
      </c>
      <c r="CO576" s="1889">
        <v>0</v>
      </c>
      <c r="CP576" s="1641"/>
      <c r="CQ576" s="1640"/>
      <c r="CR576" s="1640"/>
      <c r="CS576" s="1640"/>
    </row>
    <row r="577" spans="1:107" ht="15" thickBot="1" x14ac:dyDescent="0.2">
      <c r="A577" s="1541" t="s">
        <v>94</v>
      </c>
      <c r="B577" s="1523" t="s">
        <v>79</v>
      </c>
      <c r="C577" s="1523" t="s">
        <v>80</v>
      </c>
      <c r="D577" s="1523" t="s">
        <v>125</v>
      </c>
      <c r="E577" s="1523" t="s">
        <v>216</v>
      </c>
      <c r="F577" s="1523"/>
      <c r="G577" s="1667">
        <v>290</v>
      </c>
      <c r="H577" s="1501">
        <f>2858.6-38.2+0.7</f>
        <v>2821.1</v>
      </c>
      <c r="I577" s="1501"/>
      <c r="J577" s="1630"/>
      <c r="K577" s="1630"/>
      <c r="L577" s="1631"/>
      <c r="M577" s="1631"/>
      <c r="N577" s="1631"/>
      <c r="O577" s="1631"/>
      <c r="P577" s="1631"/>
      <c r="Q577" s="1631"/>
      <c r="R577" s="1631"/>
      <c r="S577" s="1631"/>
      <c r="T577" s="1632"/>
      <c r="U577" s="1633"/>
      <c r="V577" s="1633"/>
      <c r="W577" s="1634"/>
      <c r="X577" s="1634"/>
      <c r="Y577" s="1634"/>
      <c r="Z577" s="1635"/>
      <c r="AA577" s="1634">
        <f t="shared" si="389"/>
        <v>0</v>
      </c>
      <c r="AB577" s="1634"/>
      <c r="AC577" s="1508">
        <f t="shared" si="402"/>
        <v>2821.1000000000004</v>
      </c>
      <c r="AD577" s="1509">
        <f t="shared" si="403"/>
        <v>0</v>
      </c>
      <c r="AE577" s="1509">
        <f t="shared" si="404"/>
        <v>0</v>
      </c>
      <c r="AF577" s="1509">
        <f t="shared" si="404"/>
        <v>0</v>
      </c>
      <c r="AG577" s="1509">
        <f t="shared" si="404"/>
        <v>0</v>
      </c>
      <c r="AH577" s="1490">
        <f t="shared" si="380"/>
        <v>705.8</v>
      </c>
      <c r="AI577" s="1636">
        <f t="shared" si="405"/>
        <v>0</v>
      </c>
      <c r="AJ577" s="1636">
        <f t="shared" si="406"/>
        <v>0</v>
      </c>
      <c r="AK577" s="1636">
        <f t="shared" si="407"/>
        <v>0</v>
      </c>
      <c r="AL577" s="1636">
        <f t="shared" si="400"/>
        <v>0</v>
      </c>
      <c r="AM577" s="1636">
        <f t="shared" si="400"/>
        <v>0</v>
      </c>
      <c r="AN577" s="1637"/>
      <c r="AO577" s="1722">
        <v>238.2</v>
      </c>
      <c r="AP577" s="1638"/>
      <c r="AQ577" s="1638"/>
      <c r="AR577" s="1638"/>
      <c r="AS577" s="1639"/>
      <c r="AT577" s="1638"/>
      <c r="AU577" s="1638"/>
      <c r="AV577" s="1638"/>
      <c r="AW577" s="1639"/>
      <c r="AX577" s="1640"/>
      <c r="AY577" s="1640"/>
      <c r="AZ577" s="1640"/>
      <c r="BA577" s="1641"/>
      <c r="BB577" s="1640"/>
      <c r="BC577" s="1640"/>
      <c r="BD577" s="1640"/>
      <c r="BE577" s="1905">
        <f>701.9-125</f>
        <v>576.9</v>
      </c>
      <c r="BF577" s="1640"/>
      <c r="BG577" s="1640"/>
      <c r="BH577" s="1640"/>
      <c r="BI577" s="1641"/>
      <c r="BJ577" s="1640"/>
      <c r="BK577" s="1640"/>
      <c r="BL577" s="1640"/>
      <c r="BM577" s="1641"/>
      <c r="BN577" s="1640"/>
      <c r="BO577" s="1640"/>
      <c r="BP577" s="1640"/>
      <c r="BQ577" s="1641"/>
      <c r="BR577" s="1640"/>
      <c r="BS577" s="1640"/>
      <c r="BT577" s="1640"/>
      <c r="BU577" s="1641">
        <v>1300.2</v>
      </c>
      <c r="BV577" s="1640"/>
      <c r="BW577" s="1640"/>
      <c r="BX577" s="1640"/>
      <c r="BY577" s="1641"/>
      <c r="BZ577" s="1640"/>
      <c r="CA577" s="1640"/>
      <c r="CB577" s="1640"/>
      <c r="CC577" s="1641"/>
      <c r="CD577" s="1640"/>
      <c r="CE577" s="1640"/>
      <c r="CF577" s="1640"/>
      <c r="CG577" s="1642"/>
      <c r="CH577" s="1641">
        <f t="shared" si="390"/>
        <v>705.8</v>
      </c>
      <c r="CI577" s="1641">
        <f t="shared" si="390"/>
        <v>0</v>
      </c>
      <c r="CJ577" s="1641">
        <f t="shared" si="390"/>
        <v>0</v>
      </c>
      <c r="CK577" s="1641">
        <f t="shared" si="390"/>
        <v>0</v>
      </c>
      <c r="CL577" s="1889">
        <v>705.8</v>
      </c>
      <c r="CM577" s="1889">
        <v>0</v>
      </c>
      <c r="CN577" s="1889">
        <v>0</v>
      </c>
      <c r="CO577" s="1889">
        <v>0</v>
      </c>
      <c r="CP577" s="1641"/>
      <c r="CQ577" s="1640"/>
      <c r="CR577" s="1640"/>
      <c r="CS577" s="1640"/>
    </row>
    <row r="578" spans="1:107" ht="15" thickBot="1" x14ac:dyDescent="0.2">
      <c r="A578" s="1541" t="s">
        <v>94</v>
      </c>
      <c r="B578" s="1523" t="s">
        <v>79</v>
      </c>
      <c r="C578" s="1523" t="s">
        <v>80</v>
      </c>
      <c r="D578" s="1523" t="s">
        <v>125</v>
      </c>
      <c r="E578" s="1523" t="s">
        <v>216</v>
      </c>
      <c r="F578" s="1523"/>
      <c r="G578" s="1667" t="s">
        <v>95</v>
      </c>
      <c r="H578" s="1501"/>
      <c r="I578" s="1501"/>
      <c r="J578" s="1630"/>
      <c r="K578" s="1630"/>
      <c r="L578" s="1631"/>
      <c r="M578" s="1631"/>
      <c r="N578" s="1631"/>
      <c r="O578" s="1631"/>
      <c r="P578" s="1631"/>
      <c r="Q578" s="1631"/>
      <c r="R578" s="1631"/>
      <c r="S578" s="1631"/>
      <c r="T578" s="1632"/>
      <c r="U578" s="1633"/>
      <c r="V578" s="1633"/>
      <c r="W578" s="1634"/>
      <c r="X578" s="1634"/>
      <c r="Y578" s="1634"/>
      <c r="Z578" s="1635"/>
      <c r="AA578" s="1634">
        <f t="shared" si="389"/>
        <v>0</v>
      </c>
      <c r="AB578" s="1634"/>
      <c r="AC578" s="1508">
        <f t="shared" si="402"/>
        <v>0</v>
      </c>
      <c r="AD578" s="1509">
        <f t="shared" si="403"/>
        <v>0</v>
      </c>
      <c r="AE578" s="1509">
        <f t="shared" si="404"/>
        <v>0</v>
      </c>
      <c r="AF578" s="1509">
        <f t="shared" si="404"/>
        <v>0</v>
      </c>
      <c r="AG578" s="1509">
        <f t="shared" si="404"/>
        <v>0</v>
      </c>
      <c r="AH578" s="1490">
        <f t="shared" si="380"/>
        <v>0</v>
      </c>
      <c r="AI578" s="1636">
        <f t="shared" si="405"/>
        <v>0</v>
      </c>
      <c r="AJ578" s="1636">
        <f t="shared" si="406"/>
        <v>0</v>
      </c>
      <c r="AK578" s="1636">
        <f t="shared" si="407"/>
        <v>0</v>
      </c>
      <c r="AL578" s="1636">
        <f t="shared" si="400"/>
        <v>0</v>
      </c>
      <c r="AM578" s="1636">
        <f t="shared" si="400"/>
        <v>0</v>
      </c>
      <c r="AN578" s="1637"/>
      <c r="AO578" s="1722">
        <v>0</v>
      </c>
      <c r="AP578" s="1638"/>
      <c r="AQ578" s="1638"/>
      <c r="AR578" s="1638"/>
      <c r="AS578" s="1639"/>
      <c r="AT578" s="1638"/>
      <c r="AU578" s="1638"/>
      <c r="AV578" s="1638"/>
      <c r="AW578" s="1639"/>
      <c r="AX578" s="1640"/>
      <c r="AY578" s="1640"/>
      <c r="AZ578" s="1640"/>
      <c r="BA578" s="1641"/>
      <c r="BB578" s="1640"/>
      <c r="BC578" s="1640"/>
      <c r="BD578" s="1640"/>
      <c r="BE578" s="1644"/>
      <c r="BF578" s="1640"/>
      <c r="BG578" s="1640"/>
      <c r="BH578" s="1640"/>
      <c r="BI578" s="1641"/>
      <c r="BJ578" s="1640"/>
      <c r="BK578" s="1640"/>
      <c r="BL578" s="1640"/>
      <c r="BM578" s="1641"/>
      <c r="BN578" s="1640"/>
      <c r="BO578" s="1640"/>
      <c r="BP578" s="1640"/>
      <c r="BQ578" s="1641"/>
      <c r="BR578" s="1640"/>
      <c r="BS578" s="1640"/>
      <c r="BT578" s="1640"/>
      <c r="BU578" s="1641"/>
      <c r="BV578" s="1640"/>
      <c r="BW578" s="1640"/>
      <c r="BX578" s="1640"/>
      <c r="BY578" s="1641"/>
      <c r="BZ578" s="1640"/>
      <c r="CA578" s="1640"/>
      <c r="CB578" s="1640"/>
      <c r="CC578" s="1641"/>
      <c r="CD578" s="1640"/>
      <c r="CE578" s="1640"/>
      <c r="CF578" s="1640"/>
      <c r="CG578" s="1642"/>
      <c r="CH578" s="1641">
        <f t="shared" si="390"/>
        <v>0</v>
      </c>
      <c r="CI578" s="1641">
        <f t="shared" si="390"/>
        <v>0</v>
      </c>
      <c r="CJ578" s="1641">
        <f t="shared" si="390"/>
        <v>0</v>
      </c>
      <c r="CK578" s="1641">
        <f t="shared" si="390"/>
        <v>0</v>
      </c>
      <c r="CL578" s="1889">
        <v>0</v>
      </c>
      <c r="CM578" s="1889">
        <v>0</v>
      </c>
      <c r="CN578" s="1889">
        <v>0</v>
      </c>
      <c r="CO578" s="1889">
        <v>0</v>
      </c>
      <c r="CP578" s="1641"/>
      <c r="CQ578" s="1640"/>
      <c r="CR578" s="1640"/>
      <c r="CS578" s="1640"/>
    </row>
    <row r="579" spans="1:107" ht="15" thickBot="1" x14ac:dyDescent="0.2">
      <c r="A579" s="1541" t="s">
        <v>96</v>
      </c>
      <c r="B579" s="1523" t="s">
        <v>79</v>
      </c>
      <c r="C579" s="1523" t="s">
        <v>80</v>
      </c>
      <c r="D579" s="1523" t="s">
        <v>125</v>
      </c>
      <c r="E579" s="1523" t="s">
        <v>216</v>
      </c>
      <c r="F579" s="1523"/>
      <c r="G579" s="1667">
        <v>310</v>
      </c>
      <c r="H579" s="1501">
        <v>150</v>
      </c>
      <c r="I579" s="1501">
        <f>2100+590.6-50-U579-61.381</f>
        <v>529.21899999999994</v>
      </c>
      <c r="J579" s="1630">
        <f>70-V579</f>
        <v>0</v>
      </c>
      <c r="K579" s="1630"/>
      <c r="L579" s="1631"/>
      <c r="M579" s="1631"/>
      <c r="N579" s="1631"/>
      <c r="O579" s="1631"/>
      <c r="P579" s="1631"/>
      <c r="Q579" s="1631"/>
      <c r="R579" s="1631"/>
      <c r="S579" s="1631"/>
      <c r="T579" s="1632"/>
      <c r="U579" s="1633">
        <v>2050</v>
      </c>
      <c r="V579" s="1633">
        <v>70</v>
      </c>
      <c r="W579" s="1634"/>
      <c r="X579" s="1634"/>
      <c r="Y579" s="1634"/>
      <c r="Z579" s="1635"/>
      <c r="AA579" s="1634">
        <f t="shared" si="389"/>
        <v>0</v>
      </c>
      <c r="AB579" s="1634"/>
      <c r="AC579" s="1508">
        <f t="shared" si="402"/>
        <v>150</v>
      </c>
      <c r="AD579" s="1509">
        <f t="shared" si="403"/>
        <v>529.21900000000005</v>
      </c>
      <c r="AE579" s="1509">
        <f t="shared" si="404"/>
        <v>529.21900000000005</v>
      </c>
      <c r="AF579" s="1509">
        <f t="shared" si="404"/>
        <v>0</v>
      </c>
      <c r="AG579" s="1509">
        <f t="shared" si="404"/>
        <v>0</v>
      </c>
      <c r="AH579" s="1490">
        <f t="shared" si="380"/>
        <v>50</v>
      </c>
      <c r="AI579" s="1636">
        <f t="shared" si="405"/>
        <v>0</v>
      </c>
      <c r="AJ579" s="1636">
        <f t="shared" si="406"/>
        <v>0</v>
      </c>
      <c r="AK579" s="1636">
        <f t="shared" si="407"/>
        <v>0</v>
      </c>
      <c r="AL579" s="1636">
        <f t="shared" si="400"/>
        <v>0</v>
      </c>
      <c r="AM579" s="1636">
        <f t="shared" si="400"/>
        <v>0</v>
      </c>
      <c r="AN579" s="1637"/>
      <c r="AO579" s="1723"/>
      <c r="AP579" s="1638"/>
      <c r="AQ579" s="1638"/>
      <c r="AR579" s="1638"/>
      <c r="AS579" s="1639"/>
      <c r="AT579" s="1638"/>
      <c r="AU579" s="1638"/>
      <c r="AV579" s="1638"/>
      <c r="AW579" s="1639"/>
      <c r="AX579" s="1640"/>
      <c r="AY579" s="1640"/>
      <c r="AZ579" s="1640"/>
      <c r="BA579" s="1641"/>
      <c r="BB579" s="1640"/>
      <c r="BC579" s="1640"/>
      <c r="BD579" s="1640"/>
      <c r="BE579" s="1644"/>
      <c r="BF579" s="1640"/>
      <c r="BG579" s="1640"/>
      <c r="BH579" s="1640"/>
      <c r="BI579" s="1641"/>
      <c r="BJ579" s="1640"/>
      <c r="BK579" s="1640"/>
      <c r="BL579" s="1640"/>
      <c r="BM579" s="1641">
        <v>100</v>
      </c>
      <c r="BN579" s="1640"/>
      <c r="BO579" s="1640"/>
      <c r="BP579" s="1640"/>
      <c r="BQ579" s="1641"/>
      <c r="BR579" s="1640"/>
      <c r="BS579" s="1640"/>
      <c r="BT579" s="1640"/>
      <c r="BU579" s="1641"/>
      <c r="BV579" s="1640"/>
      <c r="BW579" s="1640"/>
      <c r="BX579" s="1640"/>
      <c r="BY579" s="1641"/>
      <c r="BZ579" s="1640"/>
      <c r="CA579" s="1640"/>
      <c r="CB579" s="1640"/>
      <c r="CC579" s="1641"/>
      <c r="CD579" s="1640"/>
      <c r="CE579" s="1640"/>
      <c r="CF579" s="1640"/>
      <c r="CG579" s="1642"/>
      <c r="CH579" s="1641">
        <f t="shared" si="390"/>
        <v>50</v>
      </c>
      <c r="CI579" s="1641">
        <f t="shared" si="390"/>
        <v>529.21900000000005</v>
      </c>
      <c r="CJ579" s="1641">
        <f t="shared" si="390"/>
        <v>0</v>
      </c>
      <c r="CK579" s="1641">
        <f t="shared" si="390"/>
        <v>0</v>
      </c>
      <c r="CL579" s="1889">
        <v>50</v>
      </c>
      <c r="CM579" s="1889">
        <v>529.21900000000005</v>
      </c>
      <c r="CN579" s="1889">
        <v>0</v>
      </c>
      <c r="CO579" s="1889">
        <v>0</v>
      </c>
      <c r="CP579" s="1641"/>
      <c r="CQ579" s="1640"/>
      <c r="CR579" s="1640"/>
      <c r="CS579" s="1640"/>
    </row>
    <row r="580" spans="1:107" ht="15" thickBot="1" x14ac:dyDescent="0.2">
      <c r="A580" s="1541" t="s">
        <v>97</v>
      </c>
      <c r="B580" s="1523" t="s">
        <v>79</v>
      </c>
      <c r="C580" s="1523" t="s">
        <v>80</v>
      </c>
      <c r="D580" s="1523" t="s">
        <v>125</v>
      </c>
      <c r="E580" s="1523" t="s">
        <v>216</v>
      </c>
      <c r="F580" s="1523"/>
      <c r="G580" s="1667">
        <v>340</v>
      </c>
      <c r="H580" s="1501">
        <v>150</v>
      </c>
      <c r="I580" s="1501"/>
      <c r="J580" s="1630"/>
      <c r="K580" s="1630"/>
      <c r="L580" s="1631"/>
      <c r="M580" s="1631"/>
      <c r="N580" s="1631"/>
      <c r="O580" s="1631"/>
      <c r="P580" s="1631"/>
      <c r="Q580" s="1631"/>
      <c r="R580" s="1631"/>
      <c r="S580" s="1631"/>
      <c r="T580" s="1632"/>
      <c r="U580" s="1633"/>
      <c r="V580" s="1633"/>
      <c r="W580" s="1634"/>
      <c r="X580" s="1634"/>
      <c r="Y580" s="1634"/>
      <c r="Z580" s="1635"/>
      <c r="AA580" s="1634">
        <f t="shared" si="389"/>
        <v>0</v>
      </c>
      <c r="AB580" s="1634"/>
      <c r="AC580" s="1508">
        <f t="shared" si="402"/>
        <v>150</v>
      </c>
      <c r="AD580" s="1509">
        <f t="shared" si="403"/>
        <v>0</v>
      </c>
      <c r="AE580" s="1509">
        <f t="shared" si="404"/>
        <v>0</v>
      </c>
      <c r="AF580" s="1509">
        <f t="shared" si="404"/>
        <v>0</v>
      </c>
      <c r="AG580" s="1509">
        <f t="shared" si="404"/>
        <v>0</v>
      </c>
      <c r="AH580" s="1490">
        <f t="shared" si="380"/>
        <v>40.6</v>
      </c>
      <c r="AI580" s="1636">
        <f t="shared" si="405"/>
        <v>0</v>
      </c>
      <c r="AJ580" s="1636">
        <f t="shared" si="406"/>
        <v>0</v>
      </c>
      <c r="AK580" s="1636">
        <f t="shared" si="407"/>
        <v>0</v>
      </c>
      <c r="AL580" s="1636">
        <f t="shared" si="400"/>
        <v>0</v>
      </c>
      <c r="AM580" s="1636">
        <f t="shared" si="400"/>
        <v>0</v>
      </c>
      <c r="AN580" s="1637"/>
      <c r="AO580" s="1722">
        <v>9.4</v>
      </c>
      <c r="AP580" s="1638"/>
      <c r="AQ580" s="1638"/>
      <c r="AR580" s="1638"/>
      <c r="AS580" s="1639"/>
      <c r="AT580" s="1638"/>
      <c r="AU580" s="1638"/>
      <c r="AV580" s="1638"/>
      <c r="AW580" s="1639"/>
      <c r="AX580" s="1640"/>
      <c r="AY580" s="1640"/>
      <c r="AZ580" s="1640"/>
      <c r="BA580" s="1641"/>
      <c r="BB580" s="1640"/>
      <c r="BC580" s="1640"/>
      <c r="BD580" s="1640"/>
      <c r="BE580" s="1644"/>
      <c r="BF580" s="1640"/>
      <c r="BG580" s="1640"/>
      <c r="BH580" s="1640"/>
      <c r="BI580" s="1641">
        <v>100</v>
      </c>
      <c r="BJ580" s="1640"/>
      <c r="BK580" s="1640"/>
      <c r="BL580" s="1640"/>
      <c r="BM580" s="1641"/>
      <c r="BN580" s="1640"/>
      <c r="BO580" s="1640"/>
      <c r="BP580" s="1640"/>
      <c r="BQ580" s="1641"/>
      <c r="BR580" s="1640"/>
      <c r="BS580" s="1640"/>
      <c r="BT580" s="1640"/>
      <c r="BU580" s="1641"/>
      <c r="BV580" s="1640"/>
      <c r="BW580" s="1640"/>
      <c r="BX580" s="1640"/>
      <c r="BY580" s="1641"/>
      <c r="BZ580" s="1640"/>
      <c r="CA580" s="1640"/>
      <c r="CB580" s="1640"/>
      <c r="CC580" s="1641"/>
      <c r="CD580" s="1640"/>
      <c r="CE580" s="1640"/>
      <c r="CF580" s="1640"/>
      <c r="CG580" s="1642"/>
      <c r="CH580" s="1641">
        <f t="shared" si="390"/>
        <v>40.6</v>
      </c>
      <c r="CI580" s="1641">
        <f t="shared" si="390"/>
        <v>0</v>
      </c>
      <c r="CJ580" s="1641">
        <f t="shared" si="390"/>
        <v>0</v>
      </c>
      <c r="CK580" s="1641">
        <f t="shared" si="390"/>
        <v>0</v>
      </c>
      <c r="CL580" s="1889">
        <v>40.6</v>
      </c>
      <c r="CM580" s="1889">
        <v>0</v>
      </c>
      <c r="CN580" s="1889">
        <v>0</v>
      </c>
      <c r="CO580" s="1889">
        <v>0</v>
      </c>
      <c r="CP580" s="1641"/>
      <c r="CQ580" s="1640"/>
      <c r="CR580" s="1640"/>
      <c r="CS580" s="1640"/>
    </row>
    <row r="581" spans="1:107" ht="15" thickBot="1" x14ac:dyDescent="0.2">
      <c r="A581" s="1528" t="s">
        <v>767</v>
      </c>
      <c r="B581" s="1530" t="s">
        <v>79</v>
      </c>
      <c r="C581" s="1530" t="s">
        <v>80</v>
      </c>
      <c r="D581" s="1530" t="s">
        <v>125</v>
      </c>
      <c r="E581" s="1530" t="s">
        <v>216</v>
      </c>
      <c r="F581" s="1530">
        <v>612</v>
      </c>
      <c r="G581" s="1687" t="s">
        <v>766</v>
      </c>
      <c r="H581" s="1647">
        <f>I567</f>
        <v>1233.2190000000001</v>
      </c>
      <c r="I581" s="1645"/>
      <c r="J581" s="1630"/>
      <c r="K581" s="1630"/>
      <c r="L581" s="1631"/>
      <c r="M581" s="1631"/>
      <c r="N581" s="1631"/>
      <c r="O581" s="1631"/>
      <c r="P581" s="1631"/>
      <c r="Q581" s="1631"/>
      <c r="R581" s="1631"/>
      <c r="S581" s="1631"/>
      <c r="T581" s="1632"/>
      <c r="U581" s="1633"/>
      <c r="V581" s="1633"/>
      <c r="W581" s="1634"/>
      <c r="X581" s="1634"/>
      <c r="Y581" s="1634"/>
      <c r="Z581" s="1635"/>
      <c r="AA581" s="1634">
        <f t="shared" si="389"/>
        <v>0</v>
      </c>
      <c r="AB581" s="1634"/>
      <c r="AC581" s="1508"/>
      <c r="AD581" s="1509"/>
      <c r="AE581" s="1509"/>
      <c r="AF581" s="1509"/>
      <c r="AG581" s="1509"/>
      <c r="AH581" s="1490">
        <f t="shared" si="380"/>
        <v>0</v>
      </c>
      <c r="AI581" s="1636"/>
      <c r="AJ581" s="1636"/>
      <c r="AK581" s="1636"/>
      <c r="AL581" s="1636">
        <f t="shared" si="400"/>
        <v>0</v>
      </c>
      <c r="AM581" s="1636"/>
      <c r="AN581" s="1712"/>
      <c r="AO581" s="1713"/>
      <c r="AP581" s="1638"/>
      <c r="AQ581" s="1638"/>
      <c r="AR581" s="1638"/>
      <c r="AS581" s="1639"/>
      <c r="AT581" s="1638"/>
      <c r="AU581" s="1638"/>
      <c r="AV581" s="1638"/>
      <c r="AW581" s="1639"/>
      <c r="AX581" s="1640"/>
      <c r="AY581" s="1640"/>
      <c r="AZ581" s="1640"/>
      <c r="BA581" s="1641"/>
      <c r="BB581" s="1640"/>
      <c r="BC581" s="1640"/>
      <c r="BD581" s="1640"/>
      <c r="BE581" s="1644"/>
      <c r="BF581" s="1640"/>
      <c r="BG581" s="1640"/>
      <c r="BH581" s="1640"/>
      <c r="BI581" s="1641"/>
      <c r="BJ581" s="1640"/>
      <c r="BK581" s="1640"/>
      <c r="BL581" s="1640"/>
      <c r="BM581" s="1641"/>
      <c r="BN581" s="1640"/>
      <c r="BO581" s="1640"/>
      <c r="BP581" s="1640"/>
      <c r="BQ581" s="1641"/>
      <c r="BR581" s="1640"/>
      <c r="BS581" s="1640"/>
      <c r="BT581" s="1640"/>
      <c r="BU581" s="1641"/>
      <c r="BV581" s="1640"/>
      <c r="BW581" s="1640"/>
      <c r="BX581" s="1640"/>
      <c r="BY581" s="1641"/>
      <c r="BZ581" s="1640"/>
      <c r="CA581" s="1640"/>
      <c r="CB581" s="1640"/>
      <c r="CC581" s="1641"/>
      <c r="CD581" s="1640"/>
      <c r="CE581" s="1640"/>
      <c r="CF581" s="1640"/>
      <c r="CG581" s="1642"/>
      <c r="CH581" s="1641">
        <f t="shared" si="390"/>
        <v>0</v>
      </c>
      <c r="CI581" s="1641">
        <f t="shared" si="390"/>
        <v>0</v>
      </c>
      <c r="CJ581" s="1641">
        <f t="shared" si="390"/>
        <v>0</v>
      </c>
      <c r="CK581" s="1641">
        <f t="shared" si="390"/>
        <v>0</v>
      </c>
      <c r="CL581" s="1898"/>
      <c r="CM581" s="1898"/>
      <c r="CN581" s="1889">
        <v>0</v>
      </c>
      <c r="CO581" s="1898"/>
      <c r="CP581" s="1641"/>
      <c r="CQ581" s="1640"/>
      <c r="CR581" s="1640"/>
      <c r="CS581" s="1640"/>
    </row>
    <row r="582" spans="1:107" s="1886" customFormat="1" ht="40" thickBot="1" x14ac:dyDescent="0.2">
      <c r="A582" s="1873" t="s">
        <v>1279</v>
      </c>
      <c r="B582" s="1941" t="s">
        <v>79</v>
      </c>
      <c r="C582" s="1941" t="s">
        <v>80</v>
      </c>
      <c r="D582" s="1941" t="s">
        <v>125</v>
      </c>
      <c r="E582" s="1941" t="s">
        <v>216</v>
      </c>
      <c r="F582" s="1941"/>
      <c r="G582" s="1874"/>
      <c r="H582" s="1606">
        <f>H583+H597</f>
        <v>27578.7</v>
      </c>
      <c r="I582" s="1606">
        <f>I583+I597</f>
        <v>0</v>
      </c>
      <c r="J582" s="1606">
        <f>J583+J597</f>
        <v>0</v>
      </c>
      <c r="K582" s="1606">
        <f t="shared" ref="K582:CF582" si="408">K583+K597</f>
        <v>0</v>
      </c>
      <c r="L582" s="1607"/>
      <c r="M582" s="1607"/>
      <c r="N582" s="1607"/>
      <c r="O582" s="1607"/>
      <c r="P582" s="1607"/>
      <c r="Q582" s="1607"/>
      <c r="R582" s="1607"/>
      <c r="S582" s="1607"/>
      <c r="T582" s="1608"/>
      <c r="U582" s="1609"/>
      <c r="V582" s="1609"/>
      <c r="W582" s="1610"/>
      <c r="X582" s="1610"/>
      <c r="Y582" s="1610"/>
      <c r="Z582" s="1611"/>
      <c r="AA582" s="1634">
        <f t="shared" si="389"/>
        <v>0</v>
      </c>
      <c r="AB582" s="1610"/>
      <c r="AC582" s="1612">
        <f t="shared" si="408"/>
        <v>27578.7</v>
      </c>
      <c r="AD582" s="1612">
        <f t="shared" si="408"/>
        <v>0</v>
      </c>
      <c r="AE582" s="1612">
        <f t="shared" si="408"/>
        <v>0</v>
      </c>
      <c r="AF582" s="1612">
        <f t="shared" si="408"/>
        <v>0</v>
      </c>
      <c r="AG582" s="1612">
        <f t="shared" si="408"/>
        <v>0</v>
      </c>
      <c r="AH582" s="1490">
        <f t="shared" si="380"/>
        <v>1057.894</v>
      </c>
      <c r="AI582" s="1613">
        <f t="shared" si="408"/>
        <v>0</v>
      </c>
      <c r="AJ582" s="1613">
        <f t="shared" si="408"/>
        <v>0</v>
      </c>
      <c r="AK582" s="1613">
        <f t="shared" si="408"/>
        <v>0</v>
      </c>
      <c r="AL582" s="1636">
        <f t="shared" si="400"/>
        <v>0</v>
      </c>
      <c r="AM582" s="1613">
        <f t="shared" si="408"/>
        <v>0</v>
      </c>
      <c r="AN582" s="1614"/>
      <c r="AO582" s="1606">
        <f t="shared" si="408"/>
        <v>2289.6</v>
      </c>
      <c r="AP582" s="1606">
        <f t="shared" si="408"/>
        <v>0</v>
      </c>
      <c r="AQ582" s="1606">
        <f t="shared" si="408"/>
        <v>0</v>
      </c>
      <c r="AR582" s="1606">
        <f t="shared" si="408"/>
        <v>0</v>
      </c>
      <c r="AS582" s="1611">
        <f t="shared" si="408"/>
        <v>2133.1999999999998</v>
      </c>
      <c r="AT582" s="1606">
        <f t="shared" si="408"/>
        <v>0</v>
      </c>
      <c r="AU582" s="1606">
        <f t="shared" si="408"/>
        <v>0</v>
      </c>
      <c r="AV582" s="1606">
        <f t="shared" si="408"/>
        <v>0</v>
      </c>
      <c r="AW582" s="1611">
        <f t="shared" si="408"/>
        <v>2073.1999999999998</v>
      </c>
      <c r="AX582" s="1606">
        <f t="shared" si="408"/>
        <v>0</v>
      </c>
      <c r="AY582" s="1606">
        <f t="shared" si="408"/>
        <v>0</v>
      </c>
      <c r="AZ582" s="1606">
        <f t="shared" si="408"/>
        <v>0</v>
      </c>
      <c r="BA582" s="1614">
        <f t="shared" si="408"/>
        <v>2073.1999999999998</v>
      </c>
      <c r="BB582" s="1606">
        <f t="shared" si="408"/>
        <v>0</v>
      </c>
      <c r="BC582" s="1606">
        <f t="shared" si="408"/>
        <v>0</v>
      </c>
      <c r="BD582" s="1606">
        <f t="shared" si="408"/>
        <v>0</v>
      </c>
      <c r="BE582" s="1615">
        <f t="shared" si="408"/>
        <v>2766</v>
      </c>
      <c r="BF582" s="1606">
        <f t="shared" si="408"/>
        <v>0</v>
      </c>
      <c r="BG582" s="1606">
        <f t="shared" si="408"/>
        <v>0</v>
      </c>
      <c r="BH582" s="1606">
        <f t="shared" si="408"/>
        <v>0</v>
      </c>
      <c r="BI582" s="1614">
        <f t="shared" si="408"/>
        <v>678.63400000000001</v>
      </c>
      <c r="BJ582" s="1606">
        <f t="shared" si="408"/>
        <v>0</v>
      </c>
      <c r="BK582" s="1606">
        <f t="shared" si="408"/>
        <v>0</v>
      </c>
      <c r="BL582" s="1606">
        <f t="shared" si="408"/>
        <v>0</v>
      </c>
      <c r="BM582" s="1614">
        <f t="shared" si="408"/>
        <v>5788.9659999999994</v>
      </c>
      <c r="BN582" s="1606">
        <f t="shared" si="408"/>
        <v>0</v>
      </c>
      <c r="BO582" s="1606">
        <f t="shared" si="408"/>
        <v>0</v>
      </c>
      <c r="BP582" s="1606">
        <f t="shared" si="408"/>
        <v>0</v>
      </c>
      <c r="BQ582" s="1614">
        <f t="shared" si="408"/>
        <v>2246.9459999999995</v>
      </c>
      <c r="BR582" s="1606">
        <f t="shared" si="408"/>
        <v>0</v>
      </c>
      <c r="BS582" s="1606">
        <f t="shared" si="408"/>
        <v>0</v>
      </c>
      <c r="BT582" s="1606">
        <f t="shared" si="408"/>
        <v>0</v>
      </c>
      <c r="BU582" s="1614">
        <f t="shared" si="408"/>
        <v>2322.4</v>
      </c>
      <c r="BV582" s="1606">
        <f t="shared" si="408"/>
        <v>0</v>
      </c>
      <c r="BW582" s="1606">
        <f t="shared" si="408"/>
        <v>0</v>
      </c>
      <c r="BX582" s="1606">
        <f t="shared" si="408"/>
        <v>0</v>
      </c>
      <c r="BY582" s="1614">
        <f t="shared" si="408"/>
        <v>617.96</v>
      </c>
      <c r="BZ582" s="1606">
        <f t="shared" si="408"/>
        <v>0</v>
      </c>
      <c r="CA582" s="1606">
        <f t="shared" si="408"/>
        <v>0</v>
      </c>
      <c r="CB582" s="1606">
        <f t="shared" si="408"/>
        <v>0</v>
      </c>
      <c r="CC582" s="1614">
        <f t="shared" si="408"/>
        <v>3530.7</v>
      </c>
      <c r="CD582" s="1606">
        <f t="shared" si="408"/>
        <v>0</v>
      </c>
      <c r="CE582" s="1606">
        <f t="shared" si="408"/>
        <v>0</v>
      </c>
      <c r="CF582" s="1606">
        <f t="shared" si="408"/>
        <v>0</v>
      </c>
      <c r="CG582" s="1616"/>
      <c r="CH582" s="1641">
        <f t="shared" si="390"/>
        <v>1057.894</v>
      </c>
      <c r="CI582" s="1641">
        <f t="shared" si="390"/>
        <v>0</v>
      </c>
      <c r="CJ582" s="1641">
        <f t="shared" si="390"/>
        <v>0</v>
      </c>
      <c r="CK582" s="1641">
        <f t="shared" si="390"/>
        <v>0</v>
      </c>
      <c r="CL582" s="1942">
        <v>1057.894</v>
      </c>
      <c r="CM582" s="1943">
        <v>0</v>
      </c>
      <c r="CN582" s="1889">
        <v>0</v>
      </c>
      <c r="CO582" s="1943">
        <v>0</v>
      </c>
      <c r="CP582" s="1614">
        <f>CP583+CP597</f>
        <v>0</v>
      </c>
      <c r="CQ582" s="1606">
        <f>CQ583+CQ597</f>
        <v>0</v>
      </c>
      <c r="CR582" s="1606">
        <f>CR583+CR597</f>
        <v>0</v>
      </c>
      <c r="CS582" s="1606">
        <f>CS583+CS597</f>
        <v>0</v>
      </c>
      <c r="CT582" s="1885"/>
      <c r="CU582" s="1885"/>
      <c r="CV582" s="1885"/>
      <c r="CW582" s="1885"/>
      <c r="CY582" s="1885"/>
    </row>
    <row r="583" spans="1:107" ht="53" thickBot="1" x14ac:dyDescent="0.2">
      <c r="A583" s="1748" t="s">
        <v>1135</v>
      </c>
      <c r="B583" s="1749" t="s">
        <v>79</v>
      </c>
      <c r="C583" s="1749" t="s">
        <v>80</v>
      </c>
      <c r="D583" s="1749" t="s">
        <v>125</v>
      </c>
      <c r="E583" s="1749" t="s">
        <v>216</v>
      </c>
      <c r="F583" s="1749" t="s">
        <v>765</v>
      </c>
      <c r="G583" s="1600" t="s">
        <v>766</v>
      </c>
      <c r="H583" s="1531">
        <f>H584+H585+H586+H587+H588+H589+H590+H591+H592+H593+H594+H595+H596</f>
        <v>27578.7</v>
      </c>
      <c r="I583" s="1531">
        <f>I584+I585+I586+I587+I588+I589+I590+I591+I592+I593+I594+I595+I596</f>
        <v>0</v>
      </c>
      <c r="J583" s="1531">
        <f>J584+J585+J586+J587+J588+J589+J590+J591+J592+J593+J594+J595+J596</f>
        <v>0</v>
      </c>
      <c r="K583" s="1531">
        <f t="shared" ref="K583:CF583" si="409">K584+K585+K586+K587+K588+K589+K590+K591+K592+K593+K594+K595+K596</f>
        <v>0</v>
      </c>
      <c r="L583" s="1601"/>
      <c r="M583" s="1601"/>
      <c r="N583" s="1601"/>
      <c r="O583" s="1601"/>
      <c r="P583" s="1601"/>
      <c r="Q583" s="1601"/>
      <c r="R583" s="1601"/>
      <c r="S583" s="1601"/>
      <c r="T583" s="1602"/>
      <c r="U583" s="1533"/>
      <c r="V583" s="1533"/>
      <c r="W583" s="1534"/>
      <c r="X583" s="1534"/>
      <c r="Y583" s="1534"/>
      <c r="Z583" s="1535"/>
      <c r="AA583" s="1634">
        <f t="shared" si="389"/>
        <v>0</v>
      </c>
      <c r="AB583" s="1534"/>
      <c r="AC583" s="1603">
        <f t="shared" si="409"/>
        <v>27578.7</v>
      </c>
      <c r="AD583" s="1603">
        <f t="shared" si="409"/>
        <v>0</v>
      </c>
      <c r="AE583" s="1603">
        <f t="shared" si="409"/>
        <v>0</v>
      </c>
      <c r="AF583" s="1603">
        <f t="shared" si="409"/>
        <v>0</v>
      </c>
      <c r="AG583" s="1603">
        <f t="shared" si="409"/>
        <v>0</v>
      </c>
      <c r="AH583" s="1490">
        <f t="shared" si="380"/>
        <v>1057.894</v>
      </c>
      <c r="AI583" s="1592">
        <f t="shared" si="409"/>
        <v>0</v>
      </c>
      <c r="AJ583" s="1592">
        <f t="shared" si="409"/>
        <v>0</v>
      </c>
      <c r="AK583" s="1592">
        <f t="shared" si="409"/>
        <v>0</v>
      </c>
      <c r="AL583" s="1636">
        <f t="shared" si="400"/>
        <v>0</v>
      </c>
      <c r="AM583" s="1592">
        <f t="shared" si="409"/>
        <v>0</v>
      </c>
      <c r="AN583" s="1706"/>
      <c r="AO583" s="1707">
        <f t="shared" si="409"/>
        <v>2289.6</v>
      </c>
      <c r="AP583" s="1531">
        <f t="shared" si="409"/>
        <v>0</v>
      </c>
      <c r="AQ583" s="1531">
        <f t="shared" si="409"/>
        <v>0</v>
      </c>
      <c r="AR583" s="1531">
        <f t="shared" si="409"/>
        <v>0</v>
      </c>
      <c r="AS583" s="1535">
        <f t="shared" si="409"/>
        <v>2133.1999999999998</v>
      </c>
      <c r="AT583" s="1531">
        <f t="shared" si="409"/>
        <v>0</v>
      </c>
      <c r="AU583" s="1531">
        <f t="shared" si="409"/>
        <v>0</v>
      </c>
      <c r="AV583" s="1531">
        <f t="shared" si="409"/>
        <v>0</v>
      </c>
      <c r="AW583" s="1535">
        <f t="shared" si="409"/>
        <v>2073.1999999999998</v>
      </c>
      <c r="AX583" s="1531">
        <f t="shared" si="409"/>
        <v>0</v>
      </c>
      <c r="AY583" s="1531">
        <f t="shared" si="409"/>
        <v>0</v>
      </c>
      <c r="AZ583" s="1531">
        <f t="shared" si="409"/>
        <v>0</v>
      </c>
      <c r="BA583" s="1538">
        <f t="shared" si="409"/>
        <v>2073.1999999999998</v>
      </c>
      <c r="BB583" s="1531">
        <f t="shared" si="409"/>
        <v>0</v>
      </c>
      <c r="BC583" s="1531">
        <f t="shared" si="409"/>
        <v>0</v>
      </c>
      <c r="BD583" s="1531">
        <f t="shared" si="409"/>
        <v>0</v>
      </c>
      <c r="BE583" s="1539">
        <f t="shared" si="409"/>
        <v>2766</v>
      </c>
      <c r="BF583" s="1531">
        <f t="shared" si="409"/>
        <v>0</v>
      </c>
      <c r="BG583" s="1531">
        <f t="shared" si="409"/>
        <v>0</v>
      </c>
      <c r="BH583" s="1531">
        <f t="shared" si="409"/>
        <v>0</v>
      </c>
      <c r="BI583" s="1538">
        <f t="shared" si="409"/>
        <v>678.63400000000001</v>
      </c>
      <c r="BJ583" s="1531">
        <f t="shared" si="409"/>
        <v>0</v>
      </c>
      <c r="BK583" s="1531">
        <f t="shared" si="409"/>
        <v>0</v>
      </c>
      <c r="BL583" s="1531">
        <f t="shared" si="409"/>
        <v>0</v>
      </c>
      <c r="BM583" s="1538">
        <f t="shared" si="409"/>
        <v>5788.9659999999994</v>
      </c>
      <c r="BN583" s="1531">
        <f t="shared" si="409"/>
        <v>0</v>
      </c>
      <c r="BO583" s="1531">
        <f t="shared" si="409"/>
        <v>0</v>
      </c>
      <c r="BP583" s="1531">
        <f t="shared" si="409"/>
        <v>0</v>
      </c>
      <c r="BQ583" s="1538">
        <f t="shared" si="409"/>
        <v>2246.9459999999995</v>
      </c>
      <c r="BR583" s="1531">
        <f t="shared" si="409"/>
        <v>0</v>
      </c>
      <c r="BS583" s="1531">
        <f t="shared" si="409"/>
        <v>0</v>
      </c>
      <c r="BT583" s="1531">
        <f t="shared" si="409"/>
        <v>0</v>
      </c>
      <c r="BU583" s="1538">
        <f t="shared" si="409"/>
        <v>2322.4</v>
      </c>
      <c r="BV583" s="1531">
        <f t="shared" si="409"/>
        <v>0</v>
      </c>
      <c r="BW583" s="1531">
        <f t="shared" si="409"/>
        <v>0</v>
      </c>
      <c r="BX583" s="1531">
        <f t="shared" si="409"/>
        <v>0</v>
      </c>
      <c r="BY583" s="1538">
        <f t="shared" si="409"/>
        <v>617.96</v>
      </c>
      <c r="BZ583" s="1531">
        <f t="shared" si="409"/>
        <v>0</v>
      </c>
      <c r="CA583" s="1531">
        <f t="shared" si="409"/>
        <v>0</v>
      </c>
      <c r="CB583" s="1531">
        <f t="shared" si="409"/>
        <v>0</v>
      </c>
      <c r="CC583" s="1538">
        <f t="shared" si="409"/>
        <v>3530.7</v>
      </c>
      <c r="CD583" s="1531">
        <f t="shared" si="409"/>
        <v>0</v>
      </c>
      <c r="CE583" s="1531">
        <f t="shared" si="409"/>
        <v>0</v>
      </c>
      <c r="CF583" s="1531">
        <f t="shared" si="409"/>
        <v>0</v>
      </c>
      <c r="CG583" s="1705"/>
      <c r="CH583" s="1641">
        <f t="shared" si="390"/>
        <v>1057.894</v>
      </c>
      <c r="CI583" s="1641">
        <f t="shared" si="390"/>
        <v>0</v>
      </c>
      <c r="CJ583" s="1641">
        <f t="shared" si="390"/>
        <v>0</v>
      </c>
      <c r="CK583" s="1641">
        <f t="shared" si="390"/>
        <v>0</v>
      </c>
      <c r="CL583" s="1901">
        <v>1057.894</v>
      </c>
      <c r="CM583" s="1902">
        <v>0</v>
      </c>
      <c r="CN583" s="1889">
        <v>0</v>
      </c>
      <c r="CO583" s="1902">
        <v>0</v>
      </c>
      <c r="CP583" s="1538">
        <f>CP584+CP585+CP586+CP587+CP588+CP589+CP590+CP591+CP592+CP593+CP594+CP595+CP596</f>
        <v>0</v>
      </c>
      <c r="CQ583" s="1531">
        <f>CQ584+CQ585+CQ586+CQ587+CQ588+CQ589+CQ590+CQ591+CQ592+CQ593+CQ594+CQ595+CQ596</f>
        <v>0</v>
      </c>
      <c r="CR583" s="1531">
        <f>CR584+CR585+CR586+CR587+CR588+CR589+CR590+CR591+CR592+CR593+CR594+CR595+CR596</f>
        <v>0</v>
      </c>
      <c r="CS583" s="1531">
        <f>CS584+CS585+CS586+CS587+CS588+CS589+CS590+CS591+CS592+CS593+CS594+CS595+CS596</f>
        <v>0</v>
      </c>
    </row>
    <row r="584" spans="1:107" ht="15" thickBot="1" x14ac:dyDescent="0.2">
      <c r="A584" s="1541" t="s">
        <v>78</v>
      </c>
      <c r="B584" s="1523" t="s">
        <v>79</v>
      </c>
      <c r="C584" s="1523" t="s">
        <v>80</v>
      </c>
      <c r="D584" s="1523" t="s">
        <v>125</v>
      </c>
      <c r="E584" s="1523" t="s">
        <v>216</v>
      </c>
      <c r="F584" s="1523"/>
      <c r="G584" s="1667">
        <v>211</v>
      </c>
      <c r="H584" s="1501">
        <v>19107.3</v>
      </c>
      <c r="I584" s="1501"/>
      <c r="J584" s="1630"/>
      <c r="K584" s="1630"/>
      <c r="L584" s="1631"/>
      <c r="M584" s="1631"/>
      <c r="N584" s="1631"/>
      <c r="O584" s="1631"/>
      <c r="P584" s="1631"/>
      <c r="Q584" s="1631"/>
      <c r="R584" s="1631"/>
      <c r="S584" s="1631"/>
      <c r="T584" s="1632"/>
      <c r="U584" s="1633"/>
      <c r="V584" s="1633"/>
      <c r="W584" s="1634">
        <f>H584/12</f>
        <v>1592.2749999999999</v>
      </c>
      <c r="X584" s="1634">
        <f>AO584</f>
        <v>1592.3</v>
      </c>
      <c r="Y584" s="1634">
        <f>CC584</f>
        <v>2681.3999999999996</v>
      </c>
      <c r="Z584" s="1635">
        <v>1752.6</v>
      </c>
      <c r="AA584" s="1634">
        <f t="shared" si="389"/>
        <v>-1752.6</v>
      </c>
      <c r="AB584" s="1511">
        <f>AI584</f>
        <v>0</v>
      </c>
      <c r="AC584" s="1508">
        <f t="shared" ref="AC584:AC596" si="410">AO584+AS584+AW584+BA584+BE584+BI584+BM584+BQ584+BU584+BY584+CC584+CH584</f>
        <v>19107.3</v>
      </c>
      <c r="AD584" s="1509">
        <f t="shared" ref="AD584:AD596" si="411">AE584+AF584+AG584</f>
        <v>0</v>
      </c>
      <c r="AE584" s="1509">
        <f t="shared" ref="AE584:AG596" si="412">AP584+AT584+AX584+BB584+BF584+BJ584+BN584+BR584+BV584+BZ584+CD584+CI584</f>
        <v>0</v>
      </c>
      <c r="AF584" s="1509">
        <f t="shared" si="412"/>
        <v>0</v>
      </c>
      <c r="AG584" s="1509">
        <f t="shared" si="412"/>
        <v>0</v>
      </c>
      <c r="AH584" s="1490">
        <f t="shared" si="380"/>
        <v>414.64</v>
      </c>
      <c r="AI584" s="1636">
        <f t="shared" ref="AI584:AI596" si="413">H584-AC584</f>
        <v>0</v>
      </c>
      <c r="AJ584" s="1636">
        <f t="shared" ref="AJ584:AJ596" si="414">AK584+AL584+AM584</f>
        <v>0</v>
      </c>
      <c r="AK584" s="1636">
        <f t="shared" ref="AK584:AK596" si="415">I584-AE584</f>
        <v>0</v>
      </c>
      <c r="AL584" s="1636">
        <f t="shared" si="400"/>
        <v>0</v>
      </c>
      <c r="AM584" s="1636">
        <f t="shared" si="400"/>
        <v>0</v>
      </c>
      <c r="AN584" s="1637">
        <f>AI584/4</f>
        <v>0</v>
      </c>
      <c r="AO584" s="1708">
        <v>1592.3</v>
      </c>
      <c r="AP584" s="1638"/>
      <c r="AQ584" s="1638"/>
      <c r="AR584" s="1638"/>
      <c r="AS584" s="1936">
        <v>1592.3</v>
      </c>
      <c r="AT584" s="1638"/>
      <c r="AU584" s="1638"/>
      <c r="AV584" s="1638"/>
      <c r="AW584" s="1708">
        <v>1592.3</v>
      </c>
      <c r="AX584" s="1640"/>
      <c r="AY584" s="1640"/>
      <c r="AZ584" s="1640"/>
      <c r="BA584" s="1934">
        <v>1592.3</v>
      </c>
      <c r="BB584" s="1640"/>
      <c r="BC584" s="1640"/>
      <c r="BD584" s="1640"/>
      <c r="BE584" s="1934">
        <v>1592.3</v>
      </c>
      <c r="BF584" s="1640"/>
      <c r="BG584" s="1640"/>
      <c r="BH584" s="1640"/>
      <c r="BI584" s="1641">
        <f>510.634</f>
        <v>510.63400000000001</v>
      </c>
      <c r="BJ584" s="1640"/>
      <c r="BK584" s="1640"/>
      <c r="BL584" s="1640"/>
      <c r="BM584" s="1641">
        <f>1081.666+3184.6</f>
        <v>4266.2659999999996</v>
      </c>
      <c r="BN584" s="1640"/>
      <c r="BO584" s="1640"/>
      <c r="BP584" s="1640"/>
      <c r="BQ584" s="1641">
        <v>1592.3</v>
      </c>
      <c r="BR584" s="1640"/>
      <c r="BS584" s="1640"/>
      <c r="BT584" s="1640"/>
      <c r="BU584" s="1641">
        <v>1194.2</v>
      </c>
      <c r="BV584" s="1640"/>
      <c r="BW584" s="1640"/>
      <c r="BX584" s="1640"/>
      <c r="BY584" s="1641">
        <f>358.26+128.1</f>
        <v>486.36</v>
      </c>
      <c r="BZ584" s="1640"/>
      <c r="CA584" s="1640"/>
      <c r="CB584" s="1640"/>
      <c r="CC584" s="1641">
        <f>928.8+1752.6</f>
        <v>2681.3999999999996</v>
      </c>
      <c r="CD584" s="1640"/>
      <c r="CE584" s="1640"/>
      <c r="CF584" s="1640"/>
      <c r="CG584" s="1642"/>
      <c r="CH584" s="1641">
        <f t="shared" si="390"/>
        <v>414.64</v>
      </c>
      <c r="CI584" s="1641">
        <f t="shared" si="390"/>
        <v>0</v>
      </c>
      <c r="CJ584" s="1641">
        <f t="shared" si="390"/>
        <v>0</v>
      </c>
      <c r="CK584" s="1641">
        <f t="shared" si="390"/>
        <v>0</v>
      </c>
      <c r="CL584" s="1889">
        <v>414.64</v>
      </c>
      <c r="CM584" s="1889">
        <v>0</v>
      </c>
      <c r="CN584" s="1889">
        <v>0</v>
      </c>
      <c r="CO584" s="1889">
        <v>0</v>
      </c>
      <c r="CP584" s="1641"/>
      <c r="CQ584" s="1640"/>
      <c r="CR584" s="1640"/>
      <c r="CS584" s="1640"/>
      <c r="CX584" s="1558">
        <f>H584/12*10-AC584</f>
        <v>-3184.5500000000011</v>
      </c>
      <c r="CY584" s="1558">
        <f>AI584/3</f>
        <v>0</v>
      </c>
      <c r="CZ584" s="1558">
        <f>H584/12</f>
        <v>1592.2749999999999</v>
      </c>
      <c r="DA584" s="1559"/>
      <c r="DB584" s="1559"/>
      <c r="DC584" s="1559"/>
    </row>
    <row r="585" spans="1:107" ht="15" thickBot="1" x14ac:dyDescent="0.2">
      <c r="A585" s="1541" t="s">
        <v>103</v>
      </c>
      <c r="B585" s="1523" t="s">
        <v>79</v>
      </c>
      <c r="C585" s="1523" t="s">
        <v>80</v>
      </c>
      <c r="D585" s="1523" t="s">
        <v>125</v>
      </c>
      <c r="E585" s="1523" t="s">
        <v>216</v>
      </c>
      <c r="F585" s="1523"/>
      <c r="G585" s="1667">
        <v>212</v>
      </c>
      <c r="H585" s="1501"/>
      <c r="I585" s="1501"/>
      <c r="J585" s="1630"/>
      <c r="K585" s="1630"/>
      <c r="L585" s="1631"/>
      <c r="M585" s="1631"/>
      <c r="N585" s="1631"/>
      <c r="O585" s="1631"/>
      <c r="P585" s="1631"/>
      <c r="Q585" s="1631"/>
      <c r="R585" s="1631"/>
      <c r="S585" s="1631"/>
      <c r="T585" s="1632"/>
      <c r="U585" s="1633"/>
      <c r="V585" s="1633"/>
      <c r="W585" s="1634"/>
      <c r="X585" s="1634"/>
      <c r="Y585" s="1634">
        <f>CC585</f>
        <v>0</v>
      </c>
      <c r="Z585" s="1635">
        <f>AI585-X585</f>
        <v>0</v>
      </c>
      <c r="AA585" s="1634">
        <f t="shared" si="389"/>
        <v>0</v>
      </c>
      <c r="AB585" s="1511"/>
      <c r="AC585" s="1508">
        <f t="shared" si="410"/>
        <v>0</v>
      </c>
      <c r="AD585" s="1509">
        <f t="shared" si="411"/>
        <v>0</v>
      </c>
      <c r="AE585" s="1509">
        <f t="shared" si="412"/>
        <v>0</v>
      </c>
      <c r="AF585" s="1509">
        <f t="shared" si="412"/>
        <v>0</v>
      </c>
      <c r="AG585" s="1509">
        <f t="shared" si="412"/>
        <v>0</v>
      </c>
      <c r="AH585" s="1490">
        <f t="shared" si="380"/>
        <v>0</v>
      </c>
      <c r="AI585" s="1636">
        <f t="shared" si="413"/>
        <v>0</v>
      </c>
      <c r="AJ585" s="1636">
        <f t="shared" si="414"/>
        <v>0</v>
      </c>
      <c r="AK585" s="1636">
        <f t="shared" si="415"/>
        <v>0</v>
      </c>
      <c r="AL585" s="1636">
        <f t="shared" si="400"/>
        <v>0</v>
      </c>
      <c r="AM585" s="1636">
        <f t="shared" si="400"/>
        <v>0</v>
      </c>
      <c r="AN585" s="1637"/>
      <c r="AO585" s="1708">
        <v>0</v>
      </c>
      <c r="AP585" s="1638"/>
      <c r="AQ585" s="1638"/>
      <c r="AR585" s="1638"/>
      <c r="AS585" s="1936">
        <v>0</v>
      </c>
      <c r="AT585" s="1638"/>
      <c r="AU585" s="1638"/>
      <c r="AV585" s="1638"/>
      <c r="AW585" s="1708">
        <v>0</v>
      </c>
      <c r="AX585" s="1640"/>
      <c r="AY585" s="1640"/>
      <c r="AZ585" s="1640"/>
      <c r="BA585" s="1934">
        <v>0</v>
      </c>
      <c r="BB585" s="1640"/>
      <c r="BC585" s="1640"/>
      <c r="BD585" s="1640"/>
      <c r="BE585" s="1934">
        <v>0</v>
      </c>
      <c r="BF585" s="1640"/>
      <c r="BG585" s="1640"/>
      <c r="BH585" s="1640"/>
      <c r="BI585" s="1641"/>
      <c r="BJ585" s="1640"/>
      <c r="BK585" s="1640"/>
      <c r="BL585" s="1640"/>
      <c r="BM585" s="1641"/>
      <c r="BN585" s="1640"/>
      <c r="BO585" s="1640"/>
      <c r="BP585" s="1640"/>
      <c r="BQ585" s="1641"/>
      <c r="BR585" s="1640"/>
      <c r="BS585" s="1640"/>
      <c r="BT585" s="1640"/>
      <c r="BU585" s="1641"/>
      <c r="BV585" s="1640"/>
      <c r="BW585" s="1640"/>
      <c r="BX585" s="1640"/>
      <c r="BY585" s="1641"/>
      <c r="BZ585" s="1640"/>
      <c r="CA585" s="1640"/>
      <c r="CB585" s="1640"/>
      <c r="CC585" s="1641"/>
      <c r="CD585" s="1640"/>
      <c r="CE585" s="1640"/>
      <c r="CF585" s="1640"/>
      <c r="CG585" s="1642"/>
      <c r="CH585" s="1641">
        <f t="shared" si="390"/>
        <v>0</v>
      </c>
      <c r="CI585" s="1641">
        <f t="shared" si="390"/>
        <v>0</v>
      </c>
      <c r="CJ585" s="1641">
        <f t="shared" si="390"/>
        <v>0</v>
      </c>
      <c r="CK585" s="1641">
        <f t="shared" si="390"/>
        <v>0</v>
      </c>
      <c r="CL585" s="1889">
        <v>0</v>
      </c>
      <c r="CM585" s="1889">
        <v>0</v>
      </c>
      <c r="CN585" s="1889">
        <v>0</v>
      </c>
      <c r="CO585" s="1889">
        <v>0</v>
      </c>
      <c r="CP585" s="1641"/>
      <c r="CQ585" s="1640"/>
      <c r="CR585" s="1640"/>
      <c r="CS585" s="1640"/>
      <c r="CX585" s="1558"/>
      <c r="CY585" s="1558"/>
      <c r="CZ585" s="1558"/>
      <c r="DA585" s="1559"/>
      <c r="DB585" s="1559"/>
      <c r="DC585" s="1559"/>
    </row>
    <row r="586" spans="1:107" ht="15" thickBot="1" x14ac:dyDescent="0.2">
      <c r="A586" s="1541" t="s">
        <v>84</v>
      </c>
      <c r="B586" s="1523" t="s">
        <v>79</v>
      </c>
      <c r="C586" s="1523" t="s">
        <v>80</v>
      </c>
      <c r="D586" s="1523" t="s">
        <v>125</v>
      </c>
      <c r="E586" s="1523" t="s">
        <v>216</v>
      </c>
      <c r="F586" s="1523"/>
      <c r="G586" s="1667">
        <v>213</v>
      </c>
      <c r="H586" s="1501">
        <v>5770.4</v>
      </c>
      <c r="I586" s="1501"/>
      <c r="J586" s="1630"/>
      <c r="K586" s="1630"/>
      <c r="L586" s="1631"/>
      <c r="M586" s="1631"/>
      <c r="N586" s="1631"/>
      <c r="O586" s="1631"/>
      <c r="P586" s="1631"/>
      <c r="Q586" s="1631"/>
      <c r="R586" s="1631"/>
      <c r="S586" s="1631"/>
      <c r="T586" s="1632"/>
      <c r="U586" s="1633"/>
      <c r="V586" s="1633"/>
      <c r="W586" s="1634">
        <f>H586/12</f>
        <v>480.86666666666662</v>
      </c>
      <c r="X586" s="1634">
        <f>AO586</f>
        <v>480.9</v>
      </c>
      <c r="Y586" s="1634">
        <f>CC586</f>
        <v>849.3</v>
      </c>
      <c r="Z586" s="1635">
        <v>849.3</v>
      </c>
      <c r="AA586" s="1634">
        <f t="shared" si="389"/>
        <v>-849.3</v>
      </c>
      <c r="AB586" s="1511">
        <f>AI586</f>
        <v>0</v>
      </c>
      <c r="AC586" s="1508">
        <f t="shared" si="410"/>
        <v>5770.4</v>
      </c>
      <c r="AD586" s="1509">
        <f t="shared" si="411"/>
        <v>0</v>
      </c>
      <c r="AE586" s="1509">
        <f t="shared" si="412"/>
        <v>0</v>
      </c>
      <c r="AF586" s="1509">
        <f t="shared" si="412"/>
        <v>0</v>
      </c>
      <c r="AG586" s="1509">
        <f t="shared" si="412"/>
        <v>0</v>
      </c>
      <c r="AH586" s="1490">
        <f t="shared" si="380"/>
        <v>200.9</v>
      </c>
      <c r="AI586" s="1636">
        <f t="shared" si="413"/>
        <v>0</v>
      </c>
      <c r="AJ586" s="1636">
        <f t="shared" si="414"/>
        <v>0</v>
      </c>
      <c r="AK586" s="1636">
        <f t="shared" si="415"/>
        <v>0</v>
      </c>
      <c r="AL586" s="1636">
        <f t="shared" si="400"/>
        <v>0</v>
      </c>
      <c r="AM586" s="1636">
        <f t="shared" si="400"/>
        <v>0</v>
      </c>
      <c r="AN586" s="1637">
        <f>AI586/4</f>
        <v>0</v>
      </c>
      <c r="AO586" s="1708">
        <v>480.9</v>
      </c>
      <c r="AP586" s="1638"/>
      <c r="AQ586" s="1638"/>
      <c r="AR586" s="1638"/>
      <c r="AS586" s="1936">
        <v>480.9</v>
      </c>
      <c r="AT586" s="1638"/>
      <c r="AU586" s="1638"/>
      <c r="AV586" s="1638"/>
      <c r="AW586" s="1708">
        <v>480.9</v>
      </c>
      <c r="AX586" s="1640"/>
      <c r="AY586" s="1640"/>
      <c r="AZ586" s="1640"/>
      <c r="BA586" s="1934">
        <v>480.9</v>
      </c>
      <c r="BB586" s="1640"/>
      <c r="BC586" s="1640"/>
      <c r="BD586" s="1640"/>
      <c r="BE586" s="1934">
        <v>480.9</v>
      </c>
      <c r="BF586" s="1640"/>
      <c r="BG586" s="1640"/>
      <c r="BH586" s="1640"/>
      <c r="BI586" s="1641"/>
      <c r="BJ586" s="1640"/>
      <c r="BK586" s="1640"/>
      <c r="BL586" s="1640"/>
      <c r="BM586" s="1641">
        <f>480.9+961.8</f>
        <v>1442.6999999999998</v>
      </c>
      <c r="BN586" s="1640"/>
      <c r="BO586" s="1640"/>
      <c r="BP586" s="1640"/>
      <c r="BQ586" s="1641">
        <v>480.9</v>
      </c>
      <c r="BR586" s="1640"/>
      <c r="BS586" s="1640"/>
      <c r="BT586" s="1640"/>
      <c r="BU586" s="1641">
        <v>360.5</v>
      </c>
      <c r="BV586" s="1640"/>
      <c r="BW586" s="1640"/>
      <c r="BX586" s="1640"/>
      <c r="BY586" s="1641">
        <v>31.6</v>
      </c>
      <c r="BZ586" s="1640"/>
      <c r="CA586" s="1640"/>
      <c r="CB586" s="1640"/>
      <c r="CC586" s="1641">
        <v>849.3</v>
      </c>
      <c r="CD586" s="1640"/>
      <c r="CE586" s="1640"/>
      <c r="CF586" s="1640"/>
      <c r="CG586" s="1642"/>
      <c r="CH586" s="1641">
        <f t="shared" si="390"/>
        <v>200.9</v>
      </c>
      <c r="CI586" s="1641">
        <f t="shared" si="390"/>
        <v>0</v>
      </c>
      <c r="CJ586" s="1641">
        <f t="shared" si="390"/>
        <v>0</v>
      </c>
      <c r="CK586" s="1641">
        <f t="shared" si="390"/>
        <v>0</v>
      </c>
      <c r="CL586" s="1889">
        <v>200.9</v>
      </c>
      <c r="CM586" s="1889">
        <v>0</v>
      </c>
      <c r="CN586" s="1889">
        <v>0</v>
      </c>
      <c r="CO586" s="1889">
        <v>0</v>
      </c>
      <c r="CP586" s="1641"/>
      <c r="CQ586" s="1640"/>
      <c r="CR586" s="1640"/>
      <c r="CS586" s="1640"/>
      <c r="CX586" s="1558">
        <f>H586/12*10-AC586</f>
        <v>-961.73333333333358</v>
      </c>
      <c r="CY586" s="1558">
        <f>AI586/3</f>
        <v>0</v>
      </c>
      <c r="CZ586" s="1558">
        <f>H586/12</f>
        <v>480.86666666666662</v>
      </c>
      <c r="DA586" s="1559"/>
      <c r="DB586" s="1559"/>
      <c r="DC586" s="1559"/>
    </row>
    <row r="587" spans="1:107" ht="15" thickBot="1" x14ac:dyDescent="0.2">
      <c r="A587" s="1541" t="s">
        <v>85</v>
      </c>
      <c r="B587" s="1523" t="s">
        <v>79</v>
      </c>
      <c r="C587" s="1523" t="s">
        <v>80</v>
      </c>
      <c r="D587" s="1523" t="s">
        <v>125</v>
      </c>
      <c r="E587" s="1523" t="s">
        <v>216</v>
      </c>
      <c r="F587" s="1523"/>
      <c r="G587" s="1667">
        <v>221</v>
      </c>
      <c r="H587" s="1501"/>
      <c r="I587" s="1501"/>
      <c r="J587" s="1630"/>
      <c r="K587" s="1630"/>
      <c r="L587" s="1631"/>
      <c r="M587" s="1631"/>
      <c r="N587" s="1631"/>
      <c r="O587" s="1631"/>
      <c r="P587" s="1631"/>
      <c r="Q587" s="1631"/>
      <c r="R587" s="1631"/>
      <c r="S587" s="1631"/>
      <c r="T587" s="1632"/>
      <c r="U587" s="1633"/>
      <c r="V587" s="1633"/>
      <c r="W587" s="1634"/>
      <c r="X587" s="1634"/>
      <c r="Y587" s="1634"/>
      <c r="Z587" s="1635"/>
      <c r="AA587" s="1634">
        <f t="shared" si="389"/>
        <v>0</v>
      </c>
      <c r="AB587" s="1634"/>
      <c r="AC587" s="1508">
        <f t="shared" si="410"/>
        <v>0</v>
      </c>
      <c r="AD587" s="1509">
        <f t="shared" si="411"/>
        <v>0</v>
      </c>
      <c r="AE587" s="1509">
        <f t="shared" si="412"/>
        <v>0</v>
      </c>
      <c r="AF587" s="1509">
        <f t="shared" si="412"/>
        <v>0</v>
      </c>
      <c r="AG587" s="1509">
        <f t="shared" si="412"/>
        <v>0</v>
      </c>
      <c r="AH587" s="1490">
        <f t="shared" si="380"/>
        <v>0</v>
      </c>
      <c r="AI587" s="1636">
        <f t="shared" si="413"/>
        <v>0</v>
      </c>
      <c r="AJ587" s="1636">
        <f t="shared" si="414"/>
        <v>0</v>
      </c>
      <c r="AK587" s="1636">
        <f t="shared" si="415"/>
        <v>0</v>
      </c>
      <c r="AL587" s="1636">
        <f t="shared" si="400"/>
        <v>0</v>
      </c>
      <c r="AM587" s="1636">
        <f t="shared" si="400"/>
        <v>0</v>
      </c>
      <c r="AN587" s="1637"/>
      <c r="AO587" s="1708">
        <v>0</v>
      </c>
      <c r="AP587" s="1638"/>
      <c r="AQ587" s="1638"/>
      <c r="AR587" s="1638"/>
      <c r="AS587" s="1936">
        <v>0</v>
      </c>
      <c r="AT587" s="1638"/>
      <c r="AU587" s="1638"/>
      <c r="AV587" s="1638"/>
      <c r="AW587" s="1639"/>
      <c r="AX587" s="1640"/>
      <c r="AY587" s="1640"/>
      <c r="AZ587" s="1640"/>
      <c r="BA587" s="1641"/>
      <c r="BB587" s="1640"/>
      <c r="BC587" s="1640"/>
      <c r="BD587" s="1640"/>
      <c r="BE587" s="1644"/>
      <c r="BF587" s="1640"/>
      <c r="BG587" s="1640"/>
      <c r="BH587" s="1640"/>
      <c r="BI587" s="1641"/>
      <c r="BJ587" s="1640"/>
      <c r="BK587" s="1640"/>
      <c r="BL587" s="1640"/>
      <c r="BM587" s="1641"/>
      <c r="BN587" s="1640"/>
      <c r="BO587" s="1640"/>
      <c r="BP587" s="1640"/>
      <c r="BQ587" s="1641"/>
      <c r="BR587" s="1640"/>
      <c r="BS587" s="1640"/>
      <c r="BT587" s="1640"/>
      <c r="BU587" s="1641"/>
      <c r="BV587" s="1640"/>
      <c r="BW587" s="1640"/>
      <c r="BX587" s="1640"/>
      <c r="BY587" s="1641"/>
      <c r="BZ587" s="1640"/>
      <c r="CA587" s="1640"/>
      <c r="CB587" s="1640"/>
      <c r="CC587" s="1641"/>
      <c r="CD587" s="1640"/>
      <c r="CE587" s="1640"/>
      <c r="CF587" s="1640"/>
      <c r="CG587" s="1642"/>
      <c r="CH587" s="1641">
        <f t="shared" si="390"/>
        <v>0</v>
      </c>
      <c r="CI587" s="1641">
        <f t="shared" si="390"/>
        <v>0</v>
      </c>
      <c r="CJ587" s="1641">
        <f t="shared" si="390"/>
        <v>0</v>
      </c>
      <c r="CK587" s="1641">
        <f t="shared" si="390"/>
        <v>0</v>
      </c>
      <c r="CL587" s="1889">
        <v>0</v>
      </c>
      <c r="CM587" s="1889">
        <v>0</v>
      </c>
      <c r="CN587" s="1889">
        <v>0</v>
      </c>
      <c r="CO587" s="1889">
        <v>0</v>
      </c>
      <c r="CP587" s="1641"/>
      <c r="CQ587" s="1640"/>
      <c r="CR587" s="1640"/>
      <c r="CS587" s="1640"/>
    </row>
    <row r="588" spans="1:107" ht="15" thickBot="1" x14ac:dyDescent="0.2">
      <c r="A588" s="1541" t="s">
        <v>86</v>
      </c>
      <c r="B588" s="1523" t="s">
        <v>79</v>
      </c>
      <c r="C588" s="1523" t="s">
        <v>80</v>
      </c>
      <c r="D588" s="1523" t="s">
        <v>125</v>
      </c>
      <c r="E588" s="1523" t="s">
        <v>216</v>
      </c>
      <c r="F588" s="1523"/>
      <c r="G588" s="1667">
        <v>222</v>
      </c>
      <c r="H588" s="1501"/>
      <c r="I588" s="1501"/>
      <c r="J588" s="1630"/>
      <c r="K588" s="1630"/>
      <c r="L588" s="1631"/>
      <c r="M588" s="1631"/>
      <c r="N588" s="1631"/>
      <c r="O588" s="1631"/>
      <c r="P588" s="1631"/>
      <c r="Q588" s="1631"/>
      <c r="R588" s="1631"/>
      <c r="S588" s="1631"/>
      <c r="T588" s="1632"/>
      <c r="U588" s="1633"/>
      <c r="V588" s="1633"/>
      <c r="W588" s="1634"/>
      <c r="X588" s="1634"/>
      <c r="Y588" s="1634"/>
      <c r="Z588" s="1635"/>
      <c r="AA588" s="1634">
        <f t="shared" si="389"/>
        <v>0</v>
      </c>
      <c r="AB588" s="1634"/>
      <c r="AC588" s="1508">
        <f t="shared" si="410"/>
        <v>0</v>
      </c>
      <c r="AD588" s="1509">
        <f t="shared" si="411"/>
        <v>0</v>
      </c>
      <c r="AE588" s="1509">
        <f t="shared" si="412"/>
        <v>0</v>
      </c>
      <c r="AF588" s="1509">
        <f t="shared" si="412"/>
        <v>0</v>
      </c>
      <c r="AG588" s="1509">
        <f t="shared" si="412"/>
        <v>0</v>
      </c>
      <c r="AH588" s="1490">
        <f t="shared" si="380"/>
        <v>0</v>
      </c>
      <c r="AI588" s="1636">
        <f t="shared" si="413"/>
        <v>0</v>
      </c>
      <c r="AJ588" s="1636">
        <f t="shared" si="414"/>
        <v>0</v>
      </c>
      <c r="AK588" s="1636">
        <f t="shared" si="415"/>
        <v>0</v>
      </c>
      <c r="AL588" s="1636">
        <f t="shared" si="400"/>
        <v>0</v>
      </c>
      <c r="AM588" s="1636">
        <f t="shared" si="400"/>
        <v>0</v>
      </c>
      <c r="AN588" s="1637"/>
      <c r="AO588" s="1708">
        <v>0</v>
      </c>
      <c r="AP588" s="1638"/>
      <c r="AQ588" s="1638"/>
      <c r="AR588" s="1638"/>
      <c r="AS588" s="1936">
        <v>0</v>
      </c>
      <c r="AT588" s="1638"/>
      <c r="AU588" s="1638"/>
      <c r="AV588" s="1638"/>
      <c r="AW588" s="1639"/>
      <c r="AX588" s="1640"/>
      <c r="AY588" s="1640"/>
      <c r="AZ588" s="1640"/>
      <c r="BA588" s="1641"/>
      <c r="BB588" s="1640"/>
      <c r="BC588" s="1640"/>
      <c r="BD588" s="1640"/>
      <c r="BE588" s="1644"/>
      <c r="BF588" s="1640"/>
      <c r="BG588" s="1640"/>
      <c r="BH588" s="1640"/>
      <c r="BI588" s="1641"/>
      <c r="BJ588" s="1640"/>
      <c r="BK588" s="1640"/>
      <c r="BL588" s="1640"/>
      <c r="BM588" s="1641"/>
      <c r="BN588" s="1640"/>
      <c r="BO588" s="1640"/>
      <c r="BP588" s="1640"/>
      <c r="BQ588" s="1641"/>
      <c r="BR588" s="1640"/>
      <c r="BS588" s="1640"/>
      <c r="BT588" s="1640"/>
      <c r="BU588" s="1641"/>
      <c r="BV588" s="1640"/>
      <c r="BW588" s="1640"/>
      <c r="BX588" s="1640"/>
      <c r="BY588" s="1641"/>
      <c r="BZ588" s="1640"/>
      <c r="CA588" s="1640"/>
      <c r="CB588" s="1640"/>
      <c r="CC588" s="1641"/>
      <c r="CD588" s="1640"/>
      <c r="CE588" s="1640"/>
      <c r="CF588" s="1640"/>
      <c r="CG588" s="1642"/>
      <c r="CH588" s="1641">
        <f t="shared" si="390"/>
        <v>0</v>
      </c>
      <c r="CI588" s="1641">
        <f t="shared" si="390"/>
        <v>0</v>
      </c>
      <c r="CJ588" s="1641">
        <f t="shared" si="390"/>
        <v>0</v>
      </c>
      <c r="CK588" s="1641">
        <f t="shared" si="390"/>
        <v>0</v>
      </c>
      <c r="CL588" s="1889">
        <v>0</v>
      </c>
      <c r="CM588" s="1889">
        <v>0</v>
      </c>
      <c r="CN588" s="1889">
        <v>0</v>
      </c>
      <c r="CO588" s="1889">
        <v>0</v>
      </c>
      <c r="CP588" s="1641"/>
      <c r="CQ588" s="1640"/>
      <c r="CR588" s="1640"/>
      <c r="CS588" s="1640"/>
    </row>
    <row r="589" spans="1:107" s="1480" customFormat="1" ht="15" thickBot="1" x14ac:dyDescent="0.2">
      <c r="A589" s="1541" t="s">
        <v>87</v>
      </c>
      <c r="B589" s="1523" t="s">
        <v>79</v>
      </c>
      <c r="C589" s="1523" t="s">
        <v>80</v>
      </c>
      <c r="D589" s="1523" t="s">
        <v>125</v>
      </c>
      <c r="E589" s="1523" t="s">
        <v>216</v>
      </c>
      <c r="F589" s="1523"/>
      <c r="G589" s="1667">
        <v>223</v>
      </c>
      <c r="H589" s="1501">
        <f>719.7-80</f>
        <v>639.70000000000005</v>
      </c>
      <c r="I589" s="1501"/>
      <c r="J589" s="1630"/>
      <c r="K589" s="1630"/>
      <c r="L589" s="1631"/>
      <c r="M589" s="1631"/>
      <c r="N589" s="1631"/>
      <c r="O589" s="1631"/>
      <c r="P589" s="1631"/>
      <c r="Q589" s="1631"/>
      <c r="R589" s="1631"/>
      <c r="S589" s="1631"/>
      <c r="T589" s="1891"/>
      <c r="U589" s="1633"/>
      <c r="V589" s="1633"/>
      <c r="W589" s="1891"/>
      <c r="X589" s="1891"/>
      <c r="Y589" s="1891"/>
      <c r="Z589" s="1635"/>
      <c r="AA589" s="1634">
        <f t="shared" si="389"/>
        <v>0</v>
      </c>
      <c r="AB589" s="1891"/>
      <c r="AC589" s="1891">
        <f t="shared" si="410"/>
        <v>639.70000000000005</v>
      </c>
      <c r="AD589" s="1892">
        <f t="shared" si="411"/>
        <v>0</v>
      </c>
      <c r="AE589" s="1892">
        <f t="shared" si="412"/>
        <v>0</v>
      </c>
      <c r="AF589" s="1892">
        <f t="shared" si="412"/>
        <v>0</v>
      </c>
      <c r="AG589" s="1892">
        <f t="shared" si="412"/>
        <v>0</v>
      </c>
      <c r="AH589" s="1490">
        <f t="shared" si="380"/>
        <v>0</v>
      </c>
      <c r="AI589" s="1891">
        <f t="shared" si="413"/>
        <v>0</v>
      </c>
      <c r="AJ589" s="1891">
        <f t="shared" si="414"/>
        <v>0</v>
      </c>
      <c r="AK589" s="1891">
        <f t="shared" si="415"/>
        <v>0</v>
      </c>
      <c r="AL589" s="1891">
        <f t="shared" si="400"/>
        <v>0</v>
      </c>
      <c r="AM589" s="1891">
        <f t="shared" si="400"/>
        <v>0</v>
      </c>
      <c r="AN589" s="1891"/>
      <c r="AO589" s="1953">
        <v>60</v>
      </c>
      <c r="AP589" s="1894"/>
      <c r="AQ589" s="1894"/>
      <c r="AR589" s="1894"/>
      <c r="AS589" s="1936">
        <v>60</v>
      </c>
      <c r="AT589" s="1894"/>
      <c r="AU589" s="1894"/>
      <c r="AV589" s="1894"/>
      <c r="AW589" s="1895"/>
      <c r="AX589" s="1895"/>
      <c r="AY589" s="1895"/>
      <c r="AZ589" s="1895"/>
      <c r="BA589" s="1641"/>
      <c r="BB589" s="1895"/>
      <c r="BC589" s="1895"/>
      <c r="BD589" s="1895"/>
      <c r="BE589" s="1644">
        <v>136</v>
      </c>
      <c r="BF589" s="1895"/>
      <c r="BG589" s="1895"/>
      <c r="BH589" s="1895"/>
      <c r="BI589" s="1641">
        <v>68</v>
      </c>
      <c r="BJ589" s="1895"/>
      <c r="BK589" s="1895"/>
      <c r="BL589" s="1895"/>
      <c r="BM589" s="1641"/>
      <c r="BN589" s="1895"/>
      <c r="BO589" s="1895"/>
      <c r="BP589" s="1895"/>
      <c r="BQ589" s="1641">
        <v>68</v>
      </c>
      <c r="BR589" s="1895"/>
      <c r="BS589" s="1895"/>
      <c r="BT589" s="1895"/>
      <c r="BU589" s="1641">
        <v>147.69999999999999</v>
      </c>
      <c r="BV589" s="1895"/>
      <c r="BW589" s="1895"/>
      <c r="BX589" s="1895"/>
      <c r="BY589" s="1641">
        <v>100</v>
      </c>
      <c r="BZ589" s="1895"/>
      <c r="CA589" s="1895"/>
      <c r="CB589" s="1895"/>
      <c r="CC589" s="1895"/>
      <c r="CD589" s="1895"/>
      <c r="CE589" s="1895"/>
      <c r="CF589" s="1895"/>
      <c r="CG589" s="1896"/>
      <c r="CH589" s="1641">
        <f t="shared" si="390"/>
        <v>0</v>
      </c>
      <c r="CI589" s="1641">
        <f t="shared" si="390"/>
        <v>0</v>
      </c>
      <c r="CJ589" s="1641">
        <f t="shared" si="390"/>
        <v>0</v>
      </c>
      <c r="CK589" s="1641">
        <f t="shared" si="390"/>
        <v>0</v>
      </c>
      <c r="CL589" s="1897">
        <v>0</v>
      </c>
      <c r="CM589" s="1897">
        <v>0</v>
      </c>
      <c r="CN589" s="1897">
        <v>0</v>
      </c>
      <c r="CO589" s="1897">
        <v>0</v>
      </c>
      <c r="CP589" s="1895"/>
      <c r="CQ589" s="1895"/>
      <c r="CR589" s="1895"/>
      <c r="CS589" s="1895"/>
      <c r="CT589" s="1481"/>
      <c r="CU589" s="1481"/>
      <c r="CV589" s="1481"/>
      <c r="CW589" s="1481"/>
      <c r="CY589" s="1481"/>
    </row>
    <row r="590" spans="1:107" ht="15" thickBot="1" x14ac:dyDescent="0.2">
      <c r="A590" s="1541" t="s">
        <v>134</v>
      </c>
      <c r="B590" s="1523" t="s">
        <v>79</v>
      </c>
      <c r="C590" s="1523" t="s">
        <v>80</v>
      </c>
      <c r="D590" s="1523" t="s">
        <v>125</v>
      </c>
      <c r="E590" s="1523" t="s">
        <v>216</v>
      </c>
      <c r="F590" s="1523"/>
      <c r="G590" s="1667">
        <v>224</v>
      </c>
      <c r="H590" s="1501"/>
      <c r="I590" s="1501"/>
      <c r="J590" s="1630"/>
      <c r="K590" s="1630"/>
      <c r="L590" s="1631"/>
      <c r="M590" s="1631"/>
      <c r="N590" s="1631"/>
      <c r="O590" s="1631"/>
      <c r="P590" s="1631"/>
      <c r="Q590" s="1631"/>
      <c r="R590" s="1631"/>
      <c r="S590" s="1631"/>
      <c r="T590" s="1632"/>
      <c r="U590" s="1633"/>
      <c r="V590" s="1633"/>
      <c r="W590" s="1634"/>
      <c r="X590" s="1634"/>
      <c r="Y590" s="1634"/>
      <c r="Z590" s="1635"/>
      <c r="AA590" s="1634">
        <f t="shared" si="389"/>
        <v>0</v>
      </c>
      <c r="AB590" s="1634"/>
      <c r="AC590" s="1508">
        <f t="shared" si="410"/>
        <v>0</v>
      </c>
      <c r="AD590" s="1509">
        <f t="shared" si="411"/>
        <v>0</v>
      </c>
      <c r="AE590" s="1509">
        <f t="shared" si="412"/>
        <v>0</v>
      </c>
      <c r="AF590" s="1509">
        <f t="shared" si="412"/>
        <v>0</v>
      </c>
      <c r="AG590" s="1509">
        <f t="shared" si="412"/>
        <v>0</v>
      </c>
      <c r="AH590" s="1490">
        <f t="shared" si="380"/>
        <v>0</v>
      </c>
      <c r="AI590" s="1636">
        <f t="shared" si="413"/>
        <v>0</v>
      </c>
      <c r="AJ590" s="1636">
        <f t="shared" si="414"/>
        <v>0</v>
      </c>
      <c r="AK590" s="1636">
        <f t="shared" si="415"/>
        <v>0</v>
      </c>
      <c r="AL590" s="1636">
        <f t="shared" si="400"/>
        <v>0</v>
      </c>
      <c r="AM590" s="1636">
        <f t="shared" si="400"/>
        <v>0</v>
      </c>
      <c r="AN590" s="1637"/>
      <c r="AO590" s="1708">
        <v>0</v>
      </c>
      <c r="AP590" s="1638"/>
      <c r="AQ590" s="1638"/>
      <c r="AR590" s="1638"/>
      <c r="AS590" s="1936">
        <v>0</v>
      </c>
      <c r="AT590" s="1638"/>
      <c r="AU590" s="1638"/>
      <c r="AV590" s="1638"/>
      <c r="AW590" s="1639"/>
      <c r="AX590" s="1640"/>
      <c r="AY590" s="1640"/>
      <c r="AZ590" s="1640"/>
      <c r="BA590" s="1641"/>
      <c r="BB590" s="1640"/>
      <c r="BC590" s="1640"/>
      <c r="BD590" s="1640"/>
      <c r="BE590" s="1644"/>
      <c r="BF590" s="1640"/>
      <c r="BG590" s="1640"/>
      <c r="BH590" s="1640"/>
      <c r="BI590" s="1641"/>
      <c r="BJ590" s="1640"/>
      <c r="BK590" s="1640"/>
      <c r="BL590" s="1640"/>
      <c r="BM590" s="1641"/>
      <c r="BN590" s="1640"/>
      <c r="BO590" s="1640"/>
      <c r="BP590" s="1640"/>
      <c r="BQ590" s="1641"/>
      <c r="BR590" s="1640"/>
      <c r="BS590" s="1640"/>
      <c r="BT590" s="1640"/>
      <c r="BU590" s="1641"/>
      <c r="BV590" s="1640"/>
      <c r="BW590" s="1640"/>
      <c r="BX590" s="1640"/>
      <c r="BY590" s="1641"/>
      <c r="BZ590" s="1640"/>
      <c r="CA590" s="1640"/>
      <c r="CB590" s="1640"/>
      <c r="CC590" s="1641"/>
      <c r="CD590" s="1640"/>
      <c r="CE590" s="1640"/>
      <c r="CF590" s="1640"/>
      <c r="CG590" s="1642"/>
      <c r="CH590" s="1641">
        <f t="shared" si="390"/>
        <v>0</v>
      </c>
      <c r="CI590" s="1641">
        <f t="shared" si="390"/>
        <v>0</v>
      </c>
      <c r="CJ590" s="1641">
        <f t="shared" si="390"/>
        <v>0</v>
      </c>
      <c r="CK590" s="1641">
        <f t="shared" si="390"/>
        <v>0</v>
      </c>
      <c r="CL590" s="1889">
        <v>0</v>
      </c>
      <c r="CM590" s="1889">
        <v>0</v>
      </c>
      <c r="CN590" s="1889">
        <v>0</v>
      </c>
      <c r="CO590" s="1889">
        <v>0</v>
      </c>
      <c r="CP590" s="1641"/>
      <c r="CQ590" s="1640"/>
      <c r="CR590" s="1640"/>
      <c r="CS590" s="1640"/>
    </row>
    <row r="591" spans="1:107" ht="15" thickBot="1" x14ac:dyDescent="0.2">
      <c r="A591" s="1541" t="s">
        <v>90</v>
      </c>
      <c r="B591" s="1523" t="s">
        <v>79</v>
      </c>
      <c r="C591" s="1523" t="s">
        <v>80</v>
      </c>
      <c r="D591" s="1523" t="s">
        <v>125</v>
      </c>
      <c r="E591" s="1523" t="s">
        <v>216</v>
      </c>
      <c r="F591" s="1523"/>
      <c r="G591" s="1667">
        <v>225</v>
      </c>
      <c r="H591" s="1501">
        <f>16.2+70.7</f>
        <v>86.9</v>
      </c>
      <c r="I591" s="1501"/>
      <c r="J591" s="1630">
        <f>30-V591</f>
        <v>0</v>
      </c>
      <c r="K591" s="1630"/>
      <c r="L591" s="1631"/>
      <c r="M591" s="1631"/>
      <c r="N591" s="1631"/>
      <c r="O591" s="1631"/>
      <c r="P591" s="1631"/>
      <c r="Q591" s="1631"/>
      <c r="R591" s="1631"/>
      <c r="S591" s="1631"/>
      <c r="T591" s="1632"/>
      <c r="U591" s="1633"/>
      <c r="V591" s="1633">
        <v>30</v>
      </c>
      <c r="W591" s="1634"/>
      <c r="X591" s="1634"/>
      <c r="Y591" s="1634"/>
      <c r="Z591" s="1635"/>
      <c r="AA591" s="1634">
        <f t="shared" si="389"/>
        <v>0</v>
      </c>
      <c r="AB591" s="1634"/>
      <c r="AC591" s="1508">
        <f t="shared" si="410"/>
        <v>86.9</v>
      </c>
      <c r="AD591" s="1509">
        <f t="shared" si="411"/>
        <v>0</v>
      </c>
      <c r="AE591" s="1509">
        <f t="shared" si="412"/>
        <v>0</v>
      </c>
      <c r="AF591" s="1509">
        <f t="shared" si="412"/>
        <v>0</v>
      </c>
      <c r="AG591" s="1509">
        <f t="shared" si="412"/>
        <v>0</v>
      </c>
      <c r="AH591" s="1490">
        <f t="shared" si="380"/>
        <v>16.2</v>
      </c>
      <c r="AI591" s="1636">
        <f t="shared" si="413"/>
        <v>0</v>
      </c>
      <c r="AJ591" s="1636">
        <f t="shared" si="414"/>
        <v>0</v>
      </c>
      <c r="AK591" s="1636">
        <f t="shared" si="415"/>
        <v>0</v>
      </c>
      <c r="AL591" s="1636">
        <f t="shared" si="400"/>
        <v>0</v>
      </c>
      <c r="AM591" s="1636">
        <f t="shared" si="400"/>
        <v>0</v>
      </c>
      <c r="AN591" s="1637"/>
      <c r="AO591" s="1710"/>
      <c r="AP591" s="1638"/>
      <c r="AQ591" s="1638"/>
      <c r="AR591" s="1638"/>
      <c r="AS591" s="1639"/>
      <c r="AT591" s="1638"/>
      <c r="AU591" s="1638"/>
      <c r="AV591" s="1638"/>
      <c r="AW591" s="1639"/>
      <c r="AX591" s="1640"/>
      <c r="AY591" s="1640"/>
      <c r="AZ591" s="1640"/>
      <c r="BA591" s="1641"/>
      <c r="BB591" s="1640"/>
      <c r="BC591" s="1640"/>
      <c r="BD591" s="1640"/>
      <c r="BE591" s="1644"/>
      <c r="BF591" s="1640"/>
      <c r="BG591" s="1640"/>
      <c r="BH591" s="1640"/>
      <c r="BI591" s="1641"/>
      <c r="BJ591" s="1640"/>
      <c r="BK591" s="1640"/>
      <c r="BL591" s="1640"/>
      <c r="BM591" s="1641"/>
      <c r="BN591" s="1640"/>
      <c r="BO591" s="1640"/>
      <c r="BP591" s="1640"/>
      <c r="BQ591" s="1641">
        <v>70.7</v>
      </c>
      <c r="BR591" s="1640"/>
      <c r="BS591" s="1640"/>
      <c r="BT591" s="1640"/>
      <c r="BU591" s="1641"/>
      <c r="BV591" s="1640"/>
      <c r="BW591" s="1640"/>
      <c r="BX591" s="1640"/>
      <c r="BY591" s="1641"/>
      <c r="BZ591" s="1640"/>
      <c r="CA591" s="1640"/>
      <c r="CB591" s="1640"/>
      <c r="CC591" s="1641"/>
      <c r="CD591" s="1640"/>
      <c r="CE591" s="1640"/>
      <c r="CF591" s="1640"/>
      <c r="CG591" s="1642"/>
      <c r="CH591" s="1641">
        <f t="shared" si="390"/>
        <v>16.2</v>
      </c>
      <c r="CI591" s="1641">
        <f t="shared" si="390"/>
        <v>0</v>
      </c>
      <c r="CJ591" s="1641">
        <f t="shared" si="390"/>
        <v>0</v>
      </c>
      <c r="CK591" s="1641">
        <f t="shared" si="390"/>
        <v>0</v>
      </c>
      <c r="CL591" s="1889">
        <v>16.2</v>
      </c>
      <c r="CM591" s="1889">
        <v>0</v>
      </c>
      <c r="CN591" s="1889">
        <v>0</v>
      </c>
      <c r="CO591" s="1889">
        <v>0</v>
      </c>
      <c r="CP591" s="1641"/>
      <c r="CQ591" s="1640"/>
      <c r="CR591" s="1640"/>
      <c r="CS591" s="1640"/>
    </row>
    <row r="592" spans="1:107" ht="15" thickBot="1" x14ac:dyDescent="0.2">
      <c r="A592" s="1541" t="s">
        <v>91</v>
      </c>
      <c r="B592" s="1523" t="s">
        <v>79</v>
      </c>
      <c r="C592" s="1523" t="s">
        <v>80</v>
      </c>
      <c r="D592" s="1523" t="s">
        <v>125</v>
      </c>
      <c r="E592" s="1523" t="s">
        <v>216</v>
      </c>
      <c r="F592" s="1523"/>
      <c r="G592" s="1667">
        <v>226</v>
      </c>
      <c r="H592" s="1501">
        <f>35+12.2</f>
        <v>47.2</v>
      </c>
      <c r="I592" s="1501"/>
      <c r="J592" s="1630"/>
      <c r="K592" s="1630">
        <f>100-U592</f>
        <v>0</v>
      </c>
      <c r="L592" s="1631"/>
      <c r="M592" s="1631"/>
      <c r="N592" s="1631"/>
      <c r="O592" s="1631"/>
      <c r="P592" s="1631"/>
      <c r="Q592" s="1631"/>
      <c r="R592" s="1631"/>
      <c r="S592" s="1631"/>
      <c r="T592" s="1632"/>
      <c r="U592" s="1633">
        <v>100</v>
      </c>
      <c r="V592" s="1633"/>
      <c r="W592" s="1634"/>
      <c r="X592" s="1634"/>
      <c r="Y592" s="1634"/>
      <c r="Z592" s="1635"/>
      <c r="AA592" s="1634">
        <f t="shared" si="389"/>
        <v>0</v>
      </c>
      <c r="AB592" s="1634"/>
      <c r="AC592" s="1508">
        <f t="shared" si="410"/>
        <v>47.2</v>
      </c>
      <c r="AD592" s="1509">
        <f t="shared" si="411"/>
        <v>0</v>
      </c>
      <c r="AE592" s="1509">
        <f t="shared" si="412"/>
        <v>0</v>
      </c>
      <c r="AF592" s="1509">
        <f t="shared" si="412"/>
        <v>0</v>
      </c>
      <c r="AG592" s="1509">
        <f t="shared" si="412"/>
        <v>0</v>
      </c>
      <c r="AH592" s="1490">
        <f t="shared" si="380"/>
        <v>12.154</v>
      </c>
      <c r="AI592" s="1636">
        <f t="shared" si="413"/>
        <v>0</v>
      </c>
      <c r="AJ592" s="1636">
        <f t="shared" si="414"/>
        <v>0</v>
      </c>
      <c r="AK592" s="1636">
        <f t="shared" si="415"/>
        <v>0</v>
      </c>
      <c r="AL592" s="1636">
        <f t="shared" si="400"/>
        <v>0</v>
      </c>
      <c r="AM592" s="1636">
        <f t="shared" si="400"/>
        <v>0</v>
      </c>
      <c r="AN592" s="1637"/>
      <c r="AO592" s="1710"/>
      <c r="AP592" s="1638"/>
      <c r="AQ592" s="1638"/>
      <c r="AR592" s="1638"/>
      <c r="AS592" s="1639"/>
      <c r="AT592" s="1638"/>
      <c r="AU592" s="1638"/>
      <c r="AV592" s="1638"/>
      <c r="AW592" s="1639"/>
      <c r="AX592" s="1640"/>
      <c r="AY592" s="1640"/>
      <c r="AZ592" s="1640"/>
      <c r="BA592" s="1641"/>
      <c r="BB592" s="1640"/>
      <c r="BC592" s="1640"/>
      <c r="BD592" s="1640"/>
      <c r="BE592" s="1644"/>
      <c r="BF592" s="1640"/>
      <c r="BG592" s="1640"/>
      <c r="BH592" s="1640"/>
      <c r="BI592" s="1641"/>
      <c r="BJ592" s="1640"/>
      <c r="BK592" s="1640"/>
      <c r="BL592" s="1640"/>
      <c r="BM592" s="1641"/>
      <c r="BN592" s="1640"/>
      <c r="BO592" s="1640"/>
      <c r="BP592" s="1640"/>
      <c r="BQ592" s="1641">
        <v>35.045999999999999</v>
      </c>
      <c r="BR592" s="1640"/>
      <c r="BS592" s="1640"/>
      <c r="BT592" s="1640"/>
      <c r="BU592" s="1641"/>
      <c r="BV592" s="1640"/>
      <c r="BW592" s="1640"/>
      <c r="BX592" s="1640"/>
      <c r="BY592" s="1641"/>
      <c r="BZ592" s="1640"/>
      <c r="CA592" s="1640"/>
      <c r="CB592" s="1640"/>
      <c r="CC592" s="1641"/>
      <c r="CD592" s="1640"/>
      <c r="CE592" s="1640"/>
      <c r="CF592" s="1640"/>
      <c r="CG592" s="1642"/>
      <c r="CH592" s="1641">
        <f t="shared" si="390"/>
        <v>12.154</v>
      </c>
      <c r="CI592" s="1641">
        <f t="shared" si="390"/>
        <v>0</v>
      </c>
      <c r="CJ592" s="1641">
        <f t="shared" si="390"/>
        <v>0</v>
      </c>
      <c r="CK592" s="1641">
        <f t="shared" si="390"/>
        <v>0</v>
      </c>
      <c r="CL592" s="1889">
        <v>12.154</v>
      </c>
      <c r="CM592" s="1889">
        <v>0</v>
      </c>
      <c r="CN592" s="1889">
        <v>0</v>
      </c>
      <c r="CO592" s="1889">
        <v>0</v>
      </c>
      <c r="CP592" s="1641"/>
      <c r="CQ592" s="1640"/>
      <c r="CR592" s="1640"/>
      <c r="CS592" s="1640"/>
    </row>
    <row r="593" spans="1:107" s="1962" customFormat="1" ht="15" thickBot="1" x14ac:dyDescent="0.2">
      <c r="A593" s="1541" t="s">
        <v>94</v>
      </c>
      <c r="B593" s="1523" t="s">
        <v>79</v>
      </c>
      <c r="C593" s="1523" t="s">
        <v>80</v>
      </c>
      <c r="D593" s="1523" t="s">
        <v>125</v>
      </c>
      <c r="E593" s="1523" t="s">
        <v>216</v>
      </c>
      <c r="F593" s="1523"/>
      <c r="G593" s="1667">
        <v>290</v>
      </c>
      <c r="H593" s="1501">
        <v>1727.2</v>
      </c>
      <c r="I593" s="1501"/>
      <c r="J593" s="1630"/>
      <c r="K593" s="1630"/>
      <c r="L593" s="1631"/>
      <c r="M593" s="1631"/>
      <c r="N593" s="1631"/>
      <c r="O593" s="1631"/>
      <c r="P593" s="1631"/>
      <c r="Q593" s="1631"/>
      <c r="R593" s="1631"/>
      <c r="S593" s="1631"/>
      <c r="T593" s="1632"/>
      <c r="U593" s="1633"/>
      <c r="V593" s="1633"/>
      <c r="W593" s="1634"/>
      <c r="X593" s="1634"/>
      <c r="Y593" s="1634"/>
      <c r="Z593" s="1635"/>
      <c r="AA593" s="1634">
        <f t="shared" si="389"/>
        <v>0</v>
      </c>
      <c r="AB593" s="1634"/>
      <c r="AC593" s="1954">
        <f t="shared" si="410"/>
        <v>1727.1999999999998</v>
      </c>
      <c r="AD593" s="1955">
        <f t="shared" si="411"/>
        <v>0</v>
      </c>
      <c r="AE593" s="1955">
        <f t="shared" si="412"/>
        <v>0</v>
      </c>
      <c r="AF593" s="1955">
        <f t="shared" si="412"/>
        <v>0</v>
      </c>
      <c r="AG593" s="1955">
        <f t="shared" si="412"/>
        <v>0</v>
      </c>
      <c r="AH593" s="1490">
        <f t="shared" si="380"/>
        <v>406.5</v>
      </c>
      <c r="AI593" s="1954">
        <f t="shared" si="413"/>
        <v>0</v>
      </c>
      <c r="AJ593" s="1954">
        <f t="shared" si="414"/>
        <v>0</v>
      </c>
      <c r="AK593" s="1954">
        <f t="shared" si="415"/>
        <v>0</v>
      </c>
      <c r="AL593" s="1636">
        <f t="shared" si="400"/>
        <v>0</v>
      </c>
      <c r="AM593" s="1954">
        <f t="shared" si="400"/>
        <v>0</v>
      </c>
      <c r="AN593" s="1637"/>
      <c r="AO593" s="1956">
        <v>143.9</v>
      </c>
      <c r="AP593" s="1957"/>
      <c r="AQ593" s="1957"/>
      <c r="AR593" s="1957"/>
      <c r="AS593" s="1639"/>
      <c r="AT593" s="1957"/>
      <c r="AU593" s="1957"/>
      <c r="AV593" s="1957"/>
      <c r="AW593" s="1958"/>
      <c r="AX593" s="1958"/>
      <c r="AY593" s="1958"/>
      <c r="AZ593" s="1958"/>
      <c r="BA593" s="1641"/>
      <c r="BB593" s="1958"/>
      <c r="BC593" s="1958"/>
      <c r="BD593" s="1958"/>
      <c r="BE593" s="1905">
        <f>125+431.8</f>
        <v>556.79999999999995</v>
      </c>
      <c r="BF593" s="1958"/>
      <c r="BG593" s="1958"/>
      <c r="BH593" s="1958"/>
      <c r="BI593" s="1641"/>
      <c r="BJ593" s="1958"/>
      <c r="BK593" s="1958"/>
      <c r="BL593" s="1958"/>
      <c r="BM593" s="1641"/>
      <c r="BN593" s="1958"/>
      <c r="BO593" s="1958"/>
      <c r="BP593" s="1958"/>
      <c r="BQ593" s="1641"/>
      <c r="BR593" s="1958"/>
      <c r="BS593" s="1958"/>
      <c r="BT593" s="1958"/>
      <c r="BU593" s="1641">
        <v>620</v>
      </c>
      <c r="BV593" s="1958"/>
      <c r="BW593" s="1958"/>
      <c r="BX593" s="1958"/>
      <c r="BY593" s="1641"/>
      <c r="BZ593" s="1958"/>
      <c r="CA593" s="1958"/>
      <c r="CB593" s="1958"/>
      <c r="CC593" s="1641"/>
      <c r="CD593" s="1958"/>
      <c r="CE593" s="1958"/>
      <c r="CF593" s="1958"/>
      <c r="CG593" s="1959"/>
      <c r="CH593" s="1641">
        <f t="shared" si="390"/>
        <v>406.5</v>
      </c>
      <c r="CI593" s="1641">
        <f t="shared" si="390"/>
        <v>0</v>
      </c>
      <c r="CJ593" s="1641">
        <f t="shared" si="390"/>
        <v>0</v>
      </c>
      <c r="CK593" s="1641">
        <f t="shared" si="390"/>
        <v>0</v>
      </c>
      <c r="CL593" s="1960">
        <v>406.5</v>
      </c>
      <c r="CM593" s="1960">
        <v>0</v>
      </c>
      <c r="CN593" s="1889">
        <v>0</v>
      </c>
      <c r="CO593" s="1960">
        <v>0</v>
      </c>
      <c r="CP593" s="1641"/>
      <c r="CQ593" s="1958"/>
      <c r="CR593" s="1958"/>
      <c r="CS593" s="1958"/>
      <c r="CT593" s="1961"/>
      <c r="CU593" s="1961"/>
      <c r="CV593" s="1961"/>
      <c r="CW593" s="1961"/>
      <c r="CY593" s="1961"/>
    </row>
    <row r="594" spans="1:107" ht="15" thickBot="1" x14ac:dyDescent="0.2">
      <c r="A594" s="1541" t="s">
        <v>94</v>
      </c>
      <c r="B594" s="1523" t="s">
        <v>79</v>
      </c>
      <c r="C594" s="1523" t="s">
        <v>80</v>
      </c>
      <c r="D594" s="1523" t="s">
        <v>125</v>
      </c>
      <c r="E594" s="1523" t="s">
        <v>216</v>
      </c>
      <c r="F594" s="1523"/>
      <c r="G594" s="1667" t="s">
        <v>95</v>
      </c>
      <c r="H594" s="1501"/>
      <c r="I594" s="1501"/>
      <c r="J594" s="1630"/>
      <c r="K594" s="1630"/>
      <c r="L594" s="1631"/>
      <c r="M594" s="1631"/>
      <c r="N594" s="1631"/>
      <c r="O594" s="1631"/>
      <c r="P594" s="1631"/>
      <c r="Q594" s="1631"/>
      <c r="R594" s="1631"/>
      <c r="S594" s="1631"/>
      <c r="T594" s="1632"/>
      <c r="U594" s="1633"/>
      <c r="V594" s="1633"/>
      <c r="W594" s="1634"/>
      <c r="X594" s="1634"/>
      <c r="Y594" s="1634"/>
      <c r="Z594" s="1635"/>
      <c r="AA594" s="1634">
        <f t="shared" si="389"/>
        <v>0</v>
      </c>
      <c r="AB594" s="1634"/>
      <c r="AC594" s="1508">
        <f t="shared" si="410"/>
        <v>0</v>
      </c>
      <c r="AD594" s="1509">
        <f t="shared" si="411"/>
        <v>0</v>
      </c>
      <c r="AE594" s="1509">
        <f t="shared" si="412"/>
        <v>0</v>
      </c>
      <c r="AF594" s="1509">
        <f t="shared" si="412"/>
        <v>0</v>
      </c>
      <c r="AG594" s="1509">
        <f t="shared" si="412"/>
        <v>0</v>
      </c>
      <c r="AH594" s="1490">
        <f t="shared" si="380"/>
        <v>0</v>
      </c>
      <c r="AI594" s="1636">
        <f t="shared" si="413"/>
        <v>0</v>
      </c>
      <c r="AJ594" s="1636">
        <f t="shared" si="414"/>
        <v>0</v>
      </c>
      <c r="AK594" s="1636">
        <f t="shared" si="415"/>
        <v>0</v>
      </c>
      <c r="AL594" s="1636">
        <f t="shared" si="400"/>
        <v>0</v>
      </c>
      <c r="AM594" s="1636">
        <f t="shared" si="400"/>
        <v>0</v>
      </c>
      <c r="AN594" s="1637"/>
      <c r="AO594" s="1708">
        <v>0</v>
      </c>
      <c r="AP594" s="1638"/>
      <c r="AQ594" s="1638"/>
      <c r="AR594" s="1638"/>
      <c r="AS594" s="1639"/>
      <c r="AT594" s="1638"/>
      <c r="AU594" s="1638"/>
      <c r="AV594" s="1638"/>
      <c r="AW594" s="1639"/>
      <c r="AX594" s="1640"/>
      <c r="AY594" s="1640"/>
      <c r="AZ594" s="1640"/>
      <c r="BA594" s="1641"/>
      <c r="BB594" s="1640"/>
      <c r="BC594" s="1640"/>
      <c r="BD594" s="1640"/>
      <c r="BE594" s="1644"/>
      <c r="BF594" s="1640"/>
      <c r="BG594" s="1640"/>
      <c r="BH594" s="1640"/>
      <c r="BI594" s="1641"/>
      <c r="BJ594" s="1640"/>
      <c r="BK594" s="1640"/>
      <c r="BL594" s="1640"/>
      <c r="BM594" s="1641"/>
      <c r="BN594" s="1640"/>
      <c r="BO594" s="1640"/>
      <c r="BP594" s="1640"/>
      <c r="BQ594" s="1641"/>
      <c r="BR594" s="1640"/>
      <c r="BS594" s="1640"/>
      <c r="BT594" s="1640"/>
      <c r="BU594" s="1641"/>
      <c r="BV594" s="1640"/>
      <c r="BW594" s="1640"/>
      <c r="BX594" s="1640"/>
      <c r="BY594" s="1641"/>
      <c r="BZ594" s="1640"/>
      <c r="CA594" s="1640"/>
      <c r="CB594" s="1640"/>
      <c r="CC594" s="1641"/>
      <c r="CD594" s="1640"/>
      <c r="CE594" s="1640"/>
      <c r="CF594" s="1640"/>
      <c r="CG594" s="1642"/>
      <c r="CH594" s="1641">
        <f t="shared" si="390"/>
        <v>0</v>
      </c>
      <c r="CI594" s="1641">
        <f t="shared" si="390"/>
        <v>0</v>
      </c>
      <c r="CJ594" s="1641">
        <f t="shared" si="390"/>
        <v>0</v>
      </c>
      <c r="CK594" s="1641">
        <f t="shared" si="390"/>
        <v>0</v>
      </c>
      <c r="CL594" s="1889">
        <v>0</v>
      </c>
      <c r="CM594" s="1889">
        <v>0</v>
      </c>
      <c r="CN594" s="1889">
        <v>0</v>
      </c>
      <c r="CO594" s="1889">
        <v>0</v>
      </c>
      <c r="CP594" s="1641"/>
      <c r="CQ594" s="1640"/>
      <c r="CR594" s="1640"/>
      <c r="CS594" s="1640"/>
    </row>
    <row r="595" spans="1:107" ht="15" thickBot="1" x14ac:dyDescent="0.2">
      <c r="A595" s="1541" t="s">
        <v>96</v>
      </c>
      <c r="B595" s="1523" t="s">
        <v>79</v>
      </c>
      <c r="C595" s="1523" t="s">
        <v>80</v>
      </c>
      <c r="D595" s="1523" t="s">
        <v>125</v>
      </c>
      <c r="E595" s="1523" t="s">
        <v>216</v>
      </c>
      <c r="F595" s="1523"/>
      <c r="G595" s="1667">
        <v>310</v>
      </c>
      <c r="H595" s="1501">
        <v>100</v>
      </c>
      <c r="I595" s="1501"/>
      <c r="J595" s="1630"/>
      <c r="K595" s="1630"/>
      <c r="L595" s="1631"/>
      <c r="M595" s="1631"/>
      <c r="N595" s="1631"/>
      <c r="O595" s="1631"/>
      <c r="P595" s="1631"/>
      <c r="Q595" s="1631"/>
      <c r="R595" s="1631"/>
      <c r="S595" s="1631"/>
      <c r="T595" s="1632"/>
      <c r="U595" s="1633"/>
      <c r="V595" s="1633"/>
      <c r="W595" s="1634"/>
      <c r="X595" s="1634"/>
      <c r="Y595" s="1634"/>
      <c r="Z595" s="1635"/>
      <c r="AA595" s="1634">
        <f>AB595-Z595</f>
        <v>0</v>
      </c>
      <c r="AB595" s="1634"/>
      <c r="AC595" s="1508">
        <f t="shared" si="410"/>
        <v>100</v>
      </c>
      <c r="AD595" s="1509">
        <f t="shared" si="411"/>
        <v>0</v>
      </c>
      <c r="AE595" s="1509">
        <f t="shared" si="412"/>
        <v>0</v>
      </c>
      <c r="AF595" s="1509">
        <f t="shared" si="412"/>
        <v>0</v>
      </c>
      <c r="AG595" s="1509">
        <f t="shared" si="412"/>
        <v>0</v>
      </c>
      <c r="AH595" s="1490">
        <f t="shared" si="380"/>
        <v>0</v>
      </c>
      <c r="AI595" s="1636">
        <f t="shared" si="413"/>
        <v>0</v>
      </c>
      <c r="AJ595" s="1636">
        <f t="shared" si="414"/>
        <v>0</v>
      </c>
      <c r="AK595" s="1636">
        <f t="shared" si="415"/>
        <v>0</v>
      </c>
      <c r="AL595" s="1636">
        <f t="shared" si="400"/>
        <v>0</v>
      </c>
      <c r="AM595" s="1636">
        <f t="shared" si="400"/>
        <v>0</v>
      </c>
      <c r="AN595" s="1637"/>
      <c r="AO595" s="1710"/>
      <c r="AP595" s="1638"/>
      <c r="AQ595" s="1638"/>
      <c r="AR595" s="1638"/>
      <c r="AS595" s="1639"/>
      <c r="AT595" s="1638"/>
      <c r="AU595" s="1638"/>
      <c r="AV595" s="1638"/>
      <c r="AW595" s="1639"/>
      <c r="AX595" s="1640"/>
      <c r="AY595" s="1640"/>
      <c r="AZ595" s="1640"/>
      <c r="BA595" s="1641"/>
      <c r="BB595" s="1640"/>
      <c r="BC595" s="1640"/>
      <c r="BD595" s="1640"/>
      <c r="BE595" s="1644"/>
      <c r="BF595" s="1640"/>
      <c r="BG595" s="1640"/>
      <c r="BH595" s="1640"/>
      <c r="BI595" s="1641">
        <v>100</v>
      </c>
      <c r="BJ595" s="1640"/>
      <c r="BK595" s="1640"/>
      <c r="BL595" s="1640"/>
      <c r="BM595" s="1641"/>
      <c r="BN595" s="1640"/>
      <c r="BO595" s="1640"/>
      <c r="BP595" s="1640"/>
      <c r="BQ595" s="1641"/>
      <c r="BR595" s="1640"/>
      <c r="BS595" s="1640"/>
      <c r="BT595" s="1640"/>
      <c r="BU595" s="1641"/>
      <c r="BV595" s="1640"/>
      <c r="BW595" s="1640"/>
      <c r="BX595" s="1640"/>
      <c r="BY595" s="1641"/>
      <c r="BZ595" s="1640"/>
      <c r="CA595" s="1640"/>
      <c r="CB595" s="1640"/>
      <c r="CC595" s="1641"/>
      <c r="CD595" s="1640"/>
      <c r="CE595" s="1640"/>
      <c r="CF595" s="1640"/>
      <c r="CG595" s="1642"/>
      <c r="CH595" s="1641">
        <f t="shared" si="390"/>
        <v>0</v>
      </c>
      <c r="CI595" s="1641">
        <f t="shared" si="390"/>
        <v>0</v>
      </c>
      <c r="CJ595" s="1641">
        <f t="shared" si="390"/>
        <v>0</v>
      </c>
      <c r="CK595" s="1641">
        <f t="shared" si="390"/>
        <v>0</v>
      </c>
      <c r="CL595" s="1889">
        <v>0</v>
      </c>
      <c r="CM595" s="1889">
        <v>0</v>
      </c>
      <c r="CN595" s="1889">
        <v>0</v>
      </c>
      <c r="CO595" s="1889">
        <v>0</v>
      </c>
      <c r="CP595" s="1641"/>
      <c r="CQ595" s="1640"/>
      <c r="CR595" s="1640"/>
      <c r="CS595" s="1640"/>
    </row>
    <row r="596" spans="1:107" ht="15" thickBot="1" x14ac:dyDescent="0.2">
      <c r="A596" s="1541" t="s">
        <v>97</v>
      </c>
      <c r="B596" s="1523" t="s">
        <v>79</v>
      </c>
      <c r="C596" s="1523" t="s">
        <v>80</v>
      </c>
      <c r="D596" s="1523" t="s">
        <v>125</v>
      </c>
      <c r="E596" s="1523" t="s">
        <v>216</v>
      </c>
      <c r="F596" s="1523"/>
      <c r="G596" s="1667">
        <v>340</v>
      </c>
      <c r="H596" s="1501">
        <f>200-100</f>
        <v>100</v>
      </c>
      <c r="I596" s="1501"/>
      <c r="J596" s="1630"/>
      <c r="K596" s="1630"/>
      <c r="L596" s="1631"/>
      <c r="M596" s="1631"/>
      <c r="N596" s="1631"/>
      <c r="O596" s="1631"/>
      <c r="P596" s="1631"/>
      <c r="Q596" s="1631"/>
      <c r="R596" s="1631"/>
      <c r="S596" s="1631"/>
      <c r="T596" s="1632"/>
      <c r="U596" s="1633"/>
      <c r="V596" s="1633"/>
      <c r="W596" s="1634"/>
      <c r="X596" s="1634"/>
      <c r="Y596" s="1634"/>
      <c r="Z596" s="1635"/>
      <c r="AA596" s="1634">
        <f t="shared" si="389"/>
        <v>0</v>
      </c>
      <c r="AB596" s="1634"/>
      <c r="AC596" s="1508">
        <f t="shared" si="410"/>
        <v>100</v>
      </c>
      <c r="AD596" s="1509">
        <f t="shared" si="411"/>
        <v>0</v>
      </c>
      <c r="AE596" s="1509">
        <f t="shared" si="412"/>
        <v>0</v>
      </c>
      <c r="AF596" s="1509">
        <f t="shared" si="412"/>
        <v>0</v>
      </c>
      <c r="AG596" s="1509">
        <f t="shared" si="412"/>
        <v>0</v>
      </c>
      <c r="AH596" s="1490">
        <f t="shared" si="380"/>
        <v>7.5</v>
      </c>
      <c r="AI596" s="1636">
        <f t="shared" si="413"/>
        <v>0</v>
      </c>
      <c r="AJ596" s="1636">
        <f t="shared" si="414"/>
        <v>0</v>
      </c>
      <c r="AK596" s="1636">
        <f t="shared" si="415"/>
        <v>0</v>
      </c>
      <c r="AL596" s="1636">
        <f t="shared" si="400"/>
        <v>0</v>
      </c>
      <c r="AM596" s="1636">
        <f t="shared" si="400"/>
        <v>0</v>
      </c>
      <c r="AN596" s="1637"/>
      <c r="AO596" s="1708">
        <v>12.5</v>
      </c>
      <c r="AP596" s="1638"/>
      <c r="AQ596" s="1638"/>
      <c r="AR596" s="1638"/>
      <c r="AS596" s="1639"/>
      <c r="AT596" s="1638"/>
      <c r="AU596" s="1638"/>
      <c r="AV596" s="1638"/>
      <c r="AW596" s="1639"/>
      <c r="AX596" s="1640"/>
      <c r="AY596" s="1640"/>
      <c r="AZ596" s="1640"/>
      <c r="BA596" s="1641"/>
      <c r="BB596" s="1640"/>
      <c r="BC596" s="1640"/>
      <c r="BD596" s="1640"/>
      <c r="BE596" s="1644"/>
      <c r="BF596" s="1640"/>
      <c r="BG596" s="1640"/>
      <c r="BH596" s="1640"/>
      <c r="BI596" s="1641"/>
      <c r="BJ596" s="1640"/>
      <c r="BK596" s="1640"/>
      <c r="BL596" s="1640"/>
      <c r="BM596" s="1641">
        <v>80</v>
      </c>
      <c r="BN596" s="1640"/>
      <c r="BO596" s="1640"/>
      <c r="BP596" s="1640"/>
      <c r="BQ596" s="1641"/>
      <c r="BR596" s="1640"/>
      <c r="BS596" s="1640"/>
      <c r="BT596" s="1640"/>
      <c r="BU596" s="1641"/>
      <c r="BV596" s="1640"/>
      <c r="BW596" s="1640"/>
      <c r="BX596" s="1640"/>
      <c r="BY596" s="1641"/>
      <c r="BZ596" s="1640"/>
      <c r="CA596" s="1640"/>
      <c r="CB596" s="1640"/>
      <c r="CC596" s="1641"/>
      <c r="CD596" s="1640"/>
      <c r="CE596" s="1640"/>
      <c r="CF596" s="1640"/>
      <c r="CG596" s="1642"/>
      <c r="CH596" s="1641">
        <f t="shared" si="390"/>
        <v>7.5</v>
      </c>
      <c r="CI596" s="1641">
        <f t="shared" si="390"/>
        <v>0</v>
      </c>
      <c r="CJ596" s="1641">
        <f t="shared" si="390"/>
        <v>0</v>
      </c>
      <c r="CK596" s="1641">
        <f t="shared" si="390"/>
        <v>0</v>
      </c>
      <c r="CL596" s="1889">
        <v>7.5</v>
      </c>
      <c r="CM596" s="1889">
        <v>0</v>
      </c>
      <c r="CN596" s="1889">
        <v>0</v>
      </c>
      <c r="CO596" s="1889">
        <v>0</v>
      </c>
      <c r="CP596" s="1641"/>
      <c r="CQ596" s="1640"/>
      <c r="CR596" s="1640"/>
      <c r="CS596" s="1640"/>
    </row>
    <row r="597" spans="1:107" ht="15" thickBot="1" x14ac:dyDescent="0.2">
      <c r="A597" s="1528" t="s">
        <v>767</v>
      </c>
      <c r="B597" s="1530" t="s">
        <v>79</v>
      </c>
      <c r="C597" s="1530" t="s">
        <v>80</v>
      </c>
      <c r="D597" s="1530" t="s">
        <v>125</v>
      </c>
      <c r="E597" s="1530" t="s">
        <v>216</v>
      </c>
      <c r="F597" s="1530">
        <v>612</v>
      </c>
      <c r="G597" s="1687" t="s">
        <v>766</v>
      </c>
      <c r="H597" s="1647">
        <f>I583</f>
        <v>0</v>
      </c>
      <c r="I597" s="1645"/>
      <c r="J597" s="1630"/>
      <c r="K597" s="1630"/>
      <c r="L597" s="1631"/>
      <c r="M597" s="1631"/>
      <c r="N597" s="1631"/>
      <c r="O597" s="1631"/>
      <c r="P597" s="1631"/>
      <c r="Q597" s="1631"/>
      <c r="R597" s="1631"/>
      <c r="S597" s="1631"/>
      <c r="T597" s="1632"/>
      <c r="U597" s="1633"/>
      <c r="V597" s="1633"/>
      <c r="W597" s="1634"/>
      <c r="X597" s="1634"/>
      <c r="Y597" s="1634"/>
      <c r="Z597" s="1635"/>
      <c r="AA597" s="1634">
        <f t="shared" si="389"/>
        <v>0</v>
      </c>
      <c r="AB597" s="1634"/>
      <c r="AC597" s="1508"/>
      <c r="AD597" s="1509"/>
      <c r="AE597" s="1509"/>
      <c r="AF597" s="1509"/>
      <c r="AG597" s="1509"/>
      <c r="AH597" s="1490">
        <f t="shared" si="380"/>
        <v>0</v>
      </c>
      <c r="AI597" s="1636"/>
      <c r="AJ597" s="1636"/>
      <c r="AK597" s="1636"/>
      <c r="AL597" s="1636">
        <f t="shared" si="400"/>
        <v>0</v>
      </c>
      <c r="AM597" s="1636"/>
      <c r="AN597" s="1712"/>
      <c r="AO597" s="1713"/>
      <c r="AP597" s="1638"/>
      <c r="AQ597" s="1638"/>
      <c r="AR597" s="1638"/>
      <c r="AS597" s="1639"/>
      <c r="AT597" s="1638"/>
      <c r="AU597" s="1638"/>
      <c r="AV597" s="1638"/>
      <c r="AW597" s="1639"/>
      <c r="AX597" s="1640"/>
      <c r="AY597" s="1640"/>
      <c r="AZ597" s="1640"/>
      <c r="BA597" s="1641"/>
      <c r="BB597" s="1640"/>
      <c r="BC597" s="1640"/>
      <c r="BD597" s="1640"/>
      <c r="BE597" s="1644"/>
      <c r="BF597" s="1640"/>
      <c r="BG597" s="1640"/>
      <c r="BH597" s="1640"/>
      <c r="BI597" s="1641"/>
      <c r="BJ597" s="1640"/>
      <c r="BK597" s="1640"/>
      <c r="BL597" s="1640"/>
      <c r="BM597" s="1641"/>
      <c r="BN597" s="1640"/>
      <c r="BO597" s="1640"/>
      <c r="BP597" s="1640"/>
      <c r="BQ597" s="1641"/>
      <c r="BR597" s="1640"/>
      <c r="BS597" s="1640"/>
      <c r="BT597" s="1640"/>
      <c r="BU597" s="1641"/>
      <c r="BV597" s="1640"/>
      <c r="BW597" s="1640"/>
      <c r="BX597" s="1640"/>
      <c r="BY597" s="1641"/>
      <c r="BZ597" s="1640"/>
      <c r="CA597" s="1640"/>
      <c r="CB597" s="1640"/>
      <c r="CC597" s="1641"/>
      <c r="CD597" s="1640"/>
      <c r="CE597" s="1640"/>
      <c r="CF597" s="1640"/>
      <c r="CG597" s="1642"/>
      <c r="CH597" s="1641">
        <f t="shared" si="390"/>
        <v>0</v>
      </c>
      <c r="CI597" s="1641">
        <f t="shared" si="390"/>
        <v>0</v>
      </c>
      <c r="CJ597" s="1641">
        <f t="shared" si="390"/>
        <v>0</v>
      </c>
      <c r="CK597" s="1641">
        <f t="shared" si="390"/>
        <v>0</v>
      </c>
      <c r="CL597" s="1898"/>
      <c r="CM597" s="1898"/>
      <c r="CN597" s="1889">
        <v>0</v>
      </c>
      <c r="CO597" s="1898"/>
      <c r="CP597" s="1641"/>
      <c r="CQ597" s="1640"/>
      <c r="CR597" s="1640"/>
      <c r="CS597" s="1640"/>
    </row>
    <row r="598" spans="1:107" s="1886" customFormat="1" ht="40" thickBot="1" x14ac:dyDescent="0.2">
      <c r="A598" s="1873" t="s">
        <v>1280</v>
      </c>
      <c r="B598" s="1941" t="s">
        <v>79</v>
      </c>
      <c r="C598" s="1941" t="s">
        <v>80</v>
      </c>
      <c r="D598" s="1941" t="s">
        <v>125</v>
      </c>
      <c r="E598" s="1941" t="s">
        <v>216</v>
      </c>
      <c r="F598" s="1941">
        <v>600</v>
      </c>
      <c r="G598" s="1874"/>
      <c r="H598" s="1606">
        <f>H599+H613</f>
        <v>21035.349000000002</v>
      </c>
      <c r="I598" s="1606">
        <f>I599+I613</f>
        <v>2300.2489999999998</v>
      </c>
      <c r="J598" s="1606">
        <f>J599+J613</f>
        <v>736.38</v>
      </c>
      <c r="K598" s="1606">
        <f t="shared" ref="K598:CF598" si="416">K599+K613</f>
        <v>0</v>
      </c>
      <c r="L598" s="1607"/>
      <c r="M598" s="1607"/>
      <c r="N598" s="1607"/>
      <c r="O598" s="1607"/>
      <c r="P598" s="1607"/>
      <c r="Q598" s="1607"/>
      <c r="R598" s="1607"/>
      <c r="S598" s="1607"/>
      <c r="T598" s="1608"/>
      <c r="U598" s="1609"/>
      <c r="V598" s="1609"/>
      <c r="W598" s="1610"/>
      <c r="X598" s="1610"/>
      <c r="Y598" s="1610"/>
      <c r="Z598" s="1611"/>
      <c r="AA598" s="1634">
        <f t="shared" si="389"/>
        <v>0</v>
      </c>
      <c r="AB598" s="1610"/>
      <c r="AC598" s="1612">
        <f t="shared" si="416"/>
        <v>18735.100000000002</v>
      </c>
      <c r="AD598" s="1612">
        <f t="shared" si="416"/>
        <v>3036.6289999999999</v>
      </c>
      <c r="AE598" s="1612">
        <f t="shared" si="416"/>
        <v>2300.2489999999998</v>
      </c>
      <c r="AF598" s="1612">
        <f t="shared" si="416"/>
        <v>736.38</v>
      </c>
      <c r="AG598" s="1612">
        <f t="shared" si="416"/>
        <v>0</v>
      </c>
      <c r="AH598" s="1490">
        <f t="shared" ref="AH598:AH661" si="417">CG598+CL598</f>
        <v>611.404</v>
      </c>
      <c r="AI598" s="1613">
        <f t="shared" si="416"/>
        <v>0</v>
      </c>
      <c r="AJ598" s="1613">
        <f t="shared" si="416"/>
        <v>0</v>
      </c>
      <c r="AK598" s="1613">
        <f t="shared" si="416"/>
        <v>0</v>
      </c>
      <c r="AL598" s="1636">
        <f t="shared" ref="AL598:AM631" si="418">J598-AF598</f>
        <v>0</v>
      </c>
      <c r="AM598" s="1613">
        <f t="shared" si="416"/>
        <v>0</v>
      </c>
      <c r="AN598" s="1614"/>
      <c r="AO598" s="1606">
        <f t="shared" si="416"/>
        <v>1547</v>
      </c>
      <c r="AP598" s="1606">
        <f t="shared" si="416"/>
        <v>0</v>
      </c>
      <c r="AQ598" s="1606">
        <f t="shared" si="416"/>
        <v>0</v>
      </c>
      <c r="AR598" s="1606">
        <f t="shared" si="416"/>
        <v>0</v>
      </c>
      <c r="AS598" s="1611">
        <f t="shared" si="416"/>
        <v>1513.9</v>
      </c>
      <c r="AT598" s="1606">
        <f t="shared" si="416"/>
        <v>0</v>
      </c>
      <c r="AU598" s="1606">
        <f t="shared" si="416"/>
        <v>0</v>
      </c>
      <c r="AV598" s="1606">
        <f t="shared" si="416"/>
        <v>0</v>
      </c>
      <c r="AW598" s="1611">
        <f t="shared" si="416"/>
        <v>1452.9</v>
      </c>
      <c r="AX598" s="1606">
        <f t="shared" si="416"/>
        <v>0</v>
      </c>
      <c r="AY598" s="1606">
        <f t="shared" si="416"/>
        <v>0</v>
      </c>
      <c r="AZ598" s="1606">
        <f t="shared" si="416"/>
        <v>0</v>
      </c>
      <c r="BA598" s="1614">
        <f t="shared" si="416"/>
        <v>1452.9</v>
      </c>
      <c r="BB598" s="1606">
        <f t="shared" si="416"/>
        <v>0</v>
      </c>
      <c r="BC598" s="1606">
        <f t="shared" si="416"/>
        <v>0</v>
      </c>
      <c r="BD598" s="1606">
        <f t="shared" si="416"/>
        <v>0</v>
      </c>
      <c r="BE598" s="1615">
        <f t="shared" si="416"/>
        <v>1659.1000000000001</v>
      </c>
      <c r="BF598" s="1606">
        <f t="shared" si="416"/>
        <v>121.6</v>
      </c>
      <c r="BG598" s="1606">
        <f t="shared" si="416"/>
        <v>0</v>
      </c>
      <c r="BH598" s="1606">
        <f t="shared" si="416"/>
        <v>0</v>
      </c>
      <c r="BI598" s="1614">
        <f t="shared" si="416"/>
        <v>1301.8050000000001</v>
      </c>
      <c r="BJ598" s="1606">
        <f t="shared" si="416"/>
        <v>0</v>
      </c>
      <c r="BK598" s="1606">
        <f t="shared" si="416"/>
        <v>0</v>
      </c>
      <c r="BL598" s="1606">
        <f t="shared" si="416"/>
        <v>0</v>
      </c>
      <c r="BM598" s="1614">
        <f t="shared" si="416"/>
        <v>3306.0450000000001</v>
      </c>
      <c r="BN598" s="1606">
        <f t="shared" si="416"/>
        <v>150</v>
      </c>
      <c r="BO598" s="1606">
        <f t="shared" si="416"/>
        <v>0</v>
      </c>
      <c r="BP598" s="1606">
        <f t="shared" si="416"/>
        <v>0</v>
      </c>
      <c r="BQ598" s="1614">
        <f t="shared" si="416"/>
        <v>1647.0960000000002</v>
      </c>
      <c r="BR598" s="1606">
        <f t="shared" si="416"/>
        <v>0</v>
      </c>
      <c r="BS598" s="1606">
        <f t="shared" si="416"/>
        <v>0</v>
      </c>
      <c r="BT598" s="1606">
        <f t="shared" si="416"/>
        <v>0</v>
      </c>
      <c r="BU598" s="1614">
        <f t="shared" si="416"/>
        <v>1342.6499999999999</v>
      </c>
      <c r="BV598" s="1606">
        <f t="shared" si="416"/>
        <v>2028.6489999999999</v>
      </c>
      <c r="BW598" s="1606">
        <f t="shared" si="416"/>
        <v>0</v>
      </c>
      <c r="BX598" s="1606">
        <f t="shared" si="416"/>
        <v>0</v>
      </c>
      <c r="BY598" s="1614">
        <f t="shared" si="416"/>
        <v>392.79999999999995</v>
      </c>
      <c r="BZ598" s="1606">
        <f t="shared" si="416"/>
        <v>0</v>
      </c>
      <c r="CA598" s="1606">
        <f t="shared" si="416"/>
        <v>216.5</v>
      </c>
      <c r="CB598" s="1606">
        <f t="shared" si="416"/>
        <v>0</v>
      </c>
      <c r="CC598" s="1614">
        <f t="shared" si="416"/>
        <v>2507.5</v>
      </c>
      <c r="CD598" s="1606">
        <f t="shared" si="416"/>
        <v>0</v>
      </c>
      <c r="CE598" s="1606">
        <f t="shared" si="416"/>
        <v>0</v>
      </c>
      <c r="CF598" s="1606">
        <f t="shared" si="416"/>
        <v>0</v>
      </c>
      <c r="CG598" s="1616"/>
      <c r="CH598" s="1641">
        <f t="shared" si="390"/>
        <v>611.404</v>
      </c>
      <c r="CI598" s="1641">
        <f t="shared" si="390"/>
        <v>0</v>
      </c>
      <c r="CJ598" s="1641">
        <f t="shared" si="390"/>
        <v>519.88</v>
      </c>
      <c r="CK598" s="1641">
        <f t="shared" si="390"/>
        <v>0</v>
      </c>
      <c r="CL598" s="1943">
        <v>611.404</v>
      </c>
      <c r="CM598" s="1943">
        <v>0</v>
      </c>
      <c r="CN598" s="1889">
        <v>519.88</v>
      </c>
      <c r="CO598" s="1943">
        <v>0</v>
      </c>
      <c r="CP598" s="1614">
        <f>CP599+CP613</f>
        <v>0</v>
      </c>
      <c r="CQ598" s="1606">
        <f>CQ599+CQ613</f>
        <v>0</v>
      </c>
      <c r="CR598" s="1606">
        <f>CR599+CR613</f>
        <v>0</v>
      </c>
      <c r="CS598" s="1606">
        <f>CS599+CS613</f>
        <v>0</v>
      </c>
      <c r="CT598" s="1885"/>
      <c r="CU598" s="1885"/>
      <c r="CV598" s="1885"/>
      <c r="CW598" s="1885"/>
      <c r="CY598" s="1885"/>
    </row>
    <row r="599" spans="1:107" ht="53" thickBot="1" x14ac:dyDescent="0.2">
      <c r="A599" s="1748" t="s">
        <v>1135</v>
      </c>
      <c r="B599" s="1749" t="s">
        <v>79</v>
      </c>
      <c r="C599" s="1749" t="s">
        <v>80</v>
      </c>
      <c r="D599" s="1749" t="s">
        <v>125</v>
      </c>
      <c r="E599" s="1749" t="s">
        <v>216</v>
      </c>
      <c r="F599" s="1749" t="s">
        <v>765</v>
      </c>
      <c r="G599" s="1600" t="s">
        <v>766</v>
      </c>
      <c r="H599" s="1531">
        <f>H600+H601+H602+H603+H604+H605+H606+H607+H608+H609+H610+H611+H612</f>
        <v>18735.100000000002</v>
      </c>
      <c r="I599" s="1531">
        <f>I600+I601+I602+I603+I604+I605+I606+I607+I608+I609+I610+I611+I612</f>
        <v>2300.2489999999998</v>
      </c>
      <c r="J599" s="1531">
        <f>J600+J601+J602+J603+J604+J605+J606+J607+J608+J609+J610+J611+J612</f>
        <v>736.38</v>
      </c>
      <c r="K599" s="1531">
        <f t="shared" ref="K599:CF599" si="419">K600+K601+K602+K603+K604+K605+K606+K607+K608+K609+K610+K611+K612</f>
        <v>0</v>
      </c>
      <c r="L599" s="1601"/>
      <c r="M599" s="1601"/>
      <c r="N599" s="1601"/>
      <c r="O599" s="1601">
        <f t="shared" si="419"/>
        <v>0</v>
      </c>
      <c r="P599" s="1601"/>
      <c r="Q599" s="1601">
        <f t="shared" si="419"/>
        <v>0</v>
      </c>
      <c r="R599" s="1601">
        <f t="shared" si="419"/>
        <v>60</v>
      </c>
      <c r="S599" s="1601">
        <f t="shared" si="419"/>
        <v>0</v>
      </c>
      <c r="T599" s="1602"/>
      <c r="U599" s="1533"/>
      <c r="V599" s="1533"/>
      <c r="W599" s="1534"/>
      <c r="X599" s="1534"/>
      <c r="Y599" s="1534"/>
      <c r="Z599" s="1535"/>
      <c r="AA599" s="1634">
        <f t="shared" si="389"/>
        <v>0</v>
      </c>
      <c r="AB599" s="1534"/>
      <c r="AC599" s="1603">
        <f t="shared" si="419"/>
        <v>18735.100000000002</v>
      </c>
      <c r="AD599" s="1603">
        <f t="shared" si="419"/>
        <v>3036.6289999999999</v>
      </c>
      <c r="AE599" s="1603">
        <f t="shared" si="419"/>
        <v>2300.2489999999998</v>
      </c>
      <c r="AF599" s="1603">
        <f t="shared" si="419"/>
        <v>736.38</v>
      </c>
      <c r="AG599" s="1603">
        <f t="shared" si="419"/>
        <v>0</v>
      </c>
      <c r="AH599" s="1490">
        <f t="shared" si="417"/>
        <v>611.404</v>
      </c>
      <c r="AI599" s="1592">
        <f t="shared" si="419"/>
        <v>0</v>
      </c>
      <c r="AJ599" s="1592">
        <f t="shared" si="419"/>
        <v>0</v>
      </c>
      <c r="AK599" s="1592">
        <f t="shared" si="419"/>
        <v>0</v>
      </c>
      <c r="AL599" s="1636">
        <f t="shared" si="418"/>
        <v>0</v>
      </c>
      <c r="AM599" s="1592">
        <f t="shared" si="419"/>
        <v>0</v>
      </c>
      <c r="AN599" s="1706"/>
      <c r="AO599" s="1707">
        <f t="shared" si="419"/>
        <v>1547</v>
      </c>
      <c r="AP599" s="1531">
        <f t="shared" si="419"/>
        <v>0</v>
      </c>
      <c r="AQ599" s="1531">
        <f t="shared" si="419"/>
        <v>0</v>
      </c>
      <c r="AR599" s="1531">
        <f t="shared" si="419"/>
        <v>0</v>
      </c>
      <c r="AS599" s="1535">
        <f t="shared" si="419"/>
        <v>1513.9</v>
      </c>
      <c r="AT599" s="1531">
        <f t="shared" si="419"/>
        <v>0</v>
      </c>
      <c r="AU599" s="1531">
        <f t="shared" si="419"/>
        <v>0</v>
      </c>
      <c r="AV599" s="1531">
        <f t="shared" si="419"/>
        <v>0</v>
      </c>
      <c r="AW599" s="1535">
        <f t="shared" si="419"/>
        <v>1452.9</v>
      </c>
      <c r="AX599" s="1531">
        <f t="shared" si="419"/>
        <v>0</v>
      </c>
      <c r="AY599" s="1531">
        <f t="shared" si="419"/>
        <v>0</v>
      </c>
      <c r="AZ599" s="1531">
        <f t="shared" si="419"/>
        <v>0</v>
      </c>
      <c r="BA599" s="1538">
        <f t="shared" si="419"/>
        <v>1452.9</v>
      </c>
      <c r="BB599" s="1531">
        <f t="shared" si="419"/>
        <v>0</v>
      </c>
      <c r="BC599" s="1531">
        <f t="shared" si="419"/>
        <v>0</v>
      </c>
      <c r="BD599" s="1531">
        <f t="shared" si="419"/>
        <v>0</v>
      </c>
      <c r="BE599" s="1539">
        <f t="shared" si="419"/>
        <v>1659.1000000000001</v>
      </c>
      <c r="BF599" s="1531">
        <f t="shared" si="419"/>
        <v>121.6</v>
      </c>
      <c r="BG599" s="1531">
        <f t="shared" si="419"/>
        <v>0</v>
      </c>
      <c r="BH599" s="1531">
        <f t="shared" si="419"/>
        <v>0</v>
      </c>
      <c r="BI599" s="1538">
        <f t="shared" si="419"/>
        <v>1301.8050000000001</v>
      </c>
      <c r="BJ599" s="1531">
        <f t="shared" si="419"/>
        <v>0</v>
      </c>
      <c r="BK599" s="1531">
        <f t="shared" si="419"/>
        <v>0</v>
      </c>
      <c r="BL599" s="1531">
        <f t="shared" si="419"/>
        <v>0</v>
      </c>
      <c r="BM599" s="1538">
        <f t="shared" si="419"/>
        <v>3306.0450000000001</v>
      </c>
      <c r="BN599" s="1531">
        <f t="shared" si="419"/>
        <v>150</v>
      </c>
      <c r="BO599" s="1531">
        <f t="shared" si="419"/>
        <v>0</v>
      </c>
      <c r="BP599" s="1531">
        <f t="shared" si="419"/>
        <v>0</v>
      </c>
      <c r="BQ599" s="1538">
        <f t="shared" si="419"/>
        <v>1647.0960000000002</v>
      </c>
      <c r="BR599" s="1531">
        <f t="shared" si="419"/>
        <v>0</v>
      </c>
      <c r="BS599" s="1531">
        <f t="shared" si="419"/>
        <v>0</v>
      </c>
      <c r="BT599" s="1531">
        <f t="shared" si="419"/>
        <v>0</v>
      </c>
      <c r="BU599" s="1538">
        <f t="shared" si="419"/>
        <v>1342.6499999999999</v>
      </c>
      <c r="BV599" s="1531">
        <f t="shared" si="419"/>
        <v>2028.6489999999999</v>
      </c>
      <c r="BW599" s="1531">
        <f t="shared" si="419"/>
        <v>0</v>
      </c>
      <c r="BX599" s="1531">
        <f t="shared" si="419"/>
        <v>0</v>
      </c>
      <c r="BY599" s="1538">
        <f t="shared" si="419"/>
        <v>392.79999999999995</v>
      </c>
      <c r="BZ599" s="1531">
        <f t="shared" si="419"/>
        <v>0</v>
      </c>
      <c r="CA599" s="1531">
        <f t="shared" si="419"/>
        <v>216.5</v>
      </c>
      <c r="CB599" s="1531">
        <f t="shared" si="419"/>
        <v>0</v>
      </c>
      <c r="CC599" s="1538">
        <f t="shared" si="419"/>
        <v>2507.5</v>
      </c>
      <c r="CD599" s="1531">
        <f t="shared" si="419"/>
        <v>0</v>
      </c>
      <c r="CE599" s="1531">
        <f t="shared" si="419"/>
        <v>0</v>
      </c>
      <c r="CF599" s="1531">
        <f t="shared" si="419"/>
        <v>0</v>
      </c>
      <c r="CG599" s="1705"/>
      <c r="CH599" s="1641">
        <f t="shared" si="390"/>
        <v>611.404</v>
      </c>
      <c r="CI599" s="1641">
        <f t="shared" si="390"/>
        <v>0</v>
      </c>
      <c r="CJ599" s="1641">
        <f t="shared" si="390"/>
        <v>519.88</v>
      </c>
      <c r="CK599" s="1641">
        <f t="shared" si="390"/>
        <v>0</v>
      </c>
      <c r="CL599" s="1902">
        <v>611.404</v>
      </c>
      <c r="CM599" s="1902">
        <v>0</v>
      </c>
      <c r="CN599" s="1889">
        <v>519.88</v>
      </c>
      <c r="CO599" s="1902">
        <v>0</v>
      </c>
      <c r="CP599" s="1538">
        <f>CP600+CP601+CP602+CP603+CP604+CP605+CP606+CP607+CP608+CP609+CP610+CP611+CP612</f>
        <v>0</v>
      </c>
      <c r="CQ599" s="1531">
        <f>CQ600+CQ601+CQ602+CQ603+CQ604+CQ605+CQ606+CQ607+CQ608+CQ609+CQ610+CQ611+CQ612</f>
        <v>0</v>
      </c>
      <c r="CR599" s="1531">
        <f>CR600+CR601+CR602+CR603+CR604+CR605+CR606+CR607+CR608+CR609+CR610+CR611+CR612</f>
        <v>0</v>
      </c>
      <c r="CS599" s="1531">
        <f>CS600+CS601+CS602+CS603+CS604+CS605+CS606+CS607+CS608+CS609+CS610+CS611+CS612</f>
        <v>0</v>
      </c>
    </row>
    <row r="600" spans="1:107" ht="15" thickBot="1" x14ac:dyDescent="0.2">
      <c r="A600" s="1541" t="s">
        <v>78</v>
      </c>
      <c r="B600" s="1523" t="s">
        <v>79</v>
      </c>
      <c r="C600" s="1523" t="s">
        <v>80</v>
      </c>
      <c r="D600" s="1523" t="s">
        <v>125</v>
      </c>
      <c r="E600" s="1523" t="s">
        <v>216</v>
      </c>
      <c r="F600" s="1523"/>
      <c r="G600" s="1667">
        <v>211</v>
      </c>
      <c r="H600" s="1501">
        <f>13391.1+36.5+100</f>
        <v>13527.6</v>
      </c>
      <c r="I600" s="1501"/>
      <c r="J600" s="1630"/>
      <c r="K600" s="1630"/>
      <c r="L600" s="1631"/>
      <c r="M600" s="1631"/>
      <c r="N600" s="1631"/>
      <c r="O600" s="1631"/>
      <c r="P600" s="1631"/>
      <c r="Q600" s="1631"/>
      <c r="R600" s="1631"/>
      <c r="S600" s="1631"/>
      <c r="T600" s="1632"/>
      <c r="U600" s="1633"/>
      <c r="V600" s="1633"/>
      <c r="W600" s="1634">
        <f>H600/12</f>
        <v>1127.3</v>
      </c>
      <c r="X600" s="1634">
        <f>AO600</f>
        <v>1115.9000000000001</v>
      </c>
      <c r="Y600" s="1634">
        <f>CC600</f>
        <v>1962.5</v>
      </c>
      <c r="Z600" s="1635">
        <v>1292.9000000000001</v>
      </c>
      <c r="AA600" s="1634">
        <f t="shared" si="389"/>
        <v>-1292.9000000000001</v>
      </c>
      <c r="AB600" s="1511">
        <f>AI600</f>
        <v>0</v>
      </c>
      <c r="AC600" s="1508">
        <f t="shared" ref="AC600:AC612" si="420">AO600+AS600+AW600+BA600+BE600+BI600+BM600+BQ600+BU600+BY600+CC600+CH600</f>
        <v>13527.600000000002</v>
      </c>
      <c r="AD600" s="1509">
        <f t="shared" ref="AD600:AD612" si="421">AE600+AF600+AG600</f>
        <v>0</v>
      </c>
      <c r="AE600" s="1509">
        <f t="shared" ref="AE600:AG612" si="422">AP600+AT600+AX600+BB600+BF600+BJ600+BN600+BR600+BV600+BZ600+CD600+CI600</f>
        <v>0</v>
      </c>
      <c r="AF600" s="1509">
        <f t="shared" si="422"/>
        <v>0</v>
      </c>
      <c r="AG600" s="1509">
        <f t="shared" si="422"/>
        <v>0</v>
      </c>
      <c r="AH600" s="1490">
        <f t="shared" si="417"/>
        <v>405.85</v>
      </c>
      <c r="AI600" s="1636">
        <f t="shared" ref="AI600:AI612" si="423">H600-AC600</f>
        <v>0</v>
      </c>
      <c r="AJ600" s="1636">
        <f t="shared" ref="AJ600:AJ612" si="424">AK600+AL600+AM600</f>
        <v>0</v>
      </c>
      <c r="AK600" s="1636">
        <f t="shared" ref="AK600:AK612" si="425">I600-AE600</f>
        <v>0</v>
      </c>
      <c r="AL600" s="1636">
        <f t="shared" si="418"/>
        <v>0</v>
      </c>
      <c r="AM600" s="1636">
        <f t="shared" si="418"/>
        <v>0</v>
      </c>
      <c r="AN600" s="1637">
        <f>AI600/4</f>
        <v>0</v>
      </c>
      <c r="AO600" s="1722">
        <v>1115.9000000000001</v>
      </c>
      <c r="AP600" s="1638"/>
      <c r="AQ600" s="1638"/>
      <c r="AR600" s="1638"/>
      <c r="AS600" s="1963">
        <v>1115.9000000000001</v>
      </c>
      <c r="AT600" s="1638"/>
      <c r="AU600" s="1638"/>
      <c r="AV600" s="1638"/>
      <c r="AW600" s="1722">
        <v>1115.9000000000001</v>
      </c>
      <c r="AX600" s="1640"/>
      <c r="AY600" s="1640"/>
      <c r="AZ600" s="1640"/>
      <c r="BA600" s="1964">
        <v>1115.9000000000001</v>
      </c>
      <c r="BB600" s="1640"/>
      <c r="BC600" s="1640"/>
      <c r="BD600" s="1640"/>
      <c r="BE600" s="1964">
        <f>692.6+427.9</f>
        <v>1120.5</v>
      </c>
      <c r="BF600" s="1640"/>
      <c r="BG600" s="1640"/>
      <c r="BH600" s="1640"/>
      <c r="BI600" s="1641">
        <f>1120.5</f>
        <v>1120.5</v>
      </c>
      <c r="BJ600" s="1640"/>
      <c r="BK600" s="1640"/>
      <c r="BL600" s="1640"/>
      <c r="BM600" s="1641">
        <v>2231.8000000000002</v>
      </c>
      <c r="BN600" s="1640"/>
      <c r="BO600" s="1640"/>
      <c r="BP600" s="1640"/>
      <c r="BQ600" s="1641">
        <v>1115.9000000000001</v>
      </c>
      <c r="BR600" s="1640"/>
      <c r="BS600" s="1640"/>
      <c r="BT600" s="1640"/>
      <c r="BU600" s="1641">
        <v>834.7</v>
      </c>
      <c r="BV600" s="1640"/>
      <c r="BW600" s="1640"/>
      <c r="BX600" s="1640"/>
      <c r="BY600" s="1641">
        <f>250.41+21.84</f>
        <v>272.25</v>
      </c>
      <c r="BZ600" s="1640"/>
      <c r="CA600" s="1640"/>
      <c r="CB600" s="1640"/>
      <c r="CC600" s="1641">
        <f>669.6+1292.9</f>
        <v>1962.5</v>
      </c>
      <c r="CD600" s="1640"/>
      <c r="CE600" s="1640"/>
      <c r="CF600" s="1640"/>
      <c r="CG600" s="1642"/>
      <c r="CH600" s="1641">
        <f t="shared" si="390"/>
        <v>405.85</v>
      </c>
      <c r="CI600" s="1641">
        <f t="shared" si="390"/>
        <v>0</v>
      </c>
      <c r="CJ600" s="1641">
        <f t="shared" si="390"/>
        <v>0</v>
      </c>
      <c r="CK600" s="1641">
        <f t="shared" si="390"/>
        <v>0</v>
      </c>
      <c r="CL600" s="1889">
        <v>405.85</v>
      </c>
      <c r="CM600" s="1889">
        <v>0</v>
      </c>
      <c r="CN600" s="1889">
        <v>0</v>
      </c>
      <c r="CO600" s="1889">
        <v>0</v>
      </c>
      <c r="CP600" s="1641"/>
      <c r="CQ600" s="1640"/>
      <c r="CR600" s="1640"/>
      <c r="CS600" s="1640"/>
      <c r="CX600" s="1558">
        <f>H600/12*10-AC600</f>
        <v>-2254.6000000000022</v>
      </c>
      <c r="CY600" s="1558">
        <f>AI600/3</f>
        <v>0</v>
      </c>
      <c r="CZ600" s="1558">
        <f>H600/12</f>
        <v>1127.3</v>
      </c>
      <c r="DA600" s="1559"/>
      <c r="DB600" s="1559"/>
      <c r="DC600" s="1559"/>
    </row>
    <row r="601" spans="1:107" ht="15" thickBot="1" x14ac:dyDescent="0.2">
      <c r="A601" s="1541" t="s">
        <v>103</v>
      </c>
      <c r="B601" s="1523" t="s">
        <v>79</v>
      </c>
      <c r="C601" s="1523" t="s">
        <v>80</v>
      </c>
      <c r="D601" s="1523" t="s">
        <v>125</v>
      </c>
      <c r="E601" s="1523" t="s">
        <v>216</v>
      </c>
      <c r="F601" s="1523"/>
      <c r="G601" s="1667">
        <v>212</v>
      </c>
      <c r="H601" s="1501"/>
      <c r="I601" s="1501"/>
      <c r="J601" s="1630"/>
      <c r="K601" s="1630"/>
      <c r="L601" s="1631"/>
      <c r="M601" s="1631"/>
      <c r="N601" s="1631"/>
      <c r="O601" s="1631"/>
      <c r="P601" s="1631"/>
      <c r="Q601" s="1631"/>
      <c r="R601" s="1631"/>
      <c r="S601" s="1631"/>
      <c r="T601" s="1632"/>
      <c r="U601" s="1633"/>
      <c r="V601" s="1633"/>
      <c r="W601" s="1634"/>
      <c r="X601" s="1634"/>
      <c r="Y601" s="1634">
        <f>CC601</f>
        <v>0</v>
      </c>
      <c r="Z601" s="1635">
        <f>AI601-X601</f>
        <v>0</v>
      </c>
      <c r="AA601" s="1634">
        <f t="shared" ref="AA601:AA608" si="426">AB601-Z601</f>
        <v>0</v>
      </c>
      <c r="AB601" s="1511"/>
      <c r="AC601" s="1508">
        <f t="shared" si="420"/>
        <v>0</v>
      </c>
      <c r="AD601" s="1509">
        <f t="shared" si="421"/>
        <v>0</v>
      </c>
      <c r="AE601" s="1509">
        <f t="shared" si="422"/>
        <v>0</v>
      </c>
      <c r="AF601" s="1509">
        <f t="shared" si="422"/>
        <v>0</v>
      </c>
      <c r="AG601" s="1509">
        <f t="shared" si="422"/>
        <v>0</v>
      </c>
      <c r="AH601" s="1490">
        <f t="shared" si="417"/>
        <v>0</v>
      </c>
      <c r="AI601" s="1636">
        <f t="shared" si="423"/>
        <v>0</v>
      </c>
      <c r="AJ601" s="1636">
        <f t="shared" si="424"/>
        <v>0</v>
      </c>
      <c r="AK601" s="1636">
        <f t="shared" si="425"/>
        <v>0</v>
      </c>
      <c r="AL601" s="1636">
        <f t="shared" si="418"/>
        <v>0</v>
      </c>
      <c r="AM601" s="1636">
        <f t="shared" si="418"/>
        <v>0</v>
      </c>
      <c r="AN601" s="1637"/>
      <c r="AO601" s="1722">
        <v>0</v>
      </c>
      <c r="AP601" s="1638"/>
      <c r="AQ601" s="1638"/>
      <c r="AR601" s="1638"/>
      <c r="AS601" s="1963">
        <v>0</v>
      </c>
      <c r="AT601" s="1638"/>
      <c r="AU601" s="1638"/>
      <c r="AV601" s="1638"/>
      <c r="AW601" s="1722">
        <v>0</v>
      </c>
      <c r="AX601" s="1640"/>
      <c r="AY601" s="1640"/>
      <c r="AZ601" s="1640"/>
      <c r="BA601" s="1964">
        <v>0</v>
      </c>
      <c r="BB601" s="1640"/>
      <c r="BC601" s="1640"/>
      <c r="BD601" s="1640"/>
      <c r="BE601" s="1964">
        <v>0</v>
      </c>
      <c r="BF601" s="1640"/>
      <c r="BG601" s="1640"/>
      <c r="BH601" s="1640"/>
      <c r="BI601" s="1641"/>
      <c r="BJ601" s="1640"/>
      <c r="BK601" s="1640"/>
      <c r="BL601" s="1640"/>
      <c r="BM601" s="1641"/>
      <c r="BN601" s="1640"/>
      <c r="BO601" s="1640"/>
      <c r="BP601" s="1640"/>
      <c r="BQ601" s="1641"/>
      <c r="BR601" s="1640"/>
      <c r="BS601" s="1640"/>
      <c r="BT601" s="1640"/>
      <c r="BU601" s="1641"/>
      <c r="BV601" s="1640"/>
      <c r="BW601" s="1640"/>
      <c r="BX601" s="1640"/>
      <c r="BY601" s="1641"/>
      <c r="BZ601" s="1640"/>
      <c r="CA601" s="1640"/>
      <c r="CB601" s="1640"/>
      <c r="CC601" s="1641"/>
      <c r="CD601" s="1640"/>
      <c r="CE601" s="1640"/>
      <c r="CF601" s="1640"/>
      <c r="CG601" s="1642"/>
      <c r="CH601" s="1641">
        <f t="shared" ref="CH601:CK664" si="427">CL601+CP601</f>
        <v>0</v>
      </c>
      <c r="CI601" s="1641">
        <f t="shared" si="427"/>
        <v>0</v>
      </c>
      <c r="CJ601" s="1641">
        <f t="shared" si="427"/>
        <v>0</v>
      </c>
      <c r="CK601" s="1641">
        <f t="shared" si="427"/>
        <v>0</v>
      </c>
      <c r="CL601" s="1889">
        <v>0</v>
      </c>
      <c r="CM601" s="1889">
        <v>0</v>
      </c>
      <c r="CN601" s="1889">
        <v>0</v>
      </c>
      <c r="CO601" s="1889">
        <v>0</v>
      </c>
      <c r="CP601" s="1641"/>
      <c r="CQ601" s="1640"/>
      <c r="CR601" s="1640"/>
      <c r="CS601" s="1640"/>
      <c r="CX601" s="1558"/>
      <c r="CY601" s="1558"/>
      <c r="CZ601" s="1558"/>
      <c r="DA601" s="1559"/>
      <c r="DB601" s="1559"/>
      <c r="DC601" s="1559"/>
    </row>
    <row r="602" spans="1:107" ht="15" thickBot="1" x14ac:dyDescent="0.2">
      <c r="A602" s="1541" t="s">
        <v>84</v>
      </c>
      <c r="B602" s="1523" t="s">
        <v>79</v>
      </c>
      <c r="C602" s="1523" t="s">
        <v>80</v>
      </c>
      <c r="D602" s="1523" t="s">
        <v>125</v>
      </c>
      <c r="E602" s="1523" t="s">
        <v>216</v>
      </c>
      <c r="F602" s="1523"/>
      <c r="G602" s="1667">
        <v>213</v>
      </c>
      <c r="H602" s="1501">
        <v>4044.1</v>
      </c>
      <c r="I602" s="1501"/>
      <c r="J602" s="1630"/>
      <c r="K602" s="1630"/>
      <c r="L602" s="1631"/>
      <c r="M602" s="1631"/>
      <c r="N602" s="1631"/>
      <c r="O602" s="1631"/>
      <c r="P602" s="1631"/>
      <c r="Q602" s="1631"/>
      <c r="R602" s="1631"/>
      <c r="S602" s="1631"/>
      <c r="T602" s="1632"/>
      <c r="U602" s="1633"/>
      <c r="V602" s="1633"/>
      <c r="W602" s="1634">
        <f>H602/12</f>
        <v>337.00833333333333</v>
      </c>
      <c r="X602" s="1634">
        <f>AO602</f>
        <v>337</v>
      </c>
      <c r="Y602" s="1634">
        <f>CC602</f>
        <v>545</v>
      </c>
      <c r="Z602" s="1635">
        <v>545</v>
      </c>
      <c r="AA602" s="1634">
        <f t="shared" si="426"/>
        <v>-545</v>
      </c>
      <c r="AB602" s="1511">
        <f>AI602</f>
        <v>0</v>
      </c>
      <c r="AC602" s="1508">
        <f t="shared" si="420"/>
        <v>4044.1</v>
      </c>
      <c r="AD602" s="1509">
        <f t="shared" si="421"/>
        <v>0</v>
      </c>
      <c r="AE602" s="1509">
        <f t="shared" si="422"/>
        <v>0</v>
      </c>
      <c r="AF602" s="1509">
        <f t="shared" si="422"/>
        <v>0</v>
      </c>
      <c r="AG602" s="1509">
        <f t="shared" si="422"/>
        <v>0</v>
      </c>
      <c r="AH602" s="1490">
        <f t="shared" si="417"/>
        <v>129</v>
      </c>
      <c r="AI602" s="1636">
        <f t="shared" si="423"/>
        <v>0</v>
      </c>
      <c r="AJ602" s="1636">
        <f t="shared" si="424"/>
        <v>0</v>
      </c>
      <c r="AK602" s="1636">
        <f t="shared" si="425"/>
        <v>0</v>
      </c>
      <c r="AL602" s="1636">
        <f t="shared" si="418"/>
        <v>0</v>
      </c>
      <c r="AM602" s="1636">
        <f t="shared" si="418"/>
        <v>0</v>
      </c>
      <c r="AN602" s="1637">
        <f>AI602/4</f>
        <v>0</v>
      </c>
      <c r="AO602" s="1722">
        <v>337</v>
      </c>
      <c r="AP602" s="1638"/>
      <c r="AQ602" s="1638"/>
      <c r="AR602" s="1638"/>
      <c r="AS602" s="1963">
        <v>337</v>
      </c>
      <c r="AT602" s="1638"/>
      <c r="AU602" s="1638"/>
      <c r="AV602" s="1638"/>
      <c r="AW602" s="1722">
        <v>337</v>
      </c>
      <c r="AX602" s="1640"/>
      <c r="AY602" s="1640"/>
      <c r="AZ602" s="1640"/>
      <c r="BA602" s="1964">
        <v>337</v>
      </c>
      <c r="BB602" s="1640"/>
      <c r="BC602" s="1640"/>
      <c r="BD602" s="1640"/>
      <c r="BE602" s="1964">
        <f>209.2+129.2</f>
        <v>338.4</v>
      </c>
      <c r="BF602" s="1640"/>
      <c r="BG602" s="1640"/>
      <c r="BH602" s="1640"/>
      <c r="BI602" s="1641">
        <f>12.155</f>
        <v>12.154999999999999</v>
      </c>
      <c r="BJ602" s="1640"/>
      <c r="BK602" s="1640"/>
      <c r="BL602" s="1640"/>
      <c r="BM602" s="1641">
        <f>320.245+674</f>
        <v>994.245</v>
      </c>
      <c r="BN602" s="1640"/>
      <c r="BO602" s="1640"/>
      <c r="BP602" s="1640"/>
      <c r="BQ602" s="1641">
        <v>337</v>
      </c>
      <c r="BR602" s="1640"/>
      <c r="BS602" s="1640"/>
      <c r="BT602" s="1640"/>
      <c r="BU602" s="1641">
        <v>253.6</v>
      </c>
      <c r="BV602" s="1640"/>
      <c r="BW602" s="1640"/>
      <c r="BX602" s="1640"/>
      <c r="BY602" s="1641">
        <v>86.7</v>
      </c>
      <c r="BZ602" s="1640"/>
      <c r="CA602" s="1640"/>
      <c r="CB602" s="1640"/>
      <c r="CC602" s="1641">
        <v>545</v>
      </c>
      <c r="CD602" s="1640"/>
      <c r="CE602" s="1640"/>
      <c r="CF602" s="1640"/>
      <c r="CG602" s="1642"/>
      <c r="CH602" s="1641">
        <f t="shared" si="427"/>
        <v>129</v>
      </c>
      <c r="CI602" s="1641">
        <f t="shared" si="427"/>
        <v>0</v>
      </c>
      <c r="CJ602" s="1641">
        <f t="shared" si="427"/>
        <v>0</v>
      </c>
      <c r="CK602" s="1641">
        <f t="shared" si="427"/>
        <v>0</v>
      </c>
      <c r="CL602" s="1889">
        <v>129</v>
      </c>
      <c r="CM602" s="1889">
        <v>0</v>
      </c>
      <c r="CN602" s="1889">
        <v>0</v>
      </c>
      <c r="CO602" s="1889">
        <v>0</v>
      </c>
      <c r="CP602" s="1641"/>
      <c r="CQ602" s="1640"/>
      <c r="CR602" s="1640"/>
      <c r="CS602" s="1640"/>
      <c r="CX602" s="1558">
        <f>H602/12*10-AC602</f>
        <v>-674.01666666666688</v>
      </c>
      <c r="CY602" s="1558">
        <f>AI602/3</f>
        <v>0</v>
      </c>
      <c r="CZ602" s="1558">
        <f>H602/12</f>
        <v>337.00833333333333</v>
      </c>
      <c r="DA602" s="1559"/>
      <c r="DB602" s="1559"/>
      <c r="DC602" s="1559"/>
    </row>
    <row r="603" spans="1:107" ht="15" thickBot="1" x14ac:dyDescent="0.2">
      <c r="A603" s="1541" t="s">
        <v>85</v>
      </c>
      <c r="B603" s="1523" t="s">
        <v>79</v>
      </c>
      <c r="C603" s="1523" t="s">
        <v>80</v>
      </c>
      <c r="D603" s="1523" t="s">
        <v>125</v>
      </c>
      <c r="E603" s="1523" t="s">
        <v>216</v>
      </c>
      <c r="F603" s="1523"/>
      <c r="G603" s="1667">
        <v>221</v>
      </c>
      <c r="H603" s="1501"/>
      <c r="I603" s="1501"/>
      <c r="J603" s="1630"/>
      <c r="K603" s="1630"/>
      <c r="L603" s="1631"/>
      <c r="M603" s="1631"/>
      <c r="N603" s="1631"/>
      <c r="O603" s="1631"/>
      <c r="P603" s="1631"/>
      <c r="Q603" s="1631"/>
      <c r="R603" s="1631"/>
      <c r="S603" s="1631"/>
      <c r="T603" s="1632"/>
      <c r="U603" s="1633"/>
      <c r="V603" s="1633"/>
      <c r="W603" s="1634"/>
      <c r="X603" s="1634"/>
      <c r="Y603" s="1634"/>
      <c r="Z603" s="1635"/>
      <c r="AA603" s="1634">
        <f t="shared" si="426"/>
        <v>0</v>
      </c>
      <c r="AB603" s="1634"/>
      <c r="AC603" s="1508">
        <f t="shared" si="420"/>
        <v>0</v>
      </c>
      <c r="AD603" s="1509">
        <f t="shared" si="421"/>
        <v>0</v>
      </c>
      <c r="AE603" s="1509">
        <f t="shared" si="422"/>
        <v>0</v>
      </c>
      <c r="AF603" s="1509">
        <f t="shared" si="422"/>
        <v>0</v>
      </c>
      <c r="AG603" s="1509">
        <f t="shared" si="422"/>
        <v>0</v>
      </c>
      <c r="AH603" s="1490">
        <f t="shared" si="417"/>
        <v>0</v>
      </c>
      <c r="AI603" s="1636">
        <f t="shared" si="423"/>
        <v>0</v>
      </c>
      <c r="AJ603" s="1636">
        <f t="shared" si="424"/>
        <v>0</v>
      </c>
      <c r="AK603" s="1636">
        <f t="shared" si="425"/>
        <v>0</v>
      </c>
      <c r="AL603" s="1636">
        <f t="shared" si="418"/>
        <v>0</v>
      </c>
      <c r="AM603" s="1636">
        <f t="shared" si="418"/>
        <v>0</v>
      </c>
      <c r="AN603" s="1637"/>
      <c r="AO603" s="1722">
        <v>0</v>
      </c>
      <c r="AP603" s="1638"/>
      <c r="AQ603" s="1638"/>
      <c r="AR603" s="1638"/>
      <c r="AS603" s="1963">
        <v>0</v>
      </c>
      <c r="AT603" s="1638"/>
      <c r="AU603" s="1638"/>
      <c r="AV603" s="1638"/>
      <c r="AW603" s="1639"/>
      <c r="AX603" s="1640"/>
      <c r="AY603" s="1640"/>
      <c r="AZ603" s="1640"/>
      <c r="BA603" s="1641"/>
      <c r="BB603" s="1640"/>
      <c r="BC603" s="1640"/>
      <c r="BD603" s="1640"/>
      <c r="BE603" s="1644"/>
      <c r="BF603" s="1640"/>
      <c r="BG603" s="1640"/>
      <c r="BH603" s="1640"/>
      <c r="BI603" s="1641"/>
      <c r="BJ603" s="1640"/>
      <c r="BK603" s="1640"/>
      <c r="BL603" s="1640"/>
      <c r="BM603" s="1641"/>
      <c r="BN603" s="1640"/>
      <c r="BO603" s="1640"/>
      <c r="BP603" s="1640"/>
      <c r="BQ603" s="1641"/>
      <c r="BR603" s="1640"/>
      <c r="BS603" s="1640"/>
      <c r="BT603" s="1640"/>
      <c r="BU603" s="1641"/>
      <c r="BV603" s="1640"/>
      <c r="BW603" s="1640"/>
      <c r="BX603" s="1640"/>
      <c r="BY603" s="1641"/>
      <c r="BZ603" s="1640"/>
      <c r="CA603" s="1640"/>
      <c r="CB603" s="1640"/>
      <c r="CC603" s="1641"/>
      <c r="CD603" s="1640"/>
      <c r="CE603" s="1640"/>
      <c r="CF603" s="1640"/>
      <c r="CG603" s="1642"/>
      <c r="CH603" s="1641">
        <f t="shared" si="427"/>
        <v>0</v>
      </c>
      <c r="CI603" s="1641">
        <f t="shared" si="427"/>
        <v>0</v>
      </c>
      <c r="CJ603" s="1641">
        <f t="shared" si="427"/>
        <v>0</v>
      </c>
      <c r="CK603" s="1641">
        <f t="shared" si="427"/>
        <v>0</v>
      </c>
      <c r="CL603" s="1889">
        <v>0</v>
      </c>
      <c r="CM603" s="1889">
        <v>0</v>
      </c>
      <c r="CN603" s="1889">
        <v>0</v>
      </c>
      <c r="CO603" s="1889">
        <v>0</v>
      </c>
      <c r="CP603" s="1641"/>
      <c r="CQ603" s="1640"/>
      <c r="CR603" s="1640"/>
      <c r="CS603" s="1640"/>
    </row>
    <row r="604" spans="1:107" ht="15" thickBot="1" x14ac:dyDescent="0.2">
      <c r="A604" s="1541" t="s">
        <v>86</v>
      </c>
      <c r="B604" s="1523" t="s">
        <v>79</v>
      </c>
      <c r="C604" s="1523" t="s">
        <v>80</v>
      </c>
      <c r="D604" s="1523" t="s">
        <v>125</v>
      </c>
      <c r="E604" s="1523" t="s">
        <v>216</v>
      </c>
      <c r="F604" s="1523"/>
      <c r="G604" s="1667">
        <v>222</v>
      </c>
      <c r="H604" s="1501"/>
      <c r="I604" s="1501"/>
      <c r="J604" s="1630"/>
      <c r="K604" s="1630"/>
      <c r="L604" s="1631"/>
      <c r="M604" s="1631"/>
      <c r="N604" s="1631"/>
      <c r="O604" s="1631"/>
      <c r="P604" s="1631"/>
      <c r="Q604" s="1631"/>
      <c r="R604" s="1631"/>
      <c r="S604" s="1631"/>
      <c r="T604" s="1632"/>
      <c r="U604" s="1633"/>
      <c r="V604" s="1633"/>
      <c r="W604" s="1634"/>
      <c r="X604" s="1634"/>
      <c r="Y604" s="1634"/>
      <c r="Z604" s="1635"/>
      <c r="AA604" s="1634">
        <f t="shared" si="426"/>
        <v>0</v>
      </c>
      <c r="AB604" s="1634"/>
      <c r="AC604" s="1508">
        <f t="shared" si="420"/>
        <v>0</v>
      </c>
      <c r="AD604" s="1509">
        <f t="shared" si="421"/>
        <v>0</v>
      </c>
      <c r="AE604" s="1509">
        <f t="shared" si="422"/>
        <v>0</v>
      </c>
      <c r="AF604" s="1509">
        <f t="shared" si="422"/>
        <v>0</v>
      </c>
      <c r="AG604" s="1509">
        <f t="shared" si="422"/>
        <v>0</v>
      </c>
      <c r="AH604" s="1490">
        <f t="shared" si="417"/>
        <v>0</v>
      </c>
      <c r="AI604" s="1636">
        <f t="shared" si="423"/>
        <v>0</v>
      </c>
      <c r="AJ604" s="1636">
        <f t="shared" si="424"/>
        <v>0</v>
      </c>
      <c r="AK604" s="1636">
        <f t="shared" si="425"/>
        <v>0</v>
      </c>
      <c r="AL604" s="1636">
        <f t="shared" si="418"/>
        <v>0</v>
      </c>
      <c r="AM604" s="1636">
        <f t="shared" si="418"/>
        <v>0</v>
      </c>
      <c r="AN604" s="1637"/>
      <c r="AO604" s="1722">
        <v>0</v>
      </c>
      <c r="AP604" s="1638"/>
      <c r="AQ604" s="1638"/>
      <c r="AR604" s="1638"/>
      <c r="AS604" s="1963">
        <v>0</v>
      </c>
      <c r="AT604" s="1638"/>
      <c r="AU604" s="1638"/>
      <c r="AV604" s="1638"/>
      <c r="AW604" s="1639"/>
      <c r="AX604" s="1640"/>
      <c r="AY604" s="1640"/>
      <c r="AZ604" s="1640"/>
      <c r="BA604" s="1641"/>
      <c r="BB604" s="1640"/>
      <c r="BC604" s="1640"/>
      <c r="BD604" s="1640"/>
      <c r="BE604" s="1644"/>
      <c r="BF604" s="1640"/>
      <c r="BG604" s="1640"/>
      <c r="BH604" s="1640"/>
      <c r="BI604" s="1641"/>
      <c r="BJ604" s="1640"/>
      <c r="BK604" s="1640"/>
      <c r="BL604" s="1640"/>
      <c r="BM604" s="1641"/>
      <c r="BN604" s="1640"/>
      <c r="BO604" s="1640"/>
      <c r="BP604" s="1640"/>
      <c r="BQ604" s="1641"/>
      <c r="BR604" s="1640"/>
      <c r="BS604" s="1640"/>
      <c r="BT604" s="1640"/>
      <c r="BU604" s="1641"/>
      <c r="BV604" s="1640"/>
      <c r="BW604" s="1640"/>
      <c r="BX604" s="1640"/>
      <c r="BY604" s="1641"/>
      <c r="BZ604" s="1640"/>
      <c r="CA604" s="1640"/>
      <c r="CB604" s="1640"/>
      <c r="CC604" s="1641"/>
      <c r="CD604" s="1640"/>
      <c r="CE604" s="1640"/>
      <c r="CF604" s="1640"/>
      <c r="CG604" s="1642"/>
      <c r="CH604" s="1641">
        <f t="shared" si="427"/>
        <v>0</v>
      </c>
      <c r="CI604" s="1641">
        <f t="shared" si="427"/>
        <v>0</v>
      </c>
      <c r="CJ604" s="1641">
        <f t="shared" si="427"/>
        <v>0</v>
      </c>
      <c r="CK604" s="1641">
        <f t="shared" si="427"/>
        <v>0</v>
      </c>
      <c r="CL604" s="1889">
        <v>0</v>
      </c>
      <c r="CM604" s="1889">
        <v>0</v>
      </c>
      <c r="CN604" s="1889">
        <v>0</v>
      </c>
      <c r="CO604" s="1889">
        <v>0</v>
      </c>
      <c r="CP604" s="1641"/>
      <c r="CQ604" s="1640"/>
      <c r="CR604" s="1640"/>
      <c r="CS604" s="1640"/>
    </row>
    <row r="605" spans="1:107" s="1480" customFormat="1" ht="15" thickBot="1" x14ac:dyDescent="0.2">
      <c r="A605" s="1541" t="s">
        <v>87</v>
      </c>
      <c r="B605" s="1523" t="s">
        <v>79</v>
      </c>
      <c r="C605" s="1523" t="s">
        <v>80</v>
      </c>
      <c r="D605" s="1523" t="s">
        <v>125</v>
      </c>
      <c r="E605" s="1523" t="s">
        <v>216</v>
      </c>
      <c r="F605" s="1523"/>
      <c r="G605" s="1667">
        <v>223</v>
      </c>
      <c r="H605" s="1501">
        <f>731.8-100</f>
        <v>631.79999999999995</v>
      </c>
      <c r="I605" s="1501"/>
      <c r="J605" s="1630"/>
      <c r="K605" s="1630"/>
      <c r="L605" s="1631"/>
      <c r="M605" s="1631"/>
      <c r="N605" s="1631"/>
      <c r="O605" s="1631"/>
      <c r="P605" s="1631"/>
      <c r="Q605" s="1631"/>
      <c r="R605" s="1631"/>
      <c r="S605" s="1631"/>
      <c r="T605" s="1891"/>
      <c r="U605" s="1633"/>
      <c r="V605" s="1633"/>
      <c r="W605" s="1891"/>
      <c r="X605" s="1891"/>
      <c r="Y605" s="1891"/>
      <c r="Z605" s="1635"/>
      <c r="AA605" s="1634">
        <f t="shared" si="426"/>
        <v>0</v>
      </c>
      <c r="AB605" s="1891"/>
      <c r="AC605" s="1891">
        <f t="shared" si="420"/>
        <v>631.79999999999995</v>
      </c>
      <c r="AD605" s="1892">
        <f t="shared" si="421"/>
        <v>0</v>
      </c>
      <c r="AE605" s="1892">
        <f t="shared" si="422"/>
        <v>0</v>
      </c>
      <c r="AF605" s="1892">
        <f t="shared" si="422"/>
        <v>0</v>
      </c>
      <c r="AG605" s="1892">
        <f t="shared" si="422"/>
        <v>0</v>
      </c>
      <c r="AH605" s="1490">
        <f t="shared" si="417"/>
        <v>0</v>
      </c>
      <c r="AI605" s="1891">
        <f t="shared" si="423"/>
        <v>0</v>
      </c>
      <c r="AJ605" s="1891">
        <f t="shared" si="424"/>
        <v>0</v>
      </c>
      <c r="AK605" s="1891">
        <f t="shared" si="425"/>
        <v>0</v>
      </c>
      <c r="AL605" s="1891">
        <f t="shared" si="418"/>
        <v>0</v>
      </c>
      <c r="AM605" s="1891">
        <f t="shared" si="418"/>
        <v>0</v>
      </c>
      <c r="AN605" s="1891"/>
      <c r="AO605" s="1893">
        <v>61</v>
      </c>
      <c r="AP605" s="1894"/>
      <c r="AQ605" s="1894"/>
      <c r="AR605" s="1894"/>
      <c r="AS605" s="1963">
        <v>61</v>
      </c>
      <c r="AT605" s="1894"/>
      <c r="AU605" s="1894"/>
      <c r="AV605" s="1894"/>
      <c r="AW605" s="1895"/>
      <c r="AX605" s="1895"/>
      <c r="AY605" s="1895"/>
      <c r="AZ605" s="1895"/>
      <c r="BA605" s="1641"/>
      <c r="BB605" s="1895"/>
      <c r="BC605" s="1895"/>
      <c r="BD605" s="1895"/>
      <c r="BE605" s="1644">
        <v>138.30000000000001</v>
      </c>
      <c r="BF605" s="1895"/>
      <c r="BG605" s="1895"/>
      <c r="BH605" s="1895"/>
      <c r="BI605" s="1641">
        <v>69.150000000000006</v>
      </c>
      <c r="BJ605" s="1895"/>
      <c r="BK605" s="1895"/>
      <c r="BL605" s="1895"/>
      <c r="BM605" s="1641"/>
      <c r="BN605" s="1895"/>
      <c r="BO605" s="1895"/>
      <c r="BP605" s="1895"/>
      <c r="BQ605" s="1641">
        <v>69.150000000000006</v>
      </c>
      <c r="BR605" s="1895"/>
      <c r="BS605" s="1895"/>
      <c r="BT605" s="1895"/>
      <c r="BU605" s="1641">
        <v>150.25</v>
      </c>
      <c r="BV605" s="1895"/>
      <c r="BW605" s="1895"/>
      <c r="BX605" s="1895"/>
      <c r="BY605" s="1641">
        <f>156.6-107.5+33.85</f>
        <v>82.949999999999989</v>
      </c>
      <c r="BZ605" s="1895"/>
      <c r="CA605" s="1895"/>
      <c r="CB605" s="1895"/>
      <c r="CC605" s="1895"/>
      <c r="CD605" s="1895"/>
      <c r="CE605" s="1895"/>
      <c r="CF605" s="1895"/>
      <c r="CG605" s="1896"/>
      <c r="CH605" s="1641">
        <f t="shared" si="427"/>
        <v>0</v>
      </c>
      <c r="CI605" s="1641">
        <f t="shared" si="427"/>
        <v>0</v>
      </c>
      <c r="CJ605" s="1641">
        <f t="shared" si="427"/>
        <v>0</v>
      </c>
      <c r="CK605" s="1641">
        <f t="shared" si="427"/>
        <v>0</v>
      </c>
      <c r="CL605" s="1897">
        <v>0</v>
      </c>
      <c r="CM605" s="1897">
        <v>0</v>
      </c>
      <c r="CN605" s="1897">
        <v>0</v>
      </c>
      <c r="CO605" s="1897">
        <v>0</v>
      </c>
      <c r="CP605" s="1895"/>
      <c r="CQ605" s="1895"/>
      <c r="CR605" s="1895"/>
      <c r="CS605" s="1895"/>
      <c r="CT605" s="1481"/>
      <c r="CU605" s="1481"/>
      <c r="CV605" s="1481"/>
      <c r="CW605" s="1481"/>
      <c r="CY605" s="1481"/>
    </row>
    <row r="606" spans="1:107" ht="15" thickBot="1" x14ac:dyDescent="0.2">
      <c r="A606" s="1541" t="s">
        <v>134</v>
      </c>
      <c r="B606" s="1523" t="s">
        <v>79</v>
      </c>
      <c r="C606" s="1523" t="s">
        <v>80</v>
      </c>
      <c r="D606" s="1523" t="s">
        <v>125</v>
      </c>
      <c r="E606" s="1523" t="s">
        <v>216</v>
      </c>
      <c r="F606" s="1523"/>
      <c r="G606" s="1667">
        <v>224</v>
      </c>
      <c r="H606" s="1501"/>
      <c r="I606" s="1501"/>
      <c r="J606" s="1630"/>
      <c r="K606" s="1630"/>
      <c r="L606" s="1631"/>
      <c r="M606" s="1631"/>
      <c r="N606" s="1631"/>
      <c r="O606" s="1631"/>
      <c r="P606" s="1631"/>
      <c r="Q606" s="1631"/>
      <c r="R606" s="1631"/>
      <c r="S606" s="1631"/>
      <c r="T606" s="1632"/>
      <c r="U606" s="1633"/>
      <c r="V606" s="1633"/>
      <c r="W606" s="1634"/>
      <c r="X606" s="1634"/>
      <c r="Y606" s="1634"/>
      <c r="Z606" s="1635"/>
      <c r="AA606" s="1634">
        <f t="shared" si="426"/>
        <v>0</v>
      </c>
      <c r="AB606" s="1634"/>
      <c r="AC606" s="1508">
        <f t="shared" si="420"/>
        <v>0</v>
      </c>
      <c r="AD606" s="1509">
        <f t="shared" si="421"/>
        <v>0</v>
      </c>
      <c r="AE606" s="1509">
        <f t="shared" si="422"/>
        <v>0</v>
      </c>
      <c r="AF606" s="1509">
        <f t="shared" si="422"/>
        <v>0</v>
      </c>
      <c r="AG606" s="1509">
        <f t="shared" si="422"/>
        <v>0</v>
      </c>
      <c r="AH606" s="1490">
        <f t="shared" si="417"/>
        <v>0</v>
      </c>
      <c r="AI606" s="1636">
        <f t="shared" si="423"/>
        <v>0</v>
      </c>
      <c r="AJ606" s="1636">
        <f t="shared" si="424"/>
        <v>0</v>
      </c>
      <c r="AK606" s="1636">
        <f t="shared" si="425"/>
        <v>0</v>
      </c>
      <c r="AL606" s="1636">
        <f t="shared" si="418"/>
        <v>0</v>
      </c>
      <c r="AM606" s="1636">
        <f t="shared" si="418"/>
        <v>0</v>
      </c>
      <c r="AN606" s="1637"/>
      <c r="AO606" s="1722">
        <v>0</v>
      </c>
      <c r="AP606" s="1638"/>
      <c r="AQ606" s="1638"/>
      <c r="AR606" s="1638"/>
      <c r="AS606" s="1963">
        <v>0</v>
      </c>
      <c r="AT606" s="1638"/>
      <c r="AU606" s="1638"/>
      <c r="AV606" s="1638"/>
      <c r="AW606" s="1639"/>
      <c r="AX606" s="1640"/>
      <c r="AY606" s="1640"/>
      <c r="AZ606" s="1640"/>
      <c r="BA606" s="1641"/>
      <c r="BB606" s="1640"/>
      <c r="BC606" s="1640"/>
      <c r="BD606" s="1640"/>
      <c r="BE606" s="1644"/>
      <c r="BF606" s="1640"/>
      <c r="BG606" s="1640"/>
      <c r="BH606" s="1640"/>
      <c r="BI606" s="1641"/>
      <c r="BJ606" s="1640"/>
      <c r="BK606" s="1640"/>
      <c r="BL606" s="1640"/>
      <c r="BM606" s="1641"/>
      <c r="BN606" s="1640"/>
      <c r="BO606" s="1640"/>
      <c r="BP606" s="1640"/>
      <c r="BQ606" s="1641"/>
      <c r="BR606" s="1640"/>
      <c r="BS606" s="1640"/>
      <c r="BT606" s="1640"/>
      <c r="BU606" s="1641"/>
      <c r="BV606" s="1640"/>
      <c r="BW606" s="1640"/>
      <c r="BX606" s="1640"/>
      <c r="BY606" s="1641"/>
      <c r="BZ606" s="1640"/>
      <c r="CA606" s="1640"/>
      <c r="CB606" s="1640"/>
      <c r="CC606" s="1641"/>
      <c r="CD606" s="1640"/>
      <c r="CE606" s="1640"/>
      <c r="CF606" s="1640"/>
      <c r="CG606" s="1642"/>
      <c r="CH606" s="1641">
        <f t="shared" si="427"/>
        <v>0</v>
      </c>
      <c r="CI606" s="1641">
        <f t="shared" si="427"/>
        <v>0</v>
      </c>
      <c r="CJ606" s="1641">
        <f t="shared" si="427"/>
        <v>0</v>
      </c>
      <c r="CK606" s="1641">
        <f t="shared" si="427"/>
        <v>0</v>
      </c>
      <c r="CL606" s="1889">
        <v>0</v>
      </c>
      <c r="CM606" s="1889">
        <v>0</v>
      </c>
      <c r="CN606" s="1889">
        <v>0</v>
      </c>
      <c r="CO606" s="1889">
        <v>0</v>
      </c>
      <c r="CP606" s="1641"/>
      <c r="CQ606" s="1640"/>
      <c r="CR606" s="1640"/>
      <c r="CS606" s="1640"/>
    </row>
    <row r="607" spans="1:107" ht="15" thickBot="1" x14ac:dyDescent="0.2">
      <c r="A607" s="1541" t="s">
        <v>90</v>
      </c>
      <c r="B607" s="1523" t="s">
        <v>79</v>
      </c>
      <c r="C607" s="1523" t="s">
        <v>80</v>
      </c>
      <c r="D607" s="1523" t="s">
        <v>125</v>
      </c>
      <c r="E607" s="1523" t="s">
        <v>216</v>
      </c>
      <c r="F607" s="1523"/>
      <c r="G607" s="1667">
        <v>225</v>
      </c>
      <c r="H607" s="1501">
        <f>3.4+90</f>
        <v>93.4</v>
      </c>
      <c r="I607" s="1501">
        <f>7.7-7.7</f>
        <v>0</v>
      </c>
      <c r="J607" s="1630">
        <f>800-V607</f>
        <v>736.38</v>
      </c>
      <c r="K607" s="1630"/>
      <c r="L607" s="1631"/>
      <c r="M607" s="1631"/>
      <c r="N607" s="1631"/>
      <c r="O607" s="1631"/>
      <c r="P607" s="1631"/>
      <c r="Q607" s="1631"/>
      <c r="R607" s="1631"/>
      <c r="S607" s="1631"/>
      <c r="T607" s="1632"/>
      <c r="U607" s="1633"/>
      <c r="V607" s="1633">
        <v>63.62</v>
      </c>
      <c r="W607" s="1634"/>
      <c r="X607" s="1634"/>
      <c r="Y607" s="1634"/>
      <c r="Z607" s="1635"/>
      <c r="AA607" s="1634">
        <f t="shared" si="426"/>
        <v>0</v>
      </c>
      <c r="AB607" s="1634"/>
      <c r="AC607" s="1508">
        <f t="shared" si="420"/>
        <v>93.4</v>
      </c>
      <c r="AD607" s="1509">
        <f t="shared" si="421"/>
        <v>736.38</v>
      </c>
      <c r="AE607" s="1509">
        <f t="shared" si="422"/>
        <v>0</v>
      </c>
      <c r="AF607" s="1509">
        <f t="shared" si="422"/>
        <v>736.38</v>
      </c>
      <c r="AG607" s="1509">
        <f t="shared" si="422"/>
        <v>0</v>
      </c>
      <c r="AH607" s="1490">
        <f t="shared" si="417"/>
        <v>3.4</v>
      </c>
      <c r="AI607" s="1636">
        <f t="shared" si="423"/>
        <v>0</v>
      </c>
      <c r="AJ607" s="1636">
        <f t="shared" si="424"/>
        <v>0</v>
      </c>
      <c r="AK607" s="1636">
        <f t="shared" si="425"/>
        <v>0</v>
      </c>
      <c r="AL607" s="1636">
        <f t="shared" si="418"/>
        <v>0</v>
      </c>
      <c r="AM607" s="1636">
        <f t="shared" si="418"/>
        <v>0</v>
      </c>
      <c r="AN607" s="1637"/>
      <c r="AO607" s="1723"/>
      <c r="AP607" s="1638"/>
      <c r="AQ607" s="1638"/>
      <c r="AR607" s="1638"/>
      <c r="AS607" s="1639"/>
      <c r="AT607" s="1638"/>
      <c r="AU607" s="1638"/>
      <c r="AV607" s="1638"/>
      <c r="AW607" s="1639"/>
      <c r="AX607" s="1640"/>
      <c r="AY607" s="1640"/>
      <c r="AZ607" s="1640"/>
      <c r="BA607" s="1641"/>
      <c r="BB607" s="1640"/>
      <c r="BC607" s="1640"/>
      <c r="BD607" s="1640"/>
      <c r="BE607" s="1644"/>
      <c r="BF607" s="1640"/>
      <c r="BG607" s="1640"/>
      <c r="BH607" s="1640"/>
      <c r="BI607" s="1641"/>
      <c r="BJ607" s="1640"/>
      <c r="BK607" s="1640"/>
      <c r="BL607" s="1640"/>
      <c r="BM607" s="1641"/>
      <c r="BN607" s="1640"/>
      <c r="BO607" s="1640"/>
      <c r="BP607" s="1640"/>
      <c r="BQ607" s="1641">
        <v>90</v>
      </c>
      <c r="BR607" s="1640"/>
      <c r="BS607" s="1640"/>
      <c r="BT607" s="1640"/>
      <c r="BU607" s="1641"/>
      <c r="BV607" s="1640"/>
      <c r="BW607" s="1640"/>
      <c r="BX607" s="1640"/>
      <c r="BY607" s="1641"/>
      <c r="BZ607" s="1640"/>
      <c r="CA607" s="1640">
        <v>216.5</v>
      </c>
      <c r="CB607" s="1640"/>
      <c r="CC607" s="1641"/>
      <c r="CD607" s="1640"/>
      <c r="CE607" s="1640"/>
      <c r="CF607" s="1640"/>
      <c r="CG607" s="1642"/>
      <c r="CH607" s="1641">
        <f t="shared" si="427"/>
        <v>3.4</v>
      </c>
      <c r="CI607" s="1641">
        <f t="shared" si="427"/>
        <v>0</v>
      </c>
      <c r="CJ607" s="1641">
        <f t="shared" si="427"/>
        <v>519.88</v>
      </c>
      <c r="CK607" s="1641">
        <f t="shared" si="427"/>
        <v>0</v>
      </c>
      <c r="CL607" s="1889">
        <v>3.4</v>
      </c>
      <c r="CM607" s="1889">
        <v>0</v>
      </c>
      <c r="CN607" s="1889">
        <v>519.88</v>
      </c>
      <c r="CO607" s="1889">
        <v>0</v>
      </c>
      <c r="CP607" s="1641"/>
      <c r="CQ607" s="1640"/>
      <c r="CR607" s="1640"/>
      <c r="CS607" s="1640"/>
    </row>
    <row r="608" spans="1:107" ht="15" thickBot="1" x14ac:dyDescent="0.2">
      <c r="A608" s="1541" t="s">
        <v>91</v>
      </c>
      <c r="B608" s="1523" t="s">
        <v>79</v>
      </c>
      <c r="C608" s="1523" t="s">
        <v>80</v>
      </c>
      <c r="D608" s="1523" t="s">
        <v>125</v>
      </c>
      <c r="E608" s="1523" t="s">
        <v>216</v>
      </c>
      <c r="F608" s="1523"/>
      <c r="G608" s="1667">
        <v>226</v>
      </c>
      <c r="H608" s="1501">
        <f>35+8.2+65</f>
        <v>108.2</v>
      </c>
      <c r="I608" s="1501">
        <f>253.7-3.451</f>
        <v>250.249</v>
      </c>
      <c r="J608" s="1630"/>
      <c r="K608" s="1630"/>
      <c r="L608" s="1631"/>
      <c r="M608" s="1631"/>
      <c r="N608" s="1631"/>
      <c r="O608" s="1631"/>
      <c r="P608" s="1631"/>
      <c r="Q608" s="1631"/>
      <c r="R608" s="1631">
        <v>60</v>
      </c>
      <c r="S608" s="1631"/>
      <c r="T608" s="1632"/>
      <c r="U608" s="1633"/>
      <c r="V608" s="1633"/>
      <c r="W608" s="1634"/>
      <c r="X608" s="1634"/>
      <c r="Y608" s="1634"/>
      <c r="Z608" s="1635"/>
      <c r="AA608" s="1634">
        <f t="shared" si="426"/>
        <v>0</v>
      </c>
      <c r="AB608" s="1634"/>
      <c r="AC608" s="1508">
        <f t="shared" si="420"/>
        <v>108.19999999999999</v>
      </c>
      <c r="AD608" s="1509">
        <f t="shared" si="421"/>
        <v>250.249</v>
      </c>
      <c r="AE608" s="1509">
        <f t="shared" si="422"/>
        <v>250.249</v>
      </c>
      <c r="AF608" s="1509">
        <f t="shared" si="422"/>
        <v>0</v>
      </c>
      <c r="AG608" s="1509">
        <f t="shared" si="422"/>
        <v>0</v>
      </c>
      <c r="AH608" s="1490">
        <f t="shared" si="417"/>
        <v>73.153999999999996</v>
      </c>
      <c r="AI608" s="1636">
        <f t="shared" si="423"/>
        <v>0</v>
      </c>
      <c r="AJ608" s="1636">
        <f t="shared" si="424"/>
        <v>0</v>
      </c>
      <c r="AK608" s="1636">
        <f t="shared" si="425"/>
        <v>0</v>
      </c>
      <c r="AL608" s="1636">
        <f t="shared" si="418"/>
        <v>0</v>
      </c>
      <c r="AM608" s="1636">
        <f t="shared" si="418"/>
        <v>0</v>
      </c>
      <c r="AN608" s="1637"/>
      <c r="AO608" s="1723"/>
      <c r="AP608" s="1638"/>
      <c r="AQ608" s="1638"/>
      <c r="AR608" s="1638"/>
      <c r="AS608" s="1639"/>
      <c r="AT608" s="1638"/>
      <c r="AU608" s="1638"/>
      <c r="AV608" s="1638"/>
      <c r="AW608" s="1639"/>
      <c r="AX608" s="1640"/>
      <c r="AY608" s="1640"/>
      <c r="AZ608" s="1640"/>
      <c r="BA608" s="1641"/>
      <c r="BB608" s="1640"/>
      <c r="BC608" s="1640"/>
      <c r="BD608" s="1640"/>
      <c r="BE608" s="1644"/>
      <c r="BF608" s="1640">
        <v>121.6</v>
      </c>
      <c r="BG608" s="1640"/>
      <c r="BH608" s="1640"/>
      <c r="BI608" s="1641"/>
      <c r="BJ608" s="1640"/>
      <c r="BK608" s="1640"/>
      <c r="BL608" s="1640"/>
      <c r="BM608" s="1641"/>
      <c r="BN608" s="1640"/>
      <c r="BO608" s="1640"/>
      <c r="BP608" s="1640"/>
      <c r="BQ608" s="1641">
        <v>35.045999999999999</v>
      </c>
      <c r="BR608" s="1640"/>
      <c r="BS608" s="1640"/>
      <c r="BT608" s="1640"/>
      <c r="BU608" s="1641"/>
      <c r="BV608" s="1640">
        <v>128.649</v>
      </c>
      <c r="BW608" s="1640"/>
      <c r="BX608" s="1640"/>
      <c r="BY608" s="1641"/>
      <c r="BZ608" s="1640"/>
      <c r="CA608" s="1640"/>
      <c r="CB608" s="1640"/>
      <c r="CC608" s="1641"/>
      <c r="CD608" s="1640"/>
      <c r="CE608" s="1640"/>
      <c r="CF608" s="1640"/>
      <c r="CG608" s="1642"/>
      <c r="CH608" s="1641">
        <f t="shared" si="427"/>
        <v>73.153999999999996</v>
      </c>
      <c r="CI608" s="1641">
        <f t="shared" si="427"/>
        <v>0</v>
      </c>
      <c r="CJ608" s="1641">
        <f t="shared" si="427"/>
        <v>0</v>
      </c>
      <c r="CK608" s="1641">
        <f t="shared" si="427"/>
        <v>0</v>
      </c>
      <c r="CL608" s="1889">
        <v>73.153999999999996</v>
      </c>
      <c r="CM608" s="1889">
        <v>0</v>
      </c>
      <c r="CN608" s="1889">
        <v>0</v>
      </c>
      <c r="CO608" s="1889">
        <v>0</v>
      </c>
      <c r="CP608" s="1641"/>
      <c r="CQ608" s="1640"/>
      <c r="CR608" s="1640"/>
      <c r="CS608" s="1640"/>
    </row>
    <row r="609" spans="1:107" s="1969" customFormat="1" ht="15" thickBot="1" x14ac:dyDescent="0.2">
      <c r="A609" s="1541" t="s">
        <v>94</v>
      </c>
      <c r="B609" s="1523" t="s">
        <v>79</v>
      </c>
      <c r="C609" s="1523" t="s">
        <v>80</v>
      </c>
      <c r="D609" s="1523" t="s">
        <v>125</v>
      </c>
      <c r="E609" s="1523" t="s">
        <v>216</v>
      </c>
      <c r="F609" s="1523"/>
      <c r="G609" s="1667">
        <v>290</v>
      </c>
      <c r="H609" s="1501">
        <f>247.5-65-152.5</f>
        <v>30</v>
      </c>
      <c r="I609" s="1501"/>
      <c r="J609" s="1630"/>
      <c r="K609" s="1630"/>
      <c r="L609" s="1631"/>
      <c r="M609" s="1631"/>
      <c r="N609" s="1631"/>
      <c r="O609" s="1631"/>
      <c r="P609" s="1631"/>
      <c r="Q609" s="1631"/>
      <c r="R609" s="1631"/>
      <c r="S609" s="1631"/>
      <c r="T609" s="1891"/>
      <c r="U609" s="1633"/>
      <c r="V609" s="1633"/>
      <c r="W609" s="1891"/>
      <c r="X609" s="1891"/>
      <c r="Y609" s="1891"/>
      <c r="Z609" s="1635"/>
      <c r="AA609" s="1634">
        <f>AB609-Z609</f>
        <v>0</v>
      </c>
      <c r="AB609" s="1891"/>
      <c r="AC609" s="1891">
        <f t="shared" si="420"/>
        <v>30</v>
      </c>
      <c r="AD609" s="1892">
        <f t="shared" si="421"/>
        <v>0</v>
      </c>
      <c r="AE609" s="1892">
        <f t="shared" si="422"/>
        <v>0</v>
      </c>
      <c r="AF609" s="1892">
        <f t="shared" si="422"/>
        <v>0</v>
      </c>
      <c r="AG609" s="1892">
        <f t="shared" si="422"/>
        <v>0</v>
      </c>
      <c r="AH609" s="1490">
        <f t="shared" si="417"/>
        <v>0</v>
      </c>
      <c r="AI609" s="1891">
        <f t="shared" si="423"/>
        <v>0</v>
      </c>
      <c r="AJ609" s="1891">
        <f t="shared" si="424"/>
        <v>0</v>
      </c>
      <c r="AK609" s="1891">
        <f t="shared" si="425"/>
        <v>0</v>
      </c>
      <c r="AL609" s="1891">
        <f t="shared" si="418"/>
        <v>0</v>
      </c>
      <c r="AM609" s="1891">
        <f t="shared" si="418"/>
        <v>0</v>
      </c>
      <c r="AN609" s="1891"/>
      <c r="AO609" s="1893">
        <v>20.6</v>
      </c>
      <c r="AP609" s="1965"/>
      <c r="AQ609" s="1965"/>
      <c r="AR609" s="1965"/>
      <c r="AS609" s="1966"/>
      <c r="AT609" s="1965"/>
      <c r="AU609" s="1965"/>
      <c r="AV609" s="1965"/>
      <c r="AW609" s="1967"/>
      <c r="AX609" s="1967"/>
      <c r="AY609" s="1967"/>
      <c r="AZ609" s="1967"/>
      <c r="BA609" s="1644"/>
      <c r="BB609" s="1967"/>
      <c r="BC609" s="1967"/>
      <c r="BD609" s="1967"/>
      <c r="BE609" s="1644">
        <v>61.9</v>
      </c>
      <c r="BF609" s="1967"/>
      <c r="BG609" s="1967"/>
      <c r="BH609" s="1967"/>
      <c r="BI609" s="1644"/>
      <c r="BJ609" s="1967"/>
      <c r="BK609" s="1967"/>
      <c r="BL609" s="1967"/>
      <c r="BM609" s="1644"/>
      <c r="BN609" s="1967"/>
      <c r="BO609" s="1967"/>
      <c r="BP609" s="1967"/>
      <c r="BQ609" s="1644"/>
      <c r="BR609" s="1967"/>
      <c r="BS609" s="1967"/>
      <c r="BT609" s="1967"/>
      <c r="BU609" s="1644">
        <v>104.1</v>
      </c>
      <c r="BV609" s="1967"/>
      <c r="BW609" s="1967"/>
      <c r="BX609" s="1967"/>
      <c r="BY609" s="1644">
        <f>-156.6</f>
        <v>-156.6</v>
      </c>
      <c r="BZ609" s="1967"/>
      <c r="CA609" s="1967"/>
      <c r="CB609" s="1967"/>
      <c r="CC609" s="1967"/>
      <c r="CD609" s="1967"/>
      <c r="CE609" s="1967"/>
      <c r="CF609" s="1967"/>
      <c r="CG609" s="1896"/>
      <c r="CH609" s="1641">
        <f t="shared" si="427"/>
        <v>0</v>
      </c>
      <c r="CI609" s="1641">
        <f t="shared" si="427"/>
        <v>0</v>
      </c>
      <c r="CJ609" s="1641">
        <f t="shared" si="427"/>
        <v>0</v>
      </c>
      <c r="CK609" s="1641">
        <f t="shared" si="427"/>
        <v>0</v>
      </c>
      <c r="CL609" s="1897">
        <v>0</v>
      </c>
      <c r="CM609" s="1897">
        <v>0</v>
      </c>
      <c r="CN609" s="1897">
        <v>0</v>
      </c>
      <c r="CO609" s="1897">
        <v>0</v>
      </c>
      <c r="CP609" s="1644"/>
      <c r="CQ609" s="1967"/>
      <c r="CR609" s="1967"/>
      <c r="CS609" s="1967"/>
      <c r="CT609" s="1968"/>
      <c r="CU609" s="1968"/>
      <c r="CV609" s="1968"/>
      <c r="CW609" s="1968"/>
      <c r="CY609" s="1968"/>
    </row>
    <row r="610" spans="1:107" ht="15" thickBot="1" x14ac:dyDescent="0.2">
      <c r="A610" s="1541" t="s">
        <v>94</v>
      </c>
      <c r="B610" s="1523" t="s">
        <v>79</v>
      </c>
      <c r="C610" s="1523" t="s">
        <v>80</v>
      </c>
      <c r="D610" s="1523" t="s">
        <v>125</v>
      </c>
      <c r="E610" s="1523" t="s">
        <v>216</v>
      </c>
      <c r="F610" s="1523"/>
      <c r="G610" s="1667" t="s">
        <v>95</v>
      </c>
      <c r="H610" s="1501"/>
      <c r="I610" s="1501"/>
      <c r="J610" s="1630"/>
      <c r="K610" s="1630"/>
      <c r="L610" s="1631"/>
      <c r="M610" s="1631"/>
      <c r="N610" s="1631"/>
      <c r="O610" s="1631"/>
      <c r="P610" s="1631"/>
      <c r="Q610" s="1631"/>
      <c r="R610" s="1631"/>
      <c r="S610" s="1631"/>
      <c r="T610" s="1632"/>
      <c r="U610" s="1633"/>
      <c r="V610" s="1633"/>
      <c r="W610" s="1634"/>
      <c r="X610" s="1634"/>
      <c r="Y610" s="1634"/>
      <c r="Z610" s="1635"/>
      <c r="AA610" s="1634">
        <f t="shared" ref="AA610:AA626" si="428">AB610-Z610</f>
        <v>0</v>
      </c>
      <c r="AB610" s="1634"/>
      <c r="AC610" s="1508">
        <f t="shared" si="420"/>
        <v>0</v>
      </c>
      <c r="AD610" s="1509">
        <f t="shared" si="421"/>
        <v>0</v>
      </c>
      <c r="AE610" s="1509">
        <f t="shared" si="422"/>
        <v>0</v>
      </c>
      <c r="AF610" s="1509">
        <f t="shared" si="422"/>
        <v>0</v>
      </c>
      <c r="AG610" s="1509">
        <f t="shared" si="422"/>
        <v>0</v>
      </c>
      <c r="AH610" s="1490">
        <f t="shared" si="417"/>
        <v>0</v>
      </c>
      <c r="AI610" s="1636">
        <f t="shared" si="423"/>
        <v>0</v>
      </c>
      <c r="AJ610" s="1636">
        <f t="shared" si="424"/>
        <v>0</v>
      </c>
      <c r="AK610" s="1636">
        <f t="shared" si="425"/>
        <v>0</v>
      </c>
      <c r="AL610" s="1636">
        <f t="shared" si="418"/>
        <v>0</v>
      </c>
      <c r="AM610" s="1636">
        <f t="shared" si="418"/>
        <v>0</v>
      </c>
      <c r="AN610" s="1637"/>
      <c r="AO610" s="1722">
        <v>0</v>
      </c>
      <c r="AP610" s="1638"/>
      <c r="AQ610" s="1638"/>
      <c r="AR610" s="1638"/>
      <c r="AS610" s="1639"/>
      <c r="AT610" s="1638"/>
      <c r="AU610" s="1638"/>
      <c r="AV610" s="1638"/>
      <c r="AW610" s="1639"/>
      <c r="AX610" s="1640"/>
      <c r="AY610" s="1640"/>
      <c r="AZ610" s="1640"/>
      <c r="BA610" s="1641"/>
      <c r="BB610" s="1640"/>
      <c r="BC610" s="1640"/>
      <c r="BD610" s="1640"/>
      <c r="BE610" s="1644"/>
      <c r="BF610" s="1640"/>
      <c r="BG610" s="1640"/>
      <c r="BH610" s="1640"/>
      <c r="BI610" s="1641"/>
      <c r="BJ610" s="1640"/>
      <c r="BK610" s="1640"/>
      <c r="BL610" s="1640"/>
      <c r="BM610" s="1641"/>
      <c r="BN610" s="1640"/>
      <c r="BO610" s="1640"/>
      <c r="BP610" s="1640"/>
      <c r="BQ610" s="1641"/>
      <c r="BR610" s="1640"/>
      <c r="BS610" s="1640"/>
      <c r="BT610" s="1640"/>
      <c r="BU610" s="1641"/>
      <c r="BV610" s="1640"/>
      <c r="BW610" s="1640"/>
      <c r="BX610" s="1640"/>
      <c r="BY610" s="1641"/>
      <c r="BZ610" s="1640"/>
      <c r="CA610" s="1640"/>
      <c r="CB610" s="1640"/>
      <c r="CC610" s="1641"/>
      <c r="CD610" s="1640"/>
      <c r="CE610" s="1640"/>
      <c r="CF610" s="1640"/>
      <c r="CG610" s="1642"/>
      <c r="CH610" s="1641">
        <f t="shared" si="427"/>
        <v>0</v>
      </c>
      <c r="CI610" s="1641">
        <f t="shared" si="427"/>
        <v>0</v>
      </c>
      <c r="CJ610" s="1641">
        <f t="shared" si="427"/>
        <v>0</v>
      </c>
      <c r="CK610" s="1641">
        <f t="shared" si="427"/>
        <v>0</v>
      </c>
      <c r="CL610" s="1889">
        <v>0</v>
      </c>
      <c r="CM610" s="1889">
        <v>0</v>
      </c>
      <c r="CN610" s="1889">
        <v>0</v>
      </c>
      <c r="CO610" s="1889">
        <v>0</v>
      </c>
      <c r="CP610" s="1641"/>
      <c r="CQ610" s="1640"/>
      <c r="CR610" s="1640"/>
      <c r="CS610" s="1640"/>
    </row>
    <row r="611" spans="1:107" ht="15" thickBot="1" x14ac:dyDescent="0.2">
      <c r="A611" s="1541" t="s">
        <v>96</v>
      </c>
      <c r="B611" s="1523" t="s">
        <v>79</v>
      </c>
      <c r="C611" s="1523" t="s">
        <v>80</v>
      </c>
      <c r="D611" s="1523" t="s">
        <v>125</v>
      </c>
      <c r="E611" s="1523" t="s">
        <v>216</v>
      </c>
      <c r="F611" s="1523"/>
      <c r="G611" s="1667">
        <v>310</v>
      </c>
      <c r="H611" s="1501">
        <v>100</v>
      </c>
      <c r="I611" s="1501">
        <f>2100-50</f>
        <v>2050</v>
      </c>
      <c r="J611" s="1630">
        <f>300-V611</f>
        <v>0</v>
      </c>
      <c r="K611" s="1630"/>
      <c r="L611" s="1631"/>
      <c r="M611" s="1631"/>
      <c r="N611" s="1631"/>
      <c r="O611" s="1631"/>
      <c r="P611" s="1631"/>
      <c r="Q611" s="1631"/>
      <c r="R611" s="1631"/>
      <c r="S611" s="1631"/>
      <c r="T611" s="1632"/>
      <c r="U611" s="1633"/>
      <c r="V611" s="1633">
        <v>300</v>
      </c>
      <c r="W611" s="1634"/>
      <c r="X611" s="1634"/>
      <c r="Y611" s="1634"/>
      <c r="Z611" s="1635"/>
      <c r="AA611" s="1634">
        <f t="shared" si="428"/>
        <v>0</v>
      </c>
      <c r="AB611" s="1634"/>
      <c r="AC611" s="1508">
        <f t="shared" si="420"/>
        <v>100</v>
      </c>
      <c r="AD611" s="1509">
        <f t="shared" si="421"/>
        <v>2050</v>
      </c>
      <c r="AE611" s="1509">
        <f t="shared" si="422"/>
        <v>2050</v>
      </c>
      <c r="AF611" s="1509">
        <f t="shared" si="422"/>
        <v>0</v>
      </c>
      <c r="AG611" s="1509">
        <f t="shared" si="422"/>
        <v>0</v>
      </c>
      <c r="AH611" s="1490">
        <f t="shared" si="417"/>
        <v>0</v>
      </c>
      <c r="AI611" s="1636">
        <f t="shared" si="423"/>
        <v>0</v>
      </c>
      <c r="AJ611" s="1636">
        <f t="shared" si="424"/>
        <v>0</v>
      </c>
      <c r="AK611" s="1636">
        <f t="shared" si="425"/>
        <v>0</v>
      </c>
      <c r="AL611" s="1636">
        <f t="shared" si="418"/>
        <v>0</v>
      </c>
      <c r="AM611" s="1636">
        <f t="shared" si="418"/>
        <v>0</v>
      </c>
      <c r="AN611" s="1637"/>
      <c r="AO611" s="1723"/>
      <c r="AP611" s="1638"/>
      <c r="AQ611" s="1638"/>
      <c r="AR611" s="1638"/>
      <c r="AS611" s="1639"/>
      <c r="AT611" s="1638"/>
      <c r="AU611" s="1638"/>
      <c r="AV611" s="1638"/>
      <c r="AW611" s="1639"/>
      <c r="AX611" s="1640"/>
      <c r="AY611" s="1640"/>
      <c r="AZ611" s="1640"/>
      <c r="BA611" s="1641"/>
      <c r="BB611" s="1640"/>
      <c r="BC611" s="1640"/>
      <c r="BD611" s="1640"/>
      <c r="BE611" s="1644"/>
      <c r="BF611" s="1640"/>
      <c r="BG611" s="1640"/>
      <c r="BH611" s="1640"/>
      <c r="BI611" s="1641">
        <v>100</v>
      </c>
      <c r="BJ611" s="1640"/>
      <c r="BK611" s="1640"/>
      <c r="BL611" s="1640"/>
      <c r="BM611" s="1641"/>
      <c r="BN611" s="1640">
        <v>150</v>
      </c>
      <c r="BO611" s="1640"/>
      <c r="BP611" s="1640"/>
      <c r="BQ611" s="1641"/>
      <c r="BR611" s="1640"/>
      <c r="BS611" s="1640"/>
      <c r="BT611" s="1640"/>
      <c r="BU611" s="1641"/>
      <c r="BV611" s="1640">
        <f>2028.649-128.649</f>
        <v>1900</v>
      </c>
      <c r="BW611" s="1640"/>
      <c r="BX611" s="1640"/>
      <c r="BY611" s="1641"/>
      <c r="BZ611" s="1640"/>
      <c r="CA611" s="1640"/>
      <c r="CB611" s="1640"/>
      <c r="CC611" s="1641"/>
      <c r="CD611" s="1640"/>
      <c r="CE611" s="1640"/>
      <c r="CF611" s="1640"/>
      <c r="CG611" s="1642"/>
      <c r="CH611" s="1641">
        <f t="shared" si="427"/>
        <v>0</v>
      </c>
      <c r="CI611" s="1641">
        <f t="shared" si="427"/>
        <v>0</v>
      </c>
      <c r="CJ611" s="1641">
        <f t="shared" si="427"/>
        <v>0</v>
      </c>
      <c r="CK611" s="1641">
        <f t="shared" si="427"/>
        <v>0</v>
      </c>
      <c r="CL611" s="1889">
        <v>0</v>
      </c>
      <c r="CM611" s="1889">
        <v>0</v>
      </c>
      <c r="CN611" s="1889">
        <v>0</v>
      </c>
      <c r="CO611" s="1889">
        <v>0</v>
      </c>
      <c r="CP611" s="1641"/>
      <c r="CQ611" s="1640"/>
      <c r="CR611" s="1640"/>
      <c r="CS611" s="1640"/>
    </row>
    <row r="612" spans="1:107" ht="15" thickBot="1" x14ac:dyDescent="0.2">
      <c r="A612" s="1541" t="s">
        <v>97</v>
      </c>
      <c r="B612" s="1523" t="s">
        <v>79</v>
      </c>
      <c r="C612" s="1523" t="s">
        <v>80</v>
      </c>
      <c r="D612" s="1523" t="s">
        <v>125</v>
      </c>
      <c r="E612" s="1523" t="s">
        <v>216</v>
      </c>
      <c r="F612" s="1523"/>
      <c r="G612" s="1667">
        <v>340</v>
      </c>
      <c r="H612" s="1501">
        <v>200</v>
      </c>
      <c r="I612" s="1501">
        <f>12-12</f>
        <v>0</v>
      </c>
      <c r="J612" s="1630"/>
      <c r="K612" s="1630"/>
      <c r="L612" s="1631"/>
      <c r="M612" s="1631"/>
      <c r="N612" s="1631"/>
      <c r="O612" s="1631"/>
      <c r="P612" s="1631"/>
      <c r="Q612" s="1631"/>
      <c r="R612" s="1631"/>
      <c r="S612" s="1631"/>
      <c r="T612" s="1632"/>
      <c r="U612" s="1633"/>
      <c r="V612" s="1633"/>
      <c r="W612" s="1634"/>
      <c r="X612" s="1634"/>
      <c r="Y612" s="1634"/>
      <c r="Z612" s="1635"/>
      <c r="AA612" s="1634">
        <f t="shared" si="428"/>
        <v>0</v>
      </c>
      <c r="AB612" s="1634"/>
      <c r="AC612" s="1508">
        <f t="shared" si="420"/>
        <v>200</v>
      </c>
      <c r="AD612" s="1509">
        <f t="shared" si="421"/>
        <v>0</v>
      </c>
      <c r="AE612" s="1509">
        <f t="shared" si="422"/>
        <v>0</v>
      </c>
      <c r="AF612" s="1509">
        <f t="shared" si="422"/>
        <v>0</v>
      </c>
      <c r="AG612" s="1509">
        <f t="shared" si="422"/>
        <v>0</v>
      </c>
      <c r="AH612" s="1490">
        <f t="shared" si="417"/>
        <v>0</v>
      </c>
      <c r="AI612" s="1636">
        <f t="shared" si="423"/>
        <v>0</v>
      </c>
      <c r="AJ612" s="1636">
        <f t="shared" si="424"/>
        <v>0</v>
      </c>
      <c r="AK612" s="1636">
        <f t="shared" si="425"/>
        <v>0</v>
      </c>
      <c r="AL612" s="1636">
        <f t="shared" si="418"/>
        <v>0</v>
      </c>
      <c r="AM612" s="1636">
        <f t="shared" si="418"/>
        <v>0</v>
      </c>
      <c r="AN612" s="1637"/>
      <c r="AO612" s="1722">
        <v>12.5</v>
      </c>
      <c r="AP612" s="1638"/>
      <c r="AQ612" s="1638"/>
      <c r="AR612" s="1638"/>
      <c r="AS612" s="1639"/>
      <c r="AT612" s="1638"/>
      <c r="AU612" s="1638"/>
      <c r="AV612" s="1638"/>
      <c r="AW612" s="1639"/>
      <c r="AX612" s="1640"/>
      <c r="AY612" s="1640"/>
      <c r="AZ612" s="1640"/>
      <c r="BA612" s="1641"/>
      <c r="BB612" s="1640"/>
      <c r="BC612" s="1640"/>
      <c r="BD612" s="1640"/>
      <c r="BE612" s="1644"/>
      <c r="BF612" s="1640"/>
      <c r="BG612" s="1640"/>
      <c r="BH612" s="1640"/>
      <c r="BI612" s="1641"/>
      <c r="BJ612" s="1640"/>
      <c r="BK612" s="1640"/>
      <c r="BL612" s="1640"/>
      <c r="BM612" s="1641">
        <v>80</v>
      </c>
      <c r="BN612" s="1640"/>
      <c r="BO612" s="1640"/>
      <c r="BP612" s="1640"/>
      <c r="BQ612" s="1641"/>
      <c r="BR612" s="1640"/>
      <c r="BS612" s="1640"/>
      <c r="BT612" s="1640"/>
      <c r="BU612" s="1641"/>
      <c r="BV612" s="1640"/>
      <c r="BW612" s="1640"/>
      <c r="BX612" s="1640"/>
      <c r="BY612" s="1641">
        <v>107.5</v>
      </c>
      <c r="BZ612" s="1640"/>
      <c r="CA612" s="1640"/>
      <c r="CB612" s="1640"/>
      <c r="CC612" s="1641"/>
      <c r="CD612" s="1640"/>
      <c r="CE612" s="1640"/>
      <c r="CF612" s="1640"/>
      <c r="CG612" s="1642"/>
      <c r="CH612" s="1641">
        <f t="shared" si="427"/>
        <v>0</v>
      </c>
      <c r="CI612" s="1641">
        <f t="shared" si="427"/>
        <v>0</v>
      </c>
      <c r="CJ612" s="1641">
        <f t="shared" si="427"/>
        <v>0</v>
      </c>
      <c r="CK612" s="1641">
        <f t="shared" si="427"/>
        <v>0</v>
      </c>
      <c r="CL612" s="1889">
        <v>0</v>
      </c>
      <c r="CM612" s="1889">
        <v>0</v>
      </c>
      <c r="CN612" s="1889">
        <v>0</v>
      </c>
      <c r="CO612" s="1889">
        <v>0</v>
      </c>
      <c r="CP612" s="1641"/>
      <c r="CQ612" s="1640"/>
      <c r="CR612" s="1640"/>
      <c r="CS612" s="1640"/>
    </row>
    <row r="613" spans="1:107" ht="15" thickBot="1" x14ac:dyDescent="0.2">
      <c r="A613" s="1528" t="s">
        <v>767</v>
      </c>
      <c r="B613" s="1530" t="s">
        <v>79</v>
      </c>
      <c r="C613" s="1530" t="s">
        <v>80</v>
      </c>
      <c r="D613" s="1530" t="s">
        <v>125</v>
      </c>
      <c r="E613" s="1530" t="s">
        <v>216</v>
      </c>
      <c r="F613" s="1530">
        <v>612</v>
      </c>
      <c r="G613" s="1687" t="s">
        <v>766</v>
      </c>
      <c r="H613" s="1647">
        <f>I599</f>
        <v>2300.2489999999998</v>
      </c>
      <c r="I613" s="1645"/>
      <c r="J613" s="1630"/>
      <c r="K613" s="1630"/>
      <c r="L613" s="1631"/>
      <c r="M613" s="1631"/>
      <c r="N613" s="1631"/>
      <c r="O613" s="1631"/>
      <c r="P613" s="1631"/>
      <c r="Q613" s="1631"/>
      <c r="R613" s="1631"/>
      <c r="S613" s="1631"/>
      <c r="T613" s="1632"/>
      <c r="U613" s="1633"/>
      <c r="V613" s="1633"/>
      <c r="W613" s="1634"/>
      <c r="X613" s="1634"/>
      <c r="Y613" s="1634"/>
      <c r="Z613" s="1635"/>
      <c r="AA613" s="1634">
        <f t="shared" si="428"/>
        <v>0</v>
      </c>
      <c r="AB613" s="1634"/>
      <c r="AC613" s="1508"/>
      <c r="AD613" s="1509"/>
      <c r="AE613" s="1509"/>
      <c r="AF613" s="1509"/>
      <c r="AG613" s="1509"/>
      <c r="AH613" s="1490">
        <f t="shared" si="417"/>
        <v>0</v>
      </c>
      <c r="AI613" s="1636"/>
      <c r="AJ613" s="1636"/>
      <c r="AK613" s="1636"/>
      <c r="AL613" s="1636">
        <f t="shared" si="418"/>
        <v>0</v>
      </c>
      <c r="AM613" s="1636"/>
      <c r="AN613" s="1712"/>
      <c r="AO613" s="1713"/>
      <c r="AP613" s="1638"/>
      <c r="AQ613" s="1638"/>
      <c r="AR613" s="1638"/>
      <c r="AS613" s="1639"/>
      <c r="AT613" s="1638"/>
      <c r="AU613" s="1638"/>
      <c r="AV613" s="1638"/>
      <c r="AW613" s="1639"/>
      <c r="AX613" s="1640"/>
      <c r="AY613" s="1640"/>
      <c r="AZ613" s="1640"/>
      <c r="BA613" s="1641"/>
      <c r="BB613" s="1640"/>
      <c r="BC613" s="1640"/>
      <c r="BD613" s="1640"/>
      <c r="BE613" s="1644"/>
      <c r="BF613" s="1640"/>
      <c r="BG613" s="1640"/>
      <c r="BH613" s="1640"/>
      <c r="BI613" s="1641"/>
      <c r="BJ613" s="1640"/>
      <c r="BK613" s="1640"/>
      <c r="BL613" s="1640"/>
      <c r="BM613" s="1641"/>
      <c r="BN613" s="1640"/>
      <c r="BO613" s="1640"/>
      <c r="BP613" s="1640"/>
      <c r="BQ613" s="1641"/>
      <c r="BR613" s="1640"/>
      <c r="BS613" s="1640"/>
      <c r="BT613" s="1640"/>
      <c r="BU613" s="1641"/>
      <c r="BV613" s="1640"/>
      <c r="BW613" s="1640"/>
      <c r="BX613" s="1640"/>
      <c r="BY613" s="1641"/>
      <c r="BZ613" s="1640"/>
      <c r="CA613" s="1640"/>
      <c r="CB613" s="1640"/>
      <c r="CC613" s="1641"/>
      <c r="CD613" s="1640"/>
      <c r="CE613" s="1640"/>
      <c r="CF613" s="1640"/>
      <c r="CG613" s="1642"/>
      <c r="CH613" s="1641">
        <f t="shared" si="427"/>
        <v>0</v>
      </c>
      <c r="CI613" s="1641">
        <f t="shared" si="427"/>
        <v>0</v>
      </c>
      <c r="CJ613" s="1641">
        <f t="shared" si="427"/>
        <v>0</v>
      </c>
      <c r="CK613" s="1641">
        <f t="shared" si="427"/>
        <v>0</v>
      </c>
      <c r="CL613" s="1898"/>
      <c r="CM613" s="1898"/>
      <c r="CN613" s="1889">
        <v>0</v>
      </c>
      <c r="CO613" s="1898"/>
      <c r="CP613" s="1641"/>
      <c r="CQ613" s="1640"/>
      <c r="CR613" s="1640"/>
      <c r="CS613" s="1640"/>
    </row>
    <row r="614" spans="1:107" s="1886" customFormat="1" ht="27" thickBot="1" x14ac:dyDescent="0.2">
      <c r="A614" s="1873" t="s">
        <v>1281</v>
      </c>
      <c r="B614" s="1941" t="s">
        <v>79</v>
      </c>
      <c r="C614" s="1941" t="s">
        <v>80</v>
      </c>
      <c r="D614" s="1941" t="s">
        <v>125</v>
      </c>
      <c r="E614" s="1941" t="s">
        <v>216</v>
      </c>
      <c r="F614" s="1941">
        <v>600</v>
      </c>
      <c r="G614" s="1874"/>
      <c r="H614" s="1606">
        <f>H615+H630</f>
        <v>25482.769</v>
      </c>
      <c r="I614" s="1606">
        <f>I615+I630</f>
        <v>2708.9690000000001</v>
      </c>
      <c r="J614" s="1606">
        <f>J615+J630</f>
        <v>0</v>
      </c>
      <c r="K614" s="1606">
        <f t="shared" ref="K614:CF614" si="429">K615+K630</f>
        <v>389.13800000000003</v>
      </c>
      <c r="L614" s="1607"/>
      <c r="M614" s="1607"/>
      <c r="N614" s="1607"/>
      <c r="O614" s="1607"/>
      <c r="P614" s="1607"/>
      <c r="Q614" s="1607"/>
      <c r="R614" s="1607"/>
      <c r="S614" s="1607"/>
      <c r="T614" s="1608"/>
      <c r="U614" s="1609"/>
      <c r="V614" s="1609"/>
      <c r="W614" s="1610"/>
      <c r="X614" s="1610"/>
      <c r="Y614" s="1610"/>
      <c r="Z614" s="1611"/>
      <c r="AA614" s="1634">
        <f t="shared" si="428"/>
        <v>0</v>
      </c>
      <c r="AB614" s="1610"/>
      <c r="AC614" s="1612">
        <f t="shared" si="429"/>
        <v>22773.8</v>
      </c>
      <c r="AD614" s="1612">
        <f t="shared" si="429"/>
        <v>3098.107</v>
      </c>
      <c r="AE614" s="1612">
        <f t="shared" si="429"/>
        <v>2708.9690000000001</v>
      </c>
      <c r="AF614" s="1612">
        <f t="shared" si="429"/>
        <v>0</v>
      </c>
      <c r="AG614" s="1612">
        <f t="shared" si="429"/>
        <v>389.13800000000003</v>
      </c>
      <c r="AH614" s="1490">
        <f t="shared" si="417"/>
        <v>569.18399999999997</v>
      </c>
      <c r="AI614" s="1613">
        <f t="shared" si="429"/>
        <v>0</v>
      </c>
      <c r="AJ614" s="1613">
        <f t="shared" si="429"/>
        <v>0</v>
      </c>
      <c r="AK614" s="1613">
        <f t="shared" si="429"/>
        <v>0</v>
      </c>
      <c r="AL614" s="1636">
        <f t="shared" si="418"/>
        <v>0</v>
      </c>
      <c r="AM614" s="1613">
        <f t="shared" si="429"/>
        <v>0</v>
      </c>
      <c r="AN614" s="1614"/>
      <c r="AO614" s="1606">
        <f t="shared" si="429"/>
        <v>1875.8000000000002</v>
      </c>
      <c r="AP614" s="1606">
        <f t="shared" si="429"/>
        <v>0</v>
      </c>
      <c r="AQ614" s="1606">
        <f t="shared" si="429"/>
        <v>0</v>
      </c>
      <c r="AR614" s="1606">
        <f t="shared" si="429"/>
        <v>0</v>
      </c>
      <c r="AS614" s="1611">
        <f t="shared" si="429"/>
        <v>1848.1000000000001</v>
      </c>
      <c r="AT614" s="1606">
        <f t="shared" si="429"/>
        <v>0</v>
      </c>
      <c r="AU614" s="1606">
        <f t="shared" si="429"/>
        <v>0</v>
      </c>
      <c r="AV614" s="1606">
        <f t="shared" si="429"/>
        <v>0</v>
      </c>
      <c r="AW614" s="1611">
        <f t="shared" si="429"/>
        <v>1948.1000000000001</v>
      </c>
      <c r="AX614" s="1606">
        <f t="shared" si="429"/>
        <v>0</v>
      </c>
      <c r="AY614" s="1606">
        <f t="shared" si="429"/>
        <v>0</v>
      </c>
      <c r="AZ614" s="1606">
        <f t="shared" si="429"/>
        <v>0</v>
      </c>
      <c r="BA614" s="1614">
        <f t="shared" si="429"/>
        <v>1848.1000000000001</v>
      </c>
      <c r="BB614" s="1606">
        <f t="shared" si="429"/>
        <v>0</v>
      </c>
      <c r="BC614" s="1606">
        <f t="shared" si="429"/>
        <v>0</v>
      </c>
      <c r="BD614" s="1606">
        <f t="shared" si="429"/>
        <v>0</v>
      </c>
      <c r="BE614" s="1615">
        <f t="shared" si="429"/>
        <v>2110</v>
      </c>
      <c r="BF614" s="1606">
        <f t="shared" si="429"/>
        <v>0</v>
      </c>
      <c r="BG614" s="1606">
        <f t="shared" si="429"/>
        <v>0</v>
      </c>
      <c r="BH614" s="1606">
        <f t="shared" si="429"/>
        <v>0</v>
      </c>
      <c r="BI614" s="1614">
        <f t="shared" si="429"/>
        <v>2353.2910000000002</v>
      </c>
      <c r="BJ614" s="1606">
        <f t="shared" si="429"/>
        <v>0</v>
      </c>
      <c r="BK614" s="1606">
        <f t="shared" si="429"/>
        <v>0</v>
      </c>
      <c r="BL614" s="1606">
        <f t="shared" si="429"/>
        <v>0</v>
      </c>
      <c r="BM614" s="1614">
        <f t="shared" si="429"/>
        <v>1492.9089999999999</v>
      </c>
      <c r="BN614" s="1606">
        <f t="shared" si="429"/>
        <v>160.5</v>
      </c>
      <c r="BO614" s="1606">
        <f t="shared" si="429"/>
        <v>0</v>
      </c>
      <c r="BP614" s="1606">
        <f t="shared" si="429"/>
        <v>170</v>
      </c>
      <c r="BQ614" s="1614">
        <f t="shared" si="429"/>
        <v>1883.1460000000002</v>
      </c>
      <c r="BR614" s="1606">
        <f t="shared" si="429"/>
        <v>0</v>
      </c>
      <c r="BS614" s="1606">
        <f t="shared" si="429"/>
        <v>0</v>
      </c>
      <c r="BT614" s="1606">
        <f t="shared" si="429"/>
        <v>0</v>
      </c>
      <c r="BU614" s="1614">
        <f t="shared" si="429"/>
        <v>1859.1000000000001</v>
      </c>
      <c r="BV614" s="1606">
        <f t="shared" si="429"/>
        <v>0</v>
      </c>
      <c r="BW614" s="1606">
        <f t="shared" si="429"/>
        <v>0</v>
      </c>
      <c r="BX614" s="1606">
        <f t="shared" si="429"/>
        <v>0</v>
      </c>
      <c r="BY614" s="1614">
        <f t="shared" si="429"/>
        <v>1847.27</v>
      </c>
      <c r="BZ614" s="1606">
        <f t="shared" si="429"/>
        <v>0</v>
      </c>
      <c r="CA614" s="1606">
        <f t="shared" si="429"/>
        <v>0</v>
      </c>
      <c r="CB614" s="1606">
        <f t="shared" si="429"/>
        <v>0</v>
      </c>
      <c r="CC614" s="1614">
        <f t="shared" si="429"/>
        <v>3138.8</v>
      </c>
      <c r="CD614" s="1606">
        <f t="shared" si="429"/>
        <v>0</v>
      </c>
      <c r="CE614" s="1606">
        <f t="shared" si="429"/>
        <v>0</v>
      </c>
      <c r="CF614" s="1606">
        <f t="shared" si="429"/>
        <v>0</v>
      </c>
      <c r="CG614" s="1616"/>
      <c r="CH614" s="1641">
        <f t="shared" si="427"/>
        <v>569.18399999999997</v>
      </c>
      <c r="CI614" s="1641">
        <f t="shared" si="427"/>
        <v>2548.4690000000001</v>
      </c>
      <c r="CJ614" s="1641">
        <f t="shared" si="427"/>
        <v>0</v>
      </c>
      <c r="CK614" s="1641">
        <f t="shared" si="427"/>
        <v>0</v>
      </c>
      <c r="CL614" s="1943">
        <v>569.18399999999997</v>
      </c>
      <c r="CM614" s="1943">
        <v>529.21900000000005</v>
      </c>
      <c r="CN614" s="1889">
        <v>0</v>
      </c>
      <c r="CO614" s="1943">
        <v>0</v>
      </c>
      <c r="CP614" s="1614">
        <f>CP615+CP630</f>
        <v>0</v>
      </c>
      <c r="CQ614" s="1606">
        <f>CQ615+CQ630</f>
        <v>2019.25</v>
      </c>
      <c r="CR614" s="1606">
        <f>CR615+CR630</f>
        <v>0</v>
      </c>
      <c r="CS614" s="1606">
        <f>CS615+CS630</f>
        <v>0</v>
      </c>
      <c r="CT614" s="1885"/>
      <c r="CU614" s="1885"/>
      <c r="CV614" s="1885"/>
      <c r="CW614" s="1885"/>
      <c r="CY614" s="1885"/>
    </row>
    <row r="615" spans="1:107" ht="53" thickBot="1" x14ac:dyDescent="0.2">
      <c r="A615" s="1748" t="s">
        <v>1135</v>
      </c>
      <c r="B615" s="1749" t="s">
        <v>79</v>
      </c>
      <c r="C615" s="1749" t="s">
        <v>80</v>
      </c>
      <c r="D615" s="1749" t="s">
        <v>125</v>
      </c>
      <c r="E615" s="1749" t="s">
        <v>216</v>
      </c>
      <c r="F615" s="1749" t="s">
        <v>765</v>
      </c>
      <c r="G615" s="1600" t="s">
        <v>766</v>
      </c>
      <c r="H615" s="1531">
        <f>H616+H617+H618+H619+H620+H621+H622+H623+H624+H626+H627+H628+H629</f>
        <v>22773.8</v>
      </c>
      <c r="I615" s="1531">
        <f>I616+I617+I618+I619+I620+I621+I622+I623+I624+I626+I627+I628+I629</f>
        <v>2708.9690000000001</v>
      </c>
      <c r="J615" s="1531">
        <f>J616+J617+J618+J619+J620+J621+J622+J623+J624+J626+J627+J628+J629</f>
        <v>0</v>
      </c>
      <c r="K615" s="1531">
        <f t="shared" ref="K615:CF615" si="430">K616+K617+K618+K619+K620+K621+K622+K623+K624+K626+K627+K628+K629</f>
        <v>389.13800000000003</v>
      </c>
      <c r="L615" s="1601"/>
      <c r="M615" s="1601"/>
      <c r="N615" s="1601"/>
      <c r="O615" s="1601">
        <f t="shared" si="430"/>
        <v>0</v>
      </c>
      <c r="P615" s="1601"/>
      <c r="Q615" s="1601">
        <f t="shared" si="430"/>
        <v>0</v>
      </c>
      <c r="R615" s="1601">
        <f t="shared" si="430"/>
        <v>60</v>
      </c>
      <c r="S615" s="1601">
        <f t="shared" si="430"/>
        <v>0</v>
      </c>
      <c r="T615" s="1602"/>
      <c r="U615" s="1533"/>
      <c r="V615" s="1533"/>
      <c r="W615" s="1534"/>
      <c r="X615" s="1534"/>
      <c r="Y615" s="1534"/>
      <c r="Z615" s="1535"/>
      <c r="AA615" s="1634">
        <f t="shared" si="428"/>
        <v>0</v>
      </c>
      <c r="AB615" s="1534"/>
      <c r="AC615" s="1603">
        <f>AC616+AC617+AC618+AC619+AC620+AC621+AC622+AC623+AC624+AC626+AC627+AC628+AC629</f>
        <v>22773.8</v>
      </c>
      <c r="AD615" s="1603">
        <f t="shared" si="430"/>
        <v>3098.107</v>
      </c>
      <c r="AE615" s="1603">
        <f t="shared" si="430"/>
        <v>2708.9690000000001</v>
      </c>
      <c r="AF615" s="1603">
        <f t="shared" si="430"/>
        <v>0</v>
      </c>
      <c r="AG615" s="1603">
        <f t="shared" si="430"/>
        <v>389.13800000000003</v>
      </c>
      <c r="AH615" s="1490">
        <f t="shared" si="417"/>
        <v>569.18399999999997</v>
      </c>
      <c r="AI615" s="1592">
        <f t="shared" si="430"/>
        <v>0</v>
      </c>
      <c r="AJ615" s="1592">
        <f t="shared" si="430"/>
        <v>0</v>
      </c>
      <c r="AK615" s="1592">
        <f t="shared" si="430"/>
        <v>0</v>
      </c>
      <c r="AL615" s="1636">
        <f t="shared" si="418"/>
        <v>0</v>
      </c>
      <c r="AM615" s="1592">
        <f t="shared" si="430"/>
        <v>0</v>
      </c>
      <c r="AN615" s="1706"/>
      <c r="AO615" s="1707">
        <f t="shared" si="430"/>
        <v>1875.8000000000002</v>
      </c>
      <c r="AP615" s="1531">
        <f t="shared" si="430"/>
        <v>0</v>
      </c>
      <c r="AQ615" s="1531">
        <f t="shared" si="430"/>
        <v>0</v>
      </c>
      <c r="AR615" s="1531">
        <f t="shared" si="430"/>
        <v>0</v>
      </c>
      <c r="AS615" s="1535">
        <f t="shared" si="430"/>
        <v>1848.1000000000001</v>
      </c>
      <c r="AT615" s="1531">
        <f t="shared" si="430"/>
        <v>0</v>
      </c>
      <c r="AU615" s="1531">
        <f t="shared" si="430"/>
        <v>0</v>
      </c>
      <c r="AV615" s="1531">
        <f t="shared" si="430"/>
        <v>0</v>
      </c>
      <c r="AW615" s="1535">
        <f t="shared" si="430"/>
        <v>1948.1000000000001</v>
      </c>
      <c r="AX615" s="1531">
        <f t="shared" si="430"/>
        <v>0</v>
      </c>
      <c r="AY615" s="1531">
        <f t="shared" si="430"/>
        <v>0</v>
      </c>
      <c r="AZ615" s="1531">
        <f t="shared" si="430"/>
        <v>0</v>
      </c>
      <c r="BA615" s="1538">
        <f t="shared" si="430"/>
        <v>1848.1000000000001</v>
      </c>
      <c r="BB615" s="1531">
        <f t="shared" si="430"/>
        <v>0</v>
      </c>
      <c r="BC615" s="1531">
        <f t="shared" si="430"/>
        <v>0</v>
      </c>
      <c r="BD615" s="1531">
        <f t="shared" si="430"/>
        <v>0</v>
      </c>
      <c r="BE615" s="1539">
        <f t="shared" si="430"/>
        <v>2110</v>
      </c>
      <c r="BF615" s="1531">
        <f t="shared" si="430"/>
        <v>0</v>
      </c>
      <c r="BG615" s="1531">
        <f t="shared" si="430"/>
        <v>0</v>
      </c>
      <c r="BH615" s="1531">
        <f t="shared" si="430"/>
        <v>0</v>
      </c>
      <c r="BI615" s="1538">
        <f t="shared" si="430"/>
        <v>2353.2910000000002</v>
      </c>
      <c r="BJ615" s="1531">
        <f t="shared" si="430"/>
        <v>0</v>
      </c>
      <c r="BK615" s="1531">
        <f t="shared" si="430"/>
        <v>0</v>
      </c>
      <c r="BL615" s="1531">
        <f t="shared" si="430"/>
        <v>0</v>
      </c>
      <c r="BM615" s="1538">
        <f t="shared" si="430"/>
        <v>1492.9089999999999</v>
      </c>
      <c r="BN615" s="1531">
        <f t="shared" si="430"/>
        <v>160.5</v>
      </c>
      <c r="BO615" s="1531">
        <f t="shared" si="430"/>
        <v>0</v>
      </c>
      <c r="BP615" s="1531">
        <f t="shared" si="430"/>
        <v>170</v>
      </c>
      <c r="BQ615" s="1538">
        <f t="shared" si="430"/>
        <v>1883.1460000000002</v>
      </c>
      <c r="BR615" s="1531">
        <f t="shared" si="430"/>
        <v>0</v>
      </c>
      <c r="BS615" s="1531">
        <f t="shared" si="430"/>
        <v>0</v>
      </c>
      <c r="BT615" s="1531">
        <f t="shared" si="430"/>
        <v>0</v>
      </c>
      <c r="BU615" s="1538">
        <f t="shared" si="430"/>
        <v>1859.1000000000001</v>
      </c>
      <c r="BV615" s="1531">
        <f t="shared" si="430"/>
        <v>0</v>
      </c>
      <c r="BW615" s="1531">
        <f t="shared" si="430"/>
        <v>0</v>
      </c>
      <c r="BX615" s="1531">
        <f t="shared" si="430"/>
        <v>0</v>
      </c>
      <c r="BY615" s="1538">
        <f t="shared" si="430"/>
        <v>1847.27</v>
      </c>
      <c r="BZ615" s="1531">
        <f t="shared" si="430"/>
        <v>0</v>
      </c>
      <c r="CA615" s="1531">
        <f t="shared" si="430"/>
        <v>0</v>
      </c>
      <c r="CB615" s="1531">
        <f t="shared" si="430"/>
        <v>0</v>
      </c>
      <c r="CC615" s="1538">
        <f t="shared" si="430"/>
        <v>3138.8</v>
      </c>
      <c r="CD615" s="1531">
        <f t="shared" si="430"/>
        <v>0</v>
      </c>
      <c r="CE615" s="1531">
        <f t="shared" si="430"/>
        <v>0</v>
      </c>
      <c r="CF615" s="1531">
        <f t="shared" si="430"/>
        <v>0</v>
      </c>
      <c r="CG615" s="1705"/>
      <c r="CH615" s="1641">
        <f t="shared" si="427"/>
        <v>569.18399999999997</v>
      </c>
      <c r="CI615" s="1641">
        <f t="shared" si="427"/>
        <v>2548.4690000000001</v>
      </c>
      <c r="CJ615" s="1641">
        <f t="shared" si="427"/>
        <v>0</v>
      </c>
      <c r="CK615" s="1641">
        <f t="shared" si="427"/>
        <v>0</v>
      </c>
      <c r="CL615" s="1902">
        <v>569.18399999999997</v>
      </c>
      <c r="CM615" s="1902">
        <v>529.21900000000005</v>
      </c>
      <c r="CN615" s="1889">
        <v>0</v>
      </c>
      <c r="CO615" s="1902">
        <v>0</v>
      </c>
      <c r="CP615" s="1538">
        <f>CP616+CP617+CP618+CP619+CP620+CP621+CP622+CP623+CP624+CP626+CP627+CP628+CP629</f>
        <v>0</v>
      </c>
      <c r="CQ615" s="1531">
        <f>CQ616+CQ617+CQ618+CQ619+CQ620+CQ621+CQ622+CQ623+CQ624+CQ626+CQ627+CQ628+CQ629</f>
        <v>2019.25</v>
      </c>
      <c r="CR615" s="1531">
        <f>CR616+CR617+CR618+CR619+CR620+CR621+CR622+CR623+CR624+CR626+CR627+CR628+CR629</f>
        <v>0</v>
      </c>
      <c r="CS615" s="1531">
        <f>CS616+CS617+CS618+CS619+CS620+CS621+CS622+CS623+CS624+CS626+CS627+CS628+CS629</f>
        <v>0</v>
      </c>
    </row>
    <row r="616" spans="1:107" ht="15" thickBot="1" x14ac:dyDescent="0.2">
      <c r="A616" s="1541" t="s">
        <v>78</v>
      </c>
      <c r="B616" s="1523" t="s">
        <v>79</v>
      </c>
      <c r="C616" s="1523" t="s">
        <v>80</v>
      </c>
      <c r="D616" s="1523" t="s">
        <v>125</v>
      </c>
      <c r="E616" s="1523" t="s">
        <v>216</v>
      </c>
      <c r="F616" s="1523"/>
      <c r="G616" s="1667">
        <v>211</v>
      </c>
      <c r="H616" s="1501">
        <v>17032.400000000001</v>
      </c>
      <c r="I616" s="1501"/>
      <c r="J616" s="1630"/>
      <c r="K616" s="1630"/>
      <c r="L616" s="1631"/>
      <c r="M616" s="1631"/>
      <c r="N616" s="1631"/>
      <c r="O616" s="1631"/>
      <c r="P616" s="1631"/>
      <c r="Q616" s="1631"/>
      <c r="R616" s="1631"/>
      <c r="S616" s="1631"/>
      <c r="T616" s="1632"/>
      <c r="U616" s="1633"/>
      <c r="V616" s="1633"/>
      <c r="W616" s="1634">
        <f>H616/12</f>
        <v>1419.3666666666668</v>
      </c>
      <c r="X616" s="1634">
        <f>AO616</f>
        <v>1419.4</v>
      </c>
      <c r="Y616" s="1634">
        <f>CC616</f>
        <v>2262.3000000000002</v>
      </c>
      <c r="Z616" s="1635">
        <v>1478.6</v>
      </c>
      <c r="AA616" s="1634">
        <f t="shared" si="428"/>
        <v>-1478.6</v>
      </c>
      <c r="AB616" s="1511">
        <f>AI616</f>
        <v>0</v>
      </c>
      <c r="AC616" s="1508">
        <f t="shared" ref="AC616:AC629" si="431">AO616+AS616+AW616+BA616+BE616+BI616+BM616+BQ616+BU616+BY616+CC616+CH616</f>
        <v>17032.400000000001</v>
      </c>
      <c r="AD616" s="1509">
        <f t="shared" ref="AD616:AD629" si="432">AE616+AF616+AG616</f>
        <v>0</v>
      </c>
      <c r="AE616" s="1509">
        <f t="shared" ref="AE616:AG624" si="433">AP616+AT616+AX616+BB616+BF616+BJ616+BN616+BR616+BV616+BZ616+CD616+CI616</f>
        <v>0</v>
      </c>
      <c r="AF616" s="1509">
        <f t="shared" si="433"/>
        <v>0</v>
      </c>
      <c r="AG616" s="1509">
        <f t="shared" si="433"/>
        <v>0</v>
      </c>
      <c r="AH616" s="1490">
        <f t="shared" si="417"/>
        <v>349.88</v>
      </c>
      <c r="AI616" s="1636">
        <f t="shared" ref="AI616:AI629" si="434">H616-AC616</f>
        <v>0</v>
      </c>
      <c r="AJ616" s="1636">
        <f t="shared" ref="AJ616:AJ629" si="435">AK616+AL616+AM616</f>
        <v>0</v>
      </c>
      <c r="AK616" s="1636">
        <f t="shared" ref="AK616:AK624" si="436">I616-AE616</f>
        <v>0</v>
      </c>
      <c r="AL616" s="1636">
        <f t="shared" si="418"/>
        <v>0</v>
      </c>
      <c r="AM616" s="1636">
        <f t="shared" si="418"/>
        <v>0</v>
      </c>
      <c r="AN616" s="1637">
        <f>AI616/4</f>
        <v>0</v>
      </c>
      <c r="AO616" s="1722">
        <v>1419.4</v>
      </c>
      <c r="AP616" s="1638"/>
      <c r="AQ616" s="1638"/>
      <c r="AR616" s="1638"/>
      <c r="AS616" s="1963">
        <v>1419.4</v>
      </c>
      <c r="AT616" s="1638"/>
      <c r="AU616" s="1638"/>
      <c r="AV616" s="1638"/>
      <c r="AW616" s="1722">
        <v>1419.4</v>
      </c>
      <c r="AX616" s="1640"/>
      <c r="AY616" s="1640"/>
      <c r="AZ616" s="1640"/>
      <c r="BA616" s="1964">
        <v>1419.4</v>
      </c>
      <c r="BB616" s="1640"/>
      <c r="BC616" s="1640"/>
      <c r="BD616" s="1640"/>
      <c r="BE616" s="1964">
        <v>1419.4</v>
      </c>
      <c r="BF616" s="1640"/>
      <c r="BG616" s="1640"/>
      <c r="BH616" s="1640"/>
      <c r="BI616" s="1641">
        <f>455.191+1419.4</f>
        <v>1874.5910000000001</v>
      </c>
      <c r="BJ616" s="1640"/>
      <c r="BK616" s="1640"/>
      <c r="BL616" s="1640"/>
      <c r="BM616" s="1641">
        <v>964.20899999999995</v>
      </c>
      <c r="BN616" s="1640"/>
      <c r="BO616" s="1640"/>
      <c r="BP616" s="1640"/>
      <c r="BQ616" s="1641">
        <v>1419.4</v>
      </c>
      <c r="BR616" s="1640"/>
      <c r="BS616" s="1640"/>
      <c r="BT616" s="1640"/>
      <c r="BU616" s="1641">
        <v>1419.4</v>
      </c>
      <c r="BV616" s="1640"/>
      <c r="BW616" s="1640"/>
      <c r="BX616" s="1640"/>
      <c r="BY616" s="1641">
        <f>425.82+1219.8</f>
        <v>1645.62</v>
      </c>
      <c r="BZ616" s="1640"/>
      <c r="CA616" s="1640"/>
      <c r="CB616" s="1640"/>
      <c r="CC616" s="1641">
        <f>783.7+1478.6</f>
        <v>2262.3000000000002</v>
      </c>
      <c r="CD616" s="1640"/>
      <c r="CE616" s="1640"/>
      <c r="CF616" s="1640"/>
      <c r="CG616" s="1642"/>
      <c r="CH616" s="1641">
        <f t="shared" si="427"/>
        <v>349.88</v>
      </c>
      <c r="CI616" s="1641">
        <f t="shared" si="427"/>
        <v>0</v>
      </c>
      <c r="CJ616" s="1641">
        <f t="shared" si="427"/>
        <v>0</v>
      </c>
      <c r="CK616" s="1641">
        <f t="shared" si="427"/>
        <v>0</v>
      </c>
      <c r="CL616" s="1889">
        <v>349.88</v>
      </c>
      <c r="CM616" s="1889">
        <v>0</v>
      </c>
      <c r="CN616" s="1889">
        <v>0</v>
      </c>
      <c r="CO616" s="1889">
        <v>0</v>
      </c>
      <c r="CP616" s="1641"/>
      <c r="CQ616" s="1640"/>
      <c r="CR616" s="1640"/>
      <c r="CS616" s="1640"/>
      <c r="CX616" s="1558">
        <f>H616/12*10-AC616</f>
        <v>-2838.7333333333336</v>
      </c>
      <c r="CY616" s="1558">
        <f>AI616/3</f>
        <v>0</v>
      </c>
      <c r="CZ616" s="1558">
        <f>H616/12</f>
        <v>1419.3666666666668</v>
      </c>
      <c r="DA616" s="1559"/>
      <c r="DB616" s="1559"/>
      <c r="DC616" s="1559"/>
    </row>
    <row r="617" spans="1:107" ht="15" thickBot="1" x14ac:dyDescent="0.2">
      <c r="A617" s="1541" t="s">
        <v>103</v>
      </c>
      <c r="B617" s="1523" t="s">
        <v>79</v>
      </c>
      <c r="C617" s="1523" t="s">
        <v>80</v>
      </c>
      <c r="D617" s="1523" t="s">
        <v>125</v>
      </c>
      <c r="E617" s="1523" t="s">
        <v>216</v>
      </c>
      <c r="F617" s="1523"/>
      <c r="G617" s="1667">
        <v>212</v>
      </c>
      <c r="H617" s="1501"/>
      <c r="I617" s="1501"/>
      <c r="J617" s="1630"/>
      <c r="K617" s="1630"/>
      <c r="L617" s="1631"/>
      <c r="M617" s="1631"/>
      <c r="N617" s="1631"/>
      <c r="O617" s="1631"/>
      <c r="P617" s="1631"/>
      <c r="Q617" s="1631"/>
      <c r="R617" s="1631"/>
      <c r="S617" s="1631"/>
      <c r="T617" s="1632"/>
      <c r="U617" s="1633"/>
      <c r="V617" s="1633"/>
      <c r="W617" s="1634"/>
      <c r="X617" s="1634"/>
      <c r="Y617" s="1634">
        <f>CC617</f>
        <v>0</v>
      </c>
      <c r="Z617" s="1635">
        <f>AI617-X617</f>
        <v>0</v>
      </c>
      <c r="AA617" s="1634">
        <f t="shared" si="428"/>
        <v>0</v>
      </c>
      <c r="AB617" s="1511"/>
      <c r="AC617" s="1508">
        <f t="shared" si="431"/>
        <v>0</v>
      </c>
      <c r="AD617" s="1509">
        <f t="shared" si="432"/>
        <v>0</v>
      </c>
      <c r="AE617" s="1509">
        <f t="shared" si="433"/>
        <v>0</v>
      </c>
      <c r="AF617" s="1509">
        <f t="shared" si="433"/>
        <v>0</v>
      </c>
      <c r="AG617" s="1509">
        <f t="shared" si="433"/>
        <v>0</v>
      </c>
      <c r="AH617" s="1490">
        <f t="shared" si="417"/>
        <v>0</v>
      </c>
      <c r="AI617" s="1636">
        <f t="shared" si="434"/>
        <v>0</v>
      </c>
      <c r="AJ617" s="1636">
        <f t="shared" si="435"/>
        <v>0</v>
      </c>
      <c r="AK617" s="1636">
        <f t="shared" si="436"/>
        <v>0</v>
      </c>
      <c r="AL617" s="1636">
        <f t="shared" si="418"/>
        <v>0</v>
      </c>
      <c r="AM617" s="1636">
        <f t="shared" si="418"/>
        <v>0</v>
      </c>
      <c r="AN617" s="1637"/>
      <c r="AO617" s="1722">
        <v>0</v>
      </c>
      <c r="AP617" s="1638"/>
      <c r="AQ617" s="1638"/>
      <c r="AR617" s="1638"/>
      <c r="AS617" s="1963">
        <v>0</v>
      </c>
      <c r="AT617" s="1638"/>
      <c r="AU617" s="1638"/>
      <c r="AV617" s="1638"/>
      <c r="AW617" s="1722">
        <v>0</v>
      </c>
      <c r="AX617" s="1640"/>
      <c r="AY617" s="1640"/>
      <c r="AZ617" s="1640"/>
      <c r="BA617" s="1964">
        <v>0</v>
      </c>
      <c r="BB617" s="1640"/>
      <c r="BC617" s="1640"/>
      <c r="BD617" s="1640"/>
      <c r="BE617" s="1964">
        <v>0</v>
      </c>
      <c r="BF617" s="1640"/>
      <c r="BG617" s="1640"/>
      <c r="BH617" s="1640"/>
      <c r="BI617" s="1641"/>
      <c r="BJ617" s="1640"/>
      <c r="BK617" s="1640"/>
      <c r="BL617" s="1640"/>
      <c r="BM617" s="1641"/>
      <c r="BN617" s="1640"/>
      <c r="BO617" s="1640"/>
      <c r="BP617" s="1640"/>
      <c r="BQ617" s="1641"/>
      <c r="BR617" s="1640"/>
      <c r="BS617" s="1640"/>
      <c r="BT617" s="1640"/>
      <c r="BU617" s="1641"/>
      <c r="BV617" s="1640"/>
      <c r="BW617" s="1640"/>
      <c r="BX617" s="1640"/>
      <c r="BY617" s="1641"/>
      <c r="BZ617" s="1640"/>
      <c r="CA617" s="1640"/>
      <c r="CB617" s="1640"/>
      <c r="CC617" s="1641"/>
      <c r="CD617" s="1640"/>
      <c r="CE617" s="1640"/>
      <c r="CF617" s="1640"/>
      <c r="CG617" s="1642"/>
      <c r="CH617" s="1641">
        <f t="shared" si="427"/>
        <v>0</v>
      </c>
      <c r="CI617" s="1641">
        <f t="shared" si="427"/>
        <v>0</v>
      </c>
      <c r="CJ617" s="1641">
        <f t="shared" si="427"/>
        <v>0</v>
      </c>
      <c r="CK617" s="1641">
        <f t="shared" si="427"/>
        <v>0</v>
      </c>
      <c r="CL617" s="1889">
        <v>0</v>
      </c>
      <c r="CM617" s="1889">
        <v>0</v>
      </c>
      <c r="CN617" s="1889">
        <v>0</v>
      </c>
      <c r="CO617" s="1889">
        <v>0</v>
      </c>
      <c r="CP617" s="1641"/>
      <c r="CQ617" s="1640"/>
      <c r="CR617" s="1640"/>
      <c r="CS617" s="1640"/>
      <c r="CX617" s="1558"/>
      <c r="CY617" s="1558"/>
      <c r="CZ617" s="1558"/>
      <c r="DA617" s="1559"/>
      <c r="DB617" s="1559"/>
      <c r="DC617" s="1559"/>
    </row>
    <row r="618" spans="1:107" ht="15" thickBot="1" x14ac:dyDescent="0.2">
      <c r="A618" s="1541" t="s">
        <v>84</v>
      </c>
      <c r="B618" s="1523" t="s">
        <v>79</v>
      </c>
      <c r="C618" s="1523" t="s">
        <v>80</v>
      </c>
      <c r="D618" s="1523" t="s">
        <v>125</v>
      </c>
      <c r="E618" s="1523" t="s">
        <v>216</v>
      </c>
      <c r="F618" s="1523"/>
      <c r="G618" s="1667">
        <v>213</v>
      </c>
      <c r="H618" s="1501">
        <v>5143.8</v>
      </c>
      <c r="I618" s="1501"/>
      <c r="J618" s="1630"/>
      <c r="K618" s="1630"/>
      <c r="L618" s="1631"/>
      <c r="M618" s="1631"/>
      <c r="N618" s="1631"/>
      <c r="O618" s="1631"/>
      <c r="P618" s="1631"/>
      <c r="Q618" s="1631"/>
      <c r="R618" s="1631"/>
      <c r="S618" s="1631"/>
      <c r="T618" s="1632"/>
      <c r="U618" s="1633"/>
      <c r="V618" s="1633"/>
      <c r="W618" s="1634">
        <f>H618/12</f>
        <v>428.65000000000003</v>
      </c>
      <c r="X618" s="1634">
        <f>AO618</f>
        <v>428.7</v>
      </c>
      <c r="Y618" s="1634">
        <f>CC618</f>
        <v>876.5</v>
      </c>
      <c r="Z618" s="1635">
        <v>876.5</v>
      </c>
      <c r="AA618" s="1634">
        <f t="shared" si="428"/>
        <v>-876.5</v>
      </c>
      <c r="AB618" s="1511">
        <f>AI618</f>
        <v>0</v>
      </c>
      <c r="AC618" s="1508">
        <f t="shared" si="431"/>
        <v>5143.7999999999993</v>
      </c>
      <c r="AD618" s="1509">
        <f t="shared" si="432"/>
        <v>0</v>
      </c>
      <c r="AE618" s="1509">
        <f t="shared" si="433"/>
        <v>0</v>
      </c>
      <c r="AF618" s="1509">
        <f t="shared" si="433"/>
        <v>0</v>
      </c>
      <c r="AG618" s="1509">
        <f t="shared" si="433"/>
        <v>0</v>
      </c>
      <c r="AH618" s="1490">
        <f t="shared" si="417"/>
        <v>207.35</v>
      </c>
      <c r="AI618" s="1636">
        <f t="shared" si="434"/>
        <v>0</v>
      </c>
      <c r="AJ618" s="1636">
        <f t="shared" si="435"/>
        <v>0</v>
      </c>
      <c r="AK618" s="1636">
        <f t="shared" si="436"/>
        <v>0</v>
      </c>
      <c r="AL618" s="1636">
        <f t="shared" si="418"/>
        <v>0</v>
      </c>
      <c r="AM618" s="1636">
        <f t="shared" si="418"/>
        <v>0</v>
      </c>
      <c r="AN618" s="1637">
        <f>AI618/4</f>
        <v>0</v>
      </c>
      <c r="AO618" s="1722">
        <v>428.7</v>
      </c>
      <c r="AP618" s="1638"/>
      <c r="AQ618" s="1638"/>
      <c r="AR618" s="1638"/>
      <c r="AS618" s="1963">
        <v>428.7</v>
      </c>
      <c r="AT618" s="1638"/>
      <c r="AU618" s="1638"/>
      <c r="AV618" s="1638"/>
      <c r="AW618" s="1722">
        <v>428.7</v>
      </c>
      <c r="AX618" s="1640"/>
      <c r="AY618" s="1640"/>
      <c r="AZ618" s="1640"/>
      <c r="BA618" s="1964">
        <v>428.7</v>
      </c>
      <c r="BB618" s="1640"/>
      <c r="BC618" s="1640"/>
      <c r="BD618" s="1640"/>
      <c r="BE618" s="1964">
        <v>428.7</v>
      </c>
      <c r="BF618" s="1640"/>
      <c r="BG618" s="1640"/>
      <c r="BH618" s="1640"/>
      <c r="BI618" s="1641">
        <f>428.7</f>
        <v>428.7</v>
      </c>
      <c r="BJ618" s="1640"/>
      <c r="BK618" s="1640"/>
      <c r="BL618" s="1640"/>
      <c r="BM618" s="1641">
        <v>428.7</v>
      </c>
      <c r="BN618" s="1640"/>
      <c r="BO618" s="1640"/>
      <c r="BP618" s="1640"/>
      <c r="BQ618" s="1641">
        <v>428.7</v>
      </c>
      <c r="BR618" s="1640"/>
      <c r="BS618" s="1640"/>
      <c r="BT618" s="1640"/>
      <c r="BU618" s="1641">
        <v>428.7</v>
      </c>
      <c r="BV618" s="1640"/>
      <c r="BW618" s="1640"/>
      <c r="BX618" s="1640"/>
      <c r="BY618" s="1641">
        <v>201.65</v>
      </c>
      <c r="BZ618" s="1640"/>
      <c r="CA618" s="1640"/>
      <c r="CB618" s="1640"/>
      <c r="CC618" s="1641">
        <v>876.5</v>
      </c>
      <c r="CD618" s="1640"/>
      <c r="CE618" s="1640"/>
      <c r="CF618" s="1640"/>
      <c r="CG618" s="1642"/>
      <c r="CH618" s="1641">
        <f t="shared" si="427"/>
        <v>207.35</v>
      </c>
      <c r="CI618" s="1641">
        <f t="shared" si="427"/>
        <v>0</v>
      </c>
      <c r="CJ618" s="1641">
        <f t="shared" si="427"/>
        <v>0</v>
      </c>
      <c r="CK618" s="1641">
        <f t="shared" si="427"/>
        <v>0</v>
      </c>
      <c r="CL618" s="1889">
        <v>207.35</v>
      </c>
      <c r="CM618" s="1889">
        <v>0</v>
      </c>
      <c r="CN618" s="1889">
        <v>0</v>
      </c>
      <c r="CO618" s="1889">
        <v>0</v>
      </c>
      <c r="CP618" s="1641"/>
      <c r="CQ618" s="1640"/>
      <c r="CR618" s="1640"/>
      <c r="CS618" s="1640"/>
      <c r="CX618" s="1558">
        <f>H618/12*10-AC618</f>
        <v>-857.29999999999927</v>
      </c>
      <c r="CY618" s="1558">
        <f>AI618/3</f>
        <v>0</v>
      </c>
      <c r="CZ618" s="1558">
        <f>H618/12</f>
        <v>428.65000000000003</v>
      </c>
      <c r="DA618" s="1559"/>
      <c r="DB618" s="1559"/>
      <c r="DC618" s="1559"/>
    </row>
    <row r="619" spans="1:107" ht="15" thickBot="1" x14ac:dyDescent="0.2">
      <c r="A619" s="1541" t="s">
        <v>85</v>
      </c>
      <c r="B619" s="1523" t="s">
        <v>79</v>
      </c>
      <c r="C619" s="1523" t="s">
        <v>80</v>
      </c>
      <c r="D619" s="1523" t="s">
        <v>125</v>
      </c>
      <c r="E619" s="1523" t="s">
        <v>216</v>
      </c>
      <c r="F619" s="1523"/>
      <c r="G619" s="1667">
        <v>221</v>
      </c>
      <c r="H619" s="1501"/>
      <c r="I619" s="1501"/>
      <c r="J619" s="1630"/>
      <c r="K619" s="1630"/>
      <c r="L619" s="1631"/>
      <c r="M619" s="1631"/>
      <c r="N619" s="1631"/>
      <c r="O619" s="1631"/>
      <c r="P619" s="1631"/>
      <c r="Q619" s="1631"/>
      <c r="R619" s="1631"/>
      <c r="S619" s="1631"/>
      <c r="T619" s="1632"/>
      <c r="U619" s="1633"/>
      <c r="V619" s="1633"/>
      <c r="W619" s="1634"/>
      <c r="X619" s="1634"/>
      <c r="Y619" s="1634"/>
      <c r="Z619" s="1635"/>
      <c r="AA619" s="1634">
        <f t="shared" si="428"/>
        <v>0</v>
      </c>
      <c r="AB619" s="1634"/>
      <c r="AC619" s="1508">
        <f t="shared" si="431"/>
        <v>0</v>
      </c>
      <c r="AD619" s="1509">
        <f t="shared" si="432"/>
        <v>0</v>
      </c>
      <c r="AE619" s="1509">
        <f t="shared" si="433"/>
        <v>0</v>
      </c>
      <c r="AF619" s="1509">
        <f t="shared" si="433"/>
        <v>0</v>
      </c>
      <c r="AG619" s="1509">
        <f t="shared" si="433"/>
        <v>0</v>
      </c>
      <c r="AH619" s="1490">
        <f t="shared" si="417"/>
        <v>0</v>
      </c>
      <c r="AI619" s="1636">
        <f t="shared" si="434"/>
        <v>0</v>
      </c>
      <c r="AJ619" s="1636">
        <f t="shared" si="435"/>
        <v>0</v>
      </c>
      <c r="AK619" s="1636">
        <f t="shared" si="436"/>
        <v>0</v>
      </c>
      <c r="AL619" s="1636">
        <f t="shared" si="418"/>
        <v>0</v>
      </c>
      <c r="AM619" s="1636">
        <f t="shared" si="418"/>
        <v>0</v>
      </c>
      <c r="AN619" s="1637"/>
      <c r="AO619" s="1722">
        <v>0</v>
      </c>
      <c r="AP619" s="1638"/>
      <c r="AQ619" s="1638"/>
      <c r="AR619" s="1638"/>
      <c r="AS619" s="1963">
        <v>0</v>
      </c>
      <c r="AT619" s="1638"/>
      <c r="AU619" s="1638"/>
      <c r="AV619" s="1638"/>
      <c r="AW619" s="1639"/>
      <c r="AX619" s="1640"/>
      <c r="AY619" s="1640"/>
      <c r="AZ619" s="1640"/>
      <c r="BA619" s="1641"/>
      <c r="BB619" s="1640"/>
      <c r="BC619" s="1640"/>
      <c r="BD619" s="1640"/>
      <c r="BE619" s="1644"/>
      <c r="BF619" s="1640"/>
      <c r="BG619" s="1640"/>
      <c r="BH619" s="1640"/>
      <c r="BI619" s="1641"/>
      <c r="BJ619" s="1640"/>
      <c r="BK619" s="1640"/>
      <c r="BL619" s="1640"/>
      <c r="BM619" s="1641"/>
      <c r="BN619" s="1640"/>
      <c r="BO619" s="1640"/>
      <c r="BP619" s="1640"/>
      <c r="BQ619" s="1641"/>
      <c r="BR619" s="1640"/>
      <c r="BS619" s="1640"/>
      <c r="BT619" s="1640"/>
      <c r="BU619" s="1641"/>
      <c r="BV619" s="1640"/>
      <c r="BW619" s="1640"/>
      <c r="BX619" s="1640"/>
      <c r="BY619" s="1641"/>
      <c r="BZ619" s="1640"/>
      <c r="CA619" s="1640"/>
      <c r="CB619" s="1640"/>
      <c r="CC619" s="1641"/>
      <c r="CD619" s="1640"/>
      <c r="CE619" s="1640"/>
      <c r="CF619" s="1640"/>
      <c r="CG619" s="1642"/>
      <c r="CH619" s="1641">
        <f t="shared" si="427"/>
        <v>0</v>
      </c>
      <c r="CI619" s="1641">
        <f t="shared" si="427"/>
        <v>0</v>
      </c>
      <c r="CJ619" s="1641">
        <f t="shared" si="427"/>
        <v>0</v>
      </c>
      <c r="CK619" s="1641">
        <f t="shared" si="427"/>
        <v>0</v>
      </c>
      <c r="CL619" s="1889">
        <v>0</v>
      </c>
      <c r="CM619" s="1889">
        <v>0</v>
      </c>
      <c r="CN619" s="1889">
        <v>0</v>
      </c>
      <c r="CO619" s="1889">
        <v>0</v>
      </c>
      <c r="CP619" s="1641"/>
      <c r="CQ619" s="1640"/>
      <c r="CR619" s="1640"/>
      <c r="CS619" s="1640"/>
    </row>
    <row r="620" spans="1:107" ht="15" thickBot="1" x14ac:dyDescent="0.2">
      <c r="A620" s="1541" t="s">
        <v>86</v>
      </c>
      <c r="B620" s="1523" t="s">
        <v>79</v>
      </c>
      <c r="C620" s="1523" t="s">
        <v>80</v>
      </c>
      <c r="D620" s="1523" t="s">
        <v>125</v>
      </c>
      <c r="E620" s="1523" t="s">
        <v>216</v>
      </c>
      <c r="F620" s="1523"/>
      <c r="G620" s="1667">
        <v>222</v>
      </c>
      <c r="H620" s="1501"/>
      <c r="I620" s="1501"/>
      <c r="J620" s="1630"/>
      <c r="K620" s="1630"/>
      <c r="L620" s="1631"/>
      <c r="M620" s="1631"/>
      <c r="N620" s="1631"/>
      <c r="O620" s="1631"/>
      <c r="P620" s="1631"/>
      <c r="Q620" s="1631"/>
      <c r="R620" s="1631"/>
      <c r="S620" s="1631"/>
      <c r="T620" s="1632"/>
      <c r="U620" s="1633"/>
      <c r="V620" s="1633"/>
      <c r="W620" s="1634"/>
      <c r="X620" s="1634"/>
      <c r="Y620" s="1634"/>
      <c r="Z620" s="1635"/>
      <c r="AA620" s="1634">
        <f t="shared" si="428"/>
        <v>0</v>
      </c>
      <c r="AB620" s="1634"/>
      <c r="AC620" s="1508">
        <f t="shared" si="431"/>
        <v>0</v>
      </c>
      <c r="AD620" s="1509">
        <f t="shared" si="432"/>
        <v>0</v>
      </c>
      <c r="AE620" s="1509">
        <f t="shared" si="433"/>
        <v>0</v>
      </c>
      <c r="AF620" s="1509">
        <f t="shared" si="433"/>
        <v>0</v>
      </c>
      <c r="AG620" s="1509">
        <f t="shared" si="433"/>
        <v>0</v>
      </c>
      <c r="AH620" s="1490">
        <f t="shared" si="417"/>
        <v>0</v>
      </c>
      <c r="AI620" s="1636">
        <f t="shared" si="434"/>
        <v>0</v>
      </c>
      <c r="AJ620" s="1636">
        <f t="shared" si="435"/>
        <v>0</v>
      </c>
      <c r="AK620" s="1636">
        <f t="shared" si="436"/>
        <v>0</v>
      </c>
      <c r="AL620" s="1636">
        <f t="shared" si="418"/>
        <v>0</v>
      </c>
      <c r="AM620" s="1636">
        <f t="shared" si="418"/>
        <v>0</v>
      </c>
      <c r="AN620" s="1637"/>
      <c r="AO620" s="1722">
        <v>0</v>
      </c>
      <c r="AP620" s="1638"/>
      <c r="AQ620" s="1638"/>
      <c r="AR620" s="1638"/>
      <c r="AS620" s="1963">
        <v>0</v>
      </c>
      <c r="AT620" s="1638"/>
      <c r="AU620" s="1638"/>
      <c r="AV620" s="1638"/>
      <c r="AW620" s="1639"/>
      <c r="AX620" s="1640"/>
      <c r="AY620" s="1640"/>
      <c r="AZ620" s="1640"/>
      <c r="BA620" s="1641"/>
      <c r="BB620" s="1640"/>
      <c r="BC620" s="1640"/>
      <c r="BD620" s="1640"/>
      <c r="BE620" s="1644"/>
      <c r="BF620" s="1640"/>
      <c r="BG620" s="1640"/>
      <c r="BH620" s="1640"/>
      <c r="BI620" s="1641"/>
      <c r="BJ620" s="1640"/>
      <c r="BK620" s="1640"/>
      <c r="BL620" s="1640"/>
      <c r="BM620" s="1641"/>
      <c r="BN620" s="1640"/>
      <c r="BO620" s="1640"/>
      <c r="BP620" s="1640"/>
      <c r="BQ620" s="1641"/>
      <c r="BR620" s="1640"/>
      <c r="BS620" s="1640"/>
      <c r="BT620" s="1640"/>
      <c r="BU620" s="1641"/>
      <c r="BV620" s="1640"/>
      <c r="BW620" s="1640"/>
      <c r="BX620" s="1640"/>
      <c r="BY620" s="1641"/>
      <c r="BZ620" s="1640"/>
      <c r="CA620" s="1640"/>
      <c r="CB620" s="1640"/>
      <c r="CC620" s="1641"/>
      <c r="CD620" s="1640"/>
      <c r="CE620" s="1640"/>
      <c r="CF620" s="1640"/>
      <c r="CG620" s="1642"/>
      <c r="CH620" s="1641">
        <f t="shared" si="427"/>
        <v>0</v>
      </c>
      <c r="CI620" s="1641">
        <f t="shared" si="427"/>
        <v>0</v>
      </c>
      <c r="CJ620" s="1641">
        <f t="shared" si="427"/>
        <v>0</v>
      </c>
      <c r="CK620" s="1641">
        <f t="shared" si="427"/>
        <v>0</v>
      </c>
      <c r="CL620" s="1889">
        <v>0</v>
      </c>
      <c r="CM620" s="1889">
        <v>0</v>
      </c>
      <c r="CN620" s="1889">
        <v>0</v>
      </c>
      <c r="CO620" s="1889">
        <v>0</v>
      </c>
      <c r="CP620" s="1641"/>
      <c r="CQ620" s="1640"/>
      <c r="CR620" s="1640"/>
      <c r="CS620" s="1640"/>
    </row>
    <row r="621" spans="1:107" ht="15" thickBot="1" x14ac:dyDescent="0.2">
      <c r="A621" s="1541" t="s">
        <v>87</v>
      </c>
      <c r="B621" s="1523" t="s">
        <v>79</v>
      </c>
      <c r="C621" s="1523" t="s">
        <v>80</v>
      </c>
      <c r="D621" s="1523" t="s">
        <v>125</v>
      </c>
      <c r="E621" s="1523" t="s">
        <v>216</v>
      </c>
      <c r="F621" s="1523"/>
      <c r="G621" s="1667">
        <v>223</v>
      </c>
      <c r="H621" s="1501"/>
      <c r="I621" s="1501"/>
      <c r="J621" s="1630"/>
      <c r="K621" s="1630"/>
      <c r="L621" s="1631"/>
      <c r="M621" s="1631"/>
      <c r="N621" s="1631"/>
      <c r="O621" s="1631"/>
      <c r="P621" s="1631"/>
      <c r="Q621" s="1631"/>
      <c r="R621" s="1631"/>
      <c r="S621" s="1631"/>
      <c r="T621" s="1632"/>
      <c r="U621" s="1633"/>
      <c r="V621" s="1633"/>
      <c r="W621" s="1634"/>
      <c r="X621" s="1634"/>
      <c r="Y621" s="1634"/>
      <c r="Z621" s="1635"/>
      <c r="AA621" s="1634">
        <f t="shared" si="428"/>
        <v>0</v>
      </c>
      <c r="AB621" s="1634"/>
      <c r="AC621" s="1508">
        <f t="shared" si="431"/>
        <v>0</v>
      </c>
      <c r="AD621" s="1509">
        <f t="shared" si="432"/>
        <v>0</v>
      </c>
      <c r="AE621" s="1509">
        <f t="shared" si="433"/>
        <v>0</v>
      </c>
      <c r="AF621" s="1509">
        <f t="shared" si="433"/>
        <v>0</v>
      </c>
      <c r="AG621" s="1509">
        <f t="shared" si="433"/>
        <v>0</v>
      </c>
      <c r="AH621" s="1490">
        <f t="shared" si="417"/>
        <v>0</v>
      </c>
      <c r="AI621" s="1636">
        <f t="shared" si="434"/>
        <v>0</v>
      </c>
      <c r="AJ621" s="1636">
        <f t="shared" si="435"/>
        <v>0</v>
      </c>
      <c r="AK621" s="1636">
        <f t="shared" si="436"/>
        <v>0</v>
      </c>
      <c r="AL621" s="1636">
        <f t="shared" si="418"/>
        <v>0</v>
      </c>
      <c r="AM621" s="1636">
        <f t="shared" si="418"/>
        <v>0</v>
      </c>
      <c r="AN621" s="1637"/>
      <c r="AO621" s="1722">
        <v>0</v>
      </c>
      <c r="AP621" s="1638"/>
      <c r="AQ621" s="1638"/>
      <c r="AR621" s="1638"/>
      <c r="AS621" s="1963">
        <v>0</v>
      </c>
      <c r="AT621" s="1638"/>
      <c r="AU621" s="1638"/>
      <c r="AV621" s="1638"/>
      <c r="AW621" s="1639"/>
      <c r="AX621" s="1640"/>
      <c r="AY621" s="1640"/>
      <c r="AZ621" s="1640"/>
      <c r="BA621" s="1641"/>
      <c r="BB621" s="1640"/>
      <c r="BC621" s="1640"/>
      <c r="BD621" s="1640"/>
      <c r="BE621" s="1644"/>
      <c r="BF621" s="1640"/>
      <c r="BG621" s="1640"/>
      <c r="BH621" s="1640"/>
      <c r="BI621" s="1641"/>
      <c r="BJ621" s="1640"/>
      <c r="BK621" s="1640"/>
      <c r="BL621" s="1640"/>
      <c r="BM621" s="1641"/>
      <c r="BN621" s="1640"/>
      <c r="BO621" s="1640"/>
      <c r="BP621" s="1640"/>
      <c r="BQ621" s="1641"/>
      <c r="BR621" s="1640"/>
      <c r="BS621" s="1640"/>
      <c r="BT621" s="1640"/>
      <c r="BU621" s="1641"/>
      <c r="BV621" s="1640"/>
      <c r="BW621" s="1640"/>
      <c r="BX621" s="1640"/>
      <c r="BY621" s="1641"/>
      <c r="BZ621" s="1640"/>
      <c r="CA621" s="1640"/>
      <c r="CB621" s="1640"/>
      <c r="CC621" s="1641"/>
      <c r="CD621" s="1640"/>
      <c r="CE621" s="1640"/>
      <c r="CF621" s="1640"/>
      <c r="CG621" s="1642"/>
      <c r="CH621" s="1641">
        <f t="shared" si="427"/>
        <v>0</v>
      </c>
      <c r="CI621" s="1641">
        <f t="shared" si="427"/>
        <v>0</v>
      </c>
      <c r="CJ621" s="1641">
        <f t="shared" si="427"/>
        <v>0</v>
      </c>
      <c r="CK621" s="1641">
        <f t="shared" si="427"/>
        <v>0</v>
      </c>
      <c r="CL621" s="1889">
        <v>0</v>
      </c>
      <c r="CM621" s="1889">
        <v>0</v>
      </c>
      <c r="CN621" s="1889">
        <v>0</v>
      </c>
      <c r="CO621" s="1889">
        <v>0</v>
      </c>
      <c r="CP621" s="1641"/>
      <c r="CQ621" s="1640"/>
      <c r="CR621" s="1640"/>
      <c r="CS621" s="1640"/>
    </row>
    <row r="622" spans="1:107" ht="15" thickBot="1" x14ac:dyDescent="0.2">
      <c r="A622" s="1541" t="s">
        <v>134</v>
      </c>
      <c r="B622" s="1523" t="s">
        <v>79</v>
      </c>
      <c r="C622" s="1523" t="s">
        <v>80</v>
      </c>
      <c r="D622" s="1523" t="s">
        <v>125</v>
      </c>
      <c r="E622" s="1523" t="s">
        <v>216</v>
      </c>
      <c r="F622" s="1523"/>
      <c r="G622" s="1667">
        <v>224</v>
      </c>
      <c r="H622" s="1501"/>
      <c r="I622" s="1501"/>
      <c r="J622" s="1630"/>
      <c r="K622" s="1630"/>
      <c r="L622" s="1631"/>
      <c r="M622" s="1631"/>
      <c r="N622" s="1631"/>
      <c r="O622" s="1631"/>
      <c r="P622" s="1631"/>
      <c r="Q622" s="1631"/>
      <c r="R622" s="1631"/>
      <c r="S622" s="1631"/>
      <c r="T622" s="1632"/>
      <c r="U622" s="1633"/>
      <c r="V622" s="1633"/>
      <c r="W622" s="1634"/>
      <c r="X622" s="1634"/>
      <c r="Y622" s="1634"/>
      <c r="Z622" s="1635"/>
      <c r="AA622" s="1634">
        <f t="shared" si="428"/>
        <v>0</v>
      </c>
      <c r="AB622" s="1634"/>
      <c r="AC622" s="1508">
        <f t="shared" si="431"/>
        <v>0</v>
      </c>
      <c r="AD622" s="1509">
        <f t="shared" si="432"/>
        <v>0</v>
      </c>
      <c r="AE622" s="1509">
        <f t="shared" si="433"/>
        <v>0</v>
      </c>
      <c r="AF622" s="1509">
        <f t="shared" si="433"/>
        <v>0</v>
      </c>
      <c r="AG622" s="1509">
        <f t="shared" si="433"/>
        <v>0</v>
      </c>
      <c r="AH622" s="1490">
        <f t="shared" si="417"/>
        <v>0</v>
      </c>
      <c r="AI622" s="1636">
        <f t="shared" si="434"/>
        <v>0</v>
      </c>
      <c r="AJ622" s="1636">
        <f t="shared" si="435"/>
        <v>0</v>
      </c>
      <c r="AK622" s="1636">
        <f t="shared" si="436"/>
        <v>0</v>
      </c>
      <c r="AL622" s="1636">
        <f t="shared" si="418"/>
        <v>0</v>
      </c>
      <c r="AM622" s="1636">
        <f t="shared" si="418"/>
        <v>0</v>
      </c>
      <c r="AN622" s="1637"/>
      <c r="AO622" s="1722">
        <v>0</v>
      </c>
      <c r="AP622" s="1638"/>
      <c r="AQ622" s="1638"/>
      <c r="AR622" s="1638"/>
      <c r="AS622" s="1963">
        <v>0</v>
      </c>
      <c r="AT622" s="1638"/>
      <c r="AU622" s="1638"/>
      <c r="AV622" s="1638"/>
      <c r="AW622" s="1639"/>
      <c r="AX622" s="1640"/>
      <c r="AY622" s="1640"/>
      <c r="AZ622" s="1640"/>
      <c r="BA622" s="1641"/>
      <c r="BB622" s="1640"/>
      <c r="BC622" s="1640"/>
      <c r="BD622" s="1640"/>
      <c r="BE622" s="1644"/>
      <c r="BF622" s="1640"/>
      <c r="BG622" s="1640"/>
      <c r="BH622" s="1640"/>
      <c r="BI622" s="1641"/>
      <c r="BJ622" s="1640"/>
      <c r="BK622" s="1640"/>
      <c r="BL622" s="1640"/>
      <c r="BM622" s="1641"/>
      <c r="BN622" s="1640"/>
      <c r="BO622" s="1640"/>
      <c r="BP622" s="1640"/>
      <c r="BQ622" s="1641"/>
      <c r="BR622" s="1640"/>
      <c r="BS622" s="1640"/>
      <c r="BT622" s="1640"/>
      <c r="BU622" s="1641"/>
      <c r="BV622" s="1640"/>
      <c r="BW622" s="1640"/>
      <c r="BX622" s="1640"/>
      <c r="BY622" s="1641"/>
      <c r="BZ622" s="1640"/>
      <c r="CA622" s="1640"/>
      <c r="CB622" s="1640"/>
      <c r="CC622" s="1641"/>
      <c r="CD622" s="1640"/>
      <c r="CE622" s="1640"/>
      <c r="CF622" s="1640"/>
      <c r="CG622" s="1642"/>
      <c r="CH622" s="1641">
        <f t="shared" si="427"/>
        <v>0</v>
      </c>
      <c r="CI622" s="1641">
        <f t="shared" si="427"/>
        <v>0</v>
      </c>
      <c r="CJ622" s="1641">
        <f t="shared" si="427"/>
        <v>0</v>
      </c>
      <c r="CK622" s="1641">
        <f t="shared" si="427"/>
        <v>0</v>
      </c>
      <c r="CL622" s="1889">
        <v>0</v>
      </c>
      <c r="CM622" s="1889">
        <v>0</v>
      </c>
      <c r="CN622" s="1889">
        <v>0</v>
      </c>
      <c r="CO622" s="1889">
        <v>0</v>
      </c>
      <c r="CP622" s="1641"/>
      <c r="CQ622" s="1640"/>
      <c r="CR622" s="1640"/>
      <c r="CS622" s="1640"/>
    </row>
    <row r="623" spans="1:107" ht="15" thickBot="1" x14ac:dyDescent="0.2">
      <c r="A623" s="1541" t="s">
        <v>90</v>
      </c>
      <c r="B623" s="1523" t="s">
        <v>79</v>
      </c>
      <c r="C623" s="1523" t="s">
        <v>80</v>
      </c>
      <c r="D623" s="1523" t="s">
        <v>125</v>
      </c>
      <c r="E623" s="1523" t="s">
        <v>216</v>
      </c>
      <c r="F623" s="1523"/>
      <c r="G623" s="1667">
        <v>225</v>
      </c>
      <c r="H623" s="1501"/>
      <c r="I623" s="1501"/>
      <c r="J623" s="1630"/>
      <c r="K623" s="1630"/>
      <c r="L623" s="1631"/>
      <c r="M623" s="1631"/>
      <c r="N623" s="1631"/>
      <c r="O623" s="1631"/>
      <c r="P623" s="1631"/>
      <c r="Q623" s="1631"/>
      <c r="R623" s="1631"/>
      <c r="S623" s="1631"/>
      <c r="T623" s="1632"/>
      <c r="U623" s="1633"/>
      <c r="V623" s="1633"/>
      <c r="W623" s="1634"/>
      <c r="X623" s="1634"/>
      <c r="Y623" s="1634"/>
      <c r="Z623" s="1635"/>
      <c r="AA623" s="1634">
        <f t="shared" si="428"/>
        <v>0</v>
      </c>
      <c r="AB623" s="1634"/>
      <c r="AC623" s="1508">
        <f t="shared" si="431"/>
        <v>0</v>
      </c>
      <c r="AD623" s="1509">
        <f t="shared" si="432"/>
        <v>0</v>
      </c>
      <c r="AE623" s="1509">
        <f t="shared" si="433"/>
        <v>0</v>
      </c>
      <c r="AF623" s="1509">
        <f t="shared" si="433"/>
        <v>0</v>
      </c>
      <c r="AG623" s="1509">
        <f t="shared" si="433"/>
        <v>0</v>
      </c>
      <c r="AH623" s="1490">
        <f t="shared" si="417"/>
        <v>0</v>
      </c>
      <c r="AI623" s="1636">
        <f t="shared" si="434"/>
        <v>0</v>
      </c>
      <c r="AJ623" s="1636">
        <f t="shared" si="435"/>
        <v>0</v>
      </c>
      <c r="AK623" s="1636">
        <f t="shared" si="436"/>
        <v>0</v>
      </c>
      <c r="AL623" s="1636">
        <f t="shared" si="418"/>
        <v>0</v>
      </c>
      <c r="AM623" s="1636">
        <f t="shared" si="418"/>
        <v>0</v>
      </c>
      <c r="AN623" s="1637"/>
      <c r="AO623" s="1723"/>
      <c r="AP623" s="1638"/>
      <c r="AQ623" s="1638"/>
      <c r="AR623" s="1638"/>
      <c r="AS623" s="1639"/>
      <c r="AT623" s="1638"/>
      <c r="AU623" s="1638"/>
      <c r="AV623" s="1638"/>
      <c r="AW623" s="1639"/>
      <c r="AX623" s="1640"/>
      <c r="AY623" s="1640"/>
      <c r="AZ623" s="1640"/>
      <c r="BA623" s="1641"/>
      <c r="BB623" s="1640"/>
      <c r="BC623" s="1640"/>
      <c r="BD623" s="1640"/>
      <c r="BE623" s="1644"/>
      <c r="BF623" s="1640"/>
      <c r="BG623" s="1640"/>
      <c r="BH623" s="1640"/>
      <c r="BI623" s="1641"/>
      <c r="BJ623" s="1640"/>
      <c r="BK623" s="1640"/>
      <c r="BL623" s="1640"/>
      <c r="BM623" s="1641"/>
      <c r="BN623" s="1640"/>
      <c r="BO623" s="1640"/>
      <c r="BP623" s="1640"/>
      <c r="BQ623" s="1641"/>
      <c r="BR623" s="1640"/>
      <c r="BS623" s="1640"/>
      <c r="BT623" s="1640"/>
      <c r="BU623" s="1641"/>
      <c r="BV623" s="1640"/>
      <c r="BW623" s="1640"/>
      <c r="BX623" s="1640"/>
      <c r="BY623" s="1641"/>
      <c r="BZ623" s="1640"/>
      <c r="CA623" s="1640"/>
      <c r="CB623" s="1640"/>
      <c r="CC623" s="1641"/>
      <c r="CD623" s="1640"/>
      <c r="CE623" s="1640"/>
      <c r="CF623" s="1640"/>
      <c r="CG623" s="1642"/>
      <c r="CH623" s="1641">
        <f t="shared" si="427"/>
        <v>0</v>
      </c>
      <c r="CI623" s="1641">
        <f t="shared" si="427"/>
        <v>0</v>
      </c>
      <c r="CJ623" s="1641">
        <f t="shared" si="427"/>
        <v>0</v>
      </c>
      <c r="CK623" s="1641">
        <f t="shared" si="427"/>
        <v>0</v>
      </c>
      <c r="CL623" s="1889">
        <v>0</v>
      </c>
      <c r="CM623" s="1889">
        <v>0</v>
      </c>
      <c r="CN623" s="1889">
        <v>0</v>
      </c>
      <c r="CO623" s="1889">
        <v>0</v>
      </c>
      <c r="CP623" s="1641"/>
      <c r="CQ623" s="1640"/>
      <c r="CR623" s="1640"/>
      <c r="CS623" s="1640"/>
    </row>
    <row r="624" spans="1:107" ht="15" thickBot="1" x14ac:dyDescent="0.2">
      <c r="A624" s="1541" t="s">
        <v>91</v>
      </c>
      <c r="B624" s="1523" t="s">
        <v>79</v>
      </c>
      <c r="C624" s="1523" t="s">
        <v>80</v>
      </c>
      <c r="D624" s="1523" t="s">
        <v>125</v>
      </c>
      <c r="E624" s="1523" t="s">
        <v>216</v>
      </c>
      <c r="F624" s="1523"/>
      <c r="G624" s="1667">
        <v>226</v>
      </c>
      <c r="H624" s="1501">
        <f>35+15+70</f>
        <v>120</v>
      </c>
      <c r="I624" s="1501">
        <f>160.5</f>
        <v>160.5</v>
      </c>
      <c r="J624" s="1630"/>
      <c r="K624" s="1630">
        <f>170+219.138</f>
        <v>389.13800000000003</v>
      </c>
      <c r="L624" s="1631"/>
      <c r="M624" s="1631"/>
      <c r="N624" s="1631"/>
      <c r="O624" s="1631"/>
      <c r="P624" s="1631"/>
      <c r="Q624" s="1631"/>
      <c r="R624" s="1631">
        <v>60</v>
      </c>
      <c r="S624" s="1631"/>
      <c r="T624" s="1632"/>
      <c r="U624" s="1633"/>
      <c r="V624" s="1633"/>
      <c r="W624" s="1634"/>
      <c r="X624" s="1634"/>
      <c r="Y624" s="1634"/>
      <c r="Z624" s="1635"/>
      <c r="AA624" s="1634">
        <f t="shared" si="428"/>
        <v>0</v>
      </c>
      <c r="AB624" s="1634"/>
      <c r="AC624" s="1508">
        <f t="shared" si="431"/>
        <v>120</v>
      </c>
      <c r="AD624" s="1509">
        <f t="shared" si="432"/>
        <v>549.63800000000003</v>
      </c>
      <c r="AE624" s="1509">
        <f t="shared" si="433"/>
        <v>160.5</v>
      </c>
      <c r="AF624" s="1509">
        <f t="shared" si="433"/>
        <v>0</v>
      </c>
      <c r="AG624" s="1509">
        <f t="shared" si="433"/>
        <v>389.13800000000003</v>
      </c>
      <c r="AH624" s="1490">
        <f t="shared" si="417"/>
        <v>0</v>
      </c>
      <c r="AI624" s="1636">
        <f t="shared" si="434"/>
        <v>0</v>
      </c>
      <c r="AJ624" s="1636">
        <f t="shared" si="435"/>
        <v>0</v>
      </c>
      <c r="AK624" s="1636">
        <f t="shared" si="436"/>
        <v>0</v>
      </c>
      <c r="AL624" s="1636">
        <f t="shared" si="418"/>
        <v>0</v>
      </c>
      <c r="AM624" s="1636">
        <f t="shared" si="418"/>
        <v>0</v>
      </c>
      <c r="AN624" s="1637"/>
      <c r="AO624" s="1723"/>
      <c r="AP624" s="1638"/>
      <c r="AQ624" s="1638"/>
      <c r="AR624" s="1638"/>
      <c r="AS624" s="1639"/>
      <c r="AT624" s="1638"/>
      <c r="AU624" s="1638"/>
      <c r="AV624" s="1638"/>
      <c r="AW624" s="1639">
        <v>100</v>
      </c>
      <c r="AX624" s="1640"/>
      <c r="AY624" s="1640"/>
      <c r="AZ624" s="1640"/>
      <c r="BA624" s="1641"/>
      <c r="BB624" s="1640"/>
      <c r="BC624" s="1640"/>
      <c r="BD624" s="1640"/>
      <c r="BE624" s="1644"/>
      <c r="BF624" s="1640"/>
      <c r="BG624" s="1640"/>
      <c r="BH624" s="1640"/>
      <c r="BI624" s="1641"/>
      <c r="BJ624" s="1640"/>
      <c r="BK624" s="1640"/>
      <c r="BL624" s="1640"/>
      <c r="BM624" s="1641"/>
      <c r="BN624" s="1640">
        <v>160.5</v>
      </c>
      <c r="BO624" s="1640"/>
      <c r="BP624" s="1640">
        <v>170</v>
      </c>
      <c r="BQ624" s="1641">
        <f>35.046-15.046</f>
        <v>20</v>
      </c>
      <c r="BR624" s="1640"/>
      <c r="BS624" s="1640"/>
      <c r="BT624" s="1640"/>
      <c r="BU624" s="1641"/>
      <c r="BV624" s="1640"/>
      <c r="BW624" s="1640"/>
      <c r="BX624" s="1640"/>
      <c r="BY624" s="1641"/>
      <c r="BZ624" s="1640"/>
      <c r="CA624" s="1640"/>
      <c r="CB624" s="1640"/>
      <c r="CC624" s="1641"/>
      <c r="CD624" s="1640"/>
      <c r="CE624" s="1640"/>
      <c r="CF624" s="1640"/>
      <c r="CG624" s="1642"/>
      <c r="CH624" s="1641">
        <f t="shared" si="427"/>
        <v>0</v>
      </c>
      <c r="CI624" s="1641">
        <f t="shared" si="427"/>
        <v>0</v>
      </c>
      <c r="CJ624" s="1641">
        <f t="shared" si="427"/>
        <v>0</v>
      </c>
      <c r="CK624" s="1641">
        <v>219.13800000000001</v>
      </c>
      <c r="CL624" s="1889">
        <v>0</v>
      </c>
      <c r="CM624" s="1889">
        <v>0</v>
      </c>
      <c r="CN624" s="1889">
        <v>0</v>
      </c>
      <c r="CO624" s="1889">
        <v>0</v>
      </c>
      <c r="CP624" s="1641"/>
      <c r="CQ624" s="1640"/>
      <c r="CR624" s="1640"/>
      <c r="CS624" s="1640"/>
    </row>
    <row r="625" spans="1:107" s="1559" customFormat="1" ht="15" thickBot="1" x14ac:dyDescent="0.2">
      <c r="A625" s="1970" t="s">
        <v>1160</v>
      </c>
      <c r="B625" s="1971" t="s">
        <v>79</v>
      </c>
      <c r="C625" s="1971" t="s">
        <v>80</v>
      </c>
      <c r="D625" s="1971" t="s">
        <v>125</v>
      </c>
      <c r="E625" s="1971" t="s">
        <v>1282</v>
      </c>
      <c r="F625" s="1972" t="s">
        <v>1161</v>
      </c>
      <c r="G625" s="1973"/>
      <c r="H625" s="1703">
        <v>100</v>
      </c>
      <c r="I625" s="1703"/>
      <c r="J625" s="1630"/>
      <c r="K625" s="1630"/>
      <c r="L625" s="1631"/>
      <c r="M625" s="1631"/>
      <c r="N625" s="1631"/>
      <c r="O625" s="1631"/>
      <c r="P625" s="1631"/>
      <c r="Q625" s="1631"/>
      <c r="R625" s="1631"/>
      <c r="S625" s="1631"/>
      <c r="T625" s="1632"/>
      <c r="U625" s="1633"/>
      <c r="V625" s="1633"/>
      <c r="W625" s="1634"/>
      <c r="X625" s="1634"/>
      <c r="Y625" s="1634"/>
      <c r="Z625" s="1635"/>
      <c r="AA625" s="1634">
        <f t="shared" si="428"/>
        <v>0</v>
      </c>
      <c r="AB625" s="1634"/>
      <c r="AC625" s="1508">
        <f t="shared" si="431"/>
        <v>100</v>
      </c>
      <c r="AD625" s="1771"/>
      <c r="AE625" s="1771"/>
      <c r="AF625" s="1771"/>
      <c r="AG625" s="1771"/>
      <c r="AH625" s="1490">
        <f t="shared" si="417"/>
        <v>0</v>
      </c>
      <c r="AI625" s="1636">
        <f t="shared" si="434"/>
        <v>0</v>
      </c>
      <c r="AJ625" s="1637"/>
      <c r="AK625" s="1637"/>
      <c r="AL625" s="1636">
        <f t="shared" si="418"/>
        <v>0</v>
      </c>
      <c r="AM625" s="1637"/>
      <c r="AN625" s="1637"/>
      <c r="AO625" s="1974"/>
      <c r="AP625" s="1753"/>
      <c r="AQ625" s="1753"/>
      <c r="AR625" s="1753"/>
      <c r="AS625" s="1639">
        <v>100</v>
      </c>
      <c r="AT625" s="1753"/>
      <c r="AU625" s="1753"/>
      <c r="AV625" s="1753"/>
      <c r="AW625" s="1641"/>
      <c r="AX625" s="1641"/>
      <c r="AY625" s="1641"/>
      <c r="AZ625" s="1641"/>
      <c r="BA625" s="1641"/>
      <c r="BB625" s="1641"/>
      <c r="BC625" s="1641"/>
      <c r="BD625" s="1641"/>
      <c r="BE625" s="1644"/>
      <c r="BF625" s="1641"/>
      <c r="BG625" s="1641"/>
      <c r="BH625" s="1641"/>
      <c r="BI625" s="1641"/>
      <c r="BJ625" s="1641"/>
      <c r="BK625" s="1641"/>
      <c r="BL625" s="1641"/>
      <c r="BM625" s="1641"/>
      <c r="BN625" s="1641"/>
      <c r="BO625" s="1641"/>
      <c r="BP625" s="1641"/>
      <c r="BQ625" s="1641"/>
      <c r="BR625" s="1641"/>
      <c r="BS625" s="1641"/>
      <c r="BT625" s="1641"/>
      <c r="BU625" s="1641"/>
      <c r="BV625" s="1641"/>
      <c r="BW625" s="1641"/>
      <c r="BX625" s="1641"/>
      <c r="BY625" s="1641"/>
      <c r="BZ625" s="1641"/>
      <c r="CA625" s="1641"/>
      <c r="CB625" s="1641"/>
      <c r="CC625" s="1641"/>
      <c r="CD625" s="1641"/>
      <c r="CE625" s="1641"/>
      <c r="CF625" s="1641"/>
      <c r="CG625" s="1691"/>
      <c r="CH625" s="1641">
        <f t="shared" si="427"/>
        <v>0</v>
      </c>
      <c r="CI625" s="1641">
        <f t="shared" si="427"/>
        <v>0</v>
      </c>
      <c r="CJ625" s="1641">
        <f t="shared" si="427"/>
        <v>0</v>
      </c>
      <c r="CK625" s="1641">
        <f t="shared" si="427"/>
        <v>0</v>
      </c>
      <c r="CL625" s="1889">
        <v>0</v>
      </c>
      <c r="CM625" s="1975"/>
      <c r="CN625" s="1889">
        <v>0</v>
      </c>
      <c r="CO625" s="1975"/>
      <c r="CP625" s="1641"/>
      <c r="CQ625" s="1641"/>
      <c r="CR625" s="1641"/>
      <c r="CS625" s="1641"/>
      <c r="CT625" s="1558"/>
      <c r="CU625" s="1558"/>
      <c r="CV625" s="1558"/>
      <c r="CW625" s="1558"/>
      <c r="CY625" s="1558"/>
    </row>
    <row r="626" spans="1:107" ht="15" thickBot="1" x14ac:dyDescent="0.2">
      <c r="A626" s="1541" t="s">
        <v>94</v>
      </c>
      <c r="B626" s="1523" t="s">
        <v>79</v>
      </c>
      <c r="C626" s="1523" t="s">
        <v>80</v>
      </c>
      <c r="D626" s="1523" t="s">
        <v>125</v>
      </c>
      <c r="E626" s="1523" t="s">
        <v>216</v>
      </c>
      <c r="F626" s="1523"/>
      <c r="G626" s="1667">
        <v>290</v>
      </c>
      <c r="H626" s="1501">
        <v>47.6</v>
      </c>
      <c r="I626" s="1501"/>
      <c r="J626" s="1630"/>
      <c r="K626" s="1630"/>
      <c r="L626" s="1631"/>
      <c r="M626" s="1631"/>
      <c r="N626" s="1631"/>
      <c r="O626" s="1631"/>
      <c r="P626" s="1631"/>
      <c r="Q626" s="1631"/>
      <c r="R626" s="1631"/>
      <c r="S626" s="1631"/>
      <c r="T626" s="1632"/>
      <c r="U626" s="1633"/>
      <c r="V626" s="1633"/>
      <c r="W626" s="1634"/>
      <c r="X626" s="1634"/>
      <c r="Y626" s="1634"/>
      <c r="Z626" s="1635"/>
      <c r="AA626" s="1634">
        <f t="shared" si="428"/>
        <v>0</v>
      </c>
      <c r="AB626" s="1634"/>
      <c r="AC626" s="1508">
        <f t="shared" si="431"/>
        <v>47.6</v>
      </c>
      <c r="AD626" s="1509">
        <f t="shared" si="432"/>
        <v>0</v>
      </c>
      <c r="AE626" s="1509">
        <f t="shared" ref="AE626:AG629" si="437">AP626+AT626+AX626+BB626+BF626+BJ626+BN626+BR626+BV626+BZ626+CD626+CI626</f>
        <v>0</v>
      </c>
      <c r="AF626" s="1509">
        <f t="shared" si="437"/>
        <v>0</v>
      </c>
      <c r="AG626" s="1509">
        <f t="shared" si="437"/>
        <v>0</v>
      </c>
      <c r="AH626" s="1490">
        <f t="shared" si="417"/>
        <v>11.954000000000001</v>
      </c>
      <c r="AI626" s="1636">
        <f t="shared" si="434"/>
        <v>0</v>
      </c>
      <c r="AJ626" s="1636">
        <f t="shared" si="435"/>
        <v>0</v>
      </c>
      <c r="AK626" s="1636">
        <f>I626-AE626</f>
        <v>0</v>
      </c>
      <c r="AL626" s="1636">
        <f t="shared" si="418"/>
        <v>0</v>
      </c>
      <c r="AM626" s="1636">
        <f>K626-AG626</f>
        <v>0</v>
      </c>
      <c r="AN626" s="1637"/>
      <c r="AO626" s="1722">
        <v>4</v>
      </c>
      <c r="AP626" s="1638"/>
      <c r="AQ626" s="1638"/>
      <c r="AR626" s="1638"/>
      <c r="AS626" s="1639"/>
      <c r="AT626" s="1638"/>
      <c r="AU626" s="1638"/>
      <c r="AV626" s="1638"/>
      <c r="AW626" s="1639"/>
      <c r="AX626" s="1640"/>
      <c r="AY626" s="1640"/>
      <c r="AZ626" s="1640"/>
      <c r="BA626" s="1641"/>
      <c r="BB626" s="1640"/>
      <c r="BC626" s="1640"/>
      <c r="BD626" s="1640"/>
      <c r="BE626" s="1644">
        <v>11.9</v>
      </c>
      <c r="BF626" s="1640"/>
      <c r="BG626" s="1640"/>
      <c r="BH626" s="1640"/>
      <c r="BI626" s="1641"/>
      <c r="BJ626" s="1640"/>
      <c r="BK626" s="1640"/>
      <c r="BL626" s="1640"/>
      <c r="BM626" s="1641"/>
      <c r="BN626" s="1640"/>
      <c r="BO626" s="1640"/>
      <c r="BP626" s="1640"/>
      <c r="BQ626" s="1641">
        <v>8.7460000000000004</v>
      </c>
      <c r="BR626" s="1640"/>
      <c r="BS626" s="1640"/>
      <c r="BT626" s="1640"/>
      <c r="BU626" s="1641">
        <v>11</v>
      </c>
      <c r="BV626" s="1640"/>
      <c r="BW626" s="1640"/>
      <c r="BX626" s="1640"/>
      <c r="BY626" s="1641"/>
      <c r="BZ626" s="1640"/>
      <c r="CA626" s="1640"/>
      <c r="CB626" s="1640"/>
      <c r="CC626" s="1641"/>
      <c r="CD626" s="1640"/>
      <c r="CE626" s="1640"/>
      <c r="CF626" s="1640"/>
      <c r="CG626" s="1642"/>
      <c r="CH626" s="1641">
        <f t="shared" si="427"/>
        <v>11.954000000000001</v>
      </c>
      <c r="CI626" s="1641">
        <f t="shared" si="427"/>
        <v>0</v>
      </c>
      <c r="CJ626" s="1641">
        <f t="shared" si="427"/>
        <v>0</v>
      </c>
      <c r="CK626" s="1641">
        <f t="shared" si="427"/>
        <v>0</v>
      </c>
      <c r="CL626" s="1889">
        <v>11.954000000000001</v>
      </c>
      <c r="CM626" s="1889">
        <v>0</v>
      </c>
      <c r="CN626" s="1889">
        <v>0</v>
      </c>
      <c r="CO626" s="1889">
        <v>0</v>
      </c>
      <c r="CP626" s="1641"/>
      <c r="CQ626" s="1640"/>
      <c r="CR626" s="1640"/>
      <c r="CS626" s="1640"/>
    </row>
    <row r="627" spans="1:107" ht="15" thickBot="1" x14ac:dyDescent="0.2">
      <c r="A627" s="1541" t="s">
        <v>94</v>
      </c>
      <c r="B627" s="1523" t="s">
        <v>79</v>
      </c>
      <c r="C627" s="1523" t="s">
        <v>80</v>
      </c>
      <c r="D627" s="1523" t="s">
        <v>125</v>
      </c>
      <c r="E627" s="1523" t="s">
        <v>216</v>
      </c>
      <c r="F627" s="1523"/>
      <c r="G627" s="1667" t="s">
        <v>95</v>
      </c>
      <c r="H627" s="1501"/>
      <c r="I627" s="1501"/>
      <c r="J627" s="1630"/>
      <c r="K627" s="1630"/>
      <c r="L627" s="1631"/>
      <c r="M627" s="1631"/>
      <c r="N627" s="1631"/>
      <c r="O627" s="1631"/>
      <c r="P627" s="1631"/>
      <c r="Q627" s="1631"/>
      <c r="R627" s="1631"/>
      <c r="S627" s="1631"/>
      <c r="T627" s="1632"/>
      <c r="U627" s="1633"/>
      <c r="V627" s="1633"/>
      <c r="W627" s="1634"/>
      <c r="X627" s="1634"/>
      <c r="Y627" s="1634"/>
      <c r="Z627" s="1635"/>
      <c r="AA627" s="1634">
        <f>AB627-Z627</f>
        <v>0</v>
      </c>
      <c r="AB627" s="1634"/>
      <c r="AC627" s="1508">
        <f t="shared" si="431"/>
        <v>0</v>
      </c>
      <c r="AD627" s="1509">
        <f t="shared" si="432"/>
        <v>0</v>
      </c>
      <c r="AE627" s="1509">
        <f t="shared" si="437"/>
        <v>0</v>
      </c>
      <c r="AF627" s="1509">
        <f t="shared" si="437"/>
        <v>0</v>
      </c>
      <c r="AG627" s="1509">
        <f t="shared" si="437"/>
        <v>0</v>
      </c>
      <c r="AH627" s="1490">
        <f t="shared" si="417"/>
        <v>0</v>
      </c>
      <c r="AI627" s="1636">
        <f t="shared" si="434"/>
        <v>0</v>
      </c>
      <c r="AJ627" s="1636">
        <f t="shared" si="435"/>
        <v>0</v>
      </c>
      <c r="AK627" s="1636">
        <f>I627-AE627</f>
        <v>0</v>
      </c>
      <c r="AL627" s="1636">
        <f t="shared" si="418"/>
        <v>0</v>
      </c>
      <c r="AM627" s="1636">
        <f>K627-AG627</f>
        <v>0</v>
      </c>
      <c r="AN627" s="1637"/>
      <c r="AO627" s="1722">
        <v>0</v>
      </c>
      <c r="AP627" s="1638"/>
      <c r="AQ627" s="1638"/>
      <c r="AR627" s="1638"/>
      <c r="AS627" s="1639"/>
      <c r="AT627" s="1638"/>
      <c r="AU627" s="1638"/>
      <c r="AV627" s="1638"/>
      <c r="AW627" s="1639"/>
      <c r="AX627" s="1640"/>
      <c r="AY627" s="1640"/>
      <c r="AZ627" s="1640"/>
      <c r="BA627" s="1641"/>
      <c r="BB627" s="1640"/>
      <c r="BC627" s="1640"/>
      <c r="BD627" s="1640"/>
      <c r="BE627" s="1644"/>
      <c r="BF627" s="1640"/>
      <c r="BG627" s="1640"/>
      <c r="BH627" s="1640"/>
      <c r="BI627" s="1641"/>
      <c r="BJ627" s="1640"/>
      <c r="BK627" s="1640"/>
      <c r="BL627" s="1640"/>
      <c r="BM627" s="1641"/>
      <c r="BN627" s="1640"/>
      <c r="BO627" s="1640"/>
      <c r="BP627" s="1640"/>
      <c r="BQ627" s="1641"/>
      <c r="BR627" s="1640"/>
      <c r="BS627" s="1640"/>
      <c r="BT627" s="1640"/>
      <c r="BU627" s="1641"/>
      <c r="BV627" s="1640"/>
      <c r="BW627" s="1640"/>
      <c r="BX627" s="1640"/>
      <c r="BY627" s="1641"/>
      <c r="BZ627" s="1640"/>
      <c r="CA627" s="1640"/>
      <c r="CB627" s="1640"/>
      <c r="CC627" s="1641"/>
      <c r="CD627" s="1640"/>
      <c r="CE627" s="1640"/>
      <c r="CF627" s="1640"/>
      <c r="CG627" s="1642"/>
      <c r="CH627" s="1641">
        <f t="shared" si="427"/>
        <v>0</v>
      </c>
      <c r="CI627" s="1641">
        <f t="shared" si="427"/>
        <v>0</v>
      </c>
      <c r="CJ627" s="1641">
        <f t="shared" si="427"/>
        <v>0</v>
      </c>
      <c r="CK627" s="1641">
        <f t="shared" si="427"/>
        <v>0</v>
      </c>
      <c r="CL627" s="1889">
        <v>0</v>
      </c>
      <c r="CM627" s="1889">
        <v>0</v>
      </c>
      <c r="CN627" s="1889">
        <v>0</v>
      </c>
      <c r="CO627" s="1889">
        <v>0</v>
      </c>
      <c r="CP627" s="1641"/>
      <c r="CQ627" s="1640"/>
      <c r="CR627" s="1640"/>
      <c r="CS627" s="1640"/>
    </row>
    <row r="628" spans="1:107" ht="15" thickBot="1" x14ac:dyDescent="0.2">
      <c r="A628" s="1541" t="s">
        <v>96</v>
      </c>
      <c r="B628" s="1523" t="s">
        <v>79</v>
      </c>
      <c r="C628" s="1523" t="s">
        <v>80</v>
      </c>
      <c r="D628" s="1523" t="s">
        <v>125</v>
      </c>
      <c r="E628" s="1523" t="s">
        <v>216</v>
      </c>
      <c r="F628" s="1523"/>
      <c r="G628" s="1667">
        <v>310</v>
      </c>
      <c r="H628" s="1501">
        <v>50</v>
      </c>
      <c r="I628" s="1501">
        <f>2100+590.6-50-92.131</f>
        <v>2548.4690000000001</v>
      </c>
      <c r="J628" s="1630"/>
      <c r="K628" s="1630"/>
      <c r="L628" s="1631"/>
      <c r="M628" s="1631"/>
      <c r="N628" s="1631"/>
      <c r="O628" s="1631"/>
      <c r="P628" s="1631"/>
      <c r="Q628" s="1631"/>
      <c r="R628" s="1631"/>
      <c r="S628" s="1631"/>
      <c r="T628" s="1632"/>
      <c r="U628" s="1633"/>
      <c r="V628" s="1633"/>
      <c r="W628" s="1634"/>
      <c r="X628" s="1634"/>
      <c r="Y628" s="1634"/>
      <c r="Z628" s="1635"/>
      <c r="AA628" s="1634">
        <f t="shared" ref="AA628:AA662" si="438">AB628-Z628</f>
        <v>0</v>
      </c>
      <c r="AB628" s="1634"/>
      <c r="AC628" s="1508">
        <f t="shared" si="431"/>
        <v>50</v>
      </c>
      <c r="AD628" s="1509">
        <f t="shared" si="432"/>
        <v>2548.4690000000001</v>
      </c>
      <c r="AE628" s="1509">
        <f t="shared" si="437"/>
        <v>2548.4690000000001</v>
      </c>
      <c r="AF628" s="1509">
        <f t="shared" si="437"/>
        <v>0</v>
      </c>
      <c r="AG628" s="1509">
        <f t="shared" si="437"/>
        <v>0</v>
      </c>
      <c r="AH628" s="1490">
        <f t="shared" si="417"/>
        <v>0</v>
      </c>
      <c r="AI628" s="1636">
        <f t="shared" si="434"/>
        <v>0</v>
      </c>
      <c r="AJ628" s="1636">
        <f t="shared" si="435"/>
        <v>0</v>
      </c>
      <c r="AK628" s="1636">
        <f>I628-AE628</f>
        <v>0</v>
      </c>
      <c r="AL628" s="1636">
        <f t="shared" si="418"/>
        <v>0</v>
      </c>
      <c r="AM628" s="1636">
        <f>K628-AG628</f>
        <v>0</v>
      </c>
      <c r="AN628" s="1637"/>
      <c r="AO628" s="1723"/>
      <c r="AP628" s="1638"/>
      <c r="AQ628" s="1638"/>
      <c r="AR628" s="1638"/>
      <c r="AS628" s="1639"/>
      <c r="AT628" s="1638"/>
      <c r="AU628" s="1638"/>
      <c r="AV628" s="1638"/>
      <c r="AW628" s="1639"/>
      <c r="AX628" s="1640"/>
      <c r="AY628" s="1640"/>
      <c r="AZ628" s="1640"/>
      <c r="BA628" s="1641"/>
      <c r="BB628" s="1640"/>
      <c r="BC628" s="1640"/>
      <c r="BD628" s="1640"/>
      <c r="BE628" s="1644"/>
      <c r="BF628" s="1640"/>
      <c r="BG628" s="1640"/>
      <c r="BH628" s="1640"/>
      <c r="BI628" s="1641">
        <v>50</v>
      </c>
      <c r="BJ628" s="1640"/>
      <c r="BK628" s="1640"/>
      <c r="BL628" s="1640"/>
      <c r="BM628" s="1641"/>
      <c r="BN628" s="1640"/>
      <c r="BO628" s="1640"/>
      <c r="BP628" s="1640"/>
      <c r="BQ628" s="1641"/>
      <c r="BR628" s="1640"/>
      <c r="BS628" s="1640"/>
      <c r="BT628" s="1640"/>
      <c r="BU628" s="1641"/>
      <c r="BV628" s="1640"/>
      <c r="BW628" s="1640"/>
      <c r="BX628" s="1640"/>
      <c r="BY628" s="1641"/>
      <c r="BZ628" s="1640"/>
      <c r="CA628" s="1640"/>
      <c r="CB628" s="1640"/>
      <c r="CC628" s="1641"/>
      <c r="CD628" s="1640"/>
      <c r="CE628" s="1640"/>
      <c r="CF628" s="1640"/>
      <c r="CG628" s="1642"/>
      <c r="CH628" s="1641">
        <f t="shared" si="427"/>
        <v>0</v>
      </c>
      <c r="CI628" s="1641">
        <f t="shared" si="427"/>
        <v>2548.4690000000001</v>
      </c>
      <c r="CJ628" s="1641">
        <f t="shared" si="427"/>
        <v>0</v>
      </c>
      <c r="CK628" s="1641">
        <f t="shared" si="427"/>
        <v>0</v>
      </c>
      <c r="CL628" s="1889">
        <v>0</v>
      </c>
      <c r="CM628" s="1889">
        <v>529.21900000000005</v>
      </c>
      <c r="CN628" s="1889">
        <v>0</v>
      </c>
      <c r="CO628" s="1889">
        <v>0</v>
      </c>
      <c r="CP628" s="1641"/>
      <c r="CQ628" s="1640">
        <v>2019.25</v>
      </c>
      <c r="CR628" s="1640"/>
      <c r="CS628" s="1640"/>
    </row>
    <row r="629" spans="1:107" ht="15" thickBot="1" x14ac:dyDescent="0.2">
      <c r="A629" s="1541" t="s">
        <v>97</v>
      </c>
      <c r="B629" s="1523" t="s">
        <v>79</v>
      </c>
      <c r="C629" s="1523" t="s">
        <v>80</v>
      </c>
      <c r="D629" s="1523" t="s">
        <v>125</v>
      </c>
      <c r="E629" s="1523" t="s">
        <v>216</v>
      </c>
      <c r="F629" s="1523"/>
      <c r="G629" s="1667">
        <v>340</v>
      </c>
      <c r="H629" s="1501">
        <v>380</v>
      </c>
      <c r="I629" s="1501"/>
      <c r="J629" s="1630"/>
      <c r="K629" s="1630"/>
      <c r="L629" s="1631"/>
      <c r="M629" s="1631"/>
      <c r="N629" s="1631"/>
      <c r="O629" s="1631"/>
      <c r="P629" s="1631"/>
      <c r="Q629" s="1631"/>
      <c r="R629" s="1631"/>
      <c r="S629" s="1631"/>
      <c r="T629" s="1632"/>
      <c r="U629" s="1633"/>
      <c r="V629" s="1633"/>
      <c r="W629" s="1634"/>
      <c r="X629" s="1634"/>
      <c r="Y629" s="1634"/>
      <c r="Z629" s="1635"/>
      <c r="AA629" s="1634">
        <f t="shared" si="438"/>
        <v>0</v>
      </c>
      <c r="AB629" s="1634"/>
      <c r="AC629" s="1508">
        <f t="shared" si="431"/>
        <v>380</v>
      </c>
      <c r="AD629" s="1509">
        <f t="shared" si="432"/>
        <v>0</v>
      </c>
      <c r="AE629" s="1509">
        <f t="shared" si="437"/>
        <v>0</v>
      </c>
      <c r="AF629" s="1509">
        <f t="shared" si="437"/>
        <v>0</v>
      </c>
      <c r="AG629" s="1509">
        <f t="shared" si="437"/>
        <v>0</v>
      </c>
      <c r="AH629" s="1490">
        <f t="shared" si="417"/>
        <v>0</v>
      </c>
      <c r="AI629" s="1636">
        <f t="shared" si="434"/>
        <v>0</v>
      </c>
      <c r="AJ629" s="1636">
        <f t="shared" si="435"/>
        <v>0</v>
      </c>
      <c r="AK629" s="1636">
        <f>I629-AE629</f>
        <v>0</v>
      </c>
      <c r="AL629" s="1636">
        <f t="shared" si="418"/>
        <v>0</v>
      </c>
      <c r="AM629" s="1636">
        <f>K629-AG629</f>
        <v>0</v>
      </c>
      <c r="AN629" s="1637"/>
      <c r="AO629" s="1722">
        <v>23.7</v>
      </c>
      <c r="AP629" s="1638"/>
      <c r="AQ629" s="1638"/>
      <c r="AR629" s="1638"/>
      <c r="AS629" s="1639"/>
      <c r="AT629" s="1638"/>
      <c r="AU629" s="1638"/>
      <c r="AV629" s="1638"/>
      <c r="AW629" s="1639"/>
      <c r="AX629" s="1640"/>
      <c r="AY629" s="1640"/>
      <c r="AZ629" s="1640"/>
      <c r="BA629" s="1641"/>
      <c r="BB629" s="1640"/>
      <c r="BC629" s="1640"/>
      <c r="BD629" s="1640"/>
      <c r="BE629" s="1644">
        <v>250</v>
      </c>
      <c r="BF629" s="1640"/>
      <c r="BG629" s="1640"/>
      <c r="BH629" s="1640"/>
      <c r="BI629" s="1641"/>
      <c r="BJ629" s="1640"/>
      <c r="BK629" s="1640"/>
      <c r="BL629" s="1640"/>
      <c r="BM629" s="1641">
        <v>100</v>
      </c>
      <c r="BN629" s="1640"/>
      <c r="BO629" s="1640"/>
      <c r="BP629" s="1640"/>
      <c r="BQ629" s="1641">
        <v>6.3</v>
      </c>
      <c r="BR629" s="1640"/>
      <c r="BS629" s="1640"/>
      <c r="BT629" s="1640"/>
      <c r="BU629" s="1641"/>
      <c r="BV629" s="1640"/>
      <c r="BW629" s="1640"/>
      <c r="BX629" s="1640"/>
      <c r="BY629" s="1641"/>
      <c r="BZ629" s="1640"/>
      <c r="CA629" s="1640"/>
      <c r="CB629" s="1640"/>
      <c r="CC629" s="1641"/>
      <c r="CD629" s="1640"/>
      <c r="CE629" s="1640"/>
      <c r="CF629" s="1640"/>
      <c r="CG629" s="1642"/>
      <c r="CH629" s="1641">
        <f t="shared" si="427"/>
        <v>0</v>
      </c>
      <c r="CI629" s="1641">
        <f t="shared" si="427"/>
        <v>0</v>
      </c>
      <c r="CJ629" s="1641">
        <f t="shared" si="427"/>
        <v>0</v>
      </c>
      <c r="CK629" s="1641">
        <f t="shared" si="427"/>
        <v>0</v>
      </c>
      <c r="CL629" s="1889">
        <v>0</v>
      </c>
      <c r="CM629" s="1889">
        <v>0</v>
      </c>
      <c r="CN629" s="1889">
        <v>0</v>
      </c>
      <c r="CO629" s="1889">
        <v>0</v>
      </c>
      <c r="CP629" s="1641"/>
      <c r="CQ629" s="1640"/>
      <c r="CR629" s="1640"/>
      <c r="CS629" s="1640"/>
    </row>
    <row r="630" spans="1:107" ht="15" thickBot="1" x14ac:dyDescent="0.2">
      <c r="A630" s="1528" t="s">
        <v>767</v>
      </c>
      <c r="B630" s="1530" t="s">
        <v>79</v>
      </c>
      <c r="C630" s="1530" t="s">
        <v>80</v>
      </c>
      <c r="D630" s="1530" t="s">
        <v>125</v>
      </c>
      <c r="E630" s="1530" t="s">
        <v>216</v>
      </c>
      <c r="F630" s="1530">
        <v>612</v>
      </c>
      <c r="G630" s="1687" t="s">
        <v>766</v>
      </c>
      <c r="H630" s="1647">
        <f>I615</f>
        <v>2708.9690000000001</v>
      </c>
      <c r="I630" s="1645"/>
      <c r="J630" s="1630"/>
      <c r="K630" s="1630"/>
      <c r="L630" s="1631"/>
      <c r="M630" s="1631"/>
      <c r="N630" s="1631"/>
      <c r="O630" s="1631"/>
      <c r="P630" s="1631"/>
      <c r="Q630" s="1631"/>
      <c r="R630" s="1631"/>
      <c r="S630" s="1631"/>
      <c r="T630" s="1632"/>
      <c r="U630" s="1633"/>
      <c r="V630" s="1633"/>
      <c r="W630" s="1634"/>
      <c r="X630" s="1634"/>
      <c r="Y630" s="1634"/>
      <c r="Z630" s="1635"/>
      <c r="AA630" s="1634">
        <f t="shared" si="438"/>
        <v>0</v>
      </c>
      <c r="AB630" s="1634"/>
      <c r="AC630" s="1508"/>
      <c r="AD630" s="1509"/>
      <c r="AE630" s="1509"/>
      <c r="AF630" s="1509"/>
      <c r="AG630" s="1509"/>
      <c r="AH630" s="1490">
        <f t="shared" si="417"/>
        <v>0</v>
      </c>
      <c r="AI630" s="1636"/>
      <c r="AJ630" s="1636"/>
      <c r="AK630" s="1636"/>
      <c r="AL630" s="1636">
        <f t="shared" si="418"/>
        <v>0</v>
      </c>
      <c r="AM630" s="1636"/>
      <c r="AN630" s="1712"/>
      <c r="AO630" s="1713"/>
      <c r="AP630" s="1638"/>
      <c r="AQ630" s="1638"/>
      <c r="AR630" s="1638"/>
      <c r="AS630" s="1639"/>
      <c r="AT630" s="1638"/>
      <c r="AU630" s="1638"/>
      <c r="AV630" s="1638"/>
      <c r="AW630" s="1639"/>
      <c r="AX630" s="1640"/>
      <c r="AY630" s="1640"/>
      <c r="AZ630" s="1640"/>
      <c r="BA630" s="1641"/>
      <c r="BB630" s="1640"/>
      <c r="BC630" s="1640"/>
      <c r="BD630" s="1640"/>
      <c r="BE630" s="1644"/>
      <c r="BF630" s="1640"/>
      <c r="BG630" s="1640"/>
      <c r="BH630" s="1640"/>
      <c r="BI630" s="1641"/>
      <c r="BJ630" s="1640"/>
      <c r="BK630" s="1640"/>
      <c r="BL630" s="1640"/>
      <c r="BM630" s="1641"/>
      <c r="BN630" s="1640"/>
      <c r="BO630" s="1640"/>
      <c r="BP630" s="1640"/>
      <c r="BQ630" s="1641"/>
      <c r="BR630" s="1640"/>
      <c r="BS630" s="1640"/>
      <c r="BT630" s="1640"/>
      <c r="BU630" s="1641"/>
      <c r="BV630" s="1640"/>
      <c r="BW630" s="1640"/>
      <c r="BX630" s="1640"/>
      <c r="BY630" s="1641"/>
      <c r="BZ630" s="1640"/>
      <c r="CA630" s="1640"/>
      <c r="CB630" s="1640"/>
      <c r="CC630" s="1641"/>
      <c r="CD630" s="1640"/>
      <c r="CE630" s="1640"/>
      <c r="CF630" s="1640"/>
      <c r="CG630" s="1642"/>
      <c r="CH630" s="1641">
        <f t="shared" si="427"/>
        <v>0</v>
      </c>
      <c r="CI630" s="1641">
        <f t="shared" si="427"/>
        <v>0</v>
      </c>
      <c r="CJ630" s="1641">
        <f t="shared" si="427"/>
        <v>0</v>
      </c>
      <c r="CK630" s="1641">
        <f t="shared" si="427"/>
        <v>0</v>
      </c>
      <c r="CL630" s="1898"/>
      <c r="CM630" s="1898"/>
      <c r="CN630" s="1889">
        <v>0</v>
      </c>
      <c r="CO630" s="1898"/>
      <c r="CP630" s="1641"/>
      <c r="CQ630" s="1640"/>
      <c r="CR630" s="1640"/>
      <c r="CS630" s="1640"/>
    </row>
    <row r="631" spans="1:107" s="1886" customFormat="1" ht="27" thickBot="1" x14ac:dyDescent="0.2">
      <c r="A631" s="1873" t="s">
        <v>1283</v>
      </c>
      <c r="B631" s="1941" t="s">
        <v>79</v>
      </c>
      <c r="C631" s="1941" t="s">
        <v>80</v>
      </c>
      <c r="D631" s="1941" t="s">
        <v>125</v>
      </c>
      <c r="E631" s="1941" t="s">
        <v>216</v>
      </c>
      <c r="F631" s="1941">
        <v>600</v>
      </c>
      <c r="G631" s="1874"/>
      <c r="H631" s="1606">
        <f>H632+H646</f>
        <v>25286.82</v>
      </c>
      <c r="I631" s="1606">
        <f t="shared" ref="I631:CF631" si="439">I632+I646</f>
        <v>2306.7200000000003</v>
      </c>
      <c r="J631" s="1606">
        <f>J632+J646</f>
        <v>219</v>
      </c>
      <c r="K631" s="1606">
        <f t="shared" si="439"/>
        <v>170</v>
      </c>
      <c r="L631" s="1607"/>
      <c r="M631" s="1607"/>
      <c r="N631" s="1607"/>
      <c r="O631" s="1607"/>
      <c r="P631" s="1607"/>
      <c r="Q631" s="1607"/>
      <c r="R631" s="1607"/>
      <c r="S631" s="1607"/>
      <c r="T631" s="1608"/>
      <c r="U631" s="1609"/>
      <c r="V631" s="1609"/>
      <c r="W631" s="1610"/>
      <c r="X631" s="1610"/>
      <c r="Y631" s="1610"/>
      <c r="Z631" s="1611"/>
      <c r="AA631" s="1634">
        <f t="shared" si="438"/>
        <v>0</v>
      </c>
      <c r="AB631" s="1610"/>
      <c r="AC631" s="1612">
        <f t="shared" si="439"/>
        <v>22980.1</v>
      </c>
      <c r="AD631" s="1612">
        <f t="shared" si="439"/>
        <v>2695.7200000000003</v>
      </c>
      <c r="AE631" s="1612">
        <f t="shared" si="439"/>
        <v>2306.7200000000003</v>
      </c>
      <c r="AF631" s="1612">
        <f t="shared" si="439"/>
        <v>219</v>
      </c>
      <c r="AG631" s="1612">
        <f t="shared" si="439"/>
        <v>170</v>
      </c>
      <c r="AH631" s="1490">
        <f t="shared" si="417"/>
        <v>917.49400000000003</v>
      </c>
      <c r="AI631" s="1613">
        <f t="shared" si="439"/>
        <v>0</v>
      </c>
      <c r="AJ631" s="1613">
        <f t="shared" si="439"/>
        <v>0</v>
      </c>
      <c r="AK631" s="1613">
        <f t="shared" si="439"/>
        <v>0</v>
      </c>
      <c r="AL631" s="1636">
        <f t="shared" si="418"/>
        <v>0</v>
      </c>
      <c r="AM631" s="1613">
        <f t="shared" si="439"/>
        <v>0</v>
      </c>
      <c r="AN631" s="1614"/>
      <c r="AO631" s="1606">
        <f t="shared" si="439"/>
        <v>1990.1999999999998</v>
      </c>
      <c r="AP631" s="1606">
        <f t="shared" si="439"/>
        <v>0</v>
      </c>
      <c r="AQ631" s="1606">
        <f t="shared" si="439"/>
        <v>0</v>
      </c>
      <c r="AR631" s="1606">
        <f t="shared" si="439"/>
        <v>0</v>
      </c>
      <c r="AS631" s="1611">
        <f t="shared" si="439"/>
        <v>1765.2</v>
      </c>
      <c r="AT631" s="1606">
        <f t="shared" si="439"/>
        <v>0</v>
      </c>
      <c r="AU631" s="1606">
        <f t="shared" si="439"/>
        <v>0</v>
      </c>
      <c r="AV631" s="1606">
        <f t="shared" si="439"/>
        <v>0</v>
      </c>
      <c r="AW631" s="1611">
        <f t="shared" si="439"/>
        <v>1714.5</v>
      </c>
      <c r="AX631" s="1606">
        <f t="shared" si="439"/>
        <v>0</v>
      </c>
      <c r="AY631" s="1606">
        <f t="shared" si="439"/>
        <v>0</v>
      </c>
      <c r="AZ631" s="1606">
        <f t="shared" si="439"/>
        <v>0</v>
      </c>
      <c r="BA631" s="1614">
        <f t="shared" si="439"/>
        <v>1714.5</v>
      </c>
      <c r="BB631" s="1606">
        <f t="shared" si="439"/>
        <v>130</v>
      </c>
      <c r="BC631" s="1606">
        <f t="shared" si="439"/>
        <v>0</v>
      </c>
      <c r="BD631" s="1606">
        <f t="shared" si="439"/>
        <v>0</v>
      </c>
      <c r="BE631" s="1615">
        <f t="shared" si="439"/>
        <v>2410.1999999999998</v>
      </c>
      <c r="BF631" s="1606">
        <f t="shared" si="439"/>
        <v>0</v>
      </c>
      <c r="BG631" s="1606">
        <f t="shared" si="439"/>
        <v>0</v>
      </c>
      <c r="BH631" s="1606">
        <f t="shared" si="439"/>
        <v>0</v>
      </c>
      <c r="BI631" s="1614">
        <f t="shared" si="439"/>
        <v>2194.4349999999999</v>
      </c>
      <c r="BJ631" s="1606">
        <f t="shared" si="439"/>
        <v>0</v>
      </c>
      <c r="BK631" s="1606">
        <f t="shared" si="439"/>
        <v>0</v>
      </c>
      <c r="BL631" s="1606">
        <f t="shared" si="439"/>
        <v>0</v>
      </c>
      <c r="BM631" s="1614">
        <f t="shared" si="439"/>
        <v>1292.2149999999999</v>
      </c>
      <c r="BN631" s="1606">
        <f t="shared" si="439"/>
        <v>130</v>
      </c>
      <c r="BO631" s="1606">
        <f t="shared" si="439"/>
        <v>0</v>
      </c>
      <c r="BP631" s="1606">
        <f t="shared" si="439"/>
        <v>170</v>
      </c>
      <c r="BQ631" s="1614">
        <f t="shared" si="439"/>
        <v>3631.6959999999999</v>
      </c>
      <c r="BR631" s="1606">
        <f t="shared" si="439"/>
        <v>0</v>
      </c>
      <c r="BS631" s="1606">
        <f t="shared" si="439"/>
        <v>0</v>
      </c>
      <c r="BT631" s="1606">
        <f t="shared" si="439"/>
        <v>0</v>
      </c>
      <c r="BU631" s="1614">
        <f t="shared" si="439"/>
        <v>1927.3</v>
      </c>
      <c r="BV631" s="1606">
        <f t="shared" si="439"/>
        <v>0</v>
      </c>
      <c r="BW631" s="1606">
        <f t="shared" si="439"/>
        <v>0</v>
      </c>
      <c r="BX631" s="1606">
        <f t="shared" si="439"/>
        <v>0</v>
      </c>
      <c r="BY631" s="1614">
        <f t="shared" si="439"/>
        <v>498.38</v>
      </c>
      <c r="BZ631" s="1606">
        <f t="shared" si="439"/>
        <v>0</v>
      </c>
      <c r="CA631" s="1606">
        <f t="shared" si="439"/>
        <v>0</v>
      </c>
      <c r="CB631" s="1606">
        <f t="shared" si="439"/>
        <v>0</v>
      </c>
      <c r="CC631" s="1614">
        <f t="shared" si="439"/>
        <v>2923.98</v>
      </c>
      <c r="CD631" s="1606">
        <f t="shared" si="439"/>
        <v>0</v>
      </c>
      <c r="CE631" s="1606">
        <f t="shared" si="439"/>
        <v>0</v>
      </c>
      <c r="CF631" s="1606">
        <f t="shared" si="439"/>
        <v>0</v>
      </c>
      <c r="CG631" s="1616"/>
      <c r="CH631" s="1641">
        <f t="shared" si="427"/>
        <v>917.49400000000003</v>
      </c>
      <c r="CI631" s="1641">
        <f t="shared" si="427"/>
        <v>2046.72</v>
      </c>
      <c r="CJ631" s="1641">
        <f t="shared" si="427"/>
        <v>219</v>
      </c>
      <c r="CK631" s="1641">
        <f t="shared" si="427"/>
        <v>0</v>
      </c>
      <c r="CL631" s="1943">
        <v>917.49400000000003</v>
      </c>
      <c r="CM631" s="1943">
        <v>0</v>
      </c>
      <c r="CN631" s="1889">
        <v>219</v>
      </c>
      <c r="CO631" s="1943">
        <v>0</v>
      </c>
      <c r="CP631" s="1614">
        <f>CP632+CP646</f>
        <v>0</v>
      </c>
      <c r="CQ631" s="1606">
        <f>CQ632+CQ646</f>
        <v>2046.72</v>
      </c>
      <c r="CR631" s="1606">
        <f>CR632+CR646</f>
        <v>0</v>
      </c>
      <c r="CS631" s="1606">
        <f>CS632+CS646</f>
        <v>0</v>
      </c>
      <c r="CT631" s="1885"/>
      <c r="CU631" s="1885"/>
      <c r="CV631" s="1885"/>
      <c r="CW631" s="1885"/>
      <c r="CY631" s="1885"/>
    </row>
    <row r="632" spans="1:107" ht="53" thickBot="1" x14ac:dyDescent="0.2">
      <c r="A632" s="1748" t="s">
        <v>1135</v>
      </c>
      <c r="B632" s="1749" t="s">
        <v>79</v>
      </c>
      <c r="C632" s="1749" t="s">
        <v>80</v>
      </c>
      <c r="D632" s="1749" t="s">
        <v>125</v>
      </c>
      <c r="E632" s="1749" t="s">
        <v>216</v>
      </c>
      <c r="F632" s="1749" t="s">
        <v>765</v>
      </c>
      <c r="G632" s="1600" t="s">
        <v>766</v>
      </c>
      <c r="H632" s="1531">
        <f>H633+H634+H635+H636+H637+H638+H639+H640+H641+H642+H643+H644+H645</f>
        <v>22980.1</v>
      </c>
      <c r="I632" s="1531">
        <f t="shared" ref="I632:CF632" si="440">I633+I634+I635+I636+I637+I638+I639+I640+I641+I642+I643+I644+I645</f>
        <v>2306.7200000000003</v>
      </c>
      <c r="J632" s="1531">
        <f>J633+J634+J635+J636+J637+J638+J639+J640+J641+J642+J643+J644+J645</f>
        <v>219</v>
      </c>
      <c r="K632" s="1531">
        <f t="shared" si="440"/>
        <v>170</v>
      </c>
      <c r="L632" s="1601"/>
      <c r="M632" s="1601"/>
      <c r="N632" s="1601"/>
      <c r="O632" s="1601">
        <f t="shared" si="440"/>
        <v>0</v>
      </c>
      <c r="P632" s="1601"/>
      <c r="Q632" s="1601">
        <f t="shared" si="440"/>
        <v>0</v>
      </c>
      <c r="R632" s="1601">
        <f t="shared" si="440"/>
        <v>60</v>
      </c>
      <c r="S632" s="1601"/>
      <c r="T632" s="1602"/>
      <c r="U632" s="1533"/>
      <c r="V632" s="1533"/>
      <c r="W632" s="1534"/>
      <c r="X632" s="1534"/>
      <c r="Y632" s="1534"/>
      <c r="Z632" s="1535"/>
      <c r="AA632" s="1634">
        <f t="shared" si="438"/>
        <v>0</v>
      </c>
      <c r="AB632" s="1534"/>
      <c r="AC632" s="1603">
        <f t="shared" si="440"/>
        <v>22980.1</v>
      </c>
      <c r="AD632" s="1603">
        <f t="shared" si="440"/>
        <v>2695.7200000000003</v>
      </c>
      <c r="AE632" s="1603">
        <f t="shared" si="440"/>
        <v>2306.7200000000003</v>
      </c>
      <c r="AF632" s="1603">
        <f t="shared" si="440"/>
        <v>219</v>
      </c>
      <c r="AG632" s="1603">
        <f t="shared" si="440"/>
        <v>170</v>
      </c>
      <c r="AH632" s="1490">
        <f t="shared" si="417"/>
        <v>917.49400000000003</v>
      </c>
      <c r="AI632" s="1592">
        <f t="shared" si="440"/>
        <v>0</v>
      </c>
      <c r="AJ632" s="1592">
        <f t="shared" si="440"/>
        <v>0</v>
      </c>
      <c r="AK632" s="1592">
        <f t="shared" si="440"/>
        <v>0</v>
      </c>
      <c r="AL632" s="1592">
        <f t="shared" si="440"/>
        <v>0</v>
      </c>
      <c r="AM632" s="1592">
        <f t="shared" si="440"/>
        <v>0</v>
      </c>
      <c r="AN632" s="1717"/>
      <c r="AO632" s="1707">
        <f t="shared" si="440"/>
        <v>1990.1999999999998</v>
      </c>
      <c r="AP632" s="1531">
        <f t="shared" si="440"/>
        <v>0</v>
      </c>
      <c r="AQ632" s="1531">
        <f t="shared" si="440"/>
        <v>0</v>
      </c>
      <c r="AR632" s="1531">
        <f t="shared" si="440"/>
        <v>0</v>
      </c>
      <c r="AS632" s="1535">
        <f t="shared" si="440"/>
        <v>1765.2</v>
      </c>
      <c r="AT632" s="1531">
        <f t="shared" si="440"/>
        <v>0</v>
      </c>
      <c r="AU632" s="1531">
        <f t="shared" si="440"/>
        <v>0</v>
      </c>
      <c r="AV632" s="1531">
        <f t="shared" si="440"/>
        <v>0</v>
      </c>
      <c r="AW632" s="1535">
        <f t="shared" si="440"/>
        <v>1714.5</v>
      </c>
      <c r="AX632" s="1531">
        <f t="shared" si="440"/>
        <v>0</v>
      </c>
      <c r="AY632" s="1531">
        <f t="shared" si="440"/>
        <v>0</v>
      </c>
      <c r="AZ632" s="1531">
        <f t="shared" si="440"/>
        <v>0</v>
      </c>
      <c r="BA632" s="1538">
        <f t="shared" si="440"/>
        <v>1714.5</v>
      </c>
      <c r="BB632" s="1531">
        <f t="shared" si="440"/>
        <v>130</v>
      </c>
      <c r="BC632" s="1531">
        <f t="shared" si="440"/>
        <v>0</v>
      </c>
      <c r="BD632" s="1531">
        <f t="shared" si="440"/>
        <v>0</v>
      </c>
      <c r="BE632" s="1539">
        <f t="shared" si="440"/>
        <v>2410.1999999999998</v>
      </c>
      <c r="BF632" s="1531">
        <f t="shared" si="440"/>
        <v>0</v>
      </c>
      <c r="BG632" s="1531">
        <f t="shared" si="440"/>
        <v>0</v>
      </c>
      <c r="BH632" s="1531">
        <f t="shared" si="440"/>
        <v>0</v>
      </c>
      <c r="BI632" s="1538">
        <f t="shared" si="440"/>
        <v>2194.4349999999999</v>
      </c>
      <c r="BJ632" s="1531">
        <f t="shared" si="440"/>
        <v>0</v>
      </c>
      <c r="BK632" s="1531">
        <f t="shared" si="440"/>
        <v>0</v>
      </c>
      <c r="BL632" s="1531">
        <f t="shared" si="440"/>
        <v>0</v>
      </c>
      <c r="BM632" s="1538">
        <f t="shared" si="440"/>
        <v>1292.2149999999999</v>
      </c>
      <c r="BN632" s="1531">
        <f t="shared" si="440"/>
        <v>130</v>
      </c>
      <c r="BO632" s="1531">
        <f t="shared" si="440"/>
        <v>0</v>
      </c>
      <c r="BP632" s="1531">
        <f t="shared" si="440"/>
        <v>170</v>
      </c>
      <c r="BQ632" s="1538">
        <f t="shared" si="440"/>
        <v>3631.6959999999999</v>
      </c>
      <c r="BR632" s="1531">
        <f t="shared" si="440"/>
        <v>0</v>
      </c>
      <c r="BS632" s="1531">
        <f t="shared" si="440"/>
        <v>0</v>
      </c>
      <c r="BT632" s="1531">
        <f t="shared" si="440"/>
        <v>0</v>
      </c>
      <c r="BU632" s="1538">
        <f t="shared" si="440"/>
        <v>1927.3</v>
      </c>
      <c r="BV632" s="1531">
        <f t="shared" si="440"/>
        <v>0</v>
      </c>
      <c r="BW632" s="1531">
        <f t="shared" si="440"/>
        <v>0</v>
      </c>
      <c r="BX632" s="1531">
        <f t="shared" si="440"/>
        <v>0</v>
      </c>
      <c r="BY632" s="1538">
        <f t="shared" si="440"/>
        <v>498.38</v>
      </c>
      <c r="BZ632" s="1531">
        <f t="shared" si="440"/>
        <v>0</v>
      </c>
      <c r="CA632" s="1531">
        <f t="shared" si="440"/>
        <v>0</v>
      </c>
      <c r="CB632" s="1531">
        <f t="shared" si="440"/>
        <v>0</v>
      </c>
      <c r="CC632" s="1538">
        <f t="shared" si="440"/>
        <v>2923.98</v>
      </c>
      <c r="CD632" s="1531">
        <f t="shared" si="440"/>
        <v>0</v>
      </c>
      <c r="CE632" s="1531">
        <f t="shared" si="440"/>
        <v>0</v>
      </c>
      <c r="CF632" s="1531">
        <f t="shared" si="440"/>
        <v>0</v>
      </c>
      <c r="CG632" s="1705"/>
      <c r="CH632" s="1641">
        <f t="shared" si="427"/>
        <v>917.49400000000003</v>
      </c>
      <c r="CI632" s="1641">
        <f t="shared" si="427"/>
        <v>2046.72</v>
      </c>
      <c r="CJ632" s="1641">
        <f t="shared" si="427"/>
        <v>219</v>
      </c>
      <c r="CK632" s="1641">
        <f t="shared" si="427"/>
        <v>0</v>
      </c>
      <c r="CL632" s="1902">
        <v>917.49400000000003</v>
      </c>
      <c r="CM632" s="1902">
        <v>0</v>
      </c>
      <c r="CN632" s="1902">
        <v>219</v>
      </c>
      <c r="CO632" s="1902">
        <v>0</v>
      </c>
      <c r="CP632" s="1538">
        <f>CP633+CP634+CP635+CP636+CP637+CP638+CP639+CP640+CP641+CP642+CP643+CP644+CP645</f>
        <v>0</v>
      </c>
      <c r="CQ632" s="1531">
        <f>CQ633+CQ634+CQ635+CQ636+CQ637+CQ638+CQ639+CQ640+CQ641+CQ642+CQ643+CQ644+CQ645</f>
        <v>2046.72</v>
      </c>
      <c r="CR632" s="1531">
        <f>CR633+CR634+CR635+CR636+CR637+CR638+CR639+CR640+CR641+CR642+CR643+CR644+CR645</f>
        <v>0</v>
      </c>
      <c r="CS632" s="1531">
        <f>CS633+CS634+CS635+CS636+CS637+CS638+CS639+CS640+CS641+CS642+CS643+CS644+CS645</f>
        <v>0</v>
      </c>
    </row>
    <row r="633" spans="1:107" ht="15" thickBot="1" x14ac:dyDescent="0.2">
      <c r="A633" s="1541" t="s">
        <v>78</v>
      </c>
      <c r="B633" s="1523" t="s">
        <v>79</v>
      </c>
      <c r="C633" s="1523" t="s">
        <v>80</v>
      </c>
      <c r="D633" s="1523" t="s">
        <v>125</v>
      </c>
      <c r="E633" s="1523" t="s">
        <v>216</v>
      </c>
      <c r="F633" s="1523"/>
      <c r="G633" s="1667">
        <v>211</v>
      </c>
      <c r="H633" s="1501">
        <v>15801.5</v>
      </c>
      <c r="I633" s="1501"/>
      <c r="J633" s="1630"/>
      <c r="K633" s="1630"/>
      <c r="L633" s="1631"/>
      <c r="M633" s="1631"/>
      <c r="N633" s="1631"/>
      <c r="O633" s="1631"/>
      <c r="P633" s="1631"/>
      <c r="Q633" s="1631"/>
      <c r="R633" s="1631"/>
      <c r="S633" s="1631"/>
      <c r="T633" s="1632"/>
      <c r="U633" s="1633"/>
      <c r="V633" s="1633"/>
      <c r="W633" s="1634">
        <f>H633/12</f>
        <v>1316.7916666666667</v>
      </c>
      <c r="X633" s="1634">
        <f>AO633</f>
        <v>1316.8</v>
      </c>
      <c r="Y633" s="1634">
        <f>CC633</f>
        <v>2280.88</v>
      </c>
      <c r="Z633" s="1635">
        <v>1490.88</v>
      </c>
      <c r="AA633" s="1634">
        <f t="shared" si="438"/>
        <v>-1490.88</v>
      </c>
      <c r="AB633" s="1511">
        <f>AI633</f>
        <v>0</v>
      </c>
      <c r="AC633" s="1508">
        <f t="shared" ref="AC633:AC645" si="441">AO633+AS633+AW633+BA633+BE633+BI633+BM633+BQ633+BU633+BY633+CC633+CH633</f>
        <v>15801.499999999998</v>
      </c>
      <c r="AD633" s="1509">
        <f t="shared" ref="AD633:AD645" si="442">AE633+AF633+AG633</f>
        <v>0</v>
      </c>
      <c r="AE633" s="1509">
        <f t="shared" ref="AE633:AG645" si="443">AP633+AT633+AX633+BB633+BF633+BJ633+BN633+BR633+BV633+BZ633+CD633+CI633</f>
        <v>0</v>
      </c>
      <c r="AF633" s="1509">
        <f t="shared" si="443"/>
        <v>0</v>
      </c>
      <c r="AG633" s="1509">
        <f t="shared" si="443"/>
        <v>0</v>
      </c>
      <c r="AH633" s="1490">
        <f t="shared" si="417"/>
        <v>352.74</v>
      </c>
      <c r="AI633" s="1636">
        <f t="shared" ref="AI633:AI645" si="444">H633-AC633</f>
        <v>0</v>
      </c>
      <c r="AJ633" s="1636">
        <f t="shared" ref="AJ633:AJ645" si="445">AK633+AL633+AM633</f>
        <v>0</v>
      </c>
      <c r="AK633" s="1636">
        <f t="shared" ref="AK633:AM648" si="446">I633-AE633</f>
        <v>0</v>
      </c>
      <c r="AL633" s="1636">
        <f t="shared" si="446"/>
        <v>0</v>
      </c>
      <c r="AM633" s="1636">
        <f t="shared" si="446"/>
        <v>0</v>
      </c>
      <c r="AN633" s="1637">
        <f>AI633/4</f>
        <v>0</v>
      </c>
      <c r="AO633" s="1722">
        <v>1316.8</v>
      </c>
      <c r="AP633" s="1638"/>
      <c r="AQ633" s="1638"/>
      <c r="AR633" s="1638"/>
      <c r="AS633" s="1963">
        <v>1316.8</v>
      </c>
      <c r="AT633" s="1638"/>
      <c r="AU633" s="1638"/>
      <c r="AV633" s="1638"/>
      <c r="AW633" s="1722">
        <v>1316.8</v>
      </c>
      <c r="AX633" s="1640"/>
      <c r="AY633" s="1640"/>
      <c r="AZ633" s="1640"/>
      <c r="BA633" s="1964">
        <v>1316.8</v>
      </c>
      <c r="BB633" s="1640"/>
      <c r="BC633" s="1640"/>
      <c r="BD633" s="1640"/>
      <c r="BE633" s="1964">
        <v>1316.8</v>
      </c>
      <c r="BF633" s="1640"/>
      <c r="BG633" s="1640"/>
      <c r="BH633" s="1640"/>
      <c r="BI633" s="1641">
        <f>422.285+1316.8</f>
        <v>1739.085</v>
      </c>
      <c r="BJ633" s="1640"/>
      <c r="BK633" s="1640"/>
      <c r="BL633" s="1640"/>
      <c r="BM633" s="1641">
        <v>894.51499999999999</v>
      </c>
      <c r="BN633" s="1640"/>
      <c r="BO633" s="1640"/>
      <c r="BP633" s="1640"/>
      <c r="BQ633" s="1641">
        <f>1316.8*2</f>
        <v>2633.6</v>
      </c>
      <c r="BR633" s="1640"/>
      <c r="BS633" s="1640"/>
      <c r="BT633" s="1640"/>
      <c r="BU633" s="1641">
        <v>987.6</v>
      </c>
      <c r="BV633" s="1640"/>
      <c r="BW633" s="1640"/>
      <c r="BX633" s="1640"/>
      <c r="BY633" s="1641">
        <f>296.28+32.8</f>
        <v>329.08</v>
      </c>
      <c r="BZ633" s="1640"/>
      <c r="CA633" s="1640"/>
      <c r="CB633" s="1640"/>
      <c r="CC633" s="1641">
        <f>790+1490.88</f>
        <v>2280.88</v>
      </c>
      <c r="CD633" s="1640"/>
      <c r="CE633" s="1640"/>
      <c r="CF633" s="1640"/>
      <c r="CG633" s="1642"/>
      <c r="CH633" s="1641">
        <f t="shared" si="427"/>
        <v>352.74</v>
      </c>
      <c r="CI633" s="1641">
        <f t="shared" si="427"/>
        <v>0</v>
      </c>
      <c r="CJ633" s="1641">
        <f t="shared" si="427"/>
        <v>0</v>
      </c>
      <c r="CK633" s="1641">
        <f t="shared" si="427"/>
        <v>0</v>
      </c>
      <c r="CL633" s="1889">
        <v>352.74</v>
      </c>
      <c r="CM633" s="1889">
        <v>0</v>
      </c>
      <c r="CN633" s="1889">
        <v>0</v>
      </c>
      <c r="CO633" s="1889">
        <v>0</v>
      </c>
      <c r="CP633" s="1641"/>
      <c r="CQ633" s="1640"/>
      <c r="CR633" s="1640"/>
      <c r="CS633" s="1640"/>
      <c r="CX633" s="1558">
        <f>H633/12*10-AC633</f>
        <v>-2633.5833333333303</v>
      </c>
      <c r="CY633" s="1558">
        <f>AI633/3</f>
        <v>0</v>
      </c>
      <c r="CZ633" s="1558">
        <f>H633/12</f>
        <v>1316.7916666666667</v>
      </c>
      <c r="DA633" s="1559"/>
      <c r="DB633" s="1559"/>
      <c r="DC633" s="1559"/>
    </row>
    <row r="634" spans="1:107" ht="15" thickBot="1" x14ac:dyDescent="0.2">
      <c r="A634" s="1541" t="s">
        <v>103</v>
      </c>
      <c r="B634" s="1523" t="s">
        <v>79</v>
      </c>
      <c r="C634" s="1523" t="s">
        <v>80</v>
      </c>
      <c r="D634" s="1523" t="s">
        <v>125</v>
      </c>
      <c r="E634" s="1523" t="s">
        <v>216</v>
      </c>
      <c r="F634" s="1523"/>
      <c r="G634" s="1667">
        <v>212</v>
      </c>
      <c r="H634" s="1501"/>
      <c r="I634" s="1501"/>
      <c r="J634" s="1630"/>
      <c r="K634" s="1630"/>
      <c r="L634" s="1631"/>
      <c r="M634" s="1631"/>
      <c r="N634" s="1631"/>
      <c r="O634" s="1631"/>
      <c r="P634" s="1631"/>
      <c r="Q634" s="1631"/>
      <c r="R634" s="1631"/>
      <c r="S634" s="1631"/>
      <c r="T634" s="1632"/>
      <c r="U634" s="1633"/>
      <c r="V634" s="1633"/>
      <c r="W634" s="1634"/>
      <c r="X634" s="1634"/>
      <c r="Y634" s="1634">
        <f>CC634</f>
        <v>0</v>
      </c>
      <c r="Z634" s="1635">
        <f>AI634-X634</f>
        <v>0</v>
      </c>
      <c r="AA634" s="1634">
        <f t="shared" si="438"/>
        <v>0</v>
      </c>
      <c r="AB634" s="1511"/>
      <c r="AC634" s="1508">
        <f t="shared" si="441"/>
        <v>0</v>
      </c>
      <c r="AD634" s="1509">
        <f t="shared" si="442"/>
        <v>0</v>
      </c>
      <c r="AE634" s="1509">
        <f t="shared" si="443"/>
        <v>0</v>
      </c>
      <c r="AF634" s="1509">
        <f t="shared" si="443"/>
        <v>0</v>
      </c>
      <c r="AG634" s="1509">
        <f t="shared" si="443"/>
        <v>0</v>
      </c>
      <c r="AH634" s="1490">
        <f t="shared" si="417"/>
        <v>0</v>
      </c>
      <c r="AI634" s="1636">
        <f t="shared" si="444"/>
        <v>0</v>
      </c>
      <c r="AJ634" s="1636">
        <f t="shared" si="445"/>
        <v>0</v>
      </c>
      <c r="AK634" s="1636">
        <f t="shared" si="446"/>
        <v>0</v>
      </c>
      <c r="AL634" s="1636">
        <f t="shared" si="446"/>
        <v>0</v>
      </c>
      <c r="AM634" s="1636">
        <f t="shared" si="446"/>
        <v>0</v>
      </c>
      <c r="AN634" s="1637"/>
      <c r="AO634" s="1722">
        <v>0</v>
      </c>
      <c r="AP634" s="1638"/>
      <c r="AQ634" s="1638"/>
      <c r="AR634" s="1638"/>
      <c r="AS634" s="1963">
        <v>0</v>
      </c>
      <c r="AT634" s="1638"/>
      <c r="AU634" s="1638"/>
      <c r="AV634" s="1638"/>
      <c r="AW634" s="1722">
        <v>0</v>
      </c>
      <c r="AX634" s="1640"/>
      <c r="AY634" s="1640"/>
      <c r="AZ634" s="1640"/>
      <c r="BA634" s="1964">
        <v>0</v>
      </c>
      <c r="BB634" s="1640"/>
      <c r="BC634" s="1640"/>
      <c r="BD634" s="1640"/>
      <c r="BE634" s="1964">
        <v>0</v>
      </c>
      <c r="BF634" s="1640"/>
      <c r="BG634" s="1640"/>
      <c r="BH634" s="1640"/>
      <c r="BI634" s="1641"/>
      <c r="BJ634" s="1640"/>
      <c r="BK634" s="1640"/>
      <c r="BL634" s="1640"/>
      <c r="BM634" s="1641"/>
      <c r="BN634" s="1640"/>
      <c r="BO634" s="1640"/>
      <c r="BP634" s="1640"/>
      <c r="BQ634" s="1641"/>
      <c r="BR634" s="1640"/>
      <c r="BS634" s="1640"/>
      <c r="BT634" s="1640"/>
      <c r="BU634" s="1641"/>
      <c r="BV634" s="1640"/>
      <c r="BW634" s="1640"/>
      <c r="BX634" s="1640"/>
      <c r="BY634" s="1641"/>
      <c r="BZ634" s="1640"/>
      <c r="CA634" s="1640"/>
      <c r="CB634" s="1640"/>
      <c r="CC634" s="1641"/>
      <c r="CD634" s="1640"/>
      <c r="CE634" s="1640"/>
      <c r="CF634" s="1640"/>
      <c r="CG634" s="1642"/>
      <c r="CH634" s="1641">
        <f t="shared" si="427"/>
        <v>0</v>
      </c>
      <c r="CI634" s="1641">
        <f t="shared" si="427"/>
        <v>0</v>
      </c>
      <c r="CJ634" s="1641">
        <f t="shared" si="427"/>
        <v>0</v>
      </c>
      <c r="CK634" s="1641">
        <f t="shared" si="427"/>
        <v>0</v>
      </c>
      <c r="CL634" s="1889">
        <v>0</v>
      </c>
      <c r="CM634" s="1889">
        <v>0</v>
      </c>
      <c r="CN634" s="1889">
        <v>0</v>
      </c>
      <c r="CO634" s="1889">
        <v>0</v>
      </c>
      <c r="CP634" s="1641"/>
      <c r="CQ634" s="1640"/>
      <c r="CR634" s="1640"/>
      <c r="CS634" s="1640"/>
      <c r="CX634" s="1558"/>
      <c r="CY634" s="1558"/>
      <c r="CZ634" s="1558"/>
      <c r="DA634" s="1559"/>
      <c r="DB634" s="1559"/>
      <c r="DC634" s="1559"/>
    </row>
    <row r="635" spans="1:107" ht="15" thickBot="1" x14ac:dyDescent="0.2">
      <c r="A635" s="1541" t="s">
        <v>84</v>
      </c>
      <c r="B635" s="1523" t="s">
        <v>79</v>
      </c>
      <c r="C635" s="1523" t="s">
        <v>80</v>
      </c>
      <c r="D635" s="1523" t="s">
        <v>125</v>
      </c>
      <c r="E635" s="1523" t="s">
        <v>216</v>
      </c>
      <c r="F635" s="1523"/>
      <c r="G635" s="1667">
        <v>213</v>
      </c>
      <c r="H635" s="1501">
        <v>4772.1000000000004</v>
      </c>
      <c r="I635" s="1501"/>
      <c r="J635" s="1630"/>
      <c r="K635" s="1630"/>
      <c r="L635" s="1631"/>
      <c r="M635" s="1631"/>
      <c r="N635" s="1631"/>
      <c r="O635" s="1631"/>
      <c r="P635" s="1631"/>
      <c r="Q635" s="1631"/>
      <c r="R635" s="1631"/>
      <c r="S635" s="1631"/>
      <c r="T635" s="1632"/>
      <c r="U635" s="1633"/>
      <c r="V635" s="1633"/>
      <c r="W635" s="1634">
        <f>H635/12</f>
        <v>397.67500000000001</v>
      </c>
      <c r="X635" s="1634">
        <f>AO635</f>
        <v>397.7</v>
      </c>
      <c r="Y635" s="1634">
        <f>CC635</f>
        <v>643.1</v>
      </c>
      <c r="Z635" s="1635">
        <v>643.1</v>
      </c>
      <c r="AA635" s="1634">
        <f t="shared" si="438"/>
        <v>-643.1</v>
      </c>
      <c r="AB635" s="1511">
        <f>AI635</f>
        <v>0</v>
      </c>
      <c r="AC635" s="1508">
        <f t="shared" si="441"/>
        <v>4772.0999999999995</v>
      </c>
      <c r="AD635" s="1509">
        <f t="shared" si="442"/>
        <v>0</v>
      </c>
      <c r="AE635" s="1509">
        <f t="shared" si="443"/>
        <v>0</v>
      </c>
      <c r="AF635" s="1509">
        <f t="shared" si="443"/>
        <v>0</v>
      </c>
      <c r="AG635" s="1509">
        <f t="shared" si="443"/>
        <v>0</v>
      </c>
      <c r="AH635" s="1490">
        <f t="shared" si="417"/>
        <v>152.19999999999999</v>
      </c>
      <c r="AI635" s="1636">
        <f t="shared" si="444"/>
        <v>0</v>
      </c>
      <c r="AJ635" s="1636">
        <f t="shared" si="445"/>
        <v>0</v>
      </c>
      <c r="AK635" s="1636">
        <f t="shared" si="446"/>
        <v>0</v>
      </c>
      <c r="AL635" s="1636">
        <f t="shared" si="446"/>
        <v>0</v>
      </c>
      <c r="AM635" s="1636">
        <f t="shared" si="446"/>
        <v>0</v>
      </c>
      <c r="AN635" s="1637">
        <f>AI635/4</f>
        <v>0</v>
      </c>
      <c r="AO635" s="1722">
        <v>397.7</v>
      </c>
      <c r="AP635" s="1638"/>
      <c r="AQ635" s="1638"/>
      <c r="AR635" s="1638"/>
      <c r="AS635" s="1963">
        <v>397.7</v>
      </c>
      <c r="AT635" s="1638"/>
      <c r="AU635" s="1638"/>
      <c r="AV635" s="1638"/>
      <c r="AW635" s="1722">
        <v>397.7</v>
      </c>
      <c r="AX635" s="1640"/>
      <c r="AY635" s="1640"/>
      <c r="AZ635" s="1640"/>
      <c r="BA635" s="1964">
        <v>397.7</v>
      </c>
      <c r="BB635" s="1640"/>
      <c r="BC635" s="1640"/>
      <c r="BD635" s="1640"/>
      <c r="BE635" s="1964">
        <v>397.7</v>
      </c>
      <c r="BF635" s="1640"/>
      <c r="BG635" s="1640"/>
      <c r="BH635" s="1640"/>
      <c r="BI635" s="1641">
        <f>397.7</f>
        <v>397.7</v>
      </c>
      <c r="BJ635" s="1640"/>
      <c r="BK635" s="1640"/>
      <c r="BL635" s="1640"/>
      <c r="BM635" s="1641">
        <v>397.7</v>
      </c>
      <c r="BN635" s="1640"/>
      <c r="BO635" s="1640"/>
      <c r="BP635" s="1640"/>
      <c r="BQ635" s="1641">
        <f>397.7*2</f>
        <v>795.4</v>
      </c>
      <c r="BR635" s="1640"/>
      <c r="BS635" s="1640"/>
      <c r="BT635" s="1640"/>
      <c r="BU635" s="1641">
        <v>298.2</v>
      </c>
      <c r="BV635" s="1640"/>
      <c r="BW635" s="1640"/>
      <c r="BX635" s="1640"/>
      <c r="BY635" s="1641">
        <v>99.3</v>
      </c>
      <c r="BZ635" s="1640"/>
      <c r="CA635" s="1640"/>
      <c r="CB635" s="1640"/>
      <c r="CC635" s="1641">
        <v>643.1</v>
      </c>
      <c r="CD635" s="1640"/>
      <c r="CE635" s="1640"/>
      <c r="CF635" s="1640"/>
      <c r="CG635" s="1642"/>
      <c r="CH635" s="1641">
        <f t="shared" si="427"/>
        <v>152.19999999999999</v>
      </c>
      <c r="CI635" s="1641">
        <f t="shared" si="427"/>
        <v>0</v>
      </c>
      <c r="CJ635" s="1641">
        <f t="shared" si="427"/>
        <v>0</v>
      </c>
      <c r="CK635" s="1641">
        <f t="shared" si="427"/>
        <v>0</v>
      </c>
      <c r="CL635" s="1889">
        <v>152.19999999999999</v>
      </c>
      <c r="CM635" s="1889">
        <v>0</v>
      </c>
      <c r="CN635" s="1889">
        <v>0</v>
      </c>
      <c r="CO635" s="1889">
        <v>0</v>
      </c>
      <c r="CP635" s="1641"/>
      <c r="CQ635" s="1640"/>
      <c r="CR635" s="1640"/>
      <c r="CS635" s="1640"/>
      <c r="CX635" s="1558">
        <f>H635/12*10-AC635</f>
        <v>-795.34999999999945</v>
      </c>
      <c r="CY635" s="1558">
        <f>AI635/3</f>
        <v>0</v>
      </c>
      <c r="CZ635" s="1558">
        <f>H635/12</f>
        <v>397.67500000000001</v>
      </c>
      <c r="DA635" s="1559"/>
      <c r="DB635" s="1559"/>
      <c r="DC635" s="1559"/>
    </row>
    <row r="636" spans="1:107" ht="15" thickBot="1" x14ac:dyDescent="0.2">
      <c r="A636" s="1541" t="s">
        <v>85</v>
      </c>
      <c r="B636" s="1523" t="s">
        <v>79</v>
      </c>
      <c r="C636" s="1523" t="s">
        <v>80</v>
      </c>
      <c r="D636" s="1523" t="s">
        <v>125</v>
      </c>
      <c r="E636" s="1523" t="s">
        <v>216</v>
      </c>
      <c r="F636" s="1523"/>
      <c r="G636" s="1667">
        <v>221</v>
      </c>
      <c r="H636" s="1501"/>
      <c r="I636" s="1501"/>
      <c r="J636" s="1630"/>
      <c r="K636" s="1630"/>
      <c r="L636" s="1631"/>
      <c r="M636" s="1631"/>
      <c r="N636" s="1631"/>
      <c r="O636" s="1631"/>
      <c r="P636" s="1631"/>
      <c r="Q636" s="1631"/>
      <c r="R636" s="1631"/>
      <c r="S636" s="1631"/>
      <c r="T636" s="1632"/>
      <c r="U636" s="1633"/>
      <c r="V636" s="1633"/>
      <c r="W636" s="1634"/>
      <c r="X636" s="1634"/>
      <c r="Y636" s="1634"/>
      <c r="Z636" s="1635"/>
      <c r="AA636" s="1634">
        <f t="shared" si="438"/>
        <v>0</v>
      </c>
      <c r="AB636" s="1634"/>
      <c r="AC636" s="1508">
        <f t="shared" si="441"/>
        <v>0</v>
      </c>
      <c r="AD636" s="1509">
        <f t="shared" si="442"/>
        <v>0</v>
      </c>
      <c r="AE636" s="1509">
        <f t="shared" si="443"/>
        <v>0</v>
      </c>
      <c r="AF636" s="1509">
        <f t="shared" si="443"/>
        <v>0</v>
      </c>
      <c r="AG636" s="1509">
        <f t="shared" si="443"/>
        <v>0</v>
      </c>
      <c r="AH636" s="1490">
        <f t="shared" si="417"/>
        <v>0</v>
      </c>
      <c r="AI636" s="1636">
        <f t="shared" si="444"/>
        <v>0</v>
      </c>
      <c r="AJ636" s="1636">
        <f t="shared" si="445"/>
        <v>0</v>
      </c>
      <c r="AK636" s="1636">
        <f t="shared" si="446"/>
        <v>0</v>
      </c>
      <c r="AL636" s="1636">
        <f t="shared" si="446"/>
        <v>0</v>
      </c>
      <c r="AM636" s="1636">
        <f t="shared" si="446"/>
        <v>0</v>
      </c>
      <c r="AN636" s="1637"/>
      <c r="AO636" s="1722">
        <v>0</v>
      </c>
      <c r="AP636" s="1638"/>
      <c r="AQ636" s="1638"/>
      <c r="AR636" s="1638"/>
      <c r="AS636" s="1963">
        <v>0</v>
      </c>
      <c r="AT636" s="1638"/>
      <c r="AU636" s="1638"/>
      <c r="AV636" s="1638"/>
      <c r="AW636" s="1639"/>
      <c r="AX636" s="1640"/>
      <c r="AY636" s="1640"/>
      <c r="AZ636" s="1640"/>
      <c r="BA636" s="1641"/>
      <c r="BB636" s="1640"/>
      <c r="BC636" s="1640"/>
      <c r="BD636" s="1640"/>
      <c r="BE636" s="1644"/>
      <c r="BF636" s="1640"/>
      <c r="BG636" s="1640"/>
      <c r="BH636" s="1640"/>
      <c r="BI636" s="1641"/>
      <c r="BJ636" s="1640"/>
      <c r="BK636" s="1640"/>
      <c r="BL636" s="1640"/>
      <c r="BM636" s="1641"/>
      <c r="BN636" s="1640"/>
      <c r="BO636" s="1640"/>
      <c r="BP636" s="1640"/>
      <c r="BQ636" s="1641"/>
      <c r="BR636" s="1640"/>
      <c r="BS636" s="1640"/>
      <c r="BT636" s="1640"/>
      <c r="BU636" s="1641"/>
      <c r="BV636" s="1640"/>
      <c r="BW636" s="1640"/>
      <c r="BX636" s="1640"/>
      <c r="BY636" s="1641"/>
      <c r="BZ636" s="1640"/>
      <c r="CA636" s="1640"/>
      <c r="CB636" s="1640"/>
      <c r="CC636" s="1641"/>
      <c r="CD636" s="1640"/>
      <c r="CE636" s="1640"/>
      <c r="CF636" s="1640"/>
      <c r="CG636" s="1642"/>
      <c r="CH636" s="1641">
        <f t="shared" si="427"/>
        <v>0</v>
      </c>
      <c r="CI636" s="1641">
        <f t="shared" si="427"/>
        <v>0</v>
      </c>
      <c r="CJ636" s="1641">
        <f t="shared" si="427"/>
        <v>0</v>
      </c>
      <c r="CK636" s="1641">
        <f t="shared" si="427"/>
        <v>0</v>
      </c>
      <c r="CL636" s="1889">
        <v>0</v>
      </c>
      <c r="CM636" s="1889">
        <v>0</v>
      </c>
      <c r="CN636" s="1889">
        <v>0</v>
      </c>
      <c r="CO636" s="1889">
        <v>0</v>
      </c>
      <c r="CP636" s="1641"/>
      <c r="CQ636" s="1640"/>
      <c r="CR636" s="1640"/>
      <c r="CS636" s="1640"/>
    </row>
    <row r="637" spans="1:107" ht="15" thickBot="1" x14ac:dyDescent="0.2">
      <c r="A637" s="1541" t="s">
        <v>86</v>
      </c>
      <c r="B637" s="1523" t="s">
        <v>79</v>
      </c>
      <c r="C637" s="1523" t="s">
        <v>80</v>
      </c>
      <c r="D637" s="1523" t="s">
        <v>125</v>
      </c>
      <c r="E637" s="1523" t="s">
        <v>216</v>
      </c>
      <c r="F637" s="1523"/>
      <c r="G637" s="1667">
        <v>222</v>
      </c>
      <c r="H637" s="1501"/>
      <c r="I637" s="1501"/>
      <c r="J637" s="1630"/>
      <c r="K637" s="1630"/>
      <c r="L637" s="1631"/>
      <c r="M637" s="1631"/>
      <c r="N637" s="1631"/>
      <c r="O637" s="1631"/>
      <c r="P637" s="1631"/>
      <c r="Q637" s="1631"/>
      <c r="R637" s="1631"/>
      <c r="S637" s="1631"/>
      <c r="T637" s="1632"/>
      <c r="U637" s="1633"/>
      <c r="V637" s="1633"/>
      <c r="W637" s="1634"/>
      <c r="X637" s="1634"/>
      <c r="Y637" s="1634"/>
      <c r="Z637" s="1635"/>
      <c r="AA637" s="1634">
        <f t="shared" si="438"/>
        <v>0</v>
      </c>
      <c r="AB637" s="1634"/>
      <c r="AC637" s="1508">
        <f t="shared" si="441"/>
        <v>0</v>
      </c>
      <c r="AD637" s="1509">
        <f t="shared" si="442"/>
        <v>0</v>
      </c>
      <c r="AE637" s="1509">
        <f t="shared" si="443"/>
        <v>0</v>
      </c>
      <c r="AF637" s="1509">
        <f t="shared" si="443"/>
        <v>0</v>
      </c>
      <c r="AG637" s="1509">
        <f t="shared" si="443"/>
        <v>0</v>
      </c>
      <c r="AH637" s="1490">
        <f t="shared" si="417"/>
        <v>0</v>
      </c>
      <c r="AI637" s="1636">
        <f t="shared" si="444"/>
        <v>0</v>
      </c>
      <c r="AJ637" s="1636">
        <f t="shared" si="445"/>
        <v>0</v>
      </c>
      <c r="AK637" s="1636">
        <f t="shared" si="446"/>
        <v>0</v>
      </c>
      <c r="AL637" s="1636">
        <f t="shared" si="446"/>
        <v>0</v>
      </c>
      <c r="AM637" s="1636">
        <f t="shared" si="446"/>
        <v>0</v>
      </c>
      <c r="AN637" s="1637"/>
      <c r="AO637" s="1722">
        <v>0</v>
      </c>
      <c r="AP637" s="1638"/>
      <c r="AQ637" s="1638"/>
      <c r="AR637" s="1638"/>
      <c r="AS637" s="1963">
        <v>0</v>
      </c>
      <c r="AT637" s="1638"/>
      <c r="AU637" s="1638"/>
      <c r="AV637" s="1638"/>
      <c r="AW637" s="1639"/>
      <c r="AX637" s="1640"/>
      <c r="AY637" s="1640"/>
      <c r="AZ637" s="1640"/>
      <c r="BA637" s="1641"/>
      <c r="BB637" s="1640"/>
      <c r="BC637" s="1640"/>
      <c r="BD637" s="1640"/>
      <c r="BE637" s="1644"/>
      <c r="BF637" s="1640"/>
      <c r="BG637" s="1640"/>
      <c r="BH637" s="1640"/>
      <c r="BI637" s="1641"/>
      <c r="BJ637" s="1640"/>
      <c r="BK637" s="1640"/>
      <c r="BL637" s="1640"/>
      <c r="BM637" s="1641"/>
      <c r="BN637" s="1640"/>
      <c r="BO637" s="1640"/>
      <c r="BP637" s="1640"/>
      <c r="BQ637" s="1641"/>
      <c r="BR637" s="1640"/>
      <c r="BS637" s="1640"/>
      <c r="BT637" s="1640"/>
      <c r="BU637" s="1641"/>
      <c r="BV637" s="1640"/>
      <c r="BW637" s="1640"/>
      <c r="BX637" s="1640"/>
      <c r="BY637" s="1641"/>
      <c r="BZ637" s="1640"/>
      <c r="CA637" s="1640"/>
      <c r="CB637" s="1640"/>
      <c r="CC637" s="1641"/>
      <c r="CD637" s="1640"/>
      <c r="CE637" s="1640"/>
      <c r="CF637" s="1640"/>
      <c r="CG637" s="1642"/>
      <c r="CH637" s="1641">
        <f t="shared" si="427"/>
        <v>0</v>
      </c>
      <c r="CI637" s="1641">
        <f t="shared" si="427"/>
        <v>0</v>
      </c>
      <c r="CJ637" s="1641">
        <f t="shared" si="427"/>
        <v>0</v>
      </c>
      <c r="CK637" s="1641">
        <f t="shared" si="427"/>
        <v>0</v>
      </c>
      <c r="CL637" s="1889">
        <v>0</v>
      </c>
      <c r="CM637" s="1889">
        <v>0</v>
      </c>
      <c r="CN637" s="1889">
        <v>0</v>
      </c>
      <c r="CO637" s="1889">
        <v>0</v>
      </c>
      <c r="CP637" s="1641"/>
      <c r="CQ637" s="1640"/>
      <c r="CR637" s="1640"/>
      <c r="CS637" s="1640"/>
    </row>
    <row r="638" spans="1:107" ht="15" thickBot="1" x14ac:dyDescent="0.2">
      <c r="A638" s="1541" t="s">
        <v>87</v>
      </c>
      <c r="B638" s="1523" t="s">
        <v>79</v>
      </c>
      <c r="C638" s="1523" t="s">
        <v>80</v>
      </c>
      <c r="D638" s="1523" t="s">
        <v>125</v>
      </c>
      <c r="E638" s="1523" t="s">
        <v>216</v>
      </c>
      <c r="F638" s="1523"/>
      <c r="G638" s="1667">
        <v>223</v>
      </c>
      <c r="H638" s="1501">
        <v>610.1</v>
      </c>
      <c r="I638" s="1501"/>
      <c r="J638" s="1630"/>
      <c r="K638" s="1630"/>
      <c r="L638" s="1631"/>
      <c r="M638" s="1631"/>
      <c r="N638" s="1631"/>
      <c r="O638" s="1631"/>
      <c r="P638" s="1631"/>
      <c r="Q638" s="1631"/>
      <c r="R638" s="1631"/>
      <c r="S638" s="1631"/>
      <c r="T638" s="1632"/>
      <c r="U638" s="1633"/>
      <c r="V638" s="1633"/>
      <c r="W638" s="1634"/>
      <c r="X638" s="1634"/>
      <c r="Y638" s="1634"/>
      <c r="Z638" s="1635"/>
      <c r="AA638" s="1634">
        <f t="shared" si="438"/>
        <v>0</v>
      </c>
      <c r="AB638" s="1634"/>
      <c r="AC638" s="1508">
        <f t="shared" si="441"/>
        <v>610.09999999999991</v>
      </c>
      <c r="AD638" s="1509">
        <f t="shared" si="442"/>
        <v>0</v>
      </c>
      <c r="AE638" s="1509">
        <f t="shared" si="443"/>
        <v>0</v>
      </c>
      <c r="AF638" s="1509">
        <f t="shared" si="443"/>
        <v>0</v>
      </c>
      <c r="AG638" s="1509">
        <f t="shared" si="443"/>
        <v>0</v>
      </c>
      <c r="AH638" s="1490">
        <f t="shared" si="417"/>
        <v>82.5</v>
      </c>
      <c r="AI638" s="1636">
        <f t="shared" si="444"/>
        <v>0</v>
      </c>
      <c r="AJ638" s="1636">
        <f t="shared" si="445"/>
        <v>0</v>
      </c>
      <c r="AK638" s="1636">
        <f t="shared" si="446"/>
        <v>0</v>
      </c>
      <c r="AL638" s="1636">
        <f t="shared" si="446"/>
        <v>0</v>
      </c>
      <c r="AM638" s="1636">
        <f t="shared" si="446"/>
        <v>0</v>
      </c>
      <c r="AN638" s="1637"/>
      <c r="AO638" s="1722">
        <v>50.8</v>
      </c>
      <c r="AP638" s="1638"/>
      <c r="AQ638" s="1638"/>
      <c r="AR638" s="1638"/>
      <c r="AS638" s="1963">
        <v>50.7</v>
      </c>
      <c r="AT638" s="1638"/>
      <c r="AU638" s="1638"/>
      <c r="AV638" s="1638"/>
      <c r="AW638" s="1639"/>
      <c r="AX638" s="1640"/>
      <c r="AY638" s="1640"/>
      <c r="AZ638" s="1640"/>
      <c r="BA638" s="1641"/>
      <c r="BB638" s="1640"/>
      <c r="BC638" s="1640"/>
      <c r="BD638" s="1640"/>
      <c r="BE638" s="1644">
        <v>115.3</v>
      </c>
      <c r="BF638" s="1640"/>
      <c r="BG638" s="1640"/>
      <c r="BH638" s="1640"/>
      <c r="BI638" s="1641">
        <v>57.65</v>
      </c>
      <c r="BJ638" s="1640"/>
      <c r="BK638" s="1640"/>
      <c r="BL638" s="1640"/>
      <c r="BM638" s="1641"/>
      <c r="BN638" s="1640"/>
      <c r="BO638" s="1640"/>
      <c r="BP638" s="1640"/>
      <c r="BQ638" s="1641">
        <v>57.65</v>
      </c>
      <c r="BR638" s="1640"/>
      <c r="BS638" s="1640"/>
      <c r="BT638" s="1640"/>
      <c r="BU638" s="1641">
        <v>125.5</v>
      </c>
      <c r="BV638" s="1640"/>
      <c r="BW638" s="1640"/>
      <c r="BX638" s="1640"/>
      <c r="BY638" s="1641">
        <v>70</v>
      </c>
      <c r="BZ638" s="1640"/>
      <c r="CA638" s="1640"/>
      <c r="CB638" s="1640"/>
      <c r="CC638" s="1641"/>
      <c r="CD638" s="1640"/>
      <c r="CE638" s="1640"/>
      <c r="CF638" s="1640"/>
      <c r="CG638" s="1642"/>
      <c r="CH638" s="1641">
        <f t="shared" si="427"/>
        <v>82.5</v>
      </c>
      <c r="CI638" s="1641">
        <f t="shared" si="427"/>
        <v>0</v>
      </c>
      <c r="CJ638" s="1641">
        <f t="shared" si="427"/>
        <v>0</v>
      </c>
      <c r="CK638" s="1641">
        <f t="shared" si="427"/>
        <v>0</v>
      </c>
      <c r="CL638" s="1889">
        <v>82.5</v>
      </c>
      <c r="CM638" s="1889">
        <v>0</v>
      </c>
      <c r="CN638" s="1889">
        <v>0</v>
      </c>
      <c r="CO638" s="1889">
        <v>0</v>
      </c>
      <c r="CP638" s="1641"/>
      <c r="CQ638" s="1640"/>
      <c r="CR638" s="1640"/>
      <c r="CS638" s="1640"/>
    </row>
    <row r="639" spans="1:107" ht="15" thickBot="1" x14ac:dyDescent="0.2">
      <c r="A639" s="1541" t="s">
        <v>134</v>
      </c>
      <c r="B639" s="1523" t="s">
        <v>79</v>
      </c>
      <c r="C639" s="1523" t="s">
        <v>80</v>
      </c>
      <c r="D639" s="1523" t="s">
        <v>125</v>
      </c>
      <c r="E639" s="1523" t="s">
        <v>216</v>
      </c>
      <c r="F639" s="1523"/>
      <c r="G639" s="1667">
        <v>224</v>
      </c>
      <c r="H639" s="1501"/>
      <c r="I639" s="1501"/>
      <c r="J639" s="1630"/>
      <c r="K639" s="1630"/>
      <c r="L639" s="1631"/>
      <c r="M639" s="1631"/>
      <c r="N639" s="1631"/>
      <c r="O639" s="1631"/>
      <c r="P639" s="1631"/>
      <c r="Q639" s="1631"/>
      <c r="R639" s="1631"/>
      <c r="S639" s="1631"/>
      <c r="T639" s="1632"/>
      <c r="U639" s="1633"/>
      <c r="V639" s="1633"/>
      <c r="W639" s="1634"/>
      <c r="X639" s="1634"/>
      <c r="Y639" s="1634"/>
      <c r="Z639" s="1635"/>
      <c r="AA639" s="1634">
        <f t="shared" si="438"/>
        <v>0</v>
      </c>
      <c r="AB639" s="1634"/>
      <c r="AC639" s="1508">
        <f t="shared" si="441"/>
        <v>0</v>
      </c>
      <c r="AD639" s="1509">
        <f t="shared" si="442"/>
        <v>0</v>
      </c>
      <c r="AE639" s="1509">
        <f t="shared" si="443"/>
        <v>0</v>
      </c>
      <c r="AF639" s="1509">
        <f t="shared" si="443"/>
        <v>0</v>
      </c>
      <c r="AG639" s="1509">
        <f t="shared" si="443"/>
        <v>0</v>
      </c>
      <c r="AH639" s="1490">
        <f t="shared" si="417"/>
        <v>0</v>
      </c>
      <c r="AI639" s="1636">
        <f t="shared" si="444"/>
        <v>0</v>
      </c>
      <c r="AJ639" s="1636">
        <f t="shared" si="445"/>
        <v>0</v>
      </c>
      <c r="AK639" s="1636">
        <f t="shared" si="446"/>
        <v>0</v>
      </c>
      <c r="AL639" s="1636">
        <f t="shared" si="446"/>
        <v>0</v>
      </c>
      <c r="AM639" s="1636">
        <f t="shared" si="446"/>
        <v>0</v>
      </c>
      <c r="AN639" s="1637"/>
      <c r="AO639" s="1722">
        <v>0</v>
      </c>
      <c r="AP639" s="1638"/>
      <c r="AQ639" s="1638"/>
      <c r="AR639" s="1638"/>
      <c r="AS639" s="1963">
        <v>0</v>
      </c>
      <c r="AT639" s="1638"/>
      <c r="AU639" s="1638"/>
      <c r="AV639" s="1638"/>
      <c r="AW639" s="1639"/>
      <c r="AX639" s="1640"/>
      <c r="AY639" s="1640"/>
      <c r="AZ639" s="1640"/>
      <c r="BA639" s="1641"/>
      <c r="BB639" s="1640"/>
      <c r="BC639" s="1640"/>
      <c r="BD639" s="1640"/>
      <c r="BE639" s="1644"/>
      <c r="BF639" s="1640"/>
      <c r="BG639" s="1640"/>
      <c r="BH639" s="1640"/>
      <c r="BI639" s="1641"/>
      <c r="BJ639" s="1640"/>
      <c r="BK639" s="1640"/>
      <c r="BL639" s="1640"/>
      <c r="BM639" s="1641"/>
      <c r="BN639" s="1640"/>
      <c r="BO639" s="1640"/>
      <c r="BP639" s="1640"/>
      <c r="BQ639" s="1641"/>
      <c r="BR639" s="1640"/>
      <c r="BS639" s="1640"/>
      <c r="BT639" s="1640"/>
      <c r="BU639" s="1641"/>
      <c r="BV639" s="1640"/>
      <c r="BW639" s="1640"/>
      <c r="BX639" s="1640"/>
      <c r="BY639" s="1641"/>
      <c r="BZ639" s="1640"/>
      <c r="CA639" s="1640"/>
      <c r="CB639" s="1640"/>
      <c r="CC639" s="1641"/>
      <c r="CD639" s="1640"/>
      <c r="CE639" s="1640"/>
      <c r="CF639" s="1640"/>
      <c r="CG639" s="1642"/>
      <c r="CH639" s="1641">
        <f t="shared" si="427"/>
        <v>0</v>
      </c>
      <c r="CI639" s="1641">
        <f t="shared" si="427"/>
        <v>0</v>
      </c>
      <c r="CJ639" s="1641">
        <f t="shared" si="427"/>
        <v>0</v>
      </c>
      <c r="CK639" s="1641">
        <f t="shared" si="427"/>
        <v>0</v>
      </c>
      <c r="CL639" s="1889">
        <v>0</v>
      </c>
      <c r="CM639" s="1889">
        <v>0</v>
      </c>
      <c r="CN639" s="1889">
        <v>0</v>
      </c>
      <c r="CO639" s="1889">
        <v>0</v>
      </c>
      <c r="CP639" s="1641"/>
      <c r="CQ639" s="1640"/>
      <c r="CR639" s="1640"/>
      <c r="CS639" s="1640"/>
    </row>
    <row r="640" spans="1:107" ht="15" thickBot="1" x14ac:dyDescent="0.2">
      <c r="A640" s="1541" t="s">
        <v>90</v>
      </c>
      <c r="B640" s="1523" t="s">
        <v>79</v>
      </c>
      <c r="C640" s="1523" t="s">
        <v>80</v>
      </c>
      <c r="D640" s="1523" t="s">
        <v>125</v>
      </c>
      <c r="E640" s="1523" t="s">
        <v>216</v>
      </c>
      <c r="F640" s="1523"/>
      <c r="G640" s="1667">
        <v>225</v>
      </c>
      <c r="H640" s="1501">
        <f>11+110</f>
        <v>121</v>
      </c>
      <c r="I640" s="1501"/>
      <c r="J640" s="1630">
        <f>552-V640</f>
        <v>219</v>
      </c>
      <c r="K640" s="1630"/>
      <c r="L640" s="1631"/>
      <c r="M640" s="1631"/>
      <c r="N640" s="1631"/>
      <c r="O640" s="1631"/>
      <c r="P640" s="1631"/>
      <c r="Q640" s="1631"/>
      <c r="R640" s="1631"/>
      <c r="S640" s="1631"/>
      <c r="T640" s="1632"/>
      <c r="U640" s="1633"/>
      <c r="V640" s="1633">
        <v>333</v>
      </c>
      <c r="W640" s="1634"/>
      <c r="X640" s="1634"/>
      <c r="Y640" s="1634"/>
      <c r="Z640" s="1635"/>
      <c r="AA640" s="1634">
        <f t="shared" si="438"/>
        <v>0</v>
      </c>
      <c r="AB640" s="1634"/>
      <c r="AC640" s="1508">
        <f t="shared" si="441"/>
        <v>121</v>
      </c>
      <c r="AD640" s="1509">
        <f t="shared" si="442"/>
        <v>219</v>
      </c>
      <c r="AE640" s="1509">
        <f t="shared" si="443"/>
        <v>0</v>
      </c>
      <c r="AF640" s="1509">
        <f t="shared" si="443"/>
        <v>219</v>
      </c>
      <c r="AG640" s="1509">
        <f t="shared" si="443"/>
        <v>0</v>
      </c>
      <c r="AH640" s="1490">
        <f t="shared" si="417"/>
        <v>0</v>
      </c>
      <c r="AI640" s="1636">
        <f t="shared" si="444"/>
        <v>0</v>
      </c>
      <c r="AJ640" s="1636">
        <f t="shared" si="445"/>
        <v>0</v>
      </c>
      <c r="AK640" s="1636">
        <f t="shared" si="446"/>
        <v>0</v>
      </c>
      <c r="AL640" s="1636">
        <f t="shared" si="446"/>
        <v>0</v>
      </c>
      <c r="AM640" s="1636">
        <f t="shared" si="446"/>
        <v>0</v>
      </c>
      <c r="AN640" s="1637"/>
      <c r="AO640" s="1723"/>
      <c r="AP640" s="1638"/>
      <c r="AQ640" s="1638"/>
      <c r="AR640" s="1638"/>
      <c r="AS640" s="1639"/>
      <c r="AT640" s="1638"/>
      <c r="AU640" s="1638"/>
      <c r="AV640" s="1638"/>
      <c r="AW640" s="1639"/>
      <c r="AX640" s="1640"/>
      <c r="AY640" s="1640"/>
      <c r="AZ640" s="1640"/>
      <c r="BA640" s="1641"/>
      <c r="BB640" s="1640"/>
      <c r="BC640" s="1640"/>
      <c r="BD640" s="1640"/>
      <c r="BE640" s="1644">
        <v>11</v>
      </c>
      <c r="BF640" s="1640"/>
      <c r="BG640" s="1640"/>
      <c r="BH640" s="1640"/>
      <c r="BI640" s="1641"/>
      <c r="BJ640" s="1640"/>
      <c r="BK640" s="1640"/>
      <c r="BL640" s="1640"/>
      <c r="BM640" s="1641"/>
      <c r="BN640" s="1640"/>
      <c r="BO640" s="1640"/>
      <c r="BP640" s="1640"/>
      <c r="BQ640" s="1641">
        <v>110</v>
      </c>
      <c r="BR640" s="1640"/>
      <c r="BS640" s="1640"/>
      <c r="BT640" s="1640"/>
      <c r="BU640" s="1641"/>
      <c r="BV640" s="1640"/>
      <c r="BW640" s="1640"/>
      <c r="BX640" s="1640"/>
      <c r="BY640" s="1641"/>
      <c r="BZ640" s="1640"/>
      <c r="CA640" s="1640"/>
      <c r="CB640" s="1640"/>
      <c r="CC640" s="1641"/>
      <c r="CD640" s="1640"/>
      <c r="CE640" s="1640"/>
      <c r="CF640" s="1640"/>
      <c r="CG640" s="1642"/>
      <c r="CH640" s="1641">
        <f t="shared" si="427"/>
        <v>0</v>
      </c>
      <c r="CI640" s="1641">
        <f t="shared" si="427"/>
        <v>0</v>
      </c>
      <c r="CJ640" s="1641">
        <f t="shared" si="427"/>
        <v>219</v>
      </c>
      <c r="CK640" s="1641">
        <f t="shared" si="427"/>
        <v>0</v>
      </c>
      <c r="CL640" s="1889">
        <v>0</v>
      </c>
      <c r="CM640" s="1889">
        <v>0</v>
      </c>
      <c r="CN640" s="1889">
        <v>219</v>
      </c>
      <c r="CO640" s="1889">
        <v>0</v>
      </c>
      <c r="CP640" s="1641"/>
      <c r="CQ640" s="1640"/>
      <c r="CR640" s="1640"/>
      <c r="CS640" s="1640"/>
    </row>
    <row r="641" spans="1:107" ht="15" thickBot="1" x14ac:dyDescent="0.2">
      <c r="A641" s="1541" t="s">
        <v>91</v>
      </c>
      <c r="B641" s="1523" t="s">
        <v>79</v>
      </c>
      <c r="C641" s="1523" t="s">
        <v>80</v>
      </c>
      <c r="D641" s="1523" t="s">
        <v>125</v>
      </c>
      <c r="E641" s="1523" t="s">
        <v>216</v>
      </c>
      <c r="F641" s="1523"/>
      <c r="G641" s="1667">
        <v>226</v>
      </c>
      <c r="H641" s="1501">
        <f>35+19</f>
        <v>54</v>
      </c>
      <c r="I641" s="1501">
        <v>260</v>
      </c>
      <c r="J641" s="1630"/>
      <c r="K641" s="1630">
        <v>170</v>
      </c>
      <c r="L641" s="1631"/>
      <c r="M641" s="1631"/>
      <c r="N641" s="1631">
        <v>300</v>
      </c>
      <c r="O641" s="1631"/>
      <c r="P641" s="1631"/>
      <c r="Q641" s="1631"/>
      <c r="R641" s="1631">
        <v>60</v>
      </c>
      <c r="S641" s="1631">
        <v>1250</v>
      </c>
      <c r="T641" s="1632"/>
      <c r="U641" s="1633"/>
      <c r="V641" s="1633"/>
      <c r="W641" s="1634"/>
      <c r="X641" s="1634"/>
      <c r="Y641" s="1634"/>
      <c r="Z641" s="1635"/>
      <c r="AA641" s="1634">
        <f t="shared" si="438"/>
        <v>0</v>
      </c>
      <c r="AB641" s="1634"/>
      <c r="AC641" s="1508">
        <f t="shared" si="441"/>
        <v>54</v>
      </c>
      <c r="AD641" s="1509">
        <f t="shared" si="442"/>
        <v>430</v>
      </c>
      <c r="AE641" s="1509">
        <f t="shared" si="443"/>
        <v>260</v>
      </c>
      <c r="AF641" s="1509">
        <f t="shared" si="443"/>
        <v>0</v>
      </c>
      <c r="AG641" s="1509">
        <f t="shared" si="443"/>
        <v>170</v>
      </c>
      <c r="AH641" s="1490">
        <f t="shared" si="417"/>
        <v>0</v>
      </c>
      <c r="AI641" s="1636">
        <f t="shared" si="444"/>
        <v>0</v>
      </c>
      <c r="AJ641" s="1636">
        <f t="shared" si="445"/>
        <v>0</v>
      </c>
      <c r="AK641" s="1636">
        <f t="shared" si="446"/>
        <v>0</v>
      </c>
      <c r="AL641" s="1636">
        <f t="shared" si="446"/>
        <v>0</v>
      </c>
      <c r="AM641" s="1636">
        <f t="shared" si="446"/>
        <v>0</v>
      </c>
      <c r="AN641" s="1637"/>
      <c r="AO641" s="1723"/>
      <c r="AP641" s="1638"/>
      <c r="AQ641" s="1638"/>
      <c r="AR641" s="1638"/>
      <c r="AS641" s="1639"/>
      <c r="AT641" s="1638"/>
      <c r="AU641" s="1638"/>
      <c r="AV641" s="1638"/>
      <c r="AW641" s="1639"/>
      <c r="AX641" s="1640"/>
      <c r="AY641" s="1640"/>
      <c r="AZ641" s="1640"/>
      <c r="BA641" s="1641"/>
      <c r="BB641" s="1640"/>
      <c r="BC641" s="1640"/>
      <c r="BD641" s="1640"/>
      <c r="BE641" s="1644">
        <v>18.954000000000001</v>
      </c>
      <c r="BF641" s="1640"/>
      <c r="BG641" s="1640"/>
      <c r="BH641" s="1640"/>
      <c r="BI641" s="1641"/>
      <c r="BJ641" s="1640"/>
      <c r="BK641" s="1640"/>
      <c r="BL641" s="1640"/>
      <c r="BM641" s="1641"/>
      <c r="BN641" s="1640">
        <v>130</v>
      </c>
      <c r="BO641" s="1640"/>
      <c r="BP641" s="1640">
        <v>170</v>
      </c>
      <c r="BQ641" s="1641">
        <v>35.045999999999999</v>
      </c>
      <c r="BR641" s="1640"/>
      <c r="BS641" s="1640"/>
      <c r="BT641" s="1640"/>
      <c r="BU641" s="1641"/>
      <c r="BV641" s="1640"/>
      <c r="BW641" s="1640"/>
      <c r="BX641" s="1640"/>
      <c r="BY641" s="1641"/>
      <c r="BZ641" s="1640"/>
      <c r="CA641" s="1640"/>
      <c r="CB641" s="1640"/>
      <c r="CC641" s="1641"/>
      <c r="CD641" s="1640"/>
      <c r="CE641" s="1640"/>
      <c r="CF641" s="1640"/>
      <c r="CG641" s="1642"/>
      <c r="CH641" s="1641">
        <f t="shared" si="427"/>
        <v>0</v>
      </c>
      <c r="CI641" s="1641">
        <f t="shared" si="427"/>
        <v>130</v>
      </c>
      <c r="CJ641" s="1641">
        <f t="shared" si="427"/>
        <v>0</v>
      </c>
      <c r="CK641" s="1641">
        <f t="shared" si="427"/>
        <v>0</v>
      </c>
      <c r="CL641" s="1889">
        <v>0</v>
      </c>
      <c r="CM641" s="1889">
        <v>130</v>
      </c>
      <c r="CN641" s="1889">
        <v>0</v>
      </c>
      <c r="CO641" s="1889">
        <v>0</v>
      </c>
      <c r="CP641" s="1641"/>
      <c r="CQ641" s="1640"/>
      <c r="CR641" s="1640"/>
      <c r="CS641" s="1640"/>
    </row>
    <row r="642" spans="1:107" ht="15" thickBot="1" x14ac:dyDescent="0.2">
      <c r="A642" s="1541" t="s">
        <v>94</v>
      </c>
      <c r="B642" s="1523" t="s">
        <v>79</v>
      </c>
      <c r="C642" s="1523" t="s">
        <v>80</v>
      </c>
      <c r="D642" s="1523" t="s">
        <v>125</v>
      </c>
      <c r="E642" s="1523" t="s">
        <v>216</v>
      </c>
      <c r="F642" s="1523"/>
      <c r="G642" s="1667">
        <v>290</v>
      </c>
      <c r="H642" s="1501">
        <v>1321.4</v>
      </c>
      <c r="I642" s="1501"/>
      <c r="J642" s="1630"/>
      <c r="K642" s="1630"/>
      <c r="L642" s="1631"/>
      <c r="M642" s="1631"/>
      <c r="N642" s="1631"/>
      <c r="O642" s="1631"/>
      <c r="P642" s="1631"/>
      <c r="Q642" s="1631"/>
      <c r="R642" s="1631"/>
      <c r="S642" s="1631"/>
      <c r="T642" s="1632"/>
      <c r="U642" s="1633"/>
      <c r="V642" s="1633"/>
      <c r="W642" s="1634"/>
      <c r="X642" s="1634"/>
      <c r="Y642" s="1634"/>
      <c r="Z642" s="1635"/>
      <c r="AA642" s="1634">
        <f t="shared" si="438"/>
        <v>0</v>
      </c>
      <c r="AB642" s="1634"/>
      <c r="AC642" s="1508">
        <f t="shared" si="441"/>
        <v>1321.4</v>
      </c>
      <c r="AD642" s="1509">
        <f t="shared" si="442"/>
        <v>0</v>
      </c>
      <c r="AE642" s="1509">
        <f t="shared" si="443"/>
        <v>0</v>
      </c>
      <c r="AF642" s="1509">
        <f t="shared" si="443"/>
        <v>0</v>
      </c>
      <c r="AG642" s="1509">
        <f t="shared" si="443"/>
        <v>0</v>
      </c>
      <c r="AH642" s="1490">
        <f t="shared" si="417"/>
        <v>330.05399999999997</v>
      </c>
      <c r="AI642" s="1636">
        <f t="shared" si="444"/>
        <v>0</v>
      </c>
      <c r="AJ642" s="1636">
        <f t="shared" si="445"/>
        <v>0</v>
      </c>
      <c r="AK642" s="1636">
        <f t="shared" si="446"/>
        <v>0</v>
      </c>
      <c r="AL642" s="1636">
        <f t="shared" si="446"/>
        <v>0</v>
      </c>
      <c r="AM642" s="1636">
        <f t="shared" si="446"/>
        <v>0</v>
      </c>
      <c r="AN642" s="1637"/>
      <c r="AO642" s="1722">
        <v>110.1</v>
      </c>
      <c r="AP642" s="1638"/>
      <c r="AQ642" s="1638"/>
      <c r="AR642" s="1638"/>
      <c r="AS642" s="1639"/>
      <c r="AT642" s="1638"/>
      <c r="AU642" s="1638"/>
      <c r="AV642" s="1638"/>
      <c r="AW642" s="1639"/>
      <c r="AX642" s="1640"/>
      <c r="AY642" s="1640"/>
      <c r="AZ642" s="1640"/>
      <c r="BA642" s="1641"/>
      <c r="BB642" s="1640"/>
      <c r="BC642" s="1640"/>
      <c r="BD642" s="1640"/>
      <c r="BE642" s="1644">
        <f>330.4+34.846</f>
        <v>365.24599999999998</v>
      </c>
      <c r="BF642" s="1640"/>
      <c r="BG642" s="1640"/>
      <c r="BH642" s="1640"/>
      <c r="BI642" s="1641"/>
      <c r="BJ642" s="1640"/>
      <c r="BK642" s="1640"/>
      <c r="BL642" s="1640"/>
      <c r="BM642" s="1641"/>
      <c r="BN642" s="1640"/>
      <c r="BO642" s="1640"/>
      <c r="BP642" s="1640"/>
      <c r="BQ642" s="1641"/>
      <c r="BR642" s="1640"/>
      <c r="BS642" s="1640"/>
      <c r="BT642" s="1640"/>
      <c r="BU642" s="1641">
        <v>516</v>
      </c>
      <c r="BV642" s="1640"/>
      <c r="BW642" s="1640"/>
      <c r="BX642" s="1640"/>
      <c r="BY642" s="1641"/>
      <c r="BZ642" s="1640"/>
      <c r="CA642" s="1640"/>
      <c r="CB642" s="1640"/>
      <c r="CC642" s="1641"/>
      <c r="CD642" s="1640"/>
      <c r="CE642" s="1640"/>
      <c r="CF642" s="1640"/>
      <c r="CG642" s="1642"/>
      <c r="CH642" s="1641">
        <f t="shared" si="427"/>
        <v>330.05399999999997</v>
      </c>
      <c r="CI642" s="1641">
        <f t="shared" si="427"/>
        <v>0</v>
      </c>
      <c r="CJ642" s="1641">
        <f t="shared" si="427"/>
        <v>0</v>
      </c>
      <c r="CK642" s="1641">
        <f t="shared" si="427"/>
        <v>0</v>
      </c>
      <c r="CL642" s="1889">
        <v>330.05399999999997</v>
      </c>
      <c r="CM642" s="1889">
        <v>0</v>
      </c>
      <c r="CN642" s="1889">
        <v>0</v>
      </c>
      <c r="CO642" s="1889">
        <v>0</v>
      </c>
      <c r="CP642" s="1641"/>
      <c r="CQ642" s="1640"/>
      <c r="CR642" s="1640"/>
      <c r="CS642" s="1640"/>
    </row>
    <row r="643" spans="1:107" ht="15" thickBot="1" x14ac:dyDescent="0.2">
      <c r="A643" s="1541" t="s">
        <v>94</v>
      </c>
      <c r="B643" s="1523" t="s">
        <v>79</v>
      </c>
      <c r="C643" s="1523" t="s">
        <v>80</v>
      </c>
      <c r="D643" s="1523" t="s">
        <v>125</v>
      </c>
      <c r="E643" s="1523" t="s">
        <v>216</v>
      </c>
      <c r="F643" s="1523"/>
      <c r="G643" s="1667" t="s">
        <v>95</v>
      </c>
      <c r="H643" s="1501"/>
      <c r="I643" s="1501"/>
      <c r="J643" s="1630"/>
      <c r="K643" s="1630"/>
      <c r="L643" s="1631"/>
      <c r="M643" s="1631"/>
      <c r="N643" s="1631"/>
      <c r="O643" s="1631"/>
      <c r="P643" s="1631"/>
      <c r="Q643" s="1631"/>
      <c r="R643" s="1631"/>
      <c r="S643" s="1631"/>
      <c r="T643" s="1632"/>
      <c r="U643" s="1633"/>
      <c r="V643" s="1633"/>
      <c r="W643" s="1634"/>
      <c r="X643" s="1634"/>
      <c r="Y643" s="1634"/>
      <c r="Z643" s="1635"/>
      <c r="AA643" s="1634">
        <f t="shared" si="438"/>
        <v>0</v>
      </c>
      <c r="AB643" s="1634"/>
      <c r="AC643" s="1508">
        <f t="shared" si="441"/>
        <v>0</v>
      </c>
      <c r="AD643" s="1509">
        <f t="shared" si="442"/>
        <v>0</v>
      </c>
      <c r="AE643" s="1509">
        <f t="shared" si="443"/>
        <v>0</v>
      </c>
      <c r="AF643" s="1509">
        <f t="shared" si="443"/>
        <v>0</v>
      </c>
      <c r="AG643" s="1509">
        <f t="shared" si="443"/>
        <v>0</v>
      </c>
      <c r="AH643" s="1490">
        <f t="shared" si="417"/>
        <v>0</v>
      </c>
      <c r="AI643" s="1636">
        <f t="shared" si="444"/>
        <v>0</v>
      </c>
      <c r="AJ643" s="1636">
        <f t="shared" si="445"/>
        <v>0</v>
      </c>
      <c r="AK643" s="1636">
        <f t="shared" si="446"/>
        <v>0</v>
      </c>
      <c r="AL643" s="1636">
        <f t="shared" si="446"/>
        <v>0</v>
      </c>
      <c r="AM643" s="1636">
        <f t="shared" si="446"/>
        <v>0</v>
      </c>
      <c r="AN643" s="1637"/>
      <c r="AO643" s="1722">
        <v>0</v>
      </c>
      <c r="AP643" s="1638"/>
      <c r="AQ643" s="1638"/>
      <c r="AR643" s="1638"/>
      <c r="AS643" s="1639"/>
      <c r="AT643" s="1638"/>
      <c r="AU643" s="1638"/>
      <c r="AV643" s="1638"/>
      <c r="AW643" s="1639"/>
      <c r="AX643" s="1640"/>
      <c r="AY643" s="1640"/>
      <c r="AZ643" s="1640"/>
      <c r="BA643" s="1641"/>
      <c r="BB643" s="1640"/>
      <c r="BC643" s="1640"/>
      <c r="BD643" s="1640"/>
      <c r="BE643" s="1644"/>
      <c r="BF643" s="1640"/>
      <c r="BG643" s="1640"/>
      <c r="BH643" s="1640"/>
      <c r="BI643" s="1641"/>
      <c r="BJ643" s="1640"/>
      <c r="BK643" s="1640"/>
      <c r="BL643" s="1640"/>
      <c r="BM643" s="1641"/>
      <c r="BN643" s="1640"/>
      <c r="BO643" s="1640"/>
      <c r="BP643" s="1640"/>
      <c r="BQ643" s="1641"/>
      <c r="BR643" s="1640"/>
      <c r="BS643" s="1640"/>
      <c r="BT643" s="1640"/>
      <c r="BU643" s="1641"/>
      <c r="BV643" s="1640"/>
      <c r="BW643" s="1640"/>
      <c r="BX643" s="1640"/>
      <c r="BY643" s="1641"/>
      <c r="BZ643" s="1640"/>
      <c r="CA643" s="1640"/>
      <c r="CB643" s="1640"/>
      <c r="CC643" s="1641"/>
      <c r="CD643" s="1640"/>
      <c r="CE643" s="1640"/>
      <c r="CF643" s="1640"/>
      <c r="CG643" s="1642"/>
      <c r="CH643" s="1641">
        <f t="shared" si="427"/>
        <v>0</v>
      </c>
      <c r="CI643" s="1641">
        <f t="shared" si="427"/>
        <v>0</v>
      </c>
      <c r="CJ643" s="1641">
        <f t="shared" si="427"/>
        <v>0</v>
      </c>
      <c r="CK643" s="1641">
        <f t="shared" si="427"/>
        <v>0</v>
      </c>
      <c r="CL643" s="1889">
        <v>0</v>
      </c>
      <c r="CM643" s="1889">
        <v>0</v>
      </c>
      <c r="CN643" s="1889">
        <v>0</v>
      </c>
      <c r="CO643" s="1889">
        <v>0</v>
      </c>
      <c r="CP643" s="1641"/>
      <c r="CQ643" s="1640"/>
      <c r="CR643" s="1640"/>
      <c r="CS643" s="1640"/>
    </row>
    <row r="644" spans="1:107" ht="15" thickBot="1" x14ac:dyDescent="0.2">
      <c r="A644" s="1541" t="s">
        <v>96</v>
      </c>
      <c r="B644" s="1523" t="s">
        <v>79</v>
      </c>
      <c r="C644" s="1523" t="s">
        <v>80</v>
      </c>
      <c r="D644" s="1523" t="s">
        <v>125</v>
      </c>
      <c r="E644" s="1523" t="s">
        <v>216</v>
      </c>
      <c r="F644" s="1523"/>
      <c r="G644" s="1667">
        <v>310</v>
      </c>
      <c r="H644" s="1501"/>
      <c r="I644" s="1501">
        <v>2046.72</v>
      </c>
      <c r="J644" s="1630"/>
      <c r="K644" s="1630"/>
      <c r="L644" s="1631"/>
      <c r="M644" s="1631"/>
      <c r="N644" s="1631"/>
      <c r="O644" s="1631"/>
      <c r="P644" s="1631"/>
      <c r="Q644" s="1631"/>
      <c r="R644" s="1631"/>
      <c r="S644" s="1631"/>
      <c r="T644" s="1632"/>
      <c r="U644" s="1633"/>
      <c r="V644" s="1633"/>
      <c r="W644" s="1634"/>
      <c r="X644" s="1634"/>
      <c r="Y644" s="1634"/>
      <c r="Z644" s="1635"/>
      <c r="AA644" s="1634">
        <f t="shared" si="438"/>
        <v>0</v>
      </c>
      <c r="AB644" s="1634"/>
      <c r="AC644" s="1508">
        <f t="shared" si="441"/>
        <v>0</v>
      </c>
      <c r="AD644" s="1509">
        <f t="shared" si="442"/>
        <v>2046.72</v>
      </c>
      <c r="AE644" s="1509">
        <f t="shared" si="443"/>
        <v>2046.72</v>
      </c>
      <c r="AF644" s="1509">
        <f t="shared" si="443"/>
        <v>0</v>
      </c>
      <c r="AG644" s="1509">
        <f t="shared" si="443"/>
        <v>0</v>
      </c>
      <c r="AH644" s="1490">
        <f t="shared" si="417"/>
        <v>0</v>
      </c>
      <c r="AI644" s="1636">
        <f t="shared" si="444"/>
        <v>0</v>
      </c>
      <c r="AJ644" s="1636">
        <f t="shared" si="445"/>
        <v>0</v>
      </c>
      <c r="AK644" s="1636">
        <f t="shared" si="446"/>
        <v>0</v>
      </c>
      <c r="AL644" s="1636">
        <f t="shared" si="446"/>
        <v>0</v>
      </c>
      <c r="AM644" s="1636">
        <f t="shared" si="446"/>
        <v>0</v>
      </c>
      <c r="AN644" s="1637"/>
      <c r="AO644" s="1723"/>
      <c r="AP644" s="1638"/>
      <c r="AQ644" s="1638"/>
      <c r="AR644" s="1638"/>
      <c r="AS644" s="1639"/>
      <c r="AT644" s="1638"/>
      <c r="AU644" s="1638"/>
      <c r="AV644" s="1638"/>
      <c r="AW644" s="1639"/>
      <c r="AX644" s="1640"/>
      <c r="AY644" s="1640"/>
      <c r="AZ644" s="1640"/>
      <c r="BA644" s="1641"/>
      <c r="BB644" s="1640">
        <v>130</v>
      </c>
      <c r="BC644" s="1640"/>
      <c r="BD644" s="1640"/>
      <c r="BE644" s="1644"/>
      <c r="BF644" s="1640"/>
      <c r="BG644" s="1640"/>
      <c r="BH644" s="1640"/>
      <c r="BI644" s="1641"/>
      <c r="BJ644" s="1640"/>
      <c r="BK644" s="1640"/>
      <c r="BL644" s="1640"/>
      <c r="BM644" s="1641"/>
      <c r="BN644" s="1640"/>
      <c r="BO644" s="1640"/>
      <c r="BP644" s="1640"/>
      <c r="BQ644" s="1641"/>
      <c r="BR644" s="1640"/>
      <c r="BS644" s="1640"/>
      <c r="BT644" s="1640"/>
      <c r="BU644" s="1641"/>
      <c r="BV644" s="1640"/>
      <c r="BW644" s="1640"/>
      <c r="BX644" s="1640"/>
      <c r="BY644" s="1641"/>
      <c r="BZ644" s="1640"/>
      <c r="CA644" s="1640"/>
      <c r="CB644" s="1640"/>
      <c r="CC644" s="1641"/>
      <c r="CD644" s="1640"/>
      <c r="CE644" s="1640"/>
      <c r="CF644" s="1640"/>
      <c r="CG644" s="1642"/>
      <c r="CH644" s="1641">
        <f t="shared" si="427"/>
        <v>0</v>
      </c>
      <c r="CI644" s="1641">
        <f t="shared" si="427"/>
        <v>1916.72</v>
      </c>
      <c r="CJ644" s="1641">
        <f t="shared" si="427"/>
        <v>0</v>
      </c>
      <c r="CK644" s="1641">
        <f t="shared" si="427"/>
        <v>0</v>
      </c>
      <c r="CL644" s="1889">
        <v>0</v>
      </c>
      <c r="CM644" s="1889">
        <v>-130</v>
      </c>
      <c r="CN644" s="1889">
        <v>0</v>
      </c>
      <c r="CO644" s="1889">
        <v>0</v>
      </c>
      <c r="CP644" s="1641"/>
      <c r="CQ644" s="1640">
        <v>2046.72</v>
      </c>
      <c r="CR644" s="1640"/>
      <c r="CS644" s="1640"/>
    </row>
    <row r="645" spans="1:107" ht="15" thickBot="1" x14ac:dyDescent="0.2">
      <c r="A645" s="1541" t="s">
        <v>97</v>
      </c>
      <c r="B645" s="1523" t="s">
        <v>79</v>
      </c>
      <c r="C645" s="1523" t="s">
        <v>80</v>
      </c>
      <c r="D645" s="1523" t="s">
        <v>125</v>
      </c>
      <c r="E645" s="1523" t="s">
        <v>216</v>
      </c>
      <c r="F645" s="1523"/>
      <c r="G645" s="1667">
        <v>340</v>
      </c>
      <c r="H645" s="1501">
        <v>300</v>
      </c>
      <c r="I645" s="1501"/>
      <c r="J645" s="1630"/>
      <c r="K645" s="1630"/>
      <c r="L645" s="1631"/>
      <c r="M645" s="1631"/>
      <c r="N645" s="1631"/>
      <c r="O645" s="1631"/>
      <c r="P645" s="1631"/>
      <c r="Q645" s="1631"/>
      <c r="R645" s="1631"/>
      <c r="S645" s="1631"/>
      <c r="T645" s="1632"/>
      <c r="U645" s="1633"/>
      <c r="V645" s="1633"/>
      <c r="W645" s="1634"/>
      <c r="X645" s="1634"/>
      <c r="Y645" s="1634"/>
      <c r="Z645" s="1635"/>
      <c r="AA645" s="1634">
        <f t="shared" si="438"/>
        <v>0</v>
      </c>
      <c r="AB645" s="1634"/>
      <c r="AC645" s="1508">
        <f t="shared" si="441"/>
        <v>300</v>
      </c>
      <c r="AD645" s="1509">
        <f t="shared" si="442"/>
        <v>0</v>
      </c>
      <c r="AE645" s="1509">
        <f t="shared" si="443"/>
        <v>0</v>
      </c>
      <c r="AF645" s="1509">
        <f t="shared" si="443"/>
        <v>0</v>
      </c>
      <c r="AG645" s="1509">
        <f t="shared" si="443"/>
        <v>0</v>
      </c>
      <c r="AH645" s="1490">
        <f t="shared" si="417"/>
        <v>0</v>
      </c>
      <c r="AI645" s="1636">
        <f t="shared" si="444"/>
        <v>0</v>
      </c>
      <c r="AJ645" s="1636">
        <f t="shared" si="445"/>
        <v>0</v>
      </c>
      <c r="AK645" s="1636">
        <f t="shared" si="446"/>
        <v>0</v>
      </c>
      <c r="AL645" s="1636">
        <f t="shared" si="446"/>
        <v>0</v>
      </c>
      <c r="AM645" s="1636">
        <f t="shared" si="446"/>
        <v>0</v>
      </c>
      <c r="AN645" s="1637"/>
      <c r="AO645" s="1722">
        <f>20+94.8</f>
        <v>114.8</v>
      </c>
      <c r="AP645" s="1638"/>
      <c r="AQ645" s="1638"/>
      <c r="AR645" s="1638"/>
      <c r="AS645" s="1639"/>
      <c r="AT645" s="1638"/>
      <c r="AU645" s="1638"/>
      <c r="AV645" s="1638"/>
      <c r="AW645" s="1639"/>
      <c r="AX645" s="1640"/>
      <c r="AY645" s="1640"/>
      <c r="AZ645" s="1640"/>
      <c r="BA645" s="1641"/>
      <c r="BB645" s="1640"/>
      <c r="BC645" s="1640"/>
      <c r="BD645" s="1640"/>
      <c r="BE645" s="1644">
        <f>250-64.8</f>
        <v>185.2</v>
      </c>
      <c r="BF645" s="1640"/>
      <c r="BG645" s="1640"/>
      <c r="BH645" s="1640"/>
      <c r="BI645" s="1641"/>
      <c r="BJ645" s="1640"/>
      <c r="BK645" s="1640"/>
      <c r="BL645" s="1640"/>
      <c r="BM645" s="1641"/>
      <c r="BN645" s="1640"/>
      <c r="BO645" s="1640"/>
      <c r="BP645" s="1640"/>
      <c r="BQ645" s="1641"/>
      <c r="BR645" s="1640"/>
      <c r="BS645" s="1640"/>
      <c r="BT645" s="1640"/>
      <c r="BU645" s="1641"/>
      <c r="BV645" s="1640"/>
      <c r="BW645" s="1640"/>
      <c r="BX645" s="1640"/>
      <c r="BY645" s="1641"/>
      <c r="BZ645" s="1640"/>
      <c r="CA645" s="1640"/>
      <c r="CB645" s="1640"/>
      <c r="CC645" s="1641"/>
      <c r="CD645" s="1640"/>
      <c r="CE645" s="1640"/>
      <c r="CF645" s="1640"/>
      <c r="CG645" s="1642"/>
      <c r="CH645" s="1641">
        <f t="shared" si="427"/>
        <v>0</v>
      </c>
      <c r="CI645" s="1641">
        <f t="shared" si="427"/>
        <v>0</v>
      </c>
      <c r="CJ645" s="1641">
        <f t="shared" si="427"/>
        <v>0</v>
      </c>
      <c r="CK645" s="1641">
        <f t="shared" si="427"/>
        <v>0</v>
      </c>
      <c r="CL645" s="1889">
        <v>0</v>
      </c>
      <c r="CM645" s="1889">
        <v>0</v>
      </c>
      <c r="CN645" s="1889">
        <v>0</v>
      </c>
      <c r="CO645" s="1889">
        <v>0</v>
      </c>
      <c r="CP645" s="1641"/>
      <c r="CQ645" s="1640"/>
      <c r="CR645" s="1640"/>
      <c r="CS645" s="1640"/>
    </row>
    <row r="646" spans="1:107" ht="15" thickBot="1" x14ac:dyDescent="0.2">
      <c r="A646" s="1528" t="s">
        <v>767</v>
      </c>
      <c r="B646" s="1530" t="s">
        <v>79</v>
      </c>
      <c r="C646" s="1530" t="s">
        <v>80</v>
      </c>
      <c r="D646" s="1530" t="s">
        <v>125</v>
      </c>
      <c r="E646" s="1530" t="s">
        <v>216</v>
      </c>
      <c r="F646" s="1530">
        <v>612</v>
      </c>
      <c r="G646" s="1687" t="s">
        <v>766</v>
      </c>
      <c r="H646" s="1647">
        <f>I632</f>
        <v>2306.7200000000003</v>
      </c>
      <c r="I646" s="1645"/>
      <c r="J646" s="1630"/>
      <c r="K646" s="1630"/>
      <c r="L646" s="1631"/>
      <c r="M646" s="1631"/>
      <c r="N646" s="1631"/>
      <c r="O646" s="1631"/>
      <c r="P646" s="1631"/>
      <c r="Q646" s="1631"/>
      <c r="R646" s="1631"/>
      <c r="S646" s="1631"/>
      <c r="T646" s="1632"/>
      <c r="U646" s="1633"/>
      <c r="V646" s="1633"/>
      <c r="W646" s="1634"/>
      <c r="X646" s="1634"/>
      <c r="Y646" s="1634"/>
      <c r="Z646" s="1635"/>
      <c r="AA646" s="1634">
        <f t="shared" si="438"/>
        <v>0</v>
      </c>
      <c r="AB646" s="1634"/>
      <c r="AC646" s="1508"/>
      <c r="AD646" s="1509"/>
      <c r="AE646" s="1509"/>
      <c r="AF646" s="1509"/>
      <c r="AG646" s="1509"/>
      <c r="AH646" s="1490">
        <f t="shared" si="417"/>
        <v>0</v>
      </c>
      <c r="AI646" s="1636"/>
      <c r="AJ646" s="1636"/>
      <c r="AK646" s="1636"/>
      <c r="AL646" s="1636">
        <f t="shared" si="446"/>
        <v>0</v>
      </c>
      <c r="AM646" s="1636"/>
      <c r="AN646" s="1712"/>
      <c r="AO646" s="1713"/>
      <c r="AP646" s="1638"/>
      <c r="AQ646" s="1638"/>
      <c r="AR646" s="1638"/>
      <c r="AS646" s="1639"/>
      <c r="AT646" s="1638"/>
      <c r="AU646" s="1638"/>
      <c r="AV646" s="1638"/>
      <c r="AW646" s="1639"/>
      <c r="AX646" s="1640"/>
      <c r="AY646" s="1640"/>
      <c r="AZ646" s="1640"/>
      <c r="BA646" s="1641"/>
      <c r="BB646" s="1640"/>
      <c r="BC646" s="1640"/>
      <c r="BD646" s="1640"/>
      <c r="BE646" s="1644"/>
      <c r="BF646" s="1640"/>
      <c r="BG646" s="1640"/>
      <c r="BH646" s="1640"/>
      <c r="BI646" s="1641"/>
      <c r="BJ646" s="1640"/>
      <c r="BK646" s="1640"/>
      <c r="BL646" s="1640"/>
      <c r="BM646" s="1641"/>
      <c r="BN646" s="1640"/>
      <c r="BO646" s="1640"/>
      <c r="BP646" s="1640"/>
      <c r="BQ646" s="1641"/>
      <c r="BR646" s="1640"/>
      <c r="BS646" s="1640"/>
      <c r="BT646" s="1640"/>
      <c r="BU646" s="1641"/>
      <c r="BV646" s="1640"/>
      <c r="BW646" s="1640"/>
      <c r="BX646" s="1640"/>
      <c r="BY646" s="1641"/>
      <c r="BZ646" s="1640"/>
      <c r="CA646" s="1640"/>
      <c r="CB646" s="1640"/>
      <c r="CC646" s="1641"/>
      <c r="CD646" s="1640"/>
      <c r="CE646" s="1640"/>
      <c r="CF646" s="1640"/>
      <c r="CG646" s="1642"/>
      <c r="CH646" s="1641">
        <f t="shared" si="427"/>
        <v>0</v>
      </c>
      <c r="CI646" s="1641">
        <f t="shared" si="427"/>
        <v>0</v>
      </c>
      <c r="CJ646" s="1641">
        <f t="shared" si="427"/>
        <v>0</v>
      </c>
      <c r="CK646" s="1641">
        <f t="shared" si="427"/>
        <v>0</v>
      </c>
      <c r="CL646" s="1898"/>
      <c r="CM646" s="1898"/>
      <c r="CN646" s="1889">
        <v>0</v>
      </c>
      <c r="CO646" s="1898"/>
      <c r="CP646" s="1641"/>
      <c r="CQ646" s="1640"/>
      <c r="CR646" s="1640"/>
      <c r="CS646" s="1640"/>
    </row>
    <row r="647" spans="1:107" s="1886" customFormat="1" ht="27" thickBot="1" x14ac:dyDescent="0.2">
      <c r="A647" s="1873" t="s">
        <v>1284</v>
      </c>
      <c r="B647" s="1941" t="s">
        <v>79</v>
      </c>
      <c r="C647" s="1941" t="s">
        <v>80</v>
      </c>
      <c r="D647" s="1941" t="s">
        <v>125</v>
      </c>
      <c r="E647" s="1941" t="s">
        <v>216</v>
      </c>
      <c r="F647" s="1941">
        <v>600</v>
      </c>
      <c r="G647" s="1874"/>
      <c r="H647" s="1606">
        <f>H648+H662</f>
        <v>56307</v>
      </c>
      <c r="I647" s="1606">
        <f>I648+I662</f>
        <v>120</v>
      </c>
      <c r="J647" s="1606">
        <f>J648+J662</f>
        <v>0</v>
      </c>
      <c r="K647" s="1606">
        <f t="shared" ref="K647:CF647" si="447">K648+K662</f>
        <v>0</v>
      </c>
      <c r="L647" s="1607"/>
      <c r="M647" s="1607"/>
      <c r="N647" s="1607"/>
      <c r="O647" s="1607"/>
      <c r="P647" s="1607"/>
      <c r="Q647" s="1607"/>
      <c r="R647" s="1607"/>
      <c r="S647" s="1607"/>
      <c r="T647" s="1608"/>
      <c r="U647" s="1609"/>
      <c r="V647" s="1609"/>
      <c r="W647" s="1610"/>
      <c r="X647" s="1610"/>
      <c r="Y647" s="1610"/>
      <c r="Z647" s="1611"/>
      <c r="AA647" s="1634">
        <f t="shared" si="438"/>
        <v>0</v>
      </c>
      <c r="AB647" s="1610"/>
      <c r="AC647" s="1612">
        <f t="shared" si="447"/>
        <v>56186.999999999993</v>
      </c>
      <c r="AD647" s="1612">
        <f t="shared" si="447"/>
        <v>120</v>
      </c>
      <c r="AE647" s="1612">
        <f t="shared" si="447"/>
        <v>120</v>
      </c>
      <c r="AF647" s="1612">
        <f t="shared" si="447"/>
        <v>0</v>
      </c>
      <c r="AG647" s="1612">
        <f t="shared" si="447"/>
        <v>0</v>
      </c>
      <c r="AH647" s="1490">
        <f t="shared" si="417"/>
        <v>1446.7840000000001</v>
      </c>
      <c r="AI647" s="1613">
        <f t="shared" si="447"/>
        <v>0</v>
      </c>
      <c r="AJ647" s="1613">
        <f t="shared" si="447"/>
        <v>0</v>
      </c>
      <c r="AK647" s="1613">
        <f t="shared" si="447"/>
        <v>0</v>
      </c>
      <c r="AL647" s="1636">
        <f t="shared" si="446"/>
        <v>0</v>
      </c>
      <c r="AM647" s="1613">
        <f t="shared" si="447"/>
        <v>0</v>
      </c>
      <c r="AN647" s="1614"/>
      <c r="AO647" s="1606">
        <f t="shared" si="447"/>
        <v>4683.3999999999996</v>
      </c>
      <c r="AP647" s="1606">
        <f t="shared" si="447"/>
        <v>0</v>
      </c>
      <c r="AQ647" s="1606">
        <f t="shared" si="447"/>
        <v>0</v>
      </c>
      <c r="AR647" s="1606">
        <f t="shared" si="447"/>
        <v>0</v>
      </c>
      <c r="AS647" s="1611">
        <f t="shared" si="447"/>
        <v>4643.8999999999996</v>
      </c>
      <c r="AT647" s="1606">
        <f t="shared" si="447"/>
        <v>0</v>
      </c>
      <c r="AU647" s="1606">
        <f t="shared" si="447"/>
        <v>0</v>
      </c>
      <c r="AV647" s="1606">
        <f t="shared" si="447"/>
        <v>0</v>
      </c>
      <c r="AW647" s="1611">
        <f t="shared" si="447"/>
        <v>4643.8999999999996</v>
      </c>
      <c r="AX647" s="1606">
        <f t="shared" si="447"/>
        <v>0</v>
      </c>
      <c r="AY647" s="1606">
        <f t="shared" si="447"/>
        <v>0</v>
      </c>
      <c r="AZ647" s="1606">
        <f t="shared" si="447"/>
        <v>0</v>
      </c>
      <c r="BA647" s="1614">
        <f t="shared" si="447"/>
        <v>4643.8999999999996</v>
      </c>
      <c r="BB647" s="1606">
        <f t="shared" si="447"/>
        <v>0</v>
      </c>
      <c r="BC647" s="1606">
        <f t="shared" si="447"/>
        <v>0</v>
      </c>
      <c r="BD647" s="1606">
        <f t="shared" si="447"/>
        <v>0</v>
      </c>
      <c r="BE647" s="1615">
        <f t="shared" si="447"/>
        <v>4983.9000000000005</v>
      </c>
      <c r="BF647" s="1606">
        <f t="shared" si="447"/>
        <v>120</v>
      </c>
      <c r="BG647" s="1606">
        <f t="shared" si="447"/>
        <v>0</v>
      </c>
      <c r="BH647" s="1606">
        <f t="shared" si="447"/>
        <v>0</v>
      </c>
      <c r="BI647" s="1614">
        <f t="shared" si="447"/>
        <v>1143.8030000000001</v>
      </c>
      <c r="BJ647" s="1606">
        <f t="shared" si="447"/>
        <v>0</v>
      </c>
      <c r="BK647" s="1606">
        <f t="shared" si="447"/>
        <v>0</v>
      </c>
      <c r="BL647" s="1606">
        <f t="shared" si="447"/>
        <v>0</v>
      </c>
      <c r="BM647" s="1614">
        <f t="shared" si="447"/>
        <v>12887.896999999999</v>
      </c>
      <c r="BN647" s="1606">
        <f t="shared" si="447"/>
        <v>0</v>
      </c>
      <c r="BO647" s="1606">
        <f t="shared" si="447"/>
        <v>0</v>
      </c>
      <c r="BP647" s="1606">
        <f t="shared" si="447"/>
        <v>0</v>
      </c>
      <c r="BQ647" s="1614">
        <f t="shared" si="447"/>
        <v>4678.9459999999999</v>
      </c>
      <c r="BR647" s="1606">
        <f t="shared" si="447"/>
        <v>0</v>
      </c>
      <c r="BS647" s="1606">
        <f t="shared" si="447"/>
        <v>0</v>
      </c>
      <c r="BT647" s="1606">
        <f t="shared" si="447"/>
        <v>0</v>
      </c>
      <c r="BU647" s="1614">
        <f t="shared" si="447"/>
        <v>3448.7</v>
      </c>
      <c r="BV647" s="1606">
        <f t="shared" si="447"/>
        <v>0</v>
      </c>
      <c r="BW647" s="1606">
        <f t="shared" si="447"/>
        <v>0</v>
      </c>
      <c r="BX647" s="1606">
        <f t="shared" si="447"/>
        <v>0</v>
      </c>
      <c r="BY647" s="1614">
        <f t="shared" si="447"/>
        <v>1081.17</v>
      </c>
      <c r="BZ647" s="1606">
        <f t="shared" si="447"/>
        <v>0</v>
      </c>
      <c r="CA647" s="1606">
        <f t="shared" si="447"/>
        <v>0</v>
      </c>
      <c r="CB647" s="1606">
        <f t="shared" si="447"/>
        <v>0</v>
      </c>
      <c r="CC647" s="1614">
        <f t="shared" si="447"/>
        <v>7900.7</v>
      </c>
      <c r="CD647" s="1606">
        <f t="shared" si="447"/>
        <v>0</v>
      </c>
      <c r="CE647" s="1606">
        <f t="shared" si="447"/>
        <v>0</v>
      </c>
      <c r="CF647" s="1606">
        <f t="shared" si="447"/>
        <v>0</v>
      </c>
      <c r="CG647" s="1616"/>
      <c r="CH647" s="1641">
        <f t="shared" si="427"/>
        <v>1446.7840000000001</v>
      </c>
      <c r="CI647" s="1641">
        <f t="shared" si="427"/>
        <v>0</v>
      </c>
      <c r="CJ647" s="1641">
        <f t="shared" si="427"/>
        <v>0</v>
      </c>
      <c r="CK647" s="1641">
        <f t="shared" si="427"/>
        <v>0</v>
      </c>
      <c r="CL647" s="1942">
        <v>1446.7840000000001</v>
      </c>
      <c r="CM647" s="1943">
        <v>0</v>
      </c>
      <c r="CN647" s="1889">
        <v>0</v>
      </c>
      <c r="CO647" s="1943">
        <v>0</v>
      </c>
      <c r="CP647" s="1614">
        <f>CP648+CP662</f>
        <v>0</v>
      </c>
      <c r="CQ647" s="1606">
        <f>CQ648+CQ662</f>
        <v>0</v>
      </c>
      <c r="CR647" s="1606">
        <f>CR648+CR662</f>
        <v>0</v>
      </c>
      <c r="CS647" s="1606">
        <f>CS648+CS662</f>
        <v>0</v>
      </c>
      <c r="CT647" s="1885"/>
      <c r="CU647" s="1885"/>
      <c r="CV647" s="1885"/>
      <c r="CW647" s="1885"/>
      <c r="CY647" s="1885"/>
    </row>
    <row r="648" spans="1:107" ht="53" thickBot="1" x14ac:dyDescent="0.2">
      <c r="A648" s="1748" t="s">
        <v>1135</v>
      </c>
      <c r="B648" s="1749" t="s">
        <v>79</v>
      </c>
      <c r="C648" s="1749" t="s">
        <v>80</v>
      </c>
      <c r="D648" s="1749" t="s">
        <v>125</v>
      </c>
      <c r="E648" s="1749" t="s">
        <v>216</v>
      </c>
      <c r="F648" s="1749" t="s">
        <v>765</v>
      </c>
      <c r="G648" s="1600" t="s">
        <v>766</v>
      </c>
      <c r="H648" s="1531">
        <f>H649+H650+H651+H652+H653+H654+H655+H656+H657+H658+H659+H660+H661</f>
        <v>56187</v>
      </c>
      <c r="I648" s="1531">
        <f>I649+I650+I651+I652+I653+I654+I655+I656+I657+I658+I659+I660+I661</f>
        <v>120</v>
      </c>
      <c r="J648" s="1531">
        <f>J649+J650+J651+J652+J653+J654+J655+J656+J657+J658+J659+J660+J661</f>
        <v>0</v>
      </c>
      <c r="K648" s="1531">
        <f t="shared" ref="K648:CF648" si="448">K649+K650+K651+K652+K653+K654+K655+K656+K657+K658+K659+K660+K661</f>
        <v>0</v>
      </c>
      <c r="L648" s="1601"/>
      <c r="M648" s="1601"/>
      <c r="N648" s="1601"/>
      <c r="O648" s="1601"/>
      <c r="P648" s="1601"/>
      <c r="Q648" s="1601"/>
      <c r="R648" s="1601"/>
      <c r="S648" s="1601"/>
      <c r="T648" s="1602"/>
      <c r="U648" s="1533"/>
      <c r="V648" s="1533"/>
      <c r="W648" s="1534"/>
      <c r="X648" s="1534"/>
      <c r="Y648" s="1534"/>
      <c r="Z648" s="1535"/>
      <c r="AA648" s="1634">
        <f t="shared" si="438"/>
        <v>0</v>
      </c>
      <c r="AB648" s="1534"/>
      <c r="AC648" s="1603">
        <f t="shared" si="448"/>
        <v>56186.999999999993</v>
      </c>
      <c r="AD648" s="1603">
        <f t="shared" si="448"/>
        <v>120</v>
      </c>
      <c r="AE648" s="1603">
        <f t="shared" si="448"/>
        <v>120</v>
      </c>
      <c r="AF648" s="1603">
        <f t="shared" si="448"/>
        <v>0</v>
      </c>
      <c r="AG648" s="1603">
        <f t="shared" si="448"/>
        <v>0</v>
      </c>
      <c r="AH648" s="1490">
        <f t="shared" si="417"/>
        <v>1446.7840000000001</v>
      </c>
      <c r="AI648" s="1592">
        <f t="shared" si="448"/>
        <v>0</v>
      </c>
      <c r="AJ648" s="1592">
        <f t="shared" si="448"/>
        <v>0</v>
      </c>
      <c r="AK648" s="1592">
        <f t="shared" si="448"/>
        <v>0</v>
      </c>
      <c r="AL648" s="1636">
        <f t="shared" si="446"/>
        <v>0</v>
      </c>
      <c r="AM648" s="1592">
        <f t="shared" si="448"/>
        <v>0</v>
      </c>
      <c r="AN648" s="1706"/>
      <c r="AO648" s="1707">
        <f t="shared" si="448"/>
        <v>4683.3999999999996</v>
      </c>
      <c r="AP648" s="1531">
        <f t="shared" si="448"/>
        <v>0</v>
      </c>
      <c r="AQ648" s="1531">
        <f t="shared" si="448"/>
        <v>0</v>
      </c>
      <c r="AR648" s="1531">
        <f t="shared" si="448"/>
        <v>0</v>
      </c>
      <c r="AS648" s="1535">
        <f t="shared" si="448"/>
        <v>4643.8999999999996</v>
      </c>
      <c r="AT648" s="1531">
        <f t="shared" si="448"/>
        <v>0</v>
      </c>
      <c r="AU648" s="1531">
        <f t="shared" si="448"/>
        <v>0</v>
      </c>
      <c r="AV648" s="1531">
        <f t="shared" si="448"/>
        <v>0</v>
      </c>
      <c r="AW648" s="1535">
        <f t="shared" si="448"/>
        <v>4643.8999999999996</v>
      </c>
      <c r="AX648" s="1531">
        <f t="shared" si="448"/>
        <v>0</v>
      </c>
      <c r="AY648" s="1531">
        <f t="shared" si="448"/>
        <v>0</v>
      </c>
      <c r="AZ648" s="1531">
        <f t="shared" si="448"/>
        <v>0</v>
      </c>
      <c r="BA648" s="1538">
        <f t="shared" si="448"/>
        <v>4643.8999999999996</v>
      </c>
      <c r="BB648" s="1531">
        <f t="shared" si="448"/>
        <v>0</v>
      </c>
      <c r="BC648" s="1531">
        <f t="shared" si="448"/>
        <v>0</v>
      </c>
      <c r="BD648" s="1531">
        <f t="shared" si="448"/>
        <v>0</v>
      </c>
      <c r="BE648" s="1539">
        <f t="shared" si="448"/>
        <v>4983.9000000000005</v>
      </c>
      <c r="BF648" s="1531">
        <f t="shared" si="448"/>
        <v>120</v>
      </c>
      <c r="BG648" s="1531">
        <f t="shared" si="448"/>
        <v>0</v>
      </c>
      <c r="BH648" s="1531">
        <f t="shared" si="448"/>
        <v>0</v>
      </c>
      <c r="BI648" s="1538">
        <f t="shared" si="448"/>
        <v>1143.8030000000001</v>
      </c>
      <c r="BJ648" s="1531">
        <f t="shared" si="448"/>
        <v>0</v>
      </c>
      <c r="BK648" s="1531">
        <f t="shared" si="448"/>
        <v>0</v>
      </c>
      <c r="BL648" s="1531">
        <f t="shared" si="448"/>
        <v>0</v>
      </c>
      <c r="BM648" s="1538">
        <f t="shared" si="448"/>
        <v>12887.896999999999</v>
      </c>
      <c r="BN648" s="1531">
        <f t="shared" si="448"/>
        <v>0</v>
      </c>
      <c r="BO648" s="1531">
        <f t="shared" si="448"/>
        <v>0</v>
      </c>
      <c r="BP648" s="1531">
        <f t="shared" si="448"/>
        <v>0</v>
      </c>
      <c r="BQ648" s="1538">
        <f t="shared" si="448"/>
        <v>4678.9459999999999</v>
      </c>
      <c r="BR648" s="1531">
        <f t="shared" si="448"/>
        <v>0</v>
      </c>
      <c r="BS648" s="1531">
        <f t="shared" si="448"/>
        <v>0</v>
      </c>
      <c r="BT648" s="1531">
        <f t="shared" si="448"/>
        <v>0</v>
      </c>
      <c r="BU648" s="1538">
        <f t="shared" si="448"/>
        <v>3448.7</v>
      </c>
      <c r="BV648" s="1531">
        <f t="shared" si="448"/>
        <v>0</v>
      </c>
      <c r="BW648" s="1531">
        <f t="shared" si="448"/>
        <v>0</v>
      </c>
      <c r="BX648" s="1531">
        <f t="shared" si="448"/>
        <v>0</v>
      </c>
      <c r="BY648" s="1538">
        <f t="shared" si="448"/>
        <v>1081.17</v>
      </c>
      <c r="BZ648" s="1531">
        <f t="shared" si="448"/>
        <v>0</v>
      </c>
      <c r="CA648" s="1531">
        <f t="shared" si="448"/>
        <v>0</v>
      </c>
      <c r="CB648" s="1531">
        <f t="shared" si="448"/>
        <v>0</v>
      </c>
      <c r="CC648" s="1538">
        <f t="shared" si="448"/>
        <v>7900.7</v>
      </c>
      <c r="CD648" s="1531">
        <f t="shared" si="448"/>
        <v>0</v>
      </c>
      <c r="CE648" s="1531">
        <f t="shared" si="448"/>
        <v>0</v>
      </c>
      <c r="CF648" s="1531">
        <f t="shared" si="448"/>
        <v>0</v>
      </c>
      <c r="CG648" s="1705"/>
      <c r="CH648" s="1641">
        <f t="shared" si="427"/>
        <v>1446.7840000000001</v>
      </c>
      <c r="CI648" s="1641">
        <f t="shared" si="427"/>
        <v>0</v>
      </c>
      <c r="CJ648" s="1641">
        <f t="shared" si="427"/>
        <v>0</v>
      </c>
      <c r="CK648" s="1641">
        <f t="shared" si="427"/>
        <v>0</v>
      </c>
      <c r="CL648" s="1901">
        <v>1446.7840000000001</v>
      </c>
      <c r="CM648" s="1902">
        <v>0</v>
      </c>
      <c r="CN648" s="1889">
        <v>0</v>
      </c>
      <c r="CO648" s="1902">
        <v>0</v>
      </c>
      <c r="CP648" s="1538">
        <f>CP649+CP650+CP651+CP652+CP653+CP654+CP655+CP656+CP657+CP658+CP659+CP660+CP661</f>
        <v>0</v>
      </c>
      <c r="CQ648" s="1531">
        <f>CQ649+CQ650+CQ651+CQ652+CQ653+CQ654+CQ655+CQ656+CQ657+CQ658+CQ659+CQ660+CQ661</f>
        <v>0</v>
      </c>
      <c r="CR648" s="1531">
        <f>CR649+CR650+CR651+CR652+CR653+CR654+CR655+CR656+CR657+CR658+CR659+CR660+CR661</f>
        <v>0</v>
      </c>
      <c r="CS648" s="1531">
        <f>CS649+CS650+CS651+CS652+CS653+CS654+CS655+CS656+CS657+CS658+CS659+CS660+CS661</f>
        <v>0</v>
      </c>
    </row>
    <row r="649" spans="1:107" ht="15" thickBot="1" x14ac:dyDescent="0.2">
      <c r="A649" s="1541" t="s">
        <v>78</v>
      </c>
      <c r="B649" s="1523" t="s">
        <v>79</v>
      </c>
      <c r="C649" s="1523" t="s">
        <v>80</v>
      </c>
      <c r="D649" s="1523" t="s">
        <v>125</v>
      </c>
      <c r="E649" s="1523" t="s">
        <v>216</v>
      </c>
      <c r="F649" s="1523"/>
      <c r="G649" s="1667">
        <v>211</v>
      </c>
      <c r="H649" s="1501">
        <f>42800.8-105</f>
        <v>42695.8</v>
      </c>
      <c r="I649" s="1501"/>
      <c r="J649" s="1630"/>
      <c r="K649" s="1630"/>
      <c r="L649" s="1631"/>
      <c r="M649" s="1631"/>
      <c r="N649" s="1631"/>
      <c r="O649" s="1631"/>
      <c r="P649" s="1631"/>
      <c r="Q649" s="1631"/>
      <c r="R649" s="1631"/>
      <c r="S649" s="1631"/>
      <c r="T649" s="1632"/>
      <c r="U649" s="1633"/>
      <c r="V649" s="1633"/>
      <c r="W649" s="1634">
        <f>H649/12</f>
        <v>3557.9833333333336</v>
      </c>
      <c r="X649" s="1634">
        <f>AO649</f>
        <v>3566.7</v>
      </c>
      <c r="Y649" s="1634">
        <f>CC649</f>
        <v>6162.9</v>
      </c>
      <c r="Z649" s="1635">
        <v>4027.9</v>
      </c>
      <c r="AA649" s="1634">
        <f t="shared" si="438"/>
        <v>-4027.9</v>
      </c>
      <c r="AB649" s="1511">
        <f>AI649</f>
        <v>0</v>
      </c>
      <c r="AC649" s="1508">
        <f t="shared" ref="AC649:AC661" si="449">AO649+AS649+AW649+BA649+BE649+BI649+BM649+BQ649+BU649+BY649+CC649+CH649</f>
        <v>42695.799999999996</v>
      </c>
      <c r="AD649" s="1509">
        <f t="shared" ref="AD649:AD661" si="450">AE649+AF649+AG649</f>
        <v>0</v>
      </c>
      <c r="AE649" s="1509">
        <f t="shared" ref="AE649:AG661" si="451">AP649+AT649+AX649+BB649+BF649+BJ649+BN649+BR649+BV649+BZ649+CD649+CI649</f>
        <v>0</v>
      </c>
      <c r="AF649" s="1509">
        <f t="shared" si="451"/>
        <v>0</v>
      </c>
      <c r="AG649" s="1509">
        <f t="shared" si="451"/>
        <v>0</v>
      </c>
      <c r="AH649" s="1490">
        <f t="shared" si="417"/>
        <v>953.03</v>
      </c>
      <c r="AI649" s="1636">
        <f t="shared" ref="AI649:AI661" si="452">H649-AC649</f>
        <v>0</v>
      </c>
      <c r="AJ649" s="1636">
        <f t="shared" ref="AJ649:AJ661" si="453">AK649+AL649+AM649</f>
        <v>0</v>
      </c>
      <c r="AK649" s="1636">
        <f t="shared" ref="AK649:AM664" si="454">I649-AE649</f>
        <v>0</v>
      </c>
      <c r="AL649" s="1636">
        <f t="shared" si="454"/>
        <v>0</v>
      </c>
      <c r="AM649" s="1636">
        <f t="shared" si="454"/>
        <v>0</v>
      </c>
      <c r="AN649" s="1637">
        <f>AI649/4</f>
        <v>0</v>
      </c>
      <c r="AO649" s="1722">
        <v>3566.7</v>
      </c>
      <c r="AP649" s="1638"/>
      <c r="AQ649" s="1638"/>
      <c r="AR649" s="1638"/>
      <c r="AS649" s="1963">
        <v>3566.7</v>
      </c>
      <c r="AT649" s="1638"/>
      <c r="AU649" s="1638"/>
      <c r="AV649" s="1638"/>
      <c r="AW649" s="1722">
        <v>3566.7</v>
      </c>
      <c r="AX649" s="1640"/>
      <c r="AY649" s="1640"/>
      <c r="AZ649" s="1640"/>
      <c r="BA649" s="1964">
        <v>3566.7</v>
      </c>
      <c r="BB649" s="1640"/>
      <c r="BC649" s="1640"/>
      <c r="BD649" s="1640"/>
      <c r="BE649" s="1964">
        <v>3566.7</v>
      </c>
      <c r="BF649" s="1640"/>
      <c r="BG649" s="1640"/>
      <c r="BH649" s="1640"/>
      <c r="BI649" s="1641">
        <f>1143.803</f>
        <v>1143.8030000000001</v>
      </c>
      <c r="BJ649" s="1640"/>
      <c r="BK649" s="1640"/>
      <c r="BL649" s="1640"/>
      <c r="BM649" s="1641">
        <f>2422.897+7133.4</f>
        <v>9556.2969999999987</v>
      </c>
      <c r="BN649" s="1640"/>
      <c r="BO649" s="1640"/>
      <c r="BP649" s="1640"/>
      <c r="BQ649" s="1641">
        <v>3566.7</v>
      </c>
      <c r="BR649" s="1640"/>
      <c r="BS649" s="1640"/>
      <c r="BT649" s="1640"/>
      <c r="BU649" s="1641">
        <v>2648.9</v>
      </c>
      <c r="BV649" s="1640"/>
      <c r="BW649" s="1640"/>
      <c r="BX649" s="1640"/>
      <c r="BY649" s="1641">
        <f>794.67+36</f>
        <v>830.67</v>
      </c>
      <c r="BZ649" s="1640"/>
      <c r="CA649" s="1640"/>
      <c r="CB649" s="1640"/>
      <c r="CC649" s="1641">
        <f>2135+4027.9</f>
        <v>6162.9</v>
      </c>
      <c r="CD649" s="1640"/>
      <c r="CE649" s="1640"/>
      <c r="CF649" s="1640"/>
      <c r="CG649" s="1642"/>
      <c r="CH649" s="1641">
        <f t="shared" si="427"/>
        <v>953.03</v>
      </c>
      <c r="CI649" s="1641">
        <f t="shared" si="427"/>
        <v>0</v>
      </c>
      <c r="CJ649" s="1641">
        <f t="shared" si="427"/>
        <v>0</v>
      </c>
      <c r="CK649" s="1641">
        <f t="shared" si="427"/>
        <v>0</v>
      </c>
      <c r="CL649" s="1889">
        <v>953.03</v>
      </c>
      <c r="CM649" s="1889">
        <v>0</v>
      </c>
      <c r="CN649" s="1889">
        <v>0</v>
      </c>
      <c r="CO649" s="1889">
        <v>0</v>
      </c>
      <c r="CP649" s="1641"/>
      <c r="CQ649" s="1640"/>
      <c r="CR649" s="1640"/>
      <c r="CS649" s="1640"/>
      <c r="CX649" s="1558">
        <f>H649/12*10-AC649</f>
        <v>-7115.9666666666599</v>
      </c>
      <c r="CY649" s="1558">
        <f>AI649/3</f>
        <v>0</v>
      </c>
      <c r="CZ649" s="1558">
        <f>H649/12</f>
        <v>3557.9833333333336</v>
      </c>
      <c r="DA649" s="1559"/>
      <c r="DB649" s="1559"/>
      <c r="DC649" s="1559"/>
    </row>
    <row r="650" spans="1:107" ht="15" thickBot="1" x14ac:dyDescent="0.2">
      <c r="A650" s="1541" t="s">
        <v>103</v>
      </c>
      <c r="B650" s="1523" t="s">
        <v>79</v>
      </c>
      <c r="C650" s="1523" t="s">
        <v>80</v>
      </c>
      <c r="D650" s="1523" t="s">
        <v>125</v>
      </c>
      <c r="E650" s="1523" t="s">
        <v>216</v>
      </c>
      <c r="F650" s="1523"/>
      <c r="G650" s="1667">
        <v>212</v>
      </c>
      <c r="H650" s="1501"/>
      <c r="I650" s="1501"/>
      <c r="J650" s="1630"/>
      <c r="K650" s="1630"/>
      <c r="L650" s="1631"/>
      <c r="M650" s="1631"/>
      <c r="N650" s="1631"/>
      <c r="O650" s="1631"/>
      <c r="P650" s="1631"/>
      <c r="Q650" s="1631"/>
      <c r="R650" s="1631"/>
      <c r="S650" s="1631"/>
      <c r="T650" s="1632"/>
      <c r="U650" s="1633"/>
      <c r="V650" s="1633"/>
      <c r="W650" s="1634"/>
      <c r="X650" s="1634"/>
      <c r="Y650" s="1634">
        <f>CC650</f>
        <v>0</v>
      </c>
      <c r="Z650" s="1635">
        <f>AI650-X650</f>
        <v>0</v>
      </c>
      <c r="AA650" s="1634">
        <f t="shared" si="438"/>
        <v>0</v>
      </c>
      <c r="AB650" s="1511"/>
      <c r="AC650" s="1508">
        <f t="shared" si="449"/>
        <v>0</v>
      </c>
      <c r="AD650" s="1509">
        <f t="shared" si="450"/>
        <v>0</v>
      </c>
      <c r="AE650" s="1509">
        <f t="shared" si="451"/>
        <v>0</v>
      </c>
      <c r="AF650" s="1509">
        <f t="shared" si="451"/>
        <v>0</v>
      </c>
      <c r="AG650" s="1509">
        <f t="shared" si="451"/>
        <v>0</v>
      </c>
      <c r="AH650" s="1490">
        <f t="shared" si="417"/>
        <v>0</v>
      </c>
      <c r="AI650" s="1636">
        <f t="shared" si="452"/>
        <v>0</v>
      </c>
      <c r="AJ650" s="1636">
        <f t="shared" si="453"/>
        <v>0</v>
      </c>
      <c r="AK650" s="1636">
        <f t="shared" si="454"/>
        <v>0</v>
      </c>
      <c r="AL650" s="1636">
        <f t="shared" si="454"/>
        <v>0</v>
      </c>
      <c r="AM650" s="1636">
        <f t="shared" si="454"/>
        <v>0</v>
      </c>
      <c r="AN650" s="1637"/>
      <c r="AO650" s="1722">
        <v>0</v>
      </c>
      <c r="AP650" s="1638"/>
      <c r="AQ650" s="1638"/>
      <c r="AR650" s="1638"/>
      <c r="AS650" s="1963">
        <v>0</v>
      </c>
      <c r="AT650" s="1638"/>
      <c r="AU650" s="1638"/>
      <c r="AV650" s="1638"/>
      <c r="AW650" s="1722">
        <v>0</v>
      </c>
      <c r="AX650" s="1640"/>
      <c r="AY650" s="1640"/>
      <c r="AZ650" s="1640"/>
      <c r="BA650" s="1964">
        <v>0</v>
      </c>
      <c r="BB650" s="1640"/>
      <c r="BC650" s="1640"/>
      <c r="BD650" s="1640"/>
      <c r="BE650" s="1964">
        <v>0</v>
      </c>
      <c r="BF650" s="1640"/>
      <c r="BG650" s="1640"/>
      <c r="BH650" s="1640"/>
      <c r="BI650" s="1641"/>
      <c r="BJ650" s="1640"/>
      <c r="BK650" s="1640"/>
      <c r="BL650" s="1640"/>
      <c r="BM650" s="1641"/>
      <c r="BN650" s="1640"/>
      <c r="BO650" s="1640"/>
      <c r="BP650" s="1640"/>
      <c r="BQ650" s="1641"/>
      <c r="BR650" s="1640"/>
      <c r="BS650" s="1640"/>
      <c r="BT650" s="1640"/>
      <c r="BU650" s="1641"/>
      <c r="BV650" s="1640"/>
      <c r="BW650" s="1640"/>
      <c r="BX650" s="1640"/>
      <c r="BY650" s="1641"/>
      <c r="BZ650" s="1640"/>
      <c r="CA650" s="1640"/>
      <c r="CB650" s="1640"/>
      <c r="CC650" s="1641"/>
      <c r="CD650" s="1640"/>
      <c r="CE650" s="1640"/>
      <c r="CF650" s="1640"/>
      <c r="CG650" s="1642"/>
      <c r="CH650" s="1641">
        <f t="shared" si="427"/>
        <v>0</v>
      </c>
      <c r="CI650" s="1641">
        <f t="shared" si="427"/>
        <v>0</v>
      </c>
      <c r="CJ650" s="1641">
        <f t="shared" si="427"/>
        <v>0</v>
      </c>
      <c r="CK650" s="1641">
        <f t="shared" si="427"/>
        <v>0</v>
      </c>
      <c r="CL650" s="1889">
        <v>0</v>
      </c>
      <c r="CM650" s="1889">
        <v>0</v>
      </c>
      <c r="CN650" s="1889">
        <v>0</v>
      </c>
      <c r="CO650" s="1889">
        <v>0</v>
      </c>
      <c r="CP650" s="1641"/>
      <c r="CQ650" s="1640"/>
      <c r="CR650" s="1640"/>
      <c r="CS650" s="1640"/>
      <c r="CX650" s="1558"/>
      <c r="CY650" s="1558"/>
      <c r="CZ650" s="1558"/>
      <c r="DA650" s="1559"/>
      <c r="DB650" s="1559"/>
      <c r="DC650" s="1559"/>
    </row>
    <row r="651" spans="1:107" ht="15" thickBot="1" x14ac:dyDescent="0.2">
      <c r="A651" s="1541" t="s">
        <v>84</v>
      </c>
      <c r="B651" s="1523" t="s">
        <v>79</v>
      </c>
      <c r="C651" s="1523" t="s">
        <v>80</v>
      </c>
      <c r="D651" s="1523" t="s">
        <v>125</v>
      </c>
      <c r="E651" s="1523" t="s">
        <v>216</v>
      </c>
      <c r="F651" s="1523"/>
      <c r="G651" s="1667">
        <v>213</v>
      </c>
      <c r="H651" s="1501">
        <f>12925.8-31.7</f>
        <v>12894.099999999999</v>
      </c>
      <c r="I651" s="1501"/>
      <c r="J651" s="1630"/>
      <c r="K651" s="1630"/>
      <c r="L651" s="1631"/>
      <c r="M651" s="1631"/>
      <c r="N651" s="1631"/>
      <c r="O651" s="1631"/>
      <c r="P651" s="1631"/>
      <c r="Q651" s="1631"/>
      <c r="R651" s="1631"/>
      <c r="S651" s="1631"/>
      <c r="T651" s="1632"/>
      <c r="U651" s="1633"/>
      <c r="V651" s="1633"/>
      <c r="W651" s="1634">
        <f>H651/12</f>
        <v>1074.5083333333332</v>
      </c>
      <c r="X651" s="1634">
        <f>AO651</f>
        <v>1077.2</v>
      </c>
      <c r="Y651" s="1634">
        <f>CC651</f>
        <v>1737.8</v>
      </c>
      <c r="Z651" s="1635">
        <v>1737.8</v>
      </c>
      <c r="AA651" s="1634">
        <f t="shared" si="438"/>
        <v>-1737.8</v>
      </c>
      <c r="AB651" s="1511">
        <f>AI651</f>
        <v>0</v>
      </c>
      <c r="AC651" s="1508">
        <f t="shared" si="449"/>
        <v>12894.1</v>
      </c>
      <c r="AD651" s="1509">
        <f t="shared" si="450"/>
        <v>0</v>
      </c>
      <c r="AE651" s="1509">
        <f t="shared" si="451"/>
        <v>0</v>
      </c>
      <c r="AF651" s="1509">
        <f t="shared" si="451"/>
        <v>0</v>
      </c>
      <c r="AG651" s="1509">
        <f t="shared" si="451"/>
        <v>0</v>
      </c>
      <c r="AH651" s="1490">
        <f t="shared" si="417"/>
        <v>411.2</v>
      </c>
      <c r="AI651" s="1636">
        <f t="shared" si="452"/>
        <v>0</v>
      </c>
      <c r="AJ651" s="1636">
        <f t="shared" si="453"/>
        <v>0</v>
      </c>
      <c r="AK651" s="1636">
        <f t="shared" si="454"/>
        <v>0</v>
      </c>
      <c r="AL651" s="1636">
        <f t="shared" si="454"/>
        <v>0</v>
      </c>
      <c r="AM651" s="1636">
        <f t="shared" si="454"/>
        <v>0</v>
      </c>
      <c r="AN651" s="1637">
        <f>AI651/4</f>
        <v>0</v>
      </c>
      <c r="AO651" s="1722">
        <v>1077.2</v>
      </c>
      <c r="AP651" s="1638"/>
      <c r="AQ651" s="1638"/>
      <c r="AR651" s="1638"/>
      <c r="AS651" s="1963">
        <v>1077.2</v>
      </c>
      <c r="AT651" s="1638"/>
      <c r="AU651" s="1638"/>
      <c r="AV651" s="1638"/>
      <c r="AW651" s="1722">
        <v>1077.2</v>
      </c>
      <c r="AX651" s="1640"/>
      <c r="AY651" s="1640"/>
      <c r="AZ651" s="1640"/>
      <c r="BA651" s="1964">
        <v>1077.2</v>
      </c>
      <c r="BB651" s="1640"/>
      <c r="BC651" s="1640"/>
      <c r="BD651" s="1640"/>
      <c r="BE651" s="1964">
        <v>1077.2</v>
      </c>
      <c r="BF651" s="1640"/>
      <c r="BG651" s="1640"/>
      <c r="BH651" s="1640"/>
      <c r="BI651" s="1641"/>
      <c r="BJ651" s="1640"/>
      <c r="BK651" s="1640"/>
      <c r="BL651" s="1640"/>
      <c r="BM651" s="1641">
        <f>1077.2+2154.4</f>
        <v>3231.6000000000004</v>
      </c>
      <c r="BN651" s="1640"/>
      <c r="BO651" s="1640"/>
      <c r="BP651" s="1640"/>
      <c r="BQ651" s="1641">
        <v>1077.2</v>
      </c>
      <c r="BR651" s="1640"/>
      <c r="BS651" s="1640"/>
      <c r="BT651" s="1640"/>
      <c r="BU651" s="1641">
        <v>799.8</v>
      </c>
      <c r="BV651" s="1640"/>
      <c r="BW651" s="1640"/>
      <c r="BX651" s="1640"/>
      <c r="BY651" s="1641">
        <v>250.5</v>
      </c>
      <c r="BZ651" s="1640"/>
      <c r="CA651" s="1640"/>
      <c r="CB651" s="1640"/>
      <c r="CC651" s="1641">
        <v>1737.8</v>
      </c>
      <c r="CD651" s="1640"/>
      <c r="CE651" s="1640"/>
      <c r="CF651" s="1640"/>
      <c r="CG651" s="1642"/>
      <c r="CH651" s="1641">
        <f t="shared" si="427"/>
        <v>411.2</v>
      </c>
      <c r="CI651" s="1641">
        <f t="shared" si="427"/>
        <v>0</v>
      </c>
      <c r="CJ651" s="1641">
        <f t="shared" si="427"/>
        <v>0</v>
      </c>
      <c r="CK651" s="1641">
        <f t="shared" si="427"/>
        <v>0</v>
      </c>
      <c r="CL651" s="1889">
        <v>411.2</v>
      </c>
      <c r="CM651" s="1889">
        <v>0</v>
      </c>
      <c r="CN651" s="1889">
        <v>0</v>
      </c>
      <c r="CO651" s="1889">
        <v>0</v>
      </c>
      <c r="CP651" s="1641"/>
      <c r="CQ651" s="1640"/>
      <c r="CR651" s="1640"/>
      <c r="CS651" s="1640"/>
      <c r="CX651" s="1558">
        <f>H651/12*10-AC651</f>
        <v>-2149.0166666666682</v>
      </c>
      <c r="CY651" s="1558">
        <f>AI651/3</f>
        <v>0</v>
      </c>
      <c r="CZ651" s="1558">
        <f>H651/12</f>
        <v>1074.5083333333332</v>
      </c>
      <c r="DA651" s="1559"/>
      <c r="DB651" s="1559"/>
      <c r="DC651" s="1559"/>
    </row>
    <row r="652" spans="1:107" ht="15" thickBot="1" x14ac:dyDescent="0.2">
      <c r="A652" s="1541" t="s">
        <v>85</v>
      </c>
      <c r="B652" s="1523" t="s">
        <v>79</v>
      </c>
      <c r="C652" s="1523" t="s">
        <v>80</v>
      </c>
      <c r="D652" s="1523" t="s">
        <v>125</v>
      </c>
      <c r="E652" s="1523" t="s">
        <v>216</v>
      </c>
      <c r="F652" s="1523"/>
      <c r="G652" s="1667">
        <v>221</v>
      </c>
      <c r="H652" s="1501"/>
      <c r="I652" s="1501"/>
      <c r="J652" s="1630"/>
      <c r="K652" s="1630"/>
      <c r="L652" s="1631"/>
      <c r="M652" s="1631"/>
      <c r="N652" s="1631"/>
      <c r="O652" s="1631"/>
      <c r="P652" s="1631"/>
      <c r="Q652" s="1631"/>
      <c r="R652" s="1631"/>
      <c r="S652" s="1631"/>
      <c r="T652" s="1632"/>
      <c r="U652" s="1633"/>
      <c r="V652" s="1633"/>
      <c r="W652" s="1634"/>
      <c r="X652" s="1634"/>
      <c r="Y652" s="1634"/>
      <c r="Z652" s="1635"/>
      <c r="AA652" s="1634">
        <f>AB652-Z652</f>
        <v>0</v>
      </c>
      <c r="AB652" s="1634"/>
      <c r="AC652" s="1508">
        <f t="shared" si="449"/>
        <v>0</v>
      </c>
      <c r="AD652" s="1509">
        <f t="shared" si="450"/>
        <v>0</v>
      </c>
      <c r="AE652" s="1509">
        <f t="shared" si="451"/>
        <v>0</v>
      </c>
      <c r="AF652" s="1509">
        <f t="shared" si="451"/>
        <v>0</v>
      </c>
      <c r="AG652" s="1509">
        <f t="shared" si="451"/>
        <v>0</v>
      </c>
      <c r="AH652" s="1490">
        <f t="shared" si="417"/>
        <v>0</v>
      </c>
      <c r="AI652" s="1636">
        <f t="shared" si="452"/>
        <v>0</v>
      </c>
      <c r="AJ652" s="1636">
        <f t="shared" si="453"/>
        <v>0</v>
      </c>
      <c r="AK652" s="1636">
        <f t="shared" si="454"/>
        <v>0</v>
      </c>
      <c r="AL652" s="1636">
        <f t="shared" si="454"/>
        <v>0</v>
      </c>
      <c r="AM652" s="1636">
        <f t="shared" si="454"/>
        <v>0</v>
      </c>
      <c r="AN652" s="1637"/>
      <c r="AO652" s="1722">
        <v>0</v>
      </c>
      <c r="AP652" s="1638"/>
      <c r="AQ652" s="1638"/>
      <c r="AR652" s="1638"/>
      <c r="AS652" s="1963">
        <v>0</v>
      </c>
      <c r="AT652" s="1638"/>
      <c r="AU652" s="1638"/>
      <c r="AV652" s="1638"/>
      <c r="AW652" s="1639"/>
      <c r="AX652" s="1640"/>
      <c r="AY652" s="1640"/>
      <c r="AZ652" s="1640"/>
      <c r="BA652" s="1641"/>
      <c r="BB652" s="1640"/>
      <c r="BC652" s="1640"/>
      <c r="BD652" s="1640"/>
      <c r="BE652" s="1644"/>
      <c r="BF652" s="1640"/>
      <c r="BG652" s="1640"/>
      <c r="BH652" s="1640"/>
      <c r="BI652" s="1641"/>
      <c r="BJ652" s="1640"/>
      <c r="BK652" s="1640"/>
      <c r="BL652" s="1640"/>
      <c r="BM652" s="1641"/>
      <c r="BN652" s="1640"/>
      <c r="BO652" s="1640"/>
      <c r="BP652" s="1640"/>
      <c r="BQ652" s="1641"/>
      <c r="BR652" s="1640"/>
      <c r="BS652" s="1640"/>
      <c r="BT652" s="1640"/>
      <c r="BU652" s="1641"/>
      <c r="BV652" s="1640"/>
      <c r="BW652" s="1640"/>
      <c r="BX652" s="1640"/>
      <c r="BY652" s="1641"/>
      <c r="BZ652" s="1640"/>
      <c r="CA652" s="1640"/>
      <c r="CB652" s="1640"/>
      <c r="CC652" s="1641"/>
      <c r="CD652" s="1640"/>
      <c r="CE652" s="1640"/>
      <c r="CF652" s="1640"/>
      <c r="CG652" s="1642"/>
      <c r="CH652" s="1641">
        <f t="shared" si="427"/>
        <v>0</v>
      </c>
      <c r="CI652" s="1641">
        <f t="shared" si="427"/>
        <v>0</v>
      </c>
      <c r="CJ652" s="1641">
        <f t="shared" si="427"/>
        <v>0</v>
      </c>
      <c r="CK652" s="1641">
        <f t="shared" si="427"/>
        <v>0</v>
      </c>
      <c r="CL652" s="1889">
        <v>0</v>
      </c>
      <c r="CM652" s="1889">
        <v>0</v>
      </c>
      <c r="CN652" s="1889">
        <v>0</v>
      </c>
      <c r="CO652" s="1889">
        <v>0</v>
      </c>
      <c r="CP652" s="1641"/>
      <c r="CQ652" s="1640"/>
      <c r="CR652" s="1640"/>
      <c r="CS652" s="1640"/>
    </row>
    <row r="653" spans="1:107" ht="15" thickBot="1" x14ac:dyDescent="0.2">
      <c r="A653" s="1541" t="s">
        <v>86</v>
      </c>
      <c r="B653" s="1523" t="s">
        <v>79</v>
      </c>
      <c r="C653" s="1523" t="s">
        <v>80</v>
      </c>
      <c r="D653" s="1523" t="s">
        <v>125</v>
      </c>
      <c r="E653" s="1523" t="s">
        <v>216</v>
      </c>
      <c r="F653" s="1523"/>
      <c r="G653" s="1667">
        <v>222</v>
      </c>
      <c r="H653" s="1501"/>
      <c r="I653" s="1501"/>
      <c r="J653" s="1630"/>
      <c r="K653" s="1630"/>
      <c r="L653" s="1631"/>
      <c r="M653" s="1631"/>
      <c r="N653" s="1631"/>
      <c r="O653" s="1631"/>
      <c r="P653" s="1631"/>
      <c r="Q653" s="1631"/>
      <c r="R653" s="1631"/>
      <c r="S653" s="1631"/>
      <c r="T653" s="1632"/>
      <c r="U653" s="1633"/>
      <c r="V653" s="1633"/>
      <c r="W653" s="1634"/>
      <c r="X653" s="1634"/>
      <c r="Y653" s="1634"/>
      <c r="Z653" s="1635"/>
      <c r="AA653" s="1634">
        <f t="shared" si="438"/>
        <v>0</v>
      </c>
      <c r="AB653" s="1634"/>
      <c r="AC653" s="1508">
        <f t="shared" si="449"/>
        <v>0</v>
      </c>
      <c r="AD653" s="1509">
        <f t="shared" si="450"/>
        <v>0</v>
      </c>
      <c r="AE653" s="1509">
        <f t="shared" si="451"/>
        <v>0</v>
      </c>
      <c r="AF653" s="1509">
        <f t="shared" si="451"/>
        <v>0</v>
      </c>
      <c r="AG653" s="1509">
        <f t="shared" si="451"/>
        <v>0</v>
      </c>
      <c r="AH653" s="1490">
        <f t="shared" si="417"/>
        <v>0</v>
      </c>
      <c r="AI653" s="1636">
        <f t="shared" si="452"/>
        <v>0</v>
      </c>
      <c r="AJ653" s="1636">
        <f t="shared" si="453"/>
        <v>0</v>
      </c>
      <c r="AK653" s="1636">
        <f t="shared" si="454"/>
        <v>0</v>
      </c>
      <c r="AL653" s="1636">
        <f t="shared" si="454"/>
        <v>0</v>
      </c>
      <c r="AM653" s="1636">
        <f t="shared" si="454"/>
        <v>0</v>
      </c>
      <c r="AN653" s="1637"/>
      <c r="AO653" s="1722">
        <v>0</v>
      </c>
      <c r="AP653" s="1638"/>
      <c r="AQ653" s="1638"/>
      <c r="AR653" s="1638"/>
      <c r="AS653" s="1963">
        <v>0</v>
      </c>
      <c r="AT653" s="1638"/>
      <c r="AU653" s="1638"/>
      <c r="AV653" s="1638"/>
      <c r="AW653" s="1639"/>
      <c r="AX653" s="1640"/>
      <c r="AY653" s="1640"/>
      <c r="AZ653" s="1640"/>
      <c r="BA653" s="1641"/>
      <c r="BB653" s="1640"/>
      <c r="BC653" s="1640"/>
      <c r="BD653" s="1640"/>
      <c r="BE653" s="1644"/>
      <c r="BF653" s="1640"/>
      <c r="BG653" s="1640"/>
      <c r="BH653" s="1640"/>
      <c r="BI653" s="1641"/>
      <c r="BJ653" s="1640"/>
      <c r="BK653" s="1640"/>
      <c r="BL653" s="1640"/>
      <c r="BM653" s="1641"/>
      <c r="BN653" s="1640"/>
      <c r="BO653" s="1640"/>
      <c r="BP653" s="1640"/>
      <c r="BQ653" s="1641"/>
      <c r="BR653" s="1640"/>
      <c r="BS653" s="1640"/>
      <c r="BT653" s="1640"/>
      <c r="BU653" s="1641"/>
      <c r="BV653" s="1640"/>
      <c r="BW653" s="1640"/>
      <c r="BX653" s="1640"/>
      <c r="BY653" s="1641"/>
      <c r="BZ653" s="1640"/>
      <c r="CA653" s="1640"/>
      <c r="CB653" s="1640"/>
      <c r="CC653" s="1641"/>
      <c r="CD653" s="1640"/>
      <c r="CE653" s="1640"/>
      <c r="CF653" s="1640"/>
      <c r="CG653" s="1642"/>
      <c r="CH653" s="1641">
        <f t="shared" si="427"/>
        <v>0</v>
      </c>
      <c r="CI653" s="1641">
        <f t="shared" si="427"/>
        <v>0</v>
      </c>
      <c r="CJ653" s="1641">
        <f t="shared" si="427"/>
        <v>0</v>
      </c>
      <c r="CK653" s="1641">
        <f t="shared" si="427"/>
        <v>0</v>
      </c>
      <c r="CL653" s="1889">
        <v>0</v>
      </c>
      <c r="CM653" s="1889">
        <v>0</v>
      </c>
      <c r="CN653" s="1889">
        <v>0</v>
      </c>
      <c r="CO653" s="1889">
        <v>0</v>
      </c>
      <c r="CP653" s="1641"/>
      <c r="CQ653" s="1640"/>
      <c r="CR653" s="1640"/>
      <c r="CS653" s="1640"/>
    </row>
    <row r="654" spans="1:107" ht="15" thickBot="1" x14ac:dyDescent="0.2">
      <c r="A654" s="1541" t="s">
        <v>87</v>
      </c>
      <c r="B654" s="1523" t="s">
        <v>79</v>
      </c>
      <c r="C654" s="1523" t="s">
        <v>80</v>
      </c>
      <c r="D654" s="1523" t="s">
        <v>125</v>
      </c>
      <c r="E654" s="1523" t="s">
        <v>216</v>
      </c>
      <c r="F654" s="1523"/>
      <c r="G654" s="1667">
        <v>223</v>
      </c>
      <c r="H654" s="1501"/>
      <c r="I654" s="1501"/>
      <c r="J654" s="1630"/>
      <c r="K654" s="1630"/>
      <c r="L654" s="1631"/>
      <c r="M654" s="1631"/>
      <c r="N654" s="1631"/>
      <c r="O654" s="1631"/>
      <c r="P654" s="1631"/>
      <c r="Q654" s="1631"/>
      <c r="R654" s="1631"/>
      <c r="S654" s="1631"/>
      <c r="T654" s="1632"/>
      <c r="U654" s="1633"/>
      <c r="V654" s="1633"/>
      <c r="W654" s="1634"/>
      <c r="X654" s="1634"/>
      <c r="Y654" s="1634"/>
      <c r="Z654" s="1635"/>
      <c r="AA654" s="1634">
        <f t="shared" si="438"/>
        <v>0</v>
      </c>
      <c r="AB654" s="1634"/>
      <c r="AC654" s="1508">
        <f t="shared" si="449"/>
        <v>0</v>
      </c>
      <c r="AD654" s="1509">
        <f t="shared" si="450"/>
        <v>0</v>
      </c>
      <c r="AE654" s="1509">
        <f t="shared" si="451"/>
        <v>0</v>
      </c>
      <c r="AF654" s="1509">
        <f t="shared" si="451"/>
        <v>0</v>
      </c>
      <c r="AG654" s="1509">
        <f t="shared" si="451"/>
        <v>0</v>
      </c>
      <c r="AH654" s="1490">
        <f t="shared" si="417"/>
        <v>0</v>
      </c>
      <c r="AI654" s="1636">
        <f t="shared" si="452"/>
        <v>0</v>
      </c>
      <c r="AJ654" s="1636">
        <f t="shared" si="453"/>
        <v>0</v>
      </c>
      <c r="AK654" s="1636">
        <f t="shared" si="454"/>
        <v>0</v>
      </c>
      <c r="AL654" s="1636">
        <f t="shared" si="454"/>
        <v>0</v>
      </c>
      <c r="AM654" s="1636">
        <f t="shared" si="454"/>
        <v>0</v>
      </c>
      <c r="AN654" s="1637"/>
      <c r="AO654" s="1722">
        <v>0</v>
      </c>
      <c r="AP654" s="1638"/>
      <c r="AQ654" s="1638"/>
      <c r="AR654" s="1638"/>
      <c r="AS654" s="1963">
        <v>0</v>
      </c>
      <c r="AT654" s="1638"/>
      <c r="AU654" s="1638"/>
      <c r="AV654" s="1638"/>
      <c r="AW654" s="1639"/>
      <c r="AX654" s="1640"/>
      <c r="AY654" s="1640"/>
      <c r="AZ654" s="1640"/>
      <c r="BA654" s="1641"/>
      <c r="BB654" s="1640"/>
      <c r="BC654" s="1640"/>
      <c r="BD654" s="1640"/>
      <c r="BE654" s="1644"/>
      <c r="BF654" s="1640"/>
      <c r="BG654" s="1640"/>
      <c r="BH654" s="1640"/>
      <c r="BI654" s="1641"/>
      <c r="BJ654" s="1640"/>
      <c r="BK654" s="1640"/>
      <c r="BL654" s="1640"/>
      <c r="BM654" s="1641"/>
      <c r="BN654" s="1640"/>
      <c r="BO654" s="1640"/>
      <c r="BP654" s="1640"/>
      <c r="BQ654" s="1641"/>
      <c r="BR654" s="1640"/>
      <c r="BS654" s="1640"/>
      <c r="BT654" s="1640"/>
      <c r="BU654" s="1641"/>
      <c r="BV654" s="1640"/>
      <c r="BW654" s="1640"/>
      <c r="BX654" s="1640"/>
      <c r="BY654" s="1641"/>
      <c r="BZ654" s="1640"/>
      <c r="CA654" s="1640"/>
      <c r="CB654" s="1640"/>
      <c r="CC654" s="1641"/>
      <c r="CD654" s="1640"/>
      <c r="CE654" s="1640"/>
      <c r="CF654" s="1640"/>
      <c r="CG654" s="1642"/>
      <c r="CH654" s="1641">
        <f t="shared" si="427"/>
        <v>0</v>
      </c>
      <c r="CI654" s="1641">
        <f t="shared" si="427"/>
        <v>0</v>
      </c>
      <c r="CJ654" s="1641">
        <f t="shared" si="427"/>
        <v>0</v>
      </c>
      <c r="CK654" s="1641">
        <f t="shared" si="427"/>
        <v>0</v>
      </c>
      <c r="CL654" s="1889">
        <v>0</v>
      </c>
      <c r="CM654" s="1889">
        <v>0</v>
      </c>
      <c r="CN654" s="1889">
        <v>0</v>
      </c>
      <c r="CO654" s="1889">
        <v>0</v>
      </c>
      <c r="CP654" s="1641"/>
      <c r="CQ654" s="1640"/>
      <c r="CR654" s="1640"/>
      <c r="CS654" s="1640"/>
    </row>
    <row r="655" spans="1:107" ht="15" thickBot="1" x14ac:dyDescent="0.2">
      <c r="A655" s="1541" t="s">
        <v>134</v>
      </c>
      <c r="B655" s="1523" t="s">
        <v>79</v>
      </c>
      <c r="C655" s="1523" t="s">
        <v>80</v>
      </c>
      <c r="D655" s="1523" t="s">
        <v>125</v>
      </c>
      <c r="E655" s="1523" t="s">
        <v>216</v>
      </c>
      <c r="F655" s="1523"/>
      <c r="G655" s="1667">
        <v>224</v>
      </c>
      <c r="H655" s="1501"/>
      <c r="I655" s="1501"/>
      <c r="J655" s="1630"/>
      <c r="K655" s="1630"/>
      <c r="L655" s="1631"/>
      <c r="M655" s="1631"/>
      <c r="N655" s="1631"/>
      <c r="O655" s="1631"/>
      <c r="P655" s="1631"/>
      <c r="Q655" s="1631"/>
      <c r="R655" s="1631"/>
      <c r="S655" s="1631"/>
      <c r="T655" s="1632"/>
      <c r="U655" s="1633"/>
      <c r="V655" s="1633"/>
      <c r="W655" s="1634"/>
      <c r="X655" s="1634"/>
      <c r="Y655" s="1634"/>
      <c r="Z655" s="1635"/>
      <c r="AA655" s="1634">
        <f t="shared" si="438"/>
        <v>0</v>
      </c>
      <c r="AB655" s="1634"/>
      <c r="AC655" s="1508">
        <f t="shared" si="449"/>
        <v>0</v>
      </c>
      <c r="AD655" s="1509">
        <f t="shared" si="450"/>
        <v>0</v>
      </c>
      <c r="AE655" s="1509">
        <f t="shared" si="451"/>
        <v>0</v>
      </c>
      <c r="AF655" s="1509">
        <f t="shared" si="451"/>
        <v>0</v>
      </c>
      <c r="AG655" s="1509">
        <f t="shared" si="451"/>
        <v>0</v>
      </c>
      <c r="AH655" s="1490">
        <f t="shared" si="417"/>
        <v>0</v>
      </c>
      <c r="AI655" s="1636">
        <f t="shared" si="452"/>
        <v>0</v>
      </c>
      <c r="AJ655" s="1636">
        <f t="shared" si="453"/>
        <v>0</v>
      </c>
      <c r="AK655" s="1636">
        <f t="shared" si="454"/>
        <v>0</v>
      </c>
      <c r="AL655" s="1636">
        <f t="shared" si="454"/>
        <v>0</v>
      </c>
      <c r="AM655" s="1636">
        <f t="shared" si="454"/>
        <v>0</v>
      </c>
      <c r="AN655" s="1637"/>
      <c r="AO655" s="1722">
        <v>0</v>
      </c>
      <c r="AP655" s="1638"/>
      <c r="AQ655" s="1638"/>
      <c r="AR655" s="1638"/>
      <c r="AS655" s="1963">
        <v>0</v>
      </c>
      <c r="AT655" s="1638"/>
      <c r="AU655" s="1638"/>
      <c r="AV655" s="1638"/>
      <c r="AW655" s="1639"/>
      <c r="AX655" s="1640"/>
      <c r="AY655" s="1640"/>
      <c r="AZ655" s="1640"/>
      <c r="BA655" s="1641"/>
      <c r="BB655" s="1640"/>
      <c r="BC655" s="1640"/>
      <c r="BD655" s="1640"/>
      <c r="BE655" s="1644"/>
      <c r="BF655" s="1640"/>
      <c r="BG655" s="1640"/>
      <c r="BH655" s="1640"/>
      <c r="BI655" s="1641"/>
      <c r="BJ655" s="1640"/>
      <c r="BK655" s="1640"/>
      <c r="BL655" s="1640"/>
      <c r="BM655" s="1641"/>
      <c r="BN655" s="1640"/>
      <c r="BO655" s="1640"/>
      <c r="BP655" s="1640"/>
      <c r="BQ655" s="1641"/>
      <c r="BR655" s="1640"/>
      <c r="BS655" s="1640"/>
      <c r="BT655" s="1640"/>
      <c r="BU655" s="1641"/>
      <c r="BV655" s="1640"/>
      <c r="BW655" s="1640"/>
      <c r="BX655" s="1640"/>
      <c r="BY655" s="1641"/>
      <c r="BZ655" s="1640"/>
      <c r="CA655" s="1640"/>
      <c r="CB655" s="1640"/>
      <c r="CC655" s="1641"/>
      <c r="CD655" s="1640"/>
      <c r="CE655" s="1640"/>
      <c r="CF655" s="1640"/>
      <c r="CG655" s="1642"/>
      <c r="CH655" s="1641">
        <f t="shared" si="427"/>
        <v>0</v>
      </c>
      <c r="CI655" s="1641">
        <f t="shared" si="427"/>
        <v>0</v>
      </c>
      <c r="CJ655" s="1641">
        <f t="shared" si="427"/>
        <v>0</v>
      </c>
      <c r="CK655" s="1641">
        <f t="shared" si="427"/>
        <v>0</v>
      </c>
      <c r="CL655" s="1889">
        <v>0</v>
      </c>
      <c r="CM655" s="1889">
        <v>0</v>
      </c>
      <c r="CN655" s="1889">
        <v>0</v>
      </c>
      <c r="CO655" s="1889">
        <v>0</v>
      </c>
      <c r="CP655" s="1641"/>
      <c r="CQ655" s="1640"/>
      <c r="CR655" s="1640"/>
      <c r="CS655" s="1640"/>
    </row>
    <row r="656" spans="1:107" ht="15" thickBot="1" x14ac:dyDescent="0.2">
      <c r="A656" s="1541" t="s">
        <v>90</v>
      </c>
      <c r="B656" s="1523" t="s">
        <v>79</v>
      </c>
      <c r="C656" s="1523" t="s">
        <v>80</v>
      </c>
      <c r="D656" s="1523" t="s">
        <v>125</v>
      </c>
      <c r="E656" s="1523" t="s">
        <v>216</v>
      </c>
      <c r="F656" s="1523"/>
      <c r="G656" s="1667">
        <v>225</v>
      </c>
      <c r="H656" s="1501"/>
      <c r="I656" s="1501"/>
      <c r="J656" s="1630"/>
      <c r="K656" s="1630"/>
      <c r="L656" s="1631"/>
      <c r="M656" s="1631"/>
      <c r="N656" s="1631"/>
      <c r="O656" s="1631"/>
      <c r="P656" s="1631"/>
      <c r="Q656" s="1631"/>
      <c r="R656" s="1631"/>
      <c r="S656" s="1631"/>
      <c r="T656" s="1632"/>
      <c r="U656" s="1633"/>
      <c r="V656" s="1633"/>
      <c r="W656" s="1634"/>
      <c r="X656" s="1634"/>
      <c r="Y656" s="1634"/>
      <c r="Z656" s="1635"/>
      <c r="AA656" s="1634">
        <f t="shared" si="438"/>
        <v>0</v>
      </c>
      <c r="AB656" s="1634"/>
      <c r="AC656" s="1508">
        <f t="shared" si="449"/>
        <v>0</v>
      </c>
      <c r="AD656" s="1509">
        <f t="shared" si="450"/>
        <v>0</v>
      </c>
      <c r="AE656" s="1509">
        <f t="shared" si="451"/>
        <v>0</v>
      </c>
      <c r="AF656" s="1509">
        <f t="shared" si="451"/>
        <v>0</v>
      </c>
      <c r="AG656" s="1509">
        <f t="shared" si="451"/>
        <v>0</v>
      </c>
      <c r="AH656" s="1490">
        <f t="shared" si="417"/>
        <v>0</v>
      </c>
      <c r="AI656" s="1636">
        <f t="shared" si="452"/>
        <v>0</v>
      </c>
      <c r="AJ656" s="1636">
        <f t="shared" si="453"/>
        <v>0</v>
      </c>
      <c r="AK656" s="1636">
        <f t="shared" si="454"/>
        <v>0</v>
      </c>
      <c r="AL656" s="1636">
        <f t="shared" si="454"/>
        <v>0</v>
      </c>
      <c r="AM656" s="1636">
        <f t="shared" si="454"/>
        <v>0</v>
      </c>
      <c r="AN656" s="1637"/>
      <c r="AO656" s="1723"/>
      <c r="AP656" s="1638"/>
      <c r="AQ656" s="1638"/>
      <c r="AR656" s="1638"/>
      <c r="AS656" s="1639"/>
      <c r="AT656" s="1638"/>
      <c r="AU656" s="1638"/>
      <c r="AV656" s="1638"/>
      <c r="AW656" s="1639"/>
      <c r="AX656" s="1640"/>
      <c r="AY656" s="1640"/>
      <c r="AZ656" s="1640"/>
      <c r="BA656" s="1641"/>
      <c r="BB656" s="1640"/>
      <c r="BC656" s="1640"/>
      <c r="BD656" s="1640"/>
      <c r="BE656" s="1644"/>
      <c r="BF656" s="1640"/>
      <c r="BG656" s="1640"/>
      <c r="BH656" s="1640"/>
      <c r="BI656" s="1641"/>
      <c r="BJ656" s="1640"/>
      <c r="BK656" s="1640"/>
      <c r="BL656" s="1640"/>
      <c r="BM656" s="1641"/>
      <c r="BN656" s="1640"/>
      <c r="BO656" s="1640"/>
      <c r="BP656" s="1640"/>
      <c r="BQ656" s="1641"/>
      <c r="BR656" s="1640"/>
      <c r="BS656" s="1640"/>
      <c r="BT656" s="1640"/>
      <c r="BU656" s="1641"/>
      <c r="BV656" s="1640"/>
      <c r="BW656" s="1640"/>
      <c r="BX656" s="1640"/>
      <c r="BY656" s="1641"/>
      <c r="BZ656" s="1640"/>
      <c r="CA656" s="1640"/>
      <c r="CB656" s="1640"/>
      <c r="CC656" s="1641"/>
      <c r="CD656" s="1640"/>
      <c r="CE656" s="1640"/>
      <c r="CF656" s="1640"/>
      <c r="CG656" s="1642"/>
      <c r="CH656" s="1641">
        <f t="shared" si="427"/>
        <v>0</v>
      </c>
      <c r="CI656" s="1641">
        <f t="shared" si="427"/>
        <v>0</v>
      </c>
      <c r="CJ656" s="1641">
        <f t="shared" si="427"/>
        <v>0</v>
      </c>
      <c r="CK656" s="1641">
        <f t="shared" si="427"/>
        <v>0</v>
      </c>
      <c r="CL656" s="1889">
        <v>0</v>
      </c>
      <c r="CM656" s="1889">
        <v>0</v>
      </c>
      <c r="CN656" s="1889">
        <v>0</v>
      </c>
      <c r="CO656" s="1889">
        <v>0</v>
      </c>
      <c r="CP656" s="1641"/>
      <c r="CQ656" s="1640"/>
      <c r="CR656" s="1640"/>
      <c r="CS656" s="1640"/>
    </row>
    <row r="657" spans="1:107" ht="15" thickBot="1" x14ac:dyDescent="0.2">
      <c r="A657" s="1541" t="s">
        <v>91</v>
      </c>
      <c r="B657" s="1523" t="s">
        <v>79</v>
      </c>
      <c r="C657" s="1523" t="s">
        <v>80</v>
      </c>
      <c r="D657" s="1523" t="s">
        <v>125</v>
      </c>
      <c r="E657" s="1523" t="s">
        <v>216</v>
      </c>
      <c r="F657" s="1523"/>
      <c r="G657" s="1667">
        <v>226</v>
      </c>
      <c r="H657" s="1501">
        <f>35+12+150-60</f>
        <v>137</v>
      </c>
      <c r="I657" s="1501">
        <f>120</f>
        <v>120</v>
      </c>
      <c r="J657" s="1630"/>
      <c r="K657" s="1630"/>
      <c r="L657" s="1631"/>
      <c r="M657" s="1631"/>
      <c r="N657" s="1631"/>
      <c r="O657" s="1631"/>
      <c r="P657" s="1631"/>
      <c r="Q657" s="1631"/>
      <c r="R657" s="1631"/>
      <c r="S657" s="1631"/>
      <c r="T657" s="1632"/>
      <c r="U657" s="1633"/>
      <c r="V657" s="1633"/>
      <c r="W657" s="1634"/>
      <c r="X657" s="1634"/>
      <c r="Y657" s="1634"/>
      <c r="Z657" s="1635"/>
      <c r="AA657" s="1634">
        <f t="shared" si="438"/>
        <v>0</v>
      </c>
      <c r="AB657" s="1634"/>
      <c r="AC657" s="1508">
        <f t="shared" si="449"/>
        <v>137</v>
      </c>
      <c r="AD657" s="1509">
        <f t="shared" si="450"/>
        <v>120</v>
      </c>
      <c r="AE657" s="1509">
        <f t="shared" si="451"/>
        <v>120</v>
      </c>
      <c r="AF657" s="1509">
        <f t="shared" si="451"/>
        <v>0</v>
      </c>
      <c r="AG657" s="1509">
        <f t="shared" si="451"/>
        <v>0</v>
      </c>
      <c r="AH657" s="1490">
        <f t="shared" si="417"/>
        <v>80.653999999999996</v>
      </c>
      <c r="AI657" s="1636">
        <f t="shared" si="452"/>
        <v>0</v>
      </c>
      <c r="AJ657" s="1636">
        <f t="shared" si="453"/>
        <v>0</v>
      </c>
      <c r="AK657" s="1636">
        <f t="shared" si="454"/>
        <v>0</v>
      </c>
      <c r="AL657" s="1636">
        <f t="shared" si="454"/>
        <v>0</v>
      </c>
      <c r="AM657" s="1636">
        <f t="shared" si="454"/>
        <v>0</v>
      </c>
      <c r="AN657" s="1637"/>
      <c r="AO657" s="1723"/>
      <c r="AP657" s="1638"/>
      <c r="AQ657" s="1638"/>
      <c r="AR657" s="1638"/>
      <c r="AS657" s="1639"/>
      <c r="AT657" s="1638"/>
      <c r="AU657" s="1638"/>
      <c r="AV657" s="1638"/>
      <c r="AW657" s="1639"/>
      <c r="AX657" s="1640"/>
      <c r="AY657" s="1640"/>
      <c r="AZ657" s="1640"/>
      <c r="BA657" s="1641"/>
      <c r="BB657" s="1640"/>
      <c r="BC657" s="1640"/>
      <c r="BD657" s="1640"/>
      <c r="BE657" s="1644">
        <v>21.3</v>
      </c>
      <c r="BF657" s="1640">
        <v>120</v>
      </c>
      <c r="BG657" s="1640"/>
      <c r="BH657" s="1640"/>
      <c r="BI657" s="1641"/>
      <c r="BJ657" s="1640"/>
      <c r="BK657" s="1640"/>
      <c r="BL657" s="1640"/>
      <c r="BM657" s="1641"/>
      <c r="BN657" s="1640"/>
      <c r="BO657" s="1640"/>
      <c r="BP657" s="1640"/>
      <c r="BQ657" s="1641">
        <v>35.045999999999999</v>
      </c>
      <c r="BR657" s="1640"/>
      <c r="BS657" s="1640"/>
      <c r="BT657" s="1640"/>
      <c r="BU657" s="1641"/>
      <c r="BV657" s="1640"/>
      <c r="BW657" s="1640"/>
      <c r="BX657" s="1640"/>
      <c r="BY657" s="1641"/>
      <c r="BZ657" s="1640"/>
      <c r="CA657" s="1640"/>
      <c r="CB657" s="1640"/>
      <c r="CC657" s="1641"/>
      <c r="CD657" s="1640"/>
      <c r="CE657" s="1640"/>
      <c r="CF657" s="1640"/>
      <c r="CG657" s="1642"/>
      <c r="CH657" s="1641">
        <f t="shared" si="427"/>
        <v>80.653999999999996</v>
      </c>
      <c r="CI657" s="1641">
        <f t="shared" si="427"/>
        <v>0</v>
      </c>
      <c r="CJ657" s="1641">
        <f t="shared" si="427"/>
        <v>0</v>
      </c>
      <c r="CK657" s="1641">
        <f t="shared" si="427"/>
        <v>0</v>
      </c>
      <c r="CL657" s="1889">
        <v>80.653999999999996</v>
      </c>
      <c r="CM657" s="1889">
        <v>0</v>
      </c>
      <c r="CN657" s="1889">
        <v>0</v>
      </c>
      <c r="CO657" s="1889">
        <v>0</v>
      </c>
      <c r="CP657" s="1641"/>
      <c r="CQ657" s="1640"/>
      <c r="CR657" s="1640"/>
      <c r="CS657" s="1640"/>
    </row>
    <row r="658" spans="1:107" s="1559" customFormat="1" ht="15" thickBot="1" x14ac:dyDescent="0.2">
      <c r="A658" s="1541" t="s">
        <v>94</v>
      </c>
      <c r="B658" s="1523" t="s">
        <v>79</v>
      </c>
      <c r="C658" s="1523" t="s">
        <v>80</v>
      </c>
      <c r="D658" s="1523" t="s">
        <v>125</v>
      </c>
      <c r="E658" s="1523" t="s">
        <v>216</v>
      </c>
      <c r="F658" s="1523"/>
      <c r="G658" s="1667">
        <v>290</v>
      </c>
      <c r="H658" s="1501">
        <f>98-87.9</f>
        <v>10.099999999999994</v>
      </c>
      <c r="I658" s="1501"/>
      <c r="J658" s="1630"/>
      <c r="K658" s="1630"/>
      <c r="L658" s="1631"/>
      <c r="M658" s="1631"/>
      <c r="N658" s="1631"/>
      <c r="O658" s="1631"/>
      <c r="P658" s="1631"/>
      <c r="Q658" s="1631"/>
      <c r="R658" s="1631"/>
      <c r="S658" s="1631"/>
      <c r="T658" s="1632"/>
      <c r="U658" s="1633"/>
      <c r="V658" s="1633"/>
      <c r="W658" s="1634"/>
      <c r="X658" s="1634"/>
      <c r="Y658" s="1634"/>
      <c r="Z658" s="1635"/>
      <c r="AA658" s="1634">
        <f t="shared" si="438"/>
        <v>0</v>
      </c>
      <c r="AB658" s="1634"/>
      <c r="AC658" s="1637">
        <f t="shared" si="449"/>
        <v>10.1</v>
      </c>
      <c r="AD658" s="1771">
        <f t="shared" si="450"/>
        <v>0</v>
      </c>
      <c r="AE658" s="1771">
        <f t="shared" si="451"/>
        <v>0</v>
      </c>
      <c r="AF658" s="1771">
        <f t="shared" si="451"/>
        <v>0</v>
      </c>
      <c r="AG658" s="1771">
        <f t="shared" si="451"/>
        <v>0</v>
      </c>
      <c r="AH658" s="1490">
        <f t="shared" si="417"/>
        <v>1.9</v>
      </c>
      <c r="AI658" s="1637">
        <f t="shared" si="452"/>
        <v>0</v>
      </c>
      <c r="AJ658" s="1637">
        <f t="shared" si="453"/>
        <v>0</v>
      </c>
      <c r="AK658" s="1637">
        <f t="shared" si="454"/>
        <v>0</v>
      </c>
      <c r="AL658" s="1636">
        <f t="shared" si="454"/>
        <v>0</v>
      </c>
      <c r="AM658" s="1637">
        <f t="shared" si="454"/>
        <v>0</v>
      </c>
      <c r="AN658" s="1637"/>
      <c r="AO658" s="1964">
        <v>8.1999999999999993</v>
      </c>
      <c r="AP658" s="1753"/>
      <c r="AQ658" s="1753"/>
      <c r="AR658" s="1753"/>
      <c r="AS658" s="1639"/>
      <c r="AT658" s="1753"/>
      <c r="AU658" s="1753"/>
      <c r="AV658" s="1753"/>
      <c r="AW658" s="1639"/>
      <c r="AX658" s="1641"/>
      <c r="AY658" s="1641"/>
      <c r="AZ658" s="1641"/>
      <c r="BA658" s="1641"/>
      <c r="BB658" s="1641"/>
      <c r="BC658" s="1641"/>
      <c r="BD658" s="1641"/>
      <c r="BE658" s="1644"/>
      <c r="BF658" s="1641"/>
      <c r="BG658" s="1641"/>
      <c r="BH658" s="1641"/>
      <c r="BI658" s="1641"/>
      <c r="BJ658" s="1641"/>
      <c r="BK658" s="1641"/>
      <c r="BL658" s="1641"/>
      <c r="BM658" s="1641"/>
      <c r="BN658" s="1641"/>
      <c r="BO658" s="1641"/>
      <c r="BP658" s="1641"/>
      <c r="BQ658" s="1641"/>
      <c r="BR658" s="1641"/>
      <c r="BS658" s="1641"/>
      <c r="BT658" s="1641"/>
      <c r="BU658" s="1641"/>
      <c r="BV658" s="1641"/>
      <c r="BW658" s="1641"/>
      <c r="BX658" s="1641"/>
      <c r="BY658" s="1641"/>
      <c r="BZ658" s="1641"/>
      <c r="CA658" s="1641"/>
      <c r="CB658" s="1641"/>
      <c r="CC658" s="1641"/>
      <c r="CD658" s="1641"/>
      <c r="CE658" s="1641"/>
      <c r="CF658" s="1641"/>
      <c r="CG658" s="1691"/>
      <c r="CH658" s="1641">
        <f t="shared" si="427"/>
        <v>1.9</v>
      </c>
      <c r="CI658" s="1641">
        <f t="shared" si="427"/>
        <v>0</v>
      </c>
      <c r="CJ658" s="1641">
        <f t="shared" si="427"/>
        <v>0</v>
      </c>
      <c r="CK658" s="1641">
        <f t="shared" si="427"/>
        <v>0</v>
      </c>
      <c r="CL658" s="1976">
        <v>1.9</v>
      </c>
      <c r="CM658" s="1976">
        <v>0</v>
      </c>
      <c r="CN658" s="1889">
        <v>0</v>
      </c>
      <c r="CO658" s="1976">
        <v>0</v>
      </c>
      <c r="CP658" s="1641"/>
      <c r="CQ658" s="1641"/>
      <c r="CR658" s="1641"/>
      <c r="CS658" s="1641"/>
      <c r="CT658" s="1558"/>
      <c r="CU658" s="1558"/>
      <c r="CV658" s="1558"/>
      <c r="CW658" s="1558"/>
      <c r="CY658" s="1558"/>
    </row>
    <row r="659" spans="1:107" ht="15" thickBot="1" x14ac:dyDescent="0.2">
      <c r="A659" s="1541" t="s">
        <v>94</v>
      </c>
      <c r="B659" s="1523" t="s">
        <v>79</v>
      </c>
      <c r="C659" s="1523" t="s">
        <v>80</v>
      </c>
      <c r="D659" s="1523" t="s">
        <v>125</v>
      </c>
      <c r="E659" s="1523" t="s">
        <v>216</v>
      </c>
      <c r="F659" s="1523"/>
      <c r="G659" s="1667" t="s">
        <v>95</v>
      </c>
      <c r="H659" s="1501"/>
      <c r="I659" s="1501"/>
      <c r="J659" s="1630"/>
      <c r="K659" s="1630"/>
      <c r="L659" s="1631"/>
      <c r="M659" s="1631"/>
      <c r="N659" s="1631"/>
      <c r="O659" s="1631"/>
      <c r="P659" s="1631"/>
      <c r="Q659" s="1631"/>
      <c r="R659" s="1631"/>
      <c r="S659" s="1631"/>
      <c r="T659" s="1632"/>
      <c r="U659" s="1633"/>
      <c r="V659" s="1633"/>
      <c r="W659" s="1634"/>
      <c r="X659" s="1634"/>
      <c r="Y659" s="1634"/>
      <c r="Z659" s="1635"/>
      <c r="AA659" s="1634">
        <f t="shared" si="438"/>
        <v>0</v>
      </c>
      <c r="AB659" s="1634"/>
      <c r="AC659" s="1508">
        <f t="shared" si="449"/>
        <v>0</v>
      </c>
      <c r="AD659" s="1509">
        <f t="shared" si="450"/>
        <v>0</v>
      </c>
      <c r="AE659" s="1509">
        <f t="shared" si="451"/>
        <v>0</v>
      </c>
      <c r="AF659" s="1509">
        <f t="shared" si="451"/>
        <v>0</v>
      </c>
      <c r="AG659" s="1509">
        <f t="shared" si="451"/>
        <v>0</v>
      </c>
      <c r="AH659" s="1490">
        <f t="shared" si="417"/>
        <v>0</v>
      </c>
      <c r="AI659" s="1636">
        <f t="shared" si="452"/>
        <v>0</v>
      </c>
      <c r="AJ659" s="1636">
        <f t="shared" si="453"/>
        <v>0</v>
      </c>
      <c r="AK659" s="1636">
        <f t="shared" si="454"/>
        <v>0</v>
      </c>
      <c r="AL659" s="1636">
        <f t="shared" si="454"/>
        <v>0</v>
      </c>
      <c r="AM659" s="1636">
        <f t="shared" si="454"/>
        <v>0</v>
      </c>
      <c r="AN659" s="1637"/>
      <c r="AO659" s="1722">
        <v>0</v>
      </c>
      <c r="AP659" s="1638"/>
      <c r="AQ659" s="1638"/>
      <c r="AR659" s="1638"/>
      <c r="AS659" s="1639"/>
      <c r="AT659" s="1638"/>
      <c r="AU659" s="1638"/>
      <c r="AV659" s="1638"/>
      <c r="AW659" s="1639"/>
      <c r="AX659" s="1640"/>
      <c r="AY659" s="1640"/>
      <c r="AZ659" s="1640"/>
      <c r="BA659" s="1641"/>
      <c r="BB659" s="1640"/>
      <c r="BC659" s="1640"/>
      <c r="BD659" s="1640"/>
      <c r="BE659" s="1644"/>
      <c r="BF659" s="1640"/>
      <c r="BG659" s="1640"/>
      <c r="BH659" s="1640"/>
      <c r="BI659" s="1641"/>
      <c r="BJ659" s="1640"/>
      <c r="BK659" s="1640"/>
      <c r="BL659" s="1640"/>
      <c r="BM659" s="1641"/>
      <c r="BN659" s="1640"/>
      <c r="BO659" s="1640"/>
      <c r="BP659" s="1640"/>
      <c r="BQ659" s="1641"/>
      <c r="BR659" s="1640"/>
      <c r="BS659" s="1640"/>
      <c r="BT659" s="1640"/>
      <c r="BU659" s="1641"/>
      <c r="BV659" s="1640"/>
      <c r="BW659" s="1640"/>
      <c r="BX659" s="1640"/>
      <c r="BY659" s="1641"/>
      <c r="BZ659" s="1640"/>
      <c r="CA659" s="1640"/>
      <c r="CB659" s="1640"/>
      <c r="CC659" s="1641"/>
      <c r="CD659" s="1640"/>
      <c r="CE659" s="1640"/>
      <c r="CF659" s="1640"/>
      <c r="CG659" s="1642"/>
      <c r="CH659" s="1641">
        <f t="shared" si="427"/>
        <v>0</v>
      </c>
      <c r="CI659" s="1641">
        <f t="shared" si="427"/>
        <v>0</v>
      </c>
      <c r="CJ659" s="1641">
        <f t="shared" si="427"/>
        <v>0</v>
      </c>
      <c r="CK659" s="1641">
        <f t="shared" si="427"/>
        <v>0</v>
      </c>
      <c r="CL659" s="1889">
        <v>0</v>
      </c>
      <c r="CM659" s="1889">
        <v>0</v>
      </c>
      <c r="CN659" s="1889">
        <v>0</v>
      </c>
      <c r="CO659" s="1889">
        <v>0</v>
      </c>
      <c r="CP659" s="1641"/>
      <c r="CQ659" s="1640"/>
      <c r="CR659" s="1640"/>
      <c r="CS659" s="1640"/>
    </row>
    <row r="660" spans="1:107" ht="15" thickBot="1" x14ac:dyDescent="0.2">
      <c r="A660" s="1541" t="s">
        <v>96</v>
      </c>
      <c r="B660" s="1523" t="s">
        <v>79</v>
      </c>
      <c r="C660" s="1523" t="s">
        <v>80</v>
      </c>
      <c r="D660" s="1523" t="s">
        <v>125</v>
      </c>
      <c r="E660" s="1523" t="s">
        <v>216</v>
      </c>
      <c r="F660" s="1523"/>
      <c r="G660" s="1667">
        <v>310</v>
      </c>
      <c r="H660" s="1501">
        <f>150+52.064</f>
        <v>202.06399999999999</v>
      </c>
      <c r="I660" s="1501"/>
      <c r="J660" s="1630"/>
      <c r="K660" s="1630"/>
      <c r="L660" s="1631"/>
      <c r="M660" s="1631"/>
      <c r="N660" s="1631"/>
      <c r="O660" s="1631"/>
      <c r="P660" s="1631"/>
      <c r="Q660" s="1631"/>
      <c r="R660" s="1631"/>
      <c r="S660" s="1631"/>
      <c r="T660" s="1632"/>
      <c r="U660" s="1633"/>
      <c r="V660" s="1633"/>
      <c r="W660" s="1634"/>
      <c r="X660" s="1634"/>
      <c r="Y660" s="1634"/>
      <c r="Z660" s="1635"/>
      <c r="AA660" s="1634">
        <f t="shared" si="438"/>
        <v>0</v>
      </c>
      <c r="AB660" s="1634"/>
      <c r="AC660" s="1508">
        <f t="shared" si="449"/>
        <v>202.06399999999999</v>
      </c>
      <c r="AD660" s="1509">
        <f t="shared" si="450"/>
        <v>0</v>
      </c>
      <c r="AE660" s="1509">
        <f t="shared" si="451"/>
        <v>0</v>
      </c>
      <c r="AF660" s="1509">
        <f t="shared" si="451"/>
        <v>0</v>
      </c>
      <c r="AG660" s="1509">
        <f t="shared" si="451"/>
        <v>0</v>
      </c>
      <c r="AH660" s="1490">
        <f t="shared" si="417"/>
        <v>0</v>
      </c>
      <c r="AI660" s="1636">
        <f t="shared" si="452"/>
        <v>0</v>
      </c>
      <c r="AJ660" s="1636">
        <f t="shared" si="453"/>
        <v>0</v>
      </c>
      <c r="AK660" s="1636">
        <f t="shared" si="454"/>
        <v>0</v>
      </c>
      <c r="AL660" s="1636">
        <f t="shared" si="454"/>
        <v>0</v>
      </c>
      <c r="AM660" s="1636">
        <f t="shared" si="454"/>
        <v>0</v>
      </c>
      <c r="AN660" s="1637"/>
      <c r="AO660" s="1723"/>
      <c r="AP660" s="1638"/>
      <c r="AQ660" s="1638"/>
      <c r="AR660" s="1638"/>
      <c r="AS660" s="1639"/>
      <c r="AT660" s="1638"/>
      <c r="AU660" s="1638"/>
      <c r="AV660" s="1638"/>
      <c r="AW660" s="1639"/>
      <c r="AX660" s="1640"/>
      <c r="AY660" s="1640"/>
      <c r="AZ660" s="1640"/>
      <c r="BA660" s="1641"/>
      <c r="BB660" s="1640"/>
      <c r="BC660" s="1640"/>
      <c r="BD660" s="1640"/>
      <c r="BE660" s="1644">
        <f>50+52.064</f>
        <v>102.06399999999999</v>
      </c>
      <c r="BF660" s="1640"/>
      <c r="BG660" s="1640"/>
      <c r="BH660" s="1640"/>
      <c r="BI660" s="1641"/>
      <c r="BJ660" s="1640"/>
      <c r="BK660" s="1640"/>
      <c r="BL660" s="1640"/>
      <c r="BM660" s="1641">
        <v>100</v>
      </c>
      <c r="BN660" s="1640"/>
      <c r="BO660" s="1640"/>
      <c r="BP660" s="1640"/>
      <c r="BQ660" s="1641"/>
      <c r="BR660" s="1640"/>
      <c r="BS660" s="1640"/>
      <c r="BT660" s="1640"/>
      <c r="BU660" s="1641"/>
      <c r="BV660" s="1640"/>
      <c r="BW660" s="1640"/>
      <c r="BX660" s="1640"/>
      <c r="BY660" s="1641"/>
      <c r="BZ660" s="1640"/>
      <c r="CA660" s="1640"/>
      <c r="CB660" s="1640"/>
      <c r="CC660" s="1641"/>
      <c r="CD660" s="1640"/>
      <c r="CE660" s="1640"/>
      <c r="CF660" s="1640"/>
      <c r="CG660" s="1642"/>
      <c r="CH660" s="1641">
        <f t="shared" si="427"/>
        <v>0</v>
      </c>
      <c r="CI660" s="1641">
        <f t="shared" si="427"/>
        <v>0</v>
      </c>
      <c r="CJ660" s="1641">
        <f t="shared" si="427"/>
        <v>0</v>
      </c>
      <c r="CK660" s="1641">
        <f t="shared" si="427"/>
        <v>0</v>
      </c>
      <c r="CL660" s="1889">
        <v>0</v>
      </c>
      <c r="CM660" s="1889">
        <v>0</v>
      </c>
      <c r="CN660" s="1889">
        <v>0</v>
      </c>
      <c r="CO660" s="1889">
        <v>0</v>
      </c>
      <c r="CP660" s="1641"/>
      <c r="CQ660" s="1640"/>
      <c r="CR660" s="1640"/>
      <c r="CS660" s="1640"/>
    </row>
    <row r="661" spans="1:107" ht="15" thickBot="1" x14ac:dyDescent="0.2">
      <c r="A661" s="1541" t="s">
        <v>97</v>
      </c>
      <c r="B661" s="1523" t="s">
        <v>79</v>
      </c>
      <c r="C661" s="1523" t="s">
        <v>80</v>
      </c>
      <c r="D661" s="1523" t="s">
        <v>125</v>
      </c>
      <c r="E661" s="1523" t="s">
        <v>216</v>
      </c>
      <c r="F661" s="1523"/>
      <c r="G661" s="1667">
        <v>340</v>
      </c>
      <c r="H661" s="1501">
        <f>500-U661-52.064</f>
        <v>247.93600000000001</v>
      </c>
      <c r="I661" s="1501"/>
      <c r="J661" s="1630"/>
      <c r="K661" s="1630"/>
      <c r="L661" s="1631"/>
      <c r="M661" s="1631"/>
      <c r="N661" s="1631"/>
      <c r="O661" s="1631"/>
      <c r="P661" s="1631"/>
      <c r="Q661" s="1631"/>
      <c r="R661" s="1631"/>
      <c r="S661" s="1631"/>
      <c r="T661" s="1632"/>
      <c r="U661" s="1633">
        <v>200</v>
      </c>
      <c r="V661" s="1633"/>
      <c r="W661" s="1634"/>
      <c r="X661" s="1634"/>
      <c r="Y661" s="1634"/>
      <c r="Z661" s="1635"/>
      <c r="AA661" s="1634">
        <f t="shared" si="438"/>
        <v>0</v>
      </c>
      <c r="AB661" s="1634"/>
      <c r="AC661" s="1508">
        <f t="shared" si="449"/>
        <v>247.93600000000001</v>
      </c>
      <c r="AD661" s="1509">
        <f t="shared" si="450"/>
        <v>0</v>
      </c>
      <c r="AE661" s="1509">
        <f t="shared" si="451"/>
        <v>0</v>
      </c>
      <c r="AF661" s="1509">
        <f t="shared" si="451"/>
        <v>0</v>
      </c>
      <c r="AG661" s="1509">
        <f t="shared" si="451"/>
        <v>0</v>
      </c>
      <c r="AH661" s="1490">
        <f t="shared" si="417"/>
        <v>0</v>
      </c>
      <c r="AI661" s="1636">
        <f t="shared" si="452"/>
        <v>0</v>
      </c>
      <c r="AJ661" s="1636">
        <f t="shared" si="453"/>
        <v>0</v>
      </c>
      <c r="AK661" s="1636">
        <f t="shared" si="454"/>
        <v>0</v>
      </c>
      <c r="AL661" s="1636">
        <f t="shared" si="454"/>
        <v>0</v>
      </c>
      <c r="AM661" s="1636">
        <f t="shared" si="454"/>
        <v>0</v>
      </c>
      <c r="AN661" s="1637"/>
      <c r="AO661" s="1722">
        <v>31.3</v>
      </c>
      <c r="AP661" s="1638"/>
      <c r="AQ661" s="1638"/>
      <c r="AR661" s="1638"/>
      <c r="AS661" s="1639"/>
      <c r="AT661" s="1638"/>
      <c r="AU661" s="1638"/>
      <c r="AV661" s="1638"/>
      <c r="AW661" s="1639"/>
      <c r="AX661" s="1640"/>
      <c r="AY661" s="1640"/>
      <c r="AZ661" s="1640"/>
      <c r="BA661" s="1641"/>
      <c r="BB661" s="1640"/>
      <c r="BC661" s="1640"/>
      <c r="BD661" s="1640"/>
      <c r="BE661" s="1644">
        <f>340-71.3-52.064</f>
        <v>216.636</v>
      </c>
      <c r="BF661" s="1640"/>
      <c r="BG661" s="1640"/>
      <c r="BH661" s="1640"/>
      <c r="BI661" s="1641"/>
      <c r="BJ661" s="1640"/>
      <c r="BK661" s="1640"/>
      <c r="BL661" s="1640"/>
      <c r="BM661" s="1641"/>
      <c r="BN661" s="1640"/>
      <c r="BO661" s="1640"/>
      <c r="BP661" s="1640"/>
      <c r="BQ661" s="1641"/>
      <c r="BR661" s="1640"/>
      <c r="BS661" s="1640"/>
      <c r="BT661" s="1640"/>
      <c r="BU661" s="1641"/>
      <c r="BV661" s="1640"/>
      <c r="BW661" s="1640"/>
      <c r="BX661" s="1640"/>
      <c r="BY661" s="1641"/>
      <c r="BZ661" s="1640"/>
      <c r="CA661" s="1640"/>
      <c r="CB661" s="1640"/>
      <c r="CC661" s="1641"/>
      <c r="CD661" s="1640"/>
      <c r="CE661" s="1640"/>
      <c r="CF661" s="1640"/>
      <c r="CG661" s="1642"/>
      <c r="CH661" s="1641">
        <f t="shared" si="427"/>
        <v>0</v>
      </c>
      <c r="CI661" s="1641">
        <f t="shared" si="427"/>
        <v>0</v>
      </c>
      <c r="CJ661" s="1641">
        <f t="shared" si="427"/>
        <v>0</v>
      </c>
      <c r="CK661" s="1641">
        <f t="shared" si="427"/>
        <v>0</v>
      </c>
      <c r="CL661" s="1889">
        <v>0</v>
      </c>
      <c r="CM661" s="1889">
        <v>0</v>
      </c>
      <c r="CN661" s="1889">
        <v>0</v>
      </c>
      <c r="CO661" s="1889">
        <v>0</v>
      </c>
      <c r="CP661" s="1641"/>
      <c r="CQ661" s="1640"/>
      <c r="CR661" s="1640"/>
      <c r="CS661" s="1640"/>
    </row>
    <row r="662" spans="1:107" ht="15" thickBot="1" x14ac:dyDescent="0.2">
      <c r="A662" s="1528" t="s">
        <v>767</v>
      </c>
      <c r="B662" s="1530" t="s">
        <v>79</v>
      </c>
      <c r="C662" s="1530" t="s">
        <v>80</v>
      </c>
      <c r="D662" s="1530" t="s">
        <v>125</v>
      </c>
      <c r="E662" s="1530" t="s">
        <v>216</v>
      </c>
      <c r="F662" s="1530">
        <v>612</v>
      </c>
      <c r="G662" s="1687" t="s">
        <v>766</v>
      </c>
      <c r="H662" s="1647">
        <f>I648</f>
        <v>120</v>
      </c>
      <c r="I662" s="1645"/>
      <c r="J662" s="1630"/>
      <c r="K662" s="1630"/>
      <c r="L662" s="1631"/>
      <c r="M662" s="1631"/>
      <c r="N662" s="1631"/>
      <c r="O662" s="1631"/>
      <c r="P662" s="1631"/>
      <c r="Q662" s="1631"/>
      <c r="R662" s="1631"/>
      <c r="S662" s="1631"/>
      <c r="T662" s="1632"/>
      <c r="U662" s="1633"/>
      <c r="V662" s="1633"/>
      <c r="W662" s="1634"/>
      <c r="X662" s="1634"/>
      <c r="Y662" s="1634"/>
      <c r="Z662" s="1635"/>
      <c r="AA662" s="1634">
        <f t="shared" si="438"/>
        <v>0</v>
      </c>
      <c r="AB662" s="1634"/>
      <c r="AC662" s="1508"/>
      <c r="AD662" s="1509"/>
      <c r="AE662" s="1509"/>
      <c r="AF662" s="1509"/>
      <c r="AG662" s="1509"/>
      <c r="AH662" s="1490">
        <f t="shared" ref="AH662:AH725" si="455">CG662+CL662</f>
        <v>0</v>
      </c>
      <c r="AI662" s="1636"/>
      <c r="AJ662" s="1636"/>
      <c r="AK662" s="1636"/>
      <c r="AL662" s="1636">
        <f t="shared" si="454"/>
        <v>0</v>
      </c>
      <c r="AM662" s="1636"/>
      <c r="AN662" s="1712"/>
      <c r="AO662" s="1713"/>
      <c r="AP662" s="1638"/>
      <c r="AQ662" s="1638"/>
      <c r="AR662" s="1638"/>
      <c r="AS662" s="1639"/>
      <c r="AT662" s="1638"/>
      <c r="AU662" s="1638"/>
      <c r="AV662" s="1638"/>
      <c r="AW662" s="1639"/>
      <c r="AX662" s="1640"/>
      <c r="AY662" s="1640"/>
      <c r="AZ662" s="1640"/>
      <c r="BA662" s="1641"/>
      <c r="BB662" s="1640"/>
      <c r="BC662" s="1640"/>
      <c r="BD662" s="1640"/>
      <c r="BE662" s="1644"/>
      <c r="BF662" s="1640"/>
      <c r="BG662" s="1640"/>
      <c r="BH662" s="1640"/>
      <c r="BI662" s="1641"/>
      <c r="BJ662" s="1640"/>
      <c r="BK662" s="1640"/>
      <c r="BL662" s="1640"/>
      <c r="BM662" s="1641"/>
      <c r="BN662" s="1640"/>
      <c r="BO662" s="1640"/>
      <c r="BP662" s="1640"/>
      <c r="BQ662" s="1641"/>
      <c r="BR662" s="1640"/>
      <c r="BS662" s="1640"/>
      <c r="BT662" s="1640"/>
      <c r="BU662" s="1641"/>
      <c r="BV662" s="1640"/>
      <c r="BW662" s="1640"/>
      <c r="BX662" s="1640"/>
      <c r="BY662" s="1641"/>
      <c r="BZ662" s="1640"/>
      <c r="CA662" s="1640"/>
      <c r="CB662" s="1640"/>
      <c r="CC662" s="1641"/>
      <c r="CD662" s="1640"/>
      <c r="CE662" s="1640"/>
      <c r="CF662" s="1640"/>
      <c r="CG662" s="1642"/>
      <c r="CH662" s="1641">
        <f t="shared" si="427"/>
        <v>0</v>
      </c>
      <c r="CI662" s="1641">
        <f t="shared" si="427"/>
        <v>0</v>
      </c>
      <c r="CJ662" s="1641">
        <f t="shared" si="427"/>
        <v>0</v>
      </c>
      <c r="CK662" s="1641">
        <f t="shared" si="427"/>
        <v>0</v>
      </c>
      <c r="CL662" s="1898"/>
      <c r="CM662" s="1898"/>
      <c r="CN662" s="1889">
        <v>0</v>
      </c>
      <c r="CO662" s="1898"/>
      <c r="CP662" s="1641"/>
      <c r="CQ662" s="1640"/>
      <c r="CR662" s="1640"/>
      <c r="CS662" s="1640"/>
    </row>
    <row r="663" spans="1:107" s="1886" customFormat="1" ht="27" thickBot="1" x14ac:dyDescent="0.2">
      <c r="A663" s="1873" t="s">
        <v>1285</v>
      </c>
      <c r="B663" s="1941" t="s">
        <v>79</v>
      </c>
      <c r="C663" s="1941" t="s">
        <v>80</v>
      </c>
      <c r="D663" s="1941" t="s">
        <v>125</v>
      </c>
      <c r="E663" s="1941" t="s">
        <v>216</v>
      </c>
      <c r="F663" s="1941">
        <v>600</v>
      </c>
      <c r="G663" s="1874"/>
      <c r="H663" s="1606">
        <f>H664+H678</f>
        <v>16623.2</v>
      </c>
      <c r="I663" s="1606">
        <f>I664+I678</f>
        <v>0</v>
      </c>
      <c r="J663" s="1606">
        <f>J664+J678</f>
        <v>0</v>
      </c>
      <c r="K663" s="1606">
        <f t="shared" ref="K663:CF663" si="456">K664+K678</f>
        <v>0</v>
      </c>
      <c r="L663" s="1607"/>
      <c r="M663" s="1607"/>
      <c r="N663" s="1607"/>
      <c r="O663" s="1607"/>
      <c r="P663" s="1607"/>
      <c r="Q663" s="1607"/>
      <c r="R663" s="1607"/>
      <c r="S663" s="1607"/>
      <c r="T663" s="1608"/>
      <c r="U663" s="1609"/>
      <c r="V663" s="1609"/>
      <c r="W663" s="1610"/>
      <c r="X663" s="1610"/>
      <c r="Y663" s="1610"/>
      <c r="Z663" s="1611"/>
      <c r="AA663" s="1634">
        <f>AB663-Z663</f>
        <v>0</v>
      </c>
      <c r="AB663" s="1610"/>
      <c r="AC663" s="1612">
        <f t="shared" si="456"/>
        <v>16623.2</v>
      </c>
      <c r="AD663" s="1612">
        <f t="shared" si="456"/>
        <v>0</v>
      </c>
      <c r="AE663" s="1612">
        <f t="shared" si="456"/>
        <v>0</v>
      </c>
      <c r="AF663" s="1612">
        <f t="shared" si="456"/>
        <v>0</v>
      </c>
      <c r="AG663" s="1612">
        <f t="shared" si="456"/>
        <v>0</v>
      </c>
      <c r="AH663" s="1490">
        <f t="shared" si="455"/>
        <v>839.08399999999995</v>
      </c>
      <c r="AI663" s="1613">
        <f t="shared" si="456"/>
        <v>0</v>
      </c>
      <c r="AJ663" s="1613">
        <f t="shared" si="456"/>
        <v>0</v>
      </c>
      <c r="AK663" s="1613">
        <f t="shared" si="456"/>
        <v>0</v>
      </c>
      <c r="AL663" s="1636">
        <f t="shared" si="454"/>
        <v>0</v>
      </c>
      <c r="AM663" s="1613">
        <f t="shared" si="456"/>
        <v>0</v>
      </c>
      <c r="AN663" s="1614"/>
      <c r="AO663" s="1606">
        <f t="shared" si="456"/>
        <v>1606.4</v>
      </c>
      <c r="AP663" s="1606">
        <f t="shared" si="456"/>
        <v>0</v>
      </c>
      <c r="AQ663" s="1606">
        <f t="shared" si="456"/>
        <v>0</v>
      </c>
      <c r="AR663" s="1606">
        <f t="shared" si="456"/>
        <v>0</v>
      </c>
      <c r="AS663" s="1611">
        <f t="shared" si="456"/>
        <v>1596.4</v>
      </c>
      <c r="AT663" s="1606">
        <f t="shared" si="456"/>
        <v>0</v>
      </c>
      <c r="AU663" s="1606">
        <f t="shared" si="456"/>
        <v>0</v>
      </c>
      <c r="AV663" s="1606">
        <f t="shared" si="456"/>
        <v>0</v>
      </c>
      <c r="AW663" s="1611">
        <f t="shared" si="456"/>
        <v>1584.2</v>
      </c>
      <c r="AX663" s="1606">
        <f t="shared" si="456"/>
        <v>0</v>
      </c>
      <c r="AY663" s="1606">
        <f t="shared" si="456"/>
        <v>0</v>
      </c>
      <c r="AZ663" s="1606">
        <f t="shared" si="456"/>
        <v>0</v>
      </c>
      <c r="BA663" s="1614">
        <f t="shared" si="456"/>
        <v>1584.2</v>
      </c>
      <c r="BB663" s="1606">
        <f t="shared" si="456"/>
        <v>0</v>
      </c>
      <c r="BC663" s="1606">
        <f t="shared" si="456"/>
        <v>0</v>
      </c>
      <c r="BD663" s="1606">
        <f t="shared" si="456"/>
        <v>0</v>
      </c>
      <c r="BE663" s="1615">
        <f t="shared" si="456"/>
        <v>1642</v>
      </c>
      <c r="BF663" s="1606">
        <f t="shared" si="456"/>
        <v>0</v>
      </c>
      <c r="BG663" s="1606">
        <f t="shared" si="456"/>
        <v>0</v>
      </c>
      <c r="BH663" s="1606">
        <f t="shared" si="456"/>
        <v>0</v>
      </c>
      <c r="BI663" s="1614">
        <f t="shared" si="456"/>
        <v>454.19200000000001</v>
      </c>
      <c r="BJ663" s="1606">
        <f t="shared" si="456"/>
        <v>0</v>
      </c>
      <c r="BK663" s="1606">
        <f t="shared" si="456"/>
        <v>0</v>
      </c>
      <c r="BL663" s="1606">
        <f t="shared" si="456"/>
        <v>0</v>
      </c>
      <c r="BM663" s="1614">
        <f t="shared" si="456"/>
        <v>2828.2080000000001</v>
      </c>
      <c r="BN663" s="1606">
        <f t="shared" si="456"/>
        <v>0</v>
      </c>
      <c r="BO663" s="1606">
        <f t="shared" si="456"/>
        <v>0</v>
      </c>
      <c r="BP663" s="1606">
        <f t="shared" si="456"/>
        <v>0</v>
      </c>
      <c r="BQ663" s="1614">
        <f t="shared" si="456"/>
        <v>2438.2459999999996</v>
      </c>
      <c r="BR663" s="1606">
        <f t="shared" si="456"/>
        <v>0</v>
      </c>
      <c r="BS663" s="1606">
        <f t="shared" si="456"/>
        <v>0</v>
      </c>
      <c r="BT663" s="1606">
        <f t="shared" si="456"/>
        <v>0</v>
      </c>
      <c r="BU663" s="1614">
        <f t="shared" si="456"/>
        <v>80.599999999999994</v>
      </c>
      <c r="BV663" s="1606">
        <f t="shared" si="456"/>
        <v>0</v>
      </c>
      <c r="BW663" s="1606">
        <f t="shared" si="456"/>
        <v>0</v>
      </c>
      <c r="BX663" s="1606">
        <f t="shared" si="456"/>
        <v>0</v>
      </c>
      <c r="BY663" s="1614">
        <f t="shared" si="456"/>
        <v>0</v>
      </c>
      <c r="BZ663" s="1606">
        <f t="shared" si="456"/>
        <v>0</v>
      </c>
      <c r="CA663" s="1606">
        <f t="shared" si="456"/>
        <v>0</v>
      </c>
      <c r="CB663" s="1606">
        <f t="shared" si="456"/>
        <v>0</v>
      </c>
      <c r="CC663" s="1614">
        <f t="shared" si="456"/>
        <v>1969.67</v>
      </c>
      <c r="CD663" s="1606">
        <f t="shared" si="456"/>
        <v>0</v>
      </c>
      <c r="CE663" s="1606">
        <f t="shared" si="456"/>
        <v>0</v>
      </c>
      <c r="CF663" s="1606">
        <f t="shared" si="456"/>
        <v>0</v>
      </c>
      <c r="CG663" s="1616"/>
      <c r="CH663" s="1641">
        <f t="shared" si="427"/>
        <v>839.08399999999995</v>
      </c>
      <c r="CI663" s="1641">
        <f t="shared" si="427"/>
        <v>0</v>
      </c>
      <c r="CJ663" s="1641">
        <f t="shared" si="427"/>
        <v>0</v>
      </c>
      <c r="CK663" s="1641">
        <f t="shared" si="427"/>
        <v>0</v>
      </c>
      <c r="CL663" s="1943">
        <v>839.08399999999995</v>
      </c>
      <c r="CM663" s="1943">
        <v>0</v>
      </c>
      <c r="CN663" s="1889">
        <v>0</v>
      </c>
      <c r="CO663" s="1943">
        <v>0</v>
      </c>
      <c r="CP663" s="1614">
        <f>CP664+CP678</f>
        <v>0</v>
      </c>
      <c r="CQ663" s="1606">
        <f>CQ664+CQ678</f>
        <v>0</v>
      </c>
      <c r="CR663" s="1606">
        <f>CR664+CR678</f>
        <v>0</v>
      </c>
      <c r="CS663" s="1606">
        <f>CS664+CS678</f>
        <v>0</v>
      </c>
      <c r="CT663" s="1885"/>
      <c r="CU663" s="1885"/>
      <c r="CV663" s="1885"/>
      <c r="CW663" s="1885"/>
      <c r="CY663" s="1885"/>
    </row>
    <row r="664" spans="1:107" ht="53" thickBot="1" x14ac:dyDescent="0.2">
      <c r="A664" s="1748" t="s">
        <v>1135</v>
      </c>
      <c r="B664" s="1749" t="s">
        <v>79</v>
      </c>
      <c r="C664" s="1749" t="s">
        <v>80</v>
      </c>
      <c r="D664" s="1749" t="s">
        <v>125</v>
      </c>
      <c r="E664" s="1749" t="s">
        <v>216</v>
      </c>
      <c r="F664" s="1749" t="s">
        <v>765</v>
      </c>
      <c r="G664" s="1600" t="s">
        <v>766</v>
      </c>
      <c r="H664" s="1531">
        <f>H665+H666+H667+H668+H669+H670+H671+H672+H673+H674+H675+H676+H677</f>
        <v>16623.2</v>
      </c>
      <c r="I664" s="1531">
        <f>I665+I666+I667+I668+I669+I670+I671+I672+I673+I674+I675+I676+I677</f>
        <v>0</v>
      </c>
      <c r="J664" s="1531">
        <f>J665+J666+J667+J668+J669+J670+J671+J672+J673+J674+J675+J676+J677</f>
        <v>0</v>
      </c>
      <c r="K664" s="1531">
        <f t="shared" ref="K664:CF664" si="457">K665+K666+K667+K668+K669+K670+K671+K672+K673+K674+K675+K676+K677</f>
        <v>0</v>
      </c>
      <c r="L664" s="1601"/>
      <c r="M664" s="1601"/>
      <c r="N664" s="1601"/>
      <c r="O664" s="1601"/>
      <c r="P664" s="1601"/>
      <c r="Q664" s="1601"/>
      <c r="R664" s="1601"/>
      <c r="S664" s="1601"/>
      <c r="T664" s="1602"/>
      <c r="U664" s="1533"/>
      <c r="V664" s="1533"/>
      <c r="W664" s="1534"/>
      <c r="X664" s="1534"/>
      <c r="Y664" s="1534"/>
      <c r="Z664" s="1535"/>
      <c r="AA664" s="1634">
        <f t="shared" ref="AA664:AA671" si="458">AB664-Z664</f>
        <v>0</v>
      </c>
      <c r="AB664" s="1534"/>
      <c r="AC664" s="1603">
        <f t="shared" si="457"/>
        <v>16623.2</v>
      </c>
      <c r="AD664" s="1603">
        <f t="shared" si="457"/>
        <v>0</v>
      </c>
      <c r="AE664" s="1603">
        <f t="shared" si="457"/>
        <v>0</v>
      </c>
      <c r="AF664" s="1603">
        <f t="shared" si="457"/>
        <v>0</v>
      </c>
      <c r="AG664" s="1603">
        <f t="shared" si="457"/>
        <v>0</v>
      </c>
      <c r="AH664" s="1490">
        <f t="shared" si="455"/>
        <v>839.08399999999995</v>
      </c>
      <c r="AI664" s="1592">
        <f t="shared" si="457"/>
        <v>0</v>
      </c>
      <c r="AJ664" s="1592">
        <f t="shared" si="457"/>
        <v>0</v>
      </c>
      <c r="AK664" s="1592">
        <f t="shared" si="457"/>
        <v>0</v>
      </c>
      <c r="AL664" s="1636">
        <f t="shared" si="454"/>
        <v>0</v>
      </c>
      <c r="AM664" s="1592">
        <f t="shared" si="457"/>
        <v>0</v>
      </c>
      <c r="AN664" s="1717"/>
      <c r="AO664" s="1718">
        <f t="shared" si="457"/>
        <v>1606.4</v>
      </c>
      <c r="AP664" s="1517">
        <f t="shared" si="457"/>
        <v>0</v>
      </c>
      <c r="AQ664" s="1531">
        <f t="shared" si="457"/>
        <v>0</v>
      </c>
      <c r="AR664" s="1531">
        <f t="shared" si="457"/>
        <v>0</v>
      </c>
      <c r="AS664" s="1535">
        <f t="shared" si="457"/>
        <v>1596.4</v>
      </c>
      <c r="AT664" s="1531">
        <f t="shared" si="457"/>
        <v>0</v>
      </c>
      <c r="AU664" s="1531">
        <f t="shared" si="457"/>
        <v>0</v>
      </c>
      <c r="AV664" s="1531">
        <f t="shared" si="457"/>
        <v>0</v>
      </c>
      <c r="AW664" s="1535">
        <f t="shared" si="457"/>
        <v>1584.2</v>
      </c>
      <c r="AX664" s="1531">
        <f t="shared" si="457"/>
        <v>0</v>
      </c>
      <c r="AY664" s="1531">
        <f t="shared" si="457"/>
        <v>0</v>
      </c>
      <c r="AZ664" s="1531">
        <f t="shared" si="457"/>
        <v>0</v>
      </c>
      <c r="BA664" s="1538">
        <f t="shared" si="457"/>
        <v>1584.2</v>
      </c>
      <c r="BB664" s="1531">
        <f t="shared" si="457"/>
        <v>0</v>
      </c>
      <c r="BC664" s="1531">
        <f t="shared" si="457"/>
        <v>0</v>
      </c>
      <c r="BD664" s="1531">
        <f t="shared" si="457"/>
        <v>0</v>
      </c>
      <c r="BE664" s="1539">
        <f t="shared" si="457"/>
        <v>1642</v>
      </c>
      <c r="BF664" s="1531">
        <f t="shared" si="457"/>
        <v>0</v>
      </c>
      <c r="BG664" s="1531">
        <f t="shared" si="457"/>
        <v>0</v>
      </c>
      <c r="BH664" s="1531">
        <f t="shared" si="457"/>
        <v>0</v>
      </c>
      <c r="BI664" s="1538">
        <f t="shared" si="457"/>
        <v>454.19200000000001</v>
      </c>
      <c r="BJ664" s="1531">
        <f t="shared" si="457"/>
        <v>0</v>
      </c>
      <c r="BK664" s="1531">
        <f t="shared" si="457"/>
        <v>0</v>
      </c>
      <c r="BL664" s="1531">
        <f t="shared" si="457"/>
        <v>0</v>
      </c>
      <c r="BM664" s="1538">
        <f t="shared" si="457"/>
        <v>2828.2080000000001</v>
      </c>
      <c r="BN664" s="1531">
        <f t="shared" si="457"/>
        <v>0</v>
      </c>
      <c r="BO664" s="1531">
        <f t="shared" si="457"/>
        <v>0</v>
      </c>
      <c r="BP664" s="1531">
        <f t="shared" si="457"/>
        <v>0</v>
      </c>
      <c r="BQ664" s="1538">
        <f t="shared" si="457"/>
        <v>2438.2459999999996</v>
      </c>
      <c r="BR664" s="1531">
        <f t="shared" si="457"/>
        <v>0</v>
      </c>
      <c r="BS664" s="1531">
        <f t="shared" si="457"/>
        <v>0</v>
      </c>
      <c r="BT664" s="1531">
        <f t="shared" si="457"/>
        <v>0</v>
      </c>
      <c r="BU664" s="1538">
        <f t="shared" si="457"/>
        <v>80.599999999999994</v>
      </c>
      <c r="BV664" s="1531">
        <f t="shared" si="457"/>
        <v>0</v>
      </c>
      <c r="BW664" s="1531">
        <f t="shared" si="457"/>
        <v>0</v>
      </c>
      <c r="BX664" s="1531">
        <f t="shared" si="457"/>
        <v>0</v>
      </c>
      <c r="BY664" s="1538">
        <f t="shared" si="457"/>
        <v>0</v>
      </c>
      <c r="BZ664" s="1531">
        <f t="shared" si="457"/>
        <v>0</v>
      </c>
      <c r="CA664" s="1531">
        <f t="shared" si="457"/>
        <v>0</v>
      </c>
      <c r="CB664" s="1531">
        <f t="shared" si="457"/>
        <v>0</v>
      </c>
      <c r="CC664" s="1538">
        <f t="shared" si="457"/>
        <v>1969.67</v>
      </c>
      <c r="CD664" s="1531">
        <f t="shared" si="457"/>
        <v>0</v>
      </c>
      <c r="CE664" s="1531">
        <f t="shared" si="457"/>
        <v>0</v>
      </c>
      <c r="CF664" s="1531">
        <f t="shared" si="457"/>
        <v>0</v>
      </c>
      <c r="CG664" s="1705"/>
      <c r="CH664" s="1641">
        <f t="shared" si="427"/>
        <v>839.08399999999995</v>
      </c>
      <c r="CI664" s="1641">
        <f t="shared" si="427"/>
        <v>0</v>
      </c>
      <c r="CJ664" s="1641">
        <f t="shared" si="427"/>
        <v>0</v>
      </c>
      <c r="CK664" s="1641">
        <f t="shared" si="427"/>
        <v>0</v>
      </c>
      <c r="CL664" s="1902">
        <v>839.08399999999995</v>
      </c>
      <c r="CM664" s="1902">
        <v>0</v>
      </c>
      <c r="CN664" s="1889">
        <v>0</v>
      </c>
      <c r="CO664" s="1902">
        <v>0</v>
      </c>
      <c r="CP664" s="1538">
        <f>CP665+CP666+CP667+CP668+CP669+CP670+CP671+CP672+CP673+CP674+CP675+CP676+CP677</f>
        <v>0</v>
      </c>
      <c r="CQ664" s="1531">
        <f>CQ665+CQ666+CQ667+CQ668+CQ669+CQ670+CQ671+CQ672+CQ673+CQ674+CQ675+CQ676+CQ677</f>
        <v>0</v>
      </c>
      <c r="CR664" s="1531">
        <f>CR665+CR666+CR667+CR668+CR669+CR670+CR671+CR672+CR673+CR674+CR675+CR676+CR677</f>
        <v>0</v>
      </c>
      <c r="CS664" s="1531">
        <f>CS665+CS666+CS667+CS668+CS669+CS670+CS671+CS672+CS673+CS674+CS675+CS676+CS677</f>
        <v>0</v>
      </c>
    </row>
    <row r="665" spans="1:107" ht="15" thickBot="1" x14ac:dyDescent="0.2">
      <c r="A665" s="1541" t="s">
        <v>78</v>
      </c>
      <c r="B665" s="1523" t="s">
        <v>79</v>
      </c>
      <c r="C665" s="1523" t="s">
        <v>80</v>
      </c>
      <c r="D665" s="1523" t="s">
        <v>125</v>
      </c>
      <c r="E665" s="1523" t="s">
        <v>216</v>
      </c>
      <c r="F665" s="1523"/>
      <c r="G665" s="1667">
        <v>211</v>
      </c>
      <c r="H665" s="1501">
        <f>14600.7-2600+400</f>
        <v>12400.7</v>
      </c>
      <c r="I665" s="1501"/>
      <c r="J665" s="1630"/>
      <c r="K665" s="1630"/>
      <c r="L665" s="1631"/>
      <c r="M665" s="1631"/>
      <c r="N665" s="1631"/>
      <c r="O665" s="1631"/>
      <c r="P665" s="1631"/>
      <c r="Q665" s="1631"/>
      <c r="R665" s="1631"/>
      <c r="S665" s="1631"/>
      <c r="T665" s="1632"/>
      <c r="U665" s="1633"/>
      <c r="V665" s="1633"/>
      <c r="W665" s="1634">
        <f>X665/2</f>
        <v>772.88499999999999</v>
      </c>
      <c r="X665" s="1634">
        <f>Y665+AI665</f>
        <v>1545.77</v>
      </c>
      <c r="Y665" s="1634">
        <f>CC665</f>
        <v>1545.77</v>
      </c>
      <c r="Z665" s="1635">
        <v>808.67</v>
      </c>
      <c r="AA665" s="1634">
        <f t="shared" si="458"/>
        <v>-808.67</v>
      </c>
      <c r="AB665" s="1511">
        <f>AI665</f>
        <v>0</v>
      </c>
      <c r="AC665" s="1508">
        <f t="shared" ref="AC665:AC677" si="459">AO665+AS665+AW665+BA665+BE665+BI665+BM665+BQ665+BU665+BY665+CC665+CH665</f>
        <v>12400.7</v>
      </c>
      <c r="AD665" s="1509">
        <f t="shared" ref="AD665:AD677" si="460">AE665+AF665+AG665</f>
        <v>0</v>
      </c>
      <c r="AE665" s="1509">
        <f t="shared" ref="AE665:AG677" si="461">AP665+AT665+AX665+BB665+BF665+BJ665+BN665+BR665+BV665+BZ665+CD665+CI665</f>
        <v>0</v>
      </c>
      <c r="AF665" s="1509">
        <f t="shared" si="461"/>
        <v>0</v>
      </c>
      <c r="AG665" s="1509">
        <f t="shared" si="461"/>
        <v>0</v>
      </c>
      <c r="AH665" s="1490">
        <f t="shared" si="455"/>
        <v>591.33000000000004</v>
      </c>
      <c r="AI665" s="1636">
        <f t="shared" ref="AI665:AI677" si="462">H665-AC665</f>
        <v>0</v>
      </c>
      <c r="AJ665" s="1636">
        <f t="shared" ref="AJ665:AJ677" si="463">AK665+AL665+AM665</f>
        <v>0</v>
      </c>
      <c r="AK665" s="1636">
        <f t="shared" ref="AK665:AM680" si="464">I665-AE665</f>
        <v>0</v>
      </c>
      <c r="AL665" s="1636">
        <f t="shared" si="464"/>
        <v>0</v>
      </c>
      <c r="AM665" s="1636">
        <f t="shared" si="464"/>
        <v>0</v>
      </c>
      <c r="AN665" s="1637">
        <f>AI665/4</f>
        <v>0</v>
      </c>
      <c r="AO665" s="1722">
        <v>1216.7</v>
      </c>
      <c r="AP665" s="1638"/>
      <c r="AQ665" s="1638"/>
      <c r="AR665" s="1638"/>
      <c r="AS665" s="1963">
        <v>1216.7</v>
      </c>
      <c r="AT665" s="1638"/>
      <c r="AU665" s="1638"/>
      <c r="AV665" s="1638"/>
      <c r="AW665" s="1722">
        <v>1216.7</v>
      </c>
      <c r="AX665" s="1640"/>
      <c r="AY665" s="1640"/>
      <c r="AZ665" s="1640"/>
      <c r="BA665" s="1964">
        <v>1216.7</v>
      </c>
      <c r="BB665" s="1640"/>
      <c r="BC665" s="1640"/>
      <c r="BD665" s="1640"/>
      <c r="BE665" s="1964">
        <v>1216.7</v>
      </c>
      <c r="BF665" s="1640"/>
      <c r="BG665" s="1640"/>
      <c r="BH665" s="1640"/>
      <c r="BI665" s="1641">
        <f>390.192</f>
        <v>390.19200000000001</v>
      </c>
      <c r="BJ665" s="1640"/>
      <c r="BK665" s="1640"/>
      <c r="BL665" s="1640"/>
      <c r="BM665" s="1641">
        <f>826.508+1216.7</f>
        <v>2043.2080000000001</v>
      </c>
      <c r="BN665" s="1640"/>
      <c r="BO665" s="1640"/>
      <c r="BP665" s="1640"/>
      <c r="BQ665" s="1641">
        <f>530+1216.7</f>
        <v>1746.7</v>
      </c>
      <c r="BR665" s="1640"/>
      <c r="BS665" s="1640"/>
      <c r="BT665" s="1640"/>
      <c r="BU665" s="1641"/>
      <c r="BV665" s="1640"/>
      <c r="BW665" s="1640"/>
      <c r="BX665" s="1640"/>
      <c r="BY665" s="1641"/>
      <c r="BZ665" s="1640"/>
      <c r="CA665" s="1640"/>
      <c r="CB665" s="1640"/>
      <c r="CC665" s="1641">
        <f>737.1+808.67</f>
        <v>1545.77</v>
      </c>
      <c r="CD665" s="1640"/>
      <c r="CE665" s="1640"/>
      <c r="CF665" s="1640"/>
      <c r="CG665" s="1642"/>
      <c r="CH665" s="1641">
        <f t="shared" ref="CH665:CK728" si="465">CL665+CP665</f>
        <v>591.33000000000004</v>
      </c>
      <c r="CI665" s="1641">
        <f t="shared" si="465"/>
        <v>0</v>
      </c>
      <c r="CJ665" s="1641">
        <f t="shared" si="465"/>
        <v>0</v>
      </c>
      <c r="CK665" s="1641">
        <f t="shared" si="465"/>
        <v>0</v>
      </c>
      <c r="CL665" s="1889">
        <v>591.33000000000004</v>
      </c>
      <c r="CM665" s="1889">
        <v>0</v>
      </c>
      <c r="CN665" s="1889">
        <v>0</v>
      </c>
      <c r="CO665" s="1889">
        <v>0</v>
      </c>
      <c r="CP665" s="1641"/>
      <c r="CQ665" s="1640"/>
      <c r="CR665" s="1640"/>
      <c r="CS665" s="1640"/>
      <c r="CX665" s="1558">
        <f>H665/12*10-AC665</f>
        <v>-2066.7833333333347</v>
      </c>
      <c r="CY665" s="1558">
        <f>AI665/3</f>
        <v>0</v>
      </c>
      <c r="CZ665" s="1558">
        <f>H665/12</f>
        <v>1033.3916666666667</v>
      </c>
      <c r="DA665" s="1559"/>
      <c r="DB665" s="1559"/>
      <c r="DC665" s="1559"/>
    </row>
    <row r="666" spans="1:107" ht="15" thickBot="1" x14ac:dyDescent="0.2">
      <c r="A666" s="1541" t="s">
        <v>103</v>
      </c>
      <c r="B666" s="1523" t="s">
        <v>79</v>
      </c>
      <c r="C666" s="1523" t="s">
        <v>80</v>
      </c>
      <c r="D666" s="1523" t="s">
        <v>125</v>
      </c>
      <c r="E666" s="1523" t="s">
        <v>216</v>
      </c>
      <c r="F666" s="1523"/>
      <c r="G666" s="1667">
        <v>212</v>
      </c>
      <c r="H666" s="1501"/>
      <c r="I666" s="1501"/>
      <c r="J666" s="1630"/>
      <c r="K666" s="1630"/>
      <c r="L666" s="1631"/>
      <c r="M666" s="1631"/>
      <c r="N666" s="1631"/>
      <c r="O666" s="1631"/>
      <c r="P666" s="1631"/>
      <c r="Q666" s="1631"/>
      <c r="R666" s="1631"/>
      <c r="S666" s="1631"/>
      <c r="T666" s="1632"/>
      <c r="U666" s="1633"/>
      <c r="V666" s="1633"/>
      <c r="W666" s="1634"/>
      <c r="X666" s="1634">
        <f>Y666+AI666</f>
        <v>0</v>
      </c>
      <c r="Y666" s="1634">
        <f>CC666</f>
        <v>0</v>
      </c>
      <c r="Z666" s="1635"/>
      <c r="AA666" s="1634">
        <f t="shared" si="458"/>
        <v>0</v>
      </c>
      <c r="AB666" s="1511"/>
      <c r="AC666" s="1508">
        <f t="shared" si="459"/>
        <v>0</v>
      </c>
      <c r="AD666" s="1509">
        <f t="shared" si="460"/>
        <v>0</v>
      </c>
      <c r="AE666" s="1509">
        <f t="shared" si="461"/>
        <v>0</v>
      </c>
      <c r="AF666" s="1509">
        <f t="shared" si="461"/>
        <v>0</v>
      </c>
      <c r="AG666" s="1509">
        <f t="shared" si="461"/>
        <v>0</v>
      </c>
      <c r="AH666" s="1490">
        <f t="shared" si="455"/>
        <v>0</v>
      </c>
      <c r="AI666" s="1636">
        <f t="shared" si="462"/>
        <v>0</v>
      </c>
      <c r="AJ666" s="1636">
        <f t="shared" si="463"/>
        <v>0</v>
      </c>
      <c r="AK666" s="1636">
        <f t="shared" si="464"/>
        <v>0</v>
      </c>
      <c r="AL666" s="1636">
        <f t="shared" si="464"/>
        <v>0</v>
      </c>
      <c r="AM666" s="1636">
        <f t="shared" si="464"/>
        <v>0</v>
      </c>
      <c r="AN666" s="1637"/>
      <c r="AO666" s="1722">
        <v>0</v>
      </c>
      <c r="AP666" s="1638"/>
      <c r="AQ666" s="1638"/>
      <c r="AR666" s="1638"/>
      <c r="AS666" s="1963">
        <v>0</v>
      </c>
      <c r="AT666" s="1638"/>
      <c r="AU666" s="1638"/>
      <c r="AV666" s="1638"/>
      <c r="AW666" s="1722">
        <v>0</v>
      </c>
      <c r="AX666" s="1640"/>
      <c r="AY666" s="1640"/>
      <c r="AZ666" s="1640"/>
      <c r="BA666" s="1964">
        <v>0</v>
      </c>
      <c r="BB666" s="1640"/>
      <c r="BC666" s="1640"/>
      <c r="BD666" s="1640"/>
      <c r="BE666" s="1964">
        <v>0</v>
      </c>
      <c r="BF666" s="1640"/>
      <c r="BG666" s="1640"/>
      <c r="BH666" s="1640"/>
      <c r="BI666" s="1641"/>
      <c r="BJ666" s="1640"/>
      <c r="BK666" s="1640"/>
      <c r="BL666" s="1640"/>
      <c r="BM666" s="1641"/>
      <c r="BN666" s="1640"/>
      <c r="BO666" s="1640"/>
      <c r="BP666" s="1640"/>
      <c r="BQ666" s="1641"/>
      <c r="BR666" s="1640"/>
      <c r="BS666" s="1640"/>
      <c r="BT666" s="1640"/>
      <c r="BU666" s="1641"/>
      <c r="BV666" s="1640"/>
      <c r="BW666" s="1640"/>
      <c r="BX666" s="1640"/>
      <c r="BY666" s="1641"/>
      <c r="BZ666" s="1640"/>
      <c r="CA666" s="1640"/>
      <c r="CB666" s="1640"/>
      <c r="CC666" s="1641"/>
      <c r="CD666" s="1640"/>
      <c r="CE666" s="1640"/>
      <c r="CF666" s="1640"/>
      <c r="CG666" s="1642"/>
      <c r="CH666" s="1641">
        <f t="shared" si="465"/>
        <v>0</v>
      </c>
      <c r="CI666" s="1641">
        <f t="shared" si="465"/>
        <v>0</v>
      </c>
      <c r="CJ666" s="1641">
        <f t="shared" si="465"/>
        <v>0</v>
      </c>
      <c r="CK666" s="1641">
        <f t="shared" si="465"/>
        <v>0</v>
      </c>
      <c r="CL666" s="1889">
        <v>0</v>
      </c>
      <c r="CM666" s="1889">
        <v>0</v>
      </c>
      <c r="CN666" s="1889">
        <v>0</v>
      </c>
      <c r="CO666" s="1889">
        <v>0</v>
      </c>
      <c r="CP666" s="1641"/>
      <c r="CQ666" s="1640"/>
      <c r="CR666" s="1640"/>
      <c r="CS666" s="1640"/>
      <c r="CX666" s="1558"/>
      <c r="CY666" s="1558"/>
      <c r="CZ666" s="1558"/>
      <c r="DA666" s="1559"/>
      <c r="DB666" s="1559"/>
      <c r="DC666" s="1559"/>
    </row>
    <row r="667" spans="1:107" ht="15" thickBot="1" x14ac:dyDescent="0.2">
      <c r="A667" s="1541" t="s">
        <v>84</v>
      </c>
      <c r="B667" s="1523" t="s">
        <v>79</v>
      </c>
      <c r="C667" s="1523" t="s">
        <v>80</v>
      </c>
      <c r="D667" s="1523" t="s">
        <v>125</v>
      </c>
      <c r="E667" s="1523" t="s">
        <v>216</v>
      </c>
      <c r="F667" s="1523"/>
      <c r="G667" s="1667">
        <v>213</v>
      </c>
      <c r="H667" s="1501">
        <f>4409.4-785.2+80</f>
        <v>3704.2</v>
      </c>
      <c r="I667" s="1501"/>
      <c r="J667" s="1630"/>
      <c r="K667" s="1630"/>
      <c r="L667" s="1631"/>
      <c r="M667" s="1631"/>
      <c r="N667" s="1631"/>
      <c r="O667" s="1631"/>
      <c r="P667" s="1631"/>
      <c r="Q667" s="1631"/>
      <c r="R667" s="1631"/>
      <c r="S667" s="1631"/>
      <c r="T667" s="1632"/>
      <c r="U667" s="1633"/>
      <c r="V667" s="1633"/>
      <c r="W667" s="1634">
        <f>X667/2</f>
        <v>211.95</v>
      </c>
      <c r="X667" s="1634">
        <f>Y667+AI667</f>
        <v>423.9</v>
      </c>
      <c r="Y667" s="1634">
        <f>CC667</f>
        <v>423.9</v>
      </c>
      <c r="Z667" s="1635">
        <v>423.9</v>
      </c>
      <c r="AA667" s="1634">
        <f t="shared" si="458"/>
        <v>-423.9</v>
      </c>
      <c r="AB667" s="1511">
        <f>AI667</f>
        <v>0</v>
      </c>
      <c r="AC667" s="1508">
        <f t="shared" si="459"/>
        <v>3704.2000000000003</v>
      </c>
      <c r="AD667" s="1509">
        <f t="shared" si="460"/>
        <v>0</v>
      </c>
      <c r="AE667" s="1509">
        <f t="shared" si="461"/>
        <v>0</v>
      </c>
      <c r="AF667" s="1509">
        <f t="shared" si="461"/>
        <v>0</v>
      </c>
      <c r="AG667" s="1509">
        <f t="shared" si="461"/>
        <v>0</v>
      </c>
      <c r="AH667" s="1490">
        <f t="shared" si="455"/>
        <v>180.3</v>
      </c>
      <c r="AI667" s="1636">
        <f t="shared" si="462"/>
        <v>0</v>
      </c>
      <c r="AJ667" s="1636">
        <f t="shared" si="463"/>
        <v>0</v>
      </c>
      <c r="AK667" s="1636">
        <f t="shared" si="464"/>
        <v>0</v>
      </c>
      <c r="AL667" s="1636">
        <f t="shared" si="464"/>
        <v>0</v>
      </c>
      <c r="AM667" s="1636">
        <f t="shared" si="464"/>
        <v>0</v>
      </c>
      <c r="AN667" s="1637">
        <f>AI667/4</f>
        <v>0</v>
      </c>
      <c r="AO667" s="1722">
        <v>367.5</v>
      </c>
      <c r="AP667" s="1638"/>
      <c r="AQ667" s="1638"/>
      <c r="AR667" s="1638"/>
      <c r="AS667" s="1963">
        <v>367.5</v>
      </c>
      <c r="AT667" s="1638"/>
      <c r="AU667" s="1638"/>
      <c r="AV667" s="1638"/>
      <c r="AW667" s="1722">
        <v>367.5</v>
      </c>
      <c r="AX667" s="1640"/>
      <c r="AY667" s="1640"/>
      <c r="AZ667" s="1640"/>
      <c r="BA667" s="1964">
        <v>367.5</v>
      </c>
      <c r="BB667" s="1640"/>
      <c r="BC667" s="1640"/>
      <c r="BD667" s="1640"/>
      <c r="BE667" s="1964">
        <v>367.5</v>
      </c>
      <c r="BF667" s="1640"/>
      <c r="BG667" s="1640"/>
      <c r="BH667" s="1640"/>
      <c r="BI667" s="1641"/>
      <c r="BJ667" s="1640"/>
      <c r="BK667" s="1640"/>
      <c r="BL667" s="1640"/>
      <c r="BM667" s="1641">
        <f>367.5+367.5</f>
        <v>735</v>
      </c>
      <c r="BN667" s="1640"/>
      <c r="BO667" s="1640"/>
      <c r="BP667" s="1640"/>
      <c r="BQ667" s="1641">
        <f>160+367.5</f>
        <v>527.5</v>
      </c>
      <c r="BR667" s="1640"/>
      <c r="BS667" s="1640"/>
      <c r="BT667" s="1640"/>
      <c r="BU667" s="1641"/>
      <c r="BV667" s="1640"/>
      <c r="BW667" s="1640"/>
      <c r="BX667" s="1640"/>
      <c r="BY667" s="1641"/>
      <c r="BZ667" s="1640"/>
      <c r="CA667" s="1640"/>
      <c r="CB667" s="1640"/>
      <c r="CC667" s="1641">
        <v>423.9</v>
      </c>
      <c r="CD667" s="1640"/>
      <c r="CE667" s="1640"/>
      <c r="CF667" s="1640"/>
      <c r="CG667" s="1642"/>
      <c r="CH667" s="1641">
        <f t="shared" si="465"/>
        <v>180.3</v>
      </c>
      <c r="CI667" s="1641">
        <f t="shared" si="465"/>
        <v>0</v>
      </c>
      <c r="CJ667" s="1641">
        <f t="shared" si="465"/>
        <v>0</v>
      </c>
      <c r="CK667" s="1641">
        <f t="shared" si="465"/>
        <v>0</v>
      </c>
      <c r="CL667" s="1889">
        <v>180.3</v>
      </c>
      <c r="CM667" s="1889">
        <v>0</v>
      </c>
      <c r="CN667" s="1889">
        <v>0</v>
      </c>
      <c r="CO667" s="1889">
        <v>0</v>
      </c>
      <c r="CP667" s="1641"/>
      <c r="CQ667" s="1640"/>
      <c r="CR667" s="1640"/>
      <c r="CS667" s="1640"/>
      <c r="CX667" s="1558">
        <f>H667/12*10-AC667</f>
        <v>-617.36666666666679</v>
      </c>
      <c r="CY667" s="1558">
        <f>AI667/3</f>
        <v>0</v>
      </c>
      <c r="CZ667" s="1558">
        <f>H667/12</f>
        <v>308.68333333333334</v>
      </c>
      <c r="DA667" s="1559"/>
      <c r="DB667" s="1559"/>
      <c r="DC667" s="1559"/>
    </row>
    <row r="668" spans="1:107" ht="15" thickBot="1" x14ac:dyDescent="0.2">
      <c r="A668" s="1541" t="s">
        <v>85</v>
      </c>
      <c r="B668" s="1523" t="s">
        <v>79</v>
      </c>
      <c r="C668" s="1523" t="s">
        <v>80</v>
      </c>
      <c r="D668" s="1523" t="s">
        <v>125</v>
      </c>
      <c r="E668" s="1523" t="s">
        <v>216</v>
      </c>
      <c r="F668" s="1523"/>
      <c r="G668" s="1667">
        <v>221</v>
      </c>
      <c r="H668" s="1501"/>
      <c r="I668" s="1501"/>
      <c r="J668" s="1630"/>
      <c r="K668" s="1630"/>
      <c r="L668" s="1631"/>
      <c r="M668" s="1631"/>
      <c r="N668" s="1631"/>
      <c r="O668" s="1631"/>
      <c r="P668" s="1631"/>
      <c r="Q668" s="1631"/>
      <c r="R668" s="1631"/>
      <c r="S668" s="1631"/>
      <c r="T668" s="1632"/>
      <c r="U668" s="1633"/>
      <c r="V668" s="1633"/>
      <c r="W668" s="1634"/>
      <c r="X668" s="1634"/>
      <c r="Y668" s="1634"/>
      <c r="Z668" s="1635"/>
      <c r="AA668" s="1634">
        <f t="shared" si="458"/>
        <v>0</v>
      </c>
      <c r="AB668" s="1634"/>
      <c r="AC668" s="1508">
        <f t="shared" si="459"/>
        <v>0</v>
      </c>
      <c r="AD668" s="1509">
        <f t="shared" si="460"/>
        <v>0</v>
      </c>
      <c r="AE668" s="1509">
        <f t="shared" si="461"/>
        <v>0</v>
      </c>
      <c r="AF668" s="1509">
        <f t="shared" si="461"/>
        <v>0</v>
      </c>
      <c r="AG668" s="1509">
        <f t="shared" si="461"/>
        <v>0</v>
      </c>
      <c r="AH668" s="1490">
        <f t="shared" si="455"/>
        <v>0</v>
      </c>
      <c r="AI668" s="1636">
        <f t="shared" si="462"/>
        <v>0</v>
      </c>
      <c r="AJ668" s="1636">
        <f t="shared" si="463"/>
        <v>0</v>
      </c>
      <c r="AK668" s="1636">
        <f t="shared" si="464"/>
        <v>0</v>
      </c>
      <c r="AL668" s="1636">
        <f t="shared" si="464"/>
        <v>0</v>
      </c>
      <c r="AM668" s="1636">
        <f t="shared" si="464"/>
        <v>0</v>
      </c>
      <c r="AN668" s="1637"/>
      <c r="AO668" s="1722">
        <v>0</v>
      </c>
      <c r="AP668" s="1638"/>
      <c r="AQ668" s="1638"/>
      <c r="AR668" s="1638"/>
      <c r="AS668" s="1963">
        <v>0</v>
      </c>
      <c r="AT668" s="1638"/>
      <c r="AU668" s="1638"/>
      <c r="AV668" s="1638"/>
      <c r="AW668" s="1639"/>
      <c r="AX668" s="1640"/>
      <c r="AY668" s="1640"/>
      <c r="AZ668" s="1640"/>
      <c r="BA668" s="1641"/>
      <c r="BB668" s="1640"/>
      <c r="BC668" s="1640"/>
      <c r="BD668" s="1640"/>
      <c r="BE668" s="1644"/>
      <c r="BF668" s="1640"/>
      <c r="BG668" s="1640"/>
      <c r="BH668" s="1640"/>
      <c r="BI668" s="1641"/>
      <c r="BJ668" s="1640"/>
      <c r="BK668" s="1640"/>
      <c r="BL668" s="1640"/>
      <c r="BM668" s="1641"/>
      <c r="BN668" s="1640"/>
      <c r="BO668" s="1640"/>
      <c r="BP668" s="1640"/>
      <c r="BQ668" s="1641"/>
      <c r="BR668" s="1640"/>
      <c r="BS668" s="1640"/>
      <c r="BT668" s="1640"/>
      <c r="BU668" s="1641"/>
      <c r="BV668" s="1640"/>
      <c r="BW668" s="1640"/>
      <c r="BX668" s="1640"/>
      <c r="BY668" s="1641"/>
      <c r="BZ668" s="1640"/>
      <c r="CA668" s="1640"/>
      <c r="CB668" s="1640"/>
      <c r="CC668" s="1641"/>
      <c r="CD668" s="1640"/>
      <c r="CE668" s="1640"/>
      <c r="CF668" s="1640"/>
      <c r="CG668" s="1642"/>
      <c r="CH668" s="1641">
        <f t="shared" si="465"/>
        <v>0</v>
      </c>
      <c r="CI668" s="1641">
        <f t="shared" si="465"/>
        <v>0</v>
      </c>
      <c r="CJ668" s="1641">
        <f t="shared" si="465"/>
        <v>0</v>
      </c>
      <c r="CK668" s="1641">
        <f t="shared" si="465"/>
        <v>0</v>
      </c>
      <c r="CL668" s="1889">
        <v>0</v>
      </c>
      <c r="CM668" s="1889">
        <v>0</v>
      </c>
      <c r="CN668" s="1889">
        <v>0</v>
      </c>
      <c r="CO668" s="1889">
        <v>0</v>
      </c>
      <c r="CP668" s="1641"/>
      <c r="CQ668" s="1640"/>
      <c r="CR668" s="1640"/>
      <c r="CS668" s="1640"/>
    </row>
    <row r="669" spans="1:107" ht="15" thickBot="1" x14ac:dyDescent="0.2">
      <c r="A669" s="1541" t="s">
        <v>86</v>
      </c>
      <c r="B669" s="1523" t="s">
        <v>79</v>
      </c>
      <c r="C669" s="1523" t="s">
        <v>80</v>
      </c>
      <c r="D669" s="1523" t="s">
        <v>125</v>
      </c>
      <c r="E669" s="1523" t="s">
        <v>216</v>
      </c>
      <c r="F669" s="1523"/>
      <c r="G669" s="1667">
        <v>222</v>
      </c>
      <c r="H669" s="1501"/>
      <c r="I669" s="1501"/>
      <c r="J669" s="1630"/>
      <c r="K669" s="1630"/>
      <c r="L669" s="1631"/>
      <c r="M669" s="1631"/>
      <c r="N669" s="1631"/>
      <c r="O669" s="1631"/>
      <c r="P669" s="1631"/>
      <c r="Q669" s="1631"/>
      <c r="R669" s="1631"/>
      <c r="S669" s="1631"/>
      <c r="T669" s="1632"/>
      <c r="U669" s="1633"/>
      <c r="V669" s="1633"/>
      <c r="W669" s="1634"/>
      <c r="X669" s="1634"/>
      <c r="Y669" s="1634"/>
      <c r="Z669" s="1635"/>
      <c r="AA669" s="1634">
        <f t="shared" si="458"/>
        <v>0</v>
      </c>
      <c r="AB669" s="1634"/>
      <c r="AC669" s="1508">
        <f t="shared" si="459"/>
        <v>0</v>
      </c>
      <c r="AD669" s="1509">
        <f t="shared" si="460"/>
        <v>0</v>
      </c>
      <c r="AE669" s="1509">
        <f t="shared" si="461"/>
        <v>0</v>
      </c>
      <c r="AF669" s="1509">
        <f t="shared" si="461"/>
        <v>0</v>
      </c>
      <c r="AG669" s="1509">
        <f t="shared" si="461"/>
        <v>0</v>
      </c>
      <c r="AH669" s="1490">
        <f t="shared" si="455"/>
        <v>0</v>
      </c>
      <c r="AI669" s="1636">
        <f t="shared" si="462"/>
        <v>0</v>
      </c>
      <c r="AJ669" s="1636">
        <f t="shared" si="463"/>
        <v>0</v>
      </c>
      <c r="AK669" s="1636">
        <f t="shared" si="464"/>
        <v>0</v>
      </c>
      <c r="AL669" s="1636">
        <f t="shared" si="464"/>
        <v>0</v>
      </c>
      <c r="AM669" s="1636">
        <f t="shared" si="464"/>
        <v>0</v>
      </c>
      <c r="AN669" s="1637"/>
      <c r="AO669" s="1722">
        <v>0</v>
      </c>
      <c r="AP669" s="1638"/>
      <c r="AQ669" s="1638"/>
      <c r="AR669" s="1638"/>
      <c r="AS669" s="1963">
        <v>0</v>
      </c>
      <c r="AT669" s="1638"/>
      <c r="AU669" s="1638"/>
      <c r="AV669" s="1638"/>
      <c r="AW669" s="1639"/>
      <c r="AX669" s="1640"/>
      <c r="AY669" s="1640"/>
      <c r="AZ669" s="1640"/>
      <c r="BA669" s="1641"/>
      <c r="BB669" s="1640"/>
      <c r="BC669" s="1640"/>
      <c r="BD669" s="1640"/>
      <c r="BE669" s="1644"/>
      <c r="BF669" s="1640"/>
      <c r="BG669" s="1640"/>
      <c r="BH669" s="1640"/>
      <c r="BI669" s="1641"/>
      <c r="BJ669" s="1640"/>
      <c r="BK669" s="1640"/>
      <c r="BL669" s="1640"/>
      <c r="BM669" s="1641"/>
      <c r="BN669" s="1640"/>
      <c r="BO669" s="1640"/>
      <c r="BP669" s="1640"/>
      <c r="BQ669" s="1641"/>
      <c r="BR669" s="1640"/>
      <c r="BS669" s="1640"/>
      <c r="BT669" s="1640"/>
      <c r="BU669" s="1641"/>
      <c r="BV669" s="1640"/>
      <c r="BW669" s="1640"/>
      <c r="BX669" s="1640"/>
      <c r="BY669" s="1641"/>
      <c r="BZ669" s="1640"/>
      <c r="CA669" s="1640"/>
      <c r="CB669" s="1640"/>
      <c r="CC669" s="1641"/>
      <c r="CD669" s="1640"/>
      <c r="CE669" s="1640"/>
      <c r="CF669" s="1640"/>
      <c r="CG669" s="1642"/>
      <c r="CH669" s="1641">
        <f t="shared" si="465"/>
        <v>0</v>
      </c>
      <c r="CI669" s="1641">
        <f t="shared" si="465"/>
        <v>0</v>
      </c>
      <c r="CJ669" s="1641">
        <f t="shared" si="465"/>
        <v>0</v>
      </c>
      <c r="CK669" s="1641">
        <f t="shared" si="465"/>
        <v>0</v>
      </c>
      <c r="CL669" s="1889">
        <v>0</v>
      </c>
      <c r="CM669" s="1889">
        <v>0</v>
      </c>
      <c r="CN669" s="1889">
        <v>0</v>
      </c>
      <c r="CO669" s="1889">
        <v>0</v>
      </c>
      <c r="CP669" s="1641"/>
      <c r="CQ669" s="1640"/>
      <c r="CR669" s="1640"/>
      <c r="CS669" s="1640"/>
    </row>
    <row r="670" spans="1:107" ht="15" thickBot="1" x14ac:dyDescent="0.2">
      <c r="A670" s="1541" t="s">
        <v>87</v>
      </c>
      <c r="B670" s="1523" t="s">
        <v>79</v>
      </c>
      <c r="C670" s="1523" t="s">
        <v>80</v>
      </c>
      <c r="D670" s="1523" t="s">
        <v>125</v>
      </c>
      <c r="E670" s="1523" t="s">
        <v>216</v>
      </c>
      <c r="F670" s="1523"/>
      <c r="G670" s="1667">
        <v>223</v>
      </c>
      <c r="H670" s="1501">
        <v>148.1</v>
      </c>
      <c r="I670" s="1501"/>
      <c r="J670" s="1630"/>
      <c r="K670" s="1630"/>
      <c r="L670" s="1631"/>
      <c r="M670" s="1631"/>
      <c r="N670" s="1631"/>
      <c r="O670" s="1631"/>
      <c r="P670" s="1631"/>
      <c r="Q670" s="1631"/>
      <c r="R670" s="1631"/>
      <c r="S670" s="1631"/>
      <c r="T670" s="1632"/>
      <c r="U670" s="1633"/>
      <c r="V670" s="1633"/>
      <c r="W670" s="1634"/>
      <c r="X670" s="1634"/>
      <c r="Y670" s="1634"/>
      <c r="Z670" s="1635"/>
      <c r="AA670" s="1634">
        <f t="shared" si="458"/>
        <v>0</v>
      </c>
      <c r="AB670" s="1891"/>
      <c r="AC670" s="1508">
        <f t="shared" si="459"/>
        <v>148.1</v>
      </c>
      <c r="AD670" s="1509">
        <f t="shared" si="460"/>
        <v>0</v>
      </c>
      <c r="AE670" s="1509">
        <f t="shared" si="461"/>
        <v>0</v>
      </c>
      <c r="AF670" s="1509">
        <f t="shared" si="461"/>
        <v>0</v>
      </c>
      <c r="AG670" s="1509">
        <f t="shared" si="461"/>
        <v>0</v>
      </c>
      <c r="AH670" s="1490">
        <f t="shared" si="455"/>
        <v>37</v>
      </c>
      <c r="AI670" s="1636">
        <f t="shared" si="462"/>
        <v>0</v>
      </c>
      <c r="AJ670" s="1636">
        <f t="shared" si="463"/>
        <v>0</v>
      </c>
      <c r="AK670" s="1636">
        <f t="shared" si="464"/>
        <v>0</v>
      </c>
      <c r="AL670" s="1636">
        <f t="shared" si="464"/>
        <v>0</v>
      </c>
      <c r="AM670" s="1636">
        <f t="shared" si="464"/>
        <v>0</v>
      </c>
      <c r="AN670" s="1637"/>
      <c r="AO670" s="1722">
        <v>12.3</v>
      </c>
      <c r="AP670" s="1638"/>
      <c r="AQ670" s="1638"/>
      <c r="AR670" s="1638"/>
      <c r="AS670" s="1963">
        <v>12.2</v>
      </c>
      <c r="AT670" s="1638"/>
      <c r="AU670" s="1638"/>
      <c r="AV670" s="1638"/>
      <c r="AW670" s="1639"/>
      <c r="AX670" s="1640"/>
      <c r="AY670" s="1640"/>
      <c r="AZ670" s="1640"/>
      <c r="BA670" s="1641"/>
      <c r="BB670" s="1640"/>
      <c r="BC670" s="1640"/>
      <c r="BD670" s="1640"/>
      <c r="BE670" s="1644">
        <v>28</v>
      </c>
      <c r="BF670" s="1640"/>
      <c r="BG670" s="1640"/>
      <c r="BH670" s="1640"/>
      <c r="BI670" s="1641">
        <v>14</v>
      </c>
      <c r="BJ670" s="1640"/>
      <c r="BK670" s="1640"/>
      <c r="BL670" s="1640"/>
      <c r="BM670" s="1641"/>
      <c r="BN670" s="1640"/>
      <c r="BO670" s="1640"/>
      <c r="BP670" s="1640"/>
      <c r="BQ670" s="1641">
        <v>14</v>
      </c>
      <c r="BR670" s="1640"/>
      <c r="BS670" s="1640"/>
      <c r="BT670" s="1640"/>
      <c r="BU670" s="1641">
        <v>30.6</v>
      </c>
      <c r="BV670" s="1640"/>
      <c r="BW670" s="1640"/>
      <c r="BX670" s="1640"/>
      <c r="BY670" s="1641"/>
      <c r="BZ670" s="1640"/>
      <c r="CA670" s="1640"/>
      <c r="CB670" s="1640"/>
      <c r="CC670" s="1641"/>
      <c r="CD670" s="1640"/>
      <c r="CE670" s="1640"/>
      <c r="CF670" s="1640"/>
      <c r="CG670" s="1642"/>
      <c r="CH670" s="1641">
        <f t="shared" si="465"/>
        <v>37</v>
      </c>
      <c r="CI670" s="1641">
        <f t="shared" si="465"/>
        <v>0</v>
      </c>
      <c r="CJ670" s="1641">
        <f t="shared" si="465"/>
        <v>0</v>
      </c>
      <c r="CK670" s="1641">
        <f t="shared" si="465"/>
        <v>0</v>
      </c>
      <c r="CL670" s="1889">
        <v>37</v>
      </c>
      <c r="CM670" s="1889">
        <v>0</v>
      </c>
      <c r="CN670" s="1889">
        <v>0</v>
      </c>
      <c r="CO670" s="1889">
        <v>0</v>
      </c>
      <c r="CP670" s="1641"/>
      <c r="CQ670" s="1640"/>
      <c r="CR670" s="1640"/>
      <c r="CS670" s="1640"/>
    </row>
    <row r="671" spans="1:107" ht="15" customHeight="1" thickBot="1" x14ac:dyDescent="0.2">
      <c r="A671" s="1541" t="s">
        <v>134</v>
      </c>
      <c r="B671" s="1523" t="s">
        <v>79</v>
      </c>
      <c r="C671" s="1523" t="s">
        <v>80</v>
      </c>
      <c r="D671" s="1523" t="s">
        <v>125</v>
      </c>
      <c r="E671" s="1523" t="s">
        <v>216</v>
      </c>
      <c r="F671" s="1523"/>
      <c r="G671" s="1667">
        <v>224</v>
      </c>
      <c r="H671" s="1501"/>
      <c r="I671" s="1501"/>
      <c r="J671" s="1630"/>
      <c r="K671" s="1630"/>
      <c r="L671" s="1631"/>
      <c r="M671" s="1631"/>
      <c r="N671" s="1631"/>
      <c r="O671" s="1631"/>
      <c r="P671" s="1631"/>
      <c r="Q671" s="1631"/>
      <c r="R671" s="1631"/>
      <c r="S671" s="1631"/>
      <c r="T671" s="1632"/>
      <c r="U671" s="1633"/>
      <c r="V671" s="1633"/>
      <c r="W671" s="1634"/>
      <c r="X671" s="1634"/>
      <c r="Y671" s="1634"/>
      <c r="Z671" s="1635"/>
      <c r="AA671" s="1634">
        <f t="shared" si="458"/>
        <v>0</v>
      </c>
      <c r="AB671" s="1634"/>
      <c r="AC671" s="1508">
        <f t="shared" si="459"/>
        <v>0</v>
      </c>
      <c r="AD671" s="1509">
        <f t="shared" si="460"/>
        <v>0</v>
      </c>
      <c r="AE671" s="1509">
        <f t="shared" si="461"/>
        <v>0</v>
      </c>
      <c r="AF671" s="1509">
        <f t="shared" si="461"/>
        <v>0</v>
      </c>
      <c r="AG671" s="1509">
        <f t="shared" si="461"/>
        <v>0</v>
      </c>
      <c r="AH671" s="1490">
        <f t="shared" si="455"/>
        <v>0</v>
      </c>
      <c r="AI671" s="1636">
        <f t="shared" si="462"/>
        <v>0</v>
      </c>
      <c r="AJ671" s="1636">
        <f t="shared" si="463"/>
        <v>0</v>
      </c>
      <c r="AK671" s="1636">
        <f t="shared" si="464"/>
        <v>0</v>
      </c>
      <c r="AL671" s="1636">
        <f t="shared" si="464"/>
        <v>0</v>
      </c>
      <c r="AM671" s="1636">
        <f t="shared" si="464"/>
        <v>0</v>
      </c>
      <c r="AN671" s="1637"/>
      <c r="AO671" s="1722">
        <v>0</v>
      </c>
      <c r="AP671" s="1638"/>
      <c r="AQ671" s="1638"/>
      <c r="AR671" s="1638"/>
      <c r="AS671" s="1963">
        <v>0</v>
      </c>
      <c r="AT671" s="1638"/>
      <c r="AU671" s="1638"/>
      <c r="AV671" s="1638"/>
      <c r="AW671" s="1639"/>
      <c r="AX671" s="1640"/>
      <c r="AY671" s="1640"/>
      <c r="AZ671" s="1640"/>
      <c r="BA671" s="1641"/>
      <c r="BB671" s="1640"/>
      <c r="BC671" s="1640"/>
      <c r="BD671" s="1640"/>
      <c r="BE671" s="1644"/>
      <c r="BF671" s="1640"/>
      <c r="BG671" s="1640"/>
      <c r="BH671" s="1640"/>
      <c r="BI671" s="1641"/>
      <c r="BJ671" s="1640"/>
      <c r="BK671" s="1640"/>
      <c r="BL671" s="1640"/>
      <c r="BM671" s="1641"/>
      <c r="BN671" s="1640"/>
      <c r="BO671" s="1640"/>
      <c r="BP671" s="1640"/>
      <c r="BQ671" s="1641"/>
      <c r="BR671" s="1640"/>
      <c r="BS671" s="1640"/>
      <c r="BT671" s="1640"/>
      <c r="BU671" s="1641"/>
      <c r="BV671" s="1640"/>
      <c r="BW671" s="1640"/>
      <c r="BX671" s="1640"/>
      <c r="BY671" s="1641"/>
      <c r="BZ671" s="1640"/>
      <c r="CA671" s="1640"/>
      <c r="CB671" s="1640"/>
      <c r="CC671" s="1641"/>
      <c r="CD671" s="1640"/>
      <c r="CE671" s="1640"/>
      <c r="CF671" s="1640"/>
      <c r="CG671" s="1642"/>
      <c r="CH671" s="1641">
        <f t="shared" si="465"/>
        <v>0</v>
      </c>
      <c r="CI671" s="1641">
        <f t="shared" si="465"/>
        <v>0</v>
      </c>
      <c r="CJ671" s="1641">
        <f t="shared" si="465"/>
        <v>0</v>
      </c>
      <c r="CK671" s="1641">
        <f t="shared" si="465"/>
        <v>0</v>
      </c>
      <c r="CL671" s="1889">
        <v>0</v>
      </c>
      <c r="CM671" s="1889">
        <v>0</v>
      </c>
      <c r="CN671" s="1889">
        <v>0</v>
      </c>
      <c r="CO671" s="1889">
        <v>0</v>
      </c>
      <c r="CP671" s="1641"/>
      <c r="CQ671" s="1640"/>
      <c r="CR671" s="1640"/>
      <c r="CS671" s="1640"/>
    </row>
    <row r="672" spans="1:107" ht="15" thickBot="1" x14ac:dyDescent="0.2">
      <c r="A672" s="1541" t="s">
        <v>90</v>
      </c>
      <c r="B672" s="1523" t="s">
        <v>79</v>
      </c>
      <c r="C672" s="1523" t="s">
        <v>80</v>
      </c>
      <c r="D672" s="1523" t="s">
        <v>125</v>
      </c>
      <c r="E672" s="1523" t="s">
        <v>216</v>
      </c>
      <c r="F672" s="1523"/>
      <c r="G672" s="1667">
        <v>225</v>
      </c>
      <c r="H672" s="1501">
        <f>115</f>
        <v>115</v>
      </c>
      <c r="I672" s="1501"/>
      <c r="J672" s="1630"/>
      <c r="K672" s="1630"/>
      <c r="L672" s="1631"/>
      <c r="M672" s="1631"/>
      <c r="N672" s="1631"/>
      <c r="O672" s="1631"/>
      <c r="P672" s="1631"/>
      <c r="Q672" s="1631"/>
      <c r="R672" s="1631"/>
      <c r="S672" s="1631"/>
      <c r="T672" s="1632"/>
      <c r="U672" s="1633"/>
      <c r="V672" s="1633"/>
      <c r="W672" s="1634"/>
      <c r="X672" s="1634"/>
      <c r="Y672" s="1634"/>
      <c r="Z672" s="1635"/>
      <c r="AA672" s="1634">
        <f>AB672-Z672</f>
        <v>0</v>
      </c>
      <c r="AB672" s="1634"/>
      <c r="AC672" s="1508">
        <f t="shared" si="459"/>
        <v>115</v>
      </c>
      <c r="AD672" s="1509">
        <f t="shared" si="460"/>
        <v>0</v>
      </c>
      <c r="AE672" s="1509">
        <f t="shared" si="461"/>
        <v>0</v>
      </c>
      <c r="AF672" s="1509">
        <f t="shared" si="461"/>
        <v>0</v>
      </c>
      <c r="AG672" s="1509">
        <f t="shared" si="461"/>
        <v>0</v>
      </c>
      <c r="AH672" s="1490">
        <f t="shared" si="455"/>
        <v>0</v>
      </c>
      <c r="AI672" s="1636">
        <f t="shared" si="462"/>
        <v>0</v>
      </c>
      <c r="AJ672" s="1636">
        <f t="shared" si="463"/>
        <v>0</v>
      </c>
      <c r="AK672" s="1636">
        <f t="shared" si="464"/>
        <v>0</v>
      </c>
      <c r="AL672" s="1636">
        <f t="shared" si="464"/>
        <v>0</v>
      </c>
      <c r="AM672" s="1636">
        <f t="shared" si="464"/>
        <v>0</v>
      </c>
      <c r="AN672" s="1637"/>
      <c r="AO672" s="1723"/>
      <c r="AP672" s="1638"/>
      <c r="AQ672" s="1638"/>
      <c r="AR672" s="1638"/>
      <c r="AS672" s="1639"/>
      <c r="AT672" s="1638"/>
      <c r="AU672" s="1638"/>
      <c r="AV672" s="1638"/>
      <c r="AW672" s="1639"/>
      <c r="AX672" s="1640"/>
      <c r="AY672" s="1640"/>
      <c r="AZ672" s="1640"/>
      <c r="BA672" s="1641"/>
      <c r="BB672" s="1640"/>
      <c r="BC672" s="1640"/>
      <c r="BD672" s="1640"/>
      <c r="BE672" s="1644"/>
      <c r="BF672" s="1640"/>
      <c r="BG672" s="1640"/>
      <c r="BH672" s="1640"/>
      <c r="BI672" s="1641"/>
      <c r="BJ672" s="1640"/>
      <c r="BK672" s="1640"/>
      <c r="BL672" s="1640"/>
      <c r="BM672" s="1641"/>
      <c r="BN672" s="1640"/>
      <c r="BO672" s="1640"/>
      <c r="BP672" s="1640"/>
      <c r="BQ672" s="1641">
        <v>115</v>
      </c>
      <c r="BR672" s="1640"/>
      <c r="BS672" s="1640"/>
      <c r="BT672" s="1640"/>
      <c r="BU672" s="1641"/>
      <c r="BV672" s="1640"/>
      <c r="BW672" s="1640"/>
      <c r="BX672" s="1640"/>
      <c r="BY672" s="1641"/>
      <c r="BZ672" s="1640"/>
      <c r="CA672" s="1640"/>
      <c r="CB672" s="1640"/>
      <c r="CC672" s="1641"/>
      <c r="CD672" s="1640"/>
      <c r="CE672" s="1640"/>
      <c r="CF672" s="1640"/>
      <c r="CG672" s="1642"/>
      <c r="CH672" s="1641">
        <f t="shared" si="465"/>
        <v>0</v>
      </c>
      <c r="CI672" s="1641">
        <f t="shared" si="465"/>
        <v>0</v>
      </c>
      <c r="CJ672" s="1641">
        <f t="shared" si="465"/>
        <v>0</v>
      </c>
      <c r="CK672" s="1641">
        <f t="shared" si="465"/>
        <v>0</v>
      </c>
      <c r="CL672" s="1889">
        <v>0</v>
      </c>
      <c r="CM672" s="1889">
        <v>0</v>
      </c>
      <c r="CN672" s="1889">
        <v>0</v>
      </c>
      <c r="CO672" s="1889">
        <v>0</v>
      </c>
      <c r="CP672" s="1641"/>
      <c r="CQ672" s="1640"/>
      <c r="CR672" s="1640"/>
      <c r="CS672" s="1640"/>
    </row>
    <row r="673" spans="1:107" ht="15" thickBot="1" x14ac:dyDescent="0.2">
      <c r="A673" s="1541" t="s">
        <v>91</v>
      </c>
      <c r="B673" s="1523" t="s">
        <v>79</v>
      </c>
      <c r="C673" s="1523" t="s">
        <v>80</v>
      </c>
      <c r="D673" s="1523" t="s">
        <v>125</v>
      </c>
      <c r="E673" s="1523" t="s">
        <v>216</v>
      </c>
      <c r="F673" s="1523"/>
      <c r="G673" s="1667">
        <v>226</v>
      </c>
      <c r="H673" s="1501">
        <f>35+7.5-6.5</f>
        <v>36</v>
      </c>
      <c r="I673" s="1501"/>
      <c r="J673" s="1630"/>
      <c r="K673" s="1630"/>
      <c r="L673" s="1631"/>
      <c r="M673" s="1631"/>
      <c r="N673" s="1631"/>
      <c r="O673" s="1631"/>
      <c r="P673" s="1631"/>
      <c r="Q673" s="1631"/>
      <c r="R673" s="1631"/>
      <c r="S673" s="1631"/>
      <c r="T673" s="1632"/>
      <c r="U673" s="1633"/>
      <c r="V673" s="1633"/>
      <c r="W673" s="1634"/>
      <c r="X673" s="1634"/>
      <c r="Y673" s="1634"/>
      <c r="Z673" s="1635"/>
      <c r="AA673" s="1634">
        <f t="shared" ref="AA673:AA686" si="466">AB673-Z673</f>
        <v>0</v>
      </c>
      <c r="AB673" s="1634"/>
      <c r="AC673" s="1508">
        <f t="shared" si="459"/>
        <v>36</v>
      </c>
      <c r="AD673" s="1509">
        <f t="shared" si="460"/>
        <v>0</v>
      </c>
      <c r="AE673" s="1509">
        <f t="shared" si="461"/>
        <v>0</v>
      </c>
      <c r="AF673" s="1509">
        <f t="shared" si="461"/>
        <v>0</v>
      </c>
      <c r="AG673" s="1509">
        <f t="shared" si="461"/>
        <v>0</v>
      </c>
      <c r="AH673" s="1490">
        <f t="shared" si="455"/>
        <v>0.95399999999999996</v>
      </c>
      <c r="AI673" s="1636">
        <f t="shared" si="462"/>
        <v>0</v>
      </c>
      <c r="AJ673" s="1636">
        <f t="shared" si="463"/>
        <v>0</v>
      </c>
      <c r="AK673" s="1636">
        <f t="shared" si="464"/>
        <v>0</v>
      </c>
      <c r="AL673" s="1636">
        <f t="shared" si="464"/>
        <v>0</v>
      </c>
      <c r="AM673" s="1636">
        <f t="shared" si="464"/>
        <v>0</v>
      </c>
      <c r="AN673" s="1637"/>
      <c r="AO673" s="1723"/>
      <c r="AP673" s="1638"/>
      <c r="AQ673" s="1638"/>
      <c r="AR673" s="1638"/>
      <c r="AS673" s="1639"/>
      <c r="AT673" s="1638"/>
      <c r="AU673" s="1638"/>
      <c r="AV673" s="1638"/>
      <c r="AW673" s="1639"/>
      <c r="AX673" s="1640"/>
      <c r="AY673" s="1640"/>
      <c r="AZ673" s="1640"/>
      <c r="BA673" s="1641"/>
      <c r="BB673" s="1640"/>
      <c r="BC673" s="1640"/>
      <c r="BD673" s="1640"/>
      <c r="BE673" s="1644"/>
      <c r="BF673" s="1640"/>
      <c r="BG673" s="1640"/>
      <c r="BH673" s="1640"/>
      <c r="BI673" s="1641"/>
      <c r="BJ673" s="1640"/>
      <c r="BK673" s="1640"/>
      <c r="BL673" s="1640"/>
      <c r="BM673" s="1641"/>
      <c r="BN673" s="1640"/>
      <c r="BO673" s="1640"/>
      <c r="BP673" s="1640"/>
      <c r="BQ673" s="1641">
        <v>35.045999999999999</v>
      </c>
      <c r="BR673" s="1640"/>
      <c r="BS673" s="1640"/>
      <c r="BT673" s="1640"/>
      <c r="BU673" s="1641"/>
      <c r="BV673" s="1640"/>
      <c r="BW673" s="1640"/>
      <c r="BX673" s="1640"/>
      <c r="BY673" s="1641"/>
      <c r="BZ673" s="1640"/>
      <c r="CA673" s="1640"/>
      <c r="CB673" s="1640"/>
      <c r="CC673" s="1641"/>
      <c r="CD673" s="1640"/>
      <c r="CE673" s="1640"/>
      <c r="CF673" s="1640"/>
      <c r="CG673" s="1642"/>
      <c r="CH673" s="1641">
        <f t="shared" si="465"/>
        <v>0.95399999999999996</v>
      </c>
      <c r="CI673" s="1641">
        <f t="shared" si="465"/>
        <v>0</v>
      </c>
      <c r="CJ673" s="1641">
        <f t="shared" si="465"/>
        <v>0</v>
      </c>
      <c r="CK673" s="1641">
        <f t="shared" si="465"/>
        <v>0</v>
      </c>
      <c r="CL673" s="1889">
        <v>0.95399999999999996</v>
      </c>
      <c r="CM673" s="1889">
        <v>0</v>
      </c>
      <c r="CN673" s="1889">
        <v>0</v>
      </c>
      <c r="CO673" s="1889">
        <v>0</v>
      </c>
      <c r="CP673" s="1641"/>
      <c r="CQ673" s="1640"/>
      <c r="CR673" s="1640"/>
      <c r="CS673" s="1640"/>
    </row>
    <row r="674" spans="1:107" ht="15" thickBot="1" x14ac:dyDescent="0.2">
      <c r="A674" s="1541" t="s">
        <v>94</v>
      </c>
      <c r="B674" s="1523" t="s">
        <v>79</v>
      </c>
      <c r="C674" s="1523" t="s">
        <v>80</v>
      </c>
      <c r="D674" s="1523" t="s">
        <v>125</v>
      </c>
      <c r="E674" s="1523" t="s">
        <v>216</v>
      </c>
      <c r="F674" s="1523"/>
      <c r="G674" s="1667">
        <v>290</v>
      </c>
      <c r="H674" s="1501">
        <v>119.2</v>
      </c>
      <c r="I674" s="1501"/>
      <c r="J674" s="1630"/>
      <c r="K674" s="1630"/>
      <c r="L674" s="1631"/>
      <c r="M674" s="1631"/>
      <c r="N674" s="1631"/>
      <c r="O674" s="1631"/>
      <c r="P674" s="1631"/>
      <c r="Q674" s="1631"/>
      <c r="R674" s="1631"/>
      <c r="S674" s="1631"/>
      <c r="T674" s="1632"/>
      <c r="U674" s="1633"/>
      <c r="V674" s="1633"/>
      <c r="W674" s="1634"/>
      <c r="X674" s="1634"/>
      <c r="Y674" s="1634"/>
      <c r="Z674" s="1635"/>
      <c r="AA674" s="1634">
        <f t="shared" si="466"/>
        <v>0</v>
      </c>
      <c r="AB674" s="1634"/>
      <c r="AC674" s="1508">
        <f t="shared" si="459"/>
        <v>119.2</v>
      </c>
      <c r="AD674" s="1509">
        <f t="shared" si="460"/>
        <v>0</v>
      </c>
      <c r="AE674" s="1509">
        <f t="shared" si="461"/>
        <v>0</v>
      </c>
      <c r="AF674" s="1509">
        <f t="shared" si="461"/>
        <v>0</v>
      </c>
      <c r="AG674" s="1509">
        <f t="shared" si="461"/>
        <v>0</v>
      </c>
      <c r="AH674" s="1490">
        <f t="shared" si="455"/>
        <v>29.5</v>
      </c>
      <c r="AI674" s="1636">
        <f t="shared" si="462"/>
        <v>0</v>
      </c>
      <c r="AJ674" s="1636">
        <f t="shared" si="463"/>
        <v>0</v>
      </c>
      <c r="AK674" s="1636">
        <f t="shared" si="464"/>
        <v>0</v>
      </c>
      <c r="AL674" s="1636">
        <f t="shared" si="464"/>
        <v>0</v>
      </c>
      <c r="AM674" s="1636">
        <f t="shared" si="464"/>
        <v>0</v>
      </c>
      <c r="AN674" s="1637"/>
      <c r="AO674" s="1722">
        <v>9.9</v>
      </c>
      <c r="AP674" s="1638"/>
      <c r="AQ674" s="1638"/>
      <c r="AR674" s="1638"/>
      <c r="AS674" s="1639"/>
      <c r="AT674" s="1638"/>
      <c r="AU674" s="1638"/>
      <c r="AV674" s="1638"/>
      <c r="AW674" s="1639"/>
      <c r="AX674" s="1640"/>
      <c r="AY674" s="1640"/>
      <c r="AZ674" s="1640"/>
      <c r="BA674" s="1641"/>
      <c r="BB674" s="1640"/>
      <c r="BC674" s="1640"/>
      <c r="BD674" s="1640"/>
      <c r="BE674" s="1644">
        <v>29.8</v>
      </c>
      <c r="BF674" s="1640"/>
      <c r="BG674" s="1640"/>
      <c r="BH674" s="1640"/>
      <c r="BI674" s="1641"/>
      <c r="BJ674" s="1640"/>
      <c r="BK674" s="1640"/>
      <c r="BL674" s="1640"/>
      <c r="BM674" s="1641"/>
      <c r="BN674" s="1640"/>
      <c r="BO674" s="1640"/>
      <c r="BP674" s="1640"/>
      <c r="BQ674" s="1641"/>
      <c r="BR674" s="1640"/>
      <c r="BS674" s="1640"/>
      <c r="BT674" s="1640"/>
      <c r="BU674" s="1641">
        <v>50</v>
      </c>
      <c r="BV674" s="1640"/>
      <c r="BW674" s="1640"/>
      <c r="BX674" s="1640"/>
      <c r="BY674" s="1641"/>
      <c r="BZ674" s="1640"/>
      <c r="CA674" s="1640"/>
      <c r="CB674" s="1640"/>
      <c r="CC674" s="1641"/>
      <c r="CD674" s="1640"/>
      <c r="CE674" s="1640"/>
      <c r="CF674" s="1640"/>
      <c r="CG674" s="1642"/>
      <c r="CH674" s="1641">
        <f t="shared" si="465"/>
        <v>29.5</v>
      </c>
      <c r="CI674" s="1641">
        <f t="shared" si="465"/>
        <v>0</v>
      </c>
      <c r="CJ674" s="1641">
        <f t="shared" si="465"/>
        <v>0</v>
      </c>
      <c r="CK674" s="1641">
        <f t="shared" si="465"/>
        <v>0</v>
      </c>
      <c r="CL674" s="1889">
        <v>29.5</v>
      </c>
      <c r="CM674" s="1889">
        <v>0</v>
      </c>
      <c r="CN674" s="1889">
        <v>0</v>
      </c>
      <c r="CO674" s="1889">
        <v>0</v>
      </c>
      <c r="CP674" s="1641"/>
      <c r="CQ674" s="1640"/>
      <c r="CR674" s="1640"/>
      <c r="CS674" s="1640"/>
    </row>
    <row r="675" spans="1:107" ht="15" thickBot="1" x14ac:dyDescent="0.2">
      <c r="A675" s="1541" t="s">
        <v>94</v>
      </c>
      <c r="B675" s="1523" t="s">
        <v>79</v>
      </c>
      <c r="C675" s="1523" t="s">
        <v>80</v>
      </c>
      <c r="D675" s="1523" t="s">
        <v>125</v>
      </c>
      <c r="E675" s="1523" t="s">
        <v>216</v>
      </c>
      <c r="F675" s="1523"/>
      <c r="G675" s="1667" t="s">
        <v>95</v>
      </c>
      <c r="H675" s="1501"/>
      <c r="I675" s="1501"/>
      <c r="J675" s="1630"/>
      <c r="K675" s="1630"/>
      <c r="L675" s="1631"/>
      <c r="M675" s="1631"/>
      <c r="N675" s="1631"/>
      <c r="O675" s="1631"/>
      <c r="P675" s="1631"/>
      <c r="Q675" s="1631"/>
      <c r="R675" s="1631"/>
      <c r="S675" s="1631"/>
      <c r="T675" s="1632"/>
      <c r="U675" s="1633"/>
      <c r="V675" s="1633"/>
      <c r="W675" s="1634"/>
      <c r="X675" s="1634"/>
      <c r="Y675" s="1634"/>
      <c r="Z675" s="1635"/>
      <c r="AA675" s="1634">
        <f t="shared" si="466"/>
        <v>0</v>
      </c>
      <c r="AB675" s="1634"/>
      <c r="AC675" s="1508">
        <f t="shared" si="459"/>
        <v>0</v>
      </c>
      <c r="AD675" s="1509">
        <f t="shared" si="460"/>
        <v>0</v>
      </c>
      <c r="AE675" s="1509">
        <f t="shared" si="461"/>
        <v>0</v>
      </c>
      <c r="AF675" s="1509">
        <f t="shared" si="461"/>
        <v>0</v>
      </c>
      <c r="AG675" s="1509">
        <f t="shared" si="461"/>
        <v>0</v>
      </c>
      <c r="AH675" s="1490">
        <f t="shared" si="455"/>
        <v>0</v>
      </c>
      <c r="AI675" s="1636">
        <f t="shared" si="462"/>
        <v>0</v>
      </c>
      <c r="AJ675" s="1636">
        <f t="shared" si="463"/>
        <v>0</v>
      </c>
      <c r="AK675" s="1636">
        <f t="shared" si="464"/>
        <v>0</v>
      </c>
      <c r="AL675" s="1636">
        <f t="shared" si="464"/>
        <v>0</v>
      </c>
      <c r="AM675" s="1636">
        <f t="shared" si="464"/>
        <v>0</v>
      </c>
      <c r="AN675" s="1637"/>
      <c r="AO675" s="1722">
        <v>0</v>
      </c>
      <c r="AP675" s="1638"/>
      <c r="AQ675" s="1638"/>
      <c r="AR675" s="1638"/>
      <c r="AS675" s="1639"/>
      <c r="AT675" s="1638"/>
      <c r="AU675" s="1638"/>
      <c r="AV675" s="1638"/>
      <c r="AW675" s="1639"/>
      <c r="AX675" s="1640"/>
      <c r="AY675" s="1640"/>
      <c r="AZ675" s="1640"/>
      <c r="BA675" s="1641"/>
      <c r="BB675" s="1640"/>
      <c r="BC675" s="1640"/>
      <c r="BD675" s="1640"/>
      <c r="BE675" s="1644"/>
      <c r="BF675" s="1640"/>
      <c r="BG675" s="1640"/>
      <c r="BH675" s="1640"/>
      <c r="BI675" s="1641"/>
      <c r="BJ675" s="1640"/>
      <c r="BK675" s="1640"/>
      <c r="BL675" s="1640"/>
      <c r="BM675" s="1641"/>
      <c r="BN675" s="1640"/>
      <c r="BO675" s="1640"/>
      <c r="BP675" s="1640"/>
      <c r="BQ675" s="1641"/>
      <c r="BR675" s="1640"/>
      <c r="BS675" s="1640"/>
      <c r="BT675" s="1640"/>
      <c r="BU675" s="1641"/>
      <c r="BV675" s="1640"/>
      <c r="BW675" s="1640"/>
      <c r="BX675" s="1640"/>
      <c r="BY675" s="1641"/>
      <c r="BZ675" s="1640"/>
      <c r="CA675" s="1640"/>
      <c r="CB675" s="1640"/>
      <c r="CC675" s="1641"/>
      <c r="CD675" s="1640"/>
      <c r="CE675" s="1640"/>
      <c r="CF675" s="1640"/>
      <c r="CG675" s="1642"/>
      <c r="CH675" s="1641">
        <f t="shared" si="465"/>
        <v>0</v>
      </c>
      <c r="CI675" s="1641">
        <f t="shared" si="465"/>
        <v>0</v>
      </c>
      <c r="CJ675" s="1641">
        <f t="shared" si="465"/>
        <v>0</v>
      </c>
      <c r="CK675" s="1641">
        <f t="shared" si="465"/>
        <v>0</v>
      </c>
      <c r="CL675" s="1889">
        <v>0</v>
      </c>
      <c r="CM675" s="1889">
        <v>0</v>
      </c>
      <c r="CN675" s="1889">
        <v>0</v>
      </c>
      <c r="CO675" s="1889">
        <v>0</v>
      </c>
      <c r="CP675" s="1641"/>
      <c r="CQ675" s="1640"/>
      <c r="CR675" s="1640"/>
      <c r="CS675" s="1640"/>
    </row>
    <row r="676" spans="1:107" ht="15" thickBot="1" x14ac:dyDescent="0.2">
      <c r="A676" s="1541" t="s">
        <v>96</v>
      </c>
      <c r="B676" s="1523" t="s">
        <v>79</v>
      </c>
      <c r="C676" s="1523" t="s">
        <v>80</v>
      </c>
      <c r="D676" s="1523" t="s">
        <v>125</v>
      </c>
      <c r="E676" s="1523" t="s">
        <v>216</v>
      </c>
      <c r="F676" s="1523"/>
      <c r="G676" s="1667">
        <v>310</v>
      </c>
      <c r="H676" s="1501">
        <f>200-100</f>
        <v>100</v>
      </c>
      <c r="I676" s="1501">
        <f>630+70-700</f>
        <v>0</v>
      </c>
      <c r="J676" s="1630"/>
      <c r="K676" s="1630"/>
      <c r="L676" s="1631"/>
      <c r="M676" s="1631"/>
      <c r="N676" s="1631"/>
      <c r="O676" s="1631"/>
      <c r="P676" s="1631"/>
      <c r="Q676" s="1631"/>
      <c r="R676" s="1631"/>
      <c r="S676" s="1631"/>
      <c r="T676" s="1632"/>
      <c r="U676" s="1633"/>
      <c r="V676" s="1633"/>
      <c r="W676" s="1634"/>
      <c r="X676" s="1634"/>
      <c r="Y676" s="1634"/>
      <c r="Z676" s="1635"/>
      <c r="AA676" s="1634">
        <f t="shared" si="466"/>
        <v>0</v>
      </c>
      <c r="AB676" s="1634"/>
      <c r="AC676" s="1508">
        <f t="shared" si="459"/>
        <v>100</v>
      </c>
      <c r="AD676" s="1509">
        <f t="shared" si="460"/>
        <v>0</v>
      </c>
      <c r="AE676" s="1509">
        <f t="shared" si="461"/>
        <v>0</v>
      </c>
      <c r="AF676" s="1509">
        <f t="shared" si="461"/>
        <v>0</v>
      </c>
      <c r="AG676" s="1509">
        <f t="shared" si="461"/>
        <v>0</v>
      </c>
      <c r="AH676" s="1490">
        <f t="shared" si="455"/>
        <v>0</v>
      </c>
      <c r="AI676" s="1636">
        <f t="shared" si="462"/>
        <v>0</v>
      </c>
      <c r="AJ676" s="1636">
        <f t="shared" si="463"/>
        <v>0</v>
      </c>
      <c r="AK676" s="1636">
        <f t="shared" si="464"/>
        <v>0</v>
      </c>
      <c r="AL676" s="1636">
        <f t="shared" si="464"/>
        <v>0</v>
      </c>
      <c r="AM676" s="1636">
        <f t="shared" si="464"/>
        <v>0</v>
      </c>
      <c r="AN676" s="1637"/>
      <c r="AO676" s="1723"/>
      <c r="AP676" s="1638"/>
      <c r="AQ676" s="1638"/>
      <c r="AR676" s="1638"/>
      <c r="AS676" s="1639"/>
      <c r="AT676" s="1638"/>
      <c r="AU676" s="1638"/>
      <c r="AV676" s="1638"/>
      <c r="AW676" s="1639"/>
      <c r="AX676" s="1640"/>
      <c r="AY676" s="1640"/>
      <c r="AZ676" s="1640"/>
      <c r="BA676" s="1641"/>
      <c r="BB676" s="1640"/>
      <c r="BC676" s="1640"/>
      <c r="BD676" s="1640"/>
      <c r="BE676" s="1644"/>
      <c r="BF676" s="1640"/>
      <c r="BG676" s="1640"/>
      <c r="BH676" s="1640"/>
      <c r="BI676" s="1641">
        <v>50</v>
      </c>
      <c r="BJ676" s="1640"/>
      <c r="BK676" s="1640"/>
      <c r="BL676" s="1640"/>
      <c r="BM676" s="1641">
        <v>50</v>
      </c>
      <c r="BN676" s="1640"/>
      <c r="BO676" s="1640"/>
      <c r="BP676" s="1640"/>
      <c r="BQ676" s="1641"/>
      <c r="BR676" s="1640"/>
      <c r="BS676" s="1640"/>
      <c r="BT676" s="1640"/>
      <c r="BU676" s="1641"/>
      <c r="BV676" s="1640"/>
      <c r="BW676" s="1640"/>
      <c r="BX676" s="1640"/>
      <c r="BY676" s="1641"/>
      <c r="BZ676" s="1640"/>
      <c r="CA676" s="1640"/>
      <c r="CB676" s="1640"/>
      <c r="CC676" s="1641"/>
      <c r="CD676" s="1640"/>
      <c r="CE676" s="1640"/>
      <c r="CF676" s="1640"/>
      <c r="CG676" s="1642"/>
      <c r="CH676" s="1641">
        <f t="shared" si="465"/>
        <v>0</v>
      </c>
      <c r="CI676" s="1641">
        <f t="shared" si="465"/>
        <v>0</v>
      </c>
      <c r="CJ676" s="1641">
        <f t="shared" si="465"/>
        <v>0</v>
      </c>
      <c r="CK676" s="1641">
        <f t="shared" si="465"/>
        <v>0</v>
      </c>
      <c r="CL676" s="1889">
        <v>0</v>
      </c>
      <c r="CM676" s="1889">
        <v>0</v>
      </c>
      <c r="CN676" s="1889">
        <v>0</v>
      </c>
      <c r="CO676" s="1889">
        <v>0</v>
      </c>
      <c r="CP676" s="1641"/>
      <c r="CQ676" s="1640"/>
      <c r="CR676" s="1640"/>
      <c r="CS676" s="1640"/>
    </row>
    <row r="677" spans="1:107" ht="15" thickBot="1" x14ac:dyDescent="0.2">
      <c r="A677" s="1541" t="s">
        <v>97</v>
      </c>
      <c r="B677" s="1523" t="s">
        <v>79</v>
      </c>
      <c r="C677" s="1523" t="s">
        <v>80</v>
      </c>
      <c r="D677" s="1523" t="s">
        <v>125</v>
      </c>
      <c r="E677" s="1523" t="s">
        <v>216</v>
      </c>
      <c r="F677" s="1523"/>
      <c r="G677" s="1667">
        <v>340</v>
      </c>
      <c r="H677" s="1501"/>
      <c r="I677" s="1501"/>
      <c r="J677" s="1630"/>
      <c r="K677" s="1630"/>
      <c r="L677" s="1631"/>
      <c r="M677" s="1631"/>
      <c r="N677" s="1631"/>
      <c r="O677" s="1631"/>
      <c r="P677" s="1631"/>
      <c r="Q677" s="1631"/>
      <c r="R677" s="1631"/>
      <c r="S677" s="1631"/>
      <c r="T677" s="1632"/>
      <c r="U677" s="1633"/>
      <c r="V677" s="1633"/>
      <c r="W677" s="1634"/>
      <c r="X677" s="1634"/>
      <c r="Y677" s="1634"/>
      <c r="Z677" s="1635"/>
      <c r="AA677" s="1634">
        <f t="shared" si="466"/>
        <v>0</v>
      </c>
      <c r="AB677" s="1634"/>
      <c r="AC677" s="1508">
        <f t="shared" si="459"/>
        <v>0</v>
      </c>
      <c r="AD677" s="1509">
        <f t="shared" si="460"/>
        <v>0</v>
      </c>
      <c r="AE677" s="1509">
        <f t="shared" si="461"/>
        <v>0</v>
      </c>
      <c r="AF677" s="1509">
        <f t="shared" si="461"/>
        <v>0</v>
      </c>
      <c r="AG677" s="1509">
        <f t="shared" si="461"/>
        <v>0</v>
      </c>
      <c r="AH677" s="1490">
        <f t="shared" si="455"/>
        <v>0</v>
      </c>
      <c r="AI677" s="1636">
        <f t="shared" si="462"/>
        <v>0</v>
      </c>
      <c r="AJ677" s="1636">
        <f t="shared" si="463"/>
        <v>0</v>
      </c>
      <c r="AK677" s="1636">
        <f t="shared" si="464"/>
        <v>0</v>
      </c>
      <c r="AL677" s="1636">
        <f t="shared" si="464"/>
        <v>0</v>
      </c>
      <c r="AM677" s="1636">
        <f t="shared" si="464"/>
        <v>0</v>
      </c>
      <c r="AN677" s="1637"/>
      <c r="AO677" s="1722">
        <v>0</v>
      </c>
      <c r="AP677" s="1638"/>
      <c r="AQ677" s="1638"/>
      <c r="AR677" s="1638"/>
      <c r="AS677" s="1639"/>
      <c r="AT677" s="1638"/>
      <c r="AU677" s="1638"/>
      <c r="AV677" s="1638"/>
      <c r="AW677" s="1639"/>
      <c r="AX677" s="1640"/>
      <c r="AY677" s="1640"/>
      <c r="AZ677" s="1640"/>
      <c r="BA677" s="1641"/>
      <c r="BB677" s="1640"/>
      <c r="BC677" s="1640"/>
      <c r="BD677" s="1640"/>
      <c r="BE677" s="1644"/>
      <c r="BF677" s="1640"/>
      <c r="BG677" s="1640"/>
      <c r="BH677" s="1640"/>
      <c r="BI677" s="1641"/>
      <c r="BJ677" s="1640"/>
      <c r="BK677" s="1640"/>
      <c r="BL677" s="1640"/>
      <c r="BM677" s="1641"/>
      <c r="BN677" s="1640"/>
      <c r="BO677" s="1640"/>
      <c r="BP677" s="1640"/>
      <c r="BQ677" s="1641"/>
      <c r="BR677" s="1640"/>
      <c r="BS677" s="1640"/>
      <c r="BT677" s="1640"/>
      <c r="BU677" s="1641"/>
      <c r="BV677" s="1640"/>
      <c r="BW677" s="1640"/>
      <c r="BX677" s="1640"/>
      <c r="BY677" s="1641"/>
      <c r="BZ677" s="1640"/>
      <c r="CA677" s="1640"/>
      <c r="CB677" s="1640"/>
      <c r="CC677" s="1641"/>
      <c r="CD677" s="1640"/>
      <c r="CE677" s="1640"/>
      <c r="CF677" s="1640"/>
      <c r="CG677" s="1642"/>
      <c r="CH677" s="1641">
        <f t="shared" si="465"/>
        <v>0</v>
      </c>
      <c r="CI677" s="1641">
        <f t="shared" si="465"/>
        <v>0</v>
      </c>
      <c r="CJ677" s="1641">
        <f t="shared" si="465"/>
        <v>0</v>
      </c>
      <c r="CK677" s="1641">
        <f t="shared" si="465"/>
        <v>0</v>
      </c>
      <c r="CL677" s="1889">
        <v>0</v>
      </c>
      <c r="CM677" s="1889">
        <v>0</v>
      </c>
      <c r="CN677" s="1889">
        <v>0</v>
      </c>
      <c r="CO677" s="1889">
        <v>0</v>
      </c>
      <c r="CP677" s="1641"/>
      <c r="CQ677" s="1640"/>
      <c r="CR677" s="1640"/>
      <c r="CS677" s="1640"/>
    </row>
    <row r="678" spans="1:107" ht="15" thickBot="1" x14ac:dyDescent="0.2">
      <c r="A678" s="1528" t="s">
        <v>767</v>
      </c>
      <c r="B678" s="1530" t="s">
        <v>79</v>
      </c>
      <c r="C678" s="1530" t="s">
        <v>80</v>
      </c>
      <c r="D678" s="1530" t="s">
        <v>125</v>
      </c>
      <c r="E678" s="1530" t="s">
        <v>216</v>
      </c>
      <c r="F678" s="1530">
        <v>612</v>
      </c>
      <c r="G678" s="1687" t="s">
        <v>766</v>
      </c>
      <c r="H678" s="1647">
        <f>I664</f>
        <v>0</v>
      </c>
      <c r="I678" s="1645"/>
      <c r="J678" s="1630"/>
      <c r="K678" s="1630"/>
      <c r="L678" s="1631"/>
      <c r="M678" s="1631"/>
      <c r="N678" s="1631"/>
      <c r="O678" s="1631"/>
      <c r="P678" s="1631"/>
      <c r="Q678" s="1631"/>
      <c r="R678" s="1631"/>
      <c r="S678" s="1631"/>
      <c r="T678" s="1632"/>
      <c r="U678" s="1633"/>
      <c r="V678" s="1633"/>
      <c r="W678" s="1634"/>
      <c r="X678" s="1634"/>
      <c r="Y678" s="1634"/>
      <c r="Z678" s="1635"/>
      <c r="AA678" s="1634">
        <f t="shared" si="466"/>
        <v>0</v>
      </c>
      <c r="AB678" s="1634"/>
      <c r="AC678" s="1508"/>
      <c r="AD678" s="1509"/>
      <c r="AE678" s="1509"/>
      <c r="AF678" s="1509"/>
      <c r="AG678" s="1509"/>
      <c r="AH678" s="1490">
        <f t="shared" si="455"/>
        <v>0</v>
      </c>
      <c r="AI678" s="1636"/>
      <c r="AJ678" s="1636"/>
      <c r="AK678" s="1636"/>
      <c r="AL678" s="1636">
        <f t="shared" si="464"/>
        <v>0</v>
      </c>
      <c r="AM678" s="1636"/>
      <c r="AN678" s="1712"/>
      <c r="AO678" s="1713"/>
      <c r="AP678" s="1638"/>
      <c r="AQ678" s="1638"/>
      <c r="AR678" s="1638"/>
      <c r="AS678" s="1639"/>
      <c r="AT678" s="1638"/>
      <c r="AU678" s="1638"/>
      <c r="AV678" s="1638"/>
      <c r="AW678" s="1639"/>
      <c r="AX678" s="1640"/>
      <c r="AY678" s="1640"/>
      <c r="AZ678" s="1640"/>
      <c r="BA678" s="1641"/>
      <c r="BB678" s="1640"/>
      <c r="BC678" s="1640"/>
      <c r="BD678" s="1640"/>
      <c r="BE678" s="1644"/>
      <c r="BF678" s="1640"/>
      <c r="BG678" s="1640"/>
      <c r="BH678" s="1640"/>
      <c r="BI678" s="1641"/>
      <c r="BJ678" s="1640"/>
      <c r="BK678" s="1640"/>
      <c r="BL678" s="1640"/>
      <c r="BM678" s="1641"/>
      <c r="BN678" s="1640"/>
      <c r="BO678" s="1640"/>
      <c r="BP678" s="1640"/>
      <c r="BQ678" s="1641"/>
      <c r="BR678" s="1640"/>
      <c r="BS678" s="1640"/>
      <c r="BT678" s="1640"/>
      <c r="BU678" s="1641"/>
      <c r="BV678" s="1640"/>
      <c r="BW678" s="1640"/>
      <c r="BX678" s="1640"/>
      <c r="BY678" s="1641"/>
      <c r="BZ678" s="1640"/>
      <c r="CA678" s="1640"/>
      <c r="CB678" s="1640"/>
      <c r="CC678" s="1641"/>
      <c r="CD678" s="1640"/>
      <c r="CE678" s="1640"/>
      <c r="CF678" s="1640"/>
      <c r="CG678" s="1642"/>
      <c r="CH678" s="1641">
        <f t="shared" si="465"/>
        <v>0</v>
      </c>
      <c r="CI678" s="1641">
        <f t="shared" si="465"/>
        <v>0</v>
      </c>
      <c r="CJ678" s="1641">
        <f t="shared" si="465"/>
        <v>0</v>
      </c>
      <c r="CK678" s="1641">
        <f t="shared" si="465"/>
        <v>0</v>
      </c>
      <c r="CL678" s="1898"/>
      <c r="CM678" s="1898"/>
      <c r="CN678" s="1889">
        <v>0</v>
      </c>
      <c r="CO678" s="1898"/>
      <c r="CP678" s="1641"/>
      <c r="CQ678" s="1640"/>
      <c r="CR678" s="1640"/>
      <c r="CS678" s="1640"/>
    </row>
    <row r="679" spans="1:107" s="1886" customFormat="1" ht="27" thickBot="1" x14ac:dyDescent="0.2">
      <c r="A679" s="1873" t="s">
        <v>1286</v>
      </c>
      <c r="B679" s="1941" t="s">
        <v>79</v>
      </c>
      <c r="C679" s="1941" t="s">
        <v>80</v>
      </c>
      <c r="D679" s="1941" t="s">
        <v>125</v>
      </c>
      <c r="E679" s="1941" t="s">
        <v>216</v>
      </c>
      <c r="F679" s="1941">
        <v>600</v>
      </c>
      <c r="G679" s="1874"/>
      <c r="H679" s="1606">
        <f>H680+H694</f>
        <v>10786.8</v>
      </c>
      <c r="I679" s="1606">
        <f>I680+I694</f>
        <v>700</v>
      </c>
      <c r="J679" s="1606">
        <f>J680+J694</f>
        <v>0</v>
      </c>
      <c r="K679" s="1606">
        <f t="shared" ref="K679:CF679" si="467">K680+K694</f>
        <v>0</v>
      </c>
      <c r="L679" s="1607"/>
      <c r="M679" s="1607"/>
      <c r="N679" s="1607"/>
      <c r="O679" s="1607"/>
      <c r="P679" s="1607"/>
      <c r="Q679" s="1607"/>
      <c r="R679" s="1607"/>
      <c r="S679" s="1607"/>
      <c r="T679" s="1608"/>
      <c r="U679" s="1609"/>
      <c r="V679" s="1609"/>
      <c r="W679" s="1610"/>
      <c r="X679" s="1610"/>
      <c r="Y679" s="1610"/>
      <c r="Z679" s="1611"/>
      <c r="AA679" s="1634">
        <f t="shared" si="466"/>
        <v>0</v>
      </c>
      <c r="AB679" s="1610"/>
      <c r="AC679" s="1612">
        <f t="shared" si="467"/>
        <v>10086.800000000001</v>
      </c>
      <c r="AD679" s="1612">
        <f t="shared" si="467"/>
        <v>700</v>
      </c>
      <c r="AE679" s="1612">
        <f t="shared" si="467"/>
        <v>700</v>
      </c>
      <c r="AF679" s="1612">
        <f t="shared" si="467"/>
        <v>0</v>
      </c>
      <c r="AG679" s="1612">
        <f t="shared" si="467"/>
        <v>0</v>
      </c>
      <c r="AH679" s="1490">
        <f t="shared" si="455"/>
        <v>243.22399999999999</v>
      </c>
      <c r="AI679" s="1613">
        <f t="shared" si="467"/>
        <v>0</v>
      </c>
      <c r="AJ679" s="1613">
        <f t="shared" si="467"/>
        <v>0</v>
      </c>
      <c r="AK679" s="1613">
        <f t="shared" si="467"/>
        <v>0</v>
      </c>
      <c r="AL679" s="1636">
        <f t="shared" si="464"/>
        <v>0</v>
      </c>
      <c r="AM679" s="1613">
        <f t="shared" si="467"/>
        <v>0</v>
      </c>
      <c r="AN679" s="1614"/>
      <c r="AO679" s="1606">
        <f t="shared" si="467"/>
        <v>825.9</v>
      </c>
      <c r="AP679" s="1606">
        <f t="shared" si="467"/>
        <v>0</v>
      </c>
      <c r="AQ679" s="1606">
        <f t="shared" si="467"/>
        <v>0</v>
      </c>
      <c r="AR679" s="1606">
        <f t="shared" si="467"/>
        <v>0</v>
      </c>
      <c r="AS679" s="1611">
        <f t="shared" si="467"/>
        <v>814.5</v>
      </c>
      <c r="AT679" s="1606">
        <f t="shared" si="467"/>
        <v>0</v>
      </c>
      <c r="AU679" s="1606">
        <f t="shared" si="467"/>
        <v>0</v>
      </c>
      <c r="AV679" s="1606">
        <f t="shared" si="467"/>
        <v>0</v>
      </c>
      <c r="AW679" s="1611">
        <f t="shared" si="467"/>
        <v>814.5</v>
      </c>
      <c r="AX679" s="1606">
        <f t="shared" si="467"/>
        <v>0</v>
      </c>
      <c r="AY679" s="1606">
        <f t="shared" si="467"/>
        <v>0</v>
      </c>
      <c r="AZ679" s="1606">
        <f t="shared" si="467"/>
        <v>0</v>
      </c>
      <c r="BA679" s="1614">
        <f t="shared" si="467"/>
        <v>814.5</v>
      </c>
      <c r="BB679" s="1606">
        <f t="shared" si="467"/>
        <v>0</v>
      </c>
      <c r="BC679" s="1606">
        <f t="shared" si="467"/>
        <v>0</v>
      </c>
      <c r="BD679" s="1606">
        <f t="shared" si="467"/>
        <v>0</v>
      </c>
      <c r="BE679" s="1614">
        <f t="shared" si="467"/>
        <v>818.9</v>
      </c>
      <c r="BF679" s="1606">
        <f t="shared" si="467"/>
        <v>0</v>
      </c>
      <c r="BG679" s="1606">
        <f t="shared" si="467"/>
        <v>0</v>
      </c>
      <c r="BH679" s="1606">
        <f t="shared" si="467"/>
        <v>0</v>
      </c>
      <c r="BI679" s="1614">
        <f t="shared" si="467"/>
        <v>1215.1129999999998</v>
      </c>
      <c r="BJ679" s="1606">
        <f t="shared" si="467"/>
        <v>0</v>
      </c>
      <c r="BK679" s="1606">
        <f t="shared" si="467"/>
        <v>0</v>
      </c>
      <c r="BL679" s="1606">
        <f t="shared" si="467"/>
        <v>0</v>
      </c>
      <c r="BM679" s="1614">
        <f t="shared" si="467"/>
        <v>613.88700000000006</v>
      </c>
      <c r="BN679" s="1606">
        <f t="shared" si="467"/>
        <v>0</v>
      </c>
      <c r="BO679" s="1606">
        <f t="shared" si="467"/>
        <v>0</v>
      </c>
      <c r="BP679" s="1606">
        <f t="shared" si="467"/>
        <v>0</v>
      </c>
      <c r="BQ679" s="1614">
        <f t="shared" si="467"/>
        <v>899.54600000000005</v>
      </c>
      <c r="BR679" s="1606">
        <f t="shared" si="467"/>
        <v>0</v>
      </c>
      <c r="BS679" s="1606">
        <f t="shared" si="467"/>
        <v>0</v>
      </c>
      <c r="BT679" s="1606">
        <f t="shared" si="467"/>
        <v>0</v>
      </c>
      <c r="BU679" s="1614">
        <f t="shared" si="467"/>
        <v>822.5</v>
      </c>
      <c r="BV679" s="1606">
        <f t="shared" si="467"/>
        <v>0</v>
      </c>
      <c r="BW679" s="1606">
        <f t="shared" si="467"/>
        <v>0</v>
      </c>
      <c r="BX679" s="1606">
        <f t="shared" si="467"/>
        <v>0</v>
      </c>
      <c r="BY679" s="1614">
        <f t="shared" si="467"/>
        <v>815.03</v>
      </c>
      <c r="BZ679" s="1606">
        <f t="shared" si="467"/>
        <v>0</v>
      </c>
      <c r="CA679" s="1606">
        <f t="shared" si="467"/>
        <v>0</v>
      </c>
      <c r="CB679" s="1606">
        <f t="shared" si="467"/>
        <v>0</v>
      </c>
      <c r="CC679" s="1614">
        <f t="shared" si="467"/>
        <v>1389.1999999999998</v>
      </c>
      <c r="CD679" s="1606">
        <f t="shared" si="467"/>
        <v>0</v>
      </c>
      <c r="CE679" s="1606">
        <f t="shared" si="467"/>
        <v>0</v>
      </c>
      <c r="CF679" s="1606">
        <f t="shared" si="467"/>
        <v>0</v>
      </c>
      <c r="CG679" s="1616"/>
      <c r="CH679" s="1641">
        <f t="shared" si="465"/>
        <v>243.22399999999999</v>
      </c>
      <c r="CI679" s="1641">
        <f t="shared" si="465"/>
        <v>700</v>
      </c>
      <c r="CJ679" s="1641">
        <f t="shared" si="465"/>
        <v>0</v>
      </c>
      <c r="CK679" s="1641">
        <f t="shared" si="465"/>
        <v>0</v>
      </c>
      <c r="CL679" s="1943">
        <v>243.22399999999999</v>
      </c>
      <c r="CM679" s="1943">
        <v>700</v>
      </c>
      <c r="CN679" s="1889">
        <v>0</v>
      </c>
      <c r="CO679" s="1943">
        <v>0</v>
      </c>
      <c r="CP679" s="1614">
        <f>CP680+CP694</f>
        <v>0</v>
      </c>
      <c r="CQ679" s="1606">
        <f>CQ680+CQ694</f>
        <v>0</v>
      </c>
      <c r="CR679" s="1606">
        <f>CR680+CR694</f>
        <v>0</v>
      </c>
      <c r="CS679" s="1606">
        <f>CS680+CS694</f>
        <v>0</v>
      </c>
      <c r="CT679" s="1885"/>
      <c r="CU679" s="1885"/>
      <c r="CV679" s="1885"/>
      <c r="CW679" s="1885"/>
      <c r="CY679" s="1885"/>
    </row>
    <row r="680" spans="1:107" ht="53" thickBot="1" x14ac:dyDescent="0.2">
      <c r="A680" s="1748" t="s">
        <v>1135</v>
      </c>
      <c r="B680" s="1749" t="s">
        <v>79</v>
      </c>
      <c r="C680" s="1749" t="s">
        <v>80</v>
      </c>
      <c r="D680" s="1749" t="s">
        <v>125</v>
      </c>
      <c r="E680" s="1749" t="s">
        <v>216</v>
      </c>
      <c r="F680" s="1749" t="s">
        <v>765</v>
      </c>
      <c r="G680" s="1600" t="s">
        <v>766</v>
      </c>
      <c r="H680" s="1531">
        <f>H681+H682+H683+H684+H685+H686+H687+H688+H689+H690+H691+H692+H693</f>
        <v>10086.799999999999</v>
      </c>
      <c r="I680" s="1531">
        <f>I681+I682+I683+I684+I685+I686+I687+I688+I689+I690+I691+I692+I693</f>
        <v>700</v>
      </c>
      <c r="J680" s="1531">
        <f>J681+J682+J683+J684+J685+J686+J687+J688+J689+J690+J691+J692+J693</f>
        <v>0</v>
      </c>
      <c r="K680" s="1531">
        <f t="shared" ref="K680:CF680" si="468">K681+K682+K683+K684+K685+K686+K687+K688+K689+K690+K691+K692+K693</f>
        <v>0</v>
      </c>
      <c r="L680" s="1601"/>
      <c r="M680" s="1601"/>
      <c r="N680" s="1601"/>
      <c r="O680" s="1601"/>
      <c r="P680" s="1601"/>
      <c r="Q680" s="1601"/>
      <c r="R680" s="1601"/>
      <c r="S680" s="1601"/>
      <c r="T680" s="1602"/>
      <c r="U680" s="1533"/>
      <c r="V680" s="1533"/>
      <c r="W680" s="1534"/>
      <c r="X680" s="1534"/>
      <c r="Y680" s="1534"/>
      <c r="Z680" s="1535"/>
      <c r="AA680" s="1634">
        <f t="shared" si="466"/>
        <v>0</v>
      </c>
      <c r="AB680" s="1534"/>
      <c r="AC680" s="1603">
        <f t="shared" si="468"/>
        <v>10086.800000000001</v>
      </c>
      <c r="AD680" s="1603">
        <f t="shared" si="468"/>
        <v>700</v>
      </c>
      <c r="AE680" s="1603">
        <f t="shared" si="468"/>
        <v>700</v>
      </c>
      <c r="AF680" s="1603">
        <f t="shared" si="468"/>
        <v>0</v>
      </c>
      <c r="AG680" s="1603">
        <f t="shared" si="468"/>
        <v>0</v>
      </c>
      <c r="AH680" s="1490">
        <f t="shared" si="455"/>
        <v>243.22399999999999</v>
      </c>
      <c r="AI680" s="1592">
        <f t="shared" si="468"/>
        <v>0</v>
      </c>
      <c r="AJ680" s="1592">
        <f t="shared" si="468"/>
        <v>0</v>
      </c>
      <c r="AK680" s="1592">
        <f t="shared" si="468"/>
        <v>0</v>
      </c>
      <c r="AL680" s="1636">
        <f t="shared" si="464"/>
        <v>0</v>
      </c>
      <c r="AM680" s="1592">
        <f t="shared" si="468"/>
        <v>0</v>
      </c>
      <c r="AN680" s="1706"/>
      <c r="AO680" s="1707">
        <f t="shared" si="468"/>
        <v>825.9</v>
      </c>
      <c r="AP680" s="1531">
        <f t="shared" si="468"/>
        <v>0</v>
      </c>
      <c r="AQ680" s="1531">
        <f t="shared" si="468"/>
        <v>0</v>
      </c>
      <c r="AR680" s="1531">
        <f t="shared" si="468"/>
        <v>0</v>
      </c>
      <c r="AS680" s="1535">
        <f t="shared" si="468"/>
        <v>814.5</v>
      </c>
      <c r="AT680" s="1531">
        <f t="shared" si="468"/>
        <v>0</v>
      </c>
      <c r="AU680" s="1531">
        <f t="shared" si="468"/>
        <v>0</v>
      </c>
      <c r="AV680" s="1531">
        <f t="shared" si="468"/>
        <v>0</v>
      </c>
      <c r="AW680" s="1535">
        <f t="shared" si="468"/>
        <v>814.5</v>
      </c>
      <c r="AX680" s="1531">
        <f t="shared" si="468"/>
        <v>0</v>
      </c>
      <c r="AY680" s="1531">
        <f t="shared" si="468"/>
        <v>0</v>
      </c>
      <c r="AZ680" s="1531">
        <f t="shared" si="468"/>
        <v>0</v>
      </c>
      <c r="BA680" s="1538">
        <f t="shared" si="468"/>
        <v>814.5</v>
      </c>
      <c r="BB680" s="1531">
        <f t="shared" si="468"/>
        <v>0</v>
      </c>
      <c r="BC680" s="1531">
        <f t="shared" si="468"/>
        <v>0</v>
      </c>
      <c r="BD680" s="1531">
        <f t="shared" si="468"/>
        <v>0</v>
      </c>
      <c r="BE680" s="1539">
        <f t="shared" si="468"/>
        <v>818.9</v>
      </c>
      <c r="BF680" s="1531">
        <f t="shared" si="468"/>
        <v>0</v>
      </c>
      <c r="BG680" s="1531">
        <f t="shared" si="468"/>
        <v>0</v>
      </c>
      <c r="BH680" s="1531">
        <f t="shared" si="468"/>
        <v>0</v>
      </c>
      <c r="BI680" s="1538">
        <f t="shared" si="468"/>
        <v>1215.1129999999998</v>
      </c>
      <c r="BJ680" s="1531">
        <f t="shared" si="468"/>
        <v>0</v>
      </c>
      <c r="BK680" s="1531">
        <f t="shared" si="468"/>
        <v>0</v>
      </c>
      <c r="BL680" s="1531">
        <f t="shared" si="468"/>
        <v>0</v>
      </c>
      <c r="BM680" s="1538">
        <f t="shared" si="468"/>
        <v>613.88700000000006</v>
      </c>
      <c r="BN680" s="1531">
        <f t="shared" si="468"/>
        <v>0</v>
      </c>
      <c r="BO680" s="1531">
        <f t="shared" si="468"/>
        <v>0</v>
      </c>
      <c r="BP680" s="1531">
        <f t="shared" si="468"/>
        <v>0</v>
      </c>
      <c r="BQ680" s="1538">
        <f t="shared" si="468"/>
        <v>899.54600000000005</v>
      </c>
      <c r="BR680" s="1531">
        <f t="shared" si="468"/>
        <v>0</v>
      </c>
      <c r="BS680" s="1531">
        <f t="shared" si="468"/>
        <v>0</v>
      </c>
      <c r="BT680" s="1531">
        <f t="shared" si="468"/>
        <v>0</v>
      </c>
      <c r="BU680" s="1538">
        <f t="shared" si="468"/>
        <v>822.5</v>
      </c>
      <c r="BV680" s="1531">
        <f t="shared" si="468"/>
        <v>0</v>
      </c>
      <c r="BW680" s="1531">
        <f t="shared" si="468"/>
        <v>0</v>
      </c>
      <c r="BX680" s="1531">
        <f t="shared" si="468"/>
        <v>0</v>
      </c>
      <c r="BY680" s="1538">
        <f t="shared" si="468"/>
        <v>815.03</v>
      </c>
      <c r="BZ680" s="1531">
        <f t="shared" si="468"/>
        <v>0</v>
      </c>
      <c r="CA680" s="1531">
        <f t="shared" si="468"/>
        <v>0</v>
      </c>
      <c r="CB680" s="1531">
        <f t="shared" si="468"/>
        <v>0</v>
      </c>
      <c r="CC680" s="1538">
        <f t="shared" si="468"/>
        <v>1389.1999999999998</v>
      </c>
      <c r="CD680" s="1531">
        <f t="shared" si="468"/>
        <v>0</v>
      </c>
      <c r="CE680" s="1531">
        <f t="shared" si="468"/>
        <v>0</v>
      </c>
      <c r="CF680" s="1531">
        <f t="shared" si="468"/>
        <v>0</v>
      </c>
      <c r="CG680" s="1705"/>
      <c r="CH680" s="1641">
        <f t="shared" si="465"/>
        <v>243.22399999999999</v>
      </c>
      <c r="CI680" s="1641">
        <f t="shared" si="465"/>
        <v>700</v>
      </c>
      <c r="CJ680" s="1641">
        <f t="shared" si="465"/>
        <v>0</v>
      </c>
      <c r="CK680" s="1641">
        <f t="shared" si="465"/>
        <v>0</v>
      </c>
      <c r="CL680" s="1902">
        <v>243.22399999999999</v>
      </c>
      <c r="CM680" s="1902">
        <v>700</v>
      </c>
      <c r="CN680" s="1889">
        <v>0</v>
      </c>
      <c r="CO680" s="1902">
        <v>0</v>
      </c>
      <c r="CP680" s="1538">
        <f>CP681+CP682+CP683+CP684+CP685+CP686+CP687+CP688+CP689+CP690+CP691+CP692+CP693</f>
        <v>0</v>
      </c>
      <c r="CQ680" s="1531">
        <f>CQ681+CQ682+CQ683+CQ684+CQ685+CQ686+CQ687+CQ688+CQ689+CQ690+CQ691+CQ692+CQ693</f>
        <v>0</v>
      </c>
      <c r="CR680" s="1531">
        <f>CR681+CR682+CR683+CR684+CR685+CR686+CR687+CR688+CR689+CR690+CR691+CR692+CR693</f>
        <v>0</v>
      </c>
      <c r="CS680" s="1531">
        <f>CS681+CS682+CS683+CS684+CS685+CS686+CS687+CS688+CS689+CS690+CS691+CS692+CS693</f>
        <v>0</v>
      </c>
    </row>
    <row r="681" spans="1:107" ht="15" thickBot="1" x14ac:dyDescent="0.2">
      <c r="A681" s="1541" t="s">
        <v>78</v>
      </c>
      <c r="B681" s="1523" t="s">
        <v>79</v>
      </c>
      <c r="C681" s="1523" t="s">
        <v>80</v>
      </c>
      <c r="D681" s="1523" t="s">
        <v>125</v>
      </c>
      <c r="E681" s="1523" t="s">
        <v>216</v>
      </c>
      <c r="F681" s="1523"/>
      <c r="G681" s="1667">
        <v>211</v>
      </c>
      <c r="H681" s="1501">
        <v>7507.4</v>
      </c>
      <c r="I681" s="1501"/>
      <c r="J681" s="1630"/>
      <c r="K681" s="1630"/>
      <c r="L681" s="1631"/>
      <c r="M681" s="1631"/>
      <c r="N681" s="1631"/>
      <c r="O681" s="1631"/>
      <c r="P681" s="1631"/>
      <c r="Q681" s="1631"/>
      <c r="R681" s="1631"/>
      <c r="S681" s="1631"/>
      <c r="T681" s="1632"/>
      <c r="U681" s="1633"/>
      <c r="V681" s="1633"/>
      <c r="W681" s="1634">
        <f>H681/12</f>
        <v>625.61666666666667</v>
      </c>
      <c r="X681" s="1634">
        <f>AO681</f>
        <v>625.6</v>
      </c>
      <c r="Y681" s="1634">
        <f>CC681</f>
        <v>1083.5999999999999</v>
      </c>
      <c r="Z681" s="1635">
        <v>708.2</v>
      </c>
      <c r="AA681" s="1634">
        <f t="shared" si="466"/>
        <v>-708.2</v>
      </c>
      <c r="AB681" s="1511">
        <f>AI681</f>
        <v>0</v>
      </c>
      <c r="AC681" s="1508">
        <f t="shared" ref="AC681:AC693" si="469">AO681+AS681+AW681+BA681+BE681+BI681+BM681+BQ681+BU681+BY681+CC681+CH681</f>
        <v>7507.4</v>
      </c>
      <c r="AD681" s="1509">
        <f t="shared" ref="AD681:AD693" si="470">AE681+AF681+AG681</f>
        <v>0</v>
      </c>
      <c r="AE681" s="1509">
        <f t="shared" ref="AE681:AG693" si="471">AP681+AT681+AX681+BB681+BF681+BJ681+BN681+BR681+BV681+BZ681+CD681+CI681</f>
        <v>0</v>
      </c>
      <c r="AF681" s="1509">
        <f t="shared" si="471"/>
        <v>0</v>
      </c>
      <c r="AG681" s="1509">
        <f t="shared" si="471"/>
        <v>0</v>
      </c>
      <c r="AH681" s="1490">
        <f t="shared" si="455"/>
        <v>167.57</v>
      </c>
      <c r="AI681" s="1636">
        <f t="shared" ref="AI681:AI693" si="472">H681-AC681</f>
        <v>0</v>
      </c>
      <c r="AJ681" s="1636">
        <f t="shared" ref="AJ681:AJ693" si="473">AK681+AL681+AM681</f>
        <v>0</v>
      </c>
      <c r="AK681" s="1636">
        <f t="shared" ref="AK681:AM696" si="474">I681-AE681</f>
        <v>0</v>
      </c>
      <c r="AL681" s="1636">
        <f t="shared" si="474"/>
        <v>0</v>
      </c>
      <c r="AM681" s="1636">
        <f t="shared" si="474"/>
        <v>0</v>
      </c>
      <c r="AN681" s="1637">
        <f>AI681/4</f>
        <v>0</v>
      </c>
      <c r="AO681" s="1722">
        <v>625.6</v>
      </c>
      <c r="AP681" s="1638"/>
      <c r="AQ681" s="1638"/>
      <c r="AR681" s="1638"/>
      <c r="AS681" s="1963">
        <v>625.6</v>
      </c>
      <c r="AT681" s="1638"/>
      <c r="AU681" s="1638"/>
      <c r="AV681" s="1638"/>
      <c r="AW681" s="1722">
        <v>625.6</v>
      </c>
      <c r="AX681" s="1640"/>
      <c r="AY681" s="1640"/>
      <c r="AZ681" s="1640"/>
      <c r="BA681" s="1964">
        <v>625.6</v>
      </c>
      <c r="BB681" s="1640"/>
      <c r="BC681" s="1640"/>
      <c r="BD681" s="1640"/>
      <c r="BE681" s="1964">
        <v>625.6</v>
      </c>
      <c r="BF681" s="1640"/>
      <c r="BG681" s="1640"/>
      <c r="BH681" s="1640"/>
      <c r="BI681" s="1641">
        <f>200.613+625.6</f>
        <v>826.21299999999997</v>
      </c>
      <c r="BJ681" s="1640"/>
      <c r="BK681" s="1640"/>
      <c r="BL681" s="1640"/>
      <c r="BM681" s="1641">
        <v>424.98700000000002</v>
      </c>
      <c r="BN681" s="1640"/>
      <c r="BO681" s="1640"/>
      <c r="BP681" s="1640"/>
      <c r="BQ681" s="1641">
        <v>625.6</v>
      </c>
      <c r="BR681" s="1640"/>
      <c r="BS681" s="1640"/>
      <c r="BT681" s="1640"/>
      <c r="BU681" s="1641">
        <v>625.6</v>
      </c>
      <c r="BV681" s="1640"/>
      <c r="BW681" s="1640"/>
      <c r="BX681" s="1640"/>
      <c r="BY681" s="1641">
        <f>187.68+361.15+77</f>
        <v>625.82999999999993</v>
      </c>
      <c r="BZ681" s="1640"/>
      <c r="CA681" s="1640"/>
      <c r="CB681" s="1640"/>
      <c r="CC681" s="1641">
        <f>375.4+708.2</f>
        <v>1083.5999999999999</v>
      </c>
      <c r="CD681" s="1640"/>
      <c r="CE681" s="1640"/>
      <c r="CF681" s="1640"/>
      <c r="CG681" s="1642"/>
      <c r="CH681" s="1641">
        <f t="shared" si="465"/>
        <v>167.57</v>
      </c>
      <c r="CI681" s="1641">
        <f t="shared" si="465"/>
        <v>0</v>
      </c>
      <c r="CJ681" s="1641">
        <f t="shared" si="465"/>
        <v>0</v>
      </c>
      <c r="CK681" s="1641">
        <f t="shared" si="465"/>
        <v>0</v>
      </c>
      <c r="CL681" s="1889">
        <v>167.57</v>
      </c>
      <c r="CM681" s="1889">
        <v>0</v>
      </c>
      <c r="CN681" s="1889">
        <v>0</v>
      </c>
      <c r="CO681" s="1889">
        <v>0</v>
      </c>
      <c r="CP681" s="1641"/>
      <c r="CQ681" s="1640"/>
      <c r="CR681" s="1640"/>
      <c r="CS681" s="1640"/>
      <c r="CX681" s="1558">
        <f>H681/12*10-AC681</f>
        <v>-1251.2333333333327</v>
      </c>
      <c r="CY681" s="1558">
        <f>AI681/3</f>
        <v>0</v>
      </c>
      <c r="CZ681" s="1558">
        <f>H681/12</f>
        <v>625.61666666666667</v>
      </c>
      <c r="DA681" s="1559"/>
      <c r="DB681" s="1559"/>
      <c r="DC681" s="1559"/>
    </row>
    <row r="682" spans="1:107" ht="15" thickBot="1" x14ac:dyDescent="0.2">
      <c r="A682" s="1541" t="s">
        <v>103</v>
      </c>
      <c r="B682" s="1523" t="s">
        <v>79</v>
      </c>
      <c r="C682" s="1523" t="s">
        <v>80</v>
      </c>
      <c r="D682" s="1523" t="s">
        <v>125</v>
      </c>
      <c r="E682" s="1523" t="s">
        <v>216</v>
      </c>
      <c r="F682" s="1523"/>
      <c r="G682" s="1667">
        <v>212</v>
      </c>
      <c r="H682" s="1501"/>
      <c r="I682" s="1501"/>
      <c r="J682" s="1630"/>
      <c r="K682" s="1630"/>
      <c r="L682" s="1631"/>
      <c r="M682" s="1631"/>
      <c r="N682" s="1631"/>
      <c r="O682" s="1631"/>
      <c r="P682" s="1631"/>
      <c r="Q682" s="1631"/>
      <c r="R682" s="1631"/>
      <c r="S682" s="1631"/>
      <c r="T682" s="1632"/>
      <c r="U682" s="1633"/>
      <c r="V682" s="1633"/>
      <c r="W682" s="1634"/>
      <c r="X682" s="1634"/>
      <c r="Y682" s="1634">
        <f>CC682</f>
        <v>0</v>
      </c>
      <c r="Z682" s="1635">
        <f>AI682-X682</f>
        <v>0</v>
      </c>
      <c r="AA682" s="1634">
        <f t="shared" si="466"/>
        <v>0</v>
      </c>
      <c r="AB682" s="1511"/>
      <c r="AC682" s="1508">
        <f t="shared" si="469"/>
        <v>0</v>
      </c>
      <c r="AD682" s="1509">
        <f t="shared" si="470"/>
        <v>0</v>
      </c>
      <c r="AE682" s="1509">
        <f t="shared" si="471"/>
        <v>0</v>
      </c>
      <c r="AF682" s="1509">
        <f t="shared" si="471"/>
        <v>0</v>
      </c>
      <c r="AG682" s="1509">
        <f t="shared" si="471"/>
        <v>0</v>
      </c>
      <c r="AH682" s="1490">
        <f t="shared" si="455"/>
        <v>0</v>
      </c>
      <c r="AI682" s="1636">
        <f t="shared" si="472"/>
        <v>0</v>
      </c>
      <c r="AJ682" s="1636">
        <f t="shared" si="473"/>
        <v>0</v>
      </c>
      <c r="AK682" s="1636">
        <f t="shared" si="474"/>
        <v>0</v>
      </c>
      <c r="AL682" s="1636">
        <f t="shared" si="474"/>
        <v>0</v>
      </c>
      <c r="AM682" s="1636">
        <f t="shared" si="474"/>
        <v>0</v>
      </c>
      <c r="AN682" s="1637"/>
      <c r="AO682" s="1722">
        <v>0</v>
      </c>
      <c r="AP682" s="1638"/>
      <c r="AQ682" s="1638"/>
      <c r="AR682" s="1638"/>
      <c r="AS682" s="1963">
        <v>0</v>
      </c>
      <c r="AT682" s="1638"/>
      <c r="AU682" s="1638"/>
      <c r="AV682" s="1638"/>
      <c r="AW682" s="1722">
        <v>0</v>
      </c>
      <c r="AX682" s="1640"/>
      <c r="AY682" s="1640"/>
      <c r="AZ682" s="1640"/>
      <c r="BA682" s="1964">
        <v>0</v>
      </c>
      <c r="BB682" s="1640"/>
      <c r="BC682" s="1640"/>
      <c r="BD682" s="1640"/>
      <c r="BE682" s="1964">
        <v>0</v>
      </c>
      <c r="BF682" s="1640"/>
      <c r="BG682" s="1640"/>
      <c r="BH682" s="1640"/>
      <c r="BI682" s="1641"/>
      <c r="BJ682" s="1640"/>
      <c r="BK682" s="1640"/>
      <c r="BL682" s="1640"/>
      <c r="BM682" s="1641"/>
      <c r="BN682" s="1640"/>
      <c r="BO682" s="1640"/>
      <c r="BP682" s="1640"/>
      <c r="BQ682" s="1641"/>
      <c r="BR682" s="1640"/>
      <c r="BS682" s="1640"/>
      <c r="BT682" s="1640"/>
      <c r="BU682" s="1641"/>
      <c r="BV682" s="1640"/>
      <c r="BW682" s="1640"/>
      <c r="BX682" s="1640"/>
      <c r="BY682" s="1641"/>
      <c r="BZ682" s="1640"/>
      <c r="CA682" s="1640"/>
      <c r="CB682" s="1640"/>
      <c r="CC682" s="1641"/>
      <c r="CD682" s="1640"/>
      <c r="CE682" s="1640"/>
      <c r="CF682" s="1640"/>
      <c r="CG682" s="1642"/>
      <c r="CH682" s="1641">
        <f t="shared" si="465"/>
        <v>0</v>
      </c>
      <c r="CI682" s="1641">
        <f t="shared" si="465"/>
        <v>0</v>
      </c>
      <c r="CJ682" s="1641">
        <f t="shared" si="465"/>
        <v>0</v>
      </c>
      <c r="CK682" s="1641">
        <f t="shared" si="465"/>
        <v>0</v>
      </c>
      <c r="CL682" s="1889">
        <v>0</v>
      </c>
      <c r="CM682" s="1889">
        <v>0</v>
      </c>
      <c r="CN682" s="1889">
        <v>0</v>
      </c>
      <c r="CO682" s="1889">
        <v>0</v>
      </c>
      <c r="CP682" s="1641"/>
      <c r="CQ682" s="1640"/>
      <c r="CR682" s="1640"/>
      <c r="CS682" s="1640"/>
      <c r="CX682" s="1558"/>
      <c r="CY682" s="1558"/>
      <c r="CZ682" s="1558"/>
      <c r="DA682" s="1559"/>
      <c r="DB682" s="1559"/>
      <c r="DC682" s="1559"/>
    </row>
    <row r="683" spans="1:107" ht="15" thickBot="1" x14ac:dyDescent="0.2">
      <c r="A683" s="1541" t="s">
        <v>84</v>
      </c>
      <c r="B683" s="1523" t="s">
        <v>79</v>
      </c>
      <c r="C683" s="1523" t="s">
        <v>80</v>
      </c>
      <c r="D683" s="1523" t="s">
        <v>125</v>
      </c>
      <c r="E683" s="1523" t="s">
        <v>216</v>
      </c>
      <c r="F683" s="1523"/>
      <c r="G683" s="1667">
        <v>213</v>
      </c>
      <c r="H683" s="1501">
        <v>2267.1999999999998</v>
      </c>
      <c r="I683" s="1501"/>
      <c r="J683" s="1630"/>
      <c r="K683" s="1630"/>
      <c r="L683" s="1631"/>
      <c r="M683" s="1631"/>
      <c r="N683" s="1631"/>
      <c r="O683" s="1631"/>
      <c r="P683" s="1631"/>
      <c r="Q683" s="1631"/>
      <c r="R683" s="1631"/>
      <c r="S683" s="1631"/>
      <c r="T683" s="1632"/>
      <c r="U683" s="1633"/>
      <c r="V683" s="1633"/>
      <c r="W683" s="1634">
        <f>H683/12</f>
        <v>188.93333333333331</v>
      </c>
      <c r="X683" s="1634">
        <f>AO683</f>
        <v>188.9</v>
      </c>
      <c r="Y683" s="1634">
        <f>CC683</f>
        <v>305.60000000000002</v>
      </c>
      <c r="Z683" s="1635">
        <v>305.60000000000002</v>
      </c>
      <c r="AA683" s="1634">
        <f t="shared" si="466"/>
        <v>-305.60000000000002</v>
      </c>
      <c r="AB683" s="1511">
        <f>AI683</f>
        <v>0</v>
      </c>
      <c r="AC683" s="1508">
        <f t="shared" si="469"/>
        <v>2267.2000000000007</v>
      </c>
      <c r="AD683" s="1509">
        <f t="shared" si="470"/>
        <v>0</v>
      </c>
      <c r="AE683" s="1509">
        <f t="shared" si="471"/>
        <v>0</v>
      </c>
      <c r="AF683" s="1509">
        <f t="shared" si="471"/>
        <v>0</v>
      </c>
      <c r="AG683" s="1509">
        <f t="shared" si="471"/>
        <v>0</v>
      </c>
      <c r="AH683" s="1490">
        <f t="shared" si="455"/>
        <v>72.3</v>
      </c>
      <c r="AI683" s="1636">
        <f t="shared" si="472"/>
        <v>0</v>
      </c>
      <c r="AJ683" s="1636">
        <f t="shared" si="473"/>
        <v>0</v>
      </c>
      <c r="AK683" s="1636">
        <f t="shared" si="474"/>
        <v>0</v>
      </c>
      <c r="AL683" s="1636">
        <f t="shared" si="474"/>
        <v>0</v>
      </c>
      <c r="AM683" s="1636">
        <f t="shared" si="474"/>
        <v>0</v>
      </c>
      <c r="AN683" s="1637">
        <f>AI683/4</f>
        <v>0</v>
      </c>
      <c r="AO683" s="1722">
        <v>188.9</v>
      </c>
      <c r="AP683" s="1638"/>
      <c r="AQ683" s="1638"/>
      <c r="AR683" s="1638"/>
      <c r="AS683" s="1963">
        <v>188.9</v>
      </c>
      <c r="AT683" s="1638"/>
      <c r="AU683" s="1638"/>
      <c r="AV683" s="1638"/>
      <c r="AW683" s="1722">
        <v>188.9</v>
      </c>
      <c r="AX683" s="1640"/>
      <c r="AY683" s="1640"/>
      <c r="AZ683" s="1640"/>
      <c r="BA683" s="1964">
        <v>188.9</v>
      </c>
      <c r="BB683" s="1640"/>
      <c r="BC683" s="1640"/>
      <c r="BD683" s="1640"/>
      <c r="BE683" s="1964">
        <v>188.9</v>
      </c>
      <c r="BF683" s="1640"/>
      <c r="BG683" s="1640"/>
      <c r="BH683" s="1640"/>
      <c r="BI683" s="1641">
        <f>188.9</f>
        <v>188.9</v>
      </c>
      <c r="BJ683" s="1640"/>
      <c r="BK683" s="1640"/>
      <c r="BL683" s="1640"/>
      <c r="BM683" s="1641">
        <v>188.9</v>
      </c>
      <c r="BN683" s="1640"/>
      <c r="BO683" s="1640"/>
      <c r="BP683" s="1640"/>
      <c r="BQ683" s="1641">
        <v>188.9</v>
      </c>
      <c r="BR683" s="1640"/>
      <c r="BS683" s="1640"/>
      <c r="BT683" s="1640"/>
      <c r="BU683" s="1641">
        <v>188.9</v>
      </c>
      <c r="BV683" s="1640"/>
      <c r="BW683" s="1640"/>
      <c r="BX683" s="1640"/>
      <c r="BY683" s="1641">
        <v>189.2</v>
      </c>
      <c r="BZ683" s="1640"/>
      <c r="CA683" s="1640"/>
      <c r="CB683" s="1640"/>
      <c r="CC683" s="1641">
        <v>305.60000000000002</v>
      </c>
      <c r="CD683" s="1640"/>
      <c r="CE683" s="1640"/>
      <c r="CF683" s="1640"/>
      <c r="CG683" s="1642"/>
      <c r="CH683" s="1641">
        <f t="shared" si="465"/>
        <v>72.3</v>
      </c>
      <c r="CI683" s="1641">
        <f t="shared" si="465"/>
        <v>0</v>
      </c>
      <c r="CJ683" s="1641">
        <f t="shared" si="465"/>
        <v>0</v>
      </c>
      <c r="CK683" s="1641">
        <f t="shared" si="465"/>
        <v>0</v>
      </c>
      <c r="CL683" s="1889">
        <v>72.3</v>
      </c>
      <c r="CM683" s="1889">
        <v>0</v>
      </c>
      <c r="CN683" s="1889">
        <v>0</v>
      </c>
      <c r="CO683" s="1889">
        <v>0</v>
      </c>
      <c r="CP683" s="1641"/>
      <c r="CQ683" s="1640"/>
      <c r="CR683" s="1640"/>
      <c r="CS683" s="1640"/>
      <c r="CX683" s="1558">
        <f>H683/12*10-AC683</f>
        <v>-377.8666666666677</v>
      </c>
      <c r="CY683" s="1558">
        <f>AI683/3</f>
        <v>0</v>
      </c>
      <c r="CZ683" s="1558">
        <f>H683/12</f>
        <v>188.93333333333331</v>
      </c>
      <c r="DA683" s="1559"/>
      <c r="DB683" s="1559"/>
      <c r="DC683" s="1559"/>
    </row>
    <row r="684" spans="1:107" ht="15" thickBot="1" x14ac:dyDescent="0.2">
      <c r="A684" s="1541" t="s">
        <v>85</v>
      </c>
      <c r="B684" s="1523" t="s">
        <v>79</v>
      </c>
      <c r="C684" s="1523" t="s">
        <v>80</v>
      </c>
      <c r="D684" s="1523" t="s">
        <v>125</v>
      </c>
      <c r="E684" s="1523" t="s">
        <v>216</v>
      </c>
      <c r="F684" s="1523"/>
      <c r="G684" s="1667">
        <v>221</v>
      </c>
      <c r="H684" s="1501"/>
      <c r="I684" s="1501"/>
      <c r="J684" s="1630"/>
      <c r="K684" s="1630"/>
      <c r="L684" s="1631"/>
      <c r="M684" s="1631"/>
      <c r="N684" s="1631"/>
      <c r="O684" s="1631"/>
      <c r="P684" s="1631"/>
      <c r="Q684" s="1631"/>
      <c r="R684" s="1631"/>
      <c r="S684" s="1631"/>
      <c r="T684" s="1632"/>
      <c r="U684" s="1633"/>
      <c r="V684" s="1633"/>
      <c r="W684" s="1634"/>
      <c r="X684" s="1634"/>
      <c r="Y684" s="1634"/>
      <c r="Z684" s="1635"/>
      <c r="AA684" s="1634">
        <f t="shared" si="466"/>
        <v>0</v>
      </c>
      <c r="AB684" s="1634"/>
      <c r="AC684" s="1508">
        <f t="shared" si="469"/>
        <v>0</v>
      </c>
      <c r="AD684" s="1509">
        <f t="shared" si="470"/>
        <v>0</v>
      </c>
      <c r="AE684" s="1509">
        <f t="shared" si="471"/>
        <v>0</v>
      </c>
      <c r="AF684" s="1509">
        <f t="shared" si="471"/>
        <v>0</v>
      </c>
      <c r="AG684" s="1509">
        <f t="shared" si="471"/>
        <v>0</v>
      </c>
      <c r="AH684" s="1490">
        <f t="shared" si="455"/>
        <v>0</v>
      </c>
      <c r="AI684" s="1636">
        <f t="shared" si="472"/>
        <v>0</v>
      </c>
      <c r="AJ684" s="1636">
        <f t="shared" si="473"/>
        <v>0</v>
      </c>
      <c r="AK684" s="1636">
        <f t="shared" si="474"/>
        <v>0</v>
      </c>
      <c r="AL684" s="1636">
        <f t="shared" si="474"/>
        <v>0</v>
      </c>
      <c r="AM684" s="1636">
        <f t="shared" si="474"/>
        <v>0</v>
      </c>
      <c r="AN684" s="1637"/>
      <c r="AO684" s="1722">
        <v>0</v>
      </c>
      <c r="AP684" s="1638"/>
      <c r="AQ684" s="1638"/>
      <c r="AR684" s="1638"/>
      <c r="AS684" s="1963">
        <v>0</v>
      </c>
      <c r="AT684" s="1638"/>
      <c r="AU684" s="1638"/>
      <c r="AV684" s="1638"/>
      <c r="AW684" s="1639"/>
      <c r="AX684" s="1640"/>
      <c r="AY684" s="1640"/>
      <c r="AZ684" s="1640"/>
      <c r="BA684" s="1641"/>
      <c r="BB684" s="1640"/>
      <c r="BC684" s="1640"/>
      <c r="BD684" s="1640"/>
      <c r="BE684" s="1644"/>
      <c r="BF684" s="1640"/>
      <c r="BG684" s="1640"/>
      <c r="BH684" s="1640"/>
      <c r="BI684" s="1641"/>
      <c r="BJ684" s="1640"/>
      <c r="BK684" s="1640"/>
      <c r="BL684" s="1640"/>
      <c r="BM684" s="1641"/>
      <c r="BN684" s="1640"/>
      <c r="BO684" s="1640"/>
      <c r="BP684" s="1640"/>
      <c r="BQ684" s="1641"/>
      <c r="BR684" s="1640"/>
      <c r="BS684" s="1640"/>
      <c r="BT684" s="1640"/>
      <c r="BU684" s="1641"/>
      <c r="BV684" s="1640"/>
      <c r="BW684" s="1640"/>
      <c r="BX684" s="1640"/>
      <c r="BY684" s="1641"/>
      <c r="BZ684" s="1640"/>
      <c r="CA684" s="1640"/>
      <c r="CB684" s="1640"/>
      <c r="CC684" s="1641"/>
      <c r="CD684" s="1640"/>
      <c r="CE684" s="1640"/>
      <c r="CF684" s="1640"/>
      <c r="CG684" s="1642"/>
      <c r="CH684" s="1641">
        <f t="shared" si="465"/>
        <v>0</v>
      </c>
      <c r="CI684" s="1641">
        <f t="shared" si="465"/>
        <v>0</v>
      </c>
      <c r="CJ684" s="1641">
        <f t="shared" si="465"/>
        <v>0</v>
      </c>
      <c r="CK684" s="1641">
        <f t="shared" si="465"/>
        <v>0</v>
      </c>
      <c r="CL684" s="1889">
        <v>0</v>
      </c>
      <c r="CM684" s="1889">
        <v>0</v>
      </c>
      <c r="CN684" s="1889">
        <v>0</v>
      </c>
      <c r="CO684" s="1889">
        <v>0</v>
      </c>
      <c r="CP684" s="1641"/>
      <c r="CQ684" s="1640"/>
      <c r="CR684" s="1640"/>
      <c r="CS684" s="1640"/>
    </row>
    <row r="685" spans="1:107" ht="15" thickBot="1" x14ac:dyDescent="0.2">
      <c r="A685" s="1541" t="s">
        <v>86</v>
      </c>
      <c r="B685" s="1523" t="s">
        <v>79</v>
      </c>
      <c r="C685" s="1523" t="s">
        <v>80</v>
      </c>
      <c r="D685" s="1523" t="s">
        <v>125</v>
      </c>
      <c r="E685" s="1523" t="s">
        <v>216</v>
      </c>
      <c r="F685" s="1523"/>
      <c r="G685" s="1667">
        <v>222</v>
      </c>
      <c r="H685" s="1501"/>
      <c r="I685" s="1501"/>
      <c r="J685" s="1630"/>
      <c r="K685" s="1630"/>
      <c r="L685" s="1631"/>
      <c r="M685" s="1631"/>
      <c r="N685" s="1631"/>
      <c r="O685" s="1631"/>
      <c r="P685" s="1631"/>
      <c r="Q685" s="1631"/>
      <c r="R685" s="1631"/>
      <c r="S685" s="1631"/>
      <c r="T685" s="1632"/>
      <c r="U685" s="1633"/>
      <c r="V685" s="1633"/>
      <c r="W685" s="1634"/>
      <c r="X685" s="1634"/>
      <c r="Y685" s="1634"/>
      <c r="Z685" s="1635"/>
      <c r="AA685" s="1634">
        <f t="shared" si="466"/>
        <v>0</v>
      </c>
      <c r="AB685" s="1634"/>
      <c r="AC685" s="1508">
        <f t="shared" si="469"/>
        <v>0</v>
      </c>
      <c r="AD685" s="1509">
        <f t="shared" si="470"/>
        <v>0</v>
      </c>
      <c r="AE685" s="1509">
        <f t="shared" si="471"/>
        <v>0</v>
      </c>
      <c r="AF685" s="1509">
        <f t="shared" si="471"/>
        <v>0</v>
      </c>
      <c r="AG685" s="1509">
        <f t="shared" si="471"/>
        <v>0</v>
      </c>
      <c r="AH685" s="1490">
        <f t="shared" si="455"/>
        <v>0</v>
      </c>
      <c r="AI685" s="1636">
        <f t="shared" si="472"/>
        <v>0</v>
      </c>
      <c r="AJ685" s="1636">
        <f t="shared" si="473"/>
        <v>0</v>
      </c>
      <c r="AK685" s="1636">
        <f t="shared" si="474"/>
        <v>0</v>
      </c>
      <c r="AL685" s="1636">
        <f t="shared" si="474"/>
        <v>0</v>
      </c>
      <c r="AM685" s="1636">
        <f t="shared" si="474"/>
        <v>0</v>
      </c>
      <c r="AN685" s="1637"/>
      <c r="AO685" s="1722">
        <v>0</v>
      </c>
      <c r="AP685" s="1638"/>
      <c r="AQ685" s="1638"/>
      <c r="AR685" s="1638"/>
      <c r="AS685" s="1963">
        <v>0</v>
      </c>
      <c r="AT685" s="1638"/>
      <c r="AU685" s="1638"/>
      <c r="AV685" s="1638"/>
      <c r="AW685" s="1639"/>
      <c r="AX685" s="1640"/>
      <c r="AY685" s="1640"/>
      <c r="AZ685" s="1640"/>
      <c r="BA685" s="1641"/>
      <c r="BB685" s="1640"/>
      <c r="BC685" s="1640"/>
      <c r="BD685" s="1640"/>
      <c r="BE685" s="1644"/>
      <c r="BF685" s="1640"/>
      <c r="BG685" s="1640"/>
      <c r="BH685" s="1640"/>
      <c r="BI685" s="1641"/>
      <c r="BJ685" s="1640"/>
      <c r="BK685" s="1640"/>
      <c r="BL685" s="1640"/>
      <c r="BM685" s="1641"/>
      <c r="BN685" s="1640"/>
      <c r="BO685" s="1640"/>
      <c r="BP685" s="1640"/>
      <c r="BQ685" s="1641"/>
      <c r="BR685" s="1640"/>
      <c r="BS685" s="1640"/>
      <c r="BT685" s="1640"/>
      <c r="BU685" s="1641"/>
      <c r="BV685" s="1640"/>
      <c r="BW685" s="1640"/>
      <c r="BX685" s="1640"/>
      <c r="BY685" s="1641"/>
      <c r="BZ685" s="1640"/>
      <c r="CA685" s="1640"/>
      <c r="CB685" s="1640"/>
      <c r="CC685" s="1641"/>
      <c r="CD685" s="1640"/>
      <c r="CE685" s="1640"/>
      <c r="CF685" s="1640"/>
      <c r="CG685" s="1642"/>
      <c r="CH685" s="1641">
        <f t="shared" si="465"/>
        <v>0</v>
      </c>
      <c r="CI685" s="1641">
        <f t="shared" si="465"/>
        <v>0</v>
      </c>
      <c r="CJ685" s="1641">
        <f t="shared" si="465"/>
        <v>0</v>
      </c>
      <c r="CK685" s="1641">
        <f t="shared" si="465"/>
        <v>0</v>
      </c>
      <c r="CL685" s="1889">
        <v>0</v>
      </c>
      <c r="CM685" s="1889">
        <v>0</v>
      </c>
      <c r="CN685" s="1889">
        <v>0</v>
      </c>
      <c r="CO685" s="1889">
        <v>0</v>
      </c>
      <c r="CP685" s="1641"/>
      <c r="CQ685" s="1640"/>
      <c r="CR685" s="1640"/>
      <c r="CS685" s="1640"/>
    </row>
    <row r="686" spans="1:107" ht="15" thickBot="1" x14ac:dyDescent="0.2">
      <c r="A686" s="1541" t="s">
        <v>87</v>
      </c>
      <c r="B686" s="1523" t="s">
        <v>79</v>
      </c>
      <c r="C686" s="1523" t="s">
        <v>80</v>
      </c>
      <c r="D686" s="1523" t="s">
        <v>125</v>
      </c>
      <c r="E686" s="1523" t="s">
        <v>216</v>
      </c>
      <c r="F686" s="1523"/>
      <c r="G686" s="1667">
        <v>223</v>
      </c>
      <c r="H686" s="1501"/>
      <c r="I686" s="1501"/>
      <c r="J686" s="1630"/>
      <c r="K686" s="1630"/>
      <c r="L686" s="1631"/>
      <c r="M686" s="1631"/>
      <c r="N686" s="1631"/>
      <c r="O686" s="1631"/>
      <c r="P686" s="1631"/>
      <c r="Q686" s="1631"/>
      <c r="R686" s="1631"/>
      <c r="S686" s="1631"/>
      <c r="T686" s="1632"/>
      <c r="U686" s="1633"/>
      <c r="V686" s="1633"/>
      <c r="W686" s="1634"/>
      <c r="X686" s="1634"/>
      <c r="Y686" s="1634"/>
      <c r="Z686" s="1635"/>
      <c r="AA686" s="1634">
        <f t="shared" si="466"/>
        <v>0</v>
      </c>
      <c r="AB686" s="1891"/>
      <c r="AC686" s="1508">
        <f t="shared" si="469"/>
        <v>0</v>
      </c>
      <c r="AD686" s="1509">
        <f t="shared" si="470"/>
        <v>0</v>
      </c>
      <c r="AE686" s="1509">
        <f t="shared" si="471"/>
        <v>0</v>
      </c>
      <c r="AF686" s="1509">
        <f t="shared" si="471"/>
        <v>0</v>
      </c>
      <c r="AG686" s="1509">
        <f t="shared" si="471"/>
        <v>0</v>
      </c>
      <c r="AH686" s="1490">
        <f t="shared" si="455"/>
        <v>0</v>
      </c>
      <c r="AI686" s="1636">
        <f t="shared" si="472"/>
        <v>0</v>
      </c>
      <c r="AJ686" s="1636">
        <f t="shared" si="473"/>
        <v>0</v>
      </c>
      <c r="AK686" s="1636">
        <f t="shared" si="474"/>
        <v>0</v>
      </c>
      <c r="AL686" s="1636">
        <f t="shared" si="474"/>
        <v>0</v>
      </c>
      <c r="AM686" s="1636">
        <f t="shared" si="474"/>
        <v>0</v>
      </c>
      <c r="AN686" s="1637"/>
      <c r="AO686" s="1722">
        <v>0</v>
      </c>
      <c r="AP686" s="1638"/>
      <c r="AQ686" s="1638"/>
      <c r="AR686" s="1638"/>
      <c r="AS686" s="1963">
        <v>0</v>
      </c>
      <c r="AT686" s="1638"/>
      <c r="AU686" s="1638"/>
      <c r="AV686" s="1638"/>
      <c r="AW686" s="1639"/>
      <c r="AX686" s="1640"/>
      <c r="AY686" s="1640"/>
      <c r="AZ686" s="1640"/>
      <c r="BA686" s="1641"/>
      <c r="BB686" s="1640"/>
      <c r="BC686" s="1640"/>
      <c r="BD686" s="1640"/>
      <c r="BE686" s="1644"/>
      <c r="BF686" s="1640"/>
      <c r="BG686" s="1640"/>
      <c r="BH686" s="1640"/>
      <c r="BI686" s="1641"/>
      <c r="BJ686" s="1640"/>
      <c r="BK686" s="1640"/>
      <c r="BL686" s="1640"/>
      <c r="BM686" s="1641"/>
      <c r="BN686" s="1640"/>
      <c r="BO686" s="1640"/>
      <c r="BP686" s="1640"/>
      <c r="BQ686" s="1641"/>
      <c r="BR686" s="1640"/>
      <c r="BS686" s="1640"/>
      <c r="BT686" s="1640"/>
      <c r="BU686" s="1641"/>
      <c r="BV686" s="1640"/>
      <c r="BW686" s="1640"/>
      <c r="BX686" s="1640"/>
      <c r="BY686" s="1641"/>
      <c r="BZ686" s="1640"/>
      <c r="CA686" s="1640"/>
      <c r="CB686" s="1640"/>
      <c r="CC686" s="1641"/>
      <c r="CD686" s="1640"/>
      <c r="CE686" s="1640"/>
      <c r="CF686" s="1640"/>
      <c r="CG686" s="1642"/>
      <c r="CH686" s="1641">
        <f t="shared" si="465"/>
        <v>0</v>
      </c>
      <c r="CI686" s="1641">
        <f t="shared" si="465"/>
        <v>0</v>
      </c>
      <c r="CJ686" s="1641">
        <f t="shared" si="465"/>
        <v>0</v>
      </c>
      <c r="CK686" s="1641">
        <f t="shared" si="465"/>
        <v>0</v>
      </c>
      <c r="CL686" s="1889">
        <v>0</v>
      </c>
      <c r="CM686" s="1889">
        <v>0</v>
      </c>
      <c r="CN686" s="1889">
        <v>0</v>
      </c>
      <c r="CO686" s="1889">
        <v>0</v>
      </c>
      <c r="CP686" s="1641"/>
      <c r="CQ686" s="1640"/>
      <c r="CR686" s="1640"/>
      <c r="CS686" s="1640"/>
    </row>
    <row r="687" spans="1:107" ht="15" thickBot="1" x14ac:dyDescent="0.2">
      <c r="A687" s="1541" t="s">
        <v>134</v>
      </c>
      <c r="B687" s="1523" t="s">
        <v>79</v>
      </c>
      <c r="C687" s="1523" t="s">
        <v>80</v>
      </c>
      <c r="D687" s="1523" t="s">
        <v>125</v>
      </c>
      <c r="E687" s="1523" t="s">
        <v>216</v>
      </c>
      <c r="F687" s="1523"/>
      <c r="G687" s="1667">
        <v>224</v>
      </c>
      <c r="H687" s="1501"/>
      <c r="I687" s="1501"/>
      <c r="J687" s="1630"/>
      <c r="K687" s="1630"/>
      <c r="L687" s="1631"/>
      <c r="M687" s="1631"/>
      <c r="N687" s="1631"/>
      <c r="O687" s="1631"/>
      <c r="P687" s="1631"/>
      <c r="Q687" s="1631"/>
      <c r="R687" s="1631"/>
      <c r="S687" s="1631"/>
      <c r="T687" s="1632"/>
      <c r="U687" s="1633"/>
      <c r="V687" s="1633"/>
      <c r="W687" s="1634"/>
      <c r="X687" s="1634"/>
      <c r="Y687" s="1634"/>
      <c r="Z687" s="1635"/>
      <c r="AA687" s="1634">
        <f>AB687-Z687</f>
        <v>0</v>
      </c>
      <c r="AB687" s="1634"/>
      <c r="AC687" s="1508">
        <f t="shared" si="469"/>
        <v>0</v>
      </c>
      <c r="AD687" s="1509">
        <f t="shared" si="470"/>
        <v>0</v>
      </c>
      <c r="AE687" s="1509">
        <f t="shared" si="471"/>
        <v>0</v>
      </c>
      <c r="AF687" s="1509">
        <f t="shared" si="471"/>
        <v>0</v>
      </c>
      <c r="AG687" s="1509">
        <f t="shared" si="471"/>
        <v>0</v>
      </c>
      <c r="AH687" s="1490">
        <f t="shared" si="455"/>
        <v>0</v>
      </c>
      <c r="AI687" s="1636">
        <f t="shared" si="472"/>
        <v>0</v>
      </c>
      <c r="AJ687" s="1636">
        <f t="shared" si="473"/>
        <v>0</v>
      </c>
      <c r="AK687" s="1636">
        <f t="shared" si="474"/>
        <v>0</v>
      </c>
      <c r="AL687" s="1636">
        <f t="shared" si="474"/>
        <v>0</v>
      </c>
      <c r="AM687" s="1636">
        <f t="shared" si="474"/>
        <v>0</v>
      </c>
      <c r="AN687" s="1637"/>
      <c r="AO687" s="1722">
        <v>0</v>
      </c>
      <c r="AP687" s="1638"/>
      <c r="AQ687" s="1638"/>
      <c r="AR687" s="1638"/>
      <c r="AS687" s="1963">
        <v>0</v>
      </c>
      <c r="AT687" s="1638"/>
      <c r="AU687" s="1638"/>
      <c r="AV687" s="1638"/>
      <c r="AW687" s="1639"/>
      <c r="AX687" s="1640"/>
      <c r="AY687" s="1640"/>
      <c r="AZ687" s="1640"/>
      <c r="BA687" s="1641"/>
      <c r="BB687" s="1640"/>
      <c r="BC687" s="1640"/>
      <c r="BD687" s="1640"/>
      <c r="BE687" s="1644"/>
      <c r="BF687" s="1640"/>
      <c r="BG687" s="1640"/>
      <c r="BH687" s="1640"/>
      <c r="BI687" s="1641"/>
      <c r="BJ687" s="1640"/>
      <c r="BK687" s="1640"/>
      <c r="BL687" s="1640"/>
      <c r="BM687" s="1641"/>
      <c r="BN687" s="1640"/>
      <c r="BO687" s="1640"/>
      <c r="BP687" s="1640"/>
      <c r="BQ687" s="1641"/>
      <c r="BR687" s="1640"/>
      <c r="BS687" s="1640"/>
      <c r="BT687" s="1640"/>
      <c r="BU687" s="1641"/>
      <c r="BV687" s="1640"/>
      <c r="BW687" s="1640"/>
      <c r="BX687" s="1640"/>
      <c r="BY687" s="1641"/>
      <c r="BZ687" s="1640"/>
      <c r="CA687" s="1640"/>
      <c r="CB687" s="1640"/>
      <c r="CC687" s="1641"/>
      <c r="CD687" s="1640"/>
      <c r="CE687" s="1640"/>
      <c r="CF687" s="1640"/>
      <c r="CG687" s="1642"/>
      <c r="CH687" s="1641">
        <f t="shared" si="465"/>
        <v>0</v>
      </c>
      <c r="CI687" s="1641">
        <f t="shared" si="465"/>
        <v>0</v>
      </c>
      <c r="CJ687" s="1641">
        <f t="shared" si="465"/>
        <v>0</v>
      </c>
      <c r="CK687" s="1641">
        <f t="shared" si="465"/>
        <v>0</v>
      </c>
      <c r="CL687" s="1889">
        <v>0</v>
      </c>
      <c r="CM687" s="1889">
        <v>0</v>
      </c>
      <c r="CN687" s="1889">
        <v>0</v>
      </c>
      <c r="CO687" s="1889">
        <v>0</v>
      </c>
      <c r="CP687" s="1641"/>
      <c r="CQ687" s="1640"/>
      <c r="CR687" s="1640"/>
      <c r="CS687" s="1640"/>
    </row>
    <row r="688" spans="1:107" ht="15" thickBot="1" x14ac:dyDescent="0.2">
      <c r="A688" s="1541" t="s">
        <v>90</v>
      </c>
      <c r="B688" s="1523" t="s">
        <v>79</v>
      </c>
      <c r="C688" s="1523" t="s">
        <v>80</v>
      </c>
      <c r="D688" s="1523" t="s">
        <v>125</v>
      </c>
      <c r="E688" s="1523" t="s">
        <v>216</v>
      </c>
      <c r="F688" s="1523"/>
      <c r="G688" s="1667">
        <v>225</v>
      </c>
      <c r="H688" s="1501">
        <f>50</f>
        <v>50</v>
      </c>
      <c r="I688" s="1501"/>
      <c r="J688" s="1630"/>
      <c r="K688" s="1630"/>
      <c r="L688" s="1631"/>
      <c r="M688" s="1631"/>
      <c r="N688" s="1631"/>
      <c r="O688" s="1631"/>
      <c r="P688" s="1631"/>
      <c r="Q688" s="1631"/>
      <c r="R688" s="1631"/>
      <c r="S688" s="1631"/>
      <c r="T688" s="1632"/>
      <c r="U688" s="1633"/>
      <c r="V688" s="1633"/>
      <c r="W688" s="1634"/>
      <c r="X688" s="1634"/>
      <c r="Y688" s="1634"/>
      <c r="Z688" s="1635"/>
      <c r="AA688" s="1634">
        <f t="shared" ref="AA688:AA701" si="475">AB688-Z688</f>
        <v>0</v>
      </c>
      <c r="AB688" s="1634"/>
      <c r="AC688" s="1508">
        <f t="shared" si="469"/>
        <v>50</v>
      </c>
      <c r="AD688" s="1509">
        <f t="shared" si="470"/>
        <v>0</v>
      </c>
      <c r="AE688" s="1509">
        <f t="shared" si="471"/>
        <v>0</v>
      </c>
      <c r="AF688" s="1509">
        <f t="shared" si="471"/>
        <v>0</v>
      </c>
      <c r="AG688" s="1509">
        <f t="shared" si="471"/>
        <v>0</v>
      </c>
      <c r="AH688" s="1490">
        <f t="shared" si="455"/>
        <v>0</v>
      </c>
      <c r="AI688" s="1636">
        <f t="shared" si="472"/>
        <v>0</v>
      </c>
      <c r="AJ688" s="1636">
        <f t="shared" si="473"/>
        <v>0</v>
      </c>
      <c r="AK688" s="1636">
        <f t="shared" si="474"/>
        <v>0</v>
      </c>
      <c r="AL688" s="1636">
        <f t="shared" si="474"/>
        <v>0</v>
      </c>
      <c r="AM688" s="1636">
        <f t="shared" si="474"/>
        <v>0</v>
      </c>
      <c r="AN688" s="1637"/>
      <c r="AO688" s="1723"/>
      <c r="AP688" s="1638"/>
      <c r="AQ688" s="1638"/>
      <c r="AR688" s="1638"/>
      <c r="AS688" s="1639"/>
      <c r="AT688" s="1638"/>
      <c r="AU688" s="1638"/>
      <c r="AV688" s="1638"/>
      <c r="AW688" s="1639"/>
      <c r="AX688" s="1640"/>
      <c r="AY688" s="1640"/>
      <c r="AZ688" s="1640"/>
      <c r="BA688" s="1641"/>
      <c r="BB688" s="1640"/>
      <c r="BC688" s="1640"/>
      <c r="BD688" s="1640"/>
      <c r="BE688" s="1644"/>
      <c r="BF688" s="1640"/>
      <c r="BG688" s="1640"/>
      <c r="BH688" s="1640"/>
      <c r="BI688" s="1641"/>
      <c r="BJ688" s="1640"/>
      <c r="BK688" s="1640"/>
      <c r="BL688" s="1640"/>
      <c r="BM688" s="1641"/>
      <c r="BN688" s="1640"/>
      <c r="BO688" s="1640"/>
      <c r="BP688" s="1640"/>
      <c r="BQ688" s="1641">
        <v>50</v>
      </c>
      <c r="BR688" s="1640"/>
      <c r="BS688" s="1640"/>
      <c r="BT688" s="1640"/>
      <c r="BU688" s="1641"/>
      <c r="BV688" s="1640"/>
      <c r="BW688" s="1640"/>
      <c r="BX688" s="1640"/>
      <c r="BY688" s="1641"/>
      <c r="BZ688" s="1640"/>
      <c r="CA688" s="1640"/>
      <c r="CB688" s="1640"/>
      <c r="CC688" s="1641"/>
      <c r="CD688" s="1640"/>
      <c r="CE688" s="1640"/>
      <c r="CF688" s="1640"/>
      <c r="CG688" s="1642"/>
      <c r="CH688" s="1641">
        <f t="shared" si="465"/>
        <v>0</v>
      </c>
      <c r="CI688" s="1641">
        <f t="shared" si="465"/>
        <v>0</v>
      </c>
      <c r="CJ688" s="1641">
        <f t="shared" si="465"/>
        <v>0</v>
      </c>
      <c r="CK688" s="1641">
        <f t="shared" si="465"/>
        <v>0</v>
      </c>
      <c r="CL688" s="1889">
        <v>0</v>
      </c>
      <c r="CM688" s="1889">
        <v>0</v>
      </c>
      <c r="CN688" s="1889">
        <v>0</v>
      </c>
      <c r="CO688" s="1889">
        <v>0</v>
      </c>
      <c r="CP688" s="1641"/>
      <c r="CQ688" s="1640"/>
      <c r="CR688" s="1640"/>
      <c r="CS688" s="1640"/>
    </row>
    <row r="689" spans="1:108" ht="15" thickBot="1" x14ac:dyDescent="0.2">
      <c r="A689" s="1541" t="s">
        <v>91</v>
      </c>
      <c r="B689" s="1523" t="s">
        <v>79</v>
      </c>
      <c r="C689" s="1523" t="s">
        <v>80</v>
      </c>
      <c r="D689" s="1523" t="s">
        <v>125</v>
      </c>
      <c r="E689" s="1523" t="s">
        <v>216</v>
      </c>
      <c r="F689" s="1523"/>
      <c r="G689" s="1667">
        <v>226</v>
      </c>
      <c r="H689" s="1501">
        <f>35+7.7</f>
        <v>42.7</v>
      </c>
      <c r="I689" s="1501"/>
      <c r="J689" s="1630"/>
      <c r="K689" s="1630">
        <f>100-U689</f>
        <v>0</v>
      </c>
      <c r="L689" s="1631"/>
      <c r="M689" s="1631"/>
      <c r="N689" s="1631"/>
      <c r="O689" s="1631"/>
      <c r="P689" s="1631"/>
      <c r="Q689" s="1631"/>
      <c r="R689" s="1631"/>
      <c r="S689" s="1631"/>
      <c r="T689" s="1632"/>
      <c r="U689" s="1633">
        <v>100</v>
      </c>
      <c r="V689" s="1633"/>
      <c r="W689" s="1634"/>
      <c r="X689" s="1634"/>
      <c r="Y689" s="1634"/>
      <c r="Z689" s="1635"/>
      <c r="AA689" s="1634">
        <f t="shared" si="475"/>
        <v>0</v>
      </c>
      <c r="AB689" s="1634"/>
      <c r="AC689" s="1508">
        <f t="shared" si="469"/>
        <v>42.7</v>
      </c>
      <c r="AD689" s="1509">
        <f t="shared" si="470"/>
        <v>0</v>
      </c>
      <c r="AE689" s="1509">
        <f t="shared" si="471"/>
        <v>0</v>
      </c>
      <c r="AF689" s="1509">
        <f t="shared" si="471"/>
        <v>0</v>
      </c>
      <c r="AG689" s="1509">
        <f t="shared" si="471"/>
        <v>0</v>
      </c>
      <c r="AH689" s="1490">
        <f t="shared" si="455"/>
        <v>0</v>
      </c>
      <c r="AI689" s="1636">
        <f t="shared" si="472"/>
        <v>0</v>
      </c>
      <c r="AJ689" s="1636">
        <f t="shared" si="473"/>
        <v>0</v>
      </c>
      <c r="AK689" s="1636">
        <f t="shared" si="474"/>
        <v>0</v>
      </c>
      <c r="AL689" s="1636">
        <f t="shared" si="474"/>
        <v>0</v>
      </c>
      <c r="AM689" s="1636">
        <f t="shared" si="474"/>
        <v>0</v>
      </c>
      <c r="AN689" s="1637"/>
      <c r="AO689" s="1723"/>
      <c r="AP689" s="1638"/>
      <c r="AQ689" s="1638"/>
      <c r="AR689" s="1638"/>
      <c r="AS689" s="1639"/>
      <c r="AT689" s="1638"/>
      <c r="AU689" s="1638"/>
      <c r="AV689" s="1638"/>
      <c r="AW689" s="1639"/>
      <c r="AX689" s="1640"/>
      <c r="AY689" s="1640"/>
      <c r="AZ689" s="1640"/>
      <c r="BA689" s="1641"/>
      <c r="BB689" s="1640"/>
      <c r="BC689" s="1640"/>
      <c r="BD689" s="1640"/>
      <c r="BE689" s="1644"/>
      <c r="BF689" s="1640"/>
      <c r="BG689" s="1640"/>
      <c r="BH689" s="1640"/>
      <c r="BI689" s="1641">
        <v>10</v>
      </c>
      <c r="BJ689" s="1640"/>
      <c r="BK689" s="1640"/>
      <c r="BL689" s="1640"/>
      <c r="BM689" s="1641"/>
      <c r="BN689" s="1640"/>
      <c r="BO689" s="1640"/>
      <c r="BP689" s="1640"/>
      <c r="BQ689" s="1641">
        <f>35.046-2.346</f>
        <v>32.700000000000003</v>
      </c>
      <c r="BR689" s="1640"/>
      <c r="BS689" s="1640"/>
      <c r="BT689" s="1640"/>
      <c r="BU689" s="1641"/>
      <c r="BV689" s="1640"/>
      <c r="BW689" s="1640"/>
      <c r="BX689" s="1640"/>
      <c r="BY689" s="1641"/>
      <c r="BZ689" s="1640"/>
      <c r="CA689" s="1640"/>
      <c r="CB689" s="1640"/>
      <c r="CC689" s="1641"/>
      <c r="CD689" s="1640"/>
      <c r="CE689" s="1640"/>
      <c r="CF689" s="1640"/>
      <c r="CG689" s="1642"/>
      <c r="CH689" s="1641">
        <f t="shared" si="465"/>
        <v>0</v>
      </c>
      <c r="CI689" s="1641">
        <f t="shared" si="465"/>
        <v>0</v>
      </c>
      <c r="CJ689" s="1641">
        <f t="shared" si="465"/>
        <v>0</v>
      </c>
      <c r="CK689" s="1641">
        <f t="shared" si="465"/>
        <v>0</v>
      </c>
      <c r="CL689" s="1889">
        <v>0</v>
      </c>
      <c r="CM689" s="1889">
        <v>0</v>
      </c>
      <c r="CN689" s="1889">
        <v>0</v>
      </c>
      <c r="CO689" s="1889">
        <v>0</v>
      </c>
      <c r="CP689" s="1641"/>
      <c r="CQ689" s="1640"/>
      <c r="CR689" s="1640"/>
      <c r="CS689" s="1640"/>
    </row>
    <row r="690" spans="1:108" ht="15" thickBot="1" x14ac:dyDescent="0.2">
      <c r="A690" s="1541" t="s">
        <v>94</v>
      </c>
      <c r="B690" s="1523" t="s">
        <v>79</v>
      </c>
      <c r="C690" s="1523" t="s">
        <v>80</v>
      </c>
      <c r="D690" s="1523" t="s">
        <v>125</v>
      </c>
      <c r="E690" s="1523" t="s">
        <v>216</v>
      </c>
      <c r="F690" s="1523"/>
      <c r="G690" s="1667">
        <v>290</v>
      </c>
      <c r="H690" s="1501">
        <v>17.3</v>
      </c>
      <c r="I690" s="1501"/>
      <c r="J690" s="1630"/>
      <c r="K690" s="1630"/>
      <c r="L690" s="1631"/>
      <c r="M690" s="1631"/>
      <c r="N690" s="1631"/>
      <c r="O690" s="1631"/>
      <c r="P690" s="1631"/>
      <c r="Q690" s="1631"/>
      <c r="R690" s="1631"/>
      <c r="S690" s="1631"/>
      <c r="T690" s="1632"/>
      <c r="U690" s="1633"/>
      <c r="V690" s="1633"/>
      <c r="W690" s="1634"/>
      <c r="X690" s="1634"/>
      <c r="Y690" s="1634"/>
      <c r="Z690" s="1635"/>
      <c r="AA690" s="1634">
        <f t="shared" si="475"/>
        <v>0</v>
      </c>
      <c r="AB690" s="1634"/>
      <c r="AC690" s="1508">
        <f t="shared" si="469"/>
        <v>17.3</v>
      </c>
      <c r="AD690" s="1509">
        <f t="shared" si="470"/>
        <v>0</v>
      </c>
      <c r="AE690" s="1509">
        <f t="shared" si="471"/>
        <v>0</v>
      </c>
      <c r="AF690" s="1509">
        <f t="shared" si="471"/>
        <v>0</v>
      </c>
      <c r="AG690" s="1509">
        <f t="shared" si="471"/>
        <v>0</v>
      </c>
      <c r="AH690" s="1490">
        <f t="shared" si="455"/>
        <v>3.3540000000000001</v>
      </c>
      <c r="AI690" s="1636">
        <f t="shared" si="472"/>
        <v>0</v>
      </c>
      <c r="AJ690" s="1636">
        <f t="shared" si="473"/>
        <v>0</v>
      </c>
      <c r="AK690" s="1636">
        <f t="shared" si="474"/>
        <v>0</v>
      </c>
      <c r="AL690" s="1636">
        <f t="shared" si="474"/>
        <v>0</v>
      </c>
      <c r="AM690" s="1636">
        <f t="shared" si="474"/>
        <v>0</v>
      </c>
      <c r="AN690" s="1637"/>
      <c r="AO690" s="1722">
        <v>1.4</v>
      </c>
      <c r="AP690" s="1638"/>
      <c r="AQ690" s="1638"/>
      <c r="AR690" s="1638"/>
      <c r="AS690" s="1639"/>
      <c r="AT690" s="1638"/>
      <c r="AU690" s="1638"/>
      <c r="AV690" s="1638"/>
      <c r="AW690" s="1639"/>
      <c r="AX690" s="1640"/>
      <c r="AY690" s="1640"/>
      <c r="AZ690" s="1640"/>
      <c r="BA690" s="1641"/>
      <c r="BB690" s="1640"/>
      <c r="BC690" s="1640"/>
      <c r="BD690" s="1640"/>
      <c r="BE690" s="1644">
        <v>4.4000000000000004</v>
      </c>
      <c r="BF690" s="1640"/>
      <c r="BG690" s="1640"/>
      <c r="BH690" s="1640"/>
      <c r="BI690" s="1641"/>
      <c r="BJ690" s="1640"/>
      <c r="BK690" s="1640"/>
      <c r="BL690" s="1640"/>
      <c r="BM690" s="1641"/>
      <c r="BN690" s="1640"/>
      <c r="BO690" s="1640"/>
      <c r="BP690" s="1640"/>
      <c r="BQ690" s="1641">
        <v>0.14599999999999999</v>
      </c>
      <c r="BR690" s="1640"/>
      <c r="BS690" s="1640"/>
      <c r="BT690" s="1640"/>
      <c r="BU690" s="1641">
        <v>8</v>
      </c>
      <c r="BV690" s="1640"/>
      <c r="BW690" s="1640"/>
      <c r="BX690" s="1640"/>
      <c r="BY690" s="1641"/>
      <c r="BZ690" s="1640"/>
      <c r="CA690" s="1640"/>
      <c r="CB690" s="1640"/>
      <c r="CC690" s="1641"/>
      <c r="CD690" s="1640"/>
      <c r="CE690" s="1640"/>
      <c r="CF690" s="1640"/>
      <c r="CG690" s="1642"/>
      <c r="CH690" s="1641">
        <f t="shared" si="465"/>
        <v>3.3540000000000001</v>
      </c>
      <c r="CI690" s="1641">
        <f t="shared" si="465"/>
        <v>0</v>
      </c>
      <c r="CJ690" s="1641">
        <f t="shared" si="465"/>
        <v>0</v>
      </c>
      <c r="CK690" s="1641">
        <f t="shared" si="465"/>
        <v>0</v>
      </c>
      <c r="CL690" s="1889">
        <v>3.3540000000000001</v>
      </c>
      <c r="CM690" s="1889">
        <v>0</v>
      </c>
      <c r="CN690" s="1889">
        <v>0</v>
      </c>
      <c r="CO690" s="1889">
        <v>0</v>
      </c>
      <c r="CP690" s="1641"/>
      <c r="CQ690" s="1640"/>
      <c r="CR690" s="1640"/>
      <c r="CS690" s="1640"/>
    </row>
    <row r="691" spans="1:108" ht="15" thickBot="1" x14ac:dyDescent="0.2">
      <c r="A691" s="1541" t="s">
        <v>94</v>
      </c>
      <c r="B691" s="1523" t="s">
        <v>79</v>
      </c>
      <c r="C691" s="1523" t="s">
        <v>80</v>
      </c>
      <c r="D691" s="1523" t="s">
        <v>125</v>
      </c>
      <c r="E691" s="1523" t="s">
        <v>216</v>
      </c>
      <c r="F691" s="1523"/>
      <c r="G691" s="1667" t="s">
        <v>95</v>
      </c>
      <c r="H691" s="1501"/>
      <c r="I691" s="1501"/>
      <c r="J691" s="1630"/>
      <c r="K691" s="1630"/>
      <c r="L691" s="1631"/>
      <c r="M691" s="1631"/>
      <c r="N691" s="1631"/>
      <c r="O691" s="1631"/>
      <c r="P691" s="1631"/>
      <c r="Q691" s="1631"/>
      <c r="R691" s="1631"/>
      <c r="S691" s="1631"/>
      <c r="T691" s="1632"/>
      <c r="U691" s="1633"/>
      <c r="V691" s="1633"/>
      <c r="W691" s="1634"/>
      <c r="X691" s="1634"/>
      <c r="Y691" s="1634"/>
      <c r="Z691" s="1635"/>
      <c r="AA691" s="1634">
        <f t="shared" si="475"/>
        <v>0</v>
      </c>
      <c r="AB691" s="1634"/>
      <c r="AC691" s="1508">
        <f t="shared" si="469"/>
        <v>0</v>
      </c>
      <c r="AD691" s="1509">
        <f t="shared" si="470"/>
        <v>0</v>
      </c>
      <c r="AE691" s="1509">
        <f t="shared" si="471"/>
        <v>0</v>
      </c>
      <c r="AF691" s="1509">
        <f t="shared" si="471"/>
        <v>0</v>
      </c>
      <c r="AG691" s="1509">
        <f t="shared" si="471"/>
        <v>0</v>
      </c>
      <c r="AH691" s="1490">
        <f t="shared" si="455"/>
        <v>0</v>
      </c>
      <c r="AI691" s="1636">
        <f t="shared" si="472"/>
        <v>0</v>
      </c>
      <c r="AJ691" s="1636">
        <f t="shared" si="473"/>
        <v>0</v>
      </c>
      <c r="AK691" s="1636">
        <f t="shared" si="474"/>
        <v>0</v>
      </c>
      <c r="AL691" s="1636">
        <f t="shared" si="474"/>
        <v>0</v>
      </c>
      <c r="AM691" s="1636">
        <f t="shared" si="474"/>
        <v>0</v>
      </c>
      <c r="AN691" s="1637"/>
      <c r="AO691" s="1722">
        <v>0</v>
      </c>
      <c r="AP691" s="1638"/>
      <c r="AQ691" s="1638"/>
      <c r="AR691" s="1638"/>
      <c r="AS691" s="1639"/>
      <c r="AT691" s="1638"/>
      <c r="AU691" s="1638"/>
      <c r="AV691" s="1638"/>
      <c r="AW691" s="1639"/>
      <c r="AX691" s="1640"/>
      <c r="AY691" s="1640"/>
      <c r="AZ691" s="1640"/>
      <c r="BA691" s="1641"/>
      <c r="BB691" s="1640"/>
      <c r="BC691" s="1640"/>
      <c r="BD691" s="1640"/>
      <c r="BE691" s="1644"/>
      <c r="BF691" s="1640"/>
      <c r="BG691" s="1640"/>
      <c r="BH691" s="1640"/>
      <c r="BI691" s="1641"/>
      <c r="BJ691" s="1640"/>
      <c r="BK691" s="1640"/>
      <c r="BL691" s="1640"/>
      <c r="BM691" s="1641"/>
      <c r="BN691" s="1640"/>
      <c r="BO691" s="1640"/>
      <c r="BP691" s="1640"/>
      <c r="BQ691" s="1641"/>
      <c r="BR691" s="1640"/>
      <c r="BS691" s="1640"/>
      <c r="BT691" s="1640"/>
      <c r="BU691" s="1641"/>
      <c r="BV691" s="1640"/>
      <c r="BW691" s="1640"/>
      <c r="BX691" s="1640"/>
      <c r="BY691" s="1641"/>
      <c r="BZ691" s="1640"/>
      <c r="CA691" s="1640"/>
      <c r="CB691" s="1640"/>
      <c r="CC691" s="1641"/>
      <c r="CD691" s="1640"/>
      <c r="CE691" s="1640"/>
      <c r="CF691" s="1640"/>
      <c r="CG691" s="1642"/>
      <c r="CH691" s="1641">
        <f t="shared" si="465"/>
        <v>0</v>
      </c>
      <c r="CI691" s="1641">
        <f t="shared" si="465"/>
        <v>0</v>
      </c>
      <c r="CJ691" s="1641">
        <f t="shared" si="465"/>
        <v>0</v>
      </c>
      <c r="CK691" s="1641">
        <f t="shared" si="465"/>
        <v>0</v>
      </c>
      <c r="CL691" s="1889">
        <v>0</v>
      </c>
      <c r="CM691" s="1889">
        <v>0</v>
      </c>
      <c r="CN691" s="1889">
        <v>0</v>
      </c>
      <c r="CO691" s="1889">
        <v>0</v>
      </c>
      <c r="CP691" s="1641"/>
      <c r="CQ691" s="1640"/>
      <c r="CR691" s="1640"/>
      <c r="CS691" s="1640"/>
    </row>
    <row r="692" spans="1:108" ht="15" thickBot="1" x14ac:dyDescent="0.2">
      <c r="A692" s="1541" t="s">
        <v>96</v>
      </c>
      <c r="B692" s="1523" t="s">
        <v>79</v>
      </c>
      <c r="C692" s="1523" t="s">
        <v>80</v>
      </c>
      <c r="D692" s="1523" t="s">
        <v>125</v>
      </c>
      <c r="E692" s="1523" t="s">
        <v>216</v>
      </c>
      <c r="F692" s="1523"/>
      <c r="G692" s="1667">
        <v>310</v>
      </c>
      <c r="H692" s="1501">
        <v>40</v>
      </c>
      <c r="I692" s="1501">
        <f>1720-1020-U692</f>
        <v>700</v>
      </c>
      <c r="J692" s="1630"/>
      <c r="K692" s="1630"/>
      <c r="L692" s="1631"/>
      <c r="M692" s="1631"/>
      <c r="N692" s="1631"/>
      <c r="O692" s="1631"/>
      <c r="P692" s="1631"/>
      <c r="Q692" s="1631"/>
      <c r="R692" s="1631"/>
      <c r="S692" s="1631"/>
      <c r="T692" s="1632"/>
      <c r="U692" s="1633"/>
      <c r="V692" s="1633"/>
      <c r="W692" s="1634"/>
      <c r="X692" s="1634"/>
      <c r="Y692" s="1634"/>
      <c r="Z692" s="1635"/>
      <c r="AA692" s="1634">
        <f t="shared" si="475"/>
        <v>0</v>
      </c>
      <c r="AB692" s="1634"/>
      <c r="AC692" s="1508">
        <f t="shared" si="469"/>
        <v>40</v>
      </c>
      <c r="AD692" s="1509">
        <f t="shared" si="470"/>
        <v>700</v>
      </c>
      <c r="AE692" s="1509">
        <f t="shared" si="471"/>
        <v>700</v>
      </c>
      <c r="AF692" s="1509">
        <f t="shared" si="471"/>
        <v>0</v>
      </c>
      <c r="AG692" s="1509">
        <f t="shared" si="471"/>
        <v>0</v>
      </c>
      <c r="AH692" s="1490">
        <f t="shared" si="455"/>
        <v>0</v>
      </c>
      <c r="AI692" s="1636">
        <f t="shared" si="472"/>
        <v>0</v>
      </c>
      <c r="AJ692" s="1636">
        <f t="shared" si="473"/>
        <v>0</v>
      </c>
      <c r="AK692" s="1636">
        <f t="shared" si="474"/>
        <v>0</v>
      </c>
      <c r="AL692" s="1636">
        <f t="shared" si="474"/>
        <v>0</v>
      </c>
      <c r="AM692" s="1636">
        <f t="shared" si="474"/>
        <v>0</v>
      </c>
      <c r="AN692" s="1637"/>
      <c r="AO692" s="1723"/>
      <c r="AP692" s="1638"/>
      <c r="AQ692" s="1638"/>
      <c r="AR692" s="1638"/>
      <c r="AS692" s="1639"/>
      <c r="AT692" s="1638"/>
      <c r="AU692" s="1638"/>
      <c r="AV692" s="1638"/>
      <c r="AW692" s="1639"/>
      <c r="AX692" s="1640"/>
      <c r="AY692" s="1640"/>
      <c r="AZ692" s="1640"/>
      <c r="BA692" s="1641"/>
      <c r="BB692" s="1640"/>
      <c r="BC692" s="1640"/>
      <c r="BD692" s="1640"/>
      <c r="BE692" s="1644"/>
      <c r="BF692" s="1640"/>
      <c r="BG692" s="1640"/>
      <c r="BH692" s="1640"/>
      <c r="BI692" s="1641">
        <v>40</v>
      </c>
      <c r="BJ692" s="1640"/>
      <c r="BK692" s="1640"/>
      <c r="BL692" s="1640"/>
      <c r="BM692" s="1641"/>
      <c r="BN692" s="1640"/>
      <c r="BO692" s="1640"/>
      <c r="BP692" s="1640"/>
      <c r="BQ692" s="1641"/>
      <c r="BR692" s="1640"/>
      <c r="BS692" s="1640"/>
      <c r="BT692" s="1640"/>
      <c r="BU692" s="1641"/>
      <c r="BV692" s="1640"/>
      <c r="BW692" s="1640"/>
      <c r="BX692" s="1640"/>
      <c r="BY692" s="1641"/>
      <c r="BZ692" s="1640"/>
      <c r="CA692" s="1640"/>
      <c r="CB692" s="1640"/>
      <c r="CC692" s="1641"/>
      <c r="CD692" s="1640"/>
      <c r="CE692" s="1640"/>
      <c r="CF692" s="1640"/>
      <c r="CG692" s="1642"/>
      <c r="CH692" s="1641">
        <f t="shared" si="465"/>
        <v>0</v>
      </c>
      <c r="CI692" s="1641">
        <f t="shared" si="465"/>
        <v>700</v>
      </c>
      <c r="CJ692" s="1641">
        <f t="shared" si="465"/>
        <v>0</v>
      </c>
      <c r="CK692" s="1641">
        <f t="shared" si="465"/>
        <v>0</v>
      </c>
      <c r="CL692" s="1889">
        <v>0</v>
      </c>
      <c r="CM692" s="1889">
        <v>700</v>
      </c>
      <c r="CN692" s="1889">
        <v>0</v>
      </c>
      <c r="CO692" s="1889">
        <v>0</v>
      </c>
      <c r="CP692" s="1641"/>
      <c r="CQ692" s="1640"/>
      <c r="CR692" s="1640"/>
      <c r="CS692" s="1640"/>
    </row>
    <row r="693" spans="1:108" ht="15" thickBot="1" x14ac:dyDescent="0.2">
      <c r="A693" s="1541" t="s">
        <v>97</v>
      </c>
      <c r="B693" s="1523" t="s">
        <v>79</v>
      </c>
      <c r="C693" s="1523" t="s">
        <v>80</v>
      </c>
      <c r="D693" s="1523" t="s">
        <v>125</v>
      </c>
      <c r="E693" s="1523" t="s">
        <v>216</v>
      </c>
      <c r="F693" s="1523"/>
      <c r="G693" s="1667">
        <v>340</v>
      </c>
      <c r="H693" s="1501">
        <f>162.2</f>
        <v>162.19999999999999</v>
      </c>
      <c r="I693" s="1501"/>
      <c r="J693" s="1630"/>
      <c r="K693" s="1630"/>
      <c r="L693" s="1631"/>
      <c r="M693" s="1631"/>
      <c r="N693" s="1631"/>
      <c r="O693" s="1631"/>
      <c r="P693" s="1631"/>
      <c r="Q693" s="1631"/>
      <c r="R693" s="1631"/>
      <c r="S693" s="1631"/>
      <c r="T693" s="1632"/>
      <c r="U693" s="1633"/>
      <c r="V693" s="1633"/>
      <c r="W693" s="1634"/>
      <c r="X693" s="1634"/>
      <c r="Y693" s="1634"/>
      <c r="Z693" s="1635"/>
      <c r="AA693" s="1634">
        <f t="shared" si="475"/>
        <v>0</v>
      </c>
      <c r="AB693" s="1634"/>
      <c r="AC693" s="1508">
        <f t="shared" si="469"/>
        <v>162.19999999999999</v>
      </c>
      <c r="AD693" s="1509">
        <f t="shared" si="470"/>
        <v>0</v>
      </c>
      <c r="AE693" s="1509">
        <f t="shared" si="471"/>
        <v>0</v>
      </c>
      <c r="AF693" s="1509">
        <f t="shared" si="471"/>
        <v>0</v>
      </c>
      <c r="AG693" s="1509">
        <f t="shared" si="471"/>
        <v>0</v>
      </c>
      <c r="AH693" s="1490">
        <f t="shared" si="455"/>
        <v>0</v>
      </c>
      <c r="AI693" s="1636">
        <f t="shared" si="472"/>
        <v>0</v>
      </c>
      <c r="AJ693" s="1636">
        <f t="shared" si="473"/>
        <v>0</v>
      </c>
      <c r="AK693" s="1636">
        <f t="shared" si="474"/>
        <v>0</v>
      </c>
      <c r="AL693" s="1636">
        <f t="shared" si="474"/>
        <v>0</v>
      </c>
      <c r="AM693" s="1636">
        <f t="shared" si="474"/>
        <v>0</v>
      </c>
      <c r="AN693" s="1637"/>
      <c r="AO693" s="1722">
        <v>10</v>
      </c>
      <c r="AP693" s="1638"/>
      <c r="AQ693" s="1638"/>
      <c r="AR693" s="1638"/>
      <c r="AS693" s="1639"/>
      <c r="AT693" s="1638"/>
      <c r="AU693" s="1638"/>
      <c r="AV693" s="1638"/>
      <c r="AW693" s="1639"/>
      <c r="AX693" s="1640"/>
      <c r="AY693" s="1640"/>
      <c r="AZ693" s="1640"/>
      <c r="BA693" s="1641"/>
      <c r="BB693" s="1640"/>
      <c r="BC693" s="1640"/>
      <c r="BD693" s="1640"/>
      <c r="BE693" s="1644"/>
      <c r="BF693" s="1640"/>
      <c r="BG693" s="1640"/>
      <c r="BH693" s="1640"/>
      <c r="BI693" s="1641">
        <v>150</v>
      </c>
      <c r="BJ693" s="1640"/>
      <c r="BK693" s="1640"/>
      <c r="BL693" s="1640"/>
      <c r="BM693" s="1641"/>
      <c r="BN693" s="1640"/>
      <c r="BO693" s="1640"/>
      <c r="BP693" s="1640"/>
      <c r="BQ693" s="1641">
        <v>2.2000000000000002</v>
      </c>
      <c r="BR693" s="1640"/>
      <c r="BS693" s="1640"/>
      <c r="BT693" s="1640"/>
      <c r="BU693" s="1641"/>
      <c r="BV693" s="1640"/>
      <c r="BW693" s="1640"/>
      <c r="BX693" s="1640"/>
      <c r="BY693" s="1641"/>
      <c r="BZ693" s="1640"/>
      <c r="CA693" s="1640"/>
      <c r="CB693" s="1640"/>
      <c r="CC693" s="1641"/>
      <c r="CD693" s="1640"/>
      <c r="CE693" s="1640"/>
      <c r="CF693" s="1640"/>
      <c r="CG693" s="1642"/>
      <c r="CH693" s="1641">
        <f t="shared" si="465"/>
        <v>0</v>
      </c>
      <c r="CI693" s="1641">
        <f t="shared" si="465"/>
        <v>0</v>
      </c>
      <c r="CJ693" s="1641">
        <f t="shared" si="465"/>
        <v>0</v>
      </c>
      <c r="CK693" s="1641">
        <f t="shared" si="465"/>
        <v>0</v>
      </c>
      <c r="CL693" s="1889">
        <v>0</v>
      </c>
      <c r="CM693" s="1889">
        <v>0</v>
      </c>
      <c r="CN693" s="1889">
        <v>0</v>
      </c>
      <c r="CO693" s="1889">
        <v>0</v>
      </c>
      <c r="CP693" s="1641"/>
      <c r="CQ693" s="1640"/>
      <c r="CR693" s="1640"/>
      <c r="CS693" s="1640"/>
    </row>
    <row r="694" spans="1:108" ht="15" thickBot="1" x14ac:dyDescent="0.2">
      <c r="A694" s="1528" t="s">
        <v>767</v>
      </c>
      <c r="B694" s="1530" t="s">
        <v>79</v>
      </c>
      <c r="C694" s="1530" t="s">
        <v>80</v>
      </c>
      <c r="D694" s="1530" t="s">
        <v>125</v>
      </c>
      <c r="E694" s="1530" t="s">
        <v>216</v>
      </c>
      <c r="F694" s="1530">
        <v>612</v>
      </c>
      <c r="G694" s="1687" t="s">
        <v>766</v>
      </c>
      <c r="H694" s="1647">
        <f>I680</f>
        <v>700</v>
      </c>
      <c r="I694" s="1645"/>
      <c r="J694" s="1630"/>
      <c r="K694" s="1630"/>
      <c r="L694" s="1631"/>
      <c r="M694" s="1631"/>
      <c r="N694" s="1631"/>
      <c r="O694" s="1631"/>
      <c r="P694" s="1631"/>
      <c r="Q694" s="1631"/>
      <c r="R694" s="1631"/>
      <c r="S694" s="1631"/>
      <c r="T694" s="1632"/>
      <c r="U694" s="1633"/>
      <c r="V694" s="1633"/>
      <c r="W694" s="1634"/>
      <c r="X694" s="1634"/>
      <c r="Y694" s="1634"/>
      <c r="Z694" s="1635"/>
      <c r="AA694" s="1634">
        <f t="shared" si="475"/>
        <v>0</v>
      </c>
      <c r="AB694" s="1634"/>
      <c r="AC694" s="1508"/>
      <c r="AD694" s="1509"/>
      <c r="AE694" s="1509"/>
      <c r="AF694" s="1509"/>
      <c r="AG694" s="1509"/>
      <c r="AH694" s="1490">
        <f t="shared" si="455"/>
        <v>0</v>
      </c>
      <c r="AI694" s="1636"/>
      <c r="AJ694" s="1636"/>
      <c r="AK694" s="1636"/>
      <c r="AL694" s="1636">
        <f t="shared" si="474"/>
        <v>0</v>
      </c>
      <c r="AM694" s="1636"/>
      <c r="AN694" s="1712"/>
      <c r="AO694" s="1713"/>
      <c r="AP694" s="1638"/>
      <c r="AQ694" s="1638"/>
      <c r="AR694" s="1638"/>
      <c r="AS694" s="1639"/>
      <c r="AT694" s="1638"/>
      <c r="AU694" s="1638"/>
      <c r="AV694" s="1638"/>
      <c r="AW694" s="1639"/>
      <c r="AX694" s="1640"/>
      <c r="AY694" s="1640"/>
      <c r="AZ694" s="1640"/>
      <c r="BA694" s="1641"/>
      <c r="BB694" s="1640"/>
      <c r="BC694" s="1640"/>
      <c r="BD694" s="1640"/>
      <c r="BE694" s="1644"/>
      <c r="BF694" s="1640"/>
      <c r="BG694" s="1640"/>
      <c r="BH694" s="1640"/>
      <c r="BI694" s="1641"/>
      <c r="BJ694" s="1640"/>
      <c r="BK694" s="1640"/>
      <c r="BL694" s="1640"/>
      <c r="BM694" s="1641"/>
      <c r="BN694" s="1640"/>
      <c r="BO694" s="1640"/>
      <c r="BP694" s="1640"/>
      <c r="BQ694" s="1641"/>
      <c r="BR694" s="1640"/>
      <c r="BS694" s="1640"/>
      <c r="BT694" s="1640"/>
      <c r="BU694" s="1641"/>
      <c r="BV694" s="1640"/>
      <c r="BW694" s="1640"/>
      <c r="BX694" s="1640"/>
      <c r="BY694" s="1641"/>
      <c r="BZ694" s="1640"/>
      <c r="CA694" s="1640"/>
      <c r="CB694" s="1640"/>
      <c r="CC694" s="1641"/>
      <c r="CD694" s="1640"/>
      <c r="CE694" s="1640"/>
      <c r="CF694" s="1640"/>
      <c r="CG694" s="1642"/>
      <c r="CH694" s="1641">
        <f t="shared" si="465"/>
        <v>0</v>
      </c>
      <c r="CI694" s="1641">
        <f t="shared" si="465"/>
        <v>0</v>
      </c>
      <c r="CJ694" s="1641">
        <f t="shared" si="465"/>
        <v>0</v>
      </c>
      <c r="CK694" s="1641">
        <f t="shared" si="465"/>
        <v>0</v>
      </c>
      <c r="CL694" s="1898"/>
      <c r="CM694" s="1898"/>
      <c r="CN694" s="1889">
        <v>0</v>
      </c>
      <c r="CO694" s="1898"/>
      <c r="CP694" s="1641"/>
      <c r="CQ694" s="1640"/>
      <c r="CR694" s="1640"/>
      <c r="CS694" s="1640"/>
    </row>
    <row r="695" spans="1:108" s="1886" customFormat="1" ht="27.75" customHeight="1" thickBot="1" x14ac:dyDescent="0.2">
      <c r="A695" s="1873" t="s">
        <v>1287</v>
      </c>
      <c r="B695" s="1941" t="s">
        <v>79</v>
      </c>
      <c r="C695" s="1941" t="s">
        <v>80</v>
      </c>
      <c r="D695" s="1941" t="s">
        <v>125</v>
      </c>
      <c r="E695" s="1941" t="s">
        <v>216</v>
      </c>
      <c r="F695" s="1941">
        <v>600</v>
      </c>
      <c r="G695" s="1874"/>
      <c r="H695" s="1606">
        <f>H696+H710</f>
        <v>12551.7</v>
      </c>
      <c r="I695" s="1606">
        <f t="shared" ref="I695:CF695" si="476">I696+I710</f>
        <v>0</v>
      </c>
      <c r="J695" s="1606">
        <f>J696+J710</f>
        <v>0</v>
      </c>
      <c r="K695" s="1606">
        <f t="shared" si="476"/>
        <v>0</v>
      </c>
      <c r="L695" s="1607"/>
      <c r="M695" s="1607"/>
      <c r="N695" s="1607"/>
      <c r="O695" s="1607"/>
      <c r="P695" s="1607"/>
      <c r="Q695" s="1607"/>
      <c r="R695" s="1607"/>
      <c r="S695" s="1607"/>
      <c r="T695" s="1608"/>
      <c r="U695" s="1609"/>
      <c r="V695" s="1609"/>
      <c r="W695" s="1610"/>
      <c r="X695" s="1610"/>
      <c r="Y695" s="1610"/>
      <c r="Z695" s="1611"/>
      <c r="AA695" s="1634">
        <f t="shared" si="475"/>
        <v>0</v>
      </c>
      <c r="AB695" s="1610"/>
      <c r="AC695" s="1612">
        <f>AC696+AC710</f>
        <v>12551.7</v>
      </c>
      <c r="AD695" s="1612">
        <f t="shared" si="476"/>
        <v>0</v>
      </c>
      <c r="AE695" s="1612">
        <f t="shared" si="476"/>
        <v>0</v>
      </c>
      <c r="AF695" s="1612">
        <f t="shared" si="476"/>
        <v>0</v>
      </c>
      <c r="AG695" s="1612">
        <f t="shared" si="476"/>
        <v>0</v>
      </c>
      <c r="AH695" s="1490">
        <f t="shared" si="455"/>
        <v>357.18400000000003</v>
      </c>
      <c r="AI695" s="1613">
        <f t="shared" si="476"/>
        <v>7.1054273576010019E-15</v>
      </c>
      <c r="AJ695" s="1613">
        <f t="shared" si="476"/>
        <v>0</v>
      </c>
      <c r="AK695" s="1613">
        <f t="shared" si="476"/>
        <v>0</v>
      </c>
      <c r="AL695" s="1636">
        <f t="shared" si="474"/>
        <v>0</v>
      </c>
      <c r="AM695" s="1613">
        <f t="shared" si="476"/>
        <v>0</v>
      </c>
      <c r="AN695" s="1614"/>
      <c r="AO695" s="1606">
        <f t="shared" si="476"/>
        <v>855</v>
      </c>
      <c r="AP695" s="1606">
        <f t="shared" si="476"/>
        <v>0</v>
      </c>
      <c r="AQ695" s="1606">
        <f t="shared" si="476"/>
        <v>0</v>
      </c>
      <c r="AR695" s="1606">
        <f t="shared" si="476"/>
        <v>0</v>
      </c>
      <c r="AS695" s="1611">
        <f t="shared" si="476"/>
        <v>842</v>
      </c>
      <c r="AT695" s="1606">
        <f t="shared" si="476"/>
        <v>0</v>
      </c>
      <c r="AU695" s="1606">
        <f t="shared" si="476"/>
        <v>0</v>
      </c>
      <c r="AV695" s="1606">
        <f t="shared" si="476"/>
        <v>0</v>
      </c>
      <c r="AW695" s="1611">
        <f t="shared" si="476"/>
        <v>822.5</v>
      </c>
      <c r="AX695" s="1606">
        <f t="shared" si="476"/>
        <v>0</v>
      </c>
      <c r="AY695" s="1606">
        <f t="shared" si="476"/>
        <v>0</v>
      </c>
      <c r="AZ695" s="1606">
        <f t="shared" si="476"/>
        <v>0</v>
      </c>
      <c r="BA695" s="1614">
        <f t="shared" si="476"/>
        <v>822.5</v>
      </c>
      <c r="BB695" s="1606">
        <f t="shared" si="476"/>
        <v>0</v>
      </c>
      <c r="BC695" s="1606">
        <f t="shared" si="476"/>
        <v>0</v>
      </c>
      <c r="BD695" s="1606">
        <f t="shared" si="476"/>
        <v>0</v>
      </c>
      <c r="BE695" s="1615">
        <f t="shared" si="476"/>
        <v>857.5</v>
      </c>
      <c r="BF695" s="1606">
        <f t="shared" si="476"/>
        <v>0</v>
      </c>
      <c r="BG695" s="1606">
        <f t="shared" si="476"/>
        <v>0</v>
      </c>
      <c r="BH695" s="1606">
        <f t="shared" si="476"/>
        <v>0</v>
      </c>
      <c r="BI695" s="1614">
        <f t="shared" si="476"/>
        <v>1092.5840000000001</v>
      </c>
      <c r="BJ695" s="1606">
        <f t="shared" si="476"/>
        <v>0</v>
      </c>
      <c r="BK695" s="1606">
        <f t="shared" si="476"/>
        <v>0</v>
      </c>
      <c r="BL695" s="1606">
        <f t="shared" si="476"/>
        <v>0</v>
      </c>
      <c r="BM695" s="1614">
        <f t="shared" si="476"/>
        <v>709.91599999999994</v>
      </c>
      <c r="BN695" s="1606">
        <f t="shared" si="476"/>
        <v>0</v>
      </c>
      <c r="BO695" s="1606">
        <f t="shared" si="476"/>
        <v>0</v>
      </c>
      <c r="BP695" s="1606">
        <f t="shared" si="476"/>
        <v>0</v>
      </c>
      <c r="BQ695" s="1614">
        <f t="shared" si="476"/>
        <v>1059.7260000000001</v>
      </c>
      <c r="BR695" s="1606">
        <f t="shared" si="476"/>
        <v>0</v>
      </c>
      <c r="BS695" s="1606">
        <f t="shared" si="476"/>
        <v>0</v>
      </c>
      <c r="BT695" s="1606">
        <f t="shared" si="476"/>
        <v>0</v>
      </c>
      <c r="BU695" s="1614">
        <f t="shared" si="476"/>
        <v>2870.6</v>
      </c>
      <c r="BV695" s="1606">
        <f t="shared" si="476"/>
        <v>0</v>
      </c>
      <c r="BW695" s="1606">
        <f t="shared" si="476"/>
        <v>0</v>
      </c>
      <c r="BX695" s="1606">
        <f t="shared" si="476"/>
        <v>0</v>
      </c>
      <c r="BY695" s="1614">
        <f t="shared" si="476"/>
        <v>859.51</v>
      </c>
      <c r="BZ695" s="1606">
        <f t="shared" si="476"/>
        <v>0</v>
      </c>
      <c r="CA695" s="1606">
        <f t="shared" si="476"/>
        <v>0</v>
      </c>
      <c r="CB695" s="1606">
        <f t="shared" si="476"/>
        <v>0</v>
      </c>
      <c r="CC695" s="1614">
        <f t="shared" si="476"/>
        <v>1402.6799999999998</v>
      </c>
      <c r="CD695" s="1606">
        <f t="shared" si="476"/>
        <v>0</v>
      </c>
      <c r="CE695" s="1606">
        <f t="shared" si="476"/>
        <v>0</v>
      </c>
      <c r="CF695" s="1606">
        <f t="shared" si="476"/>
        <v>0</v>
      </c>
      <c r="CG695" s="1616"/>
      <c r="CH695" s="1641">
        <f t="shared" si="465"/>
        <v>357.18400000000003</v>
      </c>
      <c r="CI695" s="1641">
        <f t="shared" si="465"/>
        <v>0</v>
      </c>
      <c r="CJ695" s="1641">
        <f t="shared" si="465"/>
        <v>0</v>
      </c>
      <c r="CK695" s="1641">
        <f t="shared" si="465"/>
        <v>0</v>
      </c>
      <c r="CL695" s="1943">
        <v>357.18400000000003</v>
      </c>
      <c r="CM695" s="1943">
        <v>0</v>
      </c>
      <c r="CN695" s="1889">
        <v>0</v>
      </c>
      <c r="CO695" s="1943">
        <v>0</v>
      </c>
      <c r="CP695" s="1614">
        <f>CP696+CP710</f>
        <v>0</v>
      </c>
      <c r="CQ695" s="1606">
        <f>CQ696+CQ710</f>
        <v>0</v>
      </c>
      <c r="CR695" s="1606">
        <f>CR696+CR710</f>
        <v>0</v>
      </c>
      <c r="CS695" s="1606">
        <f>CS696+CS710</f>
        <v>0</v>
      </c>
      <c r="CT695" s="1885"/>
      <c r="CU695" s="1885"/>
      <c r="CV695" s="1885"/>
      <c r="CW695" s="1885"/>
      <c r="CY695" s="1885"/>
    </row>
    <row r="696" spans="1:108" ht="53" thickBot="1" x14ac:dyDescent="0.2">
      <c r="A696" s="1748" t="s">
        <v>1135</v>
      </c>
      <c r="B696" s="1749" t="s">
        <v>79</v>
      </c>
      <c r="C696" s="1749" t="s">
        <v>80</v>
      </c>
      <c r="D696" s="1749" t="s">
        <v>125</v>
      </c>
      <c r="E696" s="1749" t="s">
        <v>216</v>
      </c>
      <c r="F696" s="1749" t="s">
        <v>765</v>
      </c>
      <c r="G696" s="1600" t="s">
        <v>766</v>
      </c>
      <c r="H696" s="1531">
        <f>H697+H698+H699+H700+H701+H702+H703+H704+H705+H706+H707+H708+H709</f>
        <v>12551.7</v>
      </c>
      <c r="I696" s="1531">
        <f t="shared" ref="I696:CF696" si="477">I697+I698+I699+I700+I701+I702+I703+I704+I705+I706+I707+I708+I709</f>
        <v>0</v>
      </c>
      <c r="J696" s="1531">
        <f>J697+J698+J699+J700+J701+J702+J703+J704+J705+J706+J707+J708+J709</f>
        <v>0</v>
      </c>
      <c r="K696" s="1531">
        <f t="shared" si="477"/>
        <v>0</v>
      </c>
      <c r="L696" s="1601"/>
      <c r="M696" s="1601"/>
      <c r="N696" s="1601"/>
      <c r="O696" s="1601">
        <f t="shared" si="477"/>
        <v>0</v>
      </c>
      <c r="P696" s="1601"/>
      <c r="Q696" s="1601">
        <f t="shared" si="477"/>
        <v>364.3</v>
      </c>
      <c r="R696" s="1601">
        <f t="shared" si="477"/>
        <v>60</v>
      </c>
      <c r="S696" s="1601">
        <f t="shared" si="477"/>
        <v>0</v>
      </c>
      <c r="T696" s="1602"/>
      <c r="U696" s="1533"/>
      <c r="V696" s="1533"/>
      <c r="W696" s="1534"/>
      <c r="X696" s="1534"/>
      <c r="Y696" s="1534"/>
      <c r="Z696" s="1535"/>
      <c r="AA696" s="1634">
        <f t="shared" si="475"/>
        <v>0</v>
      </c>
      <c r="AB696" s="1534"/>
      <c r="AC696" s="1603">
        <f t="shared" si="477"/>
        <v>12551.7</v>
      </c>
      <c r="AD696" s="1603">
        <f t="shared" si="477"/>
        <v>0</v>
      </c>
      <c r="AE696" s="1603">
        <f t="shared" si="477"/>
        <v>0</v>
      </c>
      <c r="AF696" s="1603">
        <f t="shared" si="477"/>
        <v>0</v>
      </c>
      <c r="AG696" s="1603">
        <f t="shared" si="477"/>
        <v>0</v>
      </c>
      <c r="AH696" s="1490">
        <f t="shared" si="455"/>
        <v>357.18400000000003</v>
      </c>
      <c r="AI696" s="1592">
        <f t="shared" si="477"/>
        <v>7.1054273576010019E-15</v>
      </c>
      <c r="AJ696" s="1592">
        <f t="shared" si="477"/>
        <v>0</v>
      </c>
      <c r="AK696" s="1592">
        <f t="shared" si="477"/>
        <v>0</v>
      </c>
      <c r="AL696" s="1636">
        <f t="shared" si="474"/>
        <v>0</v>
      </c>
      <c r="AM696" s="1592">
        <f t="shared" si="477"/>
        <v>0</v>
      </c>
      <c r="AN696" s="1706"/>
      <c r="AO696" s="1707">
        <f t="shared" si="477"/>
        <v>855</v>
      </c>
      <c r="AP696" s="1531">
        <f t="shared" si="477"/>
        <v>0</v>
      </c>
      <c r="AQ696" s="1531">
        <f t="shared" si="477"/>
        <v>0</v>
      </c>
      <c r="AR696" s="1531">
        <f t="shared" si="477"/>
        <v>0</v>
      </c>
      <c r="AS696" s="1535">
        <f t="shared" si="477"/>
        <v>842</v>
      </c>
      <c r="AT696" s="1531">
        <f t="shared" si="477"/>
        <v>0</v>
      </c>
      <c r="AU696" s="1531">
        <f t="shared" si="477"/>
        <v>0</v>
      </c>
      <c r="AV696" s="1531">
        <f t="shared" si="477"/>
        <v>0</v>
      </c>
      <c r="AW696" s="1535">
        <f t="shared" si="477"/>
        <v>822.5</v>
      </c>
      <c r="AX696" s="1531">
        <f t="shared" si="477"/>
        <v>0</v>
      </c>
      <c r="AY696" s="1531">
        <f t="shared" si="477"/>
        <v>0</v>
      </c>
      <c r="AZ696" s="1531">
        <f t="shared" si="477"/>
        <v>0</v>
      </c>
      <c r="BA696" s="1538">
        <f t="shared" si="477"/>
        <v>822.5</v>
      </c>
      <c r="BB696" s="1531">
        <f t="shared" si="477"/>
        <v>0</v>
      </c>
      <c r="BC696" s="1531">
        <f t="shared" si="477"/>
        <v>0</v>
      </c>
      <c r="BD696" s="1531">
        <f t="shared" si="477"/>
        <v>0</v>
      </c>
      <c r="BE696" s="1539">
        <f t="shared" si="477"/>
        <v>857.5</v>
      </c>
      <c r="BF696" s="1531">
        <f t="shared" si="477"/>
        <v>0</v>
      </c>
      <c r="BG696" s="1531">
        <f t="shared" si="477"/>
        <v>0</v>
      </c>
      <c r="BH696" s="1531">
        <f t="shared" si="477"/>
        <v>0</v>
      </c>
      <c r="BI696" s="1538">
        <f t="shared" si="477"/>
        <v>1092.5840000000001</v>
      </c>
      <c r="BJ696" s="1531">
        <f t="shared" si="477"/>
        <v>0</v>
      </c>
      <c r="BK696" s="1531">
        <f t="shared" si="477"/>
        <v>0</v>
      </c>
      <c r="BL696" s="1531">
        <f t="shared" si="477"/>
        <v>0</v>
      </c>
      <c r="BM696" s="1538">
        <f t="shared" si="477"/>
        <v>709.91599999999994</v>
      </c>
      <c r="BN696" s="1531">
        <f t="shared" si="477"/>
        <v>0</v>
      </c>
      <c r="BO696" s="1531">
        <f t="shared" si="477"/>
        <v>0</v>
      </c>
      <c r="BP696" s="1531">
        <f t="shared" si="477"/>
        <v>0</v>
      </c>
      <c r="BQ696" s="1538">
        <f t="shared" si="477"/>
        <v>1059.7260000000001</v>
      </c>
      <c r="BR696" s="1531">
        <f t="shared" si="477"/>
        <v>0</v>
      </c>
      <c r="BS696" s="1531">
        <f t="shared" si="477"/>
        <v>0</v>
      </c>
      <c r="BT696" s="1531">
        <f t="shared" si="477"/>
        <v>0</v>
      </c>
      <c r="BU696" s="1538">
        <f t="shared" si="477"/>
        <v>2870.6</v>
      </c>
      <c r="BV696" s="1531">
        <f t="shared" si="477"/>
        <v>0</v>
      </c>
      <c r="BW696" s="1531">
        <f t="shared" si="477"/>
        <v>0</v>
      </c>
      <c r="BX696" s="1531">
        <f t="shared" si="477"/>
        <v>0</v>
      </c>
      <c r="BY696" s="1538">
        <f t="shared" si="477"/>
        <v>859.51</v>
      </c>
      <c r="BZ696" s="1531">
        <f t="shared" si="477"/>
        <v>0</v>
      </c>
      <c r="CA696" s="1531">
        <f t="shared" si="477"/>
        <v>0</v>
      </c>
      <c r="CB696" s="1531">
        <f t="shared" si="477"/>
        <v>0</v>
      </c>
      <c r="CC696" s="1538">
        <f t="shared" si="477"/>
        <v>1402.6799999999998</v>
      </c>
      <c r="CD696" s="1531">
        <f t="shared" si="477"/>
        <v>0</v>
      </c>
      <c r="CE696" s="1531">
        <f t="shared" si="477"/>
        <v>0</v>
      </c>
      <c r="CF696" s="1531">
        <f t="shared" si="477"/>
        <v>0</v>
      </c>
      <c r="CG696" s="1705"/>
      <c r="CH696" s="1641">
        <f t="shared" si="465"/>
        <v>357.18400000000003</v>
      </c>
      <c r="CI696" s="1641">
        <f t="shared" si="465"/>
        <v>0</v>
      </c>
      <c r="CJ696" s="1641">
        <f t="shared" si="465"/>
        <v>0</v>
      </c>
      <c r="CK696" s="1641">
        <f t="shared" si="465"/>
        <v>0</v>
      </c>
      <c r="CL696" s="1902">
        <v>357.18400000000003</v>
      </c>
      <c r="CM696" s="1902">
        <v>0</v>
      </c>
      <c r="CN696" s="1889">
        <v>0</v>
      </c>
      <c r="CO696" s="1902">
        <v>0</v>
      </c>
      <c r="CP696" s="1538">
        <f>CP697+CP698+CP699+CP700+CP701+CP702+CP703+CP704+CP705+CP706+CP707+CP708+CP709</f>
        <v>0</v>
      </c>
      <c r="CQ696" s="1531">
        <f>CQ697+CQ698+CQ699+CQ700+CQ701+CQ702+CQ703+CQ704+CQ705+CQ706+CQ707+CQ708+CQ709</f>
        <v>0</v>
      </c>
      <c r="CR696" s="1531">
        <f>CR697+CR698+CR699+CR700+CR701+CR702+CR703+CR704+CR705+CR706+CR707+CR708+CR709</f>
        <v>0</v>
      </c>
      <c r="CS696" s="1531">
        <f>CS697+CS698+CS699+CS700+CS701+CS702+CS703+CS704+CS705+CS706+CS707+CS708+CS709</f>
        <v>0</v>
      </c>
    </row>
    <row r="697" spans="1:108" ht="15" thickBot="1" x14ac:dyDescent="0.2">
      <c r="A697" s="1541" t="s">
        <v>78</v>
      </c>
      <c r="B697" s="1523" t="s">
        <v>79</v>
      </c>
      <c r="C697" s="1523" t="s">
        <v>80</v>
      </c>
      <c r="D697" s="1523" t="s">
        <v>125</v>
      </c>
      <c r="E697" s="1523" t="s">
        <v>216</v>
      </c>
      <c r="F697" s="1523"/>
      <c r="G697" s="1667">
        <v>211</v>
      </c>
      <c r="H697" s="1501">
        <f>7580.2+1550</f>
        <v>9130.2000000000007</v>
      </c>
      <c r="I697" s="1501"/>
      <c r="J697" s="1630"/>
      <c r="K697" s="1630"/>
      <c r="L697" s="1631"/>
      <c r="M697" s="1631"/>
      <c r="N697" s="1631"/>
      <c r="O697" s="1631"/>
      <c r="P697" s="1631"/>
      <c r="Q697" s="1631"/>
      <c r="R697" s="1631"/>
      <c r="S697" s="1631"/>
      <c r="T697" s="1632"/>
      <c r="U697" s="1633"/>
      <c r="V697" s="1633"/>
      <c r="W697" s="1634">
        <f>(H697-1550)/12</f>
        <v>631.68333333333339</v>
      </c>
      <c r="X697" s="1634">
        <f>AO697</f>
        <v>631.70000000000005</v>
      </c>
      <c r="Y697" s="1634">
        <f>CC697</f>
        <v>1094.1799999999998</v>
      </c>
      <c r="Z697" s="1635">
        <v>715.18</v>
      </c>
      <c r="AA697" s="1634">
        <f t="shared" si="475"/>
        <v>-715.18</v>
      </c>
      <c r="AB697" s="1511">
        <f>AI697</f>
        <v>0</v>
      </c>
      <c r="AC697" s="1508">
        <f t="shared" ref="AC697:AC709" si="478">AO697+AS697+AW697+BA697+BE697+BI697+BM697+BQ697+BU697+BY697+CC697+CH697</f>
        <v>9130.1999999999989</v>
      </c>
      <c r="AD697" s="1509">
        <f t="shared" ref="AD697:AD709" si="479">AE697+AF697+AG697</f>
        <v>0</v>
      </c>
      <c r="AE697" s="1509">
        <f t="shared" ref="AE697:AG709" si="480">AP697+AT697+AX697+BB697+BF697+BJ697+BN697+BR697+BV697+BZ697+CD697+CI697</f>
        <v>0</v>
      </c>
      <c r="AF697" s="1509">
        <f t="shared" si="480"/>
        <v>0</v>
      </c>
      <c r="AG697" s="1509">
        <f t="shared" si="480"/>
        <v>0</v>
      </c>
      <c r="AH697" s="1490">
        <f t="shared" si="455"/>
        <v>169.21</v>
      </c>
      <c r="AI697" s="1636">
        <f t="shared" ref="AI697:AI709" si="481">H697-AC697</f>
        <v>0</v>
      </c>
      <c r="AJ697" s="1636">
        <f t="shared" ref="AJ697:AJ709" si="482">AK697+AL697+AM697</f>
        <v>0</v>
      </c>
      <c r="AK697" s="1636">
        <f t="shared" ref="AK697:AM712" si="483">I697-AE697</f>
        <v>0</v>
      </c>
      <c r="AL697" s="1636">
        <f t="shared" si="483"/>
        <v>0</v>
      </c>
      <c r="AM697" s="1636">
        <f t="shared" si="483"/>
        <v>0</v>
      </c>
      <c r="AN697" s="1637">
        <f>AI697/4</f>
        <v>0</v>
      </c>
      <c r="AO697" s="1722">
        <v>631.70000000000005</v>
      </c>
      <c r="AP697" s="1638"/>
      <c r="AQ697" s="1638"/>
      <c r="AR697" s="1638"/>
      <c r="AS697" s="1963">
        <v>631.70000000000005</v>
      </c>
      <c r="AT697" s="1638"/>
      <c r="AU697" s="1638"/>
      <c r="AV697" s="1638"/>
      <c r="AW697" s="1722">
        <v>631.70000000000005</v>
      </c>
      <c r="AX697" s="1640"/>
      <c r="AY697" s="1640"/>
      <c r="AZ697" s="1640"/>
      <c r="BA697" s="1964">
        <v>631.70000000000005</v>
      </c>
      <c r="BB697" s="1640"/>
      <c r="BC697" s="1640"/>
      <c r="BD697" s="1640"/>
      <c r="BE697" s="1964">
        <v>631.70000000000005</v>
      </c>
      <c r="BF697" s="1640"/>
      <c r="BG697" s="1640"/>
      <c r="BH697" s="1640"/>
      <c r="BI697" s="1641">
        <f>202.584+631.7</f>
        <v>834.28400000000011</v>
      </c>
      <c r="BJ697" s="1640"/>
      <c r="BK697" s="1640"/>
      <c r="BL697" s="1640"/>
      <c r="BM697" s="1641">
        <v>429.11599999999999</v>
      </c>
      <c r="BN697" s="1640"/>
      <c r="BO697" s="1640"/>
      <c r="BP697" s="1640"/>
      <c r="BQ697" s="1641">
        <v>631.70000000000005</v>
      </c>
      <c r="BR697" s="1640"/>
      <c r="BS697" s="1640"/>
      <c r="BT697" s="1640"/>
      <c r="BU697" s="1641">
        <f>1550+631.7</f>
        <v>2181.6999999999998</v>
      </c>
      <c r="BV697" s="1640"/>
      <c r="BW697" s="1640"/>
      <c r="BX697" s="1640"/>
      <c r="BY697" s="1641">
        <f>189.51+442</f>
        <v>631.51</v>
      </c>
      <c r="BZ697" s="1640"/>
      <c r="CA697" s="1640"/>
      <c r="CB697" s="1640"/>
      <c r="CC697" s="1641">
        <f>379+715.18</f>
        <v>1094.1799999999998</v>
      </c>
      <c r="CD697" s="1640"/>
      <c r="CE697" s="1640"/>
      <c r="CF697" s="1640"/>
      <c r="CG697" s="1642"/>
      <c r="CH697" s="1641">
        <f t="shared" si="465"/>
        <v>169.21</v>
      </c>
      <c r="CI697" s="1641">
        <f t="shared" si="465"/>
        <v>0</v>
      </c>
      <c r="CJ697" s="1641">
        <f t="shared" si="465"/>
        <v>0</v>
      </c>
      <c r="CK697" s="1641">
        <f t="shared" si="465"/>
        <v>0</v>
      </c>
      <c r="CL697" s="1889">
        <v>169.21</v>
      </c>
      <c r="CM697" s="1889">
        <v>0</v>
      </c>
      <c r="CN697" s="1889">
        <v>0</v>
      </c>
      <c r="CO697" s="1889">
        <v>0</v>
      </c>
      <c r="CP697" s="1641"/>
      <c r="CQ697" s="1640"/>
      <c r="CR697" s="1640"/>
      <c r="CS697" s="1640"/>
      <c r="CX697" s="1558">
        <f>(7580.2/12*10+1550)-AC697</f>
        <v>-1263.3666666666659</v>
      </c>
      <c r="CY697" s="1558">
        <f>AI697/3</f>
        <v>0</v>
      </c>
      <c r="CZ697" s="1558">
        <f>7580.2/12</f>
        <v>631.68333333333328</v>
      </c>
      <c r="DA697" s="1559"/>
      <c r="DB697" s="1559"/>
      <c r="DC697" s="1559"/>
      <c r="DD697" s="489">
        <f>CZ697-189.51</f>
        <v>442.17333333333329</v>
      </c>
    </row>
    <row r="698" spans="1:108" ht="15" thickBot="1" x14ac:dyDescent="0.2">
      <c r="A698" s="1541" t="s">
        <v>103</v>
      </c>
      <c r="B698" s="1523" t="s">
        <v>79</v>
      </c>
      <c r="C698" s="1523" t="s">
        <v>80</v>
      </c>
      <c r="D698" s="1523" t="s">
        <v>125</v>
      </c>
      <c r="E698" s="1523" t="s">
        <v>216</v>
      </c>
      <c r="F698" s="1523"/>
      <c r="G698" s="1667">
        <v>212</v>
      </c>
      <c r="H698" s="1501"/>
      <c r="I698" s="1501"/>
      <c r="J698" s="1630"/>
      <c r="K698" s="1630"/>
      <c r="L698" s="1631"/>
      <c r="M698" s="1631"/>
      <c r="N698" s="1631"/>
      <c r="O698" s="1631"/>
      <c r="P698" s="1631"/>
      <c r="Q698" s="1631"/>
      <c r="R698" s="1631"/>
      <c r="S698" s="1631"/>
      <c r="T698" s="1632"/>
      <c r="U698" s="1633"/>
      <c r="V698" s="1633"/>
      <c r="W698" s="1634"/>
      <c r="X698" s="1634"/>
      <c r="Y698" s="1634">
        <f>CC698</f>
        <v>0</v>
      </c>
      <c r="Z698" s="1635">
        <f>AI698-X698</f>
        <v>0</v>
      </c>
      <c r="AA698" s="1634">
        <f t="shared" si="475"/>
        <v>0</v>
      </c>
      <c r="AB698" s="1511"/>
      <c r="AC698" s="1508">
        <f t="shared" si="478"/>
        <v>0</v>
      </c>
      <c r="AD698" s="1509">
        <f t="shared" si="479"/>
        <v>0</v>
      </c>
      <c r="AE698" s="1509">
        <f t="shared" si="480"/>
        <v>0</v>
      </c>
      <c r="AF698" s="1509">
        <f t="shared" si="480"/>
        <v>0</v>
      </c>
      <c r="AG698" s="1509">
        <f t="shared" si="480"/>
        <v>0</v>
      </c>
      <c r="AH698" s="1490">
        <f t="shared" si="455"/>
        <v>0</v>
      </c>
      <c r="AI698" s="1636">
        <f t="shared" si="481"/>
        <v>0</v>
      </c>
      <c r="AJ698" s="1636">
        <f t="shared" si="482"/>
        <v>0</v>
      </c>
      <c r="AK698" s="1636">
        <f t="shared" si="483"/>
        <v>0</v>
      </c>
      <c r="AL698" s="1636">
        <f t="shared" si="483"/>
        <v>0</v>
      </c>
      <c r="AM698" s="1636">
        <f t="shared" si="483"/>
        <v>0</v>
      </c>
      <c r="AN698" s="1637"/>
      <c r="AO698" s="1722">
        <v>0</v>
      </c>
      <c r="AP698" s="1638"/>
      <c r="AQ698" s="1638"/>
      <c r="AR698" s="1638"/>
      <c r="AS698" s="1963">
        <v>0</v>
      </c>
      <c r="AT698" s="1638"/>
      <c r="AU698" s="1638"/>
      <c r="AV698" s="1638"/>
      <c r="AW698" s="1722">
        <v>0</v>
      </c>
      <c r="AX698" s="1640"/>
      <c r="AY698" s="1640"/>
      <c r="AZ698" s="1640"/>
      <c r="BA698" s="1964">
        <v>0</v>
      </c>
      <c r="BB698" s="1640"/>
      <c r="BC698" s="1640"/>
      <c r="BD698" s="1640"/>
      <c r="BE698" s="1964">
        <v>0</v>
      </c>
      <c r="BF698" s="1640"/>
      <c r="BG698" s="1640"/>
      <c r="BH698" s="1640"/>
      <c r="BI698" s="1641"/>
      <c r="BJ698" s="1640"/>
      <c r="BK698" s="1640"/>
      <c r="BL698" s="1640"/>
      <c r="BM698" s="1641"/>
      <c r="BN698" s="1640"/>
      <c r="BO698" s="1640"/>
      <c r="BP698" s="1640"/>
      <c r="BQ698" s="1641"/>
      <c r="BR698" s="1640"/>
      <c r="BS698" s="1640"/>
      <c r="BT698" s="1640"/>
      <c r="BU698" s="1641"/>
      <c r="BV698" s="1640"/>
      <c r="BW698" s="1640"/>
      <c r="BX698" s="1640"/>
      <c r="BY698" s="1641"/>
      <c r="BZ698" s="1640"/>
      <c r="CA698" s="1640"/>
      <c r="CB698" s="1640"/>
      <c r="CC698" s="1641"/>
      <c r="CD698" s="1640"/>
      <c r="CE698" s="1640"/>
      <c r="CF698" s="1640"/>
      <c r="CG698" s="1642"/>
      <c r="CH698" s="1641">
        <f t="shared" si="465"/>
        <v>0</v>
      </c>
      <c r="CI698" s="1641">
        <f t="shared" si="465"/>
        <v>0</v>
      </c>
      <c r="CJ698" s="1641">
        <f t="shared" si="465"/>
        <v>0</v>
      </c>
      <c r="CK698" s="1641">
        <f t="shared" si="465"/>
        <v>0</v>
      </c>
      <c r="CL698" s="1889">
        <v>0</v>
      </c>
      <c r="CM698" s="1889">
        <v>0</v>
      </c>
      <c r="CN698" s="1889">
        <v>0</v>
      </c>
      <c r="CO698" s="1889">
        <v>0</v>
      </c>
      <c r="CP698" s="1641"/>
      <c r="CQ698" s="1640"/>
      <c r="CR698" s="1640"/>
      <c r="CS698" s="1640"/>
      <c r="CX698" s="1558"/>
      <c r="CY698" s="1558"/>
      <c r="CZ698" s="1558"/>
      <c r="DA698" s="1559"/>
      <c r="DB698" s="1559"/>
      <c r="DC698" s="1559"/>
    </row>
    <row r="699" spans="1:108" ht="15" thickBot="1" x14ac:dyDescent="0.2">
      <c r="A699" s="1541" t="s">
        <v>84</v>
      </c>
      <c r="B699" s="1523" t="s">
        <v>79</v>
      </c>
      <c r="C699" s="1523" t="s">
        <v>80</v>
      </c>
      <c r="D699" s="1523" t="s">
        <v>125</v>
      </c>
      <c r="E699" s="1523" t="s">
        <v>216</v>
      </c>
      <c r="F699" s="1523"/>
      <c r="G699" s="1667">
        <v>213</v>
      </c>
      <c r="H699" s="1501">
        <f>2289.2+468.1</f>
        <v>2757.2999999999997</v>
      </c>
      <c r="I699" s="1501"/>
      <c r="J699" s="1630"/>
      <c r="K699" s="1630"/>
      <c r="L699" s="1631"/>
      <c r="M699" s="1631"/>
      <c r="N699" s="1631"/>
      <c r="O699" s="1631"/>
      <c r="P699" s="1631"/>
      <c r="Q699" s="1631"/>
      <c r="R699" s="1631"/>
      <c r="S699" s="1631"/>
      <c r="T699" s="1632"/>
      <c r="U699" s="1633"/>
      <c r="V699" s="1633"/>
      <c r="W699" s="1634">
        <f>(H699-468.1)/12</f>
        <v>190.76666666666665</v>
      </c>
      <c r="X699" s="1634">
        <f>AO699</f>
        <v>190.8</v>
      </c>
      <c r="Y699" s="1634">
        <f>CC699</f>
        <v>308.5</v>
      </c>
      <c r="Z699" s="1635">
        <v>308.5</v>
      </c>
      <c r="AA699" s="1634">
        <f t="shared" si="475"/>
        <v>-308.5</v>
      </c>
      <c r="AB699" s="1511">
        <f>AI699</f>
        <v>0</v>
      </c>
      <c r="AC699" s="1508">
        <f t="shared" si="478"/>
        <v>2757.3</v>
      </c>
      <c r="AD699" s="1509">
        <f t="shared" si="479"/>
        <v>0</v>
      </c>
      <c r="AE699" s="1509">
        <f t="shared" si="480"/>
        <v>0</v>
      </c>
      <c r="AF699" s="1509">
        <f t="shared" si="480"/>
        <v>0</v>
      </c>
      <c r="AG699" s="1509">
        <f t="shared" si="480"/>
        <v>0</v>
      </c>
      <c r="AH699" s="1490">
        <f t="shared" si="455"/>
        <v>73</v>
      </c>
      <c r="AI699" s="1636">
        <f t="shared" si="481"/>
        <v>0</v>
      </c>
      <c r="AJ699" s="1636">
        <f t="shared" si="482"/>
        <v>0</v>
      </c>
      <c r="AK699" s="1636">
        <f t="shared" si="483"/>
        <v>0</v>
      </c>
      <c r="AL699" s="1636">
        <f t="shared" si="483"/>
        <v>0</v>
      </c>
      <c r="AM699" s="1636">
        <f t="shared" si="483"/>
        <v>0</v>
      </c>
      <c r="AN699" s="1637">
        <f>AI699/4</f>
        <v>0</v>
      </c>
      <c r="AO699" s="1722">
        <v>190.8</v>
      </c>
      <c r="AP699" s="1638"/>
      <c r="AQ699" s="1638"/>
      <c r="AR699" s="1638"/>
      <c r="AS699" s="1963">
        <v>190.8</v>
      </c>
      <c r="AT699" s="1638"/>
      <c r="AU699" s="1638"/>
      <c r="AV699" s="1638"/>
      <c r="AW699" s="1722">
        <v>190.8</v>
      </c>
      <c r="AX699" s="1640"/>
      <c r="AY699" s="1640"/>
      <c r="AZ699" s="1640"/>
      <c r="BA699" s="1964">
        <v>190.8</v>
      </c>
      <c r="BB699" s="1640"/>
      <c r="BC699" s="1640"/>
      <c r="BD699" s="1640"/>
      <c r="BE699" s="1964">
        <v>190.8</v>
      </c>
      <c r="BF699" s="1640"/>
      <c r="BG699" s="1640"/>
      <c r="BH699" s="1640"/>
      <c r="BI699" s="1641">
        <f>190.8</f>
        <v>190.8</v>
      </c>
      <c r="BJ699" s="1640"/>
      <c r="BK699" s="1640"/>
      <c r="BL699" s="1640"/>
      <c r="BM699" s="1641">
        <v>190.8</v>
      </c>
      <c r="BN699" s="1640"/>
      <c r="BO699" s="1640"/>
      <c r="BP699" s="1640"/>
      <c r="BQ699" s="1641">
        <v>190.8</v>
      </c>
      <c r="BR699" s="1640"/>
      <c r="BS699" s="1640"/>
      <c r="BT699" s="1640"/>
      <c r="BU699" s="1641">
        <f>468.1+190.8</f>
        <v>658.90000000000009</v>
      </c>
      <c r="BV699" s="1640"/>
      <c r="BW699" s="1640"/>
      <c r="BX699" s="1640"/>
      <c r="BY699" s="1641">
        <v>190.5</v>
      </c>
      <c r="BZ699" s="1640"/>
      <c r="CA699" s="1640"/>
      <c r="CB699" s="1640"/>
      <c r="CC699" s="1641">
        <v>308.5</v>
      </c>
      <c r="CD699" s="1640"/>
      <c r="CE699" s="1640"/>
      <c r="CF699" s="1640"/>
      <c r="CG699" s="1642"/>
      <c r="CH699" s="1641">
        <f t="shared" si="465"/>
        <v>73</v>
      </c>
      <c r="CI699" s="1641">
        <f t="shared" si="465"/>
        <v>0</v>
      </c>
      <c r="CJ699" s="1641">
        <f t="shared" si="465"/>
        <v>0</v>
      </c>
      <c r="CK699" s="1641">
        <f t="shared" si="465"/>
        <v>0</v>
      </c>
      <c r="CL699" s="1889">
        <v>73</v>
      </c>
      <c r="CM699" s="1889">
        <v>0</v>
      </c>
      <c r="CN699" s="1889">
        <v>0</v>
      </c>
      <c r="CO699" s="1889">
        <v>0</v>
      </c>
      <c r="CP699" s="1641"/>
      <c r="CQ699" s="1640"/>
      <c r="CR699" s="1640"/>
      <c r="CS699" s="1640"/>
      <c r="CX699" s="1558">
        <f>(2289.2/12*10+468.1)-AC699</f>
        <v>-381.53333333333376</v>
      </c>
      <c r="CY699" s="1558">
        <f>AI699/3</f>
        <v>0</v>
      </c>
      <c r="CZ699" s="1558">
        <f>2289.2/12</f>
        <v>190.76666666666665</v>
      </c>
      <c r="DA699" s="1559"/>
      <c r="DB699" s="1559"/>
      <c r="DC699" s="1559"/>
      <c r="DD699" s="489">
        <f>CZ699</f>
        <v>190.76666666666665</v>
      </c>
    </row>
    <row r="700" spans="1:108" ht="15" thickBot="1" x14ac:dyDescent="0.2">
      <c r="A700" s="1541" t="s">
        <v>85</v>
      </c>
      <c r="B700" s="1523" t="s">
        <v>79</v>
      </c>
      <c r="C700" s="1523" t="s">
        <v>80</v>
      </c>
      <c r="D700" s="1523" t="s">
        <v>125</v>
      </c>
      <c r="E700" s="1523" t="s">
        <v>216</v>
      </c>
      <c r="F700" s="1523"/>
      <c r="G700" s="1667">
        <v>221</v>
      </c>
      <c r="H700" s="1501"/>
      <c r="I700" s="1501"/>
      <c r="J700" s="1630"/>
      <c r="K700" s="1630"/>
      <c r="L700" s="1631"/>
      <c r="M700" s="1631"/>
      <c r="N700" s="1631"/>
      <c r="O700" s="1631"/>
      <c r="P700" s="1631"/>
      <c r="Q700" s="1631"/>
      <c r="R700" s="1631"/>
      <c r="S700" s="1631"/>
      <c r="T700" s="1632"/>
      <c r="U700" s="1633"/>
      <c r="V700" s="1633"/>
      <c r="W700" s="1634"/>
      <c r="X700" s="1634"/>
      <c r="Y700" s="1634"/>
      <c r="Z700" s="1635"/>
      <c r="AA700" s="1634">
        <f t="shared" si="475"/>
        <v>0</v>
      </c>
      <c r="AB700" s="1634"/>
      <c r="AC700" s="1508">
        <f t="shared" si="478"/>
        <v>0</v>
      </c>
      <c r="AD700" s="1509">
        <f t="shared" si="479"/>
        <v>0</v>
      </c>
      <c r="AE700" s="1509">
        <f t="shared" si="480"/>
        <v>0</v>
      </c>
      <c r="AF700" s="1509">
        <f t="shared" si="480"/>
        <v>0</v>
      </c>
      <c r="AG700" s="1509">
        <f t="shared" si="480"/>
        <v>0</v>
      </c>
      <c r="AH700" s="1490">
        <f t="shared" si="455"/>
        <v>0</v>
      </c>
      <c r="AI700" s="1636">
        <f t="shared" si="481"/>
        <v>0</v>
      </c>
      <c r="AJ700" s="1636">
        <f t="shared" si="482"/>
        <v>0</v>
      </c>
      <c r="AK700" s="1636">
        <f t="shared" si="483"/>
        <v>0</v>
      </c>
      <c r="AL700" s="1636">
        <f t="shared" si="483"/>
        <v>0</v>
      </c>
      <c r="AM700" s="1636">
        <f t="shared" si="483"/>
        <v>0</v>
      </c>
      <c r="AN700" s="1637"/>
      <c r="AO700" s="1722">
        <v>0</v>
      </c>
      <c r="AP700" s="1638"/>
      <c r="AQ700" s="1638"/>
      <c r="AR700" s="1638"/>
      <c r="AS700" s="1963">
        <v>0</v>
      </c>
      <c r="AT700" s="1638"/>
      <c r="AU700" s="1638"/>
      <c r="AV700" s="1638"/>
      <c r="AW700" s="1639"/>
      <c r="AX700" s="1640"/>
      <c r="AY700" s="1640"/>
      <c r="AZ700" s="1640"/>
      <c r="BA700" s="1641"/>
      <c r="BB700" s="1640"/>
      <c r="BC700" s="1640"/>
      <c r="BD700" s="1640"/>
      <c r="BE700" s="1644"/>
      <c r="BF700" s="1640"/>
      <c r="BG700" s="1640"/>
      <c r="BH700" s="1640"/>
      <c r="BI700" s="1641"/>
      <c r="BJ700" s="1640"/>
      <c r="BK700" s="1640"/>
      <c r="BL700" s="1640"/>
      <c r="BM700" s="1641"/>
      <c r="BN700" s="1640"/>
      <c r="BO700" s="1640"/>
      <c r="BP700" s="1640"/>
      <c r="BQ700" s="1641"/>
      <c r="BR700" s="1640"/>
      <c r="BS700" s="1640"/>
      <c r="BT700" s="1640"/>
      <c r="BU700" s="1641"/>
      <c r="BV700" s="1640"/>
      <c r="BW700" s="1640"/>
      <c r="BX700" s="1640"/>
      <c r="BY700" s="1641"/>
      <c r="BZ700" s="1640"/>
      <c r="CA700" s="1640"/>
      <c r="CB700" s="1640"/>
      <c r="CC700" s="1641"/>
      <c r="CD700" s="1640"/>
      <c r="CE700" s="1640"/>
      <c r="CF700" s="1640"/>
      <c r="CG700" s="1642"/>
      <c r="CH700" s="1641">
        <f t="shared" si="465"/>
        <v>0</v>
      </c>
      <c r="CI700" s="1641">
        <f t="shared" si="465"/>
        <v>0</v>
      </c>
      <c r="CJ700" s="1641">
        <f t="shared" si="465"/>
        <v>0</v>
      </c>
      <c r="CK700" s="1641">
        <f t="shared" si="465"/>
        <v>0</v>
      </c>
      <c r="CL700" s="1889">
        <v>0</v>
      </c>
      <c r="CM700" s="1889">
        <v>0</v>
      </c>
      <c r="CN700" s="1889">
        <v>0</v>
      </c>
      <c r="CO700" s="1889">
        <v>0</v>
      </c>
      <c r="CP700" s="1641"/>
      <c r="CQ700" s="1640"/>
      <c r="CR700" s="1640"/>
      <c r="CS700" s="1640"/>
    </row>
    <row r="701" spans="1:108" ht="15" thickBot="1" x14ac:dyDescent="0.2">
      <c r="A701" s="1541" t="s">
        <v>86</v>
      </c>
      <c r="B701" s="1523" t="s">
        <v>79</v>
      </c>
      <c r="C701" s="1523" t="s">
        <v>80</v>
      </c>
      <c r="D701" s="1523" t="s">
        <v>125</v>
      </c>
      <c r="E701" s="1523" t="s">
        <v>216</v>
      </c>
      <c r="F701" s="1523"/>
      <c r="G701" s="1667">
        <v>222</v>
      </c>
      <c r="H701" s="1501"/>
      <c r="I701" s="1501"/>
      <c r="J701" s="1630"/>
      <c r="K701" s="1630"/>
      <c r="L701" s="1631"/>
      <c r="M701" s="1631"/>
      <c r="N701" s="1631"/>
      <c r="O701" s="1631"/>
      <c r="P701" s="1631"/>
      <c r="Q701" s="1631"/>
      <c r="R701" s="1631"/>
      <c r="S701" s="1631"/>
      <c r="T701" s="1632"/>
      <c r="U701" s="1633"/>
      <c r="V701" s="1633"/>
      <c r="W701" s="1634"/>
      <c r="X701" s="1634"/>
      <c r="Y701" s="1634"/>
      <c r="Z701" s="1635"/>
      <c r="AA701" s="1634">
        <f t="shared" si="475"/>
        <v>0</v>
      </c>
      <c r="AB701" s="1634"/>
      <c r="AC701" s="1508">
        <f t="shared" si="478"/>
        <v>0</v>
      </c>
      <c r="AD701" s="1509">
        <f t="shared" si="479"/>
        <v>0</v>
      </c>
      <c r="AE701" s="1509">
        <f t="shared" si="480"/>
        <v>0</v>
      </c>
      <c r="AF701" s="1509">
        <f t="shared" si="480"/>
        <v>0</v>
      </c>
      <c r="AG701" s="1509">
        <f t="shared" si="480"/>
        <v>0</v>
      </c>
      <c r="AH701" s="1490">
        <f t="shared" si="455"/>
        <v>0</v>
      </c>
      <c r="AI701" s="1636">
        <f t="shared" si="481"/>
        <v>0</v>
      </c>
      <c r="AJ701" s="1636">
        <f t="shared" si="482"/>
        <v>0</v>
      </c>
      <c r="AK701" s="1636">
        <f t="shared" si="483"/>
        <v>0</v>
      </c>
      <c r="AL701" s="1636">
        <f t="shared" si="483"/>
        <v>0</v>
      </c>
      <c r="AM701" s="1636">
        <f t="shared" si="483"/>
        <v>0</v>
      </c>
      <c r="AN701" s="1637"/>
      <c r="AO701" s="1722">
        <v>0</v>
      </c>
      <c r="AP701" s="1638"/>
      <c r="AQ701" s="1638"/>
      <c r="AR701" s="1638"/>
      <c r="AS701" s="1963">
        <v>0</v>
      </c>
      <c r="AT701" s="1638"/>
      <c r="AU701" s="1638"/>
      <c r="AV701" s="1638"/>
      <c r="AW701" s="1639"/>
      <c r="AX701" s="1640"/>
      <c r="AY701" s="1640"/>
      <c r="AZ701" s="1640"/>
      <c r="BA701" s="1641"/>
      <c r="BB701" s="1640"/>
      <c r="BC701" s="1640"/>
      <c r="BD701" s="1640"/>
      <c r="BE701" s="1644"/>
      <c r="BF701" s="1640"/>
      <c r="BG701" s="1640"/>
      <c r="BH701" s="1640"/>
      <c r="BI701" s="1641"/>
      <c r="BJ701" s="1640"/>
      <c r="BK701" s="1640"/>
      <c r="BL701" s="1640"/>
      <c r="BM701" s="1641"/>
      <c r="BN701" s="1640"/>
      <c r="BO701" s="1640"/>
      <c r="BP701" s="1640"/>
      <c r="BQ701" s="1641"/>
      <c r="BR701" s="1640"/>
      <c r="BS701" s="1640"/>
      <c r="BT701" s="1640"/>
      <c r="BU701" s="1641"/>
      <c r="BV701" s="1640"/>
      <c r="BW701" s="1640"/>
      <c r="BX701" s="1640"/>
      <c r="BY701" s="1641"/>
      <c r="BZ701" s="1640"/>
      <c r="CA701" s="1640"/>
      <c r="CB701" s="1640"/>
      <c r="CC701" s="1641"/>
      <c r="CD701" s="1640"/>
      <c r="CE701" s="1640"/>
      <c r="CF701" s="1640"/>
      <c r="CG701" s="1642"/>
      <c r="CH701" s="1641">
        <f t="shared" si="465"/>
        <v>0</v>
      </c>
      <c r="CI701" s="1641">
        <f t="shared" si="465"/>
        <v>0</v>
      </c>
      <c r="CJ701" s="1641">
        <f t="shared" si="465"/>
        <v>0</v>
      </c>
      <c r="CK701" s="1641">
        <f t="shared" si="465"/>
        <v>0</v>
      </c>
      <c r="CL701" s="1889">
        <v>0</v>
      </c>
      <c r="CM701" s="1889">
        <v>0</v>
      </c>
      <c r="CN701" s="1889">
        <v>0</v>
      </c>
      <c r="CO701" s="1889">
        <v>0</v>
      </c>
      <c r="CP701" s="1641"/>
      <c r="CQ701" s="1640"/>
      <c r="CR701" s="1640"/>
      <c r="CS701" s="1640"/>
    </row>
    <row r="702" spans="1:108" ht="15" thickBot="1" x14ac:dyDescent="0.2">
      <c r="A702" s="1541" t="s">
        <v>87</v>
      </c>
      <c r="B702" s="1523" t="s">
        <v>79</v>
      </c>
      <c r="C702" s="1523" t="s">
        <v>80</v>
      </c>
      <c r="D702" s="1523" t="s">
        <v>125</v>
      </c>
      <c r="E702" s="1523" t="s">
        <v>216</v>
      </c>
      <c r="F702" s="1523"/>
      <c r="G702" s="1667">
        <v>223</v>
      </c>
      <c r="H702" s="1501">
        <f>234.2-49.2-37.5+50</f>
        <v>197.5</v>
      </c>
      <c r="I702" s="1501"/>
      <c r="J702" s="1630"/>
      <c r="K702" s="1630"/>
      <c r="L702" s="1631"/>
      <c r="M702" s="1631"/>
      <c r="N702" s="1631"/>
      <c r="O702" s="1631"/>
      <c r="P702" s="1631"/>
      <c r="Q702" s="1631"/>
      <c r="R702" s="1631"/>
      <c r="S702" s="1631"/>
      <c r="T702" s="1632"/>
      <c r="U702" s="1633"/>
      <c r="V702" s="1633"/>
      <c r="W702" s="1634"/>
      <c r="X702" s="1634"/>
      <c r="Y702" s="1634"/>
      <c r="Z702" s="1635"/>
      <c r="AA702" s="1634">
        <f>AB702-Z702</f>
        <v>0</v>
      </c>
      <c r="AB702" s="1891"/>
      <c r="AC702" s="1508">
        <f t="shared" si="478"/>
        <v>197.5</v>
      </c>
      <c r="AD702" s="1509">
        <f t="shared" si="479"/>
        <v>0</v>
      </c>
      <c r="AE702" s="1509">
        <f t="shared" si="480"/>
        <v>0</v>
      </c>
      <c r="AF702" s="1509">
        <f t="shared" si="480"/>
        <v>0</v>
      </c>
      <c r="AG702" s="1509">
        <f t="shared" si="480"/>
        <v>0</v>
      </c>
      <c r="AH702" s="1490">
        <f t="shared" si="455"/>
        <v>50</v>
      </c>
      <c r="AI702" s="1636">
        <f t="shared" si="481"/>
        <v>0</v>
      </c>
      <c r="AJ702" s="1636">
        <f t="shared" si="482"/>
        <v>0</v>
      </c>
      <c r="AK702" s="1636">
        <f t="shared" si="483"/>
        <v>0</v>
      </c>
      <c r="AL702" s="1636">
        <f t="shared" si="483"/>
        <v>0</v>
      </c>
      <c r="AM702" s="1636">
        <f t="shared" si="483"/>
        <v>0</v>
      </c>
      <c r="AN702" s="1637"/>
      <c r="AO702" s="1722">
        <v>19.5</v>
      </c>
      <c r="AP702" s="1638"/>
      <c r="AQ702" s="1638"/>
      <c r="AR702" s="1638"/>
      <c r="AS702" s="1963">
        <v>19.5</v>
      </c>
      <c r="AT702" s="1638"/>
      <c r="AU702" s="1638"/>
      <c r="AV702" s="1638"/>
      <c r="AW702" s="1639"/>
      <c r="AX702" s="1640"/>
      <c r="AY702" s="1640"/>
      <c r="AZ702" s="1640"/>
      <c r="BA702" s="1641"/>
      <c r="BB702" s="1640"/>
      <c r="BC702" s="1640"/>
      <c r="BD702" s="1640"/>
      <c r="BE702" s="1644">
        <v>35</v>
      </c>
      <c r="BF702" s="1640"/>
      <c r="BG702" s="1640"/>
      <c r="BH702" s="1640"/>
      <c r="BI702" s="1641">
        <v>17.5</v>
      </c>
      <c r="BJ702" s="1640"/>
      <c r="BK702" s="1640"/>
      <c r="BL702" s="1640"/>
      <c r="BM702" s="1641"/>
      <c r="BN702" s="1640"/>
      <c r="BO702" s="1640"/>
      <c r="BP702" s="1640"/>
      <c r="BQ702" s="1641">
        <v>17.5</v>
      </c>
      <c r="BR702" s="1640"/>
      <c r="BS702" s="1640"/>
      <c r="BT702" s="1640"/>
      <c r="BU702" s="1641">
        <v>30</v>
      </c>
      <c r="BV702" s="1640"/>
      <c r="BW702" s="1640"/>
      <c r="BX702" s="1640"/>
      <c r="BY702" s="1641">
        <v>37.5</v>
      </c>
      <c r="BZ702" s="1640"/>
      <c r="CA702" s="1640"/>
      <c r="CB702" s="1640"/>
      <c r="CC702" s="1641">
        <v>-29</v>
      </c>
      <c r="CD702" s="1640"/>
      <c r="CE702" s="1640"/>
      <c r="CF702" s="1640"/>
      <c r="CG702" s="1642"/>
      <c r="CH702" s="1641">
        <f t="shared" si="465"/>
        <v>50</v>
      </c>
      <c r="CI702" s="1641">
        <f t="shared" si="465"/>
        <v>0</v>
      </c>
      <c r="CJ702" s="1641">
        <f t="shared" si="465"/>
        <v>0</v>
      </c>
      <c r="CK702" s="1641">
        <f t="shared" si="465"/>
        <v>0</v>
      </c>
      <c r="CL702" s="1889">
        <v>50</v>
      </c>
      <c r="CM702" s="1889">
        <v>0</v>
      </c>
      <c r="CN702" s="1889">
        <v>0</v>
      </c>
      <c r="CO702" s="1889">
        <v>0</v>
      </c>
      <c r="CP702" s="1641"/>
      <c r="CQ702" s="1640"/>
      <c r="CR702" s="1640"/>
      <c r="CS702" s="1640"/>
    </row>
    <row r="703" spans="1:108" ht="15" thickBot="1" x14ac:dyDescent="0.2">
      <c r="A703" s="1541" t="s">
        <v>134</v>
      </c>
      <c r="B703" s="1523" t="s">
        <v>79</v>
      </c>
      <c r="C703" s="1523" t="s">
        <v>80</v>
      </c>
      <c r="D703" s="1523" t="s">
        <v>125</v>
      </c>
      <c r="E703" s="1523" t="s">
        <v>216</v>
      </c>
      <c r="F703" s="1523"/>
      <c r="G703" s="1667">
        <v>224</v>
      </c>
      <c r="H703" s="1501"/>
      <c r="I703" s="1501"/>
      <c r="J703" s="1630"/>
      <c r="K703" s="1630"/>
      <c r="L703" s="1631"/>
      <c r="M703" s="1631"/>
      <c r="N703" s="1631"/>
      <c r="O703" s="1631"/>
      <c r="P703" s="1631"/>
      <c r="Q703" s="1631"/>
      <c r="R703" s="1631"/>
      <c r="S703" s="1631"/>
      <c r="T703" s="1632"/>
      <c r="U703" s="1633"/>
      <c r="V703" s="1633"/>
      <c r="W703" s="1634"/>
      <c r="X703" s="1634"/>
      <c r="Y703" s="1634"/>
      <c r="Z703" s="1635"/>
      <c r="AA703" s="1634">
        <f t="shared" ref="AA703:AA749" si="484">AB703-Z703</f>
        <v>0</v>
      </c>
      <c r="AB703" s="1634"/>
      <c r="AC703" s="1508">
        <f t="shared" si="478"/>
        <v>0</v>
      </c>
      <c r="AD703" s="1509">
        <f t="shared" si="479"/>
        <v>0</v>
      </c>
      <c r="AE703" s="1509">
        <f t="shared" si="480"/>
        <v>0</v>
      </c>
      <c r="AF703" s="1509">
        <f t="shared" si="480"/>
        <v>0</v>
      </c>
      <c r="AG703" s="1509">
        <f t="shared" si="480"/>
        <v>0</v>
      </c>
      <c r="AH703" s="1490">
        <f t="shared" si="455"/>
        <v>0</v>
      </c>
      <c r="AI703" s="1636">
        <f t="shared" si="481"/>
        <v>0</v>
      </c>
      <c r="AJ703" s="1636">
        <f t="shared" si="482"/>
        <v>0</v>
      </c>
      <c r="AK703" s="1636">
        <f t="shared" si="483"/>
        <v>0</v>
      </c>
      <c r="AL703" s="1636">
        <f t="shared" si="483"/>
        <v>0</v>
      </c>
      <c r="AM703" s="1636">
        <f t="shared" si="483"/>
        <v>0</v>
      </c>
      <c r="AN703" s="1637"/>
      <c r="AO703" s="1722">
        <v>0</v>
      </c>
      <c r="AP703" s="1638"/>
      <c r="AQ703" s="1638"/>
      <c r="AR703" s="1638"/>
      <c r="AS703" s="1963">
        <v>0</v>
      </c>
      <c r="AT703" s="1638"/>
      <c r="AU703" s="1638"/>
      <c r="AV703" s="1638"/>
      <c r="AW703" s="1639"/>
      <c r="AX703" s="1640"/>
      <c r="AY703" s="1640"/>
      <c r="AZ703" s="1640"/>
      <c r="BA703" s="1641"/>
      <c r="BB703" s="1640"/>
      <c r="BC703" s="1640"/>
      <c r="BD703" s="1640"/>
      <c r="BE703" s="1644"/>
      <c r="BF703" s="1640"/>
      <c r="BG703" s="1640"/>
      <c r="BH703" s="1640"/>
      <c r="BI703" s="1641"/>
      <c r="BJ703" s="1640"/>
      <c r="BK703" s="1640"/>
      <c r="BL703" s="1640"/>
      <c r="BM703" s="1641"/>
      <c r="BN703" s="1640"/>
      <c r="BO703" s="1640"/>
      <c r="BP703" s="1640"/>
      <c r="BQ703" s="1641"/>
      <c r="BR703" s="1640"/>
      <c r="BS703" s="1640"/>
      <c r="BT703" s="1640"/>
      <c r="BU703" s="1641"/>
      <c r="BV703" s="1640"/>
      <c r="BW703" s="1640"/>
      <c r="BX703" s="1640"/>
      <c r="BY703" s="1641"/>
      <c r="BZ703" s="1640"/>
      <c r="CA703" s="1640"/>
      <c r="CB703" s="1640"/>
      <c r="CC703" s="1641"/>
      <c r="CD703" s="1640"/>
      <c r="CE703" s="1640"/>
      <c r="CF703" s="1640"/>
      <c r="CG703" s="1642"/>
      <c r="CH703" s="1641">
        <f t="shared" si="465"/>
        <v>0</v>
      </c>
      <c r="CI703" s="1641">
        <f t="shared" si="465"/>
        <v>0</v>
      </c>
      <c r="CJ703" s="1641">
        <f t="shared" si="465"/>
        <v>0</v>
      </c>
      <c r="CK703" s="1641">
        <f t="shared" si="465"/>
        <v>0</v>
      </c>
      <c r="CL703" s="1889">
        <v>0</v>
      </c>
      <c r="CM703" s="1889">
        <v>0</v>
      </c>
      <c r="CN703" s="1889">
        <v>0</v>
      </c>
      <c r="CO703" s="1889">
        <v>0</v>
      </c>
      <c r="CP703" s="1641"/>
      <c r="CQ703" s="1640"/>
      <c r="CR703" s="1640"/>
      <c r="CS703" s="1640"/>
    </row>
    <row r="704" spans="1:108" ht="15" thickBot="1" x14ac:dyDescent="0.2">
      <c r="A704" s="1541" t="s">
        <v>90</v>
      </c>
      <c r="B704" s="1523" t="s">
        <v>79</v>
      </c>
      <c r="C704" s="1523" t="s">
        <v>80</v>
      </c>
      <c r="D704" s="1523" t="s">
        <v>125</v>
      </c>
      <c r="E704" s="1523" t="s">
        <v>216</v>
      </c>
      <c r="F704" s="1523"/>
      <c r="G704" s="1667">
        <v>225</v>
      </c>
      <c r="H704" s="1501">
        <f>70.7+25</f>
        <v>95.7</v>
      </c>
      <c r="I704" s="1501"/>
      <c r="J704" s="1630"/>
      <c r="K704" s="1630"/>
      <c r="L704" s="1631"/>
      <c r="M704" s="1631"/>
      <c r="N704" s="1631"/>
      <c r="O704" s="1631"/>
      <c r="P704" s="1631"/>
      <c r="Q704" s="1631"/>
      <c r="R704" s="1631"/>
      <c r="S704" s="1631"/>
      <c r="T704" s="1632"/>
      <c r="U704" s="1633"/>
      <c r="V704" s="1633"/>
      <c r="W704" s="1634"/>
      <c r="X704" s="1634"/>
      <c r="Y704" s="1634"/>
      <c r="Z704" s="1635"/>
      <c r="AA704" s="1634">
        <f t="shared" si="484"/>
        <v>0</v>
      </c>
      <c r="AB704" s="1634"/>
      <c r="AC704" s="1508">
        <f t="shared" si="478"/>
        <v>95.7</v>
      </c>
      <c r="AD704" s="1509">
        <f t="shared" si="479"/>
        <v>0</v>
      </c>
      <c r="AE704" s="1509">
        <f t="shared" si="480"/>
        <v>0</v>
      </c>
      <c r="AF704" s="1509">
        <f t="shared" si="480"/>
        <v>0</v>
      </c>
      <c r="AG704" s="1509">
        <f t="shared" si="480"/>
        <v>0</v>
      </c>
      <c r="AH704" s="1490">
        <f t="shared" si="455"/>
        <v>25</v>
      </c>
      <c r="AI704" s="1636">
        <f t="shared" si="481"/>
        <v>0</v>
      </c>
      <c r="AJ704" s="1636">
        <f t="shared" si="482"/>
        <v>0</v>
      </c>
      <c r="AK704" s="1636">
        <f t="shared" si="483"/>
        <v>0</v>
      </c>
      <c r="AL704" s="1636">
        <f t="shared" si="483"/>
        <v>0</v>
      </c>
      <c r="AM704" s="1636">
        <f t="shared" si="483"/>
        <v>0</v>
      </c>
      <c r="AN704" s="1637"/>
      <c r="AO704" s="1723"/>
      <c r="AP704" s="1638"/>
      <c r="AQ704" s="1638"/>
      <c r="AR704" s="1638"/>
      <c r="AS704" s="1639"/>
      <c r="AT704" s="1638"/>
      <c r="AU704" s="1638"/>
      <c r="AV704" s="1638"/>
      <c r="AW704" s="1639"/>
      <c r="AX704" s="1640"/>
      <c r="AY704" s="1640"/>
      <c r="AZ704" s="1640"/>
      <c r="BA704" s="1641"/>
      <c r="BB704" s="1640"/>
      <c r="BC704" s="1640"/>
      <c r="BD704" s="1640"/>
      <c r="BE704" s="1644"/>
      <c r="BF704" s="1640"/>
      <c r="BG704" s="1640"/>
      <c r="BH704" s="1640"/>
      <c r="BI704" s="1641"/>
      <c r="BJ704" s="1640"/>
      <c r="BK704" s="1640"/>
      <c r="BL704" s="1640"/>
      <c r="BM704" s="1641"/>
      <c r="BN704" s="1640"/>
      <c r="BO704" s="1640"/>
      <c r="BP704" s="1640"/>
      <c r="BQ704" s="1641">
        <v>70.7</v>
      </c>
      <c r="BR704" s="1640"/>
      <c r="BS704" s="1640"/>
      <c r="BT704" s="1640"/>
      <c r="BU704" s="1641"/>
      <c r="BV704" s="1640"/>
      <c r="BW704" s="1640"/>
      <c r="BX704" s="1640"/>
      <c r="BY704" s="1641"/>
      <c r="BZ704" s="1640"/>
      <c r="CA704" s="1640"/>
      <c r="CB704" s="1640"/>
      <c r="CC704" s="1641"/>
      <c r="CD704" s="1640"/>
      <c r="CE704" s="1640"/>
      <c r="CF704" s="1640"/>
      <c r="CG704" s="1642"/>
      <c r="CH704" s="1641">
        <f t="shared" si="465"/>
        <v>25</v>
      </c>
      <c r="CI704" s="1641">
        <f t="shared" si="465"/>
        <v>0</v>
      </c>
      <c r="CJ704" s="1641">
        <f t="shared" si="465"/>
        <v>0</v>
      </c>
      <c r="CK704" s="1641">
        <f t="shared" si="465"/>
        <v>0</v>
      </c>
      <c r="CL704" s="1889">
        <v>25</v>
      </c>
      <c r="CM704" s="1889">
        <v>0</v>
      </c>
      <c r="CN704" s="1889">
        <v>0</v>
      </c>
      <c r="CO704" s="1889">
        <v>0</v>
      </c>
      <c r="CP704" s="1641"/>
      <c r="CQ704" s="1640"/>
      <c r="CR704" s="1640"/>
      <c r="CS704" s="1640"/>
    </row>
    <row r="705" spans="1:104" ht="15" thickBot="1" x14ac:dyDescent="0.2">
      <c r="A705" s="1541" t="s">
        <v>91</v>
      </c>
      <c r="B705" s="1523" t="s">
        <v>79</v>
      </c>
      <c r="C705" s="1523" t="s">
        <v>80</v>
      </c>
      <c r="D705" s="1523" t="s">
        <v>125</v>
      </c>
      <c r="E705" s="1523" t="s">
        <v>216</v>
      </c>
      <c r="F705" s="1523"/>
      <c r="G705" s="1667">
        <v>226</v>
      </c>
      <c r="H705" s="1501">
        <f>149+4+20</f>
        <v>173</v>
      </c>
      <c r="I705" s="1501"/>
      <c r="J705" s="1630"/>
      <c r="K705" s="1630"/>
      <c r="L705" s="1631"/>
      <c r="M705" s="1631"/>
      <c r="N705" s="1631"/>
      <c r="O705" s="1631"/>
      <c r="P705" s="1631"/>
      <c r="Q705" s="1631">
        <v>364.3</v>
      </c>
      <c r="R705" s="1631">
        <v>60</v>
      </c>
      <c r="S705" s="1631"/>
      <c r="T705" s="1632"/>
      <c r="U705" s="1633"/>
      <c r="V705" s="1633"/>
      <c r="W705" s="1634"/>
      <c r="X705" s="1634"/>
      <c r="Y705" s="1634"/>
      <c r="Z705" s="1635"/>
      <c r="AA705" s="1634">
        <f t="shared" si="484"/>
        <v>0</v>
      </c>
      <c r="AB705" s="1634"/>
      <c r="AC705" s="1508">
        <f t="shared" si="478"/>
        <v>173</v>
      </c>
      <c r="AD705" s="1509">
        <f t="shared" si="479"/>
        <v>0</v>
      </c>
      <c r="AE705" s="1509">
        <f t="shared" si="480"/>
        <v>0</v>
      </c>
      <c r="AF705" s="1509">
        <f t="shared" si="480"/>
        <v>0</v>
      </c>
      <c r="AG705" s="1509">
        <f t="shared" si="480"/>
        <v>0</v>
      </c>
      <c r="AH705" s="1490">
        <f t="shared" si="455"/>
        <v>23.974</v>
      </c>
      <c r="AI705" s="1636">
        <f t="shared" si="481"/>
        <v>0</v>
      </c>
      <c r="AJ705" s="1636">
        <f t="shared" si="482"/>
        <v>0</v>
      </c>
      <c r="AK705" s="1636">
        <f t="shared" si="483"/>
        <v>0</v>
      </c>
      <c r="AL705" s="1636">
        <f t="shared" si="483"/>
        <v>0</v>
      </c>
      <c r="AM705" s="1636">
        <f t="shared" si="483"/>
        <v>0</v>
      </c>
      <c r="AN705" s="1637"/>
      <c r="AO705" s="1723"/>
      <c r="AP705" s="1638"/>
      <c r="AQ705" s="1638"/>
      <c r="AR705" s="1638"/>
      <c r="AS705" s="1639"/>
      <c r="AT705" s="1638"/>
      <c r="AU705" s="1638"/>
      <c r="AV705" s="1638"/>
      <c r="AW705" s="1639"/>
      <c r="AX705" s="1640"/>
      <c r="AY705" s="1640"/>
      <c r="AZ705" s="1640"/>
      <c r="BA705" s="1641"/>
      <c r="BB705" s="1640"/>
      <c r="BC705" s="1640"/>
      <c r="BD705" s="1640"/>
      <c r="BE705" s="1644"/>
      <c r="BF705" s="1640"/>
      <c r="BG705" s="1640"/>
      <c r="BH705" s="1640"/>
      <c r="BI705" s="1641"/>
      <c r="BJ705" s="1640"/>
      <c r="BK705" s="1640"/>
      <c r="BL705" s="1640"/>
      <c r="BM705" s="1641"/>
      <c r="BN705" s="1640"/>
      <c r="BO705" s="1640"/>
      <c r="BP705" s="1640"/>
      <c r="BQ705" s="1641">
        <v>149.02600000000001</v>
      </c>
      <c r="BR705" s="1640"/>
      <c r="BS705" s="1640"/>
      <c r="BT705" s="1640"/>
      <c r="BU705" s="1641"/>
      <c r="BV705" s="1640"/>
      <c r="BW705" s="1640"/>
      <c r="BX705" s="1640"/>
      <c r="BY705" s="1641"/>
      <c r="BZ705" s="1640"/>
      <c r="CA705" s="1640"/>
      <c r="CB705" s="1640"/>
      <c r="CC705" s="1641"/>
      <c r="CD705" s="1640"/>
      <c r="CE705" s="1640"/>
      <c r="CF705" s="1640"/>
      <c r="CG705" s="1642"/>
      <c r="CH705" s="1641">
        <f t="shared" si="465"/>
        <v>23.974</v>
      </c>
      <c r="CI705" s="1641">
        <f t="shared" si="465"/>
        <v>0</v>
      </c>
      <c r="CJ705" s="1641">
        <f t="shared" si="465"/>
        <v>0</v>
      </c>
      <c r="CK705" s="1641">
        <f t="shared" si="465"/>
        <v>0</v>
      </c>
      <c r="CL705" s="1889">
        <v>23.974</v>
      </c>
      <c r="CM705" s="1889">
        <v>0</v>
      </c>
      <c r="CN705" s="1889">
        <v>0</v>
      </c>
      <c r="CO705" s="1889">
        <v>0</v>
      </c>
      <c r="CP705" s="1641"/>
      <c r="CQ705" s="1640"/>
      <c r="CR705" s="1640"/>
      <c r="CS705" s="1640"/>
    </row>
    <row r="706" spans="1:104" ht="15" thickBot="1" x14ac:dyDescent="0.2">
      <c r="A706" s="1541" t="s">
        <v>94</v>
      </c>
      <c r="B706" s="1523" t="s">
        <v>79</v>
      </c>
      <c r="C706" s="1523" t="s">
        <v>80</v>
      </c>
      <c r="D706" s="1523" t="s">
        <v>125</v>
      </c>
      <c r="E706" s="1523" t="s">
        <v>216</v>
      </c>
      <c r="F706" s="1523"/>
      <c r="G706" s="1667">
        <v>290</v>
      </c>
      <c r="H706" s="1501">
        <f>65.4-59.9</f>
        <v>5.5000000000000071</v>
      </c>
      <c r="I706" s="1501"/>
      <c r="J706" s="1630"/>
      <c r="K706" s="1630"/>
      <c r="L706" s="1631"/>
      <c r="M706" s="1631"/>
      <c r="N706" s="1631"/>
      <c r="O706" s="1631"/>
      <c r="P706" s="1631"/>
      <c r="Q706" s="1631"/>
      <c r="R706" s="1631"/>
      <c r="S706" s="1631"/>
      <c r="T706" s="1632"/>
      <c r="U706" s="1633"/>
      <c r="V706" s="1633"/>
      <c r="W706" s="1634"/>
      <c r="X706" s="1634"/>
      <c r="Y706" s="1634"/>
      <c r="Z706" s="1635"/>
      <c r="AA706" s="1634">
        <f t="shared" si="484"/>
        <v>0</v>
      </c>
      <c r="AB706" s="1634"/>
      <c r="AC706" s="1508">
        <f t="shared" si="478"/>
        <v>5.5</v>
      </c>
      <c r="AD706" s="1509">
        <f t="shared" si="479"/>
        <v>0</v>
      </c>
      <c r="AE706" s="1509">
        <f t="shared" si="480"/>
        <v>0</v>
      </c>
      <c r="AF706" s="1509">
        <f t="shared" si="480"/>
        <v>0</v>
      </c>
      <c r="AG706" s="1509">
        <f t="shared" si="480"/>
        <v>0</v>
      </c>
      <c r="AH706" s="1490">
        <f t="shared" si="455"/>
        <v>0</v>
      </c>
      <c r="AI706" s="1636">
        <f t="shared" si="481"/>
        <v>7.1054273576010019E-15</v>
      </c>
      <c r="AJ706" s="1636">
        <f t="shared" si="482"/>
        <v>0</v>
      </c>
      <c r="AK706" s="1636">
        <f t="shared" si="483"/>
        <v>0</v>
      </c>
      <c r="AL706" s="1636">
        <f t="shared" si="483"/>
        <v>0</v>
      </c>
      <c r="AM706" s="1636">
        <f t="shared" si="483"/>
        <v>0</v>
      </c>
      <c r="AN706" s="1637"/>
      <c r="AO706" s="1722">
        <v>5.5</v>
      </c>
      <c r="AP706" s="1638"/>
      <c r="AQ706" s="1638"/>
      <c r="AR706" s="1638"/>
      <c r="AS706" s="1639"/>
      <c r="AT706" s="1638"/>
      <c r="AU706" s="1638"/>
      <c r="AV706" s="1638"/>
      <c r="AW706" s="1639"/>
      <c r="AX706" s="1640"/>
      <c r="AY706" s="1640"/>
      <c r="AZ706" s="1640"/>
      <c r="BA706" s="1641"/>
      <c r="BB706" s="1640"/>
      <c r="BC706" s="1640"/>
      <c r="BD706" s="1640"/>
      <c r="BE706" s="1644"/>
      <c r="BF706" s="1640"/>
      <c r="BG706" s="1640"/>
      <c r="BH706" s="1640"/>
      <c r="BI706" s="1641"/>
      <c r="BJ706" s="1640"/>
      <c r="BK706" s="1640"/>
      <c r="BL706" s="1640"/>
      <c r="BM706" s="1641"/>
      <c r="BN706" s="1640"/>
      <c r="BO706" s="1640"/>
      <c r="BP706" s="1640"/>
      <c r="BQ706" s="1641"/>
      <c r="BR706" s="1640"/>
      <c r="BS706" s="1640"/>
      <c r="BT706" s="1640"/>
      <c r="BU706" s="1641"/>
      <c r="BV706" s="1640"/>
      <c r="BW706" s="1640"/>
      <c r="BX706" s="1640"/>
      <c r="BY706" s="1641"/>
      <c r="BZ706" s="1640"/>
      <c r="CA706" s="1640"/>
      <c r="CB706" s="1640"/>
      <c r="CC706" s="1641"/>
      <c r="CD706" s="1640"/>
      <c r="CE706" s="1640"/>
      <c r="CF706" s="1640"/>
      <c r="CG706" s="1642"/>
      <c r="CH706" s="1641">
        <f t="shared" si="465"/>
        <v>0</v>
      </c>
      <c r="CI706" s="1641">
        <f t="shared" si="465"/>
        <v>0</v>
      </c>
      <c r="CJ706" s="1641">
        <f t="shared" si="465"/>
        <v>0</v>
      </c>
      <c r="CK706" s="1641">
        <f t="shared" si="465"/>
        <v>0</v>
      </c>
      <c r="CL706" s="1889">
        <v>0</v>
      </c>
      <c r="CM706" s="1889">
        <v>0</v>
      </c>
      <c r="CN706" s="1889">
        <v>0</v>
      </c>
      <c r="CO706" s="1889">
        <v>0</v>
      </c>
      <c r="CP706" s="1641"/>
      <c r="CQ706" s="1640"/>
      <c r="CR706" s="1640"/>
      <c r="CS706" s="1640"/>
    </row>
    <row r="707" spans="1:104" ht="15" thickBot="1" x14ac:dyDescent="0.2">
      <c r="A707" s="1541" t="s">
        <v>94</v>
      </c>
      <c r="B707" s="1523" t="s">
        <v>79</v>
      </c>
      <c r="C707" s="1523" t="s">
        <v>80</v>
      </c>
      <c r="D707" s="1523" t="s">
        <v>125</v>
      </c>
      <c r="E707" s="1523" t="s">
        <v>216</v>
      </c>
      <c r="F707" s="1523"/>
      <c r="G707" s="1667" t="s">
        <v>95</v>
      </c>
      <c r="H707" s="1501"/>
      <c r="I707" s="1501"/>
      <c r="J707" s="1630"/>
      <c r="K707" s="1630"/>
      <c r="L707" s="1631"/>
      <c r="M707" s="1631"/>
      <c r="N707" s="1631"/>
      <c r="O707" s="1631"/>
      <c r="P707" s="1631"/>
      <c r="Q707" s="1631"/>
      <c r="R707" s="1631"/>
      <c r="S707" s="1631"/>
      <c r="T707" s="1632"/>
      <c r="U707" s="1633"/>
      <c r="V707" s="1633"/>
      <c r="W707" s="1634"/>
      <c r="X707" s="1634"/>
      <c r="Y707" s="1634"/>
      <c r="Z707" s="1635"/>
      <c r="AA707" s="1634">
        <f t="shared" si="484"/>
        <v>0</v>
      </c>
      <c r="AB707" s="1634"/>
      <c r="AC707" s="1508">
        <f t="shared" si="478"/>
        <v>0</v>
      </c>
      <c r="AD707" s="1509">
        <f t="shared" si="479"/>
        <v>0</v>
      </c>
      <c r="AE707" s="1509">
        <f t="shared" si="480"/>
        <v>0</v>
      </c>
      <c r="AF707" s="1509">
        <f t="shared" si="480"/>
        <v>0</v>
      </c>
      <c r="AG707" s="1509">
        <f t="shared" si="480"/>
        <v>0</v>
      </c>
      <c r="AH707" s="1490">
        <f t="shared" si="455"/>
        <v>0</v>
      </c>
      <c r="AI707" s="1636">
        <f t="shared" si="481"/>
        <v>0</v>
      </c>
      <c r="AJ707" s="1636">
        <f t="shared" si="482"/>
        <v>0</v>
      </c>
      <c r="AK707" s="1636">
        <f t="shared" si="483"/>
        <v>0</v>
      </c>
      <c r="AL707" s="1636">
        <f t="shared" si="483"/>
        <v>0</v>
      </c>
      <c r="AM707" s="1636">
        <f t="shared" si="483"/>
        <v>0</v>
      </c>
      <c r="AN707" s="1637"/>
      <c r="AO707" s="1722">
        <v>0</v>
      </c>
      <c r="AP707" s="1638"/>
      <c r="AQ707" s="1638"/>
      <c r="AR707" s="1638"/>
      <c r="AS707" s="1639"/>
      <c r="AT707" s="1638"/>
      <c r="AU707" s="1638"/>
      <c r="AV707" s="1638"/>
      <c r="AW707" s="1639"/>
      <c r="AX707" s="1640"/>
      <c r="AY707" s="1640"/>
      <c r="AZ707" s="1640"/>
      <c r="BA707" s="1641"/>
      <c r="BB707" s="1640"/>
      <c r="BC707" s="1640"/>
      <c r="BD707" s="1640"/>
      <c r="BE707" s="1644"/>
      <c r="BF707" s="1640"/>
      <c r="BG707" s="1640"/>
      <c r="BH707" s="1640"/>
      <c r="BI707" s="1641"/>
      <c r="BJ707" s="1640"/>
      <c r="BK707" s="1640"/>
      <c r="BL707" s="1640"/>
      <c r="BM707" s="1641"/>
      <c r="BN707" s="1640"/>
      <c r="BO707" s="1640"/>
      <c r="BP707" s="1640"/>
      <c r="BQ707" s="1641"/>
      <c r="BR707" s="1640"/>
      <c r="BS707" s="1640"/>
      <c r="BT707" s="1640"/>
      <c r="BU707" s="1641"/>
      <c r="BV707" s="1640"/>
      <c r="BW707" s="1640"/>
      <c r="BX707" s="1640"/>
      <c r="BY707" s="1641"/>
      <c r="BZ707" s="1640"/>
      <c r="CA707" s="1640"/>
      <c r="CB707" s="1640"/>
      <c r="CC707" s="1641"/>
      <c r="CD707" s="1640"/>
      <c r="CE707" s="1640"/>
      <c r="CF707" s="1640"/>
      <c r="CG707" s="1642"/>
      <c r="CH707" s="1641">
        <f t="shared" si="465"/>
        <v>0</v>
      </c>
      <c r="CI707" s="1641">
        <f t="shared" si="465"/>
        <v>0</v>
      </c>
      <c r="CJ707" s="1641">
        <f t="shared" si="465"/>
        <v>0</v>
      </c>
      <c r="CK707" s="1641">
        <f t="shared" si="465"/>
        <v>0</v>
      </c>
      <c r="CL707" s="1889">
        <v>0</v>
      </c>
      <c r="CM707" s="1889">
        <v>0</v>
      </c>
      <c r="CN707" s="1889">
        <v>0</v>
      </c>
      <c r="CO707" s="1889">
        <v>0</v>
      </c>
      <c r="CP707" s="1641"/>
      <c r="CQ707" s="1640"/>
      <c r="CR707" s="1640"/>
      <c r="CS707" s="1640"/>
    </row>
    <row r="708" spans="1:104" ht="15" thickBot="1" x14ac:dyDescent="0.2">
      <c r="A708" s="1541" t="s">
        <v>96</v>
      </c>
      <c r="B708" s="1523" t="s">
        <v>79</v>
      </c>
      <c r="C708" s="1523" t="s">
        <v>80</v>
      </c>
      <c r="D708" s="1523" t="s">
        <v>125</v>
      </c>
      <c r="E708" s="1523" t="s">
        <v>216</v>
      </c>
      <c r="F708" s="1523"/>
      <c r="G708" s="1667">
        <v>310</v>
      </c>
      <c r="H708" s="1501">
        <v>35</v>
      </c>
      <c r="I708" s="1501">
        <f>630+70-U708</f>
        <v>0</v>
      </c>
      <c r="J708" s="1630"/>
      <c r="K708" s="1630"/>
      <c r="L708" s="1631"/>
      <c r="M708" s="1631"/>
      <c r="N708" s="1631"/>
      <c r="O708" s="1631"/>
      <c r="P708" s="1631"/>
      <c r="Q708" s="1631"/>
      <c r="R708" s="1631"/>
      <c r="S708" s="1631"/>
      <c r="T708" s="1632"/>
      <c r="U708" s="1633">
        <v>700</v>
      </c>
      <c r="V708" s="1633"/>
      <c r="W708" s="1634"/>
      <c r="X708" s="1634"/>
      <c r="Y708" s="1634"/>
      <c r="Z708" s="1635"/>
      <c r="AA708" s="1634">
        <f t="shared" si="484"/>
        <v>0</v>
      </c>
      <c r="AB708" s="1634"/>
      <c r="AC708" s="1508">
        <f t="shared" si="478"/>
        <v>35</v>
      </c>
      <c r="AD708" s="1509">
        <f t="shared" si="479"/>
        <v>0</v>
      </c>
      <c r="AE708" s="1509">
        <f t="shared" si="480"/>
        <v>0</v>
      </c>
      <c r="AF708" s="1509">
        <f t="shared" si="480"/>
        <v>0</v>
      </c>
      <c r="AG708" s="1509">
        <f t="shared" si="480"/>
        <v>0</v>
      </c>
      <c r="AH708" s="1490">
        <f t="shared" si="455"/>
        <v>0</v>
      </c>
      <c r="AI708" s="1636">
        <f t="shared" si="481"/>
        <v>0</v>
      </c>
      <c r="AJ708" s="1636">
        <f t="shared" si="482"/>
        <v>0</v>
      </c>
      <c r="AK708" s="1636">
        <f t="shared" si="483"/>
        <v>0</v>
      </c>
      <c r="AL708" s="1636">
        <f t="shared" si="483"/>
        <v>0</v>
      </c>
      <c r="AM708" s="1636">
        <f t="shared" si="483"/>
        <v>0</v>
      </c>
      <c r="AN708" s="1637"/>
      <c r="AO708" s="1723"/>
      <c r="AP708" s="1638"/>
      <c r="AQ708" s="1638"/>
      <c r="AR708" s="1638"/>
      <c r="AS708" s="1639"/>
      <c r="AT708" s="1638"/>
      <c r="AU708" s="1638"/>
      <c r="AV708" s="1638"/>
      <c r="AW708" s="1639"/>
      <c r="AX708" s="1640"/>
      <c r="AY708" s="1640"/>
      <c r="AZ708" s="1640"/>
      <c r="BA708" s="1641"/>
      <c r="BB708" s="1640"/>
      <c r="BC708" s="1640"/>
      <c r="BD708" s="1640"/>
      <c r="BE708" s="1644"/>
      <c r="BF708" s="1640"/>
      <c r="BG708" s="1640"/>
      <c r="BH708" s="1640"/>
      <c r="BI708" s="1641"/>
      <c r="BJ708" s="1640"/>
      <c r="BK708" s="1640"/>
      <c r="BL708" s="1640"/>
      <c r="BM708" s="1641">
        <v>35</v>
      </c>
      <c r="BN708" s="1640"/>
      <c r="BO708" s="1640"/>
      <c r="BP708" s="1640"/>
      <c r="BQ708" s="1641"/>
      <c r="BR708" s="1640"/>
      <c r="BS708" s="1640"/>
      <c r="BT708" s="1640"/>
      <c r="BU708" s="1641"/>
      <c r="BV708" s="1640"/>
      <c r="BW708" s="1640"/>
      <c r="BX708" s="1640"/>
      <c r="BY708" s="1641"/>
      <c r="BZ708" s="1640"/>
      <c r="CA708" s="1640"/>
      <c r="CB708" s="1640"/>
      <c r="CC708" s="1641"/>
      <c r="CD708" s="1640"/>
      <c r="CE708" s="1640"/>
      <c r="CF708" s="1640"/>
      <c r="CG708" s="1642"/>
      <c r="CH708" s="1641">
        <f t="shared" si="465"/>
        <v>0</v>
      </c>
      <c r="CI708" s="1641">
        <f t="shared" si="465"/>
        <v>0</v>
      </c>
      <c r="CJ708" s="1641">
        <f t="shared" si="465"/>
        <v>0</v>
      </c>
      <c r="CK708" s="1641">
        <f t="shared" si="465"/>
        <v>0</v>
      </c>
      <c r="CL708" s="1889">
        <v>0</v>
      </c>
      <c r="CM708" s="1889">
        <v>0</v>
      </c>
      <c r="CN708" s="1889">
        <v>0</v>
      </c>
      <c r="CO708" s="1889">
        <v>0</v>
      </c>
      <c r="CP708" s="1641"/>
      <c r="CQ708" s="1640"/>
      <c r="CR708" s="1640"/>
      <c r="CS708" s="1640"/>
    </row>
    <row r="709" spans="1:104" ht="15" thickBot="1" x14ac:dyDescent="0.2">
      <c r="A709" s="1541" t="s">
        <v>97</v>
      </c>
      <c r="B709" s="1523" t="s">
        <v>79</v>
      </c>
      <c r="C709" s="1523" t="s">
        <v>80</v>
      </c>
      <c r="D709" s="1523" t="s">
        <v>125</v>
      </c>
      <c r="E709" s="1523" t="s">
        <v>216</v>
      </c>
      <c r="F709" s="1523"/>
      <c r="G709" s="1667">
        <v>340</v>
      </c>
      <c r="H709" s="1501">
        <f>120+37.5</f>
        <v>157.5</v>
      </c>
      <c r="I709" s="1501"/>
      <c r="J709" s="1630"/>
      <c r="K709" s="1630"/>
      <c r="L709" s="1631"/>
      <c r="M709" s="1631"/>
      <c r="N709" s="1631"/>
      <c r="O709" s="1631"/>
      <c r="P709" s="1631"/>
      <c r="Q709" s="1631"/>
      <c r="R709" s="1631"/>
      <c r="S709" s="1631"/>
      <c r="T709" s="1632"/>
      <c r="U709" s="1633"/>
      <c r="V709" s="1633"/>
      <c r="W709" s="1634"/>
      <c r="X709" s="1634"/>
      <c r="Y709" s="1634"/>
      <c r="Z709" s="1635"/>
      <c r="AA709" s="1634">
        <f t="shared" si="484"/>
        <v>0</v>
      </c>
      <c r="AB709" s="1634"/>
      <c r="AC709" s="1508">
        <f t="shared" si="478"/>
        <v>157.5</v>
      </c>
      <c r="AD709" s="1509">
        <f t="shared" si="479"/>
        <v>0</v>
      </c>
      <c r="AE709" s="1509">
        <f t="shared" si="480"/>
        <v>0</v>
      </c>
      <c r="AF709" s="1509">
        <f t="shared" si="480"/>
        <v>0</v>
      </c>
      <c r="AG709" s="1509">
        <f t="shared" si="480"/>
        <v>0</v>
      </c>
      <c r="AH709" s="1490">
        <f t="shared" si="455"/>
        <v>16</v>
      </c>
      <c r="AI709" s="1636">
        <f t="shared" si="481"/>
        <v>0</v>
      </c>
      <c r="AJ709" s="1636">
        <f t="shared" si="482"/>
        <v>0</v>
      </c>
      <c r="AK709" s="1636">
        <f t="shared" si="483"/>
        <v>0</v>
      </c>
      <c r="AL709" s="1636">
        <f t="shared" si="483"/>
        <v>0</v>
      </c>
      <c r="AM709" s="1636">
        <f t="shared" si="483"/>
        <v>0</v>
      </c>
      <c r="AN709" s="1637"/>
      <c r="AO709" s="1722">
        <v>7.5</v>
      </c>
      <c r="AP709" s="1638"/>
      <c r="AQ709" s="1638"/>
      <c r="AR709" s="1638"/>
      <c r="AS709" s="1639"/>
      <c r="AT709" s="1638"/>
      <c r="AU709" s="1638"/>
      <c r="AV709" s="1638"/>
      <c r="AW709" s="1639"/>
      <c r="AX709" s="1640"/>
      <c r="AY709" s="1640"/>
      <c r="AZ709" s="1640"/>
      <c r="BA709" s="1641"/>
      <c r="BB709" s="1640"/>
      <c r="BC709" s="1640"/>
      <c r="BD709" s="1640"/>
      <c r="BE709" s="1644"/>
      <c r="BF709" s="1640"/>
      <c r="BG709" s="1640"/>
      <c r="BH709" s="1640"/>
      <c r="BI709" s="1641">
        <v>50</v>
      </c>
      <c r="BJ709" s="1640"/>
      <c r="BK709" s="1640"/>
      <c r="BL709" s="1640"/>
      <c r="BM709" s="1641">
        <v>55</v>
      </c>
      <c r="BN709" s="1640"/>
      <c r="BO709" s="1640"/>
      <c r="BP709" s="1640"/>
      <c r="BQ709" s="1641"/>
      <c r="BR709" s="1640"/>
      <c r="BS709" s="1640"/>
      <c r="BT709" s="1640"/>
      <c r="BU709" s="1641"/>
      <c r="BV709" s="1640"/>
      <c r="BW709" s="1640"/>
      <c r="BX709" s="1640"/>
      <c r="BY709" s="1641"/>
      <c r="BZ709" s="1640"/>
      <c r="CA709" s="1640"/>
      <c r="CB709" s="1640"/>
      <c r="CC709" s="1641">
        <v>29</v>
      </c>
      <c r="CD709" s="1640"/>
      <c r="CE709" s="1640"/>
      <c r="CF709" s="1640"/>
      <c r="CG709" s="1642"/>
      <c r="CH709" s="1641">
        <f t="shared" si="465"/>
        <v>16</v>
      </c>
      <c r="CI709" s="1641">
        <f t="shared" si="465"/>
        <v>0</v>
      </c>
      <c r="CJ709" s="1641">
        <f t="shared" si="465"/>
        <v>0</v>
      </c>
      <c r="CK709" s="1641">
        <f t="shared" si="465"/>
        <v>0</v>
      </c>
      <c r="CL709" s="1889">
        <v>16</v>
      </c>
      <c r="CM709" s="1889">
        <v>0</v>
      </c>
      <c r="CN709" s="1889">
        <v>0</v>
      </c>
      <c r="CO709" s="1889">
        <v>0</v>
      </c>
      <c r="CP709" s="1641"/>
      <c r="CQ709" s="1640"/>
      <c r="CR709" s="1640"/>
      <c r="CS709" s="1640"/>
    </row>
    <row r="710" spans="1:104" ht="15" thickBot="1" x14ac:dyDescent="0.2">
      <c r="A710" s="1528" t="s">
        <v>767</v>
      </c>
      <c r="B710" s="1530" t="s">
        <v>79</v>
      </c>
      <c r="C710" s="1530" t="s">
        <v>80</v>
      </c>
      <c r="D710" s="1530" t="s">
        <v>125</v>
      </c>
      <c r="E710" s="1530" t="s">
        <v>216</v>
      </c>
      <c r="F710" s="1530">
        <v>612</v>
      </c>
      <c r="G710" s="1687" t="s">
        <v>766</v>
      </c>
      <c r="H710" s="1647">
        <f>I696</f>
        <v>0</v>
      </c>
      <c r="I710" s="1645"/>
      <c r="J710" s="1630"/>
      <c r="K710" s="1630"/>
      <c r="L710" s="1631"/>
      <c r="M710" s="1631"/>
      <c r="N710" s="1631"/>
      <c r="O710" s="1631"/>
      <c r="P710" s="1631"/>
      <c r="Q710" s="1631"/>
      <c r="R710" s="1631"/>
      <c r="S710" s="1631"/>
      <c r="T710" s="1632"/>
      <c r="U710" s="1633"/>
      <c r="V710" s="1633"/>
      <c r="W710" s="1634"/>
      <c r="X710" s="1634"/>
      <c r="Y710" s="1634"/>
      <c r="Z710" s="1635"/>
      <c r="AA710" s="1634">
        <f t="shared" si="484"/>
        <v>0</v>
      </c>
      <c r="AB710" s="1634"/>
      <c r="AC710" s="1508"/>
      <c r="AD710" s="1509"/>
      <c r="AE710" s="1509"/>
      <c r="AF710" s="1509"/>
      <c r="AG710" s="1509"/>
      <c r="AH710" s="1490">
        <f t="shared" si="455"/>
        <v>0</v>
      </c>
      <c r="AI710" s="1636"/>
      <c r="AJ710" s="1636"/>
      <c r="AK710" s="1636"/>
      <c r="AL710" s="1636">
        <f t="shared" si="483"/>
        <v>0</v>
      </c>
      <c r="AM710" s="1636"/>
      <c r="AN710" s="1712"/>
      <c r="AO710" s="1713"/>
      <c r="AP710" s="1638"/>
      <c r="AQ710" s="1638"/>
      <c r="AR710" s="1638"/>
      <c r="AS710" s="1639"/>
      <c r="AT710" s="1638"/>
      <c r="AU710" s="1638"/>
      <c r="AV710" s="1638"/>
      <c r="AW710" s="1639"/>
      <c r="AX710" s="1640"/>
      <c r="AY710" s="1640"/>
      <c r="AZ710" s="1640"/>
      <c r="BA710" s="1641"/>
      <c r="BB710" s="1640"/>
      <c r="BC710" s="1640"/>
      <c r="BD710" s="1640"/>
      <c r="BE710" s="1644"/>
      <c r="BF710" s="1640"/>
      <c r="BG710" s="1640"/>
      <c r="BH710" s="1640"/>
      <c r="BI710" s="1641"/>
      <c r="BJ710" s="1640"/>
      <c r="BK710" s="1640"/>
      <c r="BL710" s="1640"/>
      <c r="BM710" s="1641"/>
      <c r="BN710" s="1640"/>
      <c r="BO710" s="1640"/>
      <c r="BP710" s="1640"/>
      <c r="BQ710" s="1641"/>
      <c r="BR710" s="1640"/>
      <c r="BS710" s="1640"/>
      <c r="BT710" s="1640"/>
      <c r="BU710" s="1641"/>
      <c r="BV710" s="1640"/>
      <c r="BW710" s="1640"/>
      <c r="BX710" s="1640"/>
      <c r="BY710" s="1641"/>
      <c r="BZ710" s="1640"/>
      <c r="CA710" s="1640"/>
      <c r="CB710" s="1640"/>
      <c r="CC710" s="1641"/>
      <c r="CD710" s="1640"/>
      <c r="CE710" s="1640"/>
      <c r="CF710" s="1640"/>
      <c r="CG710" s="1642"/>
      <c r="CH710" s="1641">
        <f t="shared" si="465"/>
        <v>0</v>
      </c>
      <c r="CI710" s="1641">
        <f t="shared" si="465"/>
        <v>0</v>
      </c>
      <c r="CJ710" s="1641">
        <f t="shared" si="465"/>
        <v>0</v>
      </c>
      <c r="CK710" s="1641">
        <f t="shared" si="465"/>
        <v>0</v>
      </c>
      <c r="CL710" s="1898"/>
      <c r="CM710" s="1898"/>
      <c r="CN710" s="1889">
        <v>0</v>
      </c>
      <c r="CO710" s="1898"/>
      <c r="CP710" s="1641"/>
      <c r="CQ710" s="1640"/>
      <c r="CR710" s="1640"/>
      <c r="CS710" s="1640"/>
    </row>
    <row r="711" spans="1:104" s="1559" customFormat="1" ht="15" thickBot="1" x14ac:dyDescent="0.2">
      <c r="A711" s="1977" t="s">
        <v>1288</v>
      </c>
      <c r="B711" s="1530"/>
      <c r="C711" s="1530"/>
      <c r="D711" s="1530"/>
      <c r="E711" s="1530"/>
      <c r="F711" s="1530"/>
      <c r="G711" s="1687"/>
      <c r="H711" s="1606">
        <f>H712+H726</f>
        <v>80000</v>
      </c>
      <c r="I711" s="1606">
        <f>I712+I726</f>
        <v>80000</v>
      </c>
      <c r="J711" s="1606">
        <f>J712+J726</f>
        <v>0</v>
      </c>
      <c r="K711" s="1606">
        <f>K712+K726</f>
        <v>0</v>
      </c>
      <c r="L711" s="1607"/>
      <c r="M711" s="1607"/>
      <c r="N711" s="1607"/>
      <c r="O711" s="1607"/>
      <c r="P711" s="1607"/>
      <c r="Q711" s="1607"/>
      <c r="R711" s="1607"/>
      <c r="S711" s="1607"/>
      <c r="T711" s="1637"/>
      <c r="U711" s="1633"/>
      <c r="V711" s="1633"/>
      <c r="W711" s="1637"/>
      <c r="X711" s="1637"/>
      <c r="Y711" s="1637"/>
      <c r="Z711" s="1635"/>
      <c r="AA711" s="1634">
        <f t="shared" si="484"/>
        <v>0</v>
      </c>
      <c r="AB711" s="1637"/>
      <c r="AC711" s="1614">
        <f t="shared" ref="AC711:AK711" si="485">AC712+AC726</f>
        <v>0</v>
      </c>
      <c r="AD711" s="1614">
        <f t="shared" si="485"/>
        <v>24000</v>
      </c>
      <c r="AE711" s="1614">
        <f t="shared" si="485"/>
        <v>24000</v>
      </c>
      <c r="AF711" s="1614">
        <f t="shared" si="485"/>
        <v>0</v>
      </c>
      <c r="AG711" s="1614">
        <f t="shared" si="485"/>
        <v>0</v>
      </c>
      <c r="AH711" s="1490">
        <f t="shared" si="455"/>
        <v>0</v>
      </c>
      <c r="AI711" s="1614">
        <f t="shared" si="485"/>
        <v>0</v>
      </c>
      <c r="AJ711" s="1614">
        <f t="shared" si="485"/>
        <v>56000</v>
      </c>
      <c r="AK711" s="1614">
        <f t="shared" si="485"/>
        <v>56000</v>
      </c>
      <c r="AL711" s="1637">
        <f t="shared" si="483"/>
        <v>0</v>
      </c>
      <c r="AM711" s="1614">
        <f>AM712+AM726</f>
        <v>0</v>
      </c>
      <c r="AN711" s="1614"/>
      <c r="AO711" s="1614">
        <f t="shared" ref="AO711:CF711" si="486">AO712+AO726</f>
        <v>0</v>
      </c>
      <c r="AP711" s="1614">
        <f t="shared" si="486"/>
        <v>0</v>
      </c>
      <c r="AQ711" s="1614">
        <f t="shared" si="486"/>
        <v>0</v>
      </c>
      <c r="AR711" s="1614">
        <f t="shared" si="486"/>
        <v>0</v>
      </c>
      <c r="AS711" s="1611">
        <f t="shared" si="486"/>
        <v>0</v>
      </c>
      <c r="AT711" s="1614">
        <f t="shared" si="486"/>
        <v>0</v>
      </c>
      <c r="AU711" s="1614">
        <f t="shared" si="486"/>
        <v>0</v>
      </c>
      <c r="AV711" s="1614">
        <f t="shared" si="486"/>
        <v>0</v>
      </c>
      <c r="AW711" s="1614">
        <f t="shared" si="486"/>
        <v>0</v>
      </c>
      <c r="AX711" s="1614">
        <f t="shared" si="486"/>
        <v>0</v>
      </c>
      <c r="AY711" s="1614">
        <f t="shared" si="486"/>
        <v>0</v>
      </c>
      <c r="AZ711" s="1614">
        <f t="shared" si="486"/>
        <v>0</v>
      </c>
      <c r="BA711" s="1614">
        <f t="shared" si="486"/>
        <v>0</v>
      </c>
      <c r="BB711" s="1614">
        <f t="shared" si="486"/>
        <v>0</v>
      </c>
      <c r="BC711" s="1614">
        <f t="shared" si="486"/>
        <v>0</v>
      </c>
      <c r="BD711" s="1614">
        <f t="shared" si="486"/>
        <v>0</v>
      </c>
      <c r="BE711" s="1615">
        <f t="shared" si="486"/>
        <v>0</v>
      </c>
      <c r="BF711" s="1614">
        <f t="shared" si="486"/>
        <v>0</v>
      </c>
      <c r="BG711" s="1614">
        <f t="shared" si="486"/>
        <v>0</v>
      </c>
      <c r="BH711" s="1614">
        <f t="shared" si="486"/>
        <v>0</v>
      </c>
      <c r="BI711" s="1614">
        <f t="shared" si="486"/>
        <v>0</v>
      </c>
      <c r="BJ711" s="1614">
        <f t="shared" si="486"/>
        <v>0</v>
      </c>
      <c r="BK711" s="1614">
        <f t="shared" si="486"/>
        <v>0</v>
      </c>
      <c r="BL711" s="1614">
        <f t="shared" si="486"/>
        <v>0</v>
      </c>
      <c r="BM711" s="1614">
        <f t="shared" si="486"/>
        <v>0</v>
      </c>
      <c r="BN711" s="1614">
        <f t="shared" si="486"/>
        <v>0</v>
      </c>
      <c r="BO711" s="1614">
        <f t="shared" si="486"/>
        <v>0</v>
      </c>
      <c r="BP711" s="1614">
        <f t="shared" si="486"/>
        <v>0</v>
      </c>
      <c r="BQ711" s="1614">
        <f t="shared" si="486"/>
        <v>0</v>
      </c>
      <c r="BR711" s="1614">
        <f t="shared" si="486"/>
        <v>0</v>
      </c>
      <c r="BS711" s="1614">
        <f t="shared" si="486"/>
        <v>0</v>
      </c>
      <c r="BT711" s="1614">
        <f t="shared" si="486"/>
        <v>0</v>
      </c>
      <c r="BU711" s="1614">
        <f t="shared" si="486"/>
        <v>0</v>
      </c>
      <c r="BV711" s="1614">
        <f t="shared" si="486"/>
        <v>0</v>
      </c>
      <c r="BW711" s="1614">
        <f t="shared" si="486"/>
        <v>0</v>
      </c>
      <c r="BX711" s="1614">
        <f t="shared" si="486"/>
        <v>0</v>
      </c>
      <c r="BY711" s="1614">
        <f t="shared" si="486"/>
        <v>0</v>
      </c>
      <c r="BZ711" s="1614">
        <f t="shared" si="486"/>
        <v>0</v>
      </c>
      <c r="CA711" s="1614">
        <f t="shared" si="486"/>
        <v>0</v>
      </c>
      <c r="CB711" s="1614">
        <f t="shared" si="486"/>
        <v>0</v>
      </c>
      <c r="CC711" s="1614">
        <f t="shared" si="486"/>
        <v>0</v>
      </c>
      <c r="CD711" s="1614">
        <f t="shared" si="486"/>
        <v>0</v>
      </c>
      <c r="CE711" s="1614">
        <f t="shared" si="486"/>
        <v>0</v>
      </c>
      <c r="CF711" s="1614">
        <f t="shared" si="486"/>
        <v>0</v>
      </c>
      <c r="CG711" s="1978"/>
      <c r="CH711" s="1641">
        <f t="shared" si="465"/>
        <v>0</v>
      </c>
      <c r="CI711" s="1641">
        <f t="shared" si="465"/>
        <v>80000</v>
      </c>
      <c r="CJ711" s="1641">
        <f t="shared" si="465"/>
        <v>0</v>
      </c>
      <c r="CK711" s="1641">
        <f t="shared" si="465"/>
        <v>0</v>
      </c>
      <c r="CL711" s="1979">
        <v>0</v>
      </c>
      <c r="CM711" s="1980">
        <v>80000</v>
      </c>
      <c r="CN711" s="1976">
        <v>0</v>
      </c>
      <c r="CO711" s="1979">
        <v>0</v>
      </c>
      <c r="CP711" s="1614">
        <f>CP712+CP726</f>
        <v>0</v>
      </c>
      <c r="CQ711" s="1614">
        <f>CQ712+CQ726</f>
        <v>0</v>
      </c>
      <c r="CR711" s="1614">
        <f>CR712+CR726</f>
        <v>0</v>
      </c>
      <c r="CS711" s="1614">
        <f>CS712+CS726</f>
        <v>0</v>
      </c>
      <c r="CT711" s="1558"/>
      <c r="CU711" s="1558"/>
      <c r="CV711" s="1558"/>
      <c r="CW711" s="1558"/>
      <c r="CY711" s="1558"/>
    </row>
    <row r="712" spans="1:104" s="1559" customFormat="1" ht="57" customHeight="1" thickBot="1" x14ac:dyDescent="0.2">
      <c r="A712" s="1748" t="s">
        <v>1135</v>
      </c>
      <c r="B712" s="1749" t="s">
        <v>79</v>
      </c>
      <c r="C712" s="1749" t="s">
        <v>80</v>
      </c>
      <c r="D712" s="1749" t="s">
        <v>125</v>
      </c>
      <c r="E712" s="1749" t="s">
        <v>216</v>
      </c>
      <c r="F712" s="1749" t="s">
        <v>765</v>
      </c>
      <c r="G712" s="1600" t="s">
        <v>766</v>
      </c>
      <c r="H712" s="1531">
        <f>H713+H714+H715+H716+H717+H718+H719+H720+H721+H722+H723+H724+H725</f>
        <v>0</v>
      </c>
      <c r="I712" s="1531">
        <f>I713+I714+I715+I716+I717+I718+I719+I720+I721+I722+I723+I724+I725</f>
        <v>80000</v>
      </c>
      <c r="J712" s="1531">
        <f>J713+J714+J715+J716+J717+J718+J719+J720+J721+J722+J723+J724+J725</f>
        <v>0</v>
      </c>
      <c r="K712" s="1531">
        <f>K713+K714+K715+K716+K717+K718+K719+K720+K721+K722+K723+K724+K725</f>
        <v>0</v>
      </c>
      <c r="L712" s="1601"/>
      <c r="M712" s="1601"/>
      <c r="N712" s="1601"/>
      <c r="O712" s="1601"/>
      <c r="P712" s="1601"/>
      <c r="Q712" s="1601"/>
      <c r="R712" s="1601"/>
      <c r="S712" s="1601"/>
      <c r="T712" s="1637"/>
      <c r="U712" s="1633"/>
      <c r="V712" s="1633"/>
      <c r="W712" s="1637"/>
      <c r="X712" s="1637"/>
      <c r="Y712" s="1637"/>
      <c r="Z712" s="1635"/>
      <c r="AA712" s="1634">
        <f t="shared" si="484"/>
        <v>0</v>
      </c>
      <c r="AB712" s="1637"/>
      <c r="AC712" s="1538">
        <f t="shared" ref="AC712:AK712" si="487">AC713+AC714+AC715+AC716+AC717+AC718+AC719+AC720+AC721+AC722+AC723+AC724+AC725</f>
        <v>0</v>
      </c>
      <c r="AD712" s="1538">
        <f t="shared" si="487"/>
        <v>24000</v>
      </c>
      <c r="AE712" s="1538">
        <f t="shared" si="487"/>
        <v>24000</v>
      </c>
      <c r="AF712" s="1538">
        <f t="shared" si="487"/>
        <v>0</v>
      </c>
      <c r="AG712" s="1538">
        <f t="shared" si="487"/>
        <v>0</v>
      </c>
      <c r="AH712" s="1490">
        <f t="shared" si="455"/>
        <v>0</v>
      </c>
      <c r="AI712" s="1538">
        <f t="shared" si="487"/>
        <v>0</v>
      </c>
      <c r="AJ712" s="1538">
        <f t="shared" si="487"/>
        <v>56000</v>
      </c>
      <c r="AK712" s="1538">
        <f t="shared" si="487"/>
        <v>56000</v>
      </c>
      <c r="AL712" s="1637">
        <f t="shared" si="483"/>
        <v>0</v>
      </c>
      <c r="AM712" s="1538">
        <f>AM713+AM714+AM715+AM716+AM717+AM718+AM719+AM720+AM721+AM722+AM723+AM724+AM725</f>
        <v>0</v>
      </c>
      <c r="AN712" s="1706"/>
      <c r="AO712" s="1706">
        <f t="shared" ref="AO712:CF712" si="488">AO713+AO714+AO715+AO716+AO717+AO718+AO719+AO720+AO721+AO722+AO723+AO724+AO725</f>
        <v>0</v>
      </c>
      <c r="AP712" s="1538">
        <f t="shared" si="488"/>
        <v>0</v>
      </c>
      <c r="AQ712" s="1538">
        <f t="shared" si="488"/>
        <v>0</v>
      </c>
      <c r="AR712" s="1538">
        <f t="shared" si="488"/>
        <v>0</v>
      </c>
      <c r="AS712" s="1535">
        <f t="shared" si="488"/>
        <v>0</v>
      </c>
      <c r="AT712" s="1538">
        <f t="shared" si="488"/>
        <v>0</v>
      </c>
      <c r="AU712" s="1538">
        <f t="shared" si="488"/>
        <v>0</v>
      </c>
      <c r="AV712" s="1538">
        <f t="shared" si="488"/>
        <v>0</v>
      </c>
      <c r="AW712" s="1538">
        <f t="shared" si="488"/>
        <v>0</v>
      </c>
      <c r="AX712" s="1538">
        <f t="shared" si="488"/>
        <v>0</v>
      </c>
      <c r="AY712" s="1538">
        <f t="shared" si="488"/>
        <v>0</v>
      </c>
      <c r="AZ712" s="1538">
        <f t="shared" si="488"/>
        <v>0</v>
      </c>
      <c r="BA712" s="1538">
        <f t="shared" si="488"/>
        <v>0</v>
      </c>
      <c r="BB712" s="1538">
        <f t="shared" si="488"/>
        <v>0</v>
      </c>
      <c r="BC712" s="1538">
        <f t="shared" si="488"/>
        <v>0</v>
      </c>
      <c r="BD712" s="1538">
        <f t="shared" si="488"/>
        <v>0</v>
      </c>
      <c r="BE712" s="1539">
        <f t="shared" si="488"/>
        <v>0</v>
      </c>
      <c r="BF712" s="1538">
        <f t="shared" si="488"/>
        <v>0</v>
      </c>
      <c r="BG712" s="1538">
        <f t="shared" si="488"/>
        <v>0</v>
      </c>
      <c r="BH712" s="1538">
        <f t="shared" si="488"/>
        <v>0</v>
      </c>
      <c r="BI712" s="1538">
        <f t="shared" si="488"/>
        <v>0</v>
      </c>
      <c r="BJ712" s="1538">
        <f t="shared" si="488"/>
        <v>0</v>
      </c>
      <c r="BK712" s="1538">
        <f t="shared" si="488"/>
        <v>0</v>
      </c>
      <c r="BL712" s="1538">
        <f t="shared" si="488"/>
        <v>0</v>
      </c>
      <c r="BM712" s="1538">
        <f t="shared" si="488"/>
        <v>0</v>
      </c>
      <c r="BN712" s="1538">
        <f t="shared" si="488"/>
        <v>0</v>
      </c>
      <c r="BO712" s="1538">
        <f t="shared" si="488"/>
        <v>0</v>
      </c>
      <c r="BP712" s="1538">
        <f t="shared" si="488"/>
        <v>0</v>
      </c>
      <c r="BQ712" s="1538">
        <f t="shared" si="488"/>
        <v>0</v>
      </c>
      <c r="BR712" s="1538">
        <f t="shared" si="488"/>
        <v>0</v>
      </c>
      <c r="BS712" s="1538">
        <f t="shared" si="488"/>
        <v>0</v>
      </c>
      <c r="BT712" s="1538">
        <f t="shared" si="488"/>
        <v>0</v>
      </c>
      <c r="BU712" s="1538">
        <f t="shared" si="488"/>
        <v>0</v>
      </c>
      <c r="BV712" s="1538">
        <f t="shared" si="488"/>
        <v>0</v>
      </c>
      <c r="BW712" s="1538">
        <f t="shared" si="488"/>
        <v>0</v>
      </c>
      <c r="BX712" s="1538">
        <f t="shared" si="488"/>
        <v>0</v>
      </c>
      <c r="BY712" s="1538">
        <f t="shared" si="488"/>
        <v>0</v>
      </c>
      <c r="BZ712" s="1538">
        <f t="shared" si="488"/>
        <v>0</v>
      </c>
      <c r="CA712" s="1538">
        <f t="shared" si="488"/>
        <v>0</v>
      </c>
      <c r="CB712" s="1538">
        <f t="shared" si="488"/>
        <v>0</v>
      </c>
      <c r="CC712" s="1538">
        <f t="shared" si="488"/>
        <v>0</v>
      </c>
      <c r="CD712" s="1538">
        <f t="shared" si="488"/>
        <v>0</v>
      </c>
      <c r="CE712" s="1538">
        <f t="shared" si="488"/>
        <v>0</v>
      </c>
      <c r="CF712" s="1538">
        <f t="shared" si="488"/>
        <v>0</v>
      </c>
      <c r="CG712" s="1604"/>
      <c r="CH712" s="1641">
        <f t="shared" si="465"/>
        <v>0</v>
      </c>
      <c r="CI712" s="1641">
        <f t="shared" si="465"/>
        <v>80000</v>
      </c>
      <c r="CJ712" s="1641">
        <f t="shared" si="465"/>
        <v>0</v>
      </c>
      <c r="CK712" s="1641">
        <f t="shared" si="465"/>
        <v>0</v>
      </c>
      <c r="CL712" s="1981">
        <v>0</v>
      </c>
      <c r="CM712" s="1982">
        <v>80000</v>
      </c>
      <c r="CN712" s="1976">
        <v>0</v>
      </c>
      <c r="CO712" s="1981">
        <v>0</v>
      </c>
      <c r="CP712" s="1538">
        <f>CP713+CP714+CP715+CP716+CP717+CP718+CP719+CP720+CP721+CP722+CP723+CP724+CP725</f>
        <v>0</v>
      </c>
      <c r="CQ712" s="1538">
        <f>CQ713+CQ714+CQ715+CQ716+CQ717+CQ718+CQ719+CQ720+CQ721+CQ722+CQ723+CQ724+CQ725</f>
        <v>0</v>
      </c>
      <c r="CR712" s="1538">
        <f>CR713+CR714+CR715+CR716+CR717+CR718+CR719+CR720+CR721+CR722+CR723+CR724+CR725</f>
        <v>0</v>
      </c>
      <c r="CS712" s="1538">
        <f>CS713+CS714+CS715+CS716+CS717+CS718+CS719+CS720+CS721+CS722+CS723+CS724+CS725</f>
        <v>0</v>
      </c>
      <c r="CT712" s="1558"/>
      <c r="CU712" s="1558"/>
      <c r="CV712" s="1558"/>
      <c r="CW712" s="1558"/>
      <c r="CY712" s="1558"/>
    </row>
    <row r="713" spans="1:104" s="1559" customFormat="1" ht="15" thickBot="1" x14ac:dyDescent="0.2">
      <c r="A713" s="1541" t="s">
        <v>78</v>
      </c>
      <c r="B713" s="1523" t="s">
        <v>79</v>
      </c>
      <c r="C713" s="1523" t="s">
        <v>80</v>
      </c>
      <c r="D713" s="1523" t="s">
        <v>125</v>
      </c>
      <c r="E713" s="1523" t="s">
        <v>216</v>
      </c>
      <c r="F713" s="1523"/>
      <c r="G713" s="1667">
        <v>211</v>
      </c>
      <c r="H713" s="1647"/>
      <c r="I713" s="1630"/>
      <c r="J713" s="1630"/>
      <c r="K713" s="1630"/>
      <c r="L713" s="1631"/>
      <c r="M713" s="1631"/>
      <c r="N713" s="1631"/>
      <c r="O713" s="1631"/>
      <c r="P713" s="1631"/>
      <c r="Q713" s="1631"/>
      <c r="R713" s="1631"/>
      <c r="S713" s="1631"/>
      <c r="T713" s="1637"/>
      <c r="U713" s="1633"/>
      <c r="V713" s="1633"/>
      <c r="W713" s="1637"/>
      <c r="X713" s="1637"/>
      <c r="Y713" s="1637"/>
      <c r="Z713" s="1635"/>
      <c r="AA713" s="1634">
        <f t="shared" si="484"/>
        <v>0</v>
      </c>
      <c r="AB713" s="1511">
        <f>AI713</f>
        <v>0</v>
      </c>
      <c r="AC713" s="1637"/>
      <c r="AD713" s="1509">
        <f t="shared" ref="AD713:AD725" si="489">AE713+AF713+AG713</f>
        <v>0</v>
      </c>
      <c r="AE713" s="1509">
        <f t="shared" ref="AE713:AG725" si="490">AP713+AT713+AX713+BB713+BF713+BJ713+BN713+BR713+BV713+BZ713+CD713+CI713</f>
        <v>0</v>
      </c>
      <c r="AF713" s="1509">
        <f t="shared" si="490"/>
        <v>0</v>
      </c>
      <c r="AG713" s="1509">
        <f t="shared" si="490"/>
        <v>0</v>
      </c>
      <c r="AH713" s="1490">
        <f t="shared" si="455"/>
        <v>0</v>
      </c>
      <c r="AI713" s="1636">
        <f t="shared" ref="AI713:AI725" si="491">H713-AC713</f>
        <v>0</v>
      </c>
      <c r="AJ713" s="1636">
        <f t="shared" ref="AJ713:AJ725" si="492">AK713+AL713+AM713</f>
        <v>0</v>
      </c>
      <c r="AK713" s="1636">
        <f t="shared" ref="AK713:AM725" si="493">I713-AE713</f>
        <v>0</v>
      </c>
      <c r="AL713" s="1636">
        <f t="shared" si="493"/>
        <v>0</v>
      </c>
      <c r="AM713" s="1636">
        <f t="shared" si="493"/>
        <v>0</v>
      </c>
      <c r="AN713" s="1712"/>
      <c r="AO713" s="1712"/>
      <c r="AP713" s="1773"/>
      <c r="AQ713" s="1773"/>
      <c r="AR713" s="1773"/>
      <c r="AS713" s="1760"/>
      <c r="AT713" s="1773"/>
      <c r="AU713" s="1773"/>
      <c r="AV713" s="1773"/>
      <c r="AW713" s="1762"/>
      <c r="AX713" s="1762"/>
      <c r="AY713" s="1762"/>
      <c r="AZ713" s="1762"/>
      <c r="BA713" s="1762"/>
      <c r="BB713" s="1762"/>
      <c r="BC713" s="1762"/>
      <c r="BD713" s="1762"/>
      <c r="BE713" s="1763"/>
      <c r="BF713" s="1762"/>
      <c r="BG713" s="1762"/>
      <c r="BH713" s="1762"/>
      <c r="BI713" s="1762"/>
      <c r="BJ713" s="1762"/>
      <c r="BK713" s="1762"/>
      <c r="BL713" s="1762"/>
      <c r="BM713" s="1762"/>
      <c r="BN713" s="1762"/>
      <c r="BO713" s="1762"/>
      <c r="BP713" s="1762"/>
      <c r="BQ713" s="1762"/>
      <c r="BR713" s="1762"/>
      <c r="BS713" s="1762"/>
      <c r="BT713" s="1762"/>
      <c r="BU713" s="1762"/>
      <c r="BV713" s="1762"/>
      <c r="BW713" s="1762"/>
      <c r="BX713" s="1762"/>
      <c r="BY713" s="1762"/>
      <c r="BZ713" s="1762"/>
      <c r="CA713" s="1762"/>
      <c r="CB713" s="1762"/>
      <c r="CC713" s="1762"/>
      <c r="CD713" s="1762"/>
      <c r="CE713" s="1762"/>
      <c r="CF713" s="1762"/>
      <c r="CG713" s="1691"/>
      <c r="CH713" s="1641">
        <f t="shared" si="465"/>
        <v>0</v>
      </c>
      <c r="CI713" s="1641">
        <f t="shared" si="465"/>
        <v>0</v>
      </c>
      <c r="CJ713" s="1641">
        <f t="shared" si="465"/>
        <v>0</v>
      </c>
      <c r="CK713" s="1641">
        <f t="shared" si="465"/>
        <v>0</v>
      </c>
      <c r="CL713" s="1889">
        <v>0</v>
      </c>
      <c r="CM713" s="1889">
        <v>0</v>
      </c>
      <c r="CN713" s="1889">
        <v>0</v>
      </c>
      <c r="CO713" s="1889">
        <v>0</v>
      </c>
      <c r="CP713" s="1762"/>
      <c r="CQ713" s="1762"/>
      <c r="CR713" s="1762"/>
      <c r="CS713" s="1762"/>
      <c r="CT713" s="1558"/>
      <c r="CU713" s="1558"/>
      <c r="CV713" s="1558"/>
      <c r="CW713" s="1558"/>
      <c r="CX713" s="1558">
        <f>H713/12*10-AC713</f>
        <v>0</v>
      </c>
      <c r="CY713" s="1558">
        <f>AI713/3</f>
        <v>0</v>
      </c>
      <c r="CZ713" s="1558"/>
    </row>
    <row r="714" spans="1:104" s="1559" customFormat="1" ht="15" thickBot="1" x14ac:dyDescent="0.2">
      <c r="A714" s="1541" t="s">
        <v>103</v>
      </c>
      <c r="B714" s="1523" t="s">
        <v>79</v>
      </c>
      <c r="C714" s="1523" t="s">
        <v>80</v>
      </c>
      <c r="D714" s="1523" t="s">
        <v>125</v>
      </c>
      <c r="E714" s="1523" t="s">
        <v>216</v>
      </c>
      <c r="F714" s="1523"/>
      <c r="G714" s="1667">
        <v>212</v>
      </c>
      <c r="H714" s="1647"/>
      <c r="I714" s="1630"/>
      <c r="J714" s="1630"/>
      <c r="K714" s="1630"/>
      <c r="L714" s="1631"/>
      <c r="M714" s="1631"/>
      <c r="N714" s="1631"/>
      <c r="O714" s="1631"/>
      <c r="P714" s="1631"/>
      <c r="Q714" s="1631"/>
      <c r="R714" s="1631"/>
      <c r="S714" s="1631"/>
      <c r="T714" s="1637"/>
      <c r="U714" s="1633"/>
      <c r="V714" s="1633"/>
      <c r="W714" s="1637"/>
      <c r="X714" s="1637"/>
      <c r="Y714" s="1637"/>
      <c r="Z714" s="1635"/>
      <c r="AA714" s="1634">
        <f t="shared" si="484"/>
        <v>0</v>
      </c>
      <c r="AB714" s="1511"/>
      <c r="AC714" s="1637"/>
      <c r="AD714" s="1509">
        <f t="shared" si="489"/>
        <v>0</v>
      </c>
      <c r="AE714" s="1509">
        <f t="shared" si="490"/>
        <v>0</v>
      </c>
      <c r="AF714" s="1509">
        <f t="shared" si="490"/>
        <v>0</v>
      </c>
      <c r="AG714" s="1509">
        <f t="shared" si="490"/>
        <v>0</v>
      </c>
      <c r="AH714" s="1490">
        <f t="shared" si="455"/>
        <v>0</v>
      </c>
      <c r="AI714" s="1636">
        <f t="shared" si="491"/>
        <v>0</v>
      </c>
      <c r="AJ714" s="1636">
        <f t="shared" si="492"/>
        <v>0</v>
      </c>
      <c r="AK714" s="1636">
        <f t="shared" si="493"/>
        <v>0</v>
      </c>
      <c r="AL714" s="1636">
        <f t="shared" si="493"/>
        <v>0</v>
      </c>
      <c r="AM714" s="1636">
        <f t="shared" si="493"/>
        <v>0</v>
      </c>
      <c r="AN714" s="1712"/>
      <c r="AO714" s="1712"/>
      <c r="AP714" s="1773"/>
      <c r="AQ714" s="1773"/>
      <c r="AR714" s="1773"/>
      <c r="AS714" s="1760"/>
      <c r="AT714" s="1773"/>
      <c r="AU714" s="1773"/>
      <c r="AV714" s="1773"/>
      <c r="AW714" s="1762"/>
      <c r="AX714" s="1762"/>
      <c r="AY714" s="1762"/>
      <c r="AZ714" s="1762"/>
      <c r="BA714" s="1762"/>
      <c r="BB714" s="1762"/>
      <c r="BC714" s="1762"/>
      <c r="BD714" s="1762"/>
      <c r="BE714" s="1763"/>
      <c r="BF714" s="1762"/>
      <c r="BG714" s="1762"/>
      <c r="BH714" s="1762"/>
      <c r="BI714" s="1762"/>
      <c r="BJ714" s="1762"/>
      <c r="BK714" s="1762"/>
      <c r="BL714" s="1762"/>
      <c r="BM714" s="1762"/>
      <c r="BN714" s="1762"/>
      <c r="BO714" s="1762"/>
      <c r="BP714" s="1762"/>
      <c r="BQ714" s="1762"/>
      <c r="BR714" s="1762"/>
      <c r="BS714" s="1762"/>
      <c r="BT714" s="1762"/>
      <c r="BU714" s="1762"/>
      <c r="BV714" s="1762"/>
      <c r="BW714" s="1762"/>
      <c r="BX714" s="1762"/>
      <c r="BY714" s="1762"/>
      <c r="BZ714" s="1762"/>
      <c r="CA714" s="1762"/>
      <c r="CB714" s="1762"/>
      <c r="CC714" s="1762"/>
      <c r="CD714" s="1762"/>
      <c r="CE714" s="1762"/>
      <c r="CF714" s="1762"/>
      <c r="CG714" s="1691"/>
      <c r="CH714" s="1641">
        <f t="shared" si="465"/>
        <v>0</v>
      </c>
      <c r="CI714" s="1641">
        <f t="shared" si="465"/>
        <v>0</v>
      </c>
      <c r="CJ714" s="1641">
        <f t="shared" si="465"/>
        <v>0</v>
      </c>
      <c r="CK714" s="1641">
        <f t="shared" si="465"/>
        <v>0</v>
      </c>
      <c r="CL714" s="1889">
        <v>0</v>
      </c>
      <c r="CM714" s="1889">
        <v>0</v>
      </c>
      <c r="CN714" s="1889">
        <v>0</v>
      </c>
      <c r="CO714" s="1889">
        <v>0</v>
      </c>
      <c r="CP714" s="1762"/>
      <c r="CQ714" s="1762"/>
      <c r="CR714" s="1762"/>
      <c r="CS714" s="1762"/>
      <c r="CT714" s="1558"/>
      <c r="CU714" s="1558"/>
      <c r="CV714" s="1558"/>
      <c r="CW714" s="1558"/>
      <c r="CX714" s="1558"/>
      <c r="CY714" s="1558"/>
      <c r="CZ714" s="1558"/>
    </row>
    <row r="715" spans="1:104" s="1559" customFormat="1" ht="15" thickBot="1" x14ac:dyDescent="0.2">
      <c r="A715" s="1541" t="s">
        <v>84</v>
      </c>
      <c r="B715" s="1523" t="s">
        <v>79</v>
      </c>
      <c r="C715" s="1523" t="s">
        <v>80</v>
      </c>
      <c r="D715" s="1523" t="s">
        <v>125</v>
      </c>
      <c r="E715" s="1523" t="s">
        <v>216</v>
      </c>
      <c r="F715" s="1523"/>
      <c r="G715" s="1667">
        <v>213</v>
      </c>
      <c r="H715" s="1647"/>
      <c r="I715" s="1630"/>
      <c r="J715" s="1630"/>
      <c r="K715" s="1630"/>
      <c r="L715" s="1631"/>
      <c r="M715" s="1631"/>
      <c r="N715" s="1631"/>
      <c r="O715" s="1631"/>
      <c r="P715" s="1631"/>
      <c r="Q715" s="1631"/>
      <c r="R715" s="1631"/>
      <c r="S715" s="1631"/>
      <c r="T715" s="1637"/>
      <c r="U715" s="1633"/>
      <c r="V715" s="1633"/>
      <c r="W715" s="1637"/>
      <c r="X715" s="1637"/>
      <c r="Y715" s="1637"/>
      <c r="Z715" s="1635"/>
      <c r="AA715" s="1634">
        <f t="shared" si="484"/>
        <v>0</v>
      </c>
      <c r="AB715" s="1511">
        <f>AI715</f>
        <v>0</v>
      </c>
      <c r="AC715" s="1637"/>
      <c r="AD715" s="1509">
        <f t="shared" si="489"/>
        <v>0</v>
      </c>
      <c r="AE715" s="1509">
        <f t="shared" si="490"/>
        <v>0</v>
      </c>
      <c r="AF715" s="1509">
        <f t="shared" si="490"/>
        <v>0</v>
      </c>
      <c r="AG715" s="1509">
        <f t="shared" si="490"/>
        <v>0</v>
      </c>
      <c r="AH715" s="1490">
        <f t="shared" si="455"/>
        <v>0</v>
      </c>
      <c r="AI715" s="1636">
        <f t="shared" si="491"/>
        <v>0</v>
      </c>
      <c r="AJ715" s="1636">
        <f t="shared" si="492"/>
        <v>0</v>
      </c>
      <c r="AK715" s="1636">
        <f t="shared" si="493"/>
        <v>0</v>
      </c>
      <c r="AL715" s="1636">
        <f t="shared" si="493"/>
        <v>0</v>
      </c>
      <c r="AM715" s="1636">
        <f t="shared" si="493"/>
        <v>0</v>
      </c>
      <c r="AN715" s="1712"/>
      <c r="AO715" s="1712"/>
      <c r="AP715" s="1773"/>
      <c r="AQ715" s="1773"/>
      <c r="AR715" s="1773"/>
      <c r="AS715" s="1760"/>
      <c r="AT715" s="1773"/>
      <c r="AU715" s="1773"/>
      <c r="AV715" s="1773"/>
      <c r="AW715" s="1762"/>
      <c r="AX715" s="1762"/>
      <c r="AY715" s="1762"/>
      <c r="AZ715" s="1762"/>
      <c r="BA715" s="1762"/>
      <c r="BB715" s="1762"/>
      <c r="BC715" s="1762"/>
      <c r="BD715" s="1762"/>
      <c r="BE715" s="1763"/>
      <c r="BF715" s="1762"/>
      <c r="BG715" s="1762"/>
      <c r="BH715" s="1762"/>
      <c r="BI715" s="1762"/>
      <c r="BJ715" s="1762"/>
      <c r="BK715" s="1762"/>
      <c r="BL715" s="1762"/>
      <c r="BM715" s="1762"/>
      <c r="BN715" s="1762"/>
      <c r="BO715" s="1762"/>
      <c r="BP715" s="1762"/>
      <c r="BQ715" s="1762"/>
      <c r="BR715" s="1762"/>
      <c r="BS715" s="1762"/>
      <c r="BT715" s="1762"/>
      <c r="BU715" s="1762"/>
      <c r="BV715" s="1762"/>
      <c r="BW715" s="1762"/>
      <c r="BX715" s="1762"/>
      <c r="BY715" s="1762"/>
      <c r="BZ715" s="1762"/>
      <c r="CA715" s="1762"/>
      <c r="CB715" s="1762"/>
      <c r="CC715" s="1762"/>
      <c r="CD715" s="1762"/>
      <c r="CE715" s="1762"/>
      <c r="CF715" s="1762"/>
      <c r="CG715" s="1691"/>
      <c r="CH715" s="1641">
        <f t="shared" si="465"/>
        <v>0</v>
      </c>
      <c r="CI715" s="1641">
        <f t="shared" si="465"/>
        <v>0</v>
      </c>
      <c r="CJ715" s="1641">
        <f t="shared" si="465"/>
        <v>0</v>
      </c>
      <c r="CK715" s="1641">
        <f t="shared" si="465"/>
        <v>0</v>
      </c>
      <c r="CL715" s="1889">
        <v>0</v>
      </c>
      <c r="CM715" s="1889">
        <v>0</v>
      </c>
      <c r="CN715" s="1889">
        <v>0</v>
      </c>
      <c r="CO715" s="1889">
        <v>0</v>
      </c>
      <c r="CP715" s="1762"/>
      <c r="CQ715" s="1762"/>
      <c r="CR715" s="1762"/>
      <c r="CS715" s="1762"/>
      <c r="CT715" s="1558"/>
      <c r="CU715" s="1558"/>
      <c r="CV715" s="1558"/>
      <c r="CW715" s="1558"/>
      <c r="CX715" s="1558">
        <f>H715/12*10-AC715</f>
        <v>0</v>
      </c>
      <c r="CY715" s="1558">
        <f>AI715/3</f>
        <v>0</v>
      </c>
      <c r="CZ715" s="1558"/>
    </row>
    <row r="716" spans="1:104" s="1559" customFormat="1" ht="15" thickBot="1" x14ac:dyDescent="0.2">
      <c r="A716" s="1541" t="s">
        <v>85</v>
      </c>
      <c r="B716" s="1523" t="s">
        <v>79</v>
      </c>
      <c r="C716" s="1523" t="s">
        <v>80</v>
      </c>
      <c r="D716" s="1523" t="s">
        <v>125</v>
      </c>
      <c r="E716" s="1523" t="s">
        <v>216</v>
      </c>
      <c r="F716" s="1523"/>
      <c r="G716" s="1667">
        <v>221</v>
      </c>
      <c r="H716" s="1647"/>
      <c r="I716" s="1630"/>
      <c r="J716" s="1630"/>
      <c r="K716" s="1630"/>
      <c r="L716" s="1631"/>
      <c r="M716" s="1631"/>
      <c r="N716" s="1631"/>
      <c r="O716" s="1631"/>
      <c r="P716" s="1631"/>
      <c r="Q716" s="1631"/>
      <c r="R716" s="1631"/>
      <c r="S716" s="1631"/>
      <c r="T716" s="1637"/>
      <c r="U716" s="1633"/>
      <c r="V716" s="1633"/>
      <c r="W716" s="1637"/>
      <c r="X716" s="1637"/>
      <c r="Y716" s="1637"/>
      <c r="Z716" s="1635"/>
      <c r="AA716" s="1634">
        <f t="shared" si="484"/>
        <v>0</v>
      </c>
      <c r="AB716" s="1637"/>
      <c r="AC716" s="1637"/>
      <c r="AD716" s="1509">
        <f t="shared" si="489"/>
        <v>0</v>
      </c>
      <c r="AE716" s="1509">
        <f t="shared" si="490"/>
        <v>0</v>
      </c>
      <c r="AF716" s="1509">
        <f t="shared" si="490"/>
        <v>0</v>
      </c>
      <c r="AG716" s="1509">
        <f t="shared" si="490"/>
        <v>0</v>
      </c>
      <c r="AH716" s="1490">
        <f t="shared" si="455"/>
        <v>0</v>
      </c>
      <c r="AI716" s="1636">
        <f t="shared" si="491"/>
        <v>0</v>
      </c>
      <c r="AJ716" s="1636">
        <f t="shared" si="492"/>
        <v>0</v>
      </c>
      <c r="AK716" s="1636">
        <f t="shared" si="493"/>
        <v>0</v>
      </c>
      <c r="AL716" s="1636">
        <f t="shared" si="493"/>
        <v>0</v>
      </c>
      <c r="AM716" s="1636">
        <f t="shared" si="493"/>
        <v>0</v>
      </c>
      <c r="AN716" s="1712"/>
      <c r="AO716" s="1712"/>
      <c r="AP716" s="1773"/>
      <c r="AQ716" s="1773"/>
      <c r="AR716" s="1773"/>
      <c r="AS716" s="1760"/>
      <c r="AT716" s="1773"/>
      <c r="AU716" s="1773"/>
      <c r="AV716" s="1773"/>
      <c r="AW716" s="1762"/>
      <c r="AX716" s="1762"/>
      <c r="AY716" s="1762"/>
      <c r="AZ716" s="1762"/>
      <c r="BA716" s="1762"/>
      <c r="BB716" s="1762"/>
      <c r="BC716" s="1762"/>
      <c r="BD716" s="1762"/>
      <c r="BE716" s="1763"/>
      <c r="BF716" s="1762"/>
      <c r="BG716" s="1762"/>
      <c r="BH716" s="1762"/>
      <c r="BI716" s="1762"/>
      <c r="BJ716" s="1762"/>
      <c r="BK716" s="1762"/>
      <c r="BL716" s="1762"/>
      <c r="BM716" s="1762"/>
      <c r="BN716" s="1762"/>
      <c r="BO716" s="1762"/>
      <c r="BP716" s="1762"/>
      <c r="BQ716" s="1762"/>
      <c r="BR716" s="1762"/>
      <c r="BS716" s="1762"/>
      <c r="BT716" s="1762"/>
      <c r="BU716" s="1762"/>
      <c r="BV716" s="1762"/>
      <c r="BW716" s="1762"/>
      <c r="BX716" s="1762"/>
      <c r="BY716" s="1762"/>
      <c r="BZ716" s="1762"/>
      <c r="CA716" s="1762"/>
      <c r="CB716" s="1762"/>
      <c r="CC716" s="1762"/>
      <c r="CD716" s="1762"/>
      <c r="CE716" s="1762"/>
      <c r="CF716" s="1762"/>
      <c r="CG716" s="1691"/>
      <c r="CH716" s="1641">
        <f t="shared" si="465"/>
        <v>0</v>
      </c>
      <c r="CI716" s="1641">
        <f t="shared" si="465"/>
        <v>0</v>
      </c>
      <c r="CJ716" s="1641">
        <f t="shared" si="465"/>
        <v>0</v>
      </c>
      <c r="CK716" s="1641">
        <f t="shared" si="465"/>
        <v>0</v>
      </c>
      <c r="CL716" s="1889">
        <v>0</v>
      </c>
      <c r="CM716" s="1889">
        <v>0</v>
      </c>
      <c r="CN716" s="1889">
        <v>0</v>
      </c>
      <c r="CO716" s="1889">
        <v>0</v>
      </c>
      <c r="CP716" s="1762"/>
      <c r="CQ716" s="1762"/>
      <c r="CR716" s="1762"/>
      <c r="CS716" s="1762"/>
      <c r="CT716" s="1558"/>
      <c r="CU716" s="1558"/>
      <c r="CV716" s="1558"/>
      <c r="CW716" s="1558"/>
      <c r="CY716" s="1558"/>
    </row>
    <row r="717" spans="1:104" s="1559" customFormat="1" ht="15" thickBot="1" x14ac:dyDescent="0.2">
      <c r="A717" s="1541" t="s">
        <v>86</v>
      </c>
      <c r="B717" s="1523" t="s">
        <v>79</v>
      </c>
      <c r="C717" s="1523" t="s">
        <v>80</v>
      </c>
      <c r="D717" s="1523" t="s">
        <v>125</v>
      </c>
      <c r="E717" s="1523" t="s">
        <v>216</v>
      </c>
      <c r="F717" s="1523"/>
      <c r="G717" s="1667">
        <v>222</v>
      </c>
      <c r="H717" s="1647"/>
      <c r="I717" s="1630"/>
      <c r="J717" s="1630"/>
      <c r="K717" s="1630"/>
      <c r="L717" s="1631"/>
      <c r="M717" s="1631"/>
      <c r="N717" s="1631"/>
      <c r="O717" s="1631"/>
      <c r="P717" s="1631"/>
      <c r="Q717" s="1631"/>
      <c r="R717" s="1631"/>
      <c r="S717" s="1631"/>
      <c r="T717" s="1637"/>
      <c r="U717" s="1633"/>
      <c r="V717" s="1633"/>
      <c r="W717" s="1637"/>
      <c r="X717" s="1637"/>
      <c r="Y717" s="1637"/>
      <c r="Z717" s="1635"/>
      <c r="AA717" s="1634">
        <f t="shared" si="484"/>
        <v>0</v>
      </c>
      <c r="AB717" s="1637"/>
      <c r="AC717" s="1637"/>
      <c r="AD717" s="1509">
        <f t="shared" si="489"/>
        <v>0</v>
      </c>
      <c r="AE717" s="1509">
        <f t="shared" si="490"/>
        <v>0</v>
      </c>
      <c r="AF717" s="1509">
        <f t="shared" si="490"/>
        <v>0</v>
      </c>
      <c r="AG717" s="1509">
        <f t="shared" si="490"/>
        <v>0</v>
      </c>
      <c r="AH717" s="1490">
        <f t="shared" si="455"/>
        <v>0</v>
      </c>
      <c r="AI717" s="1636">
        <f t="shared" si="491"/>
        <v>0</v>
      </c>
      <c r="AJ717" s="1636">
        <f t="shared" si="492"/>
        <v>0</v>
      </c>
      <c r="AK717" s="1636">
        <f t="shared" si="493"/>
        <v>0</v>
      </c>
      <c r="AL717" s="1636">
        <f t="shared" si="493"/>
        <v>0</v>
      </c>
      <c r="AM717" s="1636">
        <f t="shared" si="493"/>
        <v>0</v>
      </c>
      <c r="AN717" s="1712"/>
      <c r="AO717" s="1712"/>
      <c r="AP717" s="1773"/>
      <c r="AQ717" s="1773"/>
      <c r="AR717" s="1773"/>
      <c r="AS717" s="1760"/>
      <c r="AT717" s="1773"/>
      <c r="AU717" s="1773"/>
      <c r="AV717" s="1773"/>
      <c r="AW717" s="1762"/>
      <c r="AX717" s="1762"/>
      <c r="AY717" s="1762"/>
      <c r="AZ717" s="1762"/>
      <c r="BA717" s="1762"/>
      <c r="BB717" s="1762"/>
      <c r="BC717" s="1762"/>
      <c r="BD717" s="1762"/>
      <c r="BE717" s="1763"/>
      <c r="BF717" s="1762"/>
      <c r="BG717" s="1762"/>
      <c r="BH717" s="1762"/>
      <c r="BI717" s="1762"/>
      <c r="BJ717" s="1762"/>
      <c r="BK717" s="1762"/>
      <c r="BL717" s="1762"/>
      <c r="BM717" s="1762"/>
      <c r="BN717" s="1762"/>
      <c r="BO717" s="1762"/>
      <c r="BP717" s="1762"/>
      <c r="BQ717" s="1762"/>
      <c r="BR717" s="1762"/>
      <c r="BS717" s="1762"/>
      <c r="BT717" s="1762"/>
      <c r="BU717" s="1762"/>
      <c r="BV717" s="1762"/>
      <c r="BW717" s="1762"/>
      <c r="BX717" s="1762"/>
      <c r="BY717" s="1762"/>
      <c r="BZ717" s="1762"/>
      <c r="CA717" s="1762"/>
      <c r="CB717" s="1762"/>
      <c r="CC717" s="1762"/>
      <c r="CD717" s="1762"/>
      <c r="CE717" s="1762"/>
      <c r="CF717" s="1762"/>
      <c r="CG717" s="1691"/>
      <c r="CH717" s="1641">
        <f t="shared" si="465"/>
        <v>0</v>
      </c>
      <c r="CI717" s="1641">
        <f t="shared" si="465"/>
        <v>0</v>
      </c>
      <c r="CJ717" s="1641">
        <f t="shared" si="465"/>
        <v>0</v>
      </c>
      <c r="CK717" s="1641">
        <f t="shared" si="465"/>
        <v>0</v>
      </c>
      <c r="CL717" s="1889">
        <v>0</v>
      </c>
      <c r="CM717" s="1889">
        <v>0</v>
      </c>
      <c r="CN717" s="1889">
        <v>0</v>
      </c>
      <c r="CO717" s="1889">
        <v>0</v>
      </c>
      <c r="CP717" s="1762"/>
      <c r="CQ717" s="1762"/>
      <c r="CR717" s="1762"/>
      <c r="CS717" s="1762"/>
      <c r="CT717" s="1558"/>
      <c r="CU717" s="1558"/>
      <c r="CV717" s="1558"/>
      <c r="CW717" s="1558"/>
      <c r="CY717" s="1558"/>
    </row>
    <row r="718" spans="1:104" s="1559" customFormat="1" ht="15" thickBot="1" x14ac:dyDescent="0.2">
      <c r="A718" s="1541" t="s">
        <v>87</v>
      </c>
      <c r="B718" s="1523" t="s">
        <v>79</v>
      </c>
      <c r="C718" s="1523" t="s">
        <v>80</v>
      </c>
      <c r="D718" s="1523" t="s">
        <v>125</v>
      </c>
      <c r="E718" s="1523" t="s">
        <v>216</v>
      </c>
      <c r="F718" s="1523"/>
      <c r="G718" s="1667">
        <v>223</v>
      </c>
      <c r="H718" s="1647"/>
      <c r="I718" s="1630"/>
      <c r="J718" s="1630"/>
      <c r="K718" s="1630"/>
      <c r="L718" s="1631"/>
      <c r="M718" s="1631"/>
      <c r="N718" s="1631"/>
      <c r="O718" s="1631"/>
      <c r="P718" s="1631"/>
      <c r="Q718" s="1631"/>
      <c r="R718" s="1631"/>
      <c r="S718" s="1631"/>
      <c r="T718" s="1637"/>
      <c r="U718" s="1633"/>
      <c r="V718" s="1633"/>
      <c r="W718" s="1637"/>
      <c r="X718" s="1637"/>
      <c r="Y718" s="1637"/>
      <c r="Z718" s="1635"/>
      <c r="AA718" s="1634">
        <f t="shared" si="484"/>
        <v>0</v>
      </c>
      <c r="AB718" s="1637"/>
      <c r="AC718" s="1637"/>
      <c r="AD718" s="1509">
        <f t="shared" si="489"/>
        <v>0</v>
      </c>
      <c r="AE718" s="1509">
        <f t="shared" si="490"/>
        <v>0</v>
      </c>
      <c r="AF718" s="1509">
        <f t="shared" si="490"/>
        <v>0</v>
      </c>
      <c r="AG718" s="1509">
        <f t="shared" si="490"/>
        <v>0</v>
      </c>
      <c r="AH718" s="1490">
        <f t="shared" si="455"/>
        <v>0</v>
      </c>
      <c r="AI718" s="1636">
        <f t="shared" si="491"/>
        <v>0</v>
      </c>
      <c r="AJ718" s="1636">
        <f t="shared" si="492"/>
        <v>0</v>
      </c>
      <c r="AK718" s="1636">
        <f t="shared" si="493"/>
        <v>0</v>
      </c>
      <c r="AL718" s="1636">
        <f t="shared" si="493"/>
        <v>0</v>
      </c>
      <c r="AM718" s="1636">
        <f t="shared" si="493"/>
        <v>0</v>
      </c>
      <c r="AN718" s="1712"/>
      <c r="AO718" s="1712"/>
      <c r="AP718" s="1773"/>
      <c r="AQ718" s="1773"/>
      <c r="AR718" s="1773"/>
      <c r="AS718" s="1760"/>
      <c r="AT718" s="1773"/>
      <c r="AU718" s="1773"/>
      <c r="AV718" s="1773"/>
      <c r="AW718" s="1762"/>
      <c r="AX718" s="1762"/>
      <c r="AY718" s="1762"/>
      <c r="AZ718" s="1762"/>
      <c r="BA718" s="1762"/>
      <c r="BB718" s="1762"/>
      <c r="BC718" s="1762"/>
      <c r="BD718" s="1762"/>
      <c r="BE718" s="1763"/>
      <c r="BF718" s="1762"/>
      <c r="BG718" s="1762"/>
      <c r="BH718" s="1762"/>
      <c r="BI718" s="1762"/>
      <c r="BJ718" s="1762"/>
      <c r="BK718" s="1762"/>
      <c r="BL718" s="1762"/>
      <c r="BM718" s="1762"/>
      <c r="BN718" s="1762"/>
      <c r="BO718" s="1762"/>
      <c r="BP718" s="1762"/>
      <c r="BQ718" s="1762"/>
      <c r="BR718" s="1762"/>
      <c r="BS718" s="1762"/>
      <c r="BT718" s="1762"/>
      <c r="BU718" s="1762"/>
      <c r="BV718" s="1762"/>
      <c r="BW718" s="1762"/>
      <c r="BX718" s="1762"/>
      <c r="BY718" s="1762"/>
      <c r="BZ718" s="1762"/>
      <c r="CA718" s="1762"/>
      <c r="CB718" s="1762"/>
      <c r="CC718" s="1762"/>
      <c r="CD718" s="1762"/>
      <c r="CE718" s="1762"/>
      <c r="CF718" s="1762"/>
      <c r="CG718" s="1691"/>
      <c r="CH718" s="1641">
        <f t="shared" si="465"/>
        <v>0</v>
      </c>
      <c r="CI718" s="1641">
        <f t="shared" si="465"/>
        <v>0</v>
      </c>
      <c r="CJ718" s="1641">
        <f t="shared" si="465"/>
        <v>0</v>
      </c>
      <c r="CK718" s="1641">
        <f t="shared" si="465"/>
        <v>0</v>
      </c>
      <c r="CL718" s="1889">
        <v>0</v>
      </c>
      <c r="CM718" s="1889">
        <v>0</v>
      </c>
      <c r="CN718" s="1889">
        <v>0</v>
      </c>
      <c r="CO718" s="1889">
        <v>0</v>
      </c>
      <c r="CP718" s="1762"/>
      <c r="CQ718" s="1762"/>
      <c r="CR718" s="1762"/>
      <c r="CS718" s="1762"/>
      <c r="CT718" s="1558"/>
      <c r="CU718" s="1558"/>
      <c r="CV718" s="1558"/>
      <c r="CW718" s="1558"/>
      <c r="CY718" s="1558"/>
    </row>
    <row r="719" spans="1:104" s="1559" customFormat="1" ht="15" thickBot="1" x14ac:dyDescent="0.2">
      <c r="A719" s="1541" t="s">
        <v>134</v>
      </c>
      <c r="B719" s="1523" t="s">
        <v>79</v>
      </c>
      <c r="C719" s="1523" t="s">
        <v>80</v>
      </c>
      <c r="D719" s="1523" t="s">
        <v>125</v>
      </c>
      <c r="E719" s="1523" t="s">
        <v>216</v>
      </c>
      <c r="F719" s="1523"/>
      <c r="G719" s="1667">
        <v>224</v>
      </c>
      <c r="H719" s="1647"/>
      <c r="I719" s="1630"/>
      <c r="J719" s="1630"/>
      <c r="K719" s="1630"/>
      <c r="L719" s="1631"/>
      <c r="M719" s="1631"/>
      <c r="N719" s="1631"/>
      <c r="O719" s="1631"/>
      <c r="P719" s="1631"/>
      <c r="Q719" s="1631"/>
      <c r="R719" s="1631"/>
      <c r="S719" s="1631"/>
      <c r="T719" s="1637"/>
      <c r="U719" s="1633"/>
      <c r="V719" s="1633"/>
      <c r="W719" s="1637"/>
      <c r="X719" s="1637"/>
      <c r="Y719" s="1637"/>
      <c r="Z719" s="1635"/>
      <c r="AA719" s="1634">
        <f t="shared" si="484"/>
        <v>0</v>
      </c>
      <c r="AB719" s="1637"/>
      <c r="AC719" s="1637"/>
      <c r="AD719" s="1509">
        <f t="shared" si="489"/>
        <v>0</v>
      </c>
      <c r="AE719" s="1509">
        <f t="shared" si="490"/>
        <v>0</v>
      </c>
      <c r="AF719" s="1509">
        <f t="shared" si="490"/>
        <v>0</v>
      </c>
      <c r="AG719" s="1509">
        <f t="shared" si="490"/>
        <v>0</v>
      </c>
      <c r="AH719" s="1490">
        <f t="shared" si="455"/>
        <v>0</v>
      </c>
      <c r="AI719" s="1636">
        <f t="shared" si="491"/>
        <v>0</v>
      </c>
      <c r="AJ719" s="1636">
        <f t="shared" si="492"/>
        <v>0</v>
      </c>
      <c r="AK719" s="1636">
        <f t="shared" si="493"/>
        <v>0</v>
      </c>
      <c r="AL719" s="1636">
        <f t="shared" si="493"/>
        <v>0</v>
      </c>
      <c r="AM719" s="1636">
        <f t="shared" si="493"/>
        <v>0</v>
      </c>
      <c r="AN719" s="1712"/>
      <c r="AO719" s="1712"/>
      <c r="AP719" s="1773"/>
      <c r="AQ719" s="1773"/>
      <c r="AR719" s="1773"/>
      <c r="AS719" s="1760"/>
      <c r="AT719" s="1773"/>
      <c r="AU719" s="1773"/>
      <c r="AV719" s="1773"/>
      <c r="AW719" s="1762"/>
      <c r="AX719" s="1762"/>
      <c r="AY719" s="1762"/>
      <c r="AZ719" s="1762"/>
      <c r="BA719" s="1762"/>
      <c r="BB719" s="1762"/>
      <c r="BC719" s="1762"/>
      <c r="BD719" s="1762"/>
      <c r="BE719" s="1763"/>
      <c r="BF719" s="1762"/>
      <c r="BG719" s="1762"/>
      <c r="BH719" s="1762"/>
      <c r="BI719" s="1762"/>
      <c r="BJ719" s="1762"/>
      <c r="BK719" s="1762"/>
      <c r="BL719" s="1762"/>
      <c r="BM719" s="1762"/>
      <c r="BN719" s="1762"/>
      <c r="BO719" s="1762"/>
      <c r="BP719" s="1762"/>
      <c r="BQ719" s="1762"/>
      <c r="BR719" s="1762"/>
      <c r="BS719" s="1762"/>
      <c r="BT719" s="1762"/>
      <c r="BU719" s="1762"/>
      <c r="BV719" s="1762"/>
      <c r="BW719" s="1762"/>
      <c r="BX719" s="1762"/>
      <c r="BY719" s="1762"/>
      <c r="BZ719" s="1762"/>
      <c r="CA719" s="1762"/>
      <c r="CB719" s="1762"/>
      <c r="CC719" s="1762"/>
      <c r="CD719" s="1762"/>
      <c r="CE719" s="1762"/>
      <c r="CF719" s="1762"/>
      <c r="CG719" s="1691"/>
      <c r="CH719" s="1641">
        <f t="shared" si="465"/>
        <v>0</v>
      </c>
      <c r="CI719" s="1641">
        <f t="shared" si="465"/>
        <v>0</v>
      </c>
      <c r="CJ719" s="1641">
        <f t="shared" si="465"/>
        <v>0</v>
      </c>
      <c r="CK719" s="1641">
        <f t="shared" si="465"/>
        <v>0</v>
      </c>
      <c r="CL719" s="1889">
        <v>0</v>
      </c>
      <c r="CM719" s="1889">
        <v>0</v>
      </c>
      <c r="CN719" s="1889">
        <v>0</v>
      </c>
      <c r="CO719" s="1889">
        <v>0</v>
      </c>
      <c r="CP719" s="1762"/>
      <c r="CQ719" s="1762"/>
      <c r="CR719" s="1762"/>
      <c r="CS719" s="1762"/>
      <c r="CT719" s="1558"/>
      <c r="CU719" s="1558"/>
      <c r="CV719" s="1558"/>
      <c r="CW719" s="1558"/>
      <c r="CY719" s="1558"/>
    </row>
    <row r="720" spans="1:104" s="1559" customFormat="1" ht="15" thickBot="1" x14ac:dyDescent="0.2">
      <c r="A720" s="1541" t="s">
        <v>90</v>
      </c>
      <c r="B720" s="1523" t="s">
        <v>79</v>
      </c>
      <c r="C720" s="1523" t="s">
        <v>80</v>
      </c>
      <c r="D720" s="1523" t="s">
        <v>125</v>
      </c>
      <c r="E720" s="1523" t="s">
        <v>216</v>
      </c>
      <c r="F720" s="1523"/>
      <c r="G720" s="1667">
        <v>225</v>
      </c>
      <c r="H720" s="1647"/>
      <c r="I720" s="1630">
        <v>80000</v>
      </c>
      <c r="J720" s="1630"/>
      <c r="K720" s="1630"/>
      <c r="L720" s="1631"/>
      <c r="M720" s="1631"/>
      <c r="N720" s="1631"/>
      <c r="O720" s="1631"/>
      <c r="P720" s="1631"/>
      <c r="Q720" s="1631"/>
      <c r="R720" s="1631"/>
      <c r="S720" s="1631"/>
      <c r="T720" s="1637">
        <v>80000</v>
      </c>
      <c r="U720" s="1633"/>
      <c r="V720" s="1633"/>
      <c r="W720" s="1637"/>
      <c r="X720" s="1637"/>
      <c r="Y720" s="1637"/>
      <c r="Z720" s="1635"/>
      <c r="AA720" s="1634">
        <f t="shared" si="484"/>
        <v>0</v>
      </c>
      <c r="AB720" s="1637"/>
      <c r="AC720" s="1637"/>
      <c r="AD720" s="1509">
        <f t="shared" si="489"/>
        <v>24000</v>
      </c>
      <c r="AE720" s="1509">
        <f t="shared" si="490"/>
        <v>24000</v>
      </c>
      <c r="AF720" s="1509">
        <f t="shared" si="490"/>
        <v>0</v>
      </c>
      <c r="AG720" s="1509">
        <f t="shared" si="490"/>
        <v>0</v>
      </c>
      <c r="AH720" s="1490">
        <f t="shared" si="455"/>
        <v>0</v>
      </c>
      <c r="AI720" s="1636">
        <f t="shared" si="491"/>
        <v>0</v>
      </c>
      <c r="AJ720" s="1636">
        <f t="shared" si="492"/>
        <v>56000</v>
      </c>
      <c r="AK720" s="1636">
        <f t="shared" si="493"/>
        <v>56000</v>
      </c>
      <c r="AL720" s="1636">
        <f t="shared" si="493"/>
        <v>0</v>
      </c>
      <c r="AM720" s="1636">
        <f t="shared" si="493"/>
        <v>0</v>
      </c>
      <c r="AN720" s="1712"/>
      <c r="AO720" s="1712"/>
      <c r="AP720" s="1773"/>
      <c r="AQ720" s="1773"/>
      <c r="AR720" s="1773"/>
      <c r="AS720" s="1760"/>
      <c r="AT720" s="1773"/>
      <c r="AU720" s="1773"/>
      <c r="AV720" s="1773"/>
      <c r="AW720" s="1762"/>
      <c r="AX720" s="1762"/>
      <c r="AY720" s="1762"/>
      <c r="AZ720" s="1762"/>
      <c r="BA720" s="1762"/>
      <c r="BB720" s="1762"/>
      <c r="BC720" s="1762"/>
      <c r="BD720" s="1762"/>
      <c r="BE720" s="1763"/>
      <c r="BF720" s="1762"/>
      <c r="BG720" s="1762"/>
      <c r="BH720" s="1762"/>
      <c r="BI720" s="1762"/>
      <c r="BJ720" s="1762"/>
      <c r="BK720" s="1762"/>
      <c r="BL720" s="1762"/>
      <c r="BM720" s="1762"/>
      <c r="BN720" s="1762"/>
      <c r="BO720" s="1762"/>
      <c r="BP720" s="1762"/>
      <c r="BQ720" s="1762"/>
      <c r="BR720" s="1762"/>
      <c r="BS720" s="1762"/>
      <c r="BT720" s="1762"/>
      <c r="BU720" s="1762"/>
      <c r="BV720" s="1762"/>
      <c r="BW720" s="1762"/>
      <c r="BX720" s="1762"/>
      <c r="BY720" s="1762"/>
      <c r="BZ720" s="1762"/>
      <c r="CA720" s="1762"/>
      <c r="CB720" s="1762"/>
      <c r="CC720" s="1762"/>
      <c r="CD720" s="1762"/>
      <c r="CE720" s="1762"/>
      <c r="CF720" s="1762"/>
      <c r="CG720" s="1691"/>
      <c r="CH720" s="1641">
        <f t="shared" si="465"/>
        <v>0</v>
      </c>
      <c r="CI720" s="1641">
        <v>24000</v>
      </c>
      <c r="CJ720" s="1641">
        <f t="shared" si="465"/>
        <v>0</v>
      </c>
      <c r="CK720" s="1641">
        <f t="shared" si="465"/>
        <v>0</v>
      </c>
      <c r="CL720" s="1889">
        <v>0</v>
      </c>
      <c r="CM720" s="1890">
        <v>80000</v>
      </c>
      <c r="CN720" s="1889">
        <v>0</v>
      </c>
      <c r="CO720" s="1889">
        <v>0</v>
      </c>
      <c r="CP720" s="1762"/>
      <c r="CQ720" s="1762"/>
      <c r="CR720" s="1762"/>
      <c r="CS720" s="1762"/>
      <c r="CT720" s="1558"/>
      <c r="CU720" s="1558"/>
      <c r="CV720" s="1558"/>
      <c r="CW720" s="1558"/>
      <c r="CY720" s="1558"/>
    </row>
    <row r="721" spans="1:107" s="1559" customFormat="1" ht="15" thickBot="1" x14ac:dyDescent="0.2">
      <c r="A721" s="1541" t="s">
        <v>91</v>
      </c>
      <c r="B721" s="1523" t="s">
        <v>79</v>
      </c>
      <c r="C721" s="1523" t="s">
        <v>80</v>
      </c>
      <c r="D721" s="1523" t="s">
        <v>125</v>
      </c>
      <c r="E721" s="1523" t="s">
        <v>216</v>
      </c>
      <c r="F721" s="1523"/>
      <c r="G721" s="1667">
        <v>226</v>
      </c>
      <c r="H721" s="1647"/>
      <c r="I721" s="1630"/>
      <c r="J721" s="1630"/>
      <c r="K721" s="1630"/>
      <c r="L721" s="1631"/>
      <c r="M721" s="1631"/>
      <c r="N721" s="1631"/>
      <c r="O721" s="1631"/>
      <c r="P721" s="1631"/>
      <c r="Q721" s="1631"/>
      <c r="R721" s="1631"/>
      <c r="S721" s="1631"/>
      <c r="T721" s="1637"/>
      <c r="U721" s="1633"/>
      <c r="V721" s="1633"/>
      <c r="W721" s="1637"/>
      <c r="X721" s="1637"/>
      <c r="Y721" s="1637"/>
      <c r="Z721" s="1635"/>
      <c r="AA721" s="1634">
        <f t="shared" si="484"/>
        <v>0</v>
      </c>
      <c r="AB721" s="1637"/>
      <c r="AC721" s="1637"/>
      <c r="AD721" s="1509">
        <f t="shared" si="489"/>
        <v>0</v>
      </c>
      <c r="AE721" s="1509">
        <f t="shared" si="490"/>
        <v>0</v>
      </c>
      <c r="AF721" s="1509">
        <f t="shared" si="490"/>
        <v>0</v>
      </c>
      <c r="AG721" s="1509">
        <f t="shared" si="490"/>
        <v>0</v>
      </c>
      <c r="AH721" s="1490">
        <f t="shared" si="455"/>
        <v>0</v>
      </c>
      <c r="AI721" s="1636">
        <f t="shared" si="491"/>
        <v>0</v>
      </c>
      <c r="AJ721" s="1636">
        <f t="shared" si="492"/>
        <v>0</v>
      </c>
      <c r="AK721" s="1636">
        <f t="shared" si="493"/>
        <v>0</v>
      </c>
      <c r="AL721" s="1636">
        <f t="shared" si="493"/>
        <v>0</v>
      </c>
      <c r="AM721" s="1636">
        <f t="shared" si="493"/>
        <v>0</v>
      </c>
      <c r="AN721" s="1712"/>
      <c r="AO721" s="1712"/>
      <c r="AP721" s="1773"/>
      <c r="AQ721" s="1773"/>
      <c r="AR721" s="1773"/>
      <c r="AS721" s="1760"/>
      <c r="AT721" s="1773"/>
      <c r="AU721" s="1773"/>
      <c r="AV721" s="1773"/>
      <c r="AW721" s="1762"/>
      <c r="AX721" s="1762"/>
      <c r="AY721" s="1762"/>
      <c r="AZ721" s="1762"/>
      <c r="BA721" s="1762"/>
      <c r="BB721" s="1762"/>
      <c r="BC721" s="1762"/>
      <c r="BD721" s="1762"/>
      <c r="BE721" s="1763"/>
      <c r="BF721" s="1762"/>
      <c r="BG721" s="1762"/>
      <c r="BH721" s="1762"/>
      <c r="BI721" s="1762"/>
      <c r="BJ721" s="1762"/>
      <c r="BK721" s="1762"/>
      <c r="BL721" s="1762"/>
      <c r="BM721" s="1762"/>
      <c r="BN721" s="1762"/>
      <c r="BO721" s="1762"/>
      <c r="BP721" s="1762"/>
      <c r="BQ721" s="1762"/>
      <c r="BR721" s="1762"/>
      <c r="BS721" s="1762"/>
      <c r="BT721" s="1762"/>
      <c r="BU721" s="1762"/>
      <c r="BV721" s="1762"/>
      <c r="BW721" s="1762"/>
      <c r="BX721" s="1762"/>
      <c r="BY721" s="1762"/>
      <c r="BZ721" s="1762"/>
      <c r="CA721" s="1762"/>
      <c r="CB721" s="1762"/>
      <c r="CC721" s="1762"/>
      <c r="CD721" s="1762"/>
      <c r="CE721" s="1762"/>
      <c r="CF721" s="1762"/>
      <c r="CG721" s="1691"/>
      <c r="CH721" s="1641">
        <f t="shared" si="465"/>
        <v>0</v>
      </c>
      <c r="CI721" s="1641">
        <f t="shared" si="465"/>
        <v>0</v>
      </c>
      <c r="CJ721" s="1641">
        <f t="shared" si="465"/>
        <v>0</v>
      </c>
      <c r="CK721" s="1641">
        <f t="shared" si="465"/>
        <v>0</v>
      </c>
      <c r="CL721" s="1889">
        <v>0</v>
      </c>
      <c r="CM721" s="1889">
        <v>0</v>
      </c>
      <c r="CN721" s="1889">
        <v>0</v>
      </c>
      <c r="CO721" s="1889">
        <v>0</v>
      </c>
      <c r="CP721" s="1762"/>
      <c r="CQ721" s="1762"/>
      <c r="CR721" s="1762"/>
      <c r="CS721" s="1762"/>
      <c r="CT721" s="1558"/>
      <c r="CU721" s="1558"/>
      <c r="CV721" s="1558"/>
      <c r="CW721" s="1558"/>
      <c r="CY721" s="1558"/>
    </row>
    <row r="722" spans="1:107" s="1559" customFormat="1" ht="15" thickBot="1" x14ac:dyDescent="0.2">
      <c r="A722" s="1541" t="s">
        <v>94</v>
      </c>
      <c r="B722" s="1523" t="s">
        <v>79</v>
      </c>
      <c r="C722" s="1523" t="s">
        <v>80</v>
      </c>
      <c r="D722" s="1523" t="s">
        <v>125</v>
      </c>
      <c r="E722" s="1523" t="s">
        <v>216</v>
      </c>
      <c r="F722" s="1523"/>
      <c r="G722" s="1667">
        <v>290</v>
      </c>
      <c r="H722" s="1647"/>
      <c r="I722" s="1630"/>
      <c r="J722" s="1630"/>
      <c r="K722" s="1630"/>
      <c r="L722" s="1631"/>
      <c r="M722" s="1631"/>
      <c r="N722" s="1631"/>
      <c r="O722" s="1631"/>
      <c r="P722" s="1631"/>
      <c r="Q722" s="1631"/>
      <c r="R722" s="1631"/>
      <c r="S722" s="1631"/>
      <c r="T722" s="1637"/>
      <c r="U722" s="1633"/>
      <c r="V722" s="1633"/>
      <c r="W722" s="1637"/>
      <c r="X722" s="1637"/>
      <c r="Y722" s="1637"/>
      <c r="Z722" s="1635"/>
      <c r="AA722" s="1634">
        <f t="shared" si="484"/>
        <v>0</v>
      </c>
      <c r="AB722" s="1637"/>
      <c r="AC722" s="1637"/>
      <c r="AD722" s="1509">
        <f t="shared" si="489"/>
        <v>0</v>
      </c>
      <c r="AE722" s="1509">
        <f t="shared" si="490"/>
        <v>0</v>
      </c>
      <c r="AF722" s="1509">
        <f t="shared" si="490"/>
        <v>0</v>
      </c>
      <c r="AG722" s="1509">
        <f t="shared" si="490"/>
        <v>0</v>
      </c>
      <c r="AH722" s="1490">
        <f t="shared" si="455"/>
        <v>0</v>
      </c>
      <c r="AI722" s="1636">
        <f t="shared" si="491"/>
        <v>0</v>
      </c>
      <c r="AJ722" s="1636">
        <f t="shared" si="492"/>
        <v>0</v>
      </c>
      <c r="AK722" s="1636">
        <f t="shared" si="493"/>
        <v>0</v>
      </c>
      <c r="AL722" s="1636">
        <f t="shared" si="493"/>
        <v>0</v>
      </c>
      <c r="AM722" s="1636">
        <f t="shared" si="493"/>
        <v>0</v>
      </c>
      <c r="AN722" s="1712"/>
      <c r="AO722" s="1712"/>
      <c r="AP722" s="1773"/>
      <c r="AQ722" s="1773"/>
      <c r="AR722" s="1773"/>
      <c r="AS722" s="1760"/>
      <c r="AT722" s="1773"/>
      <c r="AU722" s="1773"/>
      <c r="AV722" s="1773"/>
      <c r="AW722" s="1762"/>
      <c r="AX722" s="1762"/>
      <c r="AY722" s="1762"/>
      <c r="AZ722" s="1762"/>
      <c r="BA722" s="1762"/>
      <c r="BB722" s="1762"/>
      <c r="BC722" s="1762"/>
      <c r="BD722" s="1762"/>
      <c r="BE722" s="1763"/>
      <c r="BF722" s="1762"/>
      <c r="BG722" s="1762"/>
      <c r="BH722" s="1762"/>
      <c r="BI722" s="1762"/>
      <c r="BJ722" s="1762"/>
      <c r="BK722" s="1762"/>
      <c r="BL722" s="1762"/>
      <c r="BM722" s="1762"/>
      <c r="BN722" s="1762"/>
      <c r="BO722" s="1762"/>
      <c r="BP722" s="1762"/>
      <c r="BQ722" s="1762"/>
      <c r="BR722" s="1762"/>
      <c r="BS722" s="1762"/>
      <c r="BT722" s="1762"/>
      <c r="BU722" s="1762"/>
      <c r="BV722" s="1762"/>
      <c r="BW722" s="1762"/>
      <c r="BX722" s="1762"/>
      <c r="BY722" s="1762"/>
      <c r="BZ722" s="1762"/>
      <c r="CA722" s="1762"/>
      <c r="CB722" s="1762"/>
      <c r="CC722" s="1762"/>
      <c r="CD722" s="1762"/>
      <c r="CE722" s="1762"/>
      <c r="CF722" s="1762"/>
      <c r="CG722" s="1691"/>
      <c r="CH722" s="1641">
        <f t="shared" si="465"/>
        <v>0</v>
      </c>
      <c r="CI722" s="1641">
        <f t="shared" si="465"/>
        <v>0</v>
      </c>
      <c r="CJ722" s="1641">
        <f t="shared" si="465"/>
        <v>0</v>
      </c>
      <c r="CK722" s="1641">
        <f t="shared" si="465"/>
        <v>0</v>
      </c>
      <c r="CL722" s="1889">
        <v>0</v>
      </c>
      <c r="CM722" s="1889">
        <v>0</v>
      </c>
      <c r="CN722" s="1889">
        <v>0</v>
      </c>
      <c r="CO722" s="1889">
        <v>0</v>
      </c>
      <c r="CP722" s="1762"/>
      <c r="CQ722" s="1762"/>
      <c r="CR722" s="1762"/>
      <c r="CS722" s="1762"/>
      <c r="CT722" s="1558"/>
      <c r="CU722" s="1558"/>
      <c r="CV722" s="1558"/>
      <c r="CW722" s="1558"/>
      <c r="CY722" s="1558"/>
    </row>
    <row r="723" spans="1:107" s="1559" customFormat="1" ht="15" thickBot="1" x14ac:dyDescent="0.2">
      <c r="A723" s="1541" t="s">
        <v>94</v>
      </c>
      <c r="B723" s="1523" t="s">
        <v>79</v>
      </c>
      <c r="C723" s="1523" t="s">
        <v>80</v>
      </c>
      <c r="D723" s="1523" t="s">
        <v>125</v>
      </c>
      <c r="E723" s="1523" t="s">
        <v>216</v>
      </c>
      <c r="F723" s="1523"/>
      <c r="G723" s="1667" t="s">
        <v>95</v>
      </c>
      <c r="H723" s="1647"/>
      <c r="I723" s="1630"/>
      <c r="J723" s="1630"/>
      <c r="K723" s="1630"/>
      <c r="L723" s="1631"/>
      <c r="M723" s="1631"/>
      <c r="N723" s="1631"/>
      <c r="O723" s="1631"/>
      <c r="P723" s="1631"/>
      <c r="Q723" s="1631"/>
      <c r="R723" s="1631"/>
      <c r="S723" s="1631"/>
      <c r="T723" s="1637"/>
      <c r="U723" s="1633"/>
      <c r="V723" s="1633"/>
      <c r="W723" s="1637"/>
      <c r="X723" s="1637"/>
      <c r="Y723" s="1637"/>
      <c r="Z723" s="1635"/>
      <c r="AA723" s="1634">
        <f t="shared" si="484"/>
        <v>0</v>
      </c>
      <c r="AB723" s="1637"/>
      <c r="AC723" s="1637"/>
      <c r="AD723" s="1509">
        <f t="shared" si="489"/>
        <v>0</v>
      </c>
      <c r="AE723" s="1509">
        <f t="shared" si="490"/>
        <v>0</v>
      </c>
      <c r="AF723" s="1509">
        <f t="shared" si="490"/>
        <v>0</v>
      </c>
      <c r="AG723" s="1509">
        <f t="shared" si="490"/>
        <v>0</v>
      </c>
      <c r="AH723" s="1490">
        <f t="shared" si="455"/>
        <v>0</v>
      </c>
      <c r="AI723" s="1636">
        <f t="shared" si="491"/>
        <v>0</v>
      </c>
      <c r="AJ723" s="1636">
        <f t="shared" si="492"/>
        <v>0</v>
      </c>
      <c r="AK723" s="1636">
        <f t="shared" si="493"/>
        <v>0</v>
      </c>
      <c r="AL723" s="1636">
        <f t="shared" si="493"/>
        <v>0</v>
      </c>
      <c r="AM723" s="1636">
        <f t="shared" si="493"/>
        <v>0</v>
      </c>
      <c r="AN723" s="1712"/>
      <c r="AO723" s="1712"/>
      <c r="AP723" s="1773"/>
      <c r="AQ723" s="1773"/>
      <c r="AR723" s="1773"/>
      <c r="AS723" s="1760"/>
      <c r="AT723" s="1773"/>
      <c r="AU723" s="1773"/>
      <c r="AV723" s="1773"/>
      <c r="AW723" s="1762"/>
      <c r="AX723" s="1762"/>
      <c r="AY723" s="1762"/>
      <c r="AZ723" s="1762"/>
      <c r="BA723" s="1762"/>
      <c r="BB723" s="1762"/>
      <c r="BC723" s="1762"/>
      <c r="BD723" s="1762"/>
      <c r="BE723" s="1763"/>
      <c r="BF723" s="1762"/>
      <c r="BG723" s="1762"/>
      <c r="BH723" s="1762"/>
      <c r="BI723" s="1762"/>
      <c r="BJ723" s="1762"/>
      <c r="BK723" s="1762"/>
      <c r="BL723" s="1762"/>
      <c r="BM723" s="1762"/>
      <c r="BN723" s="1762"/>
      <c r="BO723" s="1762"/>
      <c r="BP723" s="1762"/>
      <c r="BQ723" s="1762"/>
      <c r="BR723" s="1762"/>
      <c r="BS723" s="1762"/>
      <c r="BT723" s="1762"/>
      <c r="BU723" s="1762"/>
      <c r="BV723" s="1762"/>
      <c r="BW723" s="1762"/>
      <c r="BX723" s="1762"/>
      <c r="BY723" s="1762"/>
      <c r="BZ723" s="1762"/>
      <c r="CA723" s="1762"/>
      <c r="CB723" s="1762"/>
      <c r="CC723" s="1762"/>
      <c r="CD723" s="1762"/>
      <c r="CE723" s="1762"/>
      <c r="CF723" s="1762"/>
      <c r="CG723" s="1691"/>
      <c r="CH723" s="1641">
        <f t="shared" si="465"/>
        <v>0</v>
      </c>
      <c r="CI723" s="1641">
        <f t="shared" si="465"/>
        <v>0</v>
      </c>
      <c r="CJ723" s="1641">
        <f t="shared" si="465"/>
        <v>0</v>
      </c>
      <c r="CK723" s="1641">
        <f t="shared" si="465"/>
        <v>0</v>
      </c>
      <c r="CL723" s="1889">
        <v>0</v>
      </c>
      <c r="CM723" s="1889">
        <v>0</v>
      </c>
      <c r="CN723" s="1889">
        <v>0</v>
      </c>
      <c r="CO723" s="1889">
        <v>0</v>
      </c>
      <c r="CP723" s="1762"/>
      <c r="CQ723" s="1762"/>
      <c r="CR723" s="1762"/>
      <c r="CS723" s="1762"/>
      <c r="CT723" s="1558"/>
      <c r="CU723" s="1558"/>
      <c r="CV723" s="1558"/>
      <c r="CW723" s="1558"/>
      <c r="CY723" s="1558"/>
    </row>
    <row r="724" spans="1:107" s="1559" customFormat="1" ht="15" thickBot="1" x14ac:dyDescent="0.2">
      <c r="A724" s="1541" t="s">
        <v>96</v>
      </c>
      <c r="B724" s="1523" t="s">
        <v>79</v>
      </c>
      <c r="C724" s="1523" t="s">
        <v>80</v>
      </c>
      <c r="D724" s="1523" t="s">
        <v>125</v>
      </c>
      <c r="E724" s="1523" t="s">
        <v>216</v>
      </c>
      <c r="F724" s="1523"/>
      <c r="G724" s="1667">
        <v>310</v>
      </c>
      <c r="H724" s="1647"/>
      <c r="I724" s="1630"/>
      <c r="J724" s="1630"/>
      <c r="K724" s="1630"/>
      <c r="L724" s="1631"/>
      <c r="M724" s="1631"/>
      <c r="N724" s="1631"/>
      <c r="O724" s="1631"/>
      <c r="P724" s="1631"/>
      <c r="Q724" s="1631"/>
      <c r="R724" s="1631"/>
      <c r="S724" s="1631"/>
      <c r="T724" s="1637"/>
      <c r="U724" s="1633"/>
      <c r="V724" s="1633"/>
      <c r="W724" s="1637"/>
      <c r="X724" s="1637"/>
      <c r="Y724" s="1637"/>
      <c r="Z724" s="1635"/>
      <c r="AA724" s="1634">
        <f t="shared" si="484"/>
        <v>0</v>
      </c>
      <c r="AB724" s="1637"/>
      <c r="AC724" s="1637"/>
      <c r="AD724" s="1509">
        <f t="shared" si="489"/>
        <v>0</v>
      </c>
      <c r="AE724" s="1509">
        <f t="shared" si="490"/>
        <v>0</v>
      </c>
      <c r="AF724" s="1509">
        <f t="shared" si="490"/>
        <v>0</v>
      </c>
      <c r="AG724" s="1509">
        <f t="shared" si="490"/>
        <v>0</v>
      </c>
      <c r="AH724" s="1490">
        <f t="shared" si="455"/>
        <v>0</v>
      </c>
      <c r="AI724" s="1636">
        <f t="shared" si="491"/>
        <v>0</v>
      </c>
      <c r="AJ724" s="1636">
        <f t="shared" si="492"/>
        <v>0</v>
      </c>
      <c r="AK724" s="1636">
        <f t="shared" si="493"/>
        <v>0</v>
      </c>
      <c r="AL724" s="1636">
        <f t="shared" si="493"/>
        <v>0</v>
      </c>
      <c r="AM724" s="1636">
        <f t="shared" si="493"/>
        <v>0</v>
      </c>
      <c r="AN724" s="1712"/>
      <c r="AO724" s="1712"/>
      <c r="AP724" s="1773"/>
      <c r="AQ724" s="1773"/>
      <c r="AR724" s="1773"/>
      <c r="AS724" s="1760"/>
      <c r="AT724" s="1773"/>
      <c r="AU724" s="1773"/>
      <c r="AV724" s="1773"/>
      <c r="AW724" s="1762"/>
      <c r="AX724" s="1762"/>
      <c r="AY724" s="1762"/>
      <c r="AZ724" s="1762"/>
      <c r="BA724" s="1762"/>
      <c r="BB724" s="1762"/>
      <c r="BC724" s="1762"/>
      <c r="BD724" s="1762"/>
      <c r="BE724" s="1763"/>
      <c r="BF724" s="1762"/>
      <c r="BG724" s="1762"/>
      <c r="BH724" s="1762"/>
      <c r="BI724" s="1762"/>
      <c r="BJ724" s="1762"/>
      <c r="BK724" s="1762"/>
      <c r="BL724" s="1762"/>
      <c r="BM724" s="1762"/>
      <c r="BN724" s="1762"/>
      <c r="BO724" s="1762"/>
      <c r="BP724" s="1762"/>
      <c r="BQ724" s="1762"/>
      <c r="BR724" s="1762"/>
      <c r="BS724" s="1762"/>
      <c r="BT724" s="1762"/>
      <c r="BU724" s="1762"/>
      <c r="BV724" s="1762"/>
      <c r="BW724" s="1762"/>
      <c r="BX724" s="1762"/>
      <c r="BY724" s="1762"/>
      <c r="BZ724" s="1762"/>
      <c r="CA724" s="1762"/>
      <c r="CB724" s="1762"/>
      <c r="CC724" s="1762"/>
      <c r="CD724" s="1762"/>
      <c r="CE724" s="1762"/>
      <c r="CF724" s="1762"/>
      <c r="CG724" s="1691"/>
      <c r="CH724" s="1641">
        <f t="shared" si="465"/>
        <v>0</v>
      </c>
      <c r="CI724" s="1641">
        <f t="shared" si="465"/>
        <v>0</v>
      </c>
      <c r="CJ724" s="1641">
        <f t="shared" si="465"/>
        <v>0</v>
      </c>
      <c r="CK724" s="1641">
        <f t="shared" si="465"/>
        <v>0</v>
      </c>
      <c r="CL724" s="1889">
        <v>0</v>
      </c>
      <c r="CM724" s="1889">
        <v>0</v>
      </c>
      <c r="CN724" s="1889">
        <v>0</v>
      </c>
      <c r="CO724" s="1889">
        <v>0</v>
      </c>
      <c r="CP724" s="1762"/>
      <c r="CQ724" s="1762"/>
      <c r="CR724" s="1762"/>
      <c r="CS724" s="1762"/>
      <c r="CT724" s="1558"/>
      <c r="CU724" s="1558"/>
      <c r="CV724" s="1558"/>
      <c r="CW724" s="1558"/>
      <c r="CY724" s="1558"/>
    </row>
    <row r="725" spans="1:107" s="1559" customFormat="1" ht="15" thickBot="1" x14ac:dyDescent="0.2">
      <c r="A725" s="1541" t="s">
        <v>97</v>
      </c>
      <c r="B725" s="1523" t="s">
        <v>79</v>
      </c>
      <c r="C725" s="1523" t="s">
        <v>80</v>
      </c>
      <c r="D725" s="1523" t="s">
        <v>125</v>
      </c>
      <c r="E725" s="1523" t="s">
        <v>216</v>
      </c>
      <c r="F725" s="1523"/>
      <c r="G725" s="1667">
        <v>340</v>
      </c>
      <c r="H725" s="1647"/>
      <c r="I725" s="1630"/>
      <c r="J725" s="1630"/>
      <c r="K725" s="1630"/>
      <c r="L725" s="1631"/>
      <c r="M725" s="1631"/>
      <c r="N725" s="1631"/>
      <c r="O725" s="1631"/>
      <c r="P725" s="1631"/>
      <c r="Q725" s="1631"/>
      <c r="R725" s="1631"/>
      <c r="S725" s="1631"/>
      <c r="T725" s="1637"/>
      <c r="U725" s="1633"/>
      <c r="V725" s="1633"/>
      <c r="W725" s="1637"/>
      <c r="X725" s="1637"/>
      <c r="Y725" s="1637"/>
      <c r="Z725" s="1635"/>
      <c r="AA725" s="1634">
        <f t="shared" si="484"/>
        <v>0</v>
      </c>
      <c r="AB725" s="1637"/>
      <c r="AC725" s="1637"/>
      <c r="AD725" s="1509">
        <f t="shared" si="489"/>
        <v>0</v>
      </c>
      <c r="AE725" s="1509">
        <f t="shared" si="490"/>
        <v>0</v>
      </c>
      <c r="AF725" s="1509">
        <f t="shared" si="490"/>
        <v>0</v>
      </c>
      <c r="AG725" s="1509">
        <f t="shared" si="490"/>
        <v>0</v>
      </c>
      <c r="AH725" s="1490">
        <f t="shared" si="455"/>
        <v>0</v>
      </c>
      <c r="AI725" s="1636">
        <f t="shared" si="491"/>
        <v>0</v>
      </c>
      <c r="AJ725" s="1636">
        <f t="shared" si="492"/>
        <v>0</v>
      </c>
      <c r="AK725" s="1636">
        <f t="shared" si="493"/>
        <v>0</v>
      </c>
      <c r="AL725" s="1636">
        <f t="shared" si="493"/>
        <v>0</v>
      </c>
      <c r="AM725" s="1636">
        <f t="shared" si="493"/>
        <v>0</v>
      </c>
      <c r="AN725" s="1712"/>
      <c r="AO725" s="1712"/>
      <c r="AP725" s="1773"/>
      <c r="AQ725" s="1773"/>
      <c r="AR725" s="1773"/>
      <c r="AS725" s="1760"/>
      <c r="AT725" s="1773"/>
      <c r="AU725" s="1773"/>
      <c r="AV725" s="1773"/>
      <c r="AW725" s="1762"/>
      <c r="AX725" s="1762"/>
      <c r="AY725" s="1762"/>
      <c r="AZ725" s="1762"/>
      <c r="BA725" s="1762"/>
      <c r="BB725" s="1762"/>
      <c r="BC725" s="1762"/>
      <c r="BD725" s="1762"/>
      <c r="BE725" s="1763"/>
      <c r="BF725" s="1762"/>
      <c r="BG725" s="1762"/>
      <c r="BH725" s="1762"/>
      <c r="BI725" s="1762"/>
      <c r="BJ725" s="1762"/>
      <c r="BK725" s="1762"/>
      <c r="BL725" s="1762"/>
      <c r="BM725" s="1762"/>
      <c r="BN725" s="1762"/>
      <c r="BO725" s="1762"/>
      <c r="BP725" s="1762"/>
      <c r="BQ725" s="1762"/>
      <c r="BR725" s="1762"/>
      <c r="BS725" s="1762"/>
      <c r="BT725" s="1762"/>
      <c r="BU725" s="1762"/>
      <c r="BV725" s="1762"/>
      <c r="BW725" s="1762"/>
      <c r="BX725" s="1762"/>
      <c r="BY725" s="1762"/>
      <c r="BZ725" s="1762"/>
      <c r="CA725" s="1762"/>
      <c r="CB725" s="1762"/>
      <c r="CC725" s="1762"/>
      <c r="CD725" s="1762"/>
      <c r="CE725" s="1762"/>
      <c r="CF725" s="1762"/>
      <c r="CG725" s="1691"/>
      <c r="CH725" s="1641">
        <f t="shared" si="465"/>
        <v>0</v>
      </c>
      <c r="CI725" s="1641">
        <f t="shared" si="465"/>
        <v>0</v>
      </c>
      <c r="CJ725" s="1641">
        <f t="shared" si="465"/>
        <v>0</v>
      </c>
      <c r="CK725" s="1641">
        <f t="shared" si="465"/>
        <v>0</v>
      </c>
      <c r="CL725" s="1889">
        <v>0</v>
      </c>
      <c r="CM725" s="1889">
        <v>0</v>
      </c>
      <c r="CN725" s="1889">
        <v>0</v>
      </c>
      <c r="CO725" s="1889">
        <v>0</v>
      </c>
      <c r="CP725" s="1762"/>
      <c r="CQ725" s="1762"/>
      <c r="CR725" s="1762"/>
      <c r="CS725" s="1762"/>
      <c r="CT725" s="1558"/>
      <c r="CU725" s="1558"/>
      <c r="CV725" s="1558"/>
      <c r="CW725" s="1558"/>
      <c r="CY725" s="1558"/>
    </row>
    <row r="726" spans="1:107" s="1559" customFormat="1" ht="15" thickBot="1" x14ac:dyDescent="0.2">
      <c r="A726" s="1528" t="s">
        <v>767</v>
      </c>
      <c r="B726" s="1530" t="s">
        <v>79</v>
      </c>
      <c r="C726" s="1530" t="s">
        <v>80</v>
      </c>
      <c r="D726" s="1530" t="s">
        <v>125</v>
      </c>
      <c r="E726" s="1530" t="s">
        <v>216</v>
      </c>
      <c r="F726" s="1530">
        <v>612</v>
      </c>
      <c r="G726" s="1687" t="s">
        <v>766</v>
      </c>
      <c r="H726" s="1647">
        <f>I712</f>
        <v>80000</v>
      </c>
      <c r="I726" s="1630"/>
      <c r="J726" s="1630"/>
      <c r="K726" s="1630"/>
      <c r="L726" s="1631"/>
      <c r="M726" s="1631"/>
      <c r="N726" s="1631"/>
      <c r="O726" s="1631"/>
      <c r="P726" s="1631"/>
      <c r="Q726" s="1631"/>
      <c r="R726" s="1631"/>
      <c r="S726" s="1631"/>
      <c r="T726" s="1637"/>
      <c r="U726" s="1633"/>
      <c r="V726" s="1633"/>
      <c r="W726" s="1637"/>
      <c r="X726" s="1637"/>
      <c r="Y726" s="1637"/>
      <c r="Z726" s="1635"/>
      <c r="AA726" s="1634">
        <f t="shared" si="484"/>
        <v>0</v>
      </c>
      <c r="AB726" s="1637"/>
      <c r="AC726" s="1637"/>
      <c r="AD726" s="1509"/>
      <c r="AE726" s="1509"/>
      <c r="AF726" s="1509"/>
      <c r="AG726" s="1509"/>
      <c r="AH726" s="1490">
        <f t="shared" ref="AH726:AH789" si="494">CG726+CL726</f>
        <v>0</v>
      </c>
      <c r="AI726" s="1637"/>
      <c r="AJ726" s="1637"/>
      <c r="AK726" s="1637"/>
      <c r="AL726" s="1637"/>
      <c r="AM726" s="1637"/>
      <c r="AN726" s="1712"/>
      <c r="AO726" s="1712"/>
      <c r="AP726" s="1773"/>
      <c r="AQ726" s="1773"/>
      <c r="AR726" s="1773"/>
      <c r="AS726" s="1760"/>
      <c r="AT726" s="1773"/>
      <c r="AU726" s="1773"/>
      <c r="AV726" s="1773"/>
      <c r="AW726" s="1762"/>
      <c r="AX726" s="1762"/>
      <c r="AY726" s="1762"/>
      <c r="AZ726" s="1762"/>
      <c r="BA726" s="1762"/>
      <c r="BB726" s="1762"/>
      <c r="BC726" s="1762"/>
      <c r="BD726" s="1762"/>
      <c r="BE726" s="1763"/>
      <c r="BF726" s="1762"/>
      <c r="BG726" s="1762"/>
      <c r="BH726" s="1762"/>
      <c r="BI726" s="1762"/>
      <c r="BJ726" s="1762"/>
      <c r="BK726" s="1762"/>
      <c r="BL726" s="1762"/>
      <c r="BM726" s="1762"/>
      <c r="BN726" s="1762"/>
      <c r="BO726" s="1762"/>
      <c r="BP726" s="1762"/>
      <c r="BQ726" s="1762"/>
      <c r="BR726" s="1762"/>
      <c r="BS726" s="1762"/>
      <c r="BT726" s="1762"/>
      <c r="BU726" s="1762"/>
      <c r="BV726" s="1762"/>
      <c r="BW726" s="1762"/>
      <c r="BX726" s="1762"/>
      <c r="BY726" s="1762"/>
      <c r="BZ726" s="1762"/>
      <c r="CA726" s="1762"/>
      <c r="CB726" s="1762"/>
      <c r="CC726" s="1762"/>
      <c r="CD726" s="1762"/>
      <c r="CE726" s="1762"/>
      <c r="CF726" s="1762"/>
      <c r="CG726" s="1691"/>
      <c r="CH726" s="1641">
        <f t="shared" si="465"/>
        <v>0</v>
      </c>
      <c r="CI726" s="1641">
        <f t="shared" si="465"/>
        <v>0</v>
      </c>
      <c r="CJ726" s="1641">
        <f t="shared" si="465"/>
        <v>0</v>
      </c>
      <c r="CK726" s="1641">
        <f t="shared" si="465"/>
        <v>0</v>
      </c>
      <c r="CL726" s="1975"/>
      <c r="CM726" s="1975"/>
      <c r="CN726" s="1975"/>
      <c r="CO726" s="1975"/>
      <c r="CP726" s="1762"/>
      <c r="CQ726" s="1762"/>
      <c r="CR726" s="1762"/>
      <c r="CS726" s="1762"/>
      <c r="CT726" s="1558"/>
      <c r="CU726" s="1558"/>
      <c r="CV726" s="1558"/>
      <c r="CW726" s="1558"/>
      <c r="CY726" s="1558"/>
    </row>
    <row r="727" spans="1:107" s="1886" customFormat="1" ht="27" thickBot="1" x14ac:dyDescent="0.2">
      <c r="A727" s="1873" t="s">
        <v>1289</v>
      </c>
      <c r="B727" s="1941" t="s">
        <v>79</v>
      </c>
      <c r="C727" s="1941" t="s">
        <v>80</v>
      </c>
      <c r="D727" s="1941" t="s">
        <v>125</v>
      </c>
      <c r="E727" s="1941" t="s">
        <v>216</v>
      </c>
      <c r="F727" s="1941">
        <v>600</v>
      </c>
      <c r="G727" s="1874"/>
      <c r="H727" s="1606">
        <f>H728+H742</f>
        <v>79038.790049999981</v>
      </c>
      <c r="I727" s="1606">
        <f>I728+I742</f>
        <v>39447.199999999997</v>
      </c>
      <c r="J727" s="1606">
        <f>J728+J742</f>
        <v>30</v>
      </c>
      <c r="K727" s="1606">
        <f>K728+K742</f>
        <v>547.8449999999998</v>
      </c>
      <c r="L727" s="1607"/>
      <c r="M727" s="1607"/>
      <c r="N727" s="1607"/>
      <c r="O727" s="1607"/>
      <c r="P727" s="1607"/>
      <c r="Q727" s="1607"/>
      <c r="R727" s="1607"/>
      <c r="S727" s="1607"/>
      <c r="T727" s="1608"/>
      <c r="U727" s="1609"/>
      <c r="V727" s="1609"/>
      <c r="W727" s="1610"/>
      <c r="X727" s="1610"/>
      <c r="Y727" s="1610"/>
      <c r="Z727" s="1611"/>
      <c r="AA727" s="1634">
        <f>AB727-Z727</f>
        <v>0</v>
      </c>
      <c r="AB727" s="1610"/>
      <c r="AC727" s="1612">
        <f t="shared" ref="AC727:CF727" si="495">AC728+AC742</f>
        <v>39591.590049999992</v>
      </c>
      <c r="AD727" s="1612">
        <f t="shared" si="495"/>
        <v>40025.044999999998</v>
      </c>
      <c r="AE727" s="1612">
        <f t="shared" si="495"/>
        <v>39447.199999999997</v>
      </c>
      <c r="AF727" s="1612">
        <f t="shared" si="495"/>
        <v>30</v>
      </c>
      <c r="AG727" s="1612">
        <f t="shared" si="495"/>
        <v>547.84500000000003</v>
      </c>
      <c r="AH727" s="1490">
        <f t="shared" si="494"/>
        <v>1468.7639999999999</v>
      </c>
      <c r="AI727" s="1613">
        <f t="shared" si="495"/>
        <v>0</v>
      </c>
      <c r="AJ727" s="1613">
        <f t="shared" si="495"/>
        <v>0</v>
      </c>
      <c r="AK727" s="1613">
        <f t="shared" si="495"/>
        <v>0</v>
      </c>
      <c r="AL727" s="1636">
        <f t="shared" ref="AL727:AM758" si="496">J727-AF727</f>
        <v>0</v>
      </c>
      <c r="AM727" s="1613">
        <f t="shared" si="495"/>
        <v>0</v>
      </c>
      <c r="AN727" s="1614"/>
      <c r="AO727" s="1606">
        <f t="shared" si="495"/>
        <v>5330.38</v>
      </c>
      <c r="AP727" s="1606">
        <f t="shared" si="495"/>
        <v>108.3</v>
      </c>
      <c r="AQ727" s="1606">
        <f t="shared" si="495"/>
        <v>0</v>
      </c>
      <c r="AR727" s="1606">
        <f t="shared" si="495"/>
        <v>0</v>
      </c>
      <c r="AS727" s="1611">
        <f t="shared" si="495"/>
        <v>2996</v>
      </c>
      <c r="AT727" s="1606">
        <f t="shared" si="495"/>
        <v>100</v>
      </c>
      <c r="AU727" s="1606">
        <f t="shared" si="495"/>
        <v>0</v>
      </c>
      <c r="AV727" s="1606">
        <f t="shared" si="495"/>
        <v>0</v>
      </c>
      <c r="AW727" s="1611">
        <f t="shared" si="495"/>
        <v>3639.1</v>
      </c>
      <c r="AX727" s="1606">
        <f t="shared" si="495"/>
        <v>16000</v>
      </c>
      <c r="AY727" s="1606">
        <f t="shared" si="495"/>
        <v>0</v>
      </c>
      <c r="AZ727" s="1606">
        <f t="shared" si="495"/>
        <v>0</v>
      </c>
      <c r="BA727" s="1614">
        <f t="shared" si="495"/>
        <v>2960.1</v>
      </c>
      <c r="BB727" s="1606">
        <f t="shared" si="495"/>
        <v>2700</v>
      </c>
      <c r="BC727" s="1606">
        <f t="shared" si="495"/>
        <v>0</v>
      </c>
      <c r="BD727" s="1606">
        <f t="shared" si="495"/>
        <v>0</v>
      </c>
      <c r="BE727" s="1615">
        <f t="shared" si="495"/>
        <v>2988.0100499999999</v>
      </c>
      <c r="BF727" s="1606">
        <f t="shared" si="495"/>
        <v>0</v>
      </c>
      <c r="BG727" s="1606">
        <f t="shared" si="495"/>
        <v>0</v>
      </c>
      <c r="BH727" s="1606">
        <f t="shared" si="495"/>
        <v>0</v>
      </c>
      <c r="BI727" s="1614">
        <f t="shared" si="495"/>
        <v>816.53</v>
      </c>
      <c r="BJ727" s="1606">
        <f t="shared" si="495"/>
        <v>0</v>
      </c>
      <c r="BK727" s="1606">
        <f t="shared" si="495"/>
        <v>0</v>
      </c>
      <c r="BL727" s="1606">
        <f t="shared" si="495"/>
        <v>0</v>
      </c>
      <c r="BM727" s="1614">
        <f t="shared" si="495"/>
        <v>8151.22</v>
      </c>
      <c r="BN727" s="1606">
        <f t="shared" si="495"/>
        <v>2000</v>
      </c>
      <c r="BO727" s="1606">
        <f t="shared" si="495"/>
        <v>0</v>
      </c>
      <c r="BP727" s="1606">
        <f t="shared" si="495"/>
        <v>0</v>
      </c>
      <c r="BQ727" s="1614">
        <f t="shared" si="495"/>
        <v>3145.7459999999996</v>
      </c>
      <c r="BR727" s="1606">
        <f t="shared" si="495"/>
        <v>3672.4</v>
      </c>
      <c r="BS727" s="1606">
        <f t="shared" si="495"/>
        <v>0</v>
      </c>
      <c r="BT727" s="1606">
        <f t="shared" si="495"/>
        <v>0</v>
      </c>
      <c r="BU727" s="1614">
        <f t="shared" si="495"/>
        <v>2407.1999999999998</v>
      </c>
      <c r="BV727" s="1606">
        <f t="shared" si="495"/>
        <v>4668.8</v>
      </c>
      <c r="BW727" s="1606">
        <f t="shared" si="495"/>
        <v>0</v>
      </c>
      <c r="BX727" s="1606">
        <f t="shared" si="495"/>
        <v>0</v>
      </c>
      <c r="BY727" s="1614">
        <f t="shared" si="495"/>
        <v>669.74</v>
      </c>
      <c r="BZ727" s="1606">
        <f t="shared" si="495"/>
        <v>1980.8510000000001</v>
      </c>
      <c r="CA727" s="1606">
        <f t="shared" si="495"/>
        <v>0</v>
      </c>
      <c r="CB727" s="1606">
        <f t="shared" si="495"/>
        <v>0</v>
      </c>
      <c r="CC727" s="1614">
        <f t="shared" si="495"/>
        <v>5018.8</v>
      </c>
      <c r="CD727" s="1606">
        <f t="shared" si="495"/>
        <v>0</v>
      </c>
      <c r="CE727" s="1606">
        <f t="shared" si="495"/>
        <v>0</v>
      </c>
      <c r="CF727" s="1606">
        <f t="shared" si="495"/>
        <v>0</v>
      </c>
      <c r="CG727" s="1616"/>
      <c r="CH727" s="1641">
        <f t="shared" si="465"/>
        <v>1468.7639999999999</v>
      </c>
      <c r="CI727" s="1641">
        <f t="shared" si="465"/>
        <v>8216.8490000000002</v>
      </c>
      <c r="CJ727" s="1641">
        <f t="shared" si="465"/>
        <v>30</v>
      </c>
      <c r="CK727" s="1641">
        <f t="shared" si="465"/>
        <v>0</v>
      </c>
      <c r="CL727" s="1942">
        <v>1468.7639999999999</v>
      </c>
      <c r="CM727" s="1943">
        <v>116.619</v>
      </c>
      <c r="CN727" s="1889">
        <v>30</v>
      </c>
      <c r="CO727" s="1943">
        <v>0</v>
      </c>
      <c r="CP727" s="1614">
        <f>CP728+CP742</f>
        <v>0</v>
      </c>
      <c r="CQ727" s="1606">
        <f>CQ728+CQ742</f>
        <v>8100.23</v>
      </c>
      <c r="CR727" s="1606">
        <f>CR728+CR742</f>
        <v>0</v>
      </c>
      <c r="CS727" s="1606">
        <f>CS728+CS742</f>
        <v>0</v>
      </c>
      <c r="CT727" s="1885"/>
      <c r="CU727" s="1885"/>
      <c r="CV727" s="1885"/>
      <c r="CW727" s="1885"/>
      <c r="CY727" s="1885"/>
    </row>
    <row r="728" spans="1:107" ht="53" thickBot="1" x14ac:dyDescent="0.2">
      <c r="A728" s="1748" t="s">
        <v>1135</v>
      </c>
      <c r="B728" s="1749" t="s">
        <v>79</v>
      </c>
      <c r="C728" s="1749" t="s">
        <v>80</v>
      </c>
      <c r="D728" s="1749" t="s">
        <v>125</v>
      </c>
      <c r="E728" s="1749" t="s">
        <v>216</v>
      </c>
      <c r="F728" s="1749" t="s">
        <v>765</v>
      </c>
      <c r="G728" s="1600" t="s">
        <v>766</v>
      </c>
      <c r="H728" s="1531">
        <f>H729+H730+H731+H732+H733+H734+H735+H736+H737+H738+H739+H740+H741</f>
        <v>39591.590049999992</v>
      </c>
      <c r="I728" s="1531">
        <f>I729+I730+I731+I732+I733+I734+I735+I736+I737+I738+I739+I740+I741</f>
        <v>39447.199999999997</v>
      </c>
      <c r="J728" s="1531">
        <f>J729+J730+J731+J732+J733+J734+J735+J736+J737+J738+J739+J740+J741</f>
        <v>30</v>
      </c>
      <c r="K728" s="1531">
        <f>K729+K730+K731+K732+K733+K734+K735+K736+K737+K738+K739+K740+K741</f>
        <v>547.8449999999998</v>
      </c>
      <c r="L728" s="1601"/>
      <c r="M728" s="1601"/>
      <c r="N728" s="1601"/>
      <c r="O728" s="1601">
        <f>O729+O730+O731+O732+O733+O734+O735+O736+O737+O738+O739+O740+O741</f>
        <v>0</v>
      </c>
      <c r="P728" s="1601"/>
      <c r="Q728" s="1601">
        <f>Q729+Q730+Q731+Q732+Q733+Q734+Q735+Q736+Q737+Q738+Q739+Q740+Q741</f>
        <v>8300</v>
      </c>
      <c r="R728" s="1601">
        <f>R729+R730+R731+R732+R733+R734+R735+R736+R737+R738+R739+R740+R741</f>
        <v>400</v>
      </c>
      <c r="S728" s="1601">
        <f>S729+S730+S731+S732+S733+S734+S735+S736+S737+S738+S739+S740+S741</f>
        <v>0</v>
      </c>
      <c r="T728" s="1602"/>
      <c r="U728" s="1533"/>
      <c r="V728" s="1533"/>
      <c r="W728" s="1534"/>
      <c r="X728" s="1534"/>
      <c r="Y728" s="1534"/>
      <c r="Z728" s="1535"/>
      <c r="AA728" s="1634">
        <f t="shared" si="484"/>
        <v>0</v>
      </c>
      <c r="AB728" s="1534"/>
      <c r="AC728" s="1983">
        <f t="shared" ref="AC728:CF728" si="497">AC729+AC730+AC731+AC732+AC733+AC734+AC735+AC736+AC737+AC738+AC739+AC740+AC741</f>
        <v>39591.590049999992</v>
      </c>
      <c r="AD728" s="1603">
        <f t="shared" si="497"/>
        <v>40025.044999999998</v>
      </c>
      <c r="AE728" s="1603">
        <f t="shared" si="497"/>
        <v>39447.199999999997</v>
      </c>
      <c r="AF728" s="1603">
        <f t="shared" si="497"/>
        <v>30</v>
      </c>
      <c r="AG728" s="1603">
        <f t="shared" si="497"/>
        <v>547.84500000000003</v>
      </c>
      <c r="AH728" s="1490">
        <f t="shared" si="494"/>
        <v>1468.7639999999999</v>
      </c>
      <c r="AI728" s="1592">
        <f t="shared" si="497"/>
        <v>0</v>
      </c>
      <c r="AJ728" s="1592">
        <f t="shared" si="497"/>
        <v>0</v>
      </c>
      <c r="AK728" s="1592">
        <f t="shared" si="497"/>
        <v>0</v>
      </c>
      <c r="AL728" s="1636">
        <f t="shared" si="496"/>
        <v>0</v>
      </c>
      <c r="AM728" s="1592">
        <f t="shared" si="497"/>
        <v>0</v>
      </c>
      <c r="AN728" s="1717"/>
      <c r="AO728" s="1707">
        <f t="shared" si="497"/>
        <v>5330.38</v>
      </c>
      <c r="AP728" s="1531">
        <f t="shared" si="497"/>
        <v>108.3</v>
      </c>
      <c r="AQ728" s="1531">
        <f t="shared" si="497"/>
        <v>0</v>
      </c>
      <c r="AR728" s="1531">
        <f t="shared" si="497"/>
        <v>0</v>
      </c>
      <c r="AS728" s="1535">
        <f t="shared" si="497"/>
        <v>2996</v>
      </c>
      <c r="AT728" s="1531">
        <f t="shared" si="497"/>
        <v>100</v>
      </c>
      <c r="AU728" s="1531">
        <f t="shared" si="497"/>
        <v>0</v>
      </c>
      <c r="AV728" s="1531">
        <f t="shared" si="497"/>
        <v>0</v>
      </c>
      <c r="AW728" s="1535">
        <f t="shared" si="497"/>
        <v>3639.1</v>
      </c>
      <c r="AX728" s="1531">
        <f t="shared" si="497"/>
        <v>16000</v>
      </c>
      <c r="AY728" s="1531">
        <f t="shared" si="497"/>
        <v>0</v>
      </c>
      <c r="AZ728" s="1531">
        <f t="shared" si="497"/>
        <v>0</v>
      </c>
      <c r="BA728" s="1538">
        <f t="shared" si="497"/>
        <v>2960.1</v>
      </c>
      <c r="BB728" s="1531">
        <f t="shared" si="497"/>
        <v>2700</v>
      </c>
      <c r="BC728" s="1531">
        <f t="shared" si="497"/>
        <v>0</v>
      </c>
      <c r="BD728" s="1531">
        <f t="shared" si="497"/>
        <v>0</v>
      </c>
      <c r="BE728" s="1539">
        <f t="shared" si="497"/>
        <v>2988.0100499999999</v>
      </c>
      <c r="BF728" s="1531">
        <f t="shared" si="497"/>
        <v>0</v>
      </c>
      <c r="BG728" s="1531">
        <f t="shared" si="497"/>
        <v>0</v>
      </c>
      <c r="BH728" s="1531">
        <f t="shared" si="497"/>
        <v>0</v>
      </c>
      <c r="BI728" s="1538">
        <f t="shared" si="497"/>
        <v>816.53</v>
      </c>
      <c r="BJ728" s="1531">
        <f t="shared" si="497"/>
        <v>0</v>
      </c>
      <c r="BK728" s="1531">
        <f t="shared" si="497"/>
        <v>0</v>
      </c>
      <c r="BL728" s="1531">
        <f t="shared" si="497"/>
        <v>0</v>
      </c>
      <c r="BM728" s="1538">
        <f t="shared" si="497"/>
        <v>8151.22</v>
      </c>
      <c r="BN728" s="1531">
        <f t="shared" si="497"/>
        <v>2000</v>
      </c>
      <c r="BO728" s="1531">
        <f t="shared" si="497"/>
        <v>0</v>
      </c>
      <c r="BP728" s="1531">
        <f t="shared" si="497"/>
        <v>0</v>
      </c>
      <c r="BQ728" s="1538">
        <f t="shared" si="497"/>
        <v>3145.7459999999996</v>
      </c>
      <c r="BR728" s="1531">
        <f t="shared" si="497"/>
        <v>3672.4</v>
      </c>
      <c r="BS728" s="1531">
        <f t="shared" si="497"/>
        <v>0</v>
      </c>
      <c r="BT728" s="1531">
        <f t="shared" si="497"/>
        <v>0</v>
      </c>
      <c r="BU728" s="1538">
        <f t="shared" si="497"/>
        <v>2407.1999999999998</v>
      </c>
      <c r="BV728" s="1531">
        <f t="shared" si="497"/>
        <v>4668.8</v>
      </c>
      <c r="BW728" s="1531">
        <f t="shared" si="497"/>
        <v>0</v>
      </c>
      <c r="BX728" s="1531">
        <f t="shared" si="497"/>
        <v>0</v>
      </c>
      <c r="BY728" s="1538">
        <f t="shared" si="497"/>
        <v>669.74</v>
      </c>
      <c r="BZ728" s="1531">
        <f t="shared" si="497"/>
        <v>1980.8510000000001</v>
      </c>
      <c r="CA728" s="1531">
        <f t="shared" si="497"/>
        <v>0</v>
      </c>
      <c r="CB728" s="1531">
        <f t="shared" si="497"/>
        <v>0</v>
      </c>
      <c r="CC728" s="1538">
        <f t="shared" si="497"/>
        <v>5018.8</v>
      </c>
      <c r="CD728" s="1531">
        <f t="shared" si="497"/>
        <v>0</v>
      </c>
      <c r="CE728" s="1531">
        <f t="shared" si="497"/>
        <v>0</v>
      </c>
      <c r="CF728" s="1531">
        <f t="shared" si="497"/>
        <v>0</v>
      </c>
      <c r="CG728" s="1705"/>
      <c r="CH728" s="1641">
        <f t="shared" si="465"/>
        <v>1468.7639999999999</v>
      </c>
      <c r="CI728" s="1641">
        <f t="shared" si="465"/>
        <v>8216.8490000000002</v>
      </c>
      <c r="CJ728" s="1641">
        <f t="shared" si="465"/>
        <v>30</v>
      </c>
      <c r="CK728" s="1641">
        <f t="shared" si="465"/>
        <v>0</v>
      </c>
      <c r="CL728" s="1901">
        <v>1468.7639999999999</v>
      </c>
      <c r="CM728" s="1902">
        <v>116.619</v>
      </c>
      <c r="CN728" s="1889">
        <v>30</v>
      </c>
      <c r="CO728" s="1902">
        <v>0</v>
      </c>
      <c r="CP728" s="1538">
        <f>CP729+CP730+CP731+CP732+CP733+CP734+CP735+CP736+CP737+CP738+CP739+CP740+CP741</f>
        <v>0</v>
      </c>
      <c r="CQ728" s="1531">
        <f>CQ729+CQ730+CQ731+CQ732+CQ733+CQ734+CQ735+CQ736+CQ737+CQ738+CQ739+CQ740+CQ741</f>
        <v>8100.23</v>
      </c>
      <c r="CR728" s="1531">
        <f>CR729+CR730+CR731+CR732+CR733+CR734+CR735+CR736+CR737+CR738+CR739+CR740+CR741</f>
        <v>0</v>
      </c>
      <c r="CS728" s="1531">
        <f>CS729+CS730+CS731+CS732+CS733+CS734+CS735+CS736+CS737+CS738+CS739+CS740+CS741</f>
        <v>0</v>
      </c>
    </row>
    <row r="729" spans="1:107" ht="15" thickBot="1" x14ac:dyDescent="0.2">
      <c r="A729" s="1541" t="s">
        <v>78</v>
      </c>
      <c r="B729" s="1523" t="s">
        <v>79</v>
      </c>
      <c r="C729" s="1523" t="s">
        <v>80</v>
      </c>
      <c r="D729" s="1523" t="s">
        <v>125</v>
      </c>
      <c r="E729" s="1523" t="s">
        <v>216</v>
      </c>
      <c r="F729" s="1523"/>
      <c r="G729" s="1667">
        <v>211</v>
      </c>
      <c r="H729" s="1501">
        <f>27281.6-153</f>
        <v>27128.6</v>
      </c>
      <c r="I729" s="1645"/>
      <c r="J729" s="1630"/>
      <c r="K729" s="1501"/>
      <c r="L729" s="1984"/>
      <c r="M729" s="1984"/>
      <c r="N729" s="1984"/>
      <c r="O729" s="1984"/>
      <c r="P729" s="1984"/>
      <c r="Q729" s="1984"/>
      <c r="R729" s="1984"/>
      <c r="S729" s="1984"/>
      <c r="T729" s="1985"/>
      <c r="U729" s="1986"/>
      <c r="V729" s="1986"/>
      <c r="W729" s="1634">
        <f>H729/12</f>
        <v>2260.7166666666667</v>
      </c>
      <c r="X729" s="1634">
        <f>AO729</f>
        <v>2273.5</v>
      </c>
      <c r="Y729" s="1634">
        <f>CC729</f>
        <v>3897.5</v>
      </c>
      <c r="Z729" s="1635">
        <v>2547.4</v>
      </c>
      <c r="AA729" s="1634">
        <f t="shared" si="484"/>
        <v>-2547.4</v>
      </c>
      <c r="AB729" s="1511">
        <f>AI729</f>
        <v>0</v>
      </c>
      <c r="AC729" s="1508">
        <f t="shared" ref="AC729:AC741" si="498">AO729+AS729+AW729+BA729+BE729+BI729+BM729+BQ729+BU729+BY729+CC729+CH729</f>
        <v>27128.6</v>
      </c>
      <c r="AD729" s="1509">
        <f t="shared" ref="AD729:AD741" si="499">AE729+AF729+AG729</f>
        <v>0</v>
      </c>
      <c r="AE729" s="1509">
        <f t="shared" ref="AE729:AG741" si="500">AP729+AT729+AX729+BB729+BF729+BJ729+BN729+BR729+BV729+BZ729+CD729+CI729</f>
        <v>0</v>
      </c>
      <c r="AF729" s="1509">
        <f t="shared" si="500"/>
        <v>0</v>
      </c>
      <c r="AG729" s="1509">
        <f t="shared" si="500"/>
        <v>0</v>
      </c>
      <c r="AH729" s="1490">
        <f t="shared" si="494"/>
        <v>602.76</v>
      </c>
      <c r="AI729" s="1636">
        <f t="shared" ref="AI729:AI741" si="501">H729-AC729</f>
        <v>0</v>
      </c>
      <c r="AJ729" s="1636">
        <f t="shared" ref="AJ729:AJ741" si="502">AK729+AL729+AM729</f>
        <v>0</v>
      </c>
      <c r="AK729" s="1636">
        <f t="shared" ref="AK729:AK741" si="503">I729-AE729</f>
        <v>0</v>
      </c>
      <c r="AL729" s="1636">
        <f t="shared" si="496"/>
        <v>0</v>
      </c>
      <c r="AM729" s="1636">
        <f t="shared" si="496"/>
        <v>0</v>
      </c>
      <c r="AN729" s="1637">
        <f>AI729/4</f>
        <v>0</v>
      </c>
      <c r="AO729" s="1722">
        <v>2273.5</v>
      </c>
      <c r="AP729" s="1638"/>
      <c r="AQ729" s="1638"/>
      <c r="AR729" s="1638"/>
      <c r="AS729" s="1963">
        <v>2273.5</v>
      </c>
      <c r="AT729" s="1638"/>
      <c r="AU729" s="1638"/>
      <c r="AV729" s="1638"/>
      <c r="AW729" s="1722">
        <v>2273.5</v>
      </c>
      <c r="AX729" s="1640"/>
      <c r="AY729" s="1640"/>
      <c r="AZ729" s="1640"/>
      <c r="BA729" s="1964">
        <v>2273.5</v>
      </c>
      <c r="BB729" s="1640"/>
      <c r="BC729" s="1640"/>
      <c r="BD729" s="1640"/>
      <c r="BE729" s="1964">
        <v>2273.5</v>
      </c>
      <c r="BF729" s="1640"/>
      <c r="BG729" s="1640"/>
      <c r="BH729" s="1640"/>
      <c r="BI729" s="1641">
        <f>729.08</f>
        <v>729.08</v>
      </c>
      <c r="BJ729" s="1640"/>
      <c r="BK729" s="1640"/>
      <c r="BL729" s="1640"/>
      <c r="BM729" s="1641">
        <f>1544.42+4547</f>
        <v>6091.42</v>
      </c>
      <c r="BN729" s="1640"/>
      <c r="BO729" s="1640"/>
      <c r="BP729" s="1640"/>
      <c r="BQ729" s="1641">
        <v>2273.5</v>
      </c>
      <c r="BR729" s="1640"/>
      <c r="BS729" s="1640"/>
      <c r="BT729" s="1640"/>
      <c r="BU729" s="1641">
        <v>1666.8</v>
      </c>
      <c r="BV729" s="1640"/>
      <c r="BW729" s="1640"/>
      <c r="BX729" s="1640"/>
      <c r="BY729" s="1641">
        <v>500.04</v>
      </c>
      <c r="BZ729" s="1640"/>
      <c r="CA729" s="1640"/>
      <c r="CB729" s="1640"/>
      <c r="CC729" s="1641">
        <f>1350.1+2547.4</f>
        <v>3897.5</v>
      </c>
      <c r="CD729" s="1640"/>
      <c r="CE729" s="1640"/>
      <c r="CF729" s="1640"/>
      <c r="CG729" s="1987"/>
      <c r="CH729" s="1641">
        <f t="shared" ref="CH729:CK792" si="504">CL729+CP729</f>
        <v>602.76</v>
      </c>
      <c r="CI729" s="1641">
        <f t="shared" si="504"/>
        <v>0</v>
      </c>
      <c r="CJ729" s="1641">
        <f t="shared" si="504"/>
        <v>0</v>
      </c>
      <c r="CK729" s="1641">
        <f t="shared" si="504"/>
        <v>0</v>
      </c>
      <c r="CL729" s="1889">
        <v>602.76</v>
      </c>
      <c r="CM729" s="1889">
        <v>0</v>
      </c>
      <c r="CN729" s="1889">
        <v>0</v>
      </c>
      <c r="CO729" s="1889">
        <v>0</v>
      </c>
      <c r="CP729" s="1641"/>
      <c r="CQ729" s="1640"/>
      <c r="CR729" s="1640"/>
      <c r="CS729" s="1640"/>
      <c r="CX729" s="1558">
        <f>H729/12*10-AC729</f>
        <v>-4521.4333333333307</v>
      </c>
      <c r="CY729" s="1558">
        <f>AI729/3</f>
        <v>0</v>
      </c>
      <c r="CZ729" s="1558">
        <f>H729/12</f>
        <v>2260.7166666666667</v>
      </c>
      <c r="DA729" s="1559"/>
      <c r="DB729" s="1559"/>
      <c r="DC729" s="1559"/>
    </row>
    <row r="730" spans="1:107" ht="15" thickBot="1" x14ac:dyDescent="0.2">
      <c r="A730" s="1541" t="s">
        <v>103</v>
      </c>
      <c r="B730" s="1523" t="s">
        <v>79</v>
      </c>
      <c r="C730" s="1523" t="s">
        <v>80</v>
      </c>
      <c r="D730" s="1523" t="s">
        <v>125</v>
      </c>
      <c r="E730" s="1523" t="s">
        <v>216</v>
      </c>
      <c r="F730" s="1523"/>
      <c r="G730" s="1667">
        <v>212</v>
      </c>
      <c r="H730" s="1501"/>
      <c r="I730" s="1645"/>
      <c r="J730" s="1630"/>
      <c r="K730" s="1501"/>
      <c r="L730" s="1984"/>
      <c r="M730" s="1984"/>
      <c r="N730" s="1984"/>
      <c r="O730" s="1984"/>
      <c r="P730" s="1984"/>
      <c r="Q730" s="1984"/>
      <c r="R730" s="1984"/>
      <c r="S730" s="1984"/>
      <c r="T730" s="1985"/>
      <c r="U730" s="1986"/>
      <c r="V730" s="1986"/>
      <c r="W730" s="1634"/>
      <c r="X730" s="1634"/>
      <c r="Y730" s="1634">
        <f>CC730</f>
        <v>0</v>
      </c>
      <c r="Z730" s="1635">
        <f>AI730-X730</f>
        <v>0</v>
      </c>
      <c r="AA730" s="1634">
        <f t="shared" si="484"/>
        <v>0</v>
      </c>
      <c r="AB730" s="1511"/>
      <c r="AC730" s="1508">
        <f t="shared" si="498"/>
        <v>0</v>
      </c>
      <c r="AD730" s="1509">
        <f t="shared" si="499"/>
        <v>0</v>
      </c>
      <c r="AE730" s="1509">
        <f t="shared" si="500"/>
        <v>0</v>
      </c>
      <c r="AF730" s="1509">
        <f t="shared" si="500"/>
        <v>0</v>
      </c>
      <c r="AG730" s="1509">
        <f t="shared" si="500"/>
        <v>0</v>
      </c>
      <c r="AH730" s="1490">
        <f t="shared" si="494"/>
        <v>0</v>
      </c>
      <c r="AI730" s="1636">
        <f t="shared" si="501"/>
        <v>0</v>
      </c>
      <c r="AJ730" s="1636">
        <f t="shared" si="502"/>
        <v>0</v>
      </c>
      <c r="AK730" s="1636">
        <f t="shared" si="503"/>
        <v>0</v>
      </c>
      <c r="AL730" s="1636">
        <f t="shared" si="496"/>
        <v>0</v>
      </c>
      <c r="AM730" s="1636">
        <f t="shared" si="496"/>
        <v>0</v>
      </c>
      <c r="AN730" s="1637"/>
      <c r="AO730" s="1722">
        <v>0</v>
      </c>
      <c r="AP730" s="1638"/>
      <c r="AQ730" s="1638"/>
      <c r="AR730" s="1638"/>
      <c r="AS730" s="1963">
        <v>0</v>
      </c>
      <c r="AT730" s="1638"/>
      <c r="AU730" s="1638"/>
      <c r="AV730" s="1638"/>
      <c r="AW730" s="1722">
        <v>0</v>
      </c>
      <c r="AX730" s="1640"/>
      <c r="AY730" s="1640"/>
      <c r="AZ730" s="1640"/>
      <c r="BA730" s="1964">
        <v>0</v>
      </c>
      <c r="BB730" s="1640"/>
      <c r="BC730" s="1640"/>
      <c r="BD730" s="1640"/>
      <c r="BE730" s="1964">
        <v>0</v>
      </c>
      <c r="BF730" s="1640"/>
      <c r="BG730" s="1640"/>
      <c r="BH730" s="1640"/>
      <c r="BI730" s="1641"/>
      <c r="BJ730" s="1640"/>
      <c r="BK730" s="1640"/>
      <c r="BL730" s="1640"/>
      <c r="BM730" s="1641"/>
      <c r="BN730" s="1640"/>
      <c r="BO730" s="1640"/>
      <c r="BP730" s="1640"/>
      <c r="BQ730" s="1641"/>
      <c r="BR730" s="1640"/>
      <c r="BS730" s="1640"/>
      <c r="BT730" s="1640"/>
      <c r="BU730" s="1641"/>
      <c r="BV730" s="1640"/>
      <c r="BW730" s="1640"/>
      <c r="BX730" s="1640"/>
      <c r="BY730" s="1641"/>
      <c r="BZ730" s="1640"/>
      <c r="CA730" s="1640"/>
      <c r="CB730" s="1640"/>
      <c r="CC730" s="1641"/>
      <c r="CD730" s="1640"/>
      <c r="CE730" s="1640"/>
      <c r="CF730" s="1640"/>
      <c r="CG730" s="1987"/>
      <c r="CH730" s="1641">
        <f t="shared" si="504"/>
        <v>0</v>
      </c>
      <c r="CI730" s="1641">
        <f t="shared" si="504"/>
        <v>0</v>
      </c>
      <c r="CJ730" s="1641">
        <f t="shared" si="504"/>
        <v>0</v>
      </c>
      <c r="CK730" s="1641">
        <f t="shared" si="504"/>
        <v>0</v>
      </c>
      <c r="CL730" s="1889">
        <v>0</v>
      </c>
      <c r="CM730" s="1889">
        <v>0</v>
      </c>
      <c r="CN730" s="1889">
        <v>0</v>
      </c>
      <c r="CO730" s="1889">
        <v>0</v>
      </c>
      <c r="CP730" s="1641"/>
      <c r="CQ730" s="1640"/>
      <c r="CR730" s="1640"/>
      <c r="CS730" s="1640"/>
      <c r="CX730" s="1558"/>
      <c r="CY730" s="1558"/>
      <c r="CZ730" s="1558"/>
      <c r="DA730" s="1559"/>
      <c r="DB730" s="1559"/>
      <c r="DC730" s="1559"/>
    </row>
    <row r="731" spans="1:107" ht="15" thickBot="1" x14ac:dyDescent="0.2">
      <c r="A731" s="1541" t="s">
        <v>84</v>
      </c>
      <c r="B731" s="1523" t="s">
        <v>79</v>
      </c>
      <c r="C731" s="1523" t="s">
        <v>80</v>
      </c>
      <c r="D731" s="1523" t="s">
        <v>125</v>
      </c>
      <c r="E731" s="1523" t="s">
        <v>216</v>
      </c>
      <c r="F731" s="1523"/>
      <c r="G731" s="1667">
        <v>213</v>
      </c>
      <c r="H731" s="1501">
        <f>8239-46.2</f>
        <v>8192.7999999999993</v>
      </c>
      <c r="I731" s="1645"/>
      <c r="J731" s="1630"/>
      <c r="K731" s="1501"/>
      <c r="L731" s="1984"/>
      <c r="M731" s="1984"/>
      <c r="N731" s="1984"/>
      <c r="O731" s="1984"/>
      <c r="P731" s="1984"/>
      <c r="Q731" s="1984"/>
      <c r="R731" s="1984"/>
      <c r="S731" s="1984"/>
      <c r="T731" s="1985"/>
      <c r="U731" s="1986"/>
      <c r="V731" s="1986"/>
      <c r="W731" s="1634">
        <f>H731/12</f>
        <v>682.73333333333323</v>
      </c>
      <c r="X731" s="1634">
        <f>AO731</f>
        <v>686.6</v>
      </c>
      <c r="Y731" s="1634">
        <f>CC731</f>
        <v>1121.3</v>
      </c>
      <c r="Z731" s="1635">
        <v>1121.3</v>
      </c>
      <c r="AA731" s="1634">
        <f t="shared" si="484"/>
        <v>-1121.3</v>
      </c>
      <c r="AB731" s="1511">
        <f>AI731</f>
        <v>0</v>
      </c>
      <c r="AC731" s="1508">
        <f t="shared" si="498"/>
        <v>8192.7999999999993</v>
      </c>
      <c r="AD731" s="1509">
        <f t="shared" si="499"/>
        <v>0</v>
      </c>
      <c r="AE731" s="1509">
        <f t="shared" si="500"/>
        <v>0</v>
      </c>
      <c r="AF731" s="1509">
        <f t="shared" si="500"/>
        <v>0</v>
      </c>
      <c r="AG731" s="1509">
        <f t="shared" si="500"/>
        <v>0</v>
      </c>
      <c r="AH731" s="1490">
        <f t="shared" si="494"/>
        <v>265.3</v>
      </c>
      <c r="AI731" s="1636">
        <f t="shared" si="501"/>
        <v>0</v>
      </c>
      <c r="AJ731" s="1636">
        <f t="shared" si="502"/>
        <v>0</v>
      </c>
      <c r="AK731" s="1636">
        <f t="shared" si="503"/>
        <v>0</v>
      </c>
      <c r="AL731" s="1636">
        <f t="shared" si="496"/>
        <v>0</v>
      </c>
      <c r="AM731" s="1636">
        <f t="shared" si="496"/>
        <v>0</v>
      </c>
      <c r="AN731" s="1637">
        <f>AI731/4</f>
        <v>0</v>
      </c>
      <c r="AO731" s="1722">
        <v>686.6</v>
      </c>
      <c r="AP731" s="1638"/>
      <c r="AQ731" s="1638"/>
      <c r="AR731" s="1638"/>
      <c r="AS731" s="1963">
        <v>686.6</v>
      </c>
      <c r="AT731" s="1638"/>
      <c r="AU731" s="1638"/>
      <c r="AV731" s="1638"/>
      <c r="AW731" s="1722">
        <v>686.6</v>
      </c>
      <c r="AX731" s="1640"/>
      <c r="AY731" s="1640"/>
      <c r="AZ731" s="1640"/>
      <c r="BA731" s="1964">
        <v>686.6</v>
      </c>
      <c r="BB731" s="1640"/>
      <c r="BC731" s="1640"/>
      <c r="BD731" s="1640"/>
      <c r="BE731" s="1964">
        <v>686.6</v>
      </c>
      <c r="BF731" s="1640"/>
      <c r="BG731" s="1640"/>
      <c r="BH731" s="1640"/>
      <c r="BI731" s="1641"/>
      <c r="BJ731" s="1640"/>
      <c r="BK731" s="1640"/>
      <c r="BL731" s="1640"/>
      <c r="BM731" s="1641">
        <f>686.6+1373.2</f>
        <v>2059.8000000000002</v>
      </c>
      <c r="BN731" s="1640"/>
      <c r="BO731" s="1640"/>
      <c r="BP731" s="1640"/>
      <c r="BQ731" s="1641">
        <v>686.6</v>
      </c>
      <c r="BR731" s="1640"/>
      <c r="BS731" s="1640"/>
      <c r="BT731" s="1640"/>
      <c r="BU731" s="1641">
        <v>503.4</v>
      </c>
      <c r="BV731" s="1640"/>
      <c r="BW731" s="1640"/>
      <c r="BX731" s="1640"/>
      <c r="BY731" s="1641">
        <v>123.4</v>
      </c>
      <c r="BZ731" s="1640"/>
      <c r="CA731" s="1640"/>
      <c r="CB731" s="1640"/>
      <c r="CC731" s="1641">
        <v>1121.3</v>
      </c>
      <c r="CD731" s="1640"/>
      <c r="CE731" s="1640"/>
      <c r="CF731" s="1640"/>
      <c r="CG731" s="1987"/>
      <c r="CH731" s="1641">
        <f t="shared" si="504"/>
        <v>265.3</v>
      </c>
      <c r="CI731" s="1641">
        <f t="shared" si="504"/>
        <v>0</v>
      </c>
      <c r="CJ731" s="1641">
        <f t="shared" si="504"/>
        <v>0</v>
      </c>
      <c r="CK731" s="1641">
        <f t="shared" si="504"/>
        <v>0</v>
      </c>
      <c r="CL731" s="1889">
        <v>265.3</v>
      </c>
      <c r="CM731" s="1889">
        <v>0</v>
      </c>
      <c r="CN731" s="1889">
        <v>0</v>
      </c>
      <c r="CO731" s="1889">
        <v>0</v>
      </c>
      <c r="CP731" s="1641"/>
      <c r="CQ731" s="1640"/>
      <c r="CR731" s="1640"/>
      <c r="CS731" s="1640"/>
      <c r="CX731" s="1558">
        <f>H731/12*10-AC731</f>
        <v>-1365.4666666666672</v>
      </c>
      <c r="CY731" s="1558">
        <f>AI731/3</f>
        <v>0</v>
      </c>
      <c r="CZ731" s="1558">
        <f>H731/12</f>
        <v>682.73333333333323</v>
      </c>
      <c r="DA731" s="1559"/>
      <c r="DB731" s="1559"/>
      <c r="DC731" s="1559"/>
    </row>
    <row r="732" spans="1:107" ht="15" thickBot="1" x14ac:dyDescent="0.2">
      <c r="A732" s="1541" t="s">
        <v>85</v>
      </c>
      <c r="B732" s="1523" t="s">
        <v>79</v>
      </c>
      <c r="C732" s="1523" t="s">
        <v>80</v>
      </c>
      <c r="D732" s="1523" t="s">
        <v>125</v>
      </c>
      <c r="E732" s="1523" t="s">
        <v>216</v>
      </c>
      <c r="F732" s="1523"/>
      <c r="G732" s="1667">
        <v>221</v>
      </c>
      <c r="H732" s="1501"/>
      <c r="I732" s="1645"/>
      <c r="J732" s="1630"/>
      <c r="K732" s="1501"/>
      <c r="L732" s="1984"/>
      <c r="M732" s="1984"/>
      <c r="N732" s="1984"/>
      <c r="O732" s="1984"/>
      <c r="P732" s="1984"/>
      <c r="Q732" s="1984"/>
      <c r="R732" s="1984"/>
      <c r="S732" s="1984"/>
      <c r="T732" s="1985"/>
      <c r="U732" s="1986"/>
      <c r="V732" s="1986"/>
      <c r="W732" s="1988"/>
      <c r="X732" s="1988"/>
      <c r="Y732" s="1988"/>
      <c r="Z732" s="1989"/>
      <c r="AA732" s="1634">
        <f t="shared" si="484"/>
        <v>0</v>
      </c>
      <c r="AB732" s="1988"/>
      <c r="AC732" s="1508">
        <f t="shared" si="498"/>
        <v>0</v>
      </c>
      <c r="AD732" s="1509">
        <f t="shared" si="499"/>
        <v>0</v>
      </c>
      <c r="AE732" s="1509">
        <f t="shared" si="500"/>
        <v>0</v>
      </c>
      <c r="AF732" s="1509">
        <f t="shared" si="500"/>
        <v>0</v>
      </c>
      <c r="AG732" s="1509">
        <f t="shared" si="500"/>
        <v>0</v>
      </c>
      <c r="AH732" s="1490">
        <f t="shared" si="494"/>
        <v>0</v>
      </c>
      <c r="AI732" s="1636">
        <f t="shared" si="501"/>
        <v>0</v>
      </c>
      <c r="AJ732" s="1636">
        <f t="shared" si="502"/>
        <v>0</v>
      </c>
      <c r="AK732" s="1636">
        <f t="shared" si="503"/>
        <v>0</v>
      </c>
      <c r="AL732" s="1636">
        <f t="shared" si="496"/>
        <v>0</v>
      </c>
      <c r="AM732" s="1636">
        <f t="shared" si="496"/>
        <v>0</v>
      </c>
      <c r="AN732" s="1637"/>
      <c r="AO732" s="1722">
        <v>0</v>
      </c>
      <c r="AP732" s="1638"/>
      <c r="AQ732" s="1638"/>
      <c r="AR732" s="1638"/>
      <c r="AS732" s="1963">
        <v>0</v>
      </c>
      <c r="AT732" s="1638"/>
      <c r="AU732" s="1638"/>
      <c r="AV732" s="1638"/>
      <c r="AW732" s="1639"/>
      <c r="AX732" s="1640"/>
      <c r="AY732" s="1640"/>
      <c r="AZ732" s="1640"/>
      <c r="BA732" s="1641"/>
      <c r="BB732" s="1640"/>
      <c r="BC732" s="1640"/>
      <c r="BD732" s="1640"/>
      <c r="BE732" s="1644"/>
      <c r="BF732" s="1640"/>
      <c r="BG732" s="1640"/>
      <c r="BH732" s="1640"/>
      <c r="BI732" s="1641"/>
      <c r="BJ732" s="1640"/>
      <c r="BK732" s="1640"/>
      <c r="BL732" s="1640"/>
      <c r="BM732" s="1641"/>
      <c r="BN732" s="1640"/>
      <c r="BO732" s="1640"/>
      <c r="BP732" s="1640"/>
      <c r="BQ732" s="1641"/>
      <c r="BR732" s="1640"/>
      <c r="BS732" s="1640"/>
      <c r="BT732" s="1640"/>
      <c r="BU732" s="1641"/>
      <c r="BV732" s="1640"/>
      <c r="BW732" s="1640"/>
      <c r="BX732" s="1640"/>
      <c r="BY732" s="1641"/>
      <c r="BZ732" s="1640"/>
      <c r="CA732" s="1640"/>
      <c r="CB732" s="1640"/>
      <c r="CC732" s="1641"/>
      <c r="CD732" s="1640"/>
      <c r="CE732" s="1640"/>
      <c r="CF732" s="1640"/>
      <c r="CG732" s="1987"/>
      <c r="CH732" s="1641">
        <f t="shared" si="504"/>
        <v>0</v>
      </c>
      <c r="CI732" s="1641">
        <f t="shared" si="504"/>
        <v>0</v>
      </c>
      <c r="CJ732" s="1641">
        <f t="shared" si="504"/>
        <v>0</v>
      </c>
      <c r="CK732" s="1641">
        <f t="shared" si="504"/>
        <v>0</v>
      </c>
      <c r="CL732" s="1889">
        <v>0</v>
      </c>
      <c r="CM732" s="1889">
        <v>0</v>
      </c>
      <c r="CN732" s="1889">
        <v>0</v>
      </c>
      <c r="CO732" s="1889">
        <v>0</v>
      </c>
      <c r="CP732" s="1641"/>
      <c r="CQ732" s="1640"/>
      <c r="CR732" s="1640"/>
      <c r="CS732" s="1640"/>
    </row>
    <row r="733" spans="1:107" ht="15" thickBot="1" x14ac:dyDescent="0.2">
      <c r="A733" s="1541" t="s">
        <v>86</v>
      </c>
      <c r="B733" s="1523" t="s">
        <v>79</v>
      </c>
      <c r="C733" s="1523" t="s">
        <v>80</v>
      </c>
      <c r="D733" s="1523" t="s">
        <v>125</v>
      </c>
      <c r="E733" s="1523" t="s">
        <v>216</v>
      </c>
      <c r="F733" s="1523"/>
      <c r="G733" s="1667">
        <v>222</v>
      </c>
      <c r="H733" s="1501">
        <v>50</v>
      </c>
      <c r="I733" s="1645">
        <v>1300</v>
      </c>
      <c r="J733" s="1630"/>
      <c r="K733" s="1501"/>
      <c r="L733" s="1984"/>
      <c r="M733" s="1984"/>
      <c r="N733" s="1984"/>
      <c r="O733" s="1984"/>
      <c r="P733" s="1984"/>
      <c r="Q733" s="1984"/>
      <c r="R733" s="1984"/>
      <c r="S733" s="1984"/>
      <c r="T733" s="1985"/>
      <c r="U733" s="1986"/>
      <c r="V733" s="1986"/>
      <c r="W733" s="1988"/>
      <c r="X733" s="1988"/>
      <c r="Y733" s="1988"/>
      <c r="Z733" s="1989"/>
      <c r="AA733" s="1634">
        <f t="shared" si="484"/>
        <v>0</v>
      </c>
      <c r="AB733" s="1988"/>
      <c r="AC733" s="1508">
        <f t="shared" si="498"/>
        <v>50</v>
      </c>
      <c r="AD733" s="1509">
        <f t="shared" si="499"/>
        <v>1300</v>
      </c>
      <c r="AE733" s="1509">
        <f t="shared" si="500"/>
        <v>1300</v>
      </c>
      <c r="AF733" s="1509">
        <f t="shared" si="500"/>
        <v>0</v>
      </c>
      <c r="AG733" s="1509">
        <f t="shared" si="500"/>
        <v>0</v>
      </c>
      <c r="AH733" s="1490">
        <f t="shared" si="494"/>
        <v>0</v>
      </c>
      <c r="AI733" s="1636">
        <f t="shared" si="501"/>
        <v>0</v>
      </c>
      <c r="AJ733" s="1636">
        <f t="shared" si="502"/>
        <v>0</v>
      </c>
      <c r="AK733" s="1636">
        <f t="shared" si="503"/>
        <v>0</v>
      </c>
      <c r="AL733" s="1636">
        <f t="shared" si="496"/>
        <v>0</v>
      </c>
      <c r="AM733" s="1636">
        <f t="shared" si="496"/>
        <v>0</v>
      </c>
      <c r="AN733" s="1637"/>
      <c r="AO733" s="1722">
        <v>50</v>
      </c>
      <c r="AP733" s="1638"/>
      <c r="AQ733" s="1638"/>
      <c r="AR733" s="1638"/>
      <c r="AS733" s="1963">
        <v>0</v>
      </c>
      <c r="AT733" s="1638"/>
      <c r="AU733" s="1638"/>
      <c r="AV733" s="1638"/>
      <c r="AW733" s="1639"/>
      <c r="AX733" s="1640"/>
      <c r="AY733" s="1640"/>
      <c r="AZ733" s="1640"/>
      <c r="BA733" s="1641"/>
      <c r="BB733" s="1640"/>
      <c r="BC733" s="1640"/>
      <c r="BD733" s="1640"/>
      <c r="BE733" s="1644"/>
      <c r="BF733" s="1640"/>
      <c r="BG733" s="1640"/>
      <c r="BH733" s="1640"/>
      <c r="BI733" s="1641"/>
      <c r="BJ733" s="1640"/>
      <c r="BK733" s="1640"/>
      <c r="BL733" s="1640"/>
      <c r="BM733" s="1641"/>
      <c r="BN733" s="1640"/>
      <c r="BO733" s="1640"/>
      <c r="BP733" s="1640"/>
      <c r="BQ733" s="1641"/>
      <c r="BR733" s="1640"/>
      <c r="BS733" s="1640"/>
      <c r="BT733" s="1640"/>
      <c r="BU733" s="1641"/>
      <c r="BV733" s="1640"/>
      <c r="BW733" s="1640"/>
      <c r="BX733" s="1640"/>
      <c r="BY733" s="1641"/>
      <c r="BZ733" s="1640"/>
      <c r="CA733" s="1640"/>
      <c r="CB733" s="1640"/>
      <c r="CC733" s="1641"/>
      <c r="CD733" s="1640"/>
      <c r="CE733" s="1640"/>
      <c r="CF733" s="1640"/>
      <c r="CG733" s="1987"/>
      <c r="CH733" s="1641">
        <f t="shared" si="504"/>
        <v>0</v>
      </c>
      <c r="CI733" s="1641">
        <f t="shared" si="504"/>
        <v>1300</v>
      </c>
      <c r="CJ733" s="1641">
        <f t="shared" si="504"/>
        <v>0</v>
      </c>
      <c r="CK733" s="1641">
        <f t="shared" si="504"/>
        <v>0</v>
      </c>
      <c r="CL733" s="1889">
        <v>0</v>
      </c>
      <c r="CM733" s="1889">
        <v>0</v>
      </c>
      <c r="CN733" s="1889">
        <v>0</v>
      </c>
      <c r="CO733" s="1889">
        <v>0</v>
      </c>
      <c r="CP733" s="1641"/>
      <c r="CQ733" s="1640">
        <v>1300</v>
      </c>
      <c r="CR733" s="1640"/>
      <c r="CS733" s="1640"/>
    </row>
    <row r="734" spans="1:107" ht="15" thickBot="1" x14ac:dyDescent="0.2">
      <c r="A734" s="1541" t="s">
        <v>87</v>
      </c>
      <c r="B734" s="1523" t="s">
        <v>79</v>
      </c>
      <c r="C734" s="1523" t="s">
        <v>80</v>
      </c>
      <c r="D734" s="1523" t="s">
        <v>125</v>
      </c>
      <c r="E734" s="1523" t="s">
        <v>216</v>
      </c>
      <c r="F734" s="1523"/>
      <c r="G734" s="1667">
        <v>223</v>
      </c>
      <c r="H734" s="1501">
        <v>430.3</v>
      </c>
      <c r="I734" s="1645"/>
      <c r="J734" s="1630"/>
      <c r="K734" s="1501"/>
      <c r="L734" s="1984"/>
      <c r="M734" s="1984"/>
      <c r="N734" s="1984"/>
      <c r="O734" s="1984"/>
      <c r="P734" s="1984"/>
      <c r="Q734" s="1984"/>
      <c r="R734" s="1984"/>
      <c r="S734" s="1984"/>
      <c r="T734" s="1985"/>
      <c r="U734" s="1986"/>
      <c r="V734" s="1986"/>
      <c r="W734" s="1634"/>
      <c r="X734" s="1634"/>
      <c r="Y734" s="1634"/>
      <c r="Z734" s="1635"/>
      <c r="AA734" s="1634">
        <f t="shared" si="484"/>
        <v>0</v>
      </c>
      <c r="AB734" s="1634"/>
      <c r="AC734" s="1508">
        <f t="shared" si="498"/>
        <v>430.3</v>
      </c>
      <c r="AD734" s="1509">
        <f t="shared" si="499"/>
        <v>0</v>
      </c>
      <c r="AE734" s="1509">
        <f t="shared" si="500"/>
        <v>0</v>
      </c>
      <c r="AF734" s="1509">
        <f t="shared" si="500"/>
        <v>0</v>
      </c>
      <c r="AG734" s="1509">
        <f t="shared" si="500"/>
        <v>0</v>
      </c>
      <c r="AH734" s="1490">
        <f t="shared" si="494"/>
        <v>59.65</v>
      </c>
      <c r="AI734" s="1636">
        <f t="shared" si="501"/>
        <v>0</v>
      </c>
      <c r="AJ734" s="1636">
        <f t="shared" si="502"/>
        <v>0</v>
      </c>
      <c r="AK734" s="1636">
        <f t="shared" si="503"/>
        <v>0</v>
      </c>
      <c r="AL734" s="1636">
        <f t="shared" si="496"/>
        <v>0</v>
      </c>
      <c r="AM734" s="1636">
        <f t="shared" si="496"/>
        <v>0</v>
      </c>
      <c r="AN734" s="1637"/>
      <c r="AO734" s="1722">
        <v>35.9</v>
      </c>
      <c r="AP734" s="1638"/>
      <c r="AQ734" s="1638"/>
      <c r="AR734" s="1638"/>
      <c r="AS734" s="1963">
        <v>35.9</v>
      </c>
      <c r="AT734" s="1638"/>
      <c r="AU734" s="1638"/>
      <c r="AV734" s="1638"/>
      <c r="AW734" s="1639"/>
      <c r="AX734" s="1640"/>
      <c r="AY734" s="1640"/>
      <c r="AZ734" s="1640"/>
      <c r="BA734" s="1641"/>
      <c r="BB734" s="1640"/>
      <c r="BC734" s="1640"/>
      <c r="BD734" s="1640"/>
      <c r="BE734" s="1644">
        <v>81.3</v>
      </c>
      <c r="BF734" s="1640"/>
      <c r="BG734" s="1640"/>
      <c r="BH734" s="1640"/>
      <c r="BI734" s="1641">
        <v>40.65</v>
      </c>
      <c r="BJ734" s="1640"/>
      <c r="BK734" s="1640"/>
      <c r="BL734" s="1640"/>
      <c r="BM734" s="1641"/>
      <c r="BN734" s="1640"/>
      <c r="BO734" s="1640"/>
      <c r="BP734" s="1640"/>
      <c r="BQ734" s="1641">
        <v>40.6</v>
      </c>
      <c r="BR734" s="1640"/>
      <c r="BS734" s="1640"/>
      <c r="BT734" s="1640"/>
      <c r="BU734" s="1641">
        <v>90</v>
      </c>
      <c r="BV734" s="1640"/>
      <c r="BW734" s="1640"/>
      <c r="BX734" s="1640"/>
      <c r="BY734" s="1641">
        <v>46.3</v>
      </c>
      <c r="BZ734" s="1640"/>
      <c r="CA734" s="1640"/>
      <c r="CB734" s="1640"/>
      <c r="CC734" s="1641"/>
      <c r="CD734" s="1640"/>
      <c r="CE734" s="1640"/>
      <c r="CF734" s="1640"/>
      <c r="CG734" s="1987"/>
      <c r="CH734" s="1641">
        <f t="shared" si="504"/>
        <v>59.65</v>
      </c>
      <c r="CI734" s="1641">
        <f t="shared" si="504"/>
        <v>0</v>
      </c>
      <c r="CJ734" s="1641">
        <f t="shared" si="504"/>
        <v>0</v>
      </c>
      <c r="CK734" s="1641">
        <f t="shared" si="504"/>
        <v>0</v>
      </c>
      <c r="CL734" s="1889">
        <v>59.65</v>
      </c>
      <c r="CM734" s="1889">
        <v>0</v>
      </c>
      <c r="CN734" s="1889">
        <v>0</v>
      </c>
      <c r="CO734" s="1889">
        <v>0</v>
      </c>
      <c r="CP734" s="1641"/>
      <c r="CQ734" s="1640"/>
      <c r="CR734" s="1640"/>
      <c r="CS734" s="1640"/>
    </row>
    <row r="735" spans="1:107" ht="15" thickBot="1" x14ac:dyDescent="0.2">
      <c r="A735" s="1541" t="s">
        <v>134</v>
      </c>
      <c r="B735" s="1523" t="s">
        <v>79</v>
      </c>
      <c r="C735" s="1523" t="s">
        <v>80</v>
      </c>
      <c r="D735" s="1523" t="s">
        <v>125</v>
      </c>
      <c r="E735" s="1523" t="s">
        <v>216</v>
      </c>
      <c r="F735" s="1523"/>
      <c r="G735" s="1667">
        <v>224</v>
      </c>
      <c r="H735" s="1501"/>
      <c r="I735" s="1645"/>
      <c r="J735" s="1630"/>
      <c r="K735" s="1501"/>
      <c r="L735" s="1984"/>
      <c r="M735" s="1984"/>
      <c r="N735" s="1984"/>
      <c r="O735" s="1984"/>
      <c r="P735" s="1984"/>
      <c r="Q735" s="1984"/>
      <c r="R735" s="1984"/>
      <c r="S735" s="1984"/>
      <c r="T735" s="1985"/>
      <c r="U735" s="1986"/>
      <c r="V735" s="1986"/>
      <c r="W735" s="1988"/>
      <c r="X735" s="1988"/>
      <c r="Y735" s="1988"/>
      <c r="Z735" s="1989"/>
      <c r="AA735" s="1634">
        <f t="shared" si="484"/>
        <v>0</v>
      </c>
      <c r="AB735" s="1988"/>
      <c r="AC735" s="1508">
        <f t="shared" si="498"/>
        <v>0</v>
      </c>
      <c r="AD735" s="1509">
        <f t="shared" si="499"/>
        <v>0</v>
      </c>
      <c r="AE735" s="1509">
        <f t="shared" si="500"/>
        <v>0</v>
      </c>
      <c r="AF735" s="1509">
        <f t="shared" si="500"/>
        <v>0</v>
      </c>
      <c r="AG735" s="1509">
        <f t="shared" si="500"/>
        <v>0</v>
      </c>
      <c r="AH735" s="1490">
        <f t="shared" si="494"/>
        <v>0</v>
      </c>
      <c r="AI735" s="1636">
        <f t="shared" si="501"/>
        <v>0</v>
      </c>
      <c r="AJ735" s="1636">
        <f t="shared" si="502"/>
        <v>0</v>
      </c>
      <c r="AK735" s="1636">
        <f t="shared" si="503"/>
        <v>0</v>
      </c>
      <c r="AL735" s="1636">
        <f t="shared" si="496"/>
        <v>0</v>
      </c>
      <c r="AM735" s="1636">
        <f t="shared" si="496"/>
        <v>0</v>
      </c>
      <c r="AN735" s="1637"/>
      <c r="AO735" s="1722">
        <v>0</v>
      </c>
      <c r="AP735" s="1638"/>
      <c r="AQ735" s="1638"/>
      <c r="AR735" s="1638"/>
      <c r="AS735" s="1963">
        <v>0</v>
      </c>
      <c r="AT735" s="1638"/>
      <c r="AU735" s="1638"/>
      <c r="AV735" s="1638"/>
      <c r="AW735" s="1639"/>
      <c r="AX735" s="1640"/>
      <c r="AY735" s="1640"/>
      <c r="AZ735" s="1640"/>
      <c r="BA735" s="1641"/>
      <c r="BB735" s="1640"/>
      <c r="BC735" s="1640"/>
      <c r="BD735" s="1640"/>
      <c r="BE735" s="1644"/>
      <c r="BF735" s="1640"/>
      <c r="BG735" s="1640"/>
      <c r="BH735" s="1640"/>
      <c r="BI735" s="1641"/>
      <c r="BJ735" s="1640"/>
      <c r="BK735" s="1640"/>
      <c r="BL735" s="1640"/>
      <c r="BM735" s="1641"/>
      <c r="BN735" s="1640"/>
      <c r="BO735" s="1640"/>
      <c r="BP735" s="1640"/>
      <c r="BQ735" s="1641"/>
      <c r="BR735" s="1640"/>
      <c r="BS735" s="1640"/>
      <c r="BT735" s="1640"/>
      <c r="BU735" s="1641"/>
      <c r="BV735" s="1640"/>
      <c r="BW735" s="1640"/>
      <c r="BX735" s="1640"/>
      <c r="BY735" s="1641"/>
      <c r="BZ735" s="1640"/>
      <c r="CA735" s="1640"/>
      <c r="CB735" s="1640"/>
      <c r="CC735" s="1641"/>
      <c r="CD735" s="1640"/>
      <c r="CE735" s="1640"/>
      <c r="CF735" s="1640"/>
      <c r="CG735" s="1987"/>
      <c r="CH735" s="1641">
        <f t="shared" si="504"/>
        <v>0</v>
      </c>
      <c r="CI735" s="1641">
        <f t="shared" si="504"/>
        <v>0</v>
      </c>
      <c r="CJ735" s="1641">
        <f t="shared" si="504"/>
        <v>0</v>
      </c>
      <c r="CK735" s="1641">
        <f t="shared" si="504"/>
        <v>0</v>
      </c>
      <c r="CL735" s="1889">
        <v>0</v>
      </c>
      <c r="CM735" s="1889">
        <v>0</v>
      </c>
      <c r="CN735" s="1889">
        <v>0</v>
      </c>
      <c r="CO735" s="1889">
        <v>0</v>
      </c>
      <c r="CP735" s="1641"/>
      <c r="CQ735" s="1640"/>
      <c r="CR735" s="1640"/>
      <c r="CS735" s="1640"/>
    </row>
    <row r="736" spans="1:107" ht="15" thickBot="1" x14ac:dyDescent="0.2">
      <c r="A736" s="1541" t="s">
        <v>90</v>
      </c>
      <c r="B736" s="1523" t="s">
        <v>79</v>
      </c>
      <c r="C736" s="1523" t="s">
        <v>80</v>
      </c>
      <c r="D736" s="1523" t="s">
        <v>125</v>
      </c>
      <c r="E736" s="1523" t="s">
        <v>216</v>
      </c>
      <c r="F736" s="1523"/>
      <c r="G736" s="1667">
        <v>225</v>
      </c>
      <c r="H736" s="1501">
        <f>110+15</f>
        <v>125</v>
      </c>
      <c r="I736" s="1645"/>
      <c r="J736" s="1630">
        <f>55-V736</f>
        <v>30</v>
      </c>
      <c r="K736" s="1501"/>
      <c r="L736" s="1984"/>
      <c r="M736" s="1984"/>
      <c r="N736" s="1984"/>
      <c r="O736" s="1984"/>
      <c r="P736" s="1984"/>
      <c r="Q736" s="1984"/>
      <c r="R736" s="1984"/>
      <c r="S736" s="1984"/>
      <c r="T736" s="1985"/>
      <c r="U736" s="1986"/>
      <c r="V736" s="1986">
        <v>25</v>
      </c>
      <c r="W736" s="1988"/>
      <c r="X736" s="1988"/>
      <c r="Y736" s="1988"/>
      <c r="Z736" s="1989"/>
      <c r="AA736" s="1634">
        <f t="shared" si="484"/>
        <v>0</v>
      </c>
      <c r="AB736" s="1988"/>
      <c r="AC736" s="1508">
        <f t="shared" si="498"/>
        <v>125</v>
      </c>
      <c r="AD736" s="1509">
        <f t="shared" si="499"/>
        <v>30</v>
      </c>
      <c r="AE736" s="1509">
        <f t="shared" si="500"/>
        <v>0</v>
      </c>
      <c r="AF736" s="1509">
        <f t="shared" si="500"/>
        <v>30</v>
      </c>
      <c r="AG736" s="1509">
        <f t="shared" si="500"/>
        <v>0</v>
      </c>
      <c r="AH736" s="1490">
        <f t="shared" si="494"/>
        <v>15</v>
      </c>
      <c r="AI736" s="1636">
        <f t="shared" si="501"/>
        <v>0</v>
      </c>
      <c r="AJ736" s="1636">
        <f t="shared" si="502"/>
        <v>0</v>
      </c>
      <c r="AK736" s="1636">
        <f t="shared" si="503"/>
        <v>0</v>
      </c>
      <c r="AL736" s="1636">
        <f t="shared" si="496"/>
        <v>0</v>
      </c>
      <c r="AM736" s="1636">
        <f t="shared" si="496"/>
        <v>0</v>
      </c>
      <c r="AN736" s="1637"/>
      <c r="AO736" s="1723"/>
      <c r="AP736" s="1638"/>
      <c r="AQ736" s="1638"/>
      <c r="AR736" s="1638"/>
      <c r="AS736" s="1639"/>
      <c r="AT736" s="1638"/>
      <c r="AU736" s="1638"/>
      <c r="AV736" s="1638"/>
      <c r="AW736" s="1639"/>
      <c r="AX736" s="1640"/>
      <c r="AY736" s="1640"/>
      <c r="AZ736" s="1640"/>
      <c r="BA736" s="1641"/>
      <c r="BB736" s="1640"/>
      <c r="BC736" s="1640"/>
      <c r="BD736" s="1640"/>
      <c r="BE736" s="1644"/>
      <c r="BF736" s="1640"/>
      <c r="BG736" s="1640"/>
      <c r="BH736" s="1640"/>
      <c r="BI736" s="1641"/>
      <c r="BJ736" s="1640"/>
      <c r="BK736" s="1640"/>
      <c r="BL736" s="1640"/>
      <c r="BM736" s="1641"/>
      <c r="BN736" s="1640"/>
      <c r="BO736" s="1640"/>
      <c r="BP736" s="1640"/>
      <c r="BQ736" s="1641">
        <v>110</v>
      </c>
      <c r="BR736" s="1640"/>
      <c r="BS736" s="1640"/>
      <c r="BT736" s="1640"/>
      <c r="BU736" s="1641"/>
      <c r="BV736" s="1640"/>
      <c r="BW736" s="1640"/>
      <c r="BX736" s="1640"/>
      <c r="BY736" s="1641"/>
      <c r="BZ736" s="1640"/>
      <c r="CA736" s="1640"/>
      <c r="CB736" s="1640"/>
      <c r="CC736" s="1641"/>
      <c r="CD736" s="1640"/>
      <c r="CE736" s="1640"/>
      <c r="CF736" s="1640"/>
      <c r="CG736" s="1987"/>
      <c r="CH736" s="1641">
        <f t="shared" si="504"/>
        <v>15</v>
      </c>
      <c r="CI736" s="1641">
        <f t="shared" si="504"/>
        <v>0</v>
      </c>
      <c r="CJ736" s="1641">
        <f t="shared" si="504"/>
        <v>30</v>
      </c>
      <c r="CK736" s="1641">
        <f t="shared" si="504"/>
        <v>0</v>
      </c>
      <c r="CL736" s="1889">
        <v>15</v>
      </c>
      <c r="CM736" s="1889">
        <v>0</v>
      </c>
      <c r="CN736" s="1889">
        <v>30</v>
      </c>
      <c r="CO736" s="1889">
        <v>0</v>
      </c>
      <c r="CP736" s="1641"/>
      <c r="CQ736" s="1640"/>
      <c r="CR736" s="1640"/>
      <c r="CS736" s="1640"/>
    </row>
    <row r="737" spans="1:107" ht="15" thickBot="1" x14ac:dyDescent="0.2">
      <c r="A737" s="1541" t="s">
        <v>91</v>
      </c>
      <c r="B737" s="1523" t="s">
        <v>79</v>
      </c>
      <c r="C737" s="1523" t="s">
        <v>80</v>
      </c>
      <c r="D737" s="1523" t="s">
        <v>125</v>
      </c>
      <c r="E737" s="1523" t="s">
        <v>216</v>
      </c>
      <c r="F737" s="1523"/>
      <c r="G737" s="1667">
        <v>226</v>
      </c>
      <c r="H737" s="1501">
        <f>35+20.9+212.8+(1800-50-26)+461.78+533.8-100.98995</f>
        <v>2887.2900499999996</v>
      </c>
      <c r="I737" s="1645">
        <f>9293.2+4581+500-6972-241.6-151.8+200-300-2000-100-90+1300+5000-1000</f>
        <v>10018.799999999999</v>
      </c>
      <c r="J737" s="1630"/>
      <c r="K737" s="1501">
        <f>2100-497.4+108.157-1710.757+547.845</f>
        <v>547.8449999999998</v>
      </c>
      <c r="L737" s="1984"/>
      <c r="M737" s="1984"/>
      <c r="N737" s="1984">
        <v>300</v>
      </c>
      <c r="O737" s="1984"/>
      <c r="P737" s="1984"/>
      <c r="Q737" s="1984">
        <v>8300</v>
      </c>
      <c r="R737" s="1984">
        <v>400</v>
      </c>
      <c r="S737" s="1984"/>
      <c r="T737" s="1985"/>
      <c r="U737" s="1986"/>
      <c r="V737" s="1986"/>
      <c r="W737" s="1988"/>
      <c r="X737" s="1988"/>
      <c r="Y737" s="1988"/>
      <c r="Z737" s="1989"/>
      <c r="AA737" s="1634">
        <f t="shared" si="484"/>
        <v>0</v>
      </c>
      <c r="AB737" s="1988"/>
      <c r="AC737" s="1508">
        <f t="shared" si="498"/>
        <v>2887.2900499999996</v>
      </c>
      <c r="AD737" s="1509">
        <f t="shared" si="499"/>
        <v>10566.644999999999</v>
      </c>
      <c r="AE737" s="1509">
        <f t="shared" si="500"/>
        <v>10018.799999999999</v>
      </c>
      <c r="AF737" s="1509">
        <f t="shared" si="500"/>
        <v>0</v>
      </c>
      <c r="AG737" s="1509">
        <f t="shared" si="500"/>
        <v>547.84500000000003</v>
      </c>
      <c r="AH737" s="1490">
        <f t="shared" si="494"/>
        <v>3988.4540000000002</v>
      </c>
      <c r="AI737" s="1636">
        <f t="shared" si="501"/>
        <v>0</v>
      </c>
      <c r="AJ737" s="1636">
        <f t="shared" si="502"/>
        <v>0</v>
      </c>
      <c r="AK737" s="1636">
        <f t="shared" si="503"/>
        <v>0</v>
      </c>
      <c r="AL737" s="1636">
        <f t="shared" si="496"/>
        <v>0</v>
      </c>
      <c r="AM737" s="1636">
        <f t="shared" si="496"/>
        <v>0</v>
      </c>
      <c r="AN737" s="1637"/>
      <c r="AO737" s="1723">
        <f>(1800-50-26)+461.78</f>
        <v>2185.7799999999997</v>
      </c>
      <c r="AP737" s="1638">
        <v>108.3</v>
      </c>
      <c r="AQ737" s="1638"/>
      <c r="AR737" s="1638"/>
      <c r="AS737" s="1639"/>
      <c r="AT737" s="1638"/>
      <c r="AU737" s="1638"/>
      <c r="AV737" s="1638"/>
      <c r="AW737" s="1639">
        <v>679</v>
      </c>
      <c r="AX737" s="1640"/>
      <c r="AY737" s="1640"/>
      <c r="AZ737" s="1640"/>
      <c r="BA737" s="1641"/>
      <c r="BB737" s="1640">
        <v>2700</v>
      </c>
      <c r="BC737" s="1640"/>
      <c r="BD737" s="1640"/>
      <c r="BE737" s="1644">
        <f>0-100.98995</f>
        <v>-100.98994999999999</v>
      </c>
      <c r="BF737" s="1640"/>
      <c r="BG737" s="1640"/>
      <c r="BH737" s="1640"/>
      <c r="BI737" s="1641"/>
      <c r="BJ737" s="1640"/>
      <c r="BK737" s="1640"/>
      <c r="BL737" s="1640"/>
      <c r="BM737" s="1641"/>
      <c r="BN737" s="1640">
        <v>500</v>
      </c>
      <c r="BO737" s="1640"/>
      <c r="BP737" s="1640"/>
      <c r="BQ737" s="1641">
        <v>35.045999999999999</v>
      </c>
      <c r="BR737" s="1640"/>
      <c r="BS737" s="1640"/>
      <c r="BT737" s="1640"/>
      <c r="BU737" s="1641"/>
      <c r="BV737" s="1640"/>
      <c r="BW737" s="1640"/>
      <c r="BX737" s="1640"/>
      <c r="BY737" s="1641"/>
      <c r="BZ737" s="1640">
        <f>100+1880.851</f>
        <v>1980.8510000000001</v>
      </c>
      <c r="CA737" s="1640"/>
      <c r="CB737" s="1640"/>
      <c r="CC737" s="1641"/>
      <c r="CD737" s="1640"/>
      <c r="CE737" s="1640"/>
      <c r="CF737" s="1640"/>
      <c r="CG737" s="1987">
        <v>3900</v>
      </c>
      <c r="CH737" s="1641">
        <f t="shared" si="504"/>
        <v>88.453999999999994</v>
      </c>
      <c r="CI737" s="1641">
        <f t="shared" si="504"/>
        <v>4729.6489999999994</v>
      </c>
      <c r="CJ737" s="1641">
        <f t="shared" si="504"/>
        <v>0</v>
      </c>
      <c r="CK737" s="1641">
        <v>547.84500000000003</v>
      </c>
      <c r="CL737" s="1889">
        <v>88.453999999999994</v>
      </c>
      <c r="CM737" s="1889">
        <v>116.619</v>
      </c>
      <c r="CN737" s="1889">
        <v>0</v>
      </c>
      <c r="CO737" s="1889">
        <v>0</v>
      </c>
      <c r="CP737" s="1641"/>
      <c r="CQ737" s="1640">
        <f>1913.03-1000+3700</f>
        <v>4613.03</v>
      </c>
      <c r="CR737" s="1640"/>
      <c r="CS737" s="1640"/>
    </row>
    <row r="738" spans="1:107" ht="15" thickBot="1" x14ac:dyDescent="0.2">
      <c r="A738" s="1541" t="s">
        <v>94</v>
      </c>
      <c r="B738" s="1523" t="s">
        <v>79</v>
      </c>
      <c r="C738" s="1523" t="s">
        <v>80</v>
      </c>
      <c r="D738" s="1523" t="s">
        <v>125</v>
      </c>
      <c r="E738" s="1523" t="s">
        <v>216</v>
      </c>
      <c r="F738" s="1523"/>
      <c r="G738" s="1667">
        <v>290</v>
      </c>
      <c r="H738" s="1501">
        <f>835.7-484.1</f>
        <v>351.6</v>
      </c>
      <c r="I738" s="1645"/>
      <c r="J738" s="1630"/>
      <c r="K738" s="1501"/>
      <c r="L738" s="1984"/>
      <c r="M738" s="1984"/>
      <c r="N738" s="1984"/>
      <c r="O738" s="1984"/>
      <c r="P738" s="1984"/>
      <c r="Q738" s="1984"/>
      <c r="R738" s="1984"/>
      <c r="S738" s="1984"/>
      <c r="T738" s="1985"/>
      <c r="U738" s="1986"/>
      <c r="V738" s="1986"/>
      <c r="W738" s="1634"/>
      <c r="X738" s="1634"/>
      <c r="Y738" s="1634"/>
      <c r="Z738" s="1635"/>
      <c r="AA738" s="1634">
        <f t="shared" si="484"/>
        <v>0</v>
      </c>
      <c r="AB738" s="1634"/>
      <c r="AC738" s="1508">
        <f t="shared" si="498"/>
        <v>351.6</v>
      </c>
      <c r="AD738" s="1509">
        <f t="shared" si="499"/>
        <v>0</v>
      </c>
      <c r="AE738" s="1509">
        <f t="shared" si="500"/>
        <v>0</v>
      </c>
      <c r="AF738" s="1509">
        <f t="shared" si="500"/>
        <v>0</v>
      </c>
      <c r="AG738" s="1509">
        <f t="shared" si="500"/>
        <v>0</v>
      </c>
      <c r="AH738" s="1490">
        <f t="shared" si="494"/>
        <v>87.4</v>
      </c>
      <c r="AI738" s="1636">
        <f t="shared" si="501"/>
        <v>0</v>
      </c>
      <c r="AJ738" s="1636">
        <f t="shared" si="502"/>
        <v>0</v>
      </c>
      <c r="AK738" s="1636">
        <f t="shared" si="503"/>
        <v>0</v>
      </c>
      <c r="AL738" s="1636">
        <f t="shared" si="496"/>
        <v>0</v>
      </c>
      <c r="AM738" s="1636">
        <f t="shared" si="496"/>
        <v>0</v>
      </c>
      <c r="AN738" s="1637"/>
      <c r="AO738" s="1722">
        <v>69.599999999999994</v>
      </c>
      <c r="AP738" s="1638"/>
      <c r="AQ738" s="1638"/>
      <c r="AR738" s="1638"/>
      <c r="AS738" s="1639"/>
      <c r="AT738" s="1638"/>
      <c r="AU738" s="1638"/>
      <c r="AV738" s="1638"/>
      <c r="AW738" s="1639"/>
      <c r="AX738" s="1640"/>
      <c r="AY738" s="1640"/>
      <c r="AZ738" s="1640"/>
      <c r="BA738" s="1641"/>
      <c r="BB738" s="1640"/>
      <c r="BC738" s="1640"/>
      <c r="BD738" s="1640"/>
      <c r="BE738" s="1644">
        <v>47.6</v>
      </c>
      <c r="BF738" s="1640"/>
      <c r="BG738" s="1640"/>
      <c r="BH738" s="1640"/>
      <c r="BI738" s="1641"/>
      <c r="BJ738" s="1640"/>
      <c r="BK738" s="1640"/>
      <c r="BL738" s="1640"/>
      <c r="BM738" s="1641"/>
      <c r="BN738" s="1640"/>
      <c r="BO738" s="1640"/>
      <c r="BP738" s="1640"/>
      <c r="BQ738" s="1641"/>
      <c r="BR738" s="1640"/>
      <c r="BS738" s="1640"/>
      <c r="BT738" s="1640"/>
      <c r="BU738" s="1641">
        <v>147</v>
      </c>
      <c r="BV738" s="1640"/>
      <c r="BW738" s="1640"/>
      <c r="BX738" s="1640"/>
      <c r="BY738" s="1641"/>
      <c r="BZ738" s="1640"/>
      <c r="CA738" s="1640"/>
      <c r="CB738" s="1640"/>
      <c r="CC738" s="1641"/>
      <c r="CD738" s="1640"/>
      <c r="CE738" s="1640"/>
      <c r="CF738" s="1640"/>
      <c r="CG738" s="1987"/>
      <c r="CH738" s="1641">
        <f t="shared" si="504"/>
        <v>87.4</v>
      </c>
      <c r="CI738" s="1641">
        <f t="shared" si="504"/>
        <v>0</v>
      </c>
      <c r="CJ738" s="1641">
        <f t="shared" si="504"/>
        <v>0</v>
      </c>
      <c r="CK738" s="1641">
        <f t="shared" si="504"/>
        <v>0</v>
      </c>
      <c r="CL738" s="1889">
        <v>87.4</v>
      </c>
      <c r="CM738" s="1889">
        <v>0</v>
      </c>
      <c r="CN738" s="1889">
        <v>0</v>
      </c>
      <c r="CO738" s="1889">
        <v>0</v>
      </c>
      <c r="CP738" s="1641"/>
      <c r="CQ738" s="1640"/>
      <c r="CR738" s="1640"/>
      <c r="CS738" s="1640"/>
    </row>
    <row r="739" spans="1:107" ht="15" customHeight="1" thickBot="1" x14ac:dyDescent="0.2">
      <c r="A739" s="1541" t="s">
        <v>94</v>
      </c>
      <c r="B739" s="1523" t="s">
        <v>79</v>
      </c>
      <c r="C739" s="1523" t="s">
        <v>80</v>
      </c>
      <c r="D739" s="1523" t="s">
        <v>125</v>
      </c>
      <c r="E739" s="1523" t="s">
        <v>216</v>
      </c>
      <c r="F739" s="1523"/>
      <c r="G739" s="1667" t="s">
        <v>95</v>
      </c>
      <c r="H739" s="1501"/>
      <c r="I739" s="1645"/>
      <c r="J739" s="1630"/>
      <c r="K739" s="1501"/>
      <c r="L739" s="1984"/>
      <c r="M739" s="1984"/>
      <c r="N739" s="1984"/>
      <c r="O739" s="1984"/>
      <c r="P739" s="1984"/>
      <c r="Q739" s="1984"/>
      <c r="R739" s="1984"/>
      <c r="S739" s="1984"/>
      <c r="T739" s="1985"/>
      <c r="U739" s="1986"/>
      <c r="V739" s="1986"/>
      <c r="W739" s="1988"/>
      <c r="X739" s="1988"/>
      <c r="Y739" s="1988"/>
      <c r="Z739" s="1989"/>
      <c r="AA739" s="1634">
        <f t="shared" si="484"/>
        <v>0</v>
      </c>
      <c r="AB739" s="1988"/>
      <c r="AC739" s="1508">
        <f t="shared" si="498"/>
        <v>0</v>
      </c>
      <c r="AD739" s="1509">
        <f t="shared" si="499"/>
        <v>0</v>
      </c>
      <c r="AE739" s="1509">
        <f t="shared" si="500"/>
        <v>0</v>
      </c>
      <c r="AF739" s="1509">
        <f t="shared" si="500"/>
        <v>0</v>
      </c>
      <c r="AG739" s="1509">
        <f t="shared" si="500"/>
        <v>0</v>
      </c>
      <c r="AH739" s="1490">
        <f t="shared" si="494"/>
        <v>0</v>
      </c>
      <c r="AI739" s="1636">
        <f t="shared" si="501"/>
        <v>0</v>
      </c>
      <c r="AJ739" s="1636">
        <f t="shared" si="502"/>
        <v>0</v>
      </c>
      <c r="AK739" s="1636">
        <f t="shared" si="503"/>
        <v>0</v>
      </c>
      <c r="AL739" s="1636">
        <f t="shared" si="496"/>
        <v>0</v>
      </c>
      <c r="AM739" s="1636">
        <f t="shared" si="496"/>
        <v>0</v>
      </c>
      <c r="AN739" s="1637"/>
      <c r="AO739" s="1722">
        <v>0</v>
      </c>
      <c r="AP739" s="1638"/>
      <c r="AQ739" s="1638"/>
      <c r="AR739" s="1638"/>
      <c r="AS739" s="1639"/>
      <c r="AT739" s="1638"/>
      <c r="AU739" s="1638"/>
      <c r="AV739" s="1638"/>
      <c r="AW739" s="1639"/>
      <c r="AX739" s="1640"/>
      <c r="AY739" s="1640"/>
      <c r="AZ739" s="1640"/>
      <c r="BA739" s="1641"/>
      <c r="BB739" s="1640"/>
      <c r="BC739" s="1640"/>
      <c r="BD739" s="1640"/>
      <c r="BE739" s="1644"/>
      <c r="BF739" s="1640"/>
      <c r="BG739" s="1640"/>
      <c r="BH739" s="1640"/>
      <c r="BI739" s="1641"/>
      <c r="BJ739" s="1640"/>
      <c r="BK739" s="1640"/>
      <c r="BL739" s="1640"/>
      <c r="BM739" s="1641"/>
      <c r="BN739" s="1640"/>
      <c r="BO739" s="1640"/>
      <c r="BP739" s="1640"/>
      <c r="BQ739" s="1641"/>
      <c r="BR739" s="1640"/>
      <c r="BS739" s="1640"/>
      <c r="BT739" s="1640"/>
      <c r="BU739" s="1641"/>
      <c r="BV739" s="1640"/>
      <c r="BW739" s="1640"/>
      <c r="BX739" s="1640"/>
      <c r="BY739" s="1641"/>
      <c r="BZ739" s="1640"/>
      <c r="CA739" s="1640"/>
      <c r="CB739" s="1640"/>
      <c r="CC739" s="1641"/>
      <c r="CD739" s="1640"/>
      <c r="CE739" s="1640"/>
      <c r="CF739" s="1640"/>
      <c r="CG739" s="1987"/>
      <c r="CH739" s="1641">
        <f t="shared" si="504"/>
        <v>0</v>
      </c>
      <c r="CI739" s="1641">
        <f t="shared" si="504"/>
        <v>0</v>
      </c>
      <c r="CJ739" s="1641">
        <f t="shared" si="504"/>
        <v>0</v>
      </c>
      <c r="CK739" s="1641">
        <f t="shared" si="504"/>
        <v>0</v>
      </c>
      <c r="CL739" s="1889">
        <v>0</v>
      </c>
      <c r="CM739" s="1889">
        <v>0</v>
      </c>
      <c r="CN739" s="1889">
        <v>0</v>
      </c>
      <c r="CO739" s="1889">
        <v>0</v>
      </c>
      <c r="CP739" s="1641"/>
      <c r="CQ739" s="1640"/>
      <c r="CR739" s="1640"/>
      <c r="CS739" s="1640"/>
    </row>
    <row r="740" spans="1:107" ht="15" thickBot="1" x14ac:dyDescent="0.2">
      <c r="A740" s="1541" t="s">
        <v>96</v>
      </c>
      <c r="B740" s="1523" t="s">
        <v>79</v>
      </c>
      <c r="C740" s="1523" t="s">
        <v>80</v>
      </c>
      <c r="D740" s="1523" t="s">
        <v>125</v>
      </c>
      <c r="E740" s="1523" t="s">
        <v>216</v>
      </c>
      <c r="F740" s="1523"/>
      <c r="G740" s="1667">
        <v>310</v>
      </c>
      <c r="H740" s="1501">
        <v>350</v>
      </c>
      <c r="I740" s="1645">
        <f>42320+2255+100-8600+1000-U741-200</f>
        <v>28128.400000000001</v>
      </c>
      <c r="J740" s="1630"/>
      <c r="K740" s="1501">
        <f>200-U740</f>
        <v>0</v>
      </c>
      <c r="L740" s="1984"/>
      <c r="M740" s="1984"/>
      <c r="N740" s="1984"/>
      <c r="O740" s="1984"/>
      <c r="P740" s="1984"/>
      <c r="Q740" s="1984"/>
      <c r="R740" s="1984"/>
      <c r="S740" s="1984"/>
      <c r="T740" s="1985"/>
      <c r="U740" s="1986">
        <v>200</v>
      </c>
      <c r="V740" s="1986"/>
      <c r="W740" s="1988"/>
      <c r="X740" s="1988"/>
      <c r="Y740" s="1988"/>
      <c r="Z740" s="1989"/>
      <c r="AA740" s="1634">
        <f>AB740-Z740</f>
        <v>0</v>
      </c>
      <c r="AB740" s="1988"/>
      <c r="AC740" s="1508">
        <f t="shared" si="498"/>
        <v>350</v>
      </c>
      <c r="AD740" s="1509">
        <f t="shared" si="499"/>
        <v>28128.400000000001</v>
      </c>
      <c r="AE740" s="1509">
        <f t="shared" si="500"/>
        <v>28128.400000000001</v>
      </c>
      <c r="AF740" s="1509">
        <f t="shared" si="500"/>
        <v>0</v>
      </c>
      <c r="AG740" s="1509">
        <f t="shared" si="500"/>
        <v>0</v>
      </c>
      <c r="AH740" s="1490">
        <f t="shared" si="494"/>
        <v>303.2</v>
      </c>
      <c r="AI740" s="1636">
        <f t="shared" si="501"/>
        <v>0</v>
      </c>
      <c r="AJ740" s="1636">
        <f t="shared" si="502"/>
        <v>0</v>
      </c>
      <c r="AK740" s="1636">
        <f t="shared" si="503"/>
        <v>0</v>
      </c>
      <c r="AL740" s="1636">
        <f t="shared" si="496"/>
        <v>0</v>
      </c>
      <c r="AM740" s="1636">
        <f t="shared" si="496"/>
        <v>0</v>
      </c>
      <c r="AN740" s="1637"/>
      <c r="AO740" s="1723"/>
      <c r="AP740" s="1638"/>
      <c r="AQ740" s="1638"/>
      <c r="AR740" s="1638"/>
      <c r="AS740" s="1639"/>
      <c r="AT740" s="1638">
        <v>100</v>
      </c>
      <c r="AU740" s="1638"/>
      <c r="AV740" s="1638"/>
      <c r="AW740" s="1639"/>
      <c r="AX740" s="1640">
        <f>1000+15000</f>
        <v>16000</v>
      </c>
      <c r="AY740" s="1640"/>
      <c r="AZ740" s="1640"/>
      <c r="BA740" s="1641"/>
      <c r="BB740" s="1640"/>
      <c r="BC740" s="1640"/>
      <c r="BD740" s="1640"/>
      <c r="BE740" s="1644"/>
      <c r="BF740" s="1640"/>
      <c r="BG740" s="1640"/>
      <c r="BH740" s="1640"/>
      <c r="BI740" s="1641">
        <v>46.8</v>
      </c>
      <c r="BJ740" s="1640"/>
      <c r="BK740" s="1640"/>
      <c r="BL740" s="1640"/>
      <c r="BM740" s="1641"/>
      <c r="BN740" s="1640">
        <v>1500</v>
      </c>
      <c r="BO740" s="1640"/>
      <c r="BP740" s="1640"/>
      <c r="BQ740" s="1641"/>
      <c r="BR740" s="1640">
        <v>3672.4</v>
      </c>
      <c r="BS740" s="1640"/>
      <c r="BT740" s="1640"/>
      <c r="BU740" s="1641"/>
      <c r="BV740" s="1640">
        <f>1500+3168.8</f>
        <v>4668.8</v>
      </c>
      <c r="BW740" s="1640"/>
      <c r="BX740" s="1640"/>
      <c r="BY740" s="1641"/>
      <c r="BZ740" s="1640"/>
      <c r="CA740" s="1640"/>
      <c r="CB740" s="1640"/>
      <c r="CC740" s="1641"/>
      <c r="CD740" s="1640"/>
      <c r="CE740" s="1640"/>
      <c r="CF740" s="1640"/>
      <c r="CG740" s="1987"/>
      <c r="CH740" s="1641">
        <f t="shared" si="504"/>
        <v>303.2</v>
      </c>
      <c r="CI740" s="1641">
        <f t="shared" si="504"/>
        <v>2187.1999999999998</v>
      </c>
      <c r="CJ740" s="1641">
        <f t="shared" si="504"/>
        <v>0</v>
      </c>
      <c r="CK740" s="1641">
        <f t="shared" si="504"/>
        <v>0</v>
      </c>
      <c r="CL740" s="1889">
        <v>303.2</v>
      </c>
      <c r="CM740" s="1889">
        <v>0</v>
      </c>
      <c r="CN740" s="1889">
        <v>0</v>
      </c>
      <c r="CO740" s="1889">
        <v>0</v>
      </c>
      <c r="CP740" s="1641"/>
      <c r="CQ740" s="1640">
        <f>4100.23-1913.03</f>
        <v>2187.1999999999998</v>
      </c>
      <c r="CR740" s="1640"/>
      <c r="CS740" s="1640"/>
    </row>
    <row r="741" spans="1:107" ht="15" thickBot="1" x14ac:dyDescent="0.2">
      <c r="A741" s="1541" t="s">
        <v>97</v>
      </c>
      <c r="B741" s="1523" t="s">
        <v>79</v>
      </c>
      <c r="C741" s="1523" t="s">
        <v>80</v>
      </c>
      <c r="D741" s="1523" t="s">
        <v>125</v>
      </c>
      <c r="E741" s="1523" t="s">
        <v>216</v>
      </c>
      <c r="F741" s="1523"/>
      <c r="G741" s="1667">
        <v>340</v>
      </c>
      <c r="H741" s="1501">
        <f>50+26</f>
        <v>76</v>
      </c>
      <c r="I741" s="1645"/>
      <c r="J741" s="1630"/>
      <c r="K741" s="1501"/>
      <c r="L741" s="1984"/>
      <c r="M741" s="1984"/>
      <c r="N741" s="1984"/>
      <c r="O741" s="1984"/>
      <c r="P741" s="1984"/>
      <c r="Q741" s="1984"/>
      <c r="R741" s="1984"/>
      <c r="S741" s="1984"/>
      <c r="T741" s="1985"/>
      <c r="U741" s="1986">
        <v>8746.6</v>
      </c>
      <c r="V741" s="1986"/>
      <c r="W741" s="1988"/>
      <c r="X741" s="1988"/>
      <c r="Y741" s="1988"/>
      <c r="Z741" s="1989"/>
      <c r="AA741" s="1634">
        <f t="shared" si="484"/>
        <v>0</v>
      </c>
      <c r="AB741" s="1988"/>
      <c r="AC741" s="1508">
        <f t="shared" si="498"/>
        <v>76</v>
      </c>
      <c r="AD741" s="1509">
        <f t="shared" si="499"/>
        <v>0</v>
      </c>
      <c r="AE741" s="1509">
        <f t="shared" si="500"/>
        <v>0</v>
      </c>
      <c r="AF741" s="1509">
        <f t="shared" si="500"/>
        <v>0</v>
      </c>
      <c r="AG741" s="1509">
        <f t="shared" si="500"/>
        <v>0</v>
      </c>
      <c r="AH741" s="1490">
        <f t="shared" si="494"/>
        <v>47</v>
      </c>
      <c r="AI741" s="1636">
        <f t="shared" si="501"/>
        <v>0</v>
      </c>
      <c r="AJ741" s="1636">
        <f t="shared" si="502"/>
        <v>0</v>
      </c>
      <c r="AK741" s="1636">
        <f t="shared" si="503"/>
        <v>0</v>
      </c>
      <c r="AL741" s="1636">
        <f t="shared" si="496"/>
        <v>0</v>
      </c>
      <c r="AM741" s="1636">
        <f t="shared" si="496"/>
        <v>0</v>
      </c>
      <c r="AN741" s="1637"/>
      <c r="AO741" s="1722">
        <f>3+26</f>
        <v>29</v>
      </c>
      <c r="AP741" s="1638"/>
      <c r="AQ741" s="1638"/>
      <c r="AR741" s="1638"/>
      <c r="AS741" s="1639"/>
      <c r="AT741" s="1638"/>
      <c r="AU741" s="1638"/>
      <c r="AV741" s="1638"/>
      <c r="AW741" s="1639"/>
      <c r="AX741" s="1640"/>
      <c r="AY741" s="1640"/>
      <c r="AZ741" s="1640"/>
      <c r="BA741" s="1641"/>
      <c r="BB741" s="1640"/>
      <c r="BC741" s="1640"/>
      <c r="BD741" s="1640"/>
      <c r="BE741" s="1644"/>
      <c r="BF741" s="1640"/>
      <c r="BG741" s="1640"/>
      <c r="BH741" s="1640"/>
      <c r="BI741" s="1641"/>
      <c r="BJ741" s="1640"/>
      <c r="BK741" s="1640"/>
      <c r="BL741" s="1640"/>
      <c r="BM741" s="1641"/>
      <c r="BN741" s="1640"/>
      <c r="BO741" s="1640"/>
      <c r="BP741" s="1640"/>
      <c r="BQ741" s="1641"/>
      <c r="BR741" s="1640"/>
      <c r="BS741" s="1640"/>
      <c r="BT741" s="1640"/>
      <c r="BU741" s="1641"/>
      <c r="BV741" s="1640"/>
      <c r="BW741" s="1640"/>
      <c r="BX741" s="1640"/>
      <c r="BY741" s="1641"/>
      <c r="BZ741" s="1640"/>
      <c r="CA741" s="1640"/>
      <c r="CB741" s="1640"/>
      <c r="CC741" s="1641"/>
      <c r="CD741" s="1640"/>
      <c r="CE741" s="1640"/>
      <c r="CF741" s="1640"/>
      <c r="CG741" s="1987"/>
      <c r="CH741" s="1641">
        <f t="shared" si="504"/>
        <v>47</v>
      </c>
      <c r="CI741" s="1641">
        <f t="shared" si="504"/>
        <v>0</v>
      </c>
      <c r="CJ741" s="1641">
        <f t="shared" si="504"/>
        <v>0</v>
      </c>
      <c r="CK741" s="1641">
        <f t="shared" si="504"/>
        <v>0</v>
      </c>
      <c r="CL741" s="1889">
        <v>47</v>
      </c>
      <c r="CM741" s="1889">
        <v>0</v>
      </c>
      <c r="CN741" s="1889">
        <v>0</v>
      </c>
      <c r="CO741" s="1889">
        <v>0</v>
      </c>
      <c r="CP741" s="1641"/>
      <c r="CQ741" s="1640"/>
      <c r="CR741" s="1640"/>
      <c r="CS741" s="1640"/>
    </row>
    <row r="742" spans="1:107" ht="15" thickBot="1" x14ac:dyDescent="0.2">
      <c r="A742" s="1528" t="s">
        <v>767</v>
      </c>
      <c r="B742" s="1530" t="s">
        <v>79</v>
      </c>
      <c r="C742" s="1530" t="s">
        <v>80</v>
      </c>
      <c r="D742" s="1530" t="s">
        <v>125</v>
      </c>
      <c r="E742" s="1530" t="s">
        <v>216</v>
      </c>
      <c r="F742" s="1530">
        <v>612</v>
      </c>
      <c r="G742" s="1687" t="s">
        <v>766</v>
      </c>
      <c r="H742" s="1647">
        <f>I728</f>
        <v>39447.199999999997</v>
      </c>
      <c r="I742" s="1645"/>
      <c r="J742" s="1630"/>
      <c r="K742" s="1630"/>
      <c r="L742" s="1631"/>
      <c r="M742" s="1631"/>
      <c r="N742" s="1631"/>
      <c r="O742" s="1631"/>
      <c r="P742" s="1631"/>
      <c r="Q742" s="1631"/>
      <c r="R742" s="1631"/>
      <c r="S742" s="1631"/>
      <c r="T742" s="1632"/>
      <c r="U742" s="1633"/>
      <c r="V742" s="1633"/>
      <c r="W742" s="1634"/>
      <c r="X742" s="1634"/>
      <c r="Y742" s="1634"/>
      <c r="Z742" s="1635"/>
      <c r="AA742" s="1634">
        <f t="shared" si="484"/>
        <v>0</v>
      </c>
      <c r="AB742" s="1634"/>
      <c r="AC742" s="1508"/>
      <c r="AD742" s="1509"/>
      <c r="AE742" s="1509"/>
      <c r="AF742" s="1509"/>
      <c r="AG742" s="1509"/>
      <c r="AH742" s="1490">
        <f t="shared" si="494"/>
        <v>0</v>
      </c>
      <c r="AI742" s="1636"/>
      <c r="AJ742" s="1636"/>
      <c r="AK742" s="1636"/>
      <c r="AL742" s="1636">
        <f t="shared" si="496"/>
        <v>0</v>
      </c>
      <c r="AM742" s="1636"/>
      <c r="AN742" s="1712"/>
      <c r="AO742" s="1713"/>
      <c r="AP742" s="1638"/>
      <c r="AQ742" s="1638"/>
      <c r="AR742" s="1638"/>
      <c r="AS742" s="1639"/>
      <c r="AT742" s="1638"/>
      <c r="AU742" s="1638"/>
      <c r="AV742" s="1638"/>
      <c r="AW742" s="1639"/>
      <c r="AX742" s="1640"/>
      <c r="AY742" s="1640"/>
      <c r="AZ742" s="1640"/>
      <c r="BA742" s="1641"/>
      <c r="BB742" s="1640"/>
      <c r="BC742" s="1640"/>
      <c r="BD742" s="1640"/>
      <c r="BE742" s="1644"/>
      <c r="BF742" s="1640"/>
      <c r="BG742" s="1640"/>
      <c r="BH742" s="1640"/>
      <c r="BI742" s="1641"/>
      <c r="BJ742" s="1640"/>
      <c r="BK742" s="1640"/>
      <c r="BL742" s="1640"/>
      <c r="BM742" s="1641"/>
      <c r="BN742" s="1640"/>
      <c r="BO742" s="1640"/>
      <c r="BP742" s="1640"/>
      <c r="BQ742" s="1641"/>
      <c r="BR742" s="1640"/>
      <c r="BS742" s="1640"/>
      <c r="BT742" s="1640"/>
      <c r="BU742" s="1641"/>
      <c r="BV742" s="1640"/>
      <c r="BW742" s="1640"/>
      <c r="BX742" s="1640"/>
      <c r="BY742" s="1641"/>
      <c r="BZ742" s="1640"/>
      <c r="CA742" s="1640"/>
      <c r="CB742" s="1640"/>
      <c r="CC742" s="1641"/>
      <c r="CD742" s="1640"/>
      <c r="CE742" s="1640"/>
      <c r="CF742" s="1640"/>
      <c r="CG742" s="1642"/>
      <c r="CH742" s="1641">
        <f t="shared" si="504"/>
        <v>0</v>
      </c>
      <c r="CI742" s="1641">
        <f t="shared" si="504"/>
        <v>0</v>
      </c>
      <c r="CJ742" s="1641">
        <f t="shared" si="504"/>
        <v>0</v>
      </c>
      <c r="CK742" s="1641">
        <f t="shared" si="504"/>
        <v>0</v>
      </c>
      <c r="CL742" s="1898"/>
      <c r="CM742" s="1898"/>
      <c r="CN742" s="1889">
        <v>0</v>
      </c>
      <c r="CO742" s="1898"/>
      <c r="CP742" s="1641"/>
      <c r="CQ742" s="1640"/>
      <c r="CR742" s="1640"/>
      <c r="CS742" s="1640"/>
    </row>
    <row r="743" spans="1:107" s="1886" customFormat="1" ht="15" thickBot="1" x14ac:dyDescent="0.2">
      <c r="A743" s="1873" t="s">
        <v>1290</v>
      </c>
      <c r="B743" s="1941" t="s">
        <v>79</v>
      </c>
      <c r="C743" s="1941" t="s">
        <v>80</v>
      </c>
      <c r="D743" s="1941" t="s">
        <v>125</v>
      </c>
      <c r="E743" s="1941" t="s">
        <v>216</v>
      </c>
      <c r="F743" s="1941">
        <v>600</v>
      </c>
      <c r="G743" s="1874"/>
      <c r="H743" s="1606">
        <f>H744+H758</f>
        <v>4322.5</v>
      </c>
      <c r="I743" s="1606">
        <f>I744+I758</f>
        <v>0</v>
      </c>
      <c r="J743" s="1606">
        <f>J744+J758</f>
        <v>0</v>
      </c>
      <c r="K743" s="1606">
        <f>K744+K758</f>
        <v>0</v>
      </c>
      <c r="L743" s="1607"/>
      <c r="M743" s="1607"/>
      <c r="N743" s="1607"/>
      <c r="O743" s="1607"/>
      <c r="P743" s="1607"/>
      <c r="Q743" s="1607"/>
      <c r="R743" s="1607"/>
      <c r="S743" s="1607"/>
      <c r="T743" s="1608"/>
      <c r="U743" s="1609"/>
      <c r="V743" s="1609"/>
      <c r="W743" s="1610"/>
      <c r="X743" s="1610"/>
      <c r="Y743" s="1610"/>
      <c r="Z743" s="1611"/>
      <c r="AA743" s="1634">
        <f t="shared" si="484"/>
        <v>0</v>
      </c>
      <c r="AB743" s="1610"/>
      <c r="AC743" s="1612">
        <f t="shared" ref="AC743:CF743" si="505">AC744+AC758</f>
        <v>4322.5</v>
      </c>
      <c r="AD743" s="1612">
        <f t="shared" si="505"/>
        <v>0</v>
      </c>
      <c r="AE743" s="1612">
        <f t="shared" si="505"/>
        <v>0</v>
      </c>
      <c r="AF743" s="1612">
        <f t="shared" si="505"/>
        <v>0</v>
      </c>
      <c r="AG743" s="1612">
        <f t="shared" si="505"/>
        <v>0</v>
      </c>
      <c r="AH743" s="1490">
        <f t="shared" si="494"/>
        <v>94.622</v>
      </c>
      <c r="AI743" s="1613">
        <f t="shared" si="505"/>
        <v>0</v>
      </c>
      <c r="AJ743" s="1613">
        <f t="shared" si="505"/>
        <v>0</v>
      </c>
      <c r="AK743" s="1613">
        <f t="shared" si="505"/>
        <v>0</v>
      </c>
      <c r="AL743" s="1636">
        <f t="shared" si="496"/>
        <v>0</v>
      </c>
      <c r="AM743" s="1613">
        <f t="shared" si="505"/>
        <v>0</v>
      </c>
      <c r="AN743" s="1614"/>
      <c r="AO743" s="1606">
        <f t="shared" si="505"/>
        <v>325.8</v>
      </c>
      <c r="AP743" s="1606">
        <f t="shared" si="505"/>
        <v>0</v>
      </c>
      <c r="AQ743" s="1606">
        <f t="shared" si="505"/>
        <v>0</v>
      </c>
      <c r="AR743" s="1606">
        <f t="shared" si="505"/>
        <v>0</v>
      </c>
      <c r="AS743" s="1611">
        <f t="shared" si="505"/>
        <v>325</v>
      </c>
      <c r="AT743" s="1606">
        <f t="shared" si="505"/>
        <v>0</v>
      </c>
      <c r="AU743" s="1606">
        <f t="shared" si="505"/>
        <v>0</v>
      </c>
      <c r="AV743" s="1606">
        <f t="shared" si="505"/>
        <v>0</v>
      </c>
      <c r="AW743" s="1611">
        <f t="shared" si="505"/>
        <v>575</v>
      </c>
      <c r="AX743" s="1606">
        <f t="shared" si="505"/>
        <v>0</v>
      </c>
      <c r="AY743" s="1606">
        <f t="shared" si="505"/>
        <v>0</v>
      </c>
      <c r="AZ743" s="1606">
        <f t="shared" si="505"/>
        <v>0</v>
      </c>
      <c r="BA743" s="1614">
        <f t="shared" si="505"/>
        <v>325</v>
      </c>
      <c r="BB743" s="1606">
        <f t="shared" si="505"/>
        <v>0</v>
      </c>
      <c r="BC743" s="1606">
        <f t="shared" si="505"/>
        <v>0</v>
      </c>
      <c r="BD743" s="1606">
        <f t="shared" si="505"/>
        <v>0</v>
      </c>
      <c r="BE743" s="1615">
        <f t="shared" si="505"/>
        <v>452</v>
      </c>
      <c r="BF743" s="1606">
        <f t="shared" si="505"/>
        <v>0</v>
      </c>
      <c r="BG743" s="1606">
        <f t="shared" si="505"/>
        <v>0</v>
      </c>
      <c r="BH743" s="1606">
        <f t="shared" si="505"/>
        <v>0</v>
      </c>
      <c r="BI743" s="1614">
        <f t="shared" si="505"/>
        <v>80.048000000000002</v>
      </c>
      <c r="BJ743" s="1606">
        <f t="shared" si="505"/>
        <v>0</v>
      </c>
      <c r="BK743" s="1606">
        <f t="shared" si="505"/>
        <v>0</v>
      </c>
      <c r="BL743" s="1606">
        <f t="shared" si="505"/>
        <v>0</v>
      </c>
      <c r="BM743" s="1614">
        <f t="shared" si="505"/>
        <v>894.952</v>
      </c>
      <c r="BN743" s="1606">
        <f t="shared" si="505"/>
        <v>0</v>
      </c>
      <c r="BO743" s="1606">
        <f t="shared" si="505"/>
        <v>0</v>
      </c>
      <c r="BP743" s="1606">
        <f t="shared" si="505"/>
        <v>0</v>
      </c>
      <c r="BQ743" s="1614">
        <f t="shared" si="505"/>
        <v>360.04800000000006</v>
      </c>
      <c r="BR743" s="1606">
        <f t="shared" si="505"/>
        <v>0</v>
      </c>
      <c r="BS743" s="1606">
        <f t="shared" si="505"/>
        <v>0</v>
      </c>
      <c r="BT743" s="1606">
        <f t="shared" si="505"/>
        <v>0</v>
      </c>
      <c r="BU743" s="1614">
        <f t="shared" si="505"/>
        <v>243.1</v>
      </c>
      <c r="BV743" s="1606">
        <f t="shared" si="505"/>
        <v>0</v>
      </c>
      <c r="BW743" s="1606">
        <f t="shared" si="505"/>
        <v>0</v>
      </c>
      <c r="BX743" s="1606">
        <f t="shared" si="505"/>
        <v>0</v>
      </c>
      <c r="BY743" s="1614">
        <f t="shared" si="505"/>
        <v>186.98</v>
      </c>
      <c r="BZ743" s="1606">
        <f t="shared" si="505"/>
        <v>0</v>
      </c>
      <c r="CA743" s="1606">
        <f t="shared" si="505"/>
        <v>0</v>
      </c>
      <c r="CB743" s="1606">
        <f t="shared" si="505"/>
        <v>0</v>
      </c>
      <c r="CC743" s="1614">
        <f t="shared" si="505"/>
        <v>459.95000000000005</v>
      </c>
      <c r="CD743" s="1606">
        <f t="shared" si="505"/>
        <v>0</v>
      </c>
      <c r="CE743" s="1606">
        <f t="shared" si="505"/>
        <v>0</v>
      </c>
      <c r="CF743" s="1606">
        <f t="shared" si="505"/>
        <v>0</v>
      </c>
      <c r="CG743" s="1616"/>
      <c r="CH743" s="1641">
        <f t="shared" si="504"/>
        <v>94.622</v>
      </c>
      <c r="CI743" s="1641">
        <f t="shared" si="504"/>
        <v>0</v>
      </c>
      <c r="CJ743" s="1641">
        <f t="shared" si="504"/>
        <v>0</v>
      </c>
      <c r="CK743" s="1641">
        <f t="shared" si="504"/>
        <v>0</v>
      </c>
      <c r="CL743" s="1943">
        <v>94.622</v>
      </c>
      <c r="CM743" s="1943">
        <v>0</v>
      </c>
      <c r="CN743" s="1889">
        <v>0</v>
      </c>
      <c r="CO743" s="1943">
        <v>0</v>
      </c>
      <c r="CP743" s="1614">
        <f>CP744+CP758</f>
        <v>0</v>
      </c>
      <c r="CQ743" s="1606">
        <f>CQ744+CQ758</f>
        <v>0</v>
      </c>
      <c r="CR743" s="1606">
        <f>CR744+CR758</f>
        <v>0</v>
      </c>
      <c r="CS743" s="1606">
        <f>CS744+CS758</f>
        <v>0</v>
      </c>
      <c r="CT743" s="1885"/>
      <c r="CU743" s="1885"/>
      <c r="CV743" s="1885"/>
      <c r="CW743" s="1885"/>
      <c r="CY743" s="1885"/>
    </row>
    <row r="744" spans="1:107" ht="53" thickBot="1" x14ac:dyDescent="0.2">
      <c r="A744" s="1748" t="s">
        <v>1135</v>
      </c>
      <c r="B744" s="1749" t="s">
        <v>79</v>
      </c>
      <c r="C744" s="1749" t="s">
        <v>80</v>
      </c>
      <c r="D744" s="1749" t="s">
        <v>125</v>
      </c>
      <c r="E744" s="1749" t="s">
        <v>216</v>
      </c>
      <c r="F744" s="1749" t="s">
        <v>765</v>
      </c>
      <c r="G744" s="1600" t="s">
        <v>766</v>
      </c>
      <c r="H744" s="1531">
        <f>H745+H746+H747+H748+H749+H750+H751+H752+H753+H754+H755+H756+H757</f>
        <v>4322.5</v>
      </c>
      <c r="I744" s="1531">
        <f>I745+I746+I747+I748+I749+I750+I751+I752+I753+I754+I755+I756+I757</f>
        <v>0</v>
      </c>
      <c r="J744" s="1531">
        <f>J745+J746+J747+J748+J749+J750+J751+J752+J753+J754+J755+J756+J757</f>
        <v>0</v>
      </c>
      <c r="K744" s="1531">
        <f>K745+K746+K747+K748+K749+K750+K751+K752+K753+K754+K755+K756+K757</f>
        <v>0</v>
      </c>
      <c r="L744" s="1601"/>
      <c r="M744" s="1601"/>
      <c r="N744" s="1601"/>
      <c r="O744" s="1601"/>
      <c r="P744" s="1601"/>
      <c r="Q744" s="1601"/>
      <c r="R744" s="1601"/>
      <c r="S744" s="1601"/>
      <c r="T744" s="1602"/>
      <c r="U744" s="1533"/>
      <c r="V744" s="1533"/>
      <c r="W744" s="1534"/>
      <c r="X744" s="1534"/>
      <c r="Y744" s="1534"/>
      <c r="Z744" s="1535"/>
      <c r="AA744" s="1634">
        <f t="shared" si="484"/>
        <v>0</v>
      </c>
      <c r="AB744" s="1534"/>
      <c r="AC744" s="1603">
        <f t="shared" ref="AC744:CF744" si="506">AC745+AC746+AC747+AC748+AC749+AC750+AC751+AC752+AC753+AC754+AC755+AC756+AC757</f>
        <v>4322.5</v>
      </c>
      <c r="AD744" s="1603">
        <f t="shared" si="506"/>
        <v>0</v>
      </c>
      <c r="AE744" s="1603">
        <f t="shared" si="506"/>
        <v>0</v>
      </c>
      <c r="AF744" s="1603">
        <f t="shared" si="506"/>
        <v>0</v>
      </c>
      <c r="AG744" s="1603">
        <f t="shared" si="506"/>
        <v>0</v>
      </c>
      <c r="AH744" s="1490">
        <f t="shared" si="494"/>
        <v>94.622</v>
      </c>
      <c r="AI744" s="1592">
        <f t="shared" si="506"/>
        <v>0</v>
      </c>
      <c r="AJ744" s="1592">
        <f t="shared" si="506"/>
        <v>0</v>
      </c>
      <c r="AK744" s="1592">
        <f t="shared" si="506"/>
        <v>0</v>
      </c>
      <c r="AL744" s="1636">
        <f t="shared" si="496"/>
        <v>0</v>
      </c>
      <c r="AM744" s="1592">
        <f t="shared" si="506"/>
        <v>0</v>
      </c>
      <c r="AN744" s="1706"/>
      <c r="AO744" s="1707">
        <f t="shared" si="506"/>
        <v>325.8</v>
      </c>
      <c r="AP744" s="1531">
        <f t="shared" si="506"/>
        <v>0</v>
      </c>
      <c r="AQ744" s="1531">
        <f t="shared" si="506"/>
        <v>0</v>
      </c>
      <c r="AR744" s="1531">
        <f t="shared" si="506"/>
        <v>0</v>
      </c>
      <c r="AS744" s="1535">
        <f t="shared" si="506"/>
        <v>325</v>
      </c>
      <c r="AT744" s="1531">
        <f t="shared" si="506"/>
        <v>0</v>
      </c>
      <c r="AU744" s="1531">
        <f t="shared" si="506"/>
        <v>0</v>
      </c>
      <c r="AV744" s="1531">
        <f t="shared" si="506"/>
        <v>0</v>
      </c>
      <c r="AW744" s="1535">
        <f t="shared" si="506"/>
        <v>575</v>
      </c>
      <c r="AX744" s="1531">
        <f t="shared" si="506"/>
        <v>0</v>
      </c>
      <c r="AY744" s="1531">
        <f t="shared" si="506"/>
        <v>0</v>
      </c>
      <c r="AZ744" s="1531">
        <f t="shared" si="506"/>
        <v>0</v>
      </c>
      <c r="BA744" s="1538">
        <f t="shared" si="506"/>
        <v>325</v>
      </c>
      <c r="BB744" s="1531">
        <f t="shared" si="506"/>
        <v>0</v>
      </c>
      <c r="BC744" s="1531">
        <f t="shared" si="506"/>
        <v>0</v>
      </c>
      <c r="BD744" s="1531">
        <f t="shared" si="506"/>
        <v>0</v>
      </c>
      <c r="BE744" s="1539">
        <f t="shared" si="506"/>
        <v>452</v>
      </c>
      <c r="BF744" s="1531">
        <f t="shared" si="506"/>
        <v>0</v>
      </c>
      <c r="BG744" s="1531">
        <f t="shared" si="506"/>
        <v>0</v>
      </c>
      <c r="BH744" s="1531">
        <f t="shared" si="506"/>
        <v>0</v>
      </c>
      <c r="BI744" s="1538">
        <f t="shared" si="506"/>
        <v>80.048000000000002</v>
      </c>
      <c r="BJ744" s="1531">
        <f t="shared" si="506"/>
        <v>0</v>
      </c>
      <c r="BK744" s="1531">
        <f t="shared" si="506"/>
        <v>0</v>
      </c>
      <c r="BL744" s="1531">
        <f t="shared" si="506"/>
        <v>0</v>
      </c>
      <c r="BM744" s="1538">
        <f t="shared" si="506"/>
        <v>894.952</v>
      </c>
      <c r="BN744" s="1531">
        <f t="shared" si="506"/>
        <v>0</v>
      </c>
      <c r="BO744" s="1531">
        <f t="shared" si="506"/>
        <v>0</v>
      </c>
      <c r="BP744" s="1531">
        <f t="shared" si="506"/>
        <v>0</v>
      </c>
      <c r="BQ744" s="1538">
        <f t="shared" si="506"/>
        <v>360.04800000000006</v>
      </c>
      <c r="BR744" s="1531">
        <f t="shared" si="506"/>
        <v>0</v>
      </c>
      <c r="BS744" s="1531">
        <f t="shared" si="506"/>
        <v>0</v>
      </c>
      <c r="BT744" s="1531">
        <f t="shared" si="506"/>
        <v>0</v>
      </c>
      <c r="BU744" s="1538">
        <f t="shared" si="506"/>
        <v>243.1</v>
      </c>
      <c r="BV744" s="1531">
        <f t="shared" si="506"/>
        <v>0</v>
      </c>
      <c r="BW744" s="1531">
        <f t="shared" si="506"/>
        <v>0</v>
      </c>
      <c r="BX744" s="1531">
        <f t="shared" si="506"/>
        <v>0</v>
      </c>
      <c r="BY744" s="1538">
        <f t="shared" si="506"/>
        <v>186.98</v>
      </c>
      <c r="BZ744" s="1531">
        <f t="shared" si="506"/>
        <v>0</v>
      </c>
      <c r="CA744" s="1531">
        <f t="shared" si="506"/>
        <v>0</v>
      </c>
      <c r="CB744" s="1531">
        <f t="shared" si="506"/>
        <v>0</v>
      </c>
      <c r="CC744" s="1538">
        <f t="shared" si="506"/>
        <v>459.95000000000005</v>
      </c>
      <c r="CD744" s="1531">
        <f t="shared" si="506"/>
        <v>0</v>
      </c>
      <c r="CE744" s="1531">
        <f t="shared" si="506"/>
        <v>0</v>
      </c>
      <c r="CF744" s="1531">
        <f t="shared" si="506"/>
        <v>0</v>
      </c>
      <c r="CG744" s="1705"/>
      <c r="CH744" s="1641">
        <f t="shared" si="504"/>
        <v>94.622</v>
      </c>
      <c r="CI744" s="1641">
        <f t="shared" si="504"/>
        <v>0</v>
      </c>
      <c r="CJ744" s="1641">
        <f t="shared" si="504"/>
        <v>0</v>
      </c>
      <c r="CK744" s="1641">
        <f t="shared" si="504"/>
        <v>0</v>
      </c>
      <c r="CL744" s="1902">
        <v>94.622</v>
      </c>
      <c r="CM744" s="1902">
        <v>0</v>
      </c>
      <c r="CN744" s="1889">
        <v>0</v>
      </c>
      <c r="CO744" s="1902">
        <v>0</v>
      </c>
      <c r="CP744" s="1538">
        <f>CP745+CP746+CP747+CP748+CP749+CP750+CP751+CP752+CP753+CP754+CP755+CP756+CP757</f>
        <v>0</v>
      </c>
      <c r="CQ744" s="1531">
        <f>CQ745+CQ746+CQ747+CQ748+CQ749+CQ750+CQ751+CQ752+CQ753+CQ754+CQ755+CQ756+CQ757</f>
        <v>0</v>
      </c>
      <c r="CR744" s="1531">
        <f>CR745+CR746+CR747+CR748+CR749+CR750+CR751+CR752+CR753+CR754+CR755+CR756+CR757</f>
        <v>0</v>
      </c>
      <c r="CS744" s="1531">
        <f>CS745+CS746+CS747+CS748+CS749+CS750+CS751+CS752+CS753+CS754+CS755+CS756+CS757</f>
        <v>0</v>
      </c>
    </row>
    <row r="745" spans="1:107" ht="15" thickBot="1" x14ac:dyDescent="0.2">
      <c r="A745" s="1541" t="s">
        <v>78</v>
      </c>
      <c r="B745" s="1523" t="s">
        <v>79</v>
      </c>
      <c r="C745" s="1523" t="s">
        <v>80</v>
      </c>
      <c r="D745" s="1523" t="s">
        <v>125</v>
      </c>
      <c r="E745" s="1523" t="s">
        <v>216</v>
      </c>
      <c r="F745" s="1523"/>
      <c r="G745" s="1667">
        <v>211</v>
      </c>
      <c r="H745" s="1501">
        <v>2995.6</v>
      </c>
      <c r="I745" s="1501"/>
      <c r="J745" s="1630"/>
      <c r="K745" s="1630"/>
      <c r="L745" s="1631"/>
      <c r="M745" s="1631"/>
      <c r="N745" s="1631"/>
      <c r="O745" s="1631"/>
      <c r="P745" s="1631"/>
      <c r="Q745" s="1631"/>
      <c r="R745" s="1631"/>
      <c r="S745" s="1631"/>
      <c r="T745" s="1632"/>
      <c r="U745" s="1633"/>
      <c r="V745" s="1633"/>
      <c r="W745" s="1634">
        <f>H745/12</f>
        <v>249.63333333333333</v>
      </c>
      <c r="X745" s="1634">
        <f>AO745</f>
        <v>249.6</v>
      </c>
      <c r="Y745" s="1634">
        <f>CC745</f>
        <v>322.8</v>
      </c>
      <c r="Z745" s="1635">
        <v>211</v>
      </c>
      <c r="AA745" s="1634">
        <f t="shared" si="484"/>
        <v>-211</v>
      </c>
      <c r="AB745" s="1511">
        <f>AI745</f>
        <v>0</v>
      </c>
      <c r="AC745" s="1508">
        <f t="shared" ref="AC745:AC757" si="507">AO745+AS745+AW745+BA745+BE745+BI745+BM745+BQ745+BU745+BY745+CC745+CH745</f>
        <v>2995.6</v>
      </c>
      <c r="AD745" s="1509">
        <f t="shared" ref="AD745:AD757" si="508">AE745+AF745+AG745</f>
        <v>0</v>
      </c>
      <c r="AE745" s="1509">
        <f t="shared" ref="AE745:AG757" si="509">AP745+AT745+AX745+BB745+BF745+BJ745+BN745+BR745+BV745+BZ745+CD745+CI745</f>
        <v>0</v>
      </c>
      <c r="AF745" s="1509">
        <f t="shared" si="509"/>
        <v>0</v>
      </c>
      <c r="AG745" s="1509">
        <f t="shared" si="509"/>
        <v>0</v>
      </c>
      <c r="AH745" s="1490">
        <f t="shared" si="494"/>
        <v>62.171999999999997</v>
      </c>
      <c r="AI745" s="1636">
        <f t="shared" ref="AI745:AI757" si="510">H745-AC745</f>
        <v>0</v>
      </c>
      <c r="AJ745" s="1636">
        <f t="shared" ref="AJ745:AJ757" si="511">AK745+AL745+AM745</f>
        <v>0</v>
      </c>
      <c r="AK745" s="1636">
        <f t="shared" ref="AK745:AK757" si="512">I745-AE745</f>
        <v>0</v>
      </c>
      <c r="AL745" s="1636">
        <f t="shared" si="496"/>
        <v>0</v>
      </c>
      <c r="AM745" s="1636">
        <f t="shared" si="496"/>
        <v>0</v>
      </c>
      <c r="AN745" s="1637">
        <f>AI745/4</f>
        <v>0</v>
      </c>
      <c r="AO745" s="1722">
        <v>249.6</v>
      </c>
      <c r="AP745" s="1638"/>
      <c r="AQ745" s="1638"/>
      <c r="AR745" s="1638"/>
      <c r="AS745" s="1963">
        <v>249.6</v>
      </c>
      <c r="AT745" s="1638"/>
      <c r="AU745" s="1638"/>
      <c r="AV745" s="1638"/>
      <c r="AW745" s="1722">
        <f>249.6-12.192</f>
        <v>237.40799999999999</v>
      </c>
      <c r="AX745" s="1640"/>
      <c r="AY745" s="1640"/>
      <c r="AZ745" s="1640"/>
      <c r="BA745" s="1964">
        <v>249.6</v>
      </c>
      <c r="BB745" s="1640"/>
      <c r="BC745" s="1640"/>
      <c r="BD745" s="1640"/>
      <c r="BE745" s="1964">
        <v>249.6</v>
      </c>
      <c r="BF745" s="1640"/>
      <c r="BG745" s="1640"/>
      <c r="BH745" s="1640"/>
      <c r="BI745" s="1641">
        <f>80.048</f>
        <v>80.048000000000002</v>
      </c>
      <c r="BJ745" s="1640"/>
      <c r="BK745" s="1640"/>
      <c r="BL745" s="1640"/>
      <c r="BM745" s="1641">
        <f>169.552+499.2</f>
        <v>668.75199999999995</v>
      </c>
      <c r="BN745" s="1640"/>
      <c r="BO745" s="1640"/>
      <c r="BP745" s="1640"/>
      <c r="BQ745" s="1641">
        <f>249.6+2.84</f>
        <v>252.44</v>
      </c>
      <c r="BR745" s="1640"/>
      <c r="BS745" s="1640"/>
      <c r="BT745" s="1640"/>
      <c r="BU745" s="1641">
        <v>186.6</v>
      </c>
      <c r="BV745" s="1640"/>
      <c r="BW745" s="1640"/>
      <c r="BX745" s="1640"/>
      <c r="BY745" s="1641">
        <f>55.98+131</f>
        <v>186.98</v>
      </c>
      <c r="BZ745" s="1640"/>
      <c r="CA745" s="1640"/>
      <c r="CB745" s="1640"/>
      <c r="CC745" s="1641">
        <f>111.8+211</f>
        <v>322.8</v>
      </c>
      <c r="CD745" s="1640"/>
      <c r="CE745" s="1640"/>
      <c r="CF745" s="1640"/>
      <c r="CG745" s="1642"/>
      <c r="CH745" s="1641">
        <f t="shared" si="504"/>
        <v>62.171999999999997</v>
      </c>
      <c r="CI745" s="1641">
        <f t="shared" si="504"/>
        <v>0</v>
      </c>
      <c r="CJ745" s="1641">
        <f t="shared" si="504"/>
        <v>0</v>
      </c>
      <c r="CK745" s="1641">
        <f t="shared" si="504"/>
        <v>0</v>
      </c>
      <c r="CL745" s="1889">
        <v>62.171999999999997</v>
      </c>
      <c r="CM745" s="1889">
        <v>0</v>
      </c>
      <c r="CN745" s="1889">
        <v>0</v>
      </c>
      <c r="CO745" s="1889">
        <v>0</v>
      </c>
      <c r="CP745" s="1641"/>
      <c r="CQ745" s="1640"/>
      <c r="CR745" s="1640"/>
      <c r="CS745" s="1640"/>
      <c r="CX745" s="1558">
        <f>H745/12*10-AC745</f>
        <v>-499.26666666666688</v>
      </c>
      <c r="CY745" s="1558">
        <f>AI745/3</f>
        <v>0</v>
      </c>
      <c r="CZ745" s="1558">
        <f>H745/12</f>
        <v>249.63333333333333</v>
      </c>
      <c r="DA745" s="1559"/>
      <c r="DB745" s="1559"/>
      <c r="DC745" s="1559"/>
    </row>
    <row r="746" spans="1:107" ht="15" thickBot="1" x14ac:dyDescent="0.2">
      <c r="A746" s="1541" t="s">
        <v>103</v>
      </c>
      <c r="B746" s="1523" t="s">
        <v>79</v>
      </c>
      <c r="C746" s="1523" t="s">
        <v>80</v>
      </c>
      <c r="D746" s="1523" t="s">
        <v>125</v>
      </c>
      <c r="E746" s="1523" t="s">
        <v>216</v>
      </c>
      <c r="F746" s="1523"/>
      <c r="G746" s="1667">
        <v>212</v>
      </c>
      <c r="H746" s="1501"/>
      <c r="I746" s="1501"/>
      <c r="J746" s="1630"/>
      <c r="K746" s="1630"/>
      <c r="L746" s="1631"/>
      <c r="M746" s="1631"/>
      <c r="N746" s="1631"/>
      <c r="O746" s="1631"/>
      <c r="P746" s="1631"/>
      <c r="Q746" s="1631"/>
      <c r="R746" s="1631"/>
      <c r="S746" s="1631"/>
      <c r="T746" s="1632"/>
      <c r="U746" s="1633"/>
      <c r="V746" s="1633"/>
      <c r="W746" s="1634"/>
      <c r="X746" s="1634"/>
      <c r="Y746" s="1634">
        <f>CC746</f>
        <v>0</v>
      </c>
      <c r="Z746" s="1635">
        <f>AI746-X746</f>
        <v>0</v>
      </c>
      <c r="AA746" s="1634">
        <f t="shared" si="484"/>
        <v>0</v>
      </c>
      <c r="AB746" s="1511"/>
      <c r="AC746" s="1508">
        <f t="shared" si="507"/>
        <v>0</v>
      </c>
      <c r="AD746" s="1509">
        <f t="shared" si="508"/>
        <v>0</v>
      </c>
      <c r="AE746" s="1509">
        <f t="shared" si="509"/>
        <v>0</v>
      </c>
      <c r="AF746" s="1509">
        <f t="shared" si="509"/>
        <v>0</v>
      </c>
      <c r="AG746" s="1509">
        <f t="shared" si="509"/>
        <v>0</v>
      </c>
      <c r="AH746" s="1490">
        <f t="shared" si="494"/>
        <v>0</v>
      </c>
      <c r="AI746" s="1636">
        <f t="shared" si="510"/>
        <v>0</v>
      </c>
      <c r="AJ746" s="1636">
        <f t="shared" si="511"/>
        <v>0</v>
      </c>
      <c r="AK746" s="1636">
        <f t="shared" si="512"/>
        <v>0</v>
      </c>
      <c r="AL746" s="1636">
        <f t="shared" si="496"/>
        <v>0</v>
      </c>
      <c r="AM746" s="1636">
        <f t="shared" si="496"/>
        <v>0</v>
      </c>
      <c r="AN746" s="1637"/>
      <c r="AO746" s="1722">
        <v>0</v>
      </c>
      <c r="AP746" s="1638"/>
      <c r="AQ746" s="1638"/>
      <c r="AR746" s="1638"/>
      <c r="AS746" s="1963">
        <v>0</v>
      </c>
      <c r="AT746" s="1638"/>
      <c r="AU746" s="1638"/>
      <c r="AV746" s="1638"/>
      <c r="AW746" s="1722">
        <v>0</v>
      </c>
      <c r="AX746" s="1640"/>
      <c r="AY746" s="1640"/>
      <c r="AZ746" s="1640"/>
      <c r="BA746" s="1964">
        <v>0</v>
      </c>
      <c r="BB746" s="1640"/>
      <c r="BC746" s="1640"/>
      <c r="BD746" s="1640"/>
      <c r="BE746" s="1964">
        <v>0</v>
      </c>
      <c r="BF746" s="1640"/>
      <c r="BG746" s="1640"/>
      <c r="BH746" s="1640"/>
      <c r="BI746" s="1641"/>
      <c r="BJ746" s="1640"/>
      <c r="BK746" s="1640"/>
      <c r="BL746" s="1640"/>
      <c r="BM746" s="1641"/>
      <c r="BN746" s="1640"/>
      <c r="BO746" s="1640"/>
      <c r="BP746" s="1640"/>
      <c r="BQ746" s="1641"/>
      <c r="BR746" s="1640"/>
      <c r="BS746" s="1640"/>
      <c r="BT746" s="1640"/>
      <c r="BU746" s="1641"/>
      <c r="BV746" s="1640"/>
      <c r="BW746" s="1640"/>
      <c r="BX746" s="1640"/>
      <c r="BY746" s="1641"/>
      <c r="BZ746" s="1640"/>
      <c r="CA746" s="1640"/>
      <c r="CB746" s="1640"/>
      <c r="CC746" s="1641"/>
      <c r="CD746" s="1640"/>
      <c r="CE746" s="1640"/>
      <c r="CF746" s="1640"/>
      <c r="CG746" s="1642"/>
      <c r="CH746" s="1641">
        <f t="shared" si="504"/>
        <v>0</v>
      </c>
      <c r="CI746" s="1641">
        <f t="shared" si="504"/>
        <v>0</v>
      </c>
      <c r="CJ746" s="1641">
        <f t="shared" si="504"/>
        <v>0</v>
      </c>
      <c r="CK746" s="1641">
        <f t="shared" si="504"/>
        <v>0</v>
      </c>
      <c r="CL746" s="1889">
        <v>0</v>
      </c>
      <c r="CM746" s="1889">
        <v>0</v>
      </c>
      <c r="CN746" s="1889">
        <v>0</v>
      </c>
      <c r="CO746" s="1889">
        <v>0</v>
      </c>
      <c r="CP746" s="1641"/>
      <c r="CQ746" s="1640"/>
      <c r="CR746" s="1640"/>
      <c r="CS746" s="1640"/>
      <c r="CX746" s="1558"/>
      <c r="CY746" s="1558"/>
      <c r="CZ746" s="1558"/>
      <c r="DA746" s="1559"/>
      <c r="DB746" s="1559"/>
      <c r="DC746" s="1559"/>
    </row>
    <row r="747" spans="1:107" ht="15" thickBot="1" x14ac:dyDescent="0.2">
      <c r="A747" s="1541" t="s">
        <v>84</v>
      </c>
      <c r="B747" s="1523" t="s">
        <v>79</v>
      </c>
      <c r="C747" s="1523" t="s">
        <v>80</v>
      </c>
      <c r="D747" s="1523" t="s">
        <v>125</v>
      </c>
      <c r="E747" s="1523" t="s">
        <v>216</v>
      </c>
      <c r="F747" s="1523"/>
      <c r="G747" s="1667">
        <v>213</v>
      </c>
      <c r="H747" s="1501">
        <v>904.7</v>
      </c>
      <c r="I747" s="1501"/>
      <c r="J747" s="1630"/>
      <c r="K747" s="1630"/>
      <c r="L747" s="1631"/>
      <c r="M747" s="1631"/>
      <c r="N747" s="1631"/>
      <c r="O747" s="1631"/>
      <c r="P747" s="1631"/>
      <c r="Q747" s="1631"/>
      <c r="R747" s="1631"/>
      <c r="S747" s="1631"/>
      <c r="T747" s="1632"/>
      <c r="U747" s="1633"/>
      <c r="V747" s="1633"/>
      <c r="W747" s="1634">
        <f>H747/12</f>
        <v>75.391666666666666</v>
      </c>
      <c r="X747" s="1634">
        <f>AO747</f>
        <v>75.400000000000006</v>
      </c>
      <c r="Y747" s="1634">
        <f>CC747</f>
        <v>137.15</v>
      </c>
      <c r="Z747" s="1635">
        <v>137.15</v>
      </c>
      <c r="AA747" s="1634">
        <f t="shared" si="484"/>
        <v>-137.15</v>
      </c>
      <c r="AB747" s="1511">
        <f>AI747</f>
        <v>0</v>
      </c>
      <c r="AC747" s="1508">
        <f t="shared" si="507"/>
        <v>904.7</v>
      </c>
      <c r="AD747" s="1509">
        <f t="shared" si="508"/>
        <v>0</v>
      </c>
      <c r="AE747" s="1509">
        <f t="shared" si="509"/>
        <v>0</v>
      </c>
      <c r="AF747" s="1509">
        <f t="shared" si="509"/>
        <v>0</v>
      </c>
      <c r="AG747" s="1509">
        <f t="shared" si="509"/>
        <v>0</v>
      </c>
      <c r="AH747" s="1490">
        <f t="shared" si="494"/>
        <v>32.450000000000003</v>
      </c>
      <c r="AI747" s="1636">
        <f t="shared" si="510"/>
        <v>0</v>
      </c>
      <c r="AJ747" s="1636">
        <f t="shared" si="511"/>
        <v>0</v>
      </c>
      <c r="AK747" s="1636">
        <f t="shared" si="512"/>
        <v>0</v>
      </c>
      <c r="AL747" s="1636">
        <f t="shared" si="496"/>
        <v>0</v>
      </c>
      <c r="AM747" s="1636">
        <f t="shared" si="496"/>
        <v>0</v>
      </c>
      <c r="AN747" s="1637">
        <f>AI747/4</f>
        <v>0</v>
      </c>
      <c r="AO747" s="1722">
        <v>75.400000000000006</v>
      </c>
      <c r="AP747" s="1638"/>
      <c r="AQ747" s="1638"/>
      <c r="AR747" s="1638"/>
      <c r="AS747" s="1963">
        <v>75.400000000000006</v>
      </c>
      <c r="AT747" s="1638"/>
      <c r="AU747" s="1638"/>
      <c r="AV747" s="1638"/>
      <c r="AW747" s="1722">
        <v>75.400000000000006</v>
      </c>
      <c r="AX747" s="1640"/>
      <c r="AY747" s="1640"/>
      <c r="AZ747" s="1640"/>
      <c r="BA747" s="1964">
        <v>75.400000000000006</v>
      </c>
      <c r="BB747" s="1640"/>
      <c r="BC747" s="1640"/>
      <c r="BD747" s="1640"/>
      <c r="BE747" s="1964">
        <v>75.400000000000006</v>
      </c>
      <c r="BF747" s="1640"/>
      <c r="BG747" s="1640"/>
      <c r="BH747" s="1640"/>
      <c r="BI747" s="1641"/>
      <c r="BJ747" s="1640"/>
      <c r="BK747" s="1640"/>
      <c r="BL747" s="1640"/>
      <c r="BM747" s="1641">
        <f>75.4+150.8</f>
        <v>226.20000000000002</v>
      </c>
      <c r="BN747" s="1640"/>
      <c r="BO747" s="1640"/>
      <c r="BP747" s="1640"/>
      <c r="BQ747" s="1641">
        <v>75.400000000000006</v>
      </c>
      <c r="BR747" s="1640"/>
      <c r="BS747" s="1640"/>
      <c r="BT747" s="1640"/>
      <c r="BU747" s="1641">
        <v>56.5</v>
      </c>
      <c r="BV747" s="1640"/>
      <c r="BW747" s="1640"/>
      <c r="BX747" s="1640"/>
      <c r="BY747" s="1641"/>
      <c r="BZ747" s="1640"/>
      <c r="CA747" s="1640"/>
      <c r="CB747" s="1640"/>
      <c r="CC747" s="1641">
        <v>137.15</v>
      </c>
      <c r="CD747" s="1640"/>
      <c r="CE747" s="1640"/>
      <c r="CF747" s="1640"/>
      <c r="CG747" s="1642"/>
      <c r="CH747" s="1641">
        <f t="shared" si="504"/>
        <v>32.450000000000003</v>
      </c>
      <c r="CI747" s="1641">
        <f t="shared" si="504"/>
        <v>0</v>
      </c>
      <c r="CJ747" s="1641">
        <f t="shared" si="504"/>
        <v>0</v>
      </c>
      <c r="CK747" s="1641">
        <f t="shared" si="504"/>
        <v>0</v>
      </c>
      <c r="CL747" s="1889">
        <v>32.450000000000003</v>
      </c>
      <c r="CM747" s="1889">
        <v>0</v>
      </c>
      <c r="CN747" s="1889">
        <v>0</v>
      </c>
      <c r="CO747" s="1889">
        <v>0</v>
      </c>
      <c r="CP747" s="1641"/>
      <c r="CQ747" s="1640"/>
      <c r="CR747" s="1640"/>
      <c r="CS747" s="1640"/>
      <c r="CX747" s="1558">
        <f>H747/12*10-AC747</f>
        <v>-150.78333333333342</v>
      </c>
      <c r="CY747" s="1558">
        <f>AI747/3</f>
        <v>0</v>
      </c>
      <c r="CZ747" s="1558">
        <f>H747/12</f>
        <v>75.391666666666666</v>
      </c>
      <c r="DA747" s="1559"/>
      <c r="DB747" s="1559"/>
      <c r="DC747" s="1559"/>
    </row>
    <row r="748" spans="1:107" ht="15" thickBot="1" x14ac:dyDescent="0.2">
      <c r="A748" s="1541" t="s">
        <v>85</v>
      </c>
      <c r="B748" s="1523" t="s">
        <v>79</v>
      </c>
      <c r="C748" s="1523" t="s">
        <v>80</v>
      </c>
      <c r="D748" s="1523" t="s">
        <v>125</v>
      </c>
      <c r="E748" s="1523" t="s">
        <v>216</v>
      </c>
      <c r="F748" s="1523"/>
      <c r="G748" s="1667">
        <v>221</v>
      </c>
      <c r="H748" s="1501"/>
      <c r="I748" s="1501"/>
      <c r="J748" s="1630"/>
      <c r="K748" s="1630"/>
      <c r="L748" s="1631"/>
      <c r="M748" s="1631"/>
      <c r="N748" s="1631"/>
      <c r="O748" s="1631"/>
      <c r="P748" s="1631"/>
      <c r="Q748" s="1631"/>
      <c r="R748" s="1631"/>
      <c r="S748" s="1631"/>
      <c r="T748" s="1632"/>
      <c r="U748" s="1633"/>
      <c r="V748" s="1633"/>
      <c r="W748" s="1634"/>
      <c r="X748" s="1634"/>
      <c r="Y748" s="1634"/>
      <c r="Z748" s="1635"/>
      <c r="AA748" s="1634">
        <f t="shared" si="484"/>
        <v>0</v>
      </c>
      <c r="AB748" s="1634"/>
      <c r="AC748" s="1508">
        <f t="shared" si="507"/>
        <v>0</v>
      </c>
      <c r="AD748" s="1509">
        <f t="shared" si="508"/>
        <v>0</v>
      </c>
      <c r="AE748" s="1509">
        <f t="shared" si="509"/>
        <v>0</v>
      </c>
      <c r="AF748" s="1509">
        <f t="shared" si="509"/>
        <v>0</v>
      </c>
      <c r="AG748" s="1509">
        <f t="shared" si="509"/>
        <v>0</v>
      </c>
      <c r="AH748" s="1490">
        <f t="shared" si="494"/>
        <v>0</v>
      </c>
      <c r="AI748" s="1636">
        <f t="shared" si="510"/>
        <v>0</v>
      </c>
      <c r="AJ748" s="1636">
        <f t="shared" si="511"/>
        <v>0</v>
      </c>
      <c r="AK748" s="1636">
        <f t="shared" si="512"/>
        <v>0</v>
      </c>
      <c r="AL748" s="1636">
        <f t="shared" si="496"/>
        <v>0</v>
      </c>
      <c r="AM748" s="1636">
        <f t="shared" si="496"/>
        <v>0</v>
      </c>
      <c r="AN748" s="1637"/>
      <c r="AO748" s="1722">
        <v>0</v>
      </c>
      <c r="AP748" s="1638"/>
      <c r="AQ748" s="1638"/>
      <c r="AR748" s="1638"/>
      <c r="AS748" s="1963">
        <v>0</v>
      </c>
      <c r="AT748" s="1638"/>
      <c r="AU748" s="1638"/>
      <c r="AV748" s="1638"/>
      <c r="AW748" s="1639"/>
      <c r="AX748" s="1640"/>
      <c r="AY748" s="1640"/>
      <c r="AZ748" s="1640"/>
      <c r="BA748" s="1641"/>
      <c r="BB748" s="1640"/>
      <c r="BC748" s="1640"/>
      <c r="BD748" s="1640"/>
      <c r="BE748" s="1644"/>
      <c r="BF748" s="1640"/>
      <c r="BG748" s="1640"/>
      <c r="BH748" s="1640"/>
      <c r="BI748" s="1641"/>
      <c r="BJ748" s="1640"/>
      <c r="BK748" s="1640"/>
      <c r="BL748" s="1640"/>
      <c r="BM748" s="1641"/>
      <c r="BN748" s="1640"/>
      <c r="BO748" s="1640"/>
      <c r="BP748" s="1640"/>
      <c r="BQ748" s="1641"/>
      <c r="BR748" s="1640"/>
      <c r="BS748" s="1640"/>
      <c r="BT748" s="1640"/>
      <c r="BU748" s="1641"/>
      <c r="BV748" s="1640"/>
      <c r="BW748" s="1640"/>
      <c r="BX748" s="1640"/>
      <c r="BY748" s="1641"/>
      <c r="BZ748" s="1640"/>
      <c r="CA748" s="1640"/>
      <c r="CB748" s="1640"/>
      <c r="CC748" s="1641"/>
      <c r="CD748" s="1640"/>
      <c r="CE748" s="1640"/>
      <c r="CF748" s="1640"/>
      <c r="CG748" s="1642"/>
      <c r="CH748" s="1641">
        <f t="shared" si="504"/>
        <v>0</v>
      </c>
      <c r="CI748" s="1641">
        <f t="shared" si="504"/>
        <v>0</v>
      </c>
      <c r="CJ748" s="1641">
        <f t="shared" si="504"/>
        <v>0</v>
      </c>
      <c r="CK748" s="1641">
        <f t="shared" si="504"/>
        <v>0</v>
      </c>
      <c r="CL748" s="1889">
        <v>0</v>
      </c>
      <c r="CM748" s="1889">
        <v>0</v>
      </c>
      <c r="CN748" s="1889">
        <v>0</v>
      </c>
      <c r="CO748" s="1889">
        <v>0</v>
      </c>
      <c r="CP748" s="1641"/>
      <c r="CQ748" s="1640"/>
      <c r="CR748" s="1640"/>
      <c r="CS748" s="1640"/>
    </row>
    <row r="749" spans="1:107" ht="15" thickBot="1" x14ac:dyDescent="0.2">
      <c r="A749" s="1541" t="s">
        <v>86</v>
      </c>
      <c r="B749" s="1523" t="s">
        <v>79</v>
      </c>
      <c r="C749" s="1523" t="s">
        <v>80</v>
      </c>
      <c r="D749" s="1523" t="s">
        <v>125</v>
      </c>
      <c r="E749" s="1523" t="s">
        <v>216</v>
      </c>
      <c r="F749" s="1523"/>
      <c r="G749" s="1667">
        <v>222</v>
      </c>
      <c r="H749" s="1501"/>
      <c r="I749" s="1501"/>
      <c r="J749" s="1630"/>
      <c r="K749" s="1630"/>
      <c r="L749" s="1631"/>
      <c r="M749" s="1631"/>
      <c r="N749" s="1631"/>
      <c r="O749" s="1631"/>
      <c r="P749" s="1631"/>
      <c r="Q749" s="1631"/>
      <c r="R749" s="1631"/>
      <c r="S749" s="1631"/>
      <c r="T749" s="1632"/>
      <c r="U749" s="1633"/>
      <c r="V749" s="1633"/>
      <c r="W749" s="1634"/>
      <c r="X749" s="1634"/>
      <c r="Y749" s="1634"/>
      <c r="Z749" s="1635"/>
      <c r="AA749" s="1634">
        <f t="shared" si="484"/>
        <v>0</v>
      </c>
      <c r="AB749" s="1634"/>
      <c r="AC749" s="1508">
        <f t="shared" si="507"/>
        <v>0</v>
      </c>
      <c r="AD749" s="1509">
        <f t="shared" si="508"/>
        <v>0</v>
      </c>
      <c r="AE749" s="1509">
        <f t="shared" si="509"/>
        <v>0</v>
      </c>
      <c r="AF749" s="1509">
        <f t="shared" si="509"/>
        <v>0</v>
      </c>
      <c r="AG749" s="1509">
        <f t="shared" si="509"/>
        <v>0</v>
      </c>
      <c r="AH749" s="1490">
        <f t="shared" si="494"/>
        <v>0</v>
      </c>
      <c r="AI749" s="1636">
        <f t="shared" si="510"/>
        <v>0</v>
      </c>
      <c r="AJ749" s="1636">
        <f t="shared" si="511"/>
        <v>0</v>
      </c>
      <c r="AK749" s="1636">
        <f t="shared" si="512"/>
        <v>0</v>
      </c>
      <c r="AL749" s="1636">
        <f t="shared" si="496"/>
        <v>0</v>
      </c>
      <c r="AM749" s="1636">
        <f t="shared" si="496"/>
        <v>0</v>
      </c>
      <c r="AN749" s="1637"/>
      <c r="AO749" s="1722">
        <v>0</v>
      </c>
      <c r="AP749" s="1638"/>
      <c r="AQ749" s="1638"/>
      <c r="AR749" s="1638"/>
      <c r="AS749" s="1963">
        <v>0</v>
      </c>
      <c r="AT749" s="1638"/>
      <c r="AU749" s="1638"/>
      <c r="AV749" s="1638"/>
      <c r="AW749" s="1639"/>
      <c r="AX749" s="1640"/>
      <c r="AY749" s="1640"/>
      <c r="AZ749" s="1640"/>
      <c r="BA749" s="1641"/>
      <c r="BB749" s="1640"/>
      <c r="BC749" s="1640"/>
      <c r="BD749" s="1640"/>
      <c r="BE749" s="1644"/>
      <c r="BF749" s="1640"/>
      <c r="BG749" s="1640"/>
      <c r="BH749" s="1640"/>
      <c r="BI749" s="1641"/>
      <c r="BJ749" s="1640"/>
      <c r="BK749" s="1640"/>
      <c r="BL749" s="1640"/>
      <c r="BM749" s="1641"/>
      <c r="BN749" s="1640"/>
      <c r="BO749" s="1640"/>
      <c r="BP749" s="1640"/>
      <c r="BQ749" s="1641"/>
      <c r="BR749" s="1640"/>
      <c r="BS749" s="1640"/>
      <c r="BT749" s="1640"/>
      <c r="BU749" s="1641"/>
      <c r="BV749" s="1640"/>
      <c r="BW749" s="1640"/>
      <c r="BX749" s="1640"/>
      <c r="BY749" s="1641"/>
      <c r="BZ749" s="1640"/>
      <c r="CA749" s="1640"/>
      <c r="CB749" s="1640"/>
      <c r="CC749" s="1641"/>
      <c r="CD749" s="1640"/>
      <c r="CE749" s="1640"/>
      <c r="CF749" s="1640"/>
      <c r="CG749" s="1642"/>
      <c r="CH749" s="1641">
        <f t="shared" si="504"/>
        <v>0</v>
      </c>
      <c r="CI749" s="1641">
        <f t="shared" si="504"/>
        <v>0</v>
      </c>
      <c r="CJ749" s="1641">
        <f t="shared" si="504"/>
        <v>0</v>
      </c>
      <c r="CK749" s="1641">
        <f t="shared" si="504"/>
        <v>0</v>
      </c>
      <c r="CL749" s="1889">
        <v>0</v>
      </c>
      <c r="CM749" s="1889">
        <v>0</v>
      </c>
      <c r="CN749" s="1889">
        <v>0</v>
      </c>
      <c r="CO749" s="1889">
        <v>0</v>
      </c>
      <c r="CP749" s="1641"/>
      <c r="CQ749" s="1640"/>
      <c r="CR749" s="1640"/>
      <c r="CS749" s="1640"/>
    </row>
    <row r="750" spans="1:107" ht="15" thickBot="1" x14ac:dyDescent="0.2">
      <c r="A750" s="1541" t="s">
        <v>87</v>
      </c>
      <c r="B750" s="1523" t="s">
        <v>79</v>
      </c>
      <c r="C750" s="1523" t="s">
        <v>80</v>
      </c>
      <c r="D750" s="1523" t="s">
        <v>125</v>
      </c>
      <c r="E750" s="1523" t="s">
        <v>216</v>
      </c>
      <c r="F750" s="1523"/>
      <c r="G750" s="1667">
        <v>223</v>
      </c>
      <c r="H750" s="1501"/>
      <c r="I750" s="1501"/>
      <c r="J750" s="1630"/>
      <c r="K750" s="1630"/>
      <c r="L750" s="1631"/>
      <c r="M750" s="1631"/>
      <c r="N750" s="1631"/>
      <c r="O750" s="1631"/>
      <c r="P750" s="1631"/>
      <c r="Q750" s="1631"/>
      <c r="R750" s="1631"/>
      <c r="S750" s="1631"/>
      <c r="T750" s="1632"/>
      <c r="U750" s="1633"/>
      <c r="V750" s="1633"/>
      <c r="W750" s="1634"/>
      <c r="X750" s="1634"/>
      <c r="Y750" s="1634"/>
      <c r="Z750" s="1635"/>
      <c r="AA750" s="1634">
        <f>AB750-Z750</f>
        <v>0</v>
      </c>
      <c r="AB750" s="1634"/>
      <c r="AC750" s="1508">
        <f t="shared" si="507"/>
        <v>0</v>
      </c>
      <c r="AD750" s="1509">
        <f t="shared" si="508"/>
        <v>0</v>
      </c>
      <c r="AE750" s="1509">
        <f t="shared" si="509"/>
        <v>0</v>
      </c>
      <c r="AF750" s="1509">
        <f t="shared" si="509"/>
        <v>0</v>
      </c>
      <c r="AG750" s="1509">
        <f t="shared" si="509"/>
        <v>0</v>
      </c>
      <c r="AH750" s="1490">
        <f t="shared" si="494"/>
        <v>0</v>
      </c>
      <c r="AI750" s="1636">
        <f t="shared" si="510"/>
        <v>0</v>
      </c>
      <c r="AJ750" s="1636">
        <f t="shared" si="511"/>
        <v>0</v>
      </c>
      <c r="AK750" s="1636">
        <f t="shared" si="512"/>
        <v>0</v>
      </c>
      <c r="AL750" s="1636">
        <f t="shared" si="496"/>
        <v>0</v>
      </c>
      <c r="AM750" s="1636">
        <f t="shared" si="496"/>
        <v>0</v>
      </c>
      <c r="AN750" s="1637"/>
      <c r="AO750" s="1722">
        <v>0</v>
      </c>
      <c r="AP750" s="1638"/>
      <c r="AQ750" s="1638"/>
      <c r="AR750" s="1638"/>
      <c r="AS750" s="1963">
        <v>0</v>
      </c>
      <c r="AT750" s="1638"/>
      <c r="AU750" s="1638"/>
      <c r="AV750" s="1638"/>
      <c r="AW750" s="1639"/>
      <c r="AX750" s="1640"/>
      <c r="AY750" s="1640"/>
      <c r="AZ750" s="1640"/>
      <c r="BA750" s="1641"/>
      <c r="BB750" s="1640"/>
      <c r="BC750" s="1640"/>
      <c r="BD750" s="1640"/>
      <c r="BE750" s="1644"/>
      <c r="BF750" s="1640"/>
      <c r="BG750" s="1640"/>
      <c r="BH750" s="1640"/>
      <c r="BI750" s="1641"/>
      <c r="BJ750" s="1640"/>
      <c r="BK750" s="1640"/>
      <c r="BL750" s="1640"/>
      <c r="BM750" s="1641"/>
      <c r="BN750" s="1640"/>
      <c r="BO750" s="1640"/>
      <c r="BP750" s="1640"/>
      <c r="BQ750" s="1641"/>
      <c r="BR750" s="1640"/>
      <c r="BS750" s="1640"/>
      <c r="BT750" s="1640"/>
      <c r="BU750" s="1641"/>
      <c r="BV750" s="1640"/>
      <c r="BW750" s="1640"/>
      <c r="BX750" s="1640"/>
      <c r="BY750" s="1641"/>
      <c r="BZ750" s="1640"/>
      <c r="CA750" s="1640"/>
      <c r="CB750" s="1640"/>
      <c r="CC750" s="1641"/>
      <c r="CD750" s="1640"/>
      <c r="CE750" s="1640"/>
      <c r="CF750" s="1640"/>
      <c r="CG750" s="1642"/>
      <c r="CH750" s="1641">
        <f t="shared" si="504"/>
        <v>0</v>
      </c>
      <c r="CI750" s="1641">
        <f t="shared" si="504"/>
        <v>0</v>
      </c>
      <c r="CJ750" s="1641">
        <f t="shared" si="504"/>
        <v>0</v>
      </c>
      <c r="CK750" s="1641">
        <f t="shared" si="504"/>
        <v>0</v>
      </c>
      <c r="CL750" s="1889">
        <v>0</v>
      </c>
      <c r="CM750" s="1889">
        <v>0</v>
      </c>
      <c r="CN750" s="1889">
        <v>0</v>
      </c>
      <c r="CO750" s="1889">
        <v>0</v>
      </c>
      <c r="CP750" s="1641"/>
      <c r="CQ750" s="1640"/>
      <c r="CR750" s="1640"/>
      <c r="CS750" s="1640"/>
    </row>
    <row r="751" spans="1:107" ht="15" thickBot="1" x14ac:dyDescent="0.2">
      <c r="A751" s="1541" t="s">
        <v>134</v>
      </c>
      <c r="B751" s="1523" t="s">
        <v>79</v>
      </c>
      <c r="C751" s="1523" t="s">
        <v>80</v>
      </c>
      <c r="D751" s="1523" t="s">
        <v>125</v>
      </c>
      <c r="E751" s="1523" t="s">
        <v>216</v>
      </c>
      <c r="F751" s="1523"/>
      <c r="G751" s="1667">
        <v>224</v>
      </c>
      <c r="H751" s="1501"/>
      <c r="I751" s="1501"/>
      <c r="J751" s="1630"/>
      <c r="K751" s="1630"/>
      <c r="L751" s="1631"/>
      <c r="M751" s="1631"/>
      <c r="N751" s="1631"/>
      <c r="O751" s="1631"/>
      <c r="P751" s="1631"/>
      <c r="Q751" s="1631"/>
      <c r="R751" s="1631"/>
      <c r="S751" s="1631"/>
      <c r="T751" s="1632"/>
      <c r="U751" s="1633"/>
      <c r="V751" s="1633"/>
      <c r="W751" s="1634"/>
      <c r="X751" s="1634"/>
      <c r="Y751" s="1634"/>
      <c r="Z751" s="1635"/>
      <c r="AA751" s="1634">
        <f t="shared" ref="AA751:AA778" si="513">AB751-Z751</f>
        <v>0</v>
      </c>
      <c r="AB751" s="1634"/>
      <c r="AC751" s="1508">
        <f t="shared" si="507"/>
        <v>0</v>
      </c>
      <c r="AD751" s="1509">
        <f t="shared" si="508"/>
        <v>0</v>
      </c>
      <c r="AE751" s="1509">
        <f t="shared" si="509"/>
        <v>0</v>
      </c>
      <c r="AF751" s="1509">
        <f t="shared" si="509"/>
        <v>0</v>
      </c>
      <c r="AG751" s="1509">
        <f t="shared" si="509"/>
        <v>0</v>
      </c>
      <c r="AH751" s="1490">
        <f t="shared" si="494"/>
        <v>0</v>
      </c>
      <c r="AI751" s="1636">
        <f t="shared" si="510"/>
        <v>0</v>
      </c>
      <c r="AJ751" s="1636">
        <f t="shared" si="511"/>
        <v>0</v>
      </c>
      <c r="AK751" s="1636">
        <f t="shared" si="512"/>
        <v>0</v>
      </c>
      <c r="AL751" s="1636">
        <f t="shared" si="496"/>
        <v>0</v>
      </c>
      <c r="AM751" s="1636">
        <f t="shared" si="496"/>
        <v>0</v>
      </c>
      <c r="AN751" s="1637"/>
      <c r="AO751" s="1722">
        <v>0</v>
      </c>
      <c r="AP751" s="1638"/>
      <c r="AQ751" s="1638"/>
      <c r="AR751" s="1638"/>
      <c r="AS751" s="1963">
        <v>0</v>
      </c>
      <c r="AT751" s="1638"/>
      <c r="AU751" s="1638"/>
      <c r="AV751" s="1638"/>
      <c r="AW751" s="1639"/>
      <c r="AX751" s="1640"/>
      <c r="AY751" s="1640"/>
      <c r="AZ751" s="1640"/>
      <c r="BA751" s="1641"/>
      <c r="BB751" s="1640"/>
      <c r="BC751" s="1640"/>
      <c r="BD751" s="1640"/>
      <c r="BE751" s="1644"/>
      <c r="BF751" s="1640"/>
      <c r="BG751" s="1640"/>
      <c r="BH751" s="1640"/>
      <c r="BI751" s="1641"/>
      <c r="BJ751" s="1640"/>
      <c r="BK751" s="1640"/>
      <c r="BL751" s="1640"/>
      <c r="BM751" s="1641"/>
      <c r="BN751" s="1640"/>
      <c r="BO751" s="1640"/>
      <c r="BP751" s="1640"/>
      <c r="BQ751" s="1641"/>
      <c r="BR751" s="1640"/>
      <c r="BS751" s="1640"/>
      <c r="BT751" s="1640"/>
      <c r="BU751" s="1641"/>
      <c r="BV751" s="1640"/>
      <c r="BW751" s="1640"/>
      <c r="BX751" s="1640"/>
      <c r="BY751" s="1641"/>
      <c r="BZ751" s="1640"/>
      <c r="CA751" s="1640"/>
      <c r="CB751" s="1640"/>
      <c r="CC751" s="1641"/>
      <c r="CD751" s="1640"/>
      <c r="CE751" s="1640"/>
      <c r="CF751" s="1640"/>
      <c r="CG751" s="1642"/>
      <c r="CH751" s="1641">
        <f t="shared" si="504"/>
        <v>0</v>
      </c>
      <c r="CI751" s="1641">
        <f t="shared" si="504"/>
        <v>0</v>
      </c>
      <c r="CJ751" s="1641">
        <f t="shared" si="504"/>
        <v>0</v>
      </c>
      <c r="CK751" s="1641">
        <f t="shared" si="504"/>
        <v>0</v>
      </c>
      <c r="CL751" s="1889">
        <v>0</v>
      </c>
      <c r="CM751" s="1889">
        <v>0</v>
      </c>
      <c r="CN751" s="1889">
        <v>0</v>
      </c>
      <c r="CO751" s="1889">
        <v>0</v>
      </c>
      <c r="CP751" s="1641"/>
      <c r="CQ751" s="1640"/>
      <c r="CR751" s="1640"/>
      <c r="CS751" s="1640"/>
    </row>
    <row r="752" spans="1:107" ht="15" thickBot="1" x14ac:dyDescent="0.2">
      <c r="A752" s="1541" t="s">
        <v>90</v>
      </c>
      <c r="B752" s="1523" t="s">
        <v>79</v>
      </c>
      <c r="C752" s="1523" t="s">
        <v>80</v>
      </c>
      <c r="D752" s="1523" t="s">
        <v>125</v>
      </c>
      <c r="E752" s="1523" t="s">
        <v>216</v>
      </c>
      <c r="F752" s="1523"/>
      <c r="G752" s="1667">
        <v>225</v>
      </c>
      <c r="H752" s="1501">
        <v>15</v>
      </c>
      <c r="I752" s="1501"/>
      <c r="J752" s="1630"/>
      <c r="K752" s="1630"/>
      <c r="L752" s="1631"/>
      <c r="M752" s="1631"/>
      <c r="N752" s="1631"/>
      <c r="O752" s="1631"/>
      <c r="P752" s="1631"/>
      <c r="Q752" s="1631"/>
      <c r="R752" s="1631"/>
      <c r="S752" s="1631"/>
      <c r="T752" s="1632"/>
      <c r="U752" s="1633"/>
      <c r="V752" s="1633"/>
      <c r="W752" s="1634"/>
      <c r="X752" s="1634"/>
      <c r="Y752" s="1634"/>
      <c r="Z752" s="1635"/>
      <c r="AA752" s="1634">
        <f t="shared" si="513"/>
        <v>0</v>
      </c>
      <c r="AB752" s="1634"/>
      <c r="AC752" s="1508">
        <f t="shared" si="507"/>
        <v>15</v>
      </c>
      <c r="AD752" s="1509">
        <f t="shared" si="508"/>
        <v>0</v>
      </c>
      <c r="AE752" s="1509">
        <f t="shared" si="509"/>
        <v>0</v>
      </c>
      <c r="AF752" s="1509">
        <f t="shared" si="509"/>
        <v>0</v>
      </c>
      <c r="AG752" s="1509">
        <f t="shared" si="509"/>
        <v>0</v>
      </c>
      <c r="AH752" s="1490">
        <f t="shared" si="494"/>
        <v>0</v>
      </c>
      <c r="AI752" s="1636">
        <f t="shared" si="510"/>
        <v>0</v>
      </c>
      <c r="AJ752" s="1636">
        <f t="shared" si="511"/>
        <v>0</v>
      </c>
      <c r="AK752" s="1636">
        <f t="shared" si="512"/>
        <v>0</v>
      </c>
      <c r="AL752" s="1636">
        <f t="shared" si="496"/>
        <v>0</v>
      </c>
      <c r="AM752" s="1636">
        <f t="shared" si="496"/>
        <v>0</v>
      </c>
      <c r="AN752" s="1637"/>
      <c r="AO752" s="1723"/>
      <c r="AP752" s="1638"/>
      <c r="AQ752" s="1638"/>
      <c r="AR752" s="1638"/>
      <c r="AS752" s="1639"/>
      <c r="AT752" s="1638"/>
      <c r="AU752" s="1638"/>
      <c r="AV752" s="1638"/>
      <c r="AW752" s="1639"/>
      <c r="AX752" s="1640"/>
      <c r="AY752" s="1640"/>
      <c r="AZ752" s="1640"/>
      <c r="BA752" s="1641"/>
      <c r="BB752" s="1640"/>
      <c r="BC752" s="1640"/>
      <c r="BD752" s="1640"/>
      <c r="BE752" s="1644"/>
      <c r="BF752" s="1640"/>
      <c r="BG752" s="1640"/>
      <c r="BH752" s="1640"/>
      <c r="BI752" s="1641"/>
      <c r="BJ752" s="1640"/>
      <c r="BK752" s="1640"/>
      <c r="BL752" s="1640"/>
      <c r="BM752" s="1641"/>
      <c r="BN752" s="1640"/>
      <c r="BO752" s="1640"/>
      <c r="BP752" s="1640"/>
      <c r="BQ752" s="1641">
        <v>15</v>
      </c>
      <c r="BR752" s="1640"/>
      <c r="BS752" s="1640"/>
      <c r="BT752" s="1640"/>
      <c r="BU752" s="1641"/>
      <c r="BV752" s="1640"/>
      <c r="BW752" s="1640"/>
      <c r="BX752" s="1640"/>
      <c r="BY752" s="1641"/>
      <c r="BZ752" s="1640"/>
      <c r="CA752" s="1640"/>
      <c r="CB752" s="1640"/>
      <c r="CC752" s="1641"/>
      <c r="CD752" s="1640"/>
      <c r="CE752" s="1640"/>
      <c r="CF752" s="1640"/>
      <c r="CG752" s="1642"/>
      <c r="CH752" s="1641">
        <f t="shared" si="504"/>
        <v>0</v>
      </c>
      <c r="CI752" s="1641">
        <f t="shared" si="504"/>
        <v>0</v>
      </c>
      <c r="CJ752" s="1641">
        <f t="shared" si="504"/>
        <v>0</v>
      </c>
      <c r="CK752" s="1641">
        <f t="shared" si="504"/>
        <v>0</v>
      </c>
      <c r="CL752" s="1889">
        <v>0</v>
      </c>
      <c r="CM752" s="1889">
        <v>0</v>
      </c>
      <c r="CN752" s="1889">
        <v>0</v>
      </c>
      <c r="CO752" s="1889">
        <v>0</v>
      </c>
      <c r="CP752" s="1641"/>
      <c r="CQ752" s="1640"/>
      <c r="CR752" s="1640"/>
      <c r="CS752" s="1640"/>
    </row>
    <row r="753" spans="1:107" s="23" customFormat="1" ht="15" thickBot="1" x14ac:dyDescent="0.2">
      <c r="A753" s="1541" t="s">
        <v>91</v>
      </c>
      <c r="B753" s="1523" t="s">
        <v>79</v>
      </c>
      <c r="C753" s="1523" t="s">
        <v>80</v>
      </c>
      <c r="D753" s="1523" t="s">
        <v>125</v>
      </c>
      <c r="E753" s="1523" t="s">
        <v>216</v>
      </c>
      <c r="F753" s="1523"/>
      <c r="G753" s="1667">
        <v>226</v>
      </c>
      <c r="H753" s="1501">
        <f>35+3+375-146.3-48-12-15+12</f>
        <v>203.7</v>
      </c>
      <c r="I753" s="1501"/>
      <c r="J753" s="1630"/>
      <c r="K753" s="1630"/>
      <c r="L753" s="1631"/>
      <c r="M753" s="1631"/>
      <c r="N753" s="1631"/>
      <c r="O753" s="1631"/>
      <c r="P753" s="1631"/>
      <c r="Q753" s="1631"/>
      <c r="R753" s="1631"/>
      <c r="S753" s="1631"/>
      <c r="T753" s="1632"/>
      <c r="U753" s="1633"/>
      <c r="V753" s="1633"/>
      <c r="W753" s="1634"/>
      <c r="X753" s="1634"/>
      <c r="Y753" s="1634"/>
      <c r="Z753" s="1635"/>
      <c r="AA753" s="1634">
        <f t="shared" si="513"/>
        <v>0</v>
      </c>
      <c r="AB753" s="1634"/>
      <c r="AC753" s="1630">
        <f t="shared" si="507"/>
        <v>203.7</v>
      </c>
      <c r="AD753" s="1990">
        <f t="shared" si="508"/>
        <v>0</v>
      </c>
      <c r="AE753" s="1990">
        <f t="shared" si="509"/>
        <v>0</v>
      </c>
      <c r="AF753" s="1990">
        <f t="shared" si="509"/>
        <v>0</v>
      </c>
      <c r="AG753" s="1990">
        <f t="shared" si="509"/>
        <v>0</v>
      </c>
      <c r="AH753" s="1490">
        <f t="shared" si="494"/>
        <v>0</v>
      </c>
      <c r="AI753" s="1630">
        <f t="shared" si="510"/>
        <v>0</v>
      </c>
      <c r="AJ753" s="1630">
        <f t="shared" si="511"/>
        <v>0</v>
      </c>
      <c r="AK753" s="1630">
        <f t="shared" si="512"/>
        <v>0</v>
      </c>
      <c r="AL753" s="1636">
        <f t="shared" si="496"/>
        <v>0</v>
      </c>
      <c r="AM753" s="1630">
        <f t="shared" si="496"/>
        <v>0</v>
      </c>
      <c r="AN753" s="1637"/>
      <c r="AO753" s="1991"/>
      <c r="AP753" s="1638"/>
      <c r="AQ753" s="1638"/>
      <c r="AR753" s="1638"/>
      <c r="AS753" s="1639"/>
      <c r="AT753" s="1638"/>
      <c r="AU753" s="1638"/>
      <c r="AV753" s="1638"/>
      <c r="AW753" s="1640">
        <v>66.7</v>
      </c>
      <c r="AX753" s="1640"/>
      <c r="AY753" s="1640"/>
      <c r="AZ753" s="1640"/>
      <c r="BA753" s="1641"/>
      <c r="BB753" s="1640"/>
      <c r="BC753" s="1640"/>
      <c r="BD753" s="1640"/>
      <c r="BE753" s="1644">
        <v>125</v>
      </c>
      <c r="BF753" s="1640"/>
      <c r="BG753" s="1640"/>
      <c r="BH753" s="1640"/>
      <c r="BI753" s="1641"/>
      <c r="BJ753" s="1640"/>
      <c r="BK753" s="1640"/>
      <c r="BL753" s="1640"/>
      <c r="BM753" s="1641"/>
      <c r="BN753" s="1640"/>
      <c r="BO753" s="1640"/>
      <c r="BP753" s="1640"/>
      <c r="BQ753" s="1641">
        <v>12</v>
      </c>
      <c r="BR753" s="1640"/>
      <c r="BS753" s="1640"/>
      <c r="BT753" s="1640"/>
      <c r="BU753" s="1641"/>
      <c r="BV753" s="1640"/>
      <c r="BW753" s="1640"/>
      <c r="BX753" s="1640"/>
      <c r="BY753" s="1641"/>
      <c r="BZ753" s="1640"/>
      <c r="CA753" s="1640"/>
      <c r="CB753" s="1640"/>
      <c r="CC753" s="1641"/>
      <c r="CD753" s="1640"/>
      <c r="CE753" s="1640"/>
      <c r="CF753" s="1640"/>
      <c r="CG753" s="1642"/>
      <c r="CH753" s="1641">
        <f t="shared" si="504"/>
        <v>0</v>
      </c>
      <c r="CI753" s="1641">
        <f t="shared" si="504"/>
        <v>0</v>
      </c>
      <c r="CJ753" s="1641">
        <f t="shared" si="504"/>
        <v>0</v>
      </c>
      <c r="CK753" s="1641">
        <v>0</v>
      </c>
      <c r="CL753" s="1992">
        <v>0</v>
      </c>
      <c r="CM753" s="1992">
        <v>0</v>
      </c>
      <c r="CN753" s="1889">
        <v>0</v>
      </c>
      <c r="CO753" s="1992">
        <v>0</v>
      </c>
      <c r="CP753" s="1641"/>
      <c r="CQ753" s="1640"/>
      <c r="CR753" s="1640"/>
      <c r="CS753" s="1640"/>
      <c r="CT753" s="1993"/>
      <c r="CU753" s="1993"/>
      <c r="CV753" s="1993"/>
      <c r="CW753" s="1993"/>
      <c r="CY753" s="1993"/>
    </row>
    <row r="754" spans="1:107" s="23" customFormat="1" ht="15" thickBot="1" x14ac:dyDescent="0.2">
      <c r="A754" s="1541" t="s">
        <v>94</v>
      </c>
      <c r="B754" s="1523" t="s">
        <v>79</v>
      </c>
      <c r="C754" s="1523" t="s">
        <v>80</v>
      </c>
      <c r="D754" s="1523" t="s">
        <v>125</v>
      </c>
      <c r="E754" s="1523" t="s">
        <v>216</v>
      </c>
      <c r="F754" s="1523"/>
      <c r="G754" s="1667">
        <v>290</v>
      </c>
      <c r="H754" s="1501">
        <v>9.1999999999999993</v>
      </c>
      <c r="I754" s="1501"/>
      <c r="J754" s="1630"/>
      <c r="K754" s="1630"/>
      <c r="L754" s="1631"/>
      <c r="M754" s="1631"/>
      <c r="N754" s="1631"/>
      <c r="O754" s="1631"/>
      <c r="P754" s="1631"/>
      <c r="Q754" s="1631"/>
      <c r="R754" s="1631"/>
      <c r="S754" s="1631"/>
      <c r="T754" s="1632"/>
      <c r="U754" s="1633"/>
      <c r="V754" s="1633"/>
      <c r="W754" s="1634"/>
      <c r="X754" s="1634"/>
      <c r="Y754" s="1634"/>
      <c r="Z754" s="1635"/>
      <c r="AA754" s="1634">
        <f t="shared" si="513"/>
        <v>0</v>
      </c>
      <c r="AB754" s="1634"/>
      <c r="AC754" s="1630">
        <f t="shared" si="507"/>
        <v>9.1999999999999993</v>
      </c>
      <c r="AD754" s="1990">
        <f t="shared" si="508"/>
        <v>0</v>
      </c>
      <c r="AE754" s="1990">
        <f t="shared" si="509"/>
        <v>0</v>
      </c>
      <c r="AF754" s="1990">
        <f t="shared" si="509"/>
        <v>0</v>
      </c>
      <c r="AG754" s="1990">
        <f t="shared" si="509"/>
        <v>0</v>
      </c>
      <c r="AH754" s="1490">
        <f t="shared" si="494"/>
        <v>0</v>
      </c>
      <c r="AI754" s="1630">
        <f t="shared" si="510"/>
        <v>0</v>
      </c>
      <c r="AJ754" s="1630">
        <f t="shared" si="511"/>
        <v>0</v>
      </c>
      <c r="AK754" s="1630">
        <f t="shared" si="512"/>
        <v>0</v>
      </c>
      <c r="AL754" s="1636">
        <f t="shared" si="496"/>
        <v>0</v>
      </c>
      <c r="AM754" s="1630">
        <f t="shared" si="496"/>
        <v>0</v>
      </c>
      <c r="AN754" s="1637"/>
      <c r="AO754" s="1994">
        <v>0.8</v>
      </c>
      <c r="AP754" s="1638"/>
      <c r="AQ754" s="1638"/>
      <c r="AR754" s="1638"/>
      <c r="AS754" s="1639"/>
      <c r="AT754" s="1638"/>
      <c r="AU754" s="1638"/>
      <c r="AV754" s="1638"/>
      <c r="AW754" s="1640">
        <v>1.1919999999999999</v>
      </c>
      <c r="AX754" s="1640"/>
      <c r="AY754" s="1640"/>
      <c r="AZ754" s="1640"/>
      <c r="BA754" s="1641"/>
      <c r="BB754" s="1640"/>
      <c r="BC754" s="1640"/>
      <c r="BD754" s="1640"/>
      <c r="BE754" s="1644">
        <v>2</v>
      </c>
      <c r="BF754" s="1640"/>
      <c r="BG754" s="1640"/>
      <c r="BH754" s="1640"/>
      <c r="BI754" s="1641"/>
      <c r="BJ754" s="1640"/>
      <c r="BK754" s="1640"/>
      <c r="BL754" s="1640"/>
      <c r="BM754" s="1641"/>
      <c r="BN754" s="1640"/>
      <c r="BO754" s="1640"/>
      <c r="BP754" s="1640"/>
      <c r="BQ754" s="1641">
        <v>5.2080000000000002</v>
      </c>
      <c r="BR754" s="1640"/>
      <c r="BS754" s="1640"/>
      <c r="BT754" s="1640"/>
      <c r="BU754" s="1641"/>
      <c r="BV754" s="1640"/>
      <c r="BW754" s="1640"/>
      <c r="BX754" s="1640"/>
      <c r="BY754" s="1641"/>
      <c r="BZ754" s="1640"/>
      <c r="CA754" s="1640"/>
      <c r="CB754" s="1640"/>
      <c r="CC754" s="1641"/>
      <c r="CD754" s="1640"/>
      <c r="CE754" s="1640"/>
      <c r="CF754" s="1640"/>
      <c r="CG754" s="1642"/>
      <c r="CH754" s="1641">
        <f t="shared" si="504"/>
        <v>0</v>
      </c>
      <c r="CI754" s="1641">
        <f t="shared" si="504"/>
        <v>0</v>
      </c>
      <c r="CJ754" s="1641">
        <f t="shared" si="504"/>
        <v>0</v>
      </c>
      <c r="CK754" s="1641">
        <f t="shared" si="504"/>
        <v>0</v>
      </c>
      <c r="CL754" s="1992">
        <v>0</v>
      </c>
      <c r="CM754" s="1992">
        <v>0</v>
      </c>
      <c r="CN754" s="1889">
        <v>0</v>
      </c>
      <c r="CO754" s="1992">
        <v>0</v>
      </c>
      <c r="CP754" s="1641"/>
      <c r="CQ754" s="1640"/>
      <c r="CR754" s="1640"/>
      <c r="CS754" s="1640"/>
      <c r="CT754" s="1993"/>
      <c r="CU754" s="1993"/>
      <c r="CV754" s="1993"/>
      <c r="CW754" s="1993"/>
      <c r="CY754" s="1993"/>
    </row>
    <row r="755" spans="1:107" ht="15" thickBot="1" x14ac:dyDescent="0.2">
      <c r="A755" s="1541" t="s">
        <v>94</v>
      </c>
      <c r="B755" s="1523" t="s">
        <v>79</v>
      </c>
      <c r="C755" s="1523" t="s">
        <v>80</v>
      </c>
      <c r="D755" s="1523" t="s">
        <v>125</v>
      </c>
      <c r="E755" s="1523" t="s">
        <v>216</v>
      </c>
      <c r="F755" s="1523"/>
      <c r="G755" s="1667" t="s">
        <v>95</v>
      </c>
      <c r="H755" s="1501"/>
      <c r="I755" s="1501"/>
      <c r="J755" s="1630"/>
      <c r="K755" s="1630"/>
      <c r="L755" s="1631"/>
      <c r="M755" s="1631"/>
      <c r="N755" s="1631"/>
      <c r="O755" s="1631"/>
      <c r="P755" s="1631"/>
      <c r="Q755" s="1631"/>
      <c r="R755" s="1631"/>
      <c r="S755" s="1631"/>
      <c r="T755" s="1632"/>
      <c r="U755" s="1633"/>
      <c r="V755" s="1633"/>
      <c r="W755" s="1634"/>
      <c r="X755" s="1634"/>
      <c r="Y755" s="1634"/>
      <c r="Z755" s="1635"/>
      <c r="AA755" s="1634">
        <f t="shared" si="513"/>
        <v>0</v>
      </c>
      <c r="AB755" s="1634"/>
      <c r="AC755" s="1508">
        <f t="shared" si="507"/>
        <v>0</v>
      </c>
      <c r="AD755" s="1509">
        <f t="shared" si="508"/>
        <v>0</v>
      </c>
      <c r="AE755" s="1509">
        <f t="shared" si="509"/>
        <v>0</v>
      </c>
      <c r="AF755" s="1509">
        <f t="shared" si="509"/>
        <v>0</v>
      </c>
      <c r="AG755" s="1509">
        <f t="shared" si="509"/>
        <v>0</v>
      </c>
      <c r="AH755" s="1490">
        <f t="shared" si="494"/>
        <v>0</v>
      </c>
      <c r="AI755" s="1636">
        <f t="shared" si="510"/>
        <v>0</v>
      </c>
      <c r="AJ755" s="1636">
        <f t="shared" si="511"/>
        <v>0</v>
      </c>
      <c r="AK755" s="1636">
        <f t="shared" si="512"/>
        <v>0</v>
      </c>
      <c r="AL755" s="1636">
        <f t="shared" si="496"/>
        <v>0</v>
      </c>
      <c r="AM755" s="1636">
        <f t="shared" si="496"/>
        <v>0</v>
      </c>
      <c r="AN755" s="1637"/>
      <c r="AO755" s="1722">
        <v>0</v>
      </c>
      <c r="AP755" s="1638"/>
      <c r="AQ755" s="1638"/>
      <c r="AR755" s="1638"/>
      <c r="AS755" s="1639"/>
      <c r="AT755" s="1638"/>
      <c r="AU755" s="1638"/>
      <c r="AV755" s="1638"/>
      <c r="AW755" s="1639"/>
      <c r="AX755" s="1640"/>
      <c r="AY755" s="1640"/>
      <c r="AZ755" s="1640"/>
      <c r="BA755" s="1641"/>
      <c r="BB755" s="1640"/>
      <c r="BC755" s="1640"/>
      <c r="BD755" s="1640"/>
      <c r="BE755" s="1644"/>
      <c r="BF755" s="1640"/>
      <c r="BG755" s="1640"/>
      <c r="BH755" s="1640"/>
      <c r="BI755" s="1641"/>
      <c r="BJ755" s="1640"/>
      <c r="BK755" s="1640"/>
      <c r="BL755" s="1640"/>
      <c r="BM755" s="1641"/>
      <c r="BN755" s="1640"/>
      <c r="BO755" s="1640"/>
      <c r="BP755" s="1640"/>
      <c r="BQ755" s="1641"/>
      <c r="BR755" s="1640"/>
      <c r="BS755" s="1640"/>
      <c r="BT755" s="1640"/>
      <c r="BU755" s="1641"/>
      <c r="BV755" s="1640"/>
      <c r="BW755" s="1640"/>
      <c r="BX755" s="1640"/>
      <c r="BY755" s="1641"/>
      <c r="BZ755" s="1640"/>
      <c r="CA755" s="1640"/>
      <c r="CB755" s="1640"/>
      <c r="CC755" s="1641"/>
      <c r="CD755" s="1640"/>
      <c r="CE755" s="1640"/>
      <c r="CF755" s="1640"/>
      <c r="CG755" s="1642"/>
      <c r="CH755" s="1641">
        <f t="shared" si="504"/>
        <v>0</v>
      </c>
      <c r="CI755" s="1641">
        <f t="shared" si="504"/>
        <v>0</v>
      </c>
      <c r="CJ755" s="1641">
        <f t="shared" si="504"/>
        <v>0</v>
      </c>
      <c r="CK755" s="1641">
        <f t="shared" si="504"/>
        <v>0</v>
      </c>
      <c r="CL755" s="1889">
        <v>0</v>
      </c>
      <c r="CM755" s="1889">
        <v>0</v>
      </c>
      <c r="CN755" s="1889">
        <v>0</v>
      </c>
      <c r="CO755" s="1889">
        <v>0</v>
      </c>
      <c r="CP755" s="1641"/>
      <c r="CQ755" s="1640"/>
      <c r="CR755" s="1640"/>
      <c r="CS755" s="1640"/>
    </row>
    <row r="756" spans="1:107" s="1559" customFormat="1" ht="15" customHeight="1" thickBot="1" x14ac:dyDescent="0.2">
      <c r="A756" s="1541" t="s">
        <v>96</v>
      </c>
      <c r="B756" s="1523" t="s">
        <v>79</v>
      </c>
      <c r="C756" s="1523" t="s">
        <v>80</v>
      </c>
      <c r="D756" s="1523" t="s">
        <v>125</v>
      </c>
      <c r="E756" s="1523" t="s">
        <v>216</v>
      </c>
      <c r="F756" s="1523"/>
      <c r="G756" s="1667">
        <v>310</v>
      </c>
      <c r="H756" s="1652">
        <v>48</v>
      </c>
      <c r="I756" s="1501"/>
      <c r="J756" s="1630"/>
      <c r="K756" s="1630"/>
      <c r="L756" s="1631"/>
      <c r="M756" s="1631"/>
      <c r="N756" s="1631"/>
      <c r="O756" s="1631"/>
      <c r="P756" s="1631"/>
      <c r="Q756" s="1631"/>
      <c r="R756" s="1631"/>
      <c r="S756" s="1631"/>
      <c r="T756" s="1632"/>
      <c r="U756" s="1633"/>
      <c r="V756" s="1633"/>
      <c r="W756" s="1634"/>
      <c r="X756" s="1634"/>
      <c r="Y756" s="1634"/>
      <c r="Z756" s="1635"/>
      <c r="AA756" s="1634">
        <f t="shared" si="513"/>
        <v>0</v>
      </c>
      <c r="AB756" s="1634"/>
      <c r="AC756" s="1637">
        <f t="shared" si="507"/>
        <v>48</v>
      </c>
      <c r="AD756" s="1771">
        <f t="shared" si="508"/>
        <v>0</v>
      </c>
      <c r="AE756" s="1771">
        <f t="shared" si="509"/>
        <v>0</v>
      </c>
      <c r="AF756" s="1771">
        <f t="shared" si="509"/>
        <v>0</v>
      </c>
      <c r="AG756" s="1771">
        <f t="shared" si="509"/>
        <v>0</v>
      </c>
      <c r="AH756" s="1490">
        <f t="shared" si="494"/>
        <v>0</v>
      </c>
      <c r="AI756" s="1637">
        <f t="shared" si="510"/>
        <v>0</v>
      </c>
      <c r="AJ756" s="1637">
        <f t="shared" si="511"/>
        <v>0</v>
      </c>
      <c r="AK756" s="1637">
        <f t="shared" si="512"/>
        <v>0</v>
      </c>
      <c r="AL756" s="1636">
        <f t="shared" si="496"/>
        <v>0</v>
      </c>
      <c r="AM756" s="1637">
        <f t="shared" si="496"/>
        <v>0</v>
      </c>
      <c r="AN756" s="1712"/>
      <c r="AO756" s="1712"/>
      <c r="AP756" s="1753"/>
      <c r="AQ756" s="1753"/>
      <c r="AR756" s="1753"/>
      <c r="AS756" s="1639"/>
      <c r="AT756" s="1753"/>
      <c r="AU756" s="1753"/>
      <c r="AV756" s="1753"/>
      <c r="AW756" s="1641">
        <v>48</v>
      </c>
      <c r="AX756" s="1641"/>
      <c r="AY756" s="1641"/>
      <c r="AZ756" s="1641"/>
      <c r="BA756" s="1641"/>
      <c r="BB756" s="1641"/>
      <c r="BC756" s="1641"/>
      <c r="BD756" s="1641"/>
      <c r="BE756" s="1644"/>
      <c r="BF756" s="1641"/>
      <c r="BG756" s="1641"/>
      <c r="BH756" s="1641"/>
      <c r="BI756" s="1641"/>
      <c r="BJ756" s="1641"/>
      <c r="BK756" s="1641"/>
      <c r="BL756" s="1641"/>
      <c r="BM756" s="1641"/>
      <c r="BN756" s="1641"/>
      <c r="BO756" s="1641"/>
      <c r="BP756" s="1641"/>
      <c r="BQ756" s="1641"/>
      <c r="BR756" s="1641"/>
      <c r="BS756" s="1641"/>
      <c r="BT756" s="1641"/>
      <c r="BU756" s="1641"/>
      <c r="BV756" s="1641"/>
      <c r="BW756" s="1641"/>
      <c r="BX756" s="1641"/>
      <c r="BY756" s="1641"/>
      <c r="BZ756" s="1641"/>
      <c r="CA756" s="1641"/>
      <c r="CB756" s="1641"/>
      <c r="CC756" s="1641"/>
      <c r="CD756" s="1641"/>
      <c r="CE756" s="1641"/>
      <c r="CF756" s="1641"/>
      <c r="CG756" s="1691"/>
      <c r="CH756" s="1641">
        <f t="shared" si="504"/>
        <v>0</v>
      </c>
      <c r="CI756" s="1641">
        <f t="shared" si="504"/>
        <v>0</v>
      </c>
      <c r="CJ756" s="1641">
        <f t="shared" si="504"/>
        <v>0</v>
      </c>
      <c r="CK756" s="1641">
        <f t="shared" si="504"/>
        <v>0</v>
      </c>
      <c r="CL756" s="1976">
        <v>0</v>
      </c>
      <c r="CM756" s="1976">
        <v>0</v>
      </c>
      <c r="CN756" s="1889">
        <v>0</v>
      </c>
      <c r="CO756" s="1976">
        <v>0</v>
      </c>
      <c r="CP756" s="1641"/>
      <c r="CQ756" s="1641"/>
      <c r="CR756" s="1641"/>
      <c r="CS756" s="1641"/>
      <c r="CT756" s="1558"/>
      <c r="CU756" s="1558"/>
      <c r="CV756" s="1558"/>
      <c r="CW756" s="1558"/>
      <c r="CY756" s="1558"/>
    </row>
    <row r="757" spans="1:107" ht="15" thickBot="1" x14ac:dyDescent="0.2">
      <c r="A757" s="1541" t="s">
        <v>97</v>
      </c>
      <c r="B757" s="1523" t="s">
        <v>79</v>
      </c>
      <c r="C757" s="1523" t="s">
        <v>80</v>
      </c>
      <c r="D757" s="1523" t="s">
        <v>125</v>
      </c>
      <c r="E757" s="1523" t="s">
        <v>216</v>
      </c>
      <c r="F757" s="1523"/>
      <c r="G757" s="1667">
        <v>340</v>
      </c>
      <c r="H757" s="1501">
        <v>146.30000000000001</v>
      </c>
      <c r="I757" s="1501"/>
      <c r="J757" s="1630"/>
      <c r="K757" s="1630"/>
      <c r="L757" s="1631"/>
      <c r="M757" s="1631"/>
      <c r="N757" s="1631"/>
      <c r="O757" s="1631"/>
      <c r="P757" s="1631"/>
      <c r="Q757" s="1631"/>
      <c r="R757" s="1631"/>
      <c r="S757" s="1631"/>
      <c r="T757" s="1632"/>
      <c r="U757" s="1633"/>
      <c r="V757" s="1633"/>
      <c r="W757" s="1634"/>
      <c r="X757" s="1634"/>
      <c r="Y757" s="1634"/>
      <c r="Z757" s="1635"/>
      <c r="AA757" s="1634">
        <f t="shared" si="513"/>
        <v>0</v>
      </c>
      <c r="AB757" s="1634"/>
      <c r="AC757" s="1508">
        <f t="shared" si="507"/>
        <v>146.30000000000001</v>
      </c>
      <c r="AD757" s="1509">
        <f t="shared" si="508"/>
        <v>0</v>
      </c>
      <c r="AE757" s="1509">
        <f t="shared" si="509"/>
        <v>0</v>
      </c>
      <c r="AF757" s="1509">
        <f t="shared" si="509"/>
        <v>0</v>
      </c>
      <c r="AG757" s="1509">
        <f t="shared" si="509"/>
        <v>0</v>
      </c>
      <c r="AH757" s="1490">
        <f t="shared" si="494"/>
        <v>0</v>
      </c>
      <c r="AI757" s="1636">
        <f t="shared" si="510"/>
        <v>0</v>
      </c>
      <c r="AJ757" s="1636">
        <f t="shared" si="511"/>
        <v>0</v>
      </c>
      <c r="AK757" s="1636">
        <f t="shared" si="512"/>
        <v>0</v>
      </c>
      <c r="AL757" s="1636">
        <f t="shared" si="496"/>
        <v>0</v>
      </c>
      <c r="AM757" s="1636">
        <f t="shared" si="496"/>
        <v>0</v>
      </c>
      <c r="AN757" s="1637"/>
      <c r="AO757" s="1630"/>
      <c r="AP757" s="1638"/>
      <c r="AQ757" s="1638"/>
      <c r="AR757" s="1638"/>
      <c r="AS757" s="1639"/>
      <c r="AT757" s="1638"/>
      <c r="AU757" s="1638"/>
      <c r="AV757" s="1638"/>
      <c r="AW757" s="1639">
        <f>134.108+12.192</f>
        <v>146.30000000000001</v>
      </c>
      <c r="AX757" s="1640"/>
      <c r="AY757" s="1640"/>
      <c r="AZ757" s="1640"/>
      <c r="BA757" s="1641"/>
      <c r="BB757" s="1640"/>
      <c r="BC757" s="1641"/>
      <c r="BD757" s="1641"/>
      <c r="BE757" s="1644"/>
      <c r="BF757" s="1640"/>
      <c r="BG757" s="1640"/>
      <c r="BH757" s="1640"/>
      <c r="BI757" s="1641"/>
      <c r="BJ757" s="1640"/>
      <c r="BK757" s="1640"/>
      <c r="BL757" s="1640"/>
      <c r="BM757" s="1641"/>
      <c r="BN757" s="1640"/>
      <c r="BO757" s="1640"/>
      <c r="BP757" s="1640"/>
      <c r="BQ757" s="1641"/>
      <c r="BR757" s="1640"/>
      <c r="BS757" s="1640"/>
      <c r="BT757" s="1640"/>
      <c r="BU757" s="1641"/>
      <c r="BV757" s="1640"/>
      <c r="BW757" s="1640"/>
      <c r="BX757" s="1640"/>
      <c r="BY757" s="1641"/>
      <c r="BZ757" s="1640"/>
      <c r="CA757" s="1640"/>
      <c r="CB757" s="1640"/>
      <c r="CC757" s="1641"/>
      <c r="CD757" s="1640"/>
      <c r="CE757" s="1640"/>
      <c r="CF757" s="1640"/>
      <c r="CG757" s="1642"/>
      <c r="CH757" s="1641">
        <f t="shared" si="504"/>
        <v>0</v>
      </c>
      <c r="CI757" s="1641">
        <f t="shared" si="504"/>
        <v>0</v>
      </c>
      <c r="CJ757" s="1641">
        <f t="shared" si="504"/>
        <v>0</v>
      </c>
      <c r="CK757" s="1641">
        <f t="shared" si="504"/>
        <v>0</v>
      </c>
      <c r="CL757" s="1889">
        <v>0</v>
      </c>
      <c r="CM757" s="1889">
        <v>0</v>
      </c>
      <c r="CN757" s="1889">
        <v>0</v>
      </c>
      <c r="CO757" s="1889">
        <v>0</v>
      </c>
      <c r="CP757" s="1641"/>
      <c r="CQ757" s="1640"/>
      <c r="CR757" s="1640"/>
      <c r="CS757" s="1640"/>
    </row>
    <row r="758" spans="1:107" ht="15" thickBot="1" x14ac:dyDescent="0.2">
      <c r="A758" s="1528" t="s">
        <v>767</v>
      </c>
      <c r="B758" s="1530" t="s">
        <v>79</v>
      </c>
      <c r="C758" s="1530" t="s">
        <v>80</v>
      </c>
      <c r="D758" s="1530" t="s">
        <v>125</v>
      </c>
      <c r="E758" s="1530" t="s">
        <v>216</v>
      </c>
      <c r="F758" s="1530">
        <v>612</v>
      </c>
      <c r="G758" s="1687" t="s">
        <v>766</v>
      </c>
      <c r="H758" s="1647">
        <f>I744</f>
        <v>0</v>
      </c>
      <c r="I758" s="1645"/>
      <c r="J758" s="1630"/>
      <c r="K758" s="1630"/>
      <c r="L758" s="1631"/>
      <c r="M758" s="1631"/>
      <c r="N758" s="1631"/>
      <c r="O758" s="1631"/>
      <c r="P758" s="1631"/>
      <c r="Q758" s="1631"/>
      <c r="R758" s="1631"/>
      <c r="S758" s="1631"/>
      <c r="T758" s="1632"/>
      <c r="U758" s="1633"/>
      <c r="V758" s="1633"/>
      <c r="W758" s="1634"/>
      <c r="X758" s="1634"/>
      <c r="Y758" s="1634"/>
      <c r="Z758" s="1635"/>
      <c r="AA758" s="1634">
        <f t="shared" si="513"/>
        <v>0</v>
      </c>
      <c r="AB758" s="1634"/>
      <c r="AC758" s="1508"/>
      <c r="AD758" s="1509"/>
      <c r="AE758" s="1509"/>
      <c r="AF758" s="1509"/>
      <c r="AG758" s="1509"/>
      <c r="AH758" s="1490">
        <f t="shared" si="494"/>
        <v>0</v>
      </c>
      <c r="AI758" s="1636"/>
      <c r="AJ758" s="1636"/>
      <c r="AK758" s="1636"/>
      <c r="AL758" s="1636">
        <f t="shared" si="496"/>
        <v>0</v>
      </c>
      <c r="AM758" s="1636"/>
      <c r="AN758" s="1637"/>
      <c r="AO758" s="1630"/>
      <c r="AP758" s="1638"/>
      <c r="AQ758" s="1638"/>
      <c r="AR758" s="1638"/>
      <c r="AS758" s="1639"/>
      <c r="AT758" s="1638"/>
      <c r="AU758" s="1638"/>
      <c r="AV758" s="1638"/>
      <c r="AW758" s="1639"/>
      <c r="AX758" s="1640"/>
      <c r="AY758" s="1640"/>
      <c r="AZ758" s="1640"/>
      <c r="BA758" s="1641"/>
      <c r="BB758" s="1640"/>
      <c r="BC758" s="1640"/>
      <c r="BD758" s="1640"/>
      <c r="BE758" s="1644"/>
      <c r="BF758" s="1640"/>
      <c r="BG758" s="1640"/>
      <c r="BH758" s="1640"/>
      <c r="BI758" s="1641"/>
      <c r="BJ758" s="1640"/>
      <c r="BK758" s="1640"/>
      <c r="BL758" s="1640"/>
      <c r="BM758" s="1641"/>
      <c r="BN758" s="1640"/>
      <c r="BO758" s="1640"/>
      <c r="BP758" s="1640"/>
      <c r="BQ758" s="1641"/>
      <c r="BR758" s="1640"/>
      <c r="BS758" s="1640"/>
      <c r="BT758" s="1640"/>
      <c r="BU758" s="1641"/>
      <c r="BV758" s="1640"/>
      <c r="BW758" s="1640"/>
      <c r="BX758" s="1640"/>
      <c r="BY758" s="1641"/>
      <c r="BZ758" s="1640"/>
      <c r="CA758" s="1640"/>
      <c r="CB758" s="1640"/>
      <c r="CC758" s="1641"/>
      <c r="CD758" s="1640"/>
      <c r="CE758" s="1640"/>
      <c r="CF758" s="1640"/>
      <c r="CG758" s="1642"/>
      <c r="CH758" s="1641">
        <f t="shared" si="504"/>
        <v>0</v>
      </c>
      <c r="CI758" s="1641">
        <f t="shared" si="504"/>
        <v>0</v>
      </c>
      <c r="CJ758" s="1641">
        <f t="shared" si="504"/>
        <v>0</v>
      </c>
      <c r="CK758" s="1641">
        <f t="shared" si="504"/>
        <v>0</v>
      </c>
      <c r="CL758" s="1898"/>
      <c r="CM758" s="1898"/>
      <c r="CN758" s="1889">
        <v>0</v>
      </c>
      <c r="CO758" s="1898"/>
      <c r="CP758" s="1641"/>
      <c r="CQ758" s="1640"/>
      <c r="CR758" s="1640"/>
      <c r="CS758" s="1640"/>
    </row>
    <row r="759" spans="1:107" s="1886" customFormat="1" ht="27" thickBot="1" x14ac:dyDescent="0.2">
      <c r="A759" s="1873" t="s">
        <v>1291</v>
      </c>
      <c r="B759" s="1941" t="s">
        <v>79</v>
      </c>
      <c r="C759" s="1941" t="s">
        <v>80</v>
      </c>
      <c r="D759" s="1941" t="s">
        <v>125</v>
      </c>
      <c r="E759" s="1941" t="s">
        <v>216</v>
      </c>
      <c r="F759" s="1941">
        <v>600</v>
      </c>
      <c r="G759" s="1874"/>
      <c r="H759" s="1606">
        <f>H760+H774</f>
        <v>26075.668999999998</v>
      </c>
      <c r="I759" s="1606">
        <f>I760+I774</f>
        <v>3122.069</v>
      </c>
      <c r="J759" s="1606">
        <f>J760+J774</f>
        <v>0</v>
      </c>
      <c r="K759" s="1606">
        <f>K760+K774</f>
        <v>0</v>
      </c>
      <c r="L759" s="1607"/>
      <c r="M759" s="1607"/>
      <c r="N759" s="1607"/>
      <c r="O759" s="1607"/>
      <c r="P759" s="1607"/>
      <c r="Q759" s="1607"/>
      <c r="R759" s="1607"/>
      <c r="S759" s="1607"/>
      <c r="T759" s="1608"/>
      <c r="U759" s="1609"/>
      <c r="V759" s="1609"/>
      <c r="W759" s="1610"/>
      <c r="X759" s="1610"/>
      <c r="Y759" s="1610"/>
      <c r="Z759" s="1611"/>
      <c r="AA759" s="1634">
        <f t="shared" si="513"/>
        <v>0</v>
      </c>
      <c r="AB759" s="1610"/>
      <c r="AC759" s="1612">
        <f t="shared" ref="AC759:CF759" si="514">AC760+AC774</f>
        <v>22953.600000000002</v>
      </c>
      <c r="AD759" s="1612">
        <f t="shared" si="514"/>
        <v>3122.069</v>
      </c>
      <c r="AE759" s="1612">
        <f t="shared" si="514"/>
        <v>3122.069</v>
      </c>
      <c r="AF759" s="1612">
        <f t="shared" si="514"/>
        <v>0</v>
      </c>
      <c r="AG759" s="1612">
        <f t="shared" si="514"/>
        <v>0</v>
      </c>
      <c r="AH759" s="1490">
        <f t="shared" si="494"/>
        <v>475.8</v>
      </c>
      <c r="AI759" s="1613">
        <f t="shared" si="514"/>
        <v>0</v>
      </c>
      <c r="AJ759" s="1613">
        <f t="shared" si="514"/>
        <v>0</v>
      </c>
      <c r="AK759" s="1613">
        <f t="shared" si="514"/>
        <v>0</v>
      </c>
      <c r="AL759" s="1636">
        <f t="shared" ref="AL759:AM790" si="515">J759-AF759</f>
        <v>0</v>
      </c>
      <c r="AM759" s="1613">
        <f t="shared" si="514"/>
        <v>0</v>
      </c>
      <c r="AN759" s="1614"/>
      <c r="AO759" s="1606">
        <f t="shared" si="514"/>
        <v>1715.9</v>
      </c>
      <c r="AP759" s="1606">
        <f t="shared" si="514"/>
        <v>0</v>
      </c>
      <c r="AQ759" s="1606">
        <f t="shared" si="514"/>
        <v>0</v>
      </c>
      <c r="AR759" s="1606">
        <f t="shared" si="514"/>
        <v>0</v>
      </c>
      <c r="AS759" s="1611">
        <f t="shared" si="514"/>
        <v>1713.7</v>
      </c>
      <c r="AT759" s="1606">
        <f t="shared" si="514"/>
        <v>0</v>
      </c>
      <c r="AU759" s="1606">
        <f t="shared" si="514"/>
        <v>0</v>
      </c>
      <c r="AV759" s="1606">
        <f t="shared" si="514"/>
        <v>0</v>
      </c>
      <c r="AW759" s="1611">
        <f t="shared" si="514"/>
        <v>1713.7</v>
      </c>
      <c r="AX759" s="1606">
        <f t="shared" si="514"/>
        <v>0</v>
      </c>
      <c r="AY759" s="1606">
        <f t="shared" si="514"/>
        <v>0</v>
      </c>
      <c r="AZ759" s="1606">
        <f t="shared" si="514"/>
        <v>0</v>
      </c>
      <c r="BA759" s="1614">
        <f t="shared" si="514"/>
        <v>1713.7</v>
      </c>
      <c r="BB759" s="1606">
        <f t="shared" si="514"/>
        <v>0</v>
      </c>
      <c r="BC759" s="1606">
        <f t="shared" si="514"/>
        <v>0</v>
      </c>
      <c r="BD759" s="1606">
        <f t="shared" si="514"/>
        <v>0</v>
      </c>
      <c r="BE759" s="1615">
        <f t="shared" si="514"/>
        <v>1713.7</v>
      </c>
      <c r="BF759" s="1606">
        <f t="shared" si="514"/>
        <v>0</v>
      </c>
      <c r="BG759" s="1606">
        <f t="shared" si="514"/>
        <v>0</v>
      </c>
      <c r="BH759" s="1606">
        <f t="shared" si="514"/>
        <v>0</v>
      </c>
      <c r="BI759" s="1614">
        <f t="shared" si="514"/>
        <v>4422.4710000000005</v>
      </c>
      <c r="BJ759" s="1606">
        <f t="shared" si="514"/>
        <v>0</v>
      </c>
      <c r="BK759" s="1606">
        <f t="shared" si="514"/>
        <v>0</v>
      </c>
      <c r="BL759" s="1606">
        <f t="shared" si="514"/>
        <v>0</v>
      </c>
      <c r="BM759" s="1614">
        <f t="shared" si="514"/>
        <v>377.72899999999998</v>
      </c>
      <c r="BN759" s="1606">
        <f t="shared" si="514"/>
        <v>0</v>
      </c>
      <c r="BO759" s="1606">
        <f t="shared" si="514"/>
        <v>0</v>
      </c>
      <c r="BP759" s="1606">
        <f t="shared" si="514"/>
        <v>0</v>
      </c>
      <c r="BQ759" s="1614">
        <f t="shared" si="514"/>
        <v>1853.8500000000001</v>
      </c>
      <c r="BR759" s="1606">
        <f t="shared" si="514"/>
        <v>1000</v>
      </c>
      <c r="BS759" s="1606">
        <f t="shared" si="514"/>
        <v>0</v>
      </c>
      <c r="BT759" s="1606">
        <f t="shared" si="514"/>
        <v>0</v>
      </c>
      <c r="BU759" s="1614">
        <f t="shared" si="514"/>
        <v>1713.7</v>
      </c>
      <c r="BV759" s="1606">
        <f t="shared" si="514"/>
        <v>0</v>
      </c>
      <c r="BW759" s="1606">
        <f t="shared" si="514"/>
        <v>0</v>
      </c>
      <c r="BX759" s="1606">
        <f t="shared" si="514"/>
        <v>0</v>
      </c>
      <c r="BY759" s="1614">
        <f t="shared" si="514"/>
        <v>1643.7600000000002</v>
      </c>
      <c r="BZ759" s="1606">
        <f t="shared" si="514"/>
        <v>2000</v>
      </c>
      <c r="CA759" s="1606">
        <f t="shared" si="514"/>
        <v>0</v>
      </c>
      <c r="CB759" s="1606">
        <f t="shared" si="514"/>
        <v>0</v>
      </c>
      <c r="CC759" s="1614">
        <f t="shared" si="514"/>
        <v>2895.59</v>
      </c>
      <c r="CD759" s="1606">
        <f t="shared" si="514"/>
        <v>0</v>
      </c>
      <c r="CE759" s="1606">
        <f t="shared" si="514"/>
        <v>0</v>
      </c>
      <c r="CF759" s="1606">
        <f t="shared" si="514"/>
        <v>0</v>
      </c>
      <c r="CG759" s="1616"/>
      <c r="CH759" s="1641">
        <f t="shared" si="504"/>
        <v>1475.8</v>
      </c>
      <c r="CI759" s="1641">
        <f t="shared" si="504"/>
        <v>122.069</v>
      </c>
      <c r="CJ759" s="1641">
        <f t="shared" si="504"/>
        <v>0</v>
      </c>
      <c r="CK759" s="1641">
        <f t="shared" si="504"/>
        <v>0</v>
      </c>
      <c r="CL759" s="1943">
        <v>475.8</v>
      </c>
      <c r="CM759" s="1943">
        <v>122.069</v>
      </c>
      <c r="CN759" s="1889">
        <v>0</v>
      </c>
      <c r="CO759" s="1943">
        <v>0</v>
      </c>
      <c r="CP759" s="1614">
        <f>CP760+CP774</f>
        <v>1000</v>
      </c>
      <c r="CQ759" s="1606">
        <f>CQ760+CQ774</f>
        <v>0</v>
      </c>
      <c r="CR759" s="1606">
        <f>CR760+CR774</f>
        <v>0</v>
      </c>
      <c r="CS759" s="1606">
        <f>CS760+CS774</f>
        <v>0</v>
      </c>
      <c r="CT759" s="1885"/>
      <c r="CU759" s="1885"/>
      <c r="CV759" s="1885"/>
      <c r="CW759" s="1885"/>
      <c r="CY759" s="1885"/>
    </row>
    <row r="760" spans="1:107" ht="53" thickBot="1" x14ac:dyDescent="0.2">
      <c r="A760" s="1748" t="s">
        <v>1135</v>
      </c>
      <c r="B760" s="1749" t="s">
        <v>79</v>
      </c>
      <c r="C760" s="1749" t="s">
        <v>80</v>
      </c>
      <c r="D760" s="1749" t="s">
        <v>125</v>
      </c>
      <c r="E760" s="1749" t="s">
        <v>216</v>
      </c>
      <c r="F760" s="1749" t="s">
        <v>765</v>
      </c>
      <c r="G760" s="1600" t="s">
        <v>766</v>
      </c>
      <c r="H760" s="1531">
        <f>H761+H762+H763+H764+H765+H766+H767+H768+H769+H770+H771+H772+H773</f>
        <v>22953.599999999999</v>
      </c>
      <c r="I760" s="1531">
        <f>I761+I762+I763+I764+I765+I766+I767+I768+I769+I770+I771+I772+I773</f>
        <v>3122.069</v>
      </c>
      <c r="J760" s="1531">
        <f>J761+J762+J763+J764+J765+J766+J767+J768+J769+J770+J771+J772+J773</f>
        <v>0</v>
      </c>
      <c r="K760" s="1531">
        <f>K761+K762+K763+K764+K765+K766+K767+K768+K769+K770+K771+K772+K773</f>
        <v>0</v>
      </c>
      <c r="L760" s="1601"/>
      <c r="M760" s="1601"/>
      <c r="N760" s="1601"/>
      <c r="O760" s="1601">
        <f t="shared" ref="O760:BZ760" si="516">O761+O762+O763+O764+O765+O766+O767+O768+O769+O770+O771+O772+O773</f>
        <v>0</v>
      </c>
      <c r="P760" s="1601"/>
      <c r="Q760" s="1601"/>
      <c r="R760" s="1601"/>
      <c r="S760" s="1601"/>
      <c r="T760" s="1531">
        <f t="shared" si="516"/>
        <v>0</v>
      </c>
      <c r="U760" s="1531">
        <f t="shared" si="516"/>
        <v>4475</v>
      </c>
      <c r="V760" s="1531">
        <f t="shared" si="516"/>
        <v>0</v>
      </c>
      <c r="W760" s="1531">
        <f t="shared" si="516"/>
        <v>1719.05</v>
      </c>
      <c r="X760" s="1531">
        <f t="shared" si="516"/>
        <v>1713.7</v>
      </c>
      <c r="Y760" s="1531">
        <f t="shared" si="516"/>
        <v>2895.59</v>
      </c>
      <c r="Z760" s="1531">
        <f t="shared" si="516"/>
        <v>2222.29</v>
      </c>
      <c r="AA760" s="1531">
        <f t="shared" si="516"/>
        <v>1912.8540000000012</v>
      </c>
      <c r="AB760" s="1531">
        <f t="shared" si="516"/>
        <v>21477.8</v>
      </c>
      <c r="AC760" s="1603">
        <f t="shared" si="516"/>
        <v>22953.600000000002</v>
      </c>
      <c r="AD760" s="1603">
        <f t="shared" si="516"/>
        <v>3122.069</v>
      </c>
      <c r="AE760" s="1603">
        <f t="shared" si="516"/>
        <v>3122.069</v>
      </c>
      <c r="AF760" s="1603">
        <f t="shared" si="516"/>
        <v>0</v>
      </c>
      <c r="AG760" s="1603">
        <f t="shared" si="516"/>
        <v>0</v>
      </c>
      <c r="AH760" s="1490">
        <f t="shared" si="494"/>
        <v>475.8</v>
      </c>
      <c r="AI760" s="1592">
        <f t="shared" si="516"/>
        <v>0</v>
      </c>
      <c r="AJ760" s="1592">
        <f t="shared" si="516"/>
        <v>0</v>
      </c>
      <c r="AK760" s="1592">
        <f t="shared" si="516"/>
        <v>0</v>
      </c>
      <c r="AL760" s="1636">
        <f t="shared" si="515"/>
        <v>0</v>
      </c>
      <c r="AM760" s="1592">
        <f t="shared" si="516"/>
        <v>0</v>
      </c>
      <c r="AN760" s="1706"/>
      <c r="AO760" s="1707">
        <f t="shared" si="516"/>
        <v>1715.9</v>
      </c>
      <c r="AP760" s="1531">
        <f t="shared" si="516"/>
        <v>0</v>
      </c>
      <c r="AQ760" s="1531">
        <f t="shared" si="516"/>
        <v>0</v>
      </c>
      <c r="AR760" s="1531">
        <f t="shared" si="516"/>
        <v>0</v>
      </c>
      <c r="AS760" s="1535">
        <f t="shared" si="516"/>
        <v>1713.7</v>
      </c>
      <c r="AT760" s="1531">
        <f t="shared" si="516"/>
        <v>0</v>
      </c>
      <c r="AU760" s="1531">
        <f t="shared" si="516"/>
        <v>0</v>
      </c>
      <c r="AV760" s="1531">
        <f t="shared" si="516"/>
        <v>0</v>
      </c>
      <c r="AW760" s="1535">
        <f t="shared" si="516"/>
        <v>1713.7</v>
      </c>
      <c r="AX760" s="1531">
        <f t="shared" si="516"/>
        <v>0</v>
      </c>
      <c r="AY760" s="1531">
        <f t="shared" si="516"/>
        <v>0</v>
      </c>
      <c r="AZ760" s="1531">
        <f t="shared" si="516"/>
        <v>0</v>
      </c>
      <c r="BA760" s="1538">
        <f t="shared" si="516"/>
        <v>1713.7</v>
      </c>
      <c r="BB760" s="1531">
        <f t="shared" si="516"/>
        <v>0</v>
      </c>
      <c r="BC760" s="1531">
        <f t="shared" si="516"/>
        <v>0</v>
      </c>
      <c r="BD760" s="1531">
        <f t="shared" si="516"/>
        <v>0</v>
      </c>
      <c r="BE760" s="1539">
        <f t="shared" si="516"/>
        <v>1713.7</v>
      </c>
      <c r="BF760" s="1531">
        <f t="shared" si="516"/>
        <v>0</v>
      </c>
      <c r="BG760" s="1531">
        <f t="shared" si="516"/>
        <v>0</v>
      </c>
      <c r="BH760" s="1531">
        <f t="shared" si="516"/>
        <v>0</v>
      </c>
      <c r="BI760" s="1538">
        <f t="shared" si="516"/>
        <v>4422.4710000000005</v>
      </c>
      <c r="BJ760" s="1531">
        <f t="shared" si="516"/>
        <v>0</v>
      </c>
      <c r="BK760" s="1531">
        <f t="shared" si="516"/>
        <v>0</v>
      </c>
      <c r="BL760" s="1531">
        <f t="shared" si="516"/>
        <v>0</v>
      </c>
      <c r="BM760" s="1538">
        <f t="shared" si="516"/>
        <v>377.72899999999998</v>
      </c>
      <c r="BN760" s="1531">
        <f t="shared" si="516"/>
        <v>0</v>
      </c>
      <c r="BO760" s="1531">
        <f t="shared" si="516"/>
        <v>0</v>
      </c>
      <c r="BP760" s="1531">
        <f t="shared" si="516"/>
        <v>0</v>
      </c>
      <c r="BQ760" s="1538">
        <f t="shared" si="516"/>
        <v>1853.8500000000001</v>
      </c>
      <c r="BR760" s="1531">
        <f t="shared" si="516"/>
        <v>1000</v>
      </c>
      <c r="BS760" s="1531">
        <f t="shared" si="516"/>
        <v>0</v>
      </c>
      <c r="BT760" s="1531">
        <f t="shared" si="516"/>
        <v>0</v>
      </c>
      <c r="BU760" s="1538">
        <f t="shared" si="516"/>
        <v>1713.7</v>
      </c>
      <c r="BV760" s="1531">
        <f t="shared" si="516"/>
        <v>0</v>
      </c>
      <c r="BW760" s="1531">
        <f t="shared" si="516"/>
        <v>0</v>
      </c>
      <c r="BX760" s="1531">
        <f t="shared" si="516"/>
        <v>0</v>
      </c>
      <c r="BY760" s="1538">
        <f t="shared" si="516"/>
        <v>1643.7600000000002</v>
      </c>
      <c r="BZ760" s="1531">
        <f t="shared" si="516"/>
        <v>2000</v>
      </c>
      <c r="CA760" s="1531">
        <f t="shared" ref="CA760:CF760" si="517">CA761+CA762+CA763+CA764+CA765+CA766+CA767+CA768+CA769+CA770+CA771+CA772+CA773</f>
        <v>0</v>
      </c>
      <c r="CB760" s="1531">
        <f t="shared" si="517"/>
        <v>0</v>
      </c>
      <c r="CC760" s="1538">
        <f t="shared" si="517"/>
        <v>2895.59</v>
      </c>
      <c r="CD760" s="1531">
        <f t="shared" si="517"/>
        <v>0</v>
      </c>
      <c r="CE760" s="1531">
        <f t="shared" si="517"/>
        <v>0</v>
      </c>
      <c r="CF760" s="1531">
        <f t="shared" si="517"/>
        <v>0</v>
      </c>
      <c r="CG760" s="1705"/>
      <c r="CH760" s="1641">
        <f t="shared" si="504"/>
        <v>1475.8</v>
      </c>
      <c r="CI760" s="1641">
        <f t="shared" si="504"/>
        <v>122.069</v>
      </c>
      <c r="CJ760" s="1641">
        <f t="shared" si="504"/>
        <v>0</v>
      </c>
      <c r="CK760" s="1641">
        <f t="shared" si="504"/>
        <v>0</v>
      </c>
      <c r="CL760" s="1902">
        <v>475.8</v>
      </c>
      <c r="CM760" s="1902">
        <v>122.069</v>
      </c>
      <c r="CN760" s="1889">
        <v>0</v>
      </c>
      <c r="CO760" s="1902">
        <v>0</v>
      </c>
      <c r="CP760" s="1538">
        <f>CP761+CP762+CP763+CP764+CP765+CP766+CP767+CP768+CP769+CP770+CP771+CP772+CP773</f>
        <v>1000</v>
      </c>
      <c r="CQ760" s="1531">
        <f>CQ761+CQ762+CQ763+CQ764+CQ765+CQ766+CQ767+CQ768+CQ769+CQ770+CQ771+CQ772+CQ773</f>
        <v>0</v>
      </c>
      <c r="CR760" s="1531">
        <f>CR761+CR762+CR763+CR764+CR765+CR766+CR767+CR768+CR769+CR770+CR771+CR772+CR773</f>
        <v>0</v>
      </c>
      <c r="CS760" s="1531">
        <f>CS761+CS762+CS763+CS764+CS765+CS766+CS767+CS768+CS769+CS770+CS771+CS772+CS773</f>
        <v>0</v>
      </c>
    </row>
    <row r="761" spans="1:107" ht="15" thickBot="1" x14ac:dyDescent="0.2">
      <c r="A761" s="1541" t="s">
        <v>78</v>
      </c>
      <c r="B761" s="1523" t="s">
        <v>79</v>
      </c>
      <c r="C761" s="1523" t="s">
        <v>80</v>
      </c>
      <c r="D761" s="1523" t="s">
        <v>125</v>
      </c>
      <c r="E761" s="1523" t="s">
        <v>216</v>
      </c>
      <c r="F761" s="1523"/>
      <c r="G761" s="1667">
        <v>211</v>
      </c>
      <c r="H761" s="1501">
        <f>15793.8+50</f>
        <v>15843.8</v>
      </c>
      <c r="I761" s="1501"/>
      <c r="J761" s="1630"/>
      <c r="K761" s="1630"/>
      <c r="L761" s="1631"/>
      <c r="M761" s="1631"/>
      <c r="N761" s="1631"/>
      <c r="O761" s="1631"/>
      <c r="P761" s="1631"/>
      <c r="Q761" s="1631"/>
      <c r="R761" s="1631"/>
      <c r="S761" s="1631"/>
      <c r="T761" s="1632"/>
      <c r="U761" s="1633"/>
      <c r="V761" s="1633"/>
      <c r="W761" s="1634">
        <f>H761/12</f>
        <v>1320.3166666666666</v>
      </c>
      <c r="X761" s="1634">
        <f>AO761</f>
        <v>1316.2</v>
      </c>
      <c r="Y761" s="1634">
        <f>CC761</f>
        <v>1943.85</v>
      </c>
      <c r="Z761" s="1635">
        <v>1270.55</v>
      </c>
      <c r="AA761" s="1634">
        <f>AC761-AB761</f>
        <v>453.60000000000218</v>
      </c>
      <c r="AB761" s="1511">
        <v>15390.2</v>
      </c>
      <c r="AC761" s="1508">
        <f t="shared" ref="AC761:AC773" si="518">AO761+AS761+AW761+BA761+BE761+BI761+BM761+BQ761+BU761+BY761+CC761+CH761</f>
        <v>15843.800000000003</v>
      </c>
      <c r="AD761" s="1509">
        <f t="shared" ref="AD761:AD773" si="519">AE761+AF761+AG761</f>
        <v>0</v>
      </c>
      <c r="AE761" s="1509">
        <f t="shared" ref="AE761:AG773" si="520">AP761+AT761+AX761+BB761+BF761+BJ761+BN761+BR761+BV761+BZ761+CD761+CI761</f>
        <v>0</v>
      </c>
      <c r="AF761" s="1509">
        <f t="shared" si="520"/>
        <v>0</v>
      </c>
      <c r="AG761" s="1509">
        <f t="shared" si="520"/>
        <v>0</v>
      </c>
      <c r="AH761" s="1490">
        <f t="shared" si="494"/>
        <v>250.619</v>
      </c>
      <c r="AI761" s="1636">
        <f t="shared" ref="AI761:AI773" si="521">H761-AC761</f>
        <v>0</v>
      </c>
      <c r="AJ761" s="1636">
        <f t="shared" ref="AJ761:AJ773" si="522">AK761+AL761+AM761</f>
        <v>0</v>
      </c>
      <c r="AK761" s="1636">
        <f t="shared" ref="AK761:AK773" si="523">I761-AE761</f>
        <v>0</v>
      </c>
      <c r="AL761" s="1636">
        <f t="shared" si="515"/>
        <v>0</v>
      </c>
      <c r="AM761" s="1636">
        <f t="shared" si="515"/>
        <v>0</v>
      </c>
      <c r="AN761" s="1637">
        <f>AI761/4</f>
        <v>0</v>
      </c>
      <c r="AO761" s="1722">
        <v>1316.2</v>
      </c>
      <c r="AP761" s="1638"/>
      <c r="AQ761" s="1638"/>
      <c r="AR761" s="1638"/>
      <c r="AS761" s="1963">
        <v>1316.2</v>
      </c>
      <c r="AT761" s="1638"/>
      <c r="AU761" s="1638"/>
      <c r="AV761" s="1638"/>
      <c r="AW761" s="1722">
        <v>1316.2</v>
      </c>
      <c r="AX761" s="1640"/>
      <c r="AY761" s="1640"/>
      <c r="AZ761" s="1640"/>
      <c r="BA761" s="1964">
        <v>1316.2</v>
      </c>
      <c r="BB761" s="1640"/>
      <c r="BC761" s="1640"/>
      <c r="BD761" s="1640"/>
      <c r="BE761" s="1964">
        <v>1316.2</v>
      </c>
      <c r="BF761" s="1640"/>
      <c r="BG761" s="1640"/>
      <c r="BH761" s="1640"/>
      <c r="BI761" s="1641">
        <f>1335.971+1316.2</f>
        <v>2652.1710000000003</v>
      </c>
      <c r="BJ761" s="1640"/>
      <c r="BK761" s="1640"/>
      <c r="BL761" s="1640"/>
      <c r="BM761" s="1641">
        <v>0</v>
      </c>
      <c r="BN761" s="1640"/>
      <c r="BO761" s="1640"/>
      <c r="BP761" s="1640"/>
      <c r="BQ761" s="1641">
        <f>1316.2+50+40</f>
        <v>1406.2</v>
      </c>
      <c r="BR761" s="1640"/>
      <c r="BS761" s="1640"/>
      <c r="BT761" s="1640"/>
      <c r="BU761" s="1641">
        <v>1316.2</v>
      </c>
      <c r="BV761" s="1640"/>
      <c r="BW761" s="1640"/>
      <c r="BX761" s="1640"/>
      <c r="BY761" s="1641">
        <f>394.86+1248.9+50</f>
        <v>1693.7600000000002</v>
      </c>
      <c r="BZ761" s="1640"/>
      <c r="CA761" s="1640"/>
      <c r="CB761" s="1640"/>
      <c r="CC761" s="1641">
        <f>673.3+1270.55</f>
        <v>1943.85</v>
      </c>
      <c r="CD761" s="1640"/>
      <c r="CE761" s="1640"/>
      <c r="CF761" s="1640"/>
      <c r="CG761" s="1642"/>
      <c r="CH761" s="1641">
        <f t="shared" si="504"/>
        <v>250.619</v>
      </c>
      <c r="CI761" s="1641">
        <f t="shared" si="504"/>
        <v>0</v>
      </c>
      <c r="CJ761" s="1641">
        <f t="shared" si="504"/>
        <v>0</v>
      </c>
      <c r="CK761" s="1641">
        <f t="shared" si="504"/>
        <v>0</v>
      </c>
      <c r="CL761" s="1889">
        <v>250.619</v>
      </c>
      <c r="CM761" s="1889">
        <v>0</v>
      </c>
      <c r="CN761" s="1889">
        <v>0</v>
      </c>
      <c r="CO761" s="1889">
        <v>0</v>
      </c>
      <c r="CP761" s="1641"/>
      <c r="CQ761" s="1640"/>
      <c r="CR761" s="1640"/>
      <c r="CS761" s="1640"/>
      <c r="CX761" s="1558">
        <f>H761/12*10-AC761</f>
        <v>-2640.6333333333369</v>
      </c>
      <c r="CY761" s="1558">
        <f>AI761/3</f>
        <v>0</v>
      </c>
      <c r="CZ761" s="1558">
        <f>H761/12</f>
        <v>1320.3166666666666</v>
      </c>
      <c r="DA761" s="1559"/>
      <c r="DB761" s="1559"/>
      <c r="DC761" s="1559"/>
    </row>
    <row r="762" spans="1:107" ht="15" thickBot="1" x14ac:dyDescent="0.2">
      <c r="A762" s="1541" t="s">
        <v>103</v>
      </c>
      <c r="B762" s="1523" t="s">
        <v>79</v>
      </c>
      <c r="C762" s="1523" t="s">
        <v>80</v>
      </c>
      <c r="D762" s="1523" t="s">
        <v>125</v>
      </c>
      <c r="E762" s="1523" t="s">
        <v>216</v>
      </c>
      <c r="F762" s="1523"/>
      <c r="G762" s="1667">
        <v>212</v>
      </c>
      <c r="H762" s="1501"/>
      <c r="I762" s="1501"/>
      <c r="J762" s="1630"/>
      <c r="K762" s="1630"/>
      <c r="L762" s="1631"/>
      <c r="M762" s="1631"/>
      <c r="N762" s="1631"/>
      <c r="O762" s="1631"/>
      <c r="P762" s="1631"/>
      <c r="Q762" s="1631"/>
      <c r="R762" s="1631"/>
      <c r="S762" s="1631"/>
      <c r="T762" s="1632"/>
      <c r="U762" s="1633"/>
      <c r="V762" s="1633"/>
      <c r="W762" s="1634"/>
      <c r="X762" s="1634"/>
      <c r="Y762" s="1634">
        <f>CC762</f>
        <v>0</v>
      </c>
      <c r="Z762" s="1635">
        <f>AI762-X762</f>
        <v>0</v>
      </c>
      <c r="AA762" s="1634">
        <f>AC762-AB762</f>
        <v>0</v>
      </c>
      <c r="AB762" s="1511"/>
      <c r="AC762" s="1508">
        <f t="shared" si="518"/>
        <v>0</v>
      </c>
      <c r="AD762" s="1509">
        <f t="shared" si="519"/>
        <v>0</v>
      </c>
      <c r="AE762" s="1509">
        <f t="shared" si="520"/>
        <v>0</v>
      </c>
      <c r="AF762" s="1509">
        <f t="shared" si="520"/>
        <v>0</v>
      </c>
      <c r="AG762" s="1509">
        <f t="shared" si="520"/>
        <v>0</v>
      </c>
      <c r="AH762" s="1490">
        <f t="shared" si="494"/>
        <v>0</v>
      </c>
      <c r="AI762" s="1636">
        <f t="shared" si="521"/>
        <v>0</v>
      </c>
      <c r="AJ762" s="1636">
        <f t="shared" si="522"/>
        <v>0</v>
      </c>
      <c r="AK762" s="1636">
        <f t="shared" si="523"/>
        <v>0</v>
      </c>
      <c r="AL762" s="1636">
        <f t="shared" si="515"/>
        <v>0</v>
      </c>
      <c r="AM762" s="1636">
        <f t="shared" si="515"/>
        <v>0</v>
      </c>
      <c r="AN762" s="1637"/>
      <c r="AO762" s="1722">
        <v>0</v>
      </c>
      <c r="AP762" s="1638"/>
      <c r="AQ762" s="1638"/>
      <c r="AR762" s="1638"/>
      <c r="AS762" s="1963">
        <v>0</v>
      </c>
      <c r="AT762" s="1638"/>
      <c r="AU762" s="1638"/>
      <c r="AV762" s="1638"/>
      <c r="AW762" s="1722">
        <v>0</v>
      </c>
      <c r="AX762" s="1640"/>
      <c r="AY762" s="1640"/>
      <c r="AZ762" s="1640"/>
      <c r="BA762" s="1964">
        <v>0</v>
      </c>
      <c r="BB762" s="1640"/>
      <c r="BC762" s="1640"/>
      <c r="BD762" s="1640"/>
      <c r="BE762" s="1964">
        <v>0</v>
      </c>
      <c r="BF762" s="1640"/>
      <c r="BG762" s="1640"/>
      <c r="BH762" s="1640"/>
      <c r="BI762" s="1641"/>
      <c r="BJ762" s="1640"/>
      <c r="BK762" s="1640"/>
      <c r="BL762" s="1640"/>
      <c r="BM762" s="1641"/>
      <c r="BN762" s="1640"/>
      <c r="BO762" s="1640"/>
      <c r="BP762" s="1640"/>
      <c r="BQ762" s="1641"/>
      <c r="BR762" s="1640"/>
      <c r="BS762" s="1640"/>
      <c r="BT762" s="1640"/>
      <c r="BU762" s="1641"/>
      <c r="BV762" s="1640"/>
      <c r="BW762" s="1640"/>
      <c r="BX762" s="1640"/>
      <c r="BY762" s="1641"/>
      <c r="BZ762" s="1640"/>
      <c r="CA762" s="1640"/>
      <c r="CB762" s="1640"/>
      <c r="CC762" s="1641"/>
      <c r="CD762" s="1640"/>
      <c r="CE762" s="1640"/>
      <c r="CF762" s="1640"/>
      <c r="CG762" s="1642"/>
      <c r="CH762" s="1641">
        <f t="shared" si="504"/>
        <v>0</v>
      </c>
      <c r="CI762" s="1641">
        <f t="shared" si="504"/>
        <v>0</v>
      </c>
      <c r="CJ762" s="1641">
        <f t="shared" si="504"/>
        <v>0</v>
      </c>
      <c r="CK762" s="1641">
        <f t="shared" si="504"/>
        <v>0</v>
      </c>
      <c r="CL762" s="1889">
        <v>0</v>
      </c>
      <c r="CM762" s="1889">
        <v>0</v>
      </c>
      <c r="CN762" s="1889">
        <v>0</v>
      </c>
      <c r="CO762" s="1889">
        <v>0</v>
      </c>
      <c r="CP762" s="1641"/>
      <c r="CQ762" s="1640"/>
      <c r="CR762" s="1640"/>
      <c r="CS762" s="1640"/>
      <c r="CX762" s="1558"/>
      <c r="CY762" s="1558"/>
      <c r="CZ762" s="1558"/>
      <c r="DA762" s="1559"/>
      <c r="DB762" s="1559"/>
      <c r="DC762" s="1559"/>
    </row>
    <row r="763" spans="1:107" ht="15" thickBot="1" x14ac:dyDescent="0.2">
      <c r="A763" s="1541" t="s">
        <v>84</v>
      </c>
      <c r="B763" s="1523" t="s">
        <v>79</v>
      </c>
      <c r="C763" s="1523" t="s">
        <v>80</v>
      </c>
      <c r="D763" s="1523" t="s">
        <v>125</v>
      </c>
      <c r="E763" s="1523" t="s">
        <v>216</v>
      </c>
      <c r="F763" s="1523"/>
      <c r="G763" s="1667">
        <v>213</v>
      </c>
      <c r="H763" s="1501">
        <f>4769.7+15.1</f>
        <v>4784.8</v>
      </c>
      <c r="I763" s="1501"/>
      <c r="J763" s="1630"/>
      <c r="K763" s="1630"/>
      <c r="L763" s="1631"/>
      <c r="M763" s="1631"/>
      <c r="N763" s="1631"/>
      <c r="O763" s="1631"/>
      <c r="P763" s="1631"/>
      <c r="Q763" s="1631"/>
      <c r="R763" s="1631"/>
      <c r="S763" s="1631"/>
      <c r="T763" s="1632"/>
      <c r="U763" s="1633"/>
      <c r="V763" s="1633"/>
      <c r="W763" s="1634">
        <f>H763/12</f>
        <v>398.73333333333335</v>
      </c>
      <c r="X763" s="1634">
        <f>AO763</f>
        <v>397.5</v>
      </c>
      <c r="Y763" s="1634">
        <f>CC763</f>
        <v>951.74</v>
      </c>
      <c r="Z763" s="1635">
        <v>951.74</v>
      </c>
      <c r="AA763" s="1634">
        <f>AC763-AB763</f>
        <v>78.226999999998952</v>
      </c>
      <c r="AB763" s="1511">
        <v>4706.5730000000003</v>
      </c>
      <c r="AC763" s="1508">
        <f t="shared" si="518"/>
        <v>4784.7999999999993</v>
      </c>
      <c r="AD763" s="1509">
        <f t="shared" si="519"/>
        <v>0</v>
      </c>
      <c r="AE763" s="1509">
        <f t="shared" si="520"/>
        <v>0</v>
      </c>
      <c r="AF763" s="1509">
        <f t="shared" si="520"/>
        <v>0</v>
      </c>
      <c r="AG763" s="1509">
        <f t="shared" si="520"/>
        <v>0</v>
      </c>
      <c r="AH763" s="1490">
        <f t="shared" si="494"/>
        <v>225.18100000000001</v>
      </c>
      <c r="AI763" s="1636">
        <f t="shared" si="521"/>
        <v>0</v>
      </c>
      <c r="AJ763" s="1636">
        <f t="shared" si="522"/>
        <v>0</v>
      </c>
      <c r="AK763" s="1636">
        <f t="shared" si="523"/>
        <v>0</v>
      </c>
      <c r="AL763" s="1636">
        <f t="shared" si="515"/>
        <v>0</v>
      </c>
      <c r="AM763" s="1636">
        <f t="shared" si="515"/>
        <v>0</v>
      </c>
      <c r="AN763" s="1637">
        <f>AI763/4</f>
        <v>0</v>
      </c>
      <c r="AO763" s="1722">
        <v>397.5</v>
      </c>
      <c r="AP763" s="1638"/>
      <c r="AQ763" s="1638"/>
      <c r="AR763" s="1638"/>
      <c r="AS763" s="1963">
        <v>397.5</v>
      </c>
      <c r="AT763" s="1638"/>
      <c r="AU763" s="1638"/>
      <c r="AV763" s="1638"/>
      <c r="AW763" s="1722">
        <v>397.5</v>
      </c>
      <c r="AX763" s="1640"/>
      <c r="AY763" s="1640"/>
      <c r="AZ763" s="1640"/>
      <c r="BA763" s="1964">
        <v>397.5</v>
      </c>
      <c r="BB763" s="1640"/>
      <c r="BC763" s="1640"/>
      <c r="BD763" s="1640"/>
      <c r="BE763" s="1964">
        <v>397.5</v>
      </c>
      <c r="BF763" s="1640"/>
      <c r="BG763" s="1640"/>
      <c r="BH763" s="1640"/>
      <c r="BI763" s="1641">
        <f>397.5</f>
        <v>397.5</v>
      </c>
      <c r="BJ763" s="1640"/>
      <c r="BK763" s="1640"/>
      <c r="BL763" s="1640"/>
      <c r="BM763" s="1641">
        <v>377.72899999999998</v>
      </c>
      <c r="BN763" s="1640"/>
      <c r="BO763" s="1640"/>
      <c r="BP763" s="1640"/>
      <c r="BQ763" s="1641">
        <f>397.5+15.1+35.05</f>
        <v>447.65000000000003</v>
      </c>
      <c r="BR763" s="1640"/>
      <c r="BS763" s="1640"/>
      <c r="BT763" s="1640"/>
      <c r="BU763" s="1641">
        <v>397.5</v>
      </c>
      <c r="BV763" s="1640"/>
      <c r="BW763" s="1640"/>
      <c r="BX763" s="1640"/>
      <c r="BY763" s="1641"/>
      <c r="BZ763" s="1640"/>
      <c r="CA763" s="1640"/>
      <c r="CB763" s="1640"/>
      <c r="CC763" s="1641">
        <v>951.74</v>
      </c>
      <c r="CD763" s="1640"/>
      <c r="CE763" s="1640"/>
      <c r="CF763" s="1640"/>
      <c r="CG763" s="1642"/>
      <c r="CH763" s="1641">
        <f t="shared" si="504"/>
        <v>225.18100000000001</v>
      </c>
      <c r="CI763" s="1641">
        <f t="shared" si="504"/>
        <v>0</v>
      </c>
      <c r="CJ763" s="1641">
        <f t="shared" si="504"/>
        <v>0</v>
      </c>
      <c r="CK763" s="1641">
        <f t="shared" si="504"/>
        <v>0</v>
      </c>
      <c r="CL763" s="1889">
        <v>225.18100000000001</v>
      </c>
      <c r="CM763" s="1889">
        <v>0</v>
      </c>
      <c r="CN763" s="1889">
        <v>0</v>
      </c>
      <c r="CO763" s="1889">
        <v>0</v>
      </c>
      <c r="CP763" s="1641"/>
      <c r="CQ763" s="1640"/>
      <c r="CR763" s="1640"/>
      <c r="CS763" s="1640"/>
      <c r="CX763" s="1558">
        <f>H763/12*10-AC763</f>
        <v>-797.46666666666579</v>
      </c>
      <c r="CY763" s="1558">
        <f>AI763/3</f>
        <v>0</v>
      </c>
      <c r="CZ763" s="1558">
        <f>H763/12</f>
        <v>398.73333333333335</v>
      </c>
      <c r="DA763" s="1559"/>
      <c r="DB763" s="1559"/>
      <c r="DC763" s="1559"/>
    </row>
    <row r="764" spans="1:107" ht="15" thickBot="1" x14ac:dyDescent="0.2">
      <c r="A764" s="1541" t="s">
        <v>85</v>
      </c>
      <c r="B764" s="1523" t="s">
        <v>79</v>
      </c>
      <c r="C764" s="1523" t="s">
        <v>80</v>
      </c>
      <c r="D764" s="1523" t="s">
        <v>125</v>
      </c>
      <c r="E764" s="1523" t="s">
        <v>216</v>
      </c>
      <c r="F764" s="1523"/>
      <c r="G764" s="1667">
        <v>221</v>
      </c>
      <c r="H764" s="1501"/>
      <c r="I764" s="1501"/>
      <c r="J764" s="1630"/>
      <c r="K764" s="1630"/>
      <c r="L764" s="1631"/>
      <c r="M764" s="1631"/>
      <c r="N764" s="1631"/>
      <c r="O764" s="1631"/>
      <c r="P764" s="1631"/>
      <c r="Q764" s="1631"/>
      <c r="R764" s="1631"/>
      <c r="S764" s="1631"/>
      <c r="T764" s="1632"/>
      <c r="U764" s="1633"/>
      <c r="V764" s="1633"/>
      <c r="W764" s="1634"/>
      <c r="X764" s="1634"/>
      <c r="Y764" s="1634"/>
      <c r="Z764" s="1635"/>
      <c r="AA764" s="1634">
        <f t="shared" si="513"/>
        <v>0</v>
      </c>
      <c r="AB764" s="1634"/>
      <c r="AC764" s="1508">
        <f t="shared" si="518"/>
        <v>0</v>
      </c>
      <c r="AD764" s="1509">
        <f t="shared" si="519"/>
        <v>0</v>
      </c>
      <c r="AE764" s="1509">
        <f t="shared" si="520"/>
        <v>0</v>
      </c>
      <c r="AF764" s="1509">
        <f t="shared" si="520"/>
        <v>0</v>
      </c>
      <c r="AG764" s="1509">
        <f t="shared" si="520"/>
        <v>0</v>
      </c>
      <c r="AH764" s="1490">
        <f t="shared" si="494"/>
        <v>0</v>
      </c>
      <c r="AI764" s="1636">
        <f t="shared" si="521"/>
        <v>0</v>
      </c>
      <c r="AJ764" s="1636">
        <f t="shared" si="522"/>
        <v>0</v>
      </c>
      <c r="AK764" s="1636">
        <f t="shared" si="523"/>
        <v>0</v>
      </c>
      <c r="AL764" s="1636">
        <f t="shared" si="515"/>
        <v>0</v>
      </c>
      <c r="AM764" s="1636">
        <f t="shared" si="515"/>
        <v>0</v>
      </c>
      <c r="AN764" s="1637"/>
      <c r="AO764" s="1722">
        <v>0</v>
      </c>
      <c r="AP764" s="1638"/>
      <c r="AQ764" s="1638"/>
      <c r="AR764" s="1638"/>
      <c r="AS764" s="1963">
        <v>0</v>
      </c>
      <c r="AT764" s="1638"/>
      <c r="AU764" s="1638"/>
      <c r="AV764" s="1638"/>
      <c r="AW764" s="1639"/>
      <c r="AX764" s="1640"/>
      <c r="AY764" s="1640"/>
      <c r="AZ764" s="1640"/>
      <c r="BA764" s="1641"/>
      <c r="BB764" s="1640"/>
      <c r="BC764" s="1640"/>
      <c r="BD764" s="1640"/>
      <c r="BE764" s="1644"/>
      <c r="BF764" s="1640"/>
      <c r="BG764" s="1640"/>
      <c r="BH764" s="1640"/>
      <c r="BI764" s="1641"/>
      <c r="BJ764" s="1640"/>
      <c r="BK764" s="1640"/>
      <c r="BL764" s="1640"/>
      <c r="BM764" s="1641"/>
      <c r="BN764" s="1640"/>
      <c r="BO764" s="1640"/>
      <c r="BP764" s="1640"/>
      <c r="BQ764" s="1641"/>
      <c r="BR764" s="1640"/>
      <c r="BS764" s="1640"/>
      <c r="BT764" s="1640"/>
      <c r="BU764" s="1641"/>
      <c r="BV764" s="1640"/>
      <c r="BW764" s="1640"/>
      <c r="BX764" s="1640"/>
      <c r="BY764" s="1641"/>
      <c r="BZ764" s="1640"/>
      <c r="CA764" s="1640"/>
      <c r="CB764" s="1640"/>
      <c r="CC764" s="1641"/>
      <c r="CD764" s="1640"/>
      <c r="CE764" s="1640"/>
      <c r="CF764" s="1640"/>
      <c r="CG764" s="1642"/>
      <c r="CH764" s="1641">
        <f t="shared" si="504"/>
        <v>0</v>
      </c>
      <c r="CI764" s="1641">
        <f t="shared" si="504"/>
        <v>0</v>
      </c>
      <c r="CJ764" s="1641">
        <f t="shared" si="504"/>
        <v>0</v>
      </c>
      <c r="CK764" s="1641">
        <f t="shared" si="504"/>
        <v>0</v>
      </c>
      <c r="CL764" s="1889">
        <v>0</v>
      </c>
      <c r="CM764" s="1889">
        <v>0</v>
      </c>
      <c r="CN764" s="1889">
        <v>0</v>
      </c>
      <c r="CO764" s="1889">
        <v>0</v>
      </c>
      <c r="CP764" s="1641"/>
      <c r="CQ764" s="1640"/>
      <c r="CR764" s="1640"/>
      <c r="CS764" s="1640"/>
    </row>
    <row r="765" spans="1:107" ht="15" thickBot="1" x14ac:dyDescent="0.2">
      <c r="A765" s="1541" t="s">
        <v>86</v>
      </c>
      <c r="B765" s="1523" t="s">
        <v>79</v>
      </c>
      <c r="C765" s="1523" t="s">
        <v>80</v>
      </c>
      <c r="D765" s="1523" t="s">
        <v>125</v>
      </c>
      <c r="E765" s="1523" t="s">
        <v>216</v>
      </c>
      <c r="F765" s="1523"/>
      <c r="G765" s="1667">
        <v>222</v>
      </c>
      <c r="H765" s="1501"/>
      <c r="I765" s="1501"/>
      <c r="J765" s="1630"/>
      <c r="K765" s="1630"/>
      <c r="L765" s="1631"/>
      <c r="M765" s="1631"/>
      <c r="N765" s="1631"/>
      <c r="O765" s="1631"/>
      <c r="P765" s="1631"/>
      <c r="Q765" s="1631"/>
      <c r="R765" s="1631"/>
      <c r="S765" s="1631"/>
      <c r="T765" s="1632"/>
      <c r="U765" s="1633"/>
      <c r="V765" s="1633"/>
      <c r="W765" s="1634"/>
      <c r="X765" s="1634"/>
      <c r="Y765" s="1634"/>
      <c r="Z765" s="1635"/>
      <c r="AA765" s="1634">
        <f t="shared" si="513"/>
        <v>0</v>
      </c>
      <c r="AB765" s="1634"/>
      <c r="AC765" s="1508">
        <f t="shared" si="518"/>
        <v>0</v>
      </c>
      <c r="AD765" s="1509">
        <f t="shared" si="519"/>
        <v>0</v>
      </c>
      <c r="AE765" s="1509">
        <f t="shared" si="520"/>
        <v>0</v>
      </c>
      <c r="AF765" s="1509">
        <f t="shared" si="520"/>
        <v>0</v>
      </c>
      <c r="AG765" s="1509">
        <f t="shared" si="520"/>
        <v>0</v>
      </c>
      <c r="AH765" s="1490">
        <f t="shared" si="494"/>
        <v>0</v>
      </c>
      <c r="AI765" s="1636">
        <f t="shared" si="521"/>
        <v>0</v>
      </c>
      <c r="AJ765" s="1636">
        <f t="shared" si="522"/>
        <v>0</v>
      </c>
      <c r="AK765" s="1636">
        <f t="shared" si="523"/>
        <v>0</v>
      </c>
      <c r="AL765" s="1636">
        <f t="shared" si="515"/>
        <v>0</v>
      </c>
      <c r="AM765" s="1636">
        <f t="shared" si="515"/>
        <v>0</v>
      </c>
      <c r="AN765" s="1637"/>
      <c r="AO765" s="1722">
        <v>0</v>
      </c>
      <c r="AP765" s="1638"/>
      <c r="AQ765" s="1638"/>
      <c r="AR765" s="1638"/>
      <c r="AS765" s="1963">
        <v>0</v>
      </c>
      <c r="AT765" s="1638"/>
      <c r="AU765" s="1638"/>
      <c r="AV765" s="1638"/>
      <c r="AW765" s="1639"/>
      <c r="AX765" s="1640"/>
      <c r="AY765" s="1640"/>
      <c r="AZ765" s="1640"/>
      <c r="BA765" s="1641"/>
      <c r="BB765" s="1640"/>
      <c r="BC765" s="1640"/>
      <c r="BD765" s="1640"/>
      <c r="BE765" s="1644"/>
      <c r="BF765" s="1640"/>
      <c r="BG765" s="1640"/>
      <c r="BH765" s="1640"/>
      <c r="BI765" s="1641"/>
      <c r="BJ765" s="1640"/>
      <c r="BK765" s="1640"/>
      <c r="BL765" s="1640"/>
      <c r="BM765" s="1641"/>
      <c r="BN765" s="1640"/>
      <c r="BO765" s="1640"/>
      <c r="BP765" s="1640"/>
      <c r="BQ765" s="1641"/>
      <c r="BR765" s="1640"/>
      <c r="BS765" s="1640"/>
      <c r="BT765" s="1640"/>
      <c r="BU765" s="1641"/>
      <c r="BV765" s="1640"/>
      <c r="BW765" s="1640"/>
      <c r="BX765" s="1640"/>
      <c r="BY765" s="1641"/>
      <c r="BZ765" s="1640"/>
      <c r="CA765" s="1640"/>
      <c r="CB765" s="1640"/>
      <c r="CC765" s="1641"/>
      <c r="CD765" s="1640"/>
      <c r="CE765" s="1640"/>
      <c r="CF765" s="1640"/>
      <c r="CG765" s="1642"/>
      <c r="CH765" s="1641">
        <f t="shared" si="504"/>
        <v>0</v>
      </c>
      <c r="CI765" s="1641">
        <f t="shared" si="504"/>
        <v>0</v>
      </c>
      <c r="CJ765" s="1641">
        <f t="shared" si="504"/>
        <v>0</v>
      </c>
      <c r="CK765" s="1641">
        <f t="shared" si="504"/>
        <v>0</v>
      </c>
      <c r="CL765" s="1889">
        <v>0</v>
      </c>
      <c r="CM765" s="1889">
        <v>0</v>
      </c>
      <c r="CN765" s="1889">
        <v>0</v>
      </c>
      <c r="CO765" s="1889">
        <v>0</v>
      </c>
      <c r="CP765" s="1641"/>
      <c r="CQ765" s="1640"/>
      <c r="CR765" s="1640"/>
      <c r="CS765" s="1640"/>
    </row>
    <row r="766" spans="1:107" ht="15" thickBot="1" x14ac:dyDescent="0.2">
      <c r="A766" s="1541" t="s">
        <v>87</v>
      </c>
      <c r="B766" s="1523" t="s">
        <v>79</v>
      </c>
      <c r="C766" s="1523" t="s">
        <v>80</v>
      </c>
      <c r="D766" s="1523" t="s">
        <v>125</v>
      </c>
      <c r="E766" s="1523" t="s">
        <v>216</v>
      </c>
      <c r="F766" s="1523"/>
      <c r="G766" s="1667">
        <v>223</v>
      </c>
      <c r="H766" s="1501"/>
      <c r="I766" s="1501"/>
      <c r="J766" s="1630"/>
      <c r="K766" s="1630"/>
      <c r="L766" s="1631"/>
      <c r="M766" s="1631"/>
      <c r="N766" s="1631"/>
      <c r="O766" s="1631"/>
      <c r="P766" s="1631"/>
      <c r="Q766" s="1631"/>
      <c r="R766" s="1631"/>
      <c r="S766" s="1631"/>
      <c r="T766" s="1632"/>
      <c r="U766" s="1633"/>
      <c r="V766" s="1633"/>
      <c r="W766" s="1634"/>
      <c r="X766" s="1634"/>
      <c r="Y766" s="1634"/>
      <c r="Z766" s="1635"/>
      <c r="AA766" s="1634">
        <f t="shared" si="513"/>
        <v>0</v>
      </c>
      <c r="AB766" s="1891"/>
      <c r="AC766" s="1508">
        <f t="shared" si="518"/>
        <v>0</v>
      </c>
      <c r="AD766" s="1509">
        <f t="shared" si="519"/>
        <v>0</v>
      </c>
      <c r="AE766" s="1509">
        <f t="shared" si="520"/>
        <v>0</v>
      </c>
      <c r="AF766" s="1509">
        <f t="shared" si="520"/>
        <v>0</v>
      </c>
      <c r="AG766" s="1509">
        <f t="shared" si="520"/>
        <v>0</v>
      </c>
      <c r="AH766" s="1490">
        <f t="shared" si="494"/>
        <v>0</v>
      </c>
      <c r="AI766" s="1636">
        <f t="shared" si="521"/>
        <v>0</v>
      </c>
      <c r="AJ766" s="1636">
        <f t="shared" si="522"/>
        <v>0</v>
      </c>
      <c r="AK766" s="1636">
        <f t="shared" si="523"/>
        <v>0</v>
      </c>
      <c r="AL766" s="1636">
        <f t="shared" si="515"/>
        <v>0</v>
      </c>
      <c r="AM766" s="1636">
        <f t="shared" si="515"/>
        <v>0</v>
      </c>
      <c r="AN766" s="1637"/>
      <c r="AO766" s="1722">
        <v>0</v>
      </c>
      <c r="AP766" s="1638"/>
      <c r="AQ766" s="1638"/>
      <c r="AR766" s="1638"/>
      <c r="AS766" s="1963">
        <v>0</v>
      </c>
      <c r="AT766" s="1638"/>
      <c r="AU766" s="1638"/>
      <c r="AV766" s="1638"/>
      <c r="AW766" s="1639"/>
      <c r="AX766" s="1640"/>
      <c r="AY766" s="1640"/>
      <c r="AZ766" s="1640"/>
      <c r="BA766" s="1641"/>
      <c r="BB766" s="1640"/>
      <c r="BC766" s="1640"/>
      <c r="BD766" s="1640"/>
      <c r="BE766" s="1644"/>
      <c r="BF766" s="1640"/>
      <c r="BG766" s="1640"/>
      <c r="BH766" s="1640"/>
      <c r="BI766" s="1641"/>
      <c r="BJ766" s="1640"/>
      <c r="BK766" s="1640"/>
      <c r="BL766" s="1640"/>
      <c r="BM766" s="1641"/>
      <c r="BN766" s="1640"/>
      <c r="BO766" s="1640"/>
      <c r="BP766" s="1640"/>
      <c r="BQ766" s="1641"/>
      <c r="BR766" s="1640"/>
      <c r="BS766" s="1640"/>
      <c r="BT766" s="1640"/>
      <c r="BU766" s="1641"/>
      <c r="BV766" s="1640"/>
      <c r="BW766" s="1640"/>
      <c r="BX766" s="1640"/>
      <c r="BY766" s="1641"/>
      <c r="BZ766" s="1640"/>
      <c r="CA766" s="1640"/>
      <c r="CB766" s="1640"/>
      <c r="CC766" s="1641"/>
      <c r="CD766" s="1640"/>
      <c r="CE766" s="1640"/>
      <c r="CF766" s="1640"/>
      <c r="CG766" s="1642"/>
      <c r="CH766" s="1641">
        <f t="shared" si="504"/>
        <v>0</v>
      </c>
      <c r="CI766" s="1641">
        <f t="shared" si="504"/>
        <v>0</v>
      </c>
      <c r="CJ766" s="1641">
        <f t="shared" si="504"/>
        <v>0</v>
      </c>
      <c r="CK766" s="1641">
        <f t="shared" si="504"/>
        <v>0</v>
      </c>
      <c r="CL766" s="1889">
        <v>0</v>
      </c>
      <c r="CM766" s="1889">
        <v>0</v>
      </c>
      <c r="CN766" s="1889">
        <v>0</v>
      </c>
      <c r="CO766" s="1889">
        <v>0</v>
      </c>
      <c r="CP766" s="1641"/>
      <c r="CQ766" s="1640"/>
      <c r="CR766" s="1640"/>
      <c r="CS766" s="1640"/>
    </row>
    <row r="767" spans="1:107" ht="15" thickBot="1" x14ac:dyDescent="0.2">
      <c r="A767" s="1541" t="s">
        <v>134</v>
      </c>
      <c r="B767" s="1523" t="s">
        <v>79</v>
      </c>
      <c r="C767" s="1523" t="s">
        <v>80</v>
      </c>
      <c r="D767" s="1523" t="s">
        <v>125</v>
      </c>
      <c r="E767" s="1523" t="s">
        <v>216</v>
      </c>
      <c r="F767" s="1523"/>
      <c r="G767" s="1667">
        <v>224</v>
      </c>
      <c r="H767" s="1501"/>
      <c r="I767" s="1501"/>
      <c r="J767" s="1630"/>
      <c r="K767" s="1630"/>
      <c r="L767" s="1631"/>
      <c r="M767" s="1631"/>
      <c r="N767" s="1631"/>
      <c r="O767" s="1631"/>
      <c r="P767" s="1631"/>
      <c r="Q767" s="1631"/>
      <c r="R767" s="1631"/>
      <c r="S767" s="1631"/>
      <c r="T767" s="1632"/>
      <c r="U767" s="1633"/>
      <c r="V767" s="1633"/>
      <c r="W767" s="1634"/>
      <c r="X767" s="1634"/>
      <c r="Y767" s="1634"/>
      <c r="Z767" s="1635"/>
      <c r="AA767" s="1634">
        <f t="shared" si="513"/>
        <v>0</v>
      </c>
      <c r="AB767" s="1634"/>
      <c r="AC767" s="1508">
        <f t="shared" si="518"/>
        <v>0</v>
      </c>
      <c r="AD767" s="1509">
        <f t="shared" si="519"/>
        <v>0</v>
      </c>
      <c r="AE767" s="1509">
        <f t="shared" si="520"/>
        <v>0</v>
      </c>
      <c r="AF767" s="1509">
        <f t="shared" si="520"/>
        <v>0</v>
      </c>
      <c r="AG767" s="1509">
        <f t="shared" si="520"/>
        <v>0</v>
      </c>
      <c r="AH767" s="1490">
        <f t="shared" si="494"/>
        <v>0</v>
      </c>
      <c r="AI767" s="1636">
        <f t="shared" si="521"/>
        <v>0</v>
      </c>
      <c r="AJ767" s="1636">
        <f t="shared" si="522"/>
        <v>0</v>
      </c>
      <c r="AK767" s="1636">
        <f t="shared" si="523"/>
        <v>0</v>
      </c>
      <c r="AL767" s="1636">
        <f t="shared" si="515"/>
        <v>0</v>
      </c>
      <c r="AM767" s="1636">
        <f t="shared" si="515"/>
        <v>0</v>
      </c>
      <c r="AN767" s="1637"/>
      <c r="AO767" s="1722">
        <v>0</v>
      </c>
      <c r="AP767" s="1638"/>
      <c r="AQ767" s="1638"/>
      <c r="AR767" s="1638"/>
      <c r="AS767" s="1963">
        <v>0</v>
      </c>
      <c r="AT767" s="1638"/>
      <c r="AU767" s="1638"/>
      <c r="AV767" s="1638"/>
      <c r="AW767" s="1639"/>
      <c r="AX767" s="1640"/>
      <c r="AY767" s="1640"/>
      <c r="AZ767" s="1640"/>
      <c r="BA767" s="1641"/>
      <c r="BB767" s="1640"/>
      <c r="BC767" s="1640"/>
      <c r="BD767" s="1640"/>
      <c r="BE767" s="1644"/>
      <c r="BF767" s="1640"/>
      <c r="BG767" s="1640"/>
      <c r="BH767" s="1640"/>
      <c r="BI767" s="1641"/>
      <c r="BJ767" s="1640"/>
      <c r="BK767" s="1640"/>
      <c r="BL767" s="1640"/>
      <c r="BM767" s="1641"/>
      <c r="BN767" s="1640"/>
      <c r="BO767" s="1640"/>
      <c r="BP767" s="1640"/>
      <c r="BQ767" s="1641"/>
      <c r="BR767" s="1640"/>
      <c r="BS767" s="1640"/>
      <c r="BT767" s="1640"/>
      <c r="BU767" s="1641"/>
      <c r="BV767" s="1640"/>
      <c r="BW767" s="1640"/>
      <c r="BX767" s="1640"/>
      <c r="BY767" s="1641"/>
      <c r="BZ767" s="1640"/>
      <c r="CA767" s="1640"/>
      <c r="CB767" s="1640"/>
      <c r="CC767" s="1641"/>
      <c r="CD767" s="1640"/>
      <c r="CE767" s="1640"/>
      <c r="CF767" s="1640"/>
      <c r="CG767" s="1642"/>
      <c r="CH767" s="1641">
        <f t="shared" si="504"/>
        <v>0</v>
      </c>
      <c r="CI767" s="1641">
        <f t="shared" si="504"/>
        <v>0</v>
      </c>
      <c r="CJ767" s="1641">
        <f t="shared" si="504"/>
        <v>0</v>
      </c>
      <c r="CK767" s="1641">
        <f t="shared" si="504"/>
        <v>0</v>
      </c>
      <c r="CL767" s="1889">
        <v>0</v>
      </c>
      <c r="CM767" s="1889">
        <v>0</v>
      </c>
      <c r="CN767" s="1889">
        <v>0</v>
      </c>
      <c r="CO767" s="1889">
        <v>0</v>
      </c>
      <c r="CP767" s="1641"/>
      <c r="CQ767" s="1640"/>
      <c r="CR767" s="1640"/>
      <c r="CS767" s="1640"/>
    </row>
    <row r="768" spans="1:107" ht="15" thickBot="1" x14ac:dyDescent="0.2">
      <c r="A768" s="1541" t="s">
        <v>90</v>
      </c>
      <c r="B768" s="1523" t="s">
        <v>79</v>
      </c>
      <c r="C768" s="1523" t="s">
        <v>80</v>
      </c>
      <c r="D768" s="1523" t="s">
        <v>125</v>
      </c>
      <c r="E768" s="1523" t="s">
        <v>216</v>
      </c>
      <c r="F768" s="1523"/>
      <c r="G768" s="1667">
        <v>225</v>
      </c>
      <c r="H768" s="1501">
        <v>40</v>
      </c>
      <c r="I768" s="1501"/>
      <c r="J768" s="1630"/>
      <c r="K768" s="1630"/>
      <c r="L768" s="1631"/>
      <c r="M768" s="1631"/>
      <c r="N768" s="1631"/>
      <c r="O768" s="1631"/>
      <c r="P768" s="1631"/>
      <c r="Q768" s="1631"/>
      <c r="R768" s="1631"/>
      <c r="S768" s="1631"/>
      <c r="T768" s="1632"/>
      <c r="U768" s="1633"/>
      <c r="V768" s="1633"/>
      <c r="W768" s="1634"/>
      <c r="X768" s="1634"/>
      <c r="Y768" s="1634"/>
      <c r="Z768" s="1635"/>
      <c r="AA768" s="1634">
        <f t="shared" si="513"/>
        <v>0</v>
      </c>
      <c r="AB768" s="1634"/>
      <c r="AC768" s="1508">
        <f t="shared" si="518"/>
        <v>40</v>
      </c>
      <c r="AD768" s="1509">
        <f t="shared" si="519"/>
        <v>0</v>
      </c>
      <c r="AE768" s="1509">
        <f t="shared" si="520"/>
        <v>0</v>
      </c>
      <c r="AF768" s="1509">
        <f t="shared" si="520"/>
        <v>0</v>
      </c>
      <c r="AG768" s="1509">
        <f t="shared" si="520"/>
        <v>0</v>
      </c>
      <c r="AH768" s="1490">
        <f t="shared" si="494"/>
        <v>0</v>
      </c>
      <c r="AI768" s="1636">
        <f t="shared" si="521"/>
        <v>0</v>
      </c>
      <c r="AJ768" s="1636">
        <f t="shared" si="522"/>
        <v>0</v>
      </c>
      <c r="AK768" s="1636">
        <f t="shared" si="523"/>
        <v>0</v>
      </c>
      <c r="AL768" s="1636">
        <f t="shared" si="515"/>
        <v>0</v>
      </c>
      <c r="AM768" s="1636">
        <f t="shared" si="515"/>
        <v>0</v>
      </c>
      <c r="AN768" s="1637"/>
      <c r="AO768" s="1723"/>
      <c r="AP768" s="1638"/>
      <c r="AQ768" s="1638"/>
      <c r="AR768" s="1638"/>
      <c r="AS768" s="1639"/>
      <c r="AT768" s="1638"/>
      <c r="AU768" s="1638"/>
      <c r="AV768" s="1638"/>
      <c r="AW768" s="1639"/>
      <c r="AX768" s="1640"/>
      <c r="AY768" s="1640"/>
      <c r="AZ768" s="1640"/>
      <c r="BA768" s="1641"/>
      <c r="BB768" s="1640"/>
      <c r="BC768" s="1640"/>
      <c r="BD768" s="1640"/>
      <c r="BE768" s="1644"/>
      <c r="BF768" s="1640"/>
      <c r="BG768" s="1640"/>
      <c r="BH768" s="1640"/>
      <c r="BI768" s="1703">
        <v>40</v>
      </c>
      <c r="BJ768" s="1640"/>
      <c r="BK768" s="1640"/>
      <c r="BL768" s="1640"/>
      <c r="BM768" s="1641"/>
      <c r="BN768" s="1640"/>
      <c r="BO768" s="1640"/>
      <c r="BP768" s="1640"/>
      <c r="BQ768" s="1641">
        <f>40-40</f>
        <v>0</v>
      </c>
      <c r="BR768" s="1640"/>
      <c r="BS768" s="1640"/>
      <c r="BT768" s="1640"/>
      <c r="BU768" s="1641"/>
      <c r="BV768" s="1640"/>
      <c r="BW768" s="1640"/>
      <c r="BX768" s="1640"/>
      <c r="BY768" s="1641"/>
      <c r="BZ768" s="1640"/>
      <c r="CA768" s="1640"/>
      <c r="CB768" s="1640"/>
      <c r="CC768" s="1641"/>
      <c r="CD768" s="1640"/>
      <c r="CE768" s="1640"/>
      <c r="CF768" s="1640"/>
      <c r="CG768" s="1642"/>
      <c r="CH768" s="1641">
        <f t="shared" si="504"/>
        <v>0</v>
      </c>
      <c r="CI768" s="1641">
        <f t="shared" si="504"/>
        <v>0</v>
      </c>
      <c r="CJ768" s="1641">
        <f t="shared" si="504"/>
        <v>0</v>
      </c>
      <c r="CK768" s="1641">
        <f t="shared" si="504"/>
        <v>0</v>
      </c>
      <c r="CL768" s="1889">
        <v>0</v>
      </c>
      <c r="CM768" s="1889">
        <v>0</v>
      </c>
      <c r="CN768" s="1889">
        <v>0</v>
      </c>
      <c r="CO768" s="1889">
        <v>0</v>
      </c>
      <c r="CP768" s="1641"/>
      <c r="CQ768" s="1640"/>
      <c r="CR768" s="1640"/>
      <c r="CS768" s="1640"/>
    </row>
    <row r="769" spans="1:107" ht="15" thickBot="1" x14ac:dyDescent="0.2">
      <c r="A769" s="1541" t="s">
        <v>91</v>
      </c>
      <c r="B769" s="1523" t="s">
        <v>79</v>
      </c>
      <c r="C769" s="1523" t="s">
        <v>80</v>
      </c>
      <c r="D769" s="1523" t="s">
        <v>125</v>
      </c>
      <c r="E769" s="1523" t="s">
        <v>216</v>
      </c>
      <c r="F769" s="1523"/>
      <c r="G769" s="1667">
        <v>226</v>
      </c>
      <c r="H769" s="1501">
        <f>35+15+982.8-50+1000</f>
        <v>1982.8</v>
      </c>
      <c r="I769" s="1501">
        <f>1199.6+2000-77.531</f>
        <v>3122.069</v>
      </c>
      <c r="J769" s="1630"/>
      <c r="K769" s="1630"/>
      <c r="L769" s="1631"/>
      <c r="M769" s="1631"/>
      <c r="N769" s="1631"/>
      <c r="O769" s="1631"/>
      <c r="P769" s="1631"/>
      <c r="Q769" s="1631"/>
      <c r="R769" s="1631"/>
      <c r="S769" s="1631"/>
      <c r="T769" s="1632"/>
      <c r="U769" s="1633"/>
      <c r="V769" s="1633"/>
      <c r="W769" s="1634"/>
      <c r="X769" s="1634"/>
      <c r="Y769" s="1634"/>
      <c r="Z769" s="1635"/>
      <c r="AA769" s="1634">
        <f t="shared" si="513"/>
        <v>1042.8309999999999</v>
      </c>
      <c r="AB769" s="1634">
        <v>1042.8309999999999</v>
      </c>
      <c r="AC769" s="1508">
        <f t="shared" si="518"/>
        <v>1982.8</v>
      </c>
      <c r="AD769" s="1509">
        <f t="shared" si="519"/>
        <v>3122.069</v>
      </c>
      <c r="AE769" s="1509">
        <f t="shared" si="520"/>
        <v>3122.069</v>
      </c>
      <c r="AF769" s="1509">
        <f t="shared" si="520"/>
        <v>0</v>
      </c>
      <c r="AG769" s="1509">
        <f t="shared" si="520"/>
        <v>0</v>
      </c>
      <c r="AH769" s="1490">
        <f t="shared" si="494"/>
        <v>0</v>
      </c>
      <c r="AI769" s="1636">
        <f t="shared" si="521"/>
        <v>0</v>
      </c>
      <c r="AJ769" s="1636">
        <f t="shared" si="522"/>
        <v>0</v>
      </c>
      <c r="AK769" s="1636">
        <f t="shared" si="523"/>
        <v>0</v>
      </c>
      <c r="AL769" s="1636">
        <f t="shared" si="515"/>
        <v>0</v>
      </c>
      <c r="AM769" s="1636">
        <f t="shared" si="515"/>
        <v>0</v>
      </c>
      <c r="AN769" s="1637"/>
      <c r="AO769" s="1723"/>
      <c r="AP769" s="1638"/>
      <c r="AQ769" s="1638"/>
      <c r="AR769" s="1638"/>
      <c r="AS769" s="1639"/>
      <c r="AT769" s="1638"/>
      <c r="AU769" s="1638"/>
      <c r="AV769" s="1638"/>
      <c r="AW769" s="1639"/>
      <c r="AX769" s="1640"/>
      <c r="AY769" s="1640"/>
      <c r="AZ769" s="1640"/>
      <c r="BA769" s="1641"/>
      <c r="BB769" s="1640"/>
      <c r="BC769" s="1640"/>
      <c r="BD769" s="1640"/>
      <c r="BE769" s="1644"/>
      <c r="BF769" s="1640"/>
      <c r="BG769" s="1640"/>
      <c r="BH769" s="1640"/>
      <c r="BI769" s="1703">
        <f>35+15+982.8</f>
        <v>1032.8</v>
      </c>
      <c r="BJ769" s="1640"/>
      <c r="BK769" s="1640"/>
      <c r="BL769" s="1640"/>
      <c r="BM769" s="1641"/>
      <c r="BN769" s="1640"/>
      <c r="BO769" s="1640"/>
      <c r="BP769" s="1640"/>
      <c r="BQ769" s="1641">
        <f>35.05-35.05</f>
        <v>0</v>
      </c>
      <c r="BR769" s="1640">
        <v>1000</v>
      </c>
      <c r="BS769" s="1640"/>
      <c r="BT769" s="1640"/>
      <c r="BU769" s="1641"/>
      <c r="BV769" s="1640"/>
      <c r="BW769" s="1640"/>
      <c r="BX769" s="1640"/>
      <c r="BY769" s="1641">
        <v>-50</v>
      </c>
      <c r="BZ769" s="1640">
        <v>2000</v>
      </c>
      <c r="CA769" s="1640"/>
      <c r="CB769" s="1640"/>
      <c r="CC769" s="1641"/>
      <c r="CD769" s="1640"/>
      <c r="CE769" s="1640"/>
      <c r="CF769" s="1640"/>
      <c r="CG769" s="1642"/>
      <c r="CH769" s="1641">
        <f t="shared" si="504"/>
        <v>1000</v>
      </c>
      <c r="CI769" s="1641">
        <f t="shared" si="504"/>
        <v>122.069</v>
      </c>
      <c r="CJ769" s="1641">
        <f t="shared" si="504"/>
        <v>0</v>
      </c>
      <c r="CK769" s="1641">
        <f t="shared" si="504"/>
        <v>0</v>
      </c>
      <c r="CL769" s="1889">
        <v>0</v>
      </c>
      <c r="CM769" s="1889">
        <v>122.069</v>
      </c>
      <c r="CN769" s="1889">
        <v>0</v>
      </c>
      <c r="CO769" s="1889">
        <v>0</v>
      </c>
      <c r="CP769" s="1641">
        <v>1000</v>
      </c>
      <c r="CQ769" s="1640"/>
      <c r="CR769" s="1640"/>
      <c r="CS769" s="1640"/>
    </row>
    <row r="770" spans="1:107" ht="15" thickBot="1" x14ac:dyDescent="0.2">
      <c r="A770" s="1541" t="s">
        <v>94</v>
      </c>
      <c r="B770" s="1523" t="s">
        <v>79</v>
      </c>
      <c r="C770" s="1523" t="s">
        <v>80</v>
      </c>
      <c r="D770" s="1523" t="s">
        <v>125</v>
      </c>
      <c r="E770" s="1523" t="s">
        <v>216</v>
      </c>
      <c r="F770" s="1523"/>
      <c r="G770" s="1667">
        <v>290</v>
      </c>
      <c r="H770" s="1501">
        <f>26-23.8</f>
        <v>2.1999999999999993</v>
      </c>
      <c r="I770" s="1501"/>
      <c r="J770" s="1630"/>
      <c r="K770" s="1630"/>
      <c r="L770" s="1631"/>
      <c r="M770" s="1631"/>
      <c r="N770" s="1631"/>
      <c r="O770" s="1631"/>
      <c r="P770" s="1631"/>
      <c r="Q770" s="1631"/>
      <c r="R770" s="1631"/>
      <c r="S770" s="1631"/>
      <c r="T770" s="1632"/>
      <c r="U770" s="1633"/>
      <c r="V770" s="1633"/>
      <c r="W770" s="1634"/>
      <c r="X770" s="1634"/>
      <c r="Y770" s="1634"/>
      <c r="Z770" s="1635"/>
      <c r="AA770" s="1634">
        <f t="shared" si="513"/>
        <v>2.2749999999999999</v>
      </c>
      <c r="AB770" s="1634">
        <v>2.2749999999999999</v>
      </c>
      <c r="AC770" s="1508">
        <f t="shared" si="518"/>
        <v>2.2000000000000002</v>
      </c>
      <c r="AD770" s="1509">
        <f t="shared" si="519"/>
        <v>0</v>
      </c>
      <c r="AE770" s="1509">
        <f t="shared" si="520"/>
        <v>0</v>
      </c>
      <c r="AF770" s="1509">
        <f t="shared" si="520"/>
        <v>0</v>
      </c>
      <c r="AG770" s="1509">
        <f t="shared" si="520"/>
        <v>0</v>
      </c>
      <c r="AH770" s="1490">
        <f t="shared" si="494"/>
        <v>0</v>
      </c>
      <c r="AI770" s="1636">
        <f t="shared" si="521"/>
        <v>0</v>
      </c>
      <c r="AJ770" s="1636">
        <f t="shared" si="522"/>
        <v>0</v>
      </c>
      <c r="AK770" s="1636">
        <f t="shared" si="523"/>
        <v>0</v>
      </c>
      <c r="AL770" s="1636">
        <f t="shared" si="515"/>
        <v>0</v>
      </c>
      <c r="AM770" s="1636">
        <f t="shared" si="515"/>
        <v>0</v>
      </c>
      <c r="AN770" s="1637"/>
      <c r="AO770" s="1722">
        <v>2.2000000000000002</v>
      </c>
      <c r="AP770" s="1638"/>
      <c r="AQ770" s="1638"/>
      <c r="AR770" s="1638"/>
      <c r="AS770" s="1639"/>
      <c r="AT770" s="1638"/>
      <c r="AU770" s="1638"/>
      <c r="AV770" s="1638"/>
      <c r="AW770" s="1639"/>
      <c r="AX770" s="1640"/>
      <c r="AY770" s="1640"/>
      <c r="AZ770" s="1640"/>
      <c r="BA770" s="1641"/>
      <c r="BB770" s="1640"/>
      <c r="BC770" s="1640"/>
      <c r="BD770" s="1640"/>
      <c r="BE770" s="1644"/>
      <c r="BF770" s="1640"/>
      <c r="BG770" s="1640"/>
      <c r="BH770" s="1640"/>
      <c r="BI770" s="1703"/>
      <c r="BJ770" s="1640"/>
      <c r="BK770" s="1640"/>
      <c r="BL770" s="1640"/>
      <c r="BM770" s="1641"/>
      <c r="BN770" s="1640"/>
      <c r="BO770" s="1640"/>
      <c r="BP770" s="1640"/>
      <c r="BQ770" s="1641"/>
      <c r="BR770" s="1640"/>
      <c r="BS770" s="1640"/>
      <c r="BT770" s="1640"/>
      <c r="BU770" s="1641"/>
      <c r="BV770" s="1640"/>
      <c r="BW770" s="1640"/>
      <c r="BX770" s="1640"/>
      <c r="BY770" s="1641"/>
      <c r="BZ770" s="1640"/>
      <c r="CA770" s="1640"/>
      <c r="CB770" s="1640"/>
      <c r="CC770" s="1641"/>
      <c r="CD770" s="1640"/>
      <c r="CE770" s="1640"/>
      <c r="CF770" s="1640"/>
      <c r="CG770" s="1642"/>
      <c r="CH770" s="1641">
        <f t="shared" si="504"/>
        <v>0</v>
      </c>
      <c r="CI770" s="1641">
        <f t="shared" si="504"/>
        <v>0</v>
      </c>
      <c r="CJ770" s="1641">
        <f t="shared" si="504"/>
        <v>0</v>
      </c>
      <c r="CK770" s="1641">
        <f t="shared" si="504"/>
        <v>0</v>
      </c>
      <c r="CL770" s="1889">
        <v>0</v>
      </c>
      <c r="CM770" s="1889">
        <v>0</v>
      </c>
      <c r="CN770" s="1889">
        <v>0</v>
      </c>
      <c r="CO770" s="1889">
        <v>0</v>
      </c>
      <c r="CP770" s="1641"/>
      <c r="CQ770" s="1640"/>
      <c r="CR770" s="1640"/>
      <c r="CS770" s="1640"/>
    </row>
    <row r="771" spans="1:107" ht="15" thickBot="1" x14ac:dyDescent="0.2">
      <c r="A771" s="1541" t="s">
        <v>94</v>
      </c>
      <c r="B771" s="1523" t="s">
        <v>79</v>
      </c>
      <c r="C771" s="1523" t="s">
        <v>80</v>
      </c>
      <c r="D771" s="1523" t="s">
        <v>125</v>
      </c>
      <c r="E771" s="1523" t="s">
        <v>216</v>
      </c>
      <c r="F771" s="1523"/>
      <c r="G771" s="1667" t="s">
        <v>95</v>
      </c>
      <c r="H771" s="1501"/>
      <c r="I771" s="1501"/>
      <c r="J771" s="1630"/>
      <c r="K771" s="1630"/>
      <c r="L771" s="1631"/>
      <c r="M771" s="1631"/>
      <c r="N771" s="1631"/>
      <c r="O771" s="1631"/>
      <c r="P771" s="1631"/>
      <c r="Q771" s="1631"/>
      <c r="R771" s="1631"/>
      <c r="S771" s="1631"/>
      <c r="T771" s="1632"/>
      <c r="U771" s="1633"/>
      <c r="V771" s="1633"/>
      <c r="W771" s="1634"/>
      <c r="X771" s="1634"/>
      <c r="Y771" s="1634"/>
      <c r="Z771" s="1635"/>
      <c r="AA771" s="1634">
        <f t="shared" si="513"/>
        <v>0</v>
      </c>
      <c r="AB771" s="1634"/>
      <c r="AC771" s="1508">
        <f t="shared" si="518"/>
        <v>0</v>
      </c>
      <c r="AD771" s="1509">
        <f t="shared" si="519"/>
        <v>0</v>
      </c>
      <c r="AE771" s="1509">
        <f t="shared" si="520"/>
        <v>0</v>
      </c>
      <c r="AF771" s="1509">
        <f t="shared" si="520"/>
        <v>0</v>
      </c>
      <c r="AG771" s="1509">
        <f t="shared" si="520"/>
        <v>0</v>
      </c>
      <c r="AH771" s="1490">
        <f t="shared" si="494"/>
        <v>0</v>
      </c>
      <c r="AI771" s="1636">
        <f t="shared" si="521"/>
        <v>0</v>
      </c>
      <c r="AJ771" s="1636">
        <f t="shared" si="522"/>
        <v>0</v>
      </c>
      <c r="AK771" s="1636">
        <f t="shared" si="523"/>
        <v>0</v>
      </c>
      <c r="AL771" s="1636">
        <f t="shared" si="515"/>
        <v>0</v>
      </c>
      <c r="AM771" s="1636">
        <f t="shared" si="515"/>
        <v>0</v>
      </c>
      <c r="AN771" s="1637"/>
      <c r="AO771" s="1722">
        <v>0</v>
      </c>
      <c r="AP771" s="1638"/>
      <c r="AQ771" s="1638"/>
      <c r="AR771" s="1638"/>
      <c r="AS771" s="1639"/>
      <c r="AT771" s="1638"/>
      <c r="AU771" s="1638"/>
      <c r="AV771" s="1638"/>
      <c r="AW771" s="1639"/>
      <c r="AX771" s="1640"/>
      <c r="AY771" s="1640"/>
      <c r="AZ771" s="1640"/>
      <c r="BA771" s="1641"/>
      <c r="BB771" s="1640"/>
      <c r="BC771" s="1640"/>
      <c r="BD771" s="1640"/>
      <c r="BE771" s="1644"/>
      <c r="BF771" s="1640"/>
      <c r="BG771" s="1640"/>
      <c r="BH771" s="1640"/>
      <c r="BI771" s="1703"/>
      <c r="BJ771" s="1640"/>
      <c r="BK771" s="1640"/>
      <c r="BL771" s="1640"/>
      <c r="BM771" s="1641"/>
      <c r="BN771" s="1640"/>
      <c r="BO771" s="1640"/>
      <c r="BP771" s="1640"/>
      <c r="BQ771" s="1641"/>
      <c r="BR771" s="1640"/>
      <c r="BS771" s="1640"/>
      <c r="BT771" s="1640"/>
      <c r="BU771" s="1641"/>
      <c r="BV771" s="1640"/>
      <c r="BW771" s="1640"/>
      <c r="BX771" s="1640"/>
      <c r="BY771" s="1641"/>
      <c r="BZ771" s="1640"/>
      <c r="CA771" s="1640"/>
      <c r="CB771" s="1640"/>
      <c r="CC771" s="1641"/>
      <c r="CD771" s="1640"/>
      <c r="CE771" s="1640"/>
      <c r="CF771" s="1640"/>
      <c r="CG771" s="1642"/>
      <c r="CH771" s="1641">
        <f t="shared" si="504"/>
        <v>0</v>
      </c>
      <c r="CI771" s="1641">
        <f t="shared" si="504"/>
        <v>0</v>
      </c>
      <c r="CJ771" s="1641">
        <f t="shared" si="504"/>
        <v>0</v>
      </c>
      <c r="CK771" s="1641">
        <f t="shared" si="504"/>
        <v>0</v>
      </c>
      <c r="CL771" s="1889">
        <v>0</v>
      </c>
      <c r="CM771" s="1889">
        <v>0</v>
      </c>
      <c r="CN771" s="1889">
        <v>0</v>
      </c>
      <c r="CO771" s="1889">
        <v>0</v>
      </c>
      <c r="CP771" s="1641"/>
      <c r="CQ771" s="1640"/>
      <c r="CR771" s="1640"/>
      <c r="CS771" s="1640"/>
    </row>
    <row r="772" spans="1:107" ht="15" thickBot="1" x14ac:dyDescent="0.2">
      <c r="A772" s="1541" t="s">
        <v>96</v>
      </c>
      <c r="B772" s="1523" t="s">
        <v>79</v>
      </c>
      <c r="C772" s="1523" t="s">
        <v>80</v>
      </c>
      <c r="D772" s="1523" t="s">
        <v>125</v>
      </c>
      <c r="E772" s="1523" t="s">
        <v>216</v>
      </c>
      <c r="F772" s="1523"/>
      <c r="G772" s="1667">
        <v>310</v>
      </c>
      <c r="H772" s="1652">
        <v>300</v>
      </c>
      <c r="I772" s="1501">
        <f>4100-125-U773</f>
        <v>0</v>
      </c>
      <c r="J772" s="1630"/>
      <c r="K772" s="1630">
        <f>500-U772</f>
        <v>0</v>
      </c>
      <c r="L772" s="1631"/>
      <c r="M772" s="1631"/>
      <c r="N772" s="1631"/>
      <c r="O772" s="1631"/>
      <c r="P772" s="1631"/>
      <c r="Q772" s="1631"/>
      <c r="R772" s="1631"/>
      <c r="S772" s="1631"/>
      <c r="T772" s="1632"/>
      <c r="U772" s="1633">
        <v>500</v>
      </c>
      <c r="V772" s="1633"/>
      <c r="W772" s="1634"/>
      <c r="X772" s="1634"/>
      <c r="Y772" s="1634"/>
      <c r="Z772" s="1635"/>
      <c r="AA772" s="1634">
        <f t="shared" si="513"/>
        <v>335.92099999999999</v>
      </c>
      <c r="AB772" s="1634">
        <v>335.92099999999999</v>
      </c>
      <c r="AC772" s="1508">
        <f t="shared" si="518"/>
        <v>300</v>
      </c>
      <c r="AD772" s="1509">
        <f t="shared" si="519"/>
        <v>0</v>
      </c>
      <c r="AE772" s="1509">
        <f t="shared" si="520"/>
        <v>0</v>
      </c>
      <c r="AF772" s="1509">
        <f t="shared" si="520"/>
        <v>0</v>
      </c>
      <c r="AG772" s="1509">
        <f t="shared" si="520"/>
        <v>0</v>
      </c>
      <c r="AH772" s="1490">
        <f t="shared" si="494"/>
        <v>0</v>
      </c>
      <c r="AI772" s="1636">
        <f t="shared" si="521"/>
        <v>0</v>
      </c>
      <c r="AJ772" s="1636">
        <f t="shared" si="522"/>
        <v>0</v>
      </c>
      <c r="AK772" s="1636">
        <f t="shared" si="523"/>
        <v>0</v>
      </c>
      <c r="AL772" s="1636">
        <f t="shared" si="515"/>
        <v>0</v>
      </c>
      <c r="AM772" s="1636">
        <f t="shared" si="515"/>
        <v>0</v>
      </c>
      <c r="AN772" s="1637"/>
      <c r="AO772" s="1723"/>
      <c r="AP772" s="1638"/>
      <c r="AQ772" s="1638"/>
      <c r="AR772" s="1638"/>
      <c r="AS772" s="1639"/>
      <c r="AT772" s="1638"/>
      <c r="AU772" s="1638"/>
      <c r="AV772" s="1638"/>
      <c r="AW772" s="1639"/>
      <c r="AX772" s="1640"/>
      <c r="AY772" s="1640"/>
      <c r="AZ772" s="1640"/>
      <c r="BA772" s="1641"/>
      <c r="BB772" s="1640"/>
      <c r="BC772" s="1640"/>
      <c r="BD772" s="1640"/>
      <c r="BE772" s="1644"/>
      <c r="BF772" s="1640"/>
      <c r="BG772" s="1640"/>
      <c r="BH772" s="1640"/>
      <c r="BI772" s="1703">
        <v>300</v>
      </c>
      <c r="BJ772" s="1640"/>
      <c r="BK772" s="1640"/>
      <c r="BL772" s="1640"/>
      <c r="BM772" s="1641"/>
      <c r="BN772" s="1640"/>
      <c r="BO772" s="1640"/>
      <c r="BP772" s="1640"/>
      <c r="BQ772" s="1641"/>
      <c r="BR772" s="1640"/>
      <c r="BS772" s="1640"/>
      <c r="BT772" s="1640"/>
      <c r="BU772" s="1641"/>
      <c r="BV772" s="1640"/>
      <c r="BW772" s="1640"/>
      <c r="BX772" s="1640"/>
      <c r="BY772" s="1641"/>
      <c r="BZ772" s="1640"/>
      <c r="CA772" s="1640"/>
      <c r="CB772" s="1640"/>
      <c r="CC772" s="1641"/>
      <c r="CD772" s="1640"/>
      <c r="CE772" s="1640"/>
      <c r="CF772" s="1640"/>
      <c r="CG772" s="1642"/>
      <c r="CH772" s="1641">
        <f t="shared" si="504"/>
        <v>0</v>
      </c>
      <c r="CI772" s="1641">
        <f t="shared" si="504"/>
        <v>0</v>
      </c>
      <c r="CJ772" s="1641">
        <f t="shared" si="504"/>
        <v>0</v>
      </c>
      <c r="CK772" s="1641">
        <f t="shared" si="504"/>
        <v>0</v>
      </c>
      <c r="CL772" s="1889">
        <v>0</v>
      </c>
      <c r="CM772" s="1889">
        <v>0</v>
      </c>
      <c r="CN772" s="1889">
        <v>0</v>
      </c>
      <c r="CO772" s="1889">
        <v>0</v>
      </c>
      <c r="CP772" s="1641"/>
      <c r="CQ772" s="1640"/>
      <c r="CR772" s="1640"/>
      <c r="CS772" s="1640"/>
    </row>
    <row r="773" spans="1:107" ht="15" thickBot="1" x14ac:dyDescent="0.2">
      <c r="A773" s="1541" t="s">
        <v>97</v>
      </c>
      <c r="B773" s="1523" t="s">
        <v>79</v>
      </c>
      <c r="C773" s="1523" t="s">
        <v>80</v>
      </c>
      <c r="D773" s="1523" t="s">
        <v>125</v>
      </c>
      <c r="E773" s="1523" t="s">
        <v>216</v>
      </c>
      <c r="F773" s="1523"/>
      <c r="G773" s="1667">
        <v>340</v>
      </c>
      <c r="H773" s="1501"/>
      <c r="I773" s="1501"/>
      <c r="J773" s="1630"/>
      <c r="K773" s="1630"/>
      <c r="L773" s="1631"/>
      <c r="M773" s="1631"/>
      <c r="N773" s="1631"/>
      <c r="O773" s="1631"/>
      <c r="P773" s="1631"/>
      <c r="Q773" s="1631"/>
      <c r="R773" s="1631"/>
      <c r="S773" s="1631"/>
      <c r="T773" s="1632"/>
      <c r="U773" s="1633">
        <v>3975</v>
      </c>
      <c r="V773" s="1633"/>
      <c r="W773" s="1634"/>
      <c r="X773" s="1634"/>
      <c r="Y773" s="1634"/>
      <c r="Z773" s="1635"/>
      <c r="AA773" s="1634">
        <f t="shared" si="513"/>
        <v>0</v>
      </c>
      <c r="AB773" s="1634"/>
      <c r="AC773" s="1508">
        <f t="shared" si="518"/>
        <v>0</v>
      </c>
      <c r="AD773" s="1509">
        <f t="shared" si="519"/>
        <v>0</v>
      </c>
      <c r="AE773" s="1509">
        <f t="shared" si="520"/>
        <v>0</v>
      </c>
      <c r="AF773" s="1509">
        <f t="shared" si="520"/>
        <v>0</v>
      </c>
      <c r="AG773" s="1509">
        <f t="shared" si="520"/>
        <v>0</v>
      </c>
      <c r="AH773" s="1490">
        <f t="shared" si="494"/>
        <v>0</v>
      </c>
      <c r="AI773" s="1636">
        <f t="shared" si="521"/>
        <v>0</v>
      </c>
      <c r="AJ773" s="1636">
        <f t="shared" si="522"/>
        <v>0</v>
      </c>
      <c r="AK773" s="1636">
        <f t="shared" si="523"/>
        <v>0</v>
      </c>
      <c r="AL773" s="1636">
        <f t="shared" si="515"/>
        <v>0</v>
      </c>
      <c r="AM773" s="1636">
        <f t="shared" si="515"/>
        <v>0</v>
      </c>
      <c r="AN773" s="1637"/>
      <c r="AO773" s="1722">
        <v>0</v>
      </c>
      <c r="AP773" s="1638"/>
      <c r="AQ773" s="1638"/>
      <c r="AR773" s="1638"/>
      <c r="AS773" s="1639"/>
      <c r="AT773" s="1638"/>
      <c r="AU773" s="1638"/>
      <c r="AV773" s="1638"/>
      <c r="AW773" s="1639"/>
      <c r="AX773" s="1640"/>
      <c r="AY773" s="1640"/>
      <c r="AZ773" s="1640"/>
      <c r="BA773" s="1641"/>
      <c r="BB773" s="1640"/>
      <c r="BC773" s="1640"/>
      <c r="BD773" s="1640"/>
      <c r="BE773" s="1644"/>
      <c r="BF773" s="1640"/>
      <c r="BG773" s="1640"/>
      <c r="BH773" s="1640"/>
      <c r="BI773" s="1641"/>
      <c r="BJ773" s="1640"/>
      <c r="BK773" s="1640"/>
      <c r="BL773" s="1640"/>
      <c r="BM773" s="1641"/>
      <c r="BN773" s="1640"/>
      <c r="BO773" s="1640"/>
      <c r="BP773" s="1640"/>
      <c r="BQ773" s="1641"/>
      <c r="BR773" s="1640"/>
      <c r="BS773" s="1640"/>
      <c r="BT773" s="1640"/>
      <c r="BU773" s="1641"/>
      <c r="BV773" s="1640"/>
      <c r="BW773" s="1640"/>
      <c r="BX773" s="1640"/>
      <c r="BY773" s="1641"/>
      <c r="BZ773" s="1640"/>
      <c r="CA773" s="1640"/>
      <c r="CB773" s="1640"/>
      <c r="CC773" s="1641"/>
      <c r="CD773" s="1640"/>
      <c r="CE773" s="1640"/>
      <c r="CF773" s="1640"/>
      <c r="CG773" s="1642"/>
      <c r="CH773" s="1641">
        <f t="shared" si="504"/>
        <v>0</v>
      </c>
      <c r="CI773" s="1641">
        <f t="shared" si="504"/>
        <v>0</v>
      </c>
      <c r="CJ773" s="1641">
        <f t="shared" si="504"/>
        <v>0</v>
      </c>
      <c r="CK773" s="1641">
        <f t="shared" si="504"/>
        <v>0</v>
      </c>
      <c r="CL773" s="1889">
        <v>0</v>
      </c>
      <c r="CM773" s="1889">
        <v>0</v>
      </c>
      <c r="CN773" s="1889">
        <v>0</v>
      </c>
      <c r="CO773" s="1889">
        <v>0</v>
      </c>
      <c r="CP773" s="1641"/>
      <c r="CQ773" s="1640"/>
      <c r="CR773" s="1640"/>
      <c r="CS773" s="1640"/>
    </row>
    <row r="774" spans="1:107" ht="15" customHeight="1" thickBot="1" x14ac:dyDescent="0.2">
      <c r="A774" s="1528" t="s">
        <v>767</v>
      </c>
      <c r="B774" s="1530" t="s">
        <v>79</v>
      </c>
      <c r="C774" s="1530" t="s">
        <v>80</v>
      </c>
      <c r="D774" s="1530" t="s">
        <v>125</v>
      </c>
      <c r="E774" s="1530" t="s">
        <v>216</v>
      </c>
      <c r="F774" s="1530">
        <v>612</v>
      </c>
      <c r="G774" s="1687" t="s">
        <v>766</v>
      </c>
      <c r="H774" s="1647">
        <f>I760</f>
        <v>3122.069</v>
      </c>
      <c r="I774" s="1645"/>
      <c r="J774" s="1630"/>
      <c r="K774" s="1630"/>
      <c r="L774" s="1631"/>
      <c r="M774" s="1631"/>
      <c r="N774" s="1631"/>
      <c r="O774" s="1631"/>
      <c r="P774" s="1631"/>
      <c r="Q774" s="1631"/>
      <c r="R774" s="1631"/>
      <c r="S774" s="1631"/>
      <c r="T774" s="1632"/>
      <c r="U774" s="1633"/>
      <c r="V774" s="1633"/>
      <c r="W774" s="1634"/>
      <c r="X774" s="1634"/>
      <c r="Y774" s="1634"/>
      <c r="Z774" s="1635"/>
      <c r="AA774" s="1634">
        <f t="shared" si="513"/>
        <v>0</v>
      </c>
      <c r="AB774" s="1634"/>
      <c r="AC774" s="1508"/>
      <c r="AD774" s="1509"/>
      <c r="AE774" s="1509"/>
      <c r="AF774" s="1509"/>
      <c r="AG774" s="1509"/>
      <c r="AH774" s="1490">
        <f t="shared" si="494"/>
        <v>0</v>
      </c>
      <c r="AI774" s="1636"/>
      <c r="AJ774" s="1636"/>
      <c r="AK774" s="1636"/>
      <c r="AL774" s="1636">
        <f t="shared" si="515"/>
        <v>0</v>
      </c>
      <c r="AM774" s="1636"/>
      <c r="AN774" s="1712"/>
      <c r="AO774" s="1713"/>
      <c r="AP774" s="1638"/>
      <c r="AQ774" s="1638"/>
      <c r="AR774" s="1638"/>
      <c r="AS774" s="1639"/>
      <c r="AT774" s="1638"/>
      <c r="AU774" s="1638"/>
      <c r="AV774" s="1638"/>
      <c r="AW774" s="1639"/>
      <c r="AX774" s="1640"/>
      <c r="AY774" s="1640"/>
      <c r="AZ774" s="1640"/>
      <c r="BA774" s="1641"/>
      <c r="BB774" s="1640"/>
      <c r="BC774" s="1640"/>
      <c r="BD774" s="1640"/>
      <c r="BE774" s="1644"/>
      <c r="BF774" s="1640"/>
      <c r="BG774" s="1640"/>
      <c r="BH774" s="1640"/>
      <c r="BI774" s="1641"/>
      <c r="BJ774" s="1640"/>
      <c r="BK774" s="1640"/>
      <c r="BL774" s="1640"/>
      <c r="BM774" s="1641"/>
      <c r="BN774" s="1640"/>
      <c r="BO774" s="1640"/>
      <c r="BP774" s="1640"/>
      <c r="BQ774" s="1641"/>
      <c r="BR774" s="1640"/>
      <c r="BS774" s="1640"/>
      <c r="BT774" s="1640"/>
      <c r="BU774" s="1641"/>
      <c r="BV774" s="1640"/>
      <c r="BW774" s="1640"/>
      <c r="BX774" s="1640"/>
      <c r="BY774" s="1641"/>
      <c r="BZ774" s="1640"/>
      <c r="CA774" s="1640"/>
      <c r="CB774" s="1640"/>
      <c r="CC774" s="1641"/>
      <c r="CD774" s="1640"/>
      <c r="CE774" s="1640"/>
      <c r="CF774" s="1640"/>
      <c r="CG774" s="1642"/>
      <c r="CH774" s="1641">
        <f t="shared" si="504"/>
        <v>0</v>
      </c>
      <c r="CI774" s="1641">
        <f t="shared" si="504"/>
        <v>0</v>
      </c>
      <c r="CJ774" s="1641">
        <f t="shared" si="504"/>
        <v>0</v>
      </c>
      <c r="CK774" s="1641">
        <f t="shared" si="504"/>
        <v>0</v>
      </c>
      <c r="CL774" s="1898"/>
      <c r="CM774" s="1898"/>
      <c r="CN774" s="1889">
        <v>0</v>
      </c>
      <c r="CO774" s="1898"/>
      <c r="CP774" s="1641"/>
      <c r="CQ774" s="1640"/>
      <c r="CR774" s="1640"/>
      <c r="CS774" s="1640"/>
    </row>
    <row r="775" spans="1:107" s="1886" customFormat="1" ht="27" thickBot="1" x14ac:dyDescent="0.2">
      <c r="A775" s="1873" t="s">
        <v>1292</v>
      </c>
      <c r="B775" s="1941" t="s">
        <v>79</v>
      </c>
      <c r="C775" s="1941" t="s">
        <v>80</v>
      </c>
      <c r="D775" s="1941" t="s">
        <v>125</v>
      </c>
      <c r="E775" s="1941" t="s">
        <v>216</v>
      </c>
      <c r="F775" s="1941">
        <v>600</v>
      </c>
      <c r="G775" s="1874"/>
      <c r="H775" s="1606">
        <f>H776+H790</f>
        <v>27099.4</v>
      </c>
      <c r="I775" s="1606">
        <f>I776+I790</f>
        <v>3888.8</v>
      </c>
      <c r="J775" s="1606">
        <f>J776+J790</f>
        <v>0</v>
      </c>
      <c r="K775" s="1606">
        <f>K776+K790</f>
        <v>0</v>
      </c>
      <c r="L775" s="1607"/>
      <c r="M775" s="1607"/>
      <c r="N775" s="1607"/>
      <c r="O775" s="1607"/>
      <c r="P775" s="1607"/>
      <c r="Q775" s="1607"/>
      <c r="R775" s="1607"/>
      <c r="S775" s="1607"/>
      <c r="T775" s="1608"/>
      <c r="U775" s="1609"/>
      <c r="V775" s="1609"/>
      <c r="W775" s="1610"/>
      <c r="X775" s="1610"/>
      <c r="Y775" s="1610"/>
      <c r="Z775" s="1611"/>
      <c r="AA775" s="1634">
        <f>AB775-Z775</f>
        <v>0</v>
      </c>
      <c r="AB775" s="1610"/>
      <c r="AC775" s="1612">
        <f t="shared" ref="AC775:CF775" si="524">AC776+AC790</f>
        <v>23210.6</v>
      </c>
      <c r="AD775" s="1612">
        <f t="shared" si="524"/>
        <v>3888.8</v>
      </c>
      <c r="AE775" s="1612">
        <f t="shared" si="524"/>
        <v>3888.8</v>
      </c>
      <c r="AF775" s="1612">
        <f t="shared" si="524"/>
        <v>0</v>
      </c>
      <c r="AG775" s="1612">
        <f t="shared" si="524"/>
        <v>0</v>
      </c>
      <c r="AH775" s="1490">
        <f t="shared" si="494"/>
        <v>320.19</v>
      </c>
      <c r="AI775" s="1613">
        <f t="shared" si="524"/>
        <v>0</v>
      </c>
      <c r="AJ775" s="1613">
        <f t="shared" si="524"/>
        <v>6.1839422471621219E-14</v>
      </c>
      <c r="AK775" s="1613">
        <f t="shared" si="524"/>
        <v>6.1839422471621219E-14</v>
      </c>
      <c r="AL775" s="1636">
        <f t="shared" si="515"/>
        <v>0</v>
      </c>
      <c r="AM775" s="1613">
        <f t="shared" si="524"/>
        <v>0</v>
      </c>
      <c r="AN775" s="1614"/>
      <c r="AO775" s="1606">
        <f t="shared" si="524"/>
        <v>1913.3000000000002</v>
      </c>
      <c r="AP775" s="1606">
        <f t="shared" si="524"/>
        <v>0</v>
      </c>
      <c r="AQ775" s="1606">
        <f t="shared" si="524"/>
        <v>0</v>
      </c>
      <c r="AR775" s="1606">
        <f t="shared" si="524"/>
        <v>0</v>
      </c>
      <c r="AS775" s="1611">
        <f t="shared" si="524"/>
        <v>1898.6000000000001</v>
      </c>
      <c r="AT775" s="1606">
        <f t="shared" si="524"/>
        <v>0</v>
      </c>
      <c r="AU775" s="1606">
        <f t="shared" si="524"/>
        <v>0</v>
      </c>
      <c r="AV775" s="1606">
        <f t="shared" si="524"/>
        <v>0</v>
      </c>
      <c r="AW775" s="1611">
        <f t="shared" si="524"/>
        <v>1872.9</v>
      </c>
      <c r="AX775" s="1606">
        <f t="shared" si="524"/>
        <v>0</v>
      </c>
      <c r="AY775" s="1606">
        <f t="shared" si="524"/>
        <v>0</v>
      </c>
      <c r="AZ775" s="1606">
        <f t="shared" si="524"/>
        <v>0</v>
      </c>
      <c r="BA775" s="1614">
        <f t="shared" si="524"/>
        <v>1872.9</v>
      </c>
      <c r="BB775" s="1606">
        <f t="shared" si="524"/>
        <v>0</v>
      </c>
      <c r="BC775" s="1606">
        <f t="shared" si="524"/>
        <v>0</v>
      </c>
      <c r="BD775" s="1606">
        <f t="shared" si="524"/>
        <v>0</v>
      </c>
      <c r="BE775" s="1615">
        <f t="shared" si="524"/>
        <v>1907.6</v>
      </c>
      <c r="BF775" s="1606">
        <f t="shared" si="524"/>
        <v>0</v>
      </c>
      <c r="BG775" s="1606">
        <f t="shared" si="524"/>
        <v>0</v>
      </c>
      <c r="BH775" s="1606">
        <f t="shared" si="524"/>
        <v>0</v>
      </c>
      <c r="BI775" s="1614">
        <f t="shared" si="524"/>
        <v>1574.1309999999999</v>
      </c>
      <c r="BJ775" s="1606">
        <f t="shared" si="524"/>
        <v>0</v>
      </c>
      <c r="BK775" s="1606">
        <f t="shared" si="524"/>
        <v>0</v>
      </c>
      <c r="BL775" s="1606">
        <f t="shared" si="524"/>
        <v>0</v>
      </c>
      <c r="BM775" s="1614">
        <f t="shared" si="524"/>
        <v>4358.6189999999997</v>
      </c>
      <c r="BN775" s="1606">
        <f t="shared" si="524"/>
        <v>0</v>
      </c>
      <c r="BO775" s="1606">
        <f t="shared" si="524"/>
        <v>0</v>
      </c>
      <c r="BP775" s="1606">
        <f t="shared" si="524"/>
        <v>0</v>
      </c>
      <c r="BQ775" s="1614">
        <f t="shared" si="524"/>
        <v>2012.05</v>
      </c>
      <c r="BR775" s="1606">
        <f t="shared" si="524"/>
        <v>0</v>
      </c>
      <c r="BS775" s="1606">
        <f t="shared" si="524"/>
        <v>0</v>
      </c>
      <c r="BT775" s="1606">
        <f t="shared" si="524"/>
        <v>0</v>
      </c>
      <c r="BU775" s="1614">
        <f t="shared" si="524"/>
        <v>1422.3999999999999</v>
      </c>
      <c r="BV775" s="1606">
        <f t="shared" si="524"/>
        <v>0</v>
      </c>
      <c r="BW775" s="1606">
        <f t="shared" si="524"/>
        <v>0</v>
      </c>
      <c r="BX775" s="1606">
        <f t="shared" si="524"/>
        <v>0</v>
      </c>
      <c r="BY775" s="1614">
        <f t="shared" si="524"/>
        <v>3300.53</v>
      </c>
      <c r="BZ775" s="1606">
        <f t="shared" si="524"/>
        <v>0</v>
      </c>
      <c r="CA775" s="1606">
        <f t="shared" si="524"/>
        <v>0</v>
      </c>
      <c r="CB775" s="1606">
        <f t="shared" si="524"/>
        <v>0</v>
      </c>
      <c r="CC775" s="1614">
        <f t="shared" si="524"/>
        <v>757.38</v>
      </c>
      <c r="CD775" s="1606">
        <f t="shared" si="524"/>
        <v>0</v>
      </c>
      <c r="CE775" s="1606">
        <f t="shared" si="524"/>
        <v>0</v>
      </c>
      <c r="CF775" s="1606">
        <f t="shared" si="524"/>
        <v>0</v>
      </c>
      <c r="CG775" s="1616"/>
      <c r="CH775" s="1641">
        <f t="shared" si="504"/>
        <v>320.19</v>
      </c>
      <c r="CI775" s="1641">
        <f t="shared" si="504"/>
        <v>3888.8</v>
      </c>
      <c r="CJ775" s="1641">
        <f t="shared" si="504"/>
        <v>0</v>
      </c>
      <c r="CK775" s="1641">
        <f t="shared" si="504"/>
        <v>0</v>
      </c>
      <c r="CL775" s="1943">
        <v>320.19</v>
      </c>
      <c r="CM775" s="1943">
        <v>0</v>
      </c>
      <c r="CN775" s="1889">
        <v>0</v>
      </c>
      <c r="CO775" s="1943">
        <v>0</v>
      </c>
      <c r="CP775" s="1614">
        <f>CP776+CP790</f>
        <v>0</v>
      </c>
      <c r="CQ775" s="1606">
        <f>CQ776+CQ790</f>
        <v>3888.8</v>
      </c>
      <c r="CR775" s="1606">
        <f>CR776+CR790</f>
        <v>0</v>
      </c>
      <c r="CS775" s="1606">
        <f>CS776+CS790</f>
        <v>0</v>
      </c>
      <c r="CT775" s="1885"/>
      <c r="CU775" s="1885"/>
      <c r="CV775" s="1885"/>
      <c r="CW775" s="1885"/>
      <c r="CY775" s="1885"/>
    </row>
    <row r="776" spans="1:107" ht="53" thickBot="1" x14ac:dyDescent="0.2">
      <c r="A776" s="1748" t="s">
        <v>1135</v>
      </c>
      <c r="B776" s="1749" t="s">
        <v>79</v>
      </c>
      <c r="C776" s="1749" t="s">
        <v>80</v>
      </c>
      <c r="D776" s="1749" t="s">
        <v>125</v>
      </c>
      <c r="E776" s="1749" t="s">
        <v>216</v>
      </c>
      <c r="F776" s="1749" t="s">
        <v>765</v>
      </c>
      <c r="G776" s="1600" t="s">
        <v>766</v>
      </c>
      <c r="H776" s="1531">
        <f>H777+H778+H779+H780+H781+H782+H783+H784+H785+H786+H787+H788+H789</f>
        <v>23210.600000000002</v>
      </c>
      <c r="I776" s="1531">
        <f>I777+I778+I779+I780+I781+I782+I783+I784+I785+I786+I787+I788+I789</f>
        <v>3888.8</v>
      </c>
      <c r="J776" s="1531">
        <f>J777+J778+J779+J780+J781+J782+J783+J784+J785+J786+J787+J788+J789</f>
        <v>0</v>
      </c>
      <c r="K776" s="1531">
        <f>K777+K778+K779+K780+K781+K782+K783+K784+K785+K786+K787+K788+K789</f>
        <v>0</v>
      </c>
      <c r="L776" s="1601"/>
      <c r="M776" s="1601"/>
      <c r="N776" s="1601"/>
      <c r="O776" s="1601"/>
      <c r="P776" s="1601"/>
      <c r="Q776" s="1601"/>
      <c r="R776" s="1601"/>
      <c r="S776" s="1601"/>
      <c r="T776" s="1602"/>
      <c r="U776" s="1533"/>
      <c r="V776" s="1533"/>
      <c r="W776" s="1534"/>
      <c r="X776" s="1534"/>
      <c r="Y776" s="1534"/>
      <c r="Z776" s="1535"/>
      <c r="AA776" s="1634">
        <f t="shared" si="513"/>
        <v>0</v>
      </c>
      <c r="AB776" s="1534"/>
      <c r="AC776" s="1603">
        <f t="shared" ref="AC776:CF776" si="525">AC777+AC778+AC779+AC780+AC781+AC782+AC783+AC784+AC785+AC786+AC787+AC788+AC789</f>
        <v>23210.6</v>
      </c>
      <c r="AD776" s="1603">
        <f t="shared" si="525"/>
        <v>3888.8</v>
      </c>
      <c r="AE776" s="1603">
        <f t="shared" si="525"/>
        <v>3888.8</v>
      </c>
      <c r="AF776" s="1603">
        <f t="shared" si="525"/>
        <v>0</v>
      </c>
      <c r="AG776" s="1603">
        <f t="shared" si="525"/>
        <v>0</v>
      </c>
      <c r="AH776" s="1490">
        <f t="shared" si="494"/>
        <v>320.19</v>
      </c>
      <c r="AI776" s="1592">
        <f t="shared" si="525"/>
        <v>0</v>
      </c>
      <c r="AJ776" s="1537">
        <f t="shared" si="525"/>
        <v>6.1839422471621219E-14</v>
      </c>
      <c r="AK776" s="1592">
        <f t="shared" si="525"/>
        <v>6.1839422471621219E-14</v>
      </c>
      <c r="AL776" s="1636">
        <f t="shared" si="515"/>
        <v>0</v>
      </c>
      <c r="AM776" s="1537">
        <f t="shared" si="525"/>
        <v>0</v>
      </c>
      <c r="AN776" s="1706"/>
      <c r="AO776" s="1707">
        <f t="shared" si="525"/>
        <v>1913.3000000000002</v>
      </c>
      <c r="AP776" s="1531">
        <f t="shared" si="525"/>
        <v>0</v>
      </c>
      <c r="AQ776" s="1531">
        <f t="shared" si="525"/>
        <v>0</v>
      </c>
      <c r="AR776" s="1531">
        <f t="shared" si="525"/>
        <v>0</v>
      </c>
      <c r="AS776" s="1535">
        <f t="shared" si="525"/>
        <v>1898.6000000000001</v>
      </c>
      <c r="AT776" s="1531">
        <f t="shared" si="525"/>
        <v>0</v>
      </c>
      <c r="AU776" s="1531">
        <f t="shared" si="525"/>
        <v>0</v>
      </c>
      <c r="AV776" s="1531">
        <f t="shared" si="525"/>
        <v>0</v>
      </c>
      <c r="AW776" s="1535">
        <f t="shared" si="525"/>
        <v>1872.9</v>
      </c>
      <c r="AX776" s="1531">
        <f t="shared" si="525"/>
        <v>0</v>
      </c>
      <c r="AY776" s="1531">
        <f t="shared" si="525"/>
        <v>0</v>
      </c>
      <c r="AZ776" s="1531">
        <f t="shared" si="525"/>
        <v>0</v>
      </c>
      <c r="BA776" s="1538">
        <f t="shared" si="525"/>
        <v>1872.9</v>
      </c>
      <c r="BB776" s="1531">
        <f t="shared" si="525"/>
        <v>0</v>
      </c>
      <c r="BC776" s="1531">
        <f t="shared" si="525"/>
        <v>0</v>
      </c>
      <c r="BD776" s="1531">
        <f t="shared" si="525"/>
        <v>0</v>
      </c>
      <c r="BE776" s="1539">
        <f t="shared" si="525"/>
        <v>1907.6</v>
      </c>
      <c r="BF776" s="1531">
        <f t="shared" si="525"/>
        <v>0</v>
      </c>
      <c r="BG776" s="1531">
        <f t="shared" si="525"/>
        <v>0</v>
      </c>
      <c r="BH776" s="1531">
        <f t="shared" si="525"/>
        <v>0</v>
      </c>
      <c r="BI776" s="1538">
        <f t="shared" si="525"/>
        <v>1574.1309999999999</v>
      </c>
      <c r="BJ776" s="1531">
        <f t="shared" si="525"/>
        <v>0</v>
      </c>
      <c r="BK776" s="1531">
        <f t="shared" si="525"/>
        <v>0</v>
      </c>
      <c r="BL776" s="1531">
        <f t="shared" si="525"/>
        <v>0</v>
      </c>
      <c r="BM776" s="1538">
        <f t="shared" si="525"/>
        <v>4358.6189999999997</v>
      </c>
      <c r="BN776" s="1531">
        <f t="shared" si="525"/>
        <v>0</v>
      </c>
      <c r="BO776" s="1531">
        <f t="shared" si="525"/>
        <v>0</v>
      </c>
      <c r="BP776" s="1531">
        <f t="shared" si="525"/>
        <v>0</v>
      </c>
      <c r="BQ776" s="1538">
        <f t="shared" si="525"/>
        <v>2012.05</v>
      </c>
      <c r="BR776" s="1531">
        <f t="shared" si="525"/>
        <v>0</v>
      </c>
      <c r="BS776" s="1531">
        <f t="shared" si="525"/>
        <v>0</v>
      </c>
      <c r="BT776" s="1531">
        <f t="shared" si="525"/>
        <v>0</v>
      </c>
      <c r="BU776" s="1538">
        <f t="shared" si="525"/>
        <v>1422.3999999999999</v>
      </c>
      <c r="BV776" s="1531">
        <f t="shared" si="525"/>
        <v>0</v>
      </c>
      <c r="BW776" s="1531">
        <f t="shared" si="525"/>
        <v>0</v>
      </c>
      <c r="BX776" s="1531">
        <f t="shared" si="525"/>
        <v>0</v>
      </c>
      <c r="BY776" s="1538">
        <f t="shared" si="525"/>
        <v>3300.53</v>
      </c>
      <c r="BZ776" s="1531">
        <f t="shared" si="525"/>
        <v>0</v>
      </c>
      <c r="CA776" s="1531">
        <f t="shared" si="525"/>
        <v>0</v>
      </c>
      <c r="CB776" s="1531">
        <f t="shared" si="525"/>
        <v>0</v>
      </c>
      <c r="CC776" s="1538">
        <f t="shared" si="525"/>
        <v>757.38</v>
      </c>
      <c r="CD776" s="1531">
        <f t="shared" si="525"/>
        <v>0</v>
      </c>
      <c r="CE776" s="1531">
        <f t="shared" si="525"/>
        <v>0</v>
      </c>
      <c r="CF776" s="1531">
        <f t="shared" si="525"/>
        <v>0</v>
      </c>
      <c r="CG776" s="1705"/>
      <c r="CH776" s="1641">
        <f t="shared" si="504"/>
        <v>320.19</v>
      </c>
      <c r="CI776" s="1641">
        <f t="shared" si="504"/>
        <v>3888.8</v>
      </c>
      <c r="CJ776" s="1641">
        <f t="shared" si="504"/>
        <v>0</v>
      </c>
      <c r="CK776" s="1641">
        <f t="shared" si="504"/>
        <v>0</v>
      </c>
      <c r="CL776" s="1902">
        <v>320.19</v>
      </c>
      <c r="CM776" s="1902">
        <v>0</v>
      </c>
      <c r="CN776" s="1889">
        <v>0</v>
      </c>
      <c r="CO776" s="1995">
        <v>0</v>
      </c>
      <c r="CP776" s="1538">
        <f>CP777+CP778+CP779+CP780+CP781+CP782+CP783+CP784+CP785+CP786+CP787+CP788+CP789</f>
        <v>0</v>
      </c>
      <c r="CQ776" s="1531">
        <f>CQ777+CQ778+CQ779+CQ780+CQ781+CQ782+CQ783+CQ784+CQ785+CQ786+CQ787+CQ788+CQ789</f>
        <v>3888.8</v>
      </c>
      <c r="CR776" s="1531">
        <f>CR777+CR778+CR779+CR780+CR781+CR782+CR783+CR784+CR785+CR786+CR787+CR788+CR789</f>
        <v>0</v>
      </c>
      <c r="CS776" s="1531">
        <f>CS777+CS778+CS779+CS780+CS781+CS782+CS783+CS784+CS785+CS786+CS787+CS788+CS789</f>
        <v>0</v>
      </c>
    </row>
    <row r="777" spans="1:107" ht="15" thickBot="1" x14ac:dyDescent="0.2">
      <c r="A777" s="1541" t="s">
        <v>78</v>
      </c>
      <c r="B777" s="1523" t="s">
        <v>79</v>
      </c>
      <c r="C777" s="1523" t="s">
        <v>80</v>
      </c>
      <c r="D777" s="1523" t="s">
        <v>125</v>
      </c>
      <c r="E777" s="1523" t="s">
        <v>216</v>
      </c>
      <c r="F777" s="1523"/>
      <c r="G777" s="1667">
        <v>211</v>
      </c>
      <c r="H777" s="1501">
        <v>17262.400000000001</v>
      </c>
      <c r="I777" s="1501"/>
      <c r="J777" s="1630"/>
      <c r="K777" s="1630"/>
      <c r="L777" s="1631"/>
      <c r="M777" s="1631"/>
      <c r="N777" s="1631"/>
      <c r="O777" s="1631"/>
      <c r="P777" s="1631"/>
      <c r="Q777" s="1631"/>
      <c r="R777" s="1631"/>
      <c r="S777" s="1631"/>
      <c r="T777" s="1632"/>
      <c r="U777" s="1633"/>
      <c r="V777" s="1633"/>
      <c r="W777" s="1634">
        <f>(H777-1000)/12</f>
        <v>1355.2</v>
      </c>
      <c r="X777" s="1634">
        <f>AO777</f>
        <v>1438.5</v>
      </c>
      <c r="Y777" s="1634">
        <f>CC777</f>
        <v>581.66999999999996</v>
      </c>
      <c r="Z777" s="1635">
        <v>581.66999999999996</v>
      </c>
      <c r="AA777" s="1634">
        <f t="shared" si="513"/>
        <v>-581.66999999999996</v>
      </c>
      <c r="AB777" s="1511">
        <f>AI777</f>
        <v>0</v>
      </c>
      <c r="AC777" s="1508">
        <f t="shared" ref="AC777:AC789" si="526">AO777+AS777+AW777+BA777+BE777+BI777+BM777+BQ777+BU777+BY777+CC777+CH777</f>
        <v>17262.399999999998</v>
      </c>
      <c r="AD777" s="1509">
        <f t="shared" ref="AD777:AD789" si="527">AE777+AF777+AG777</f>
        <v>0</v>
      </c>
      <c r="AE777" s="1509">
        <f t="shared" ref="AE777:AG789" si="528">AP777+AT777+AX777+BB777+BF777+BJ777+BN777+BR777+BV777+BZ777+CD777+CI777</f>
        <v>0</v>
      </c>
      <c r="AF777" s="1509">
        <f t="shared" si="528"/>
        <v>0</v>
      </c>
      <c r="AG777" s="1509">
        <f t="shared" si="528"/>
        <v>0</v>
      </c>
      <c r="AH777" s="1490">
        <f t="shared" si="494"/>
        <v>137.619</v>
      </c>
      <c r="AI777" s="1636">
        <f t="shared" ref="AI777:AI789" si="529">H777-AC777</f>
        <v>0</v>
      </c>
      <c r="AJ777" s="1636">
        <f t="shared" ref="AJ777:AJ789" si="530">AK777+AL777+AM777</f>
        <v>0</v>
      </c>
      <c r="AK777" s="1636">
        <f t="shared" ref="AK777:AK789" si="531">I777-AE777</f>
        <v>0</v>
      </c>
      <c r="AL777" s="1636">
        <f t="shared" si="515"/>
        <v>0</v>
      </c>
      <c r="AM777" s="1636">
        <f t="shared" si="515"/>
        <v>0</v>
      </c>
      <c r="AN777" s="1637">
        <f>AI777/4</f>
        <v>0</v>
      </c>
      <c r="AO777" s="1722">
        <v>1438.5</v>
      </c>
      <c r="AP777" s="1638"/>
      <c r="AQ777" s="1638"/>
      <c r="AR777" s="1638"/>
      <c r="AS777" s="1963">
        <v>1438.5</v>
      </c>
      <c r="AT777" s="1638"/>
      <c r="AU777" s="1638"/>
      <c r="AV777" s="1638"/>
      <c r="AW777" s="1722">
        <v>1438.5</v>
      </c>
      <c r="AX777" s="1640"/>
      <c r="AY777" s="1640"/>
      <c r="AZ777" s="1640"/>
      <c r="BA777" s="1964">
        <v>1438.5</v>
      </c>
      <c r="BB777" s="1640"/>
      <c r="BC777" s="1640"/>
      <c r="BD777" s="1640"/>
      <c r="BE777" s="1964">
        <v>1438.5</v>
      </c>
      <c r="BF777" s="1640"/>
      <c r="BG777" s="1640"/>
      <c r="BH777" s="1640"/>
      <c r="BI777" s="1641">
        <f>1460.081</f>
        <v>1460.0809999999999</v>
      </c>
      <c r="BJ777" s="1640"/>
      <c r="BK777" s="1640"/>
      <c r="BL777" s="1640"/>
      <c r="BM777" s="1641">
        <v>2877</v>
      </c>
      <c r="BN777" s="1640"/>
      <c r="BO777" s="1640"/>
      <c r="BP777" s="1640"/>
      <c r="BQ777" s="1641">
        <v>1438.5</v>
      </c>
      <c r="BR777" s="1640"/>
      <c r="BS777" s="1640"/>
      <c r="BT777" s="1640"/>
      <c r="BU777" s="1641">
        <v>1073.5999999999999</v>
      </c>
      <c r="BV777" s="1640"/>
      <c r="BW777" s="1640"/>
      <c r="BX777" s="1640"/>
      <c r="BY777" s="1641">
        <f>322.08+21.6+1438.5+719.25</f>
        <v>2501.4300000000003</v>
      </c>
      <c r="BZ777" s="1640"/>
      <c r="CA777" s="1640"/>
      <c r="CB777" s="1640"/>
      <c r="CC777" s="1641">
        <v>581.66999999999996</v>
      </c>
      <c r="CD777" s="1640"/>
      <c r="CE777" s="1640"/>
      <c r="CF777" s="1640"/>
      <c r="CG777" s="1642"/>
      <c r="CH777" s="1641">
        <f t="shared" si="504"/>
        <v>137.619</v>
      </c>
      <c r="CI777" s="1641">
        <f t="shared" si="504"/>
        <v>0</v>
      </c>
      <c r="CJ777" s="1641">
        <f t="shared" si="504"/>
        <v>0</v>
      </c>
      <c r="CK777" s="1641">
        <f t="shared" si="504"/>
        <v>0</v>
      </c>
      <c r="CL777" s="1889">
        <v>137.619</v>
      </c>
      <c r="CM777" s="1889">
        <v>0</v>
      </c>
      <c r="CN777" s="1889">
        <v>0</v>
      </c>
      <c r="CO777" s="1889">
        <v>0</v>
      </c>
      <c r="CP777" s="1641"/>
      <c r="CQ777" s="1640"/>
      <c r="CR777" s="1640"/>
      <c r="CS777" s="1640"/>
      <c r="CX777" s="1558">
        <f>H777/12*10-AC777</f>
        <v>-2877.0666666666621</v>
      </c>
      <c r="CY777" s="1558">
        <f>AI777/3</f>
        <v>0</v>
      </c>
      <c r="CZ777" s="1558">
        <f>H777/12</f>
        <v>1438.5333333333335</v>
      </c>
      <c r="DA777" s="1559"/>
      <c r="DB777" s="1559"/>
      <c r="DC777" s="1559"/>
    </row>
    <row r="778" spans="1:107" ht="15" thickBot="1" x14ac:dyDescent="0.2">
      <c r="A778" s="1541" t="s">
        <v>103</v>
      </c>
      <c r="B778" s="1523" t="s">
        <v>79</v>
      </c>
      <c r="C778" s="1523" t="s">
        <v>80</v>
      </c>
      <c r="D778" s="1523" t="s">
        <v>125</v>
      </c>
      <c r="E778" s="1523" t="s">
        <v>216</v>
      </c>
      <c r="F778" s="1523"/>
      <c r="G778" s="1667">
        <v>212</v>
      </c>
      <c r="H778" s="1501"/>
      <c r="I778" s="1501"/>
      <c r="J778" s="1630"/>
      <c r="K778" s="1630"/>
      <c r="L778" s="1631"/>
      <c r="M778" s="1631"/>
      <c r="N778" s="1631"/>
      <c r="O778" s="1631"/>
      <c r="P778" s="1631"/>
      <c r="Q778" s="1631"/>
      <c r="R778" s="1631"/>
      <c r="S778" s="1631"/>
      <c r="T778" s="1632"/>
      <c r="U778" s="1633"/>
      <c r="V778" s="1633"/>
      <c r="W778" s="1634"/>
      <c r="X778" s="1634"/>
      <c r="Y778" s="1634">
        <f>CC778</f>
        <v>0</v>
      </c>
      <c r="Z778" s="1635">
        <f>AI778-X778</f>
        <v>0</v>
      </c>
      <c r="AA778" s="1634">
        <f t="shared" si="513"/>
        <v>0</v>
      </c>
      <c r="AB778" s="1511"/>
      <c r="AC778" s="1508">
        <f t="shared" si="526"/>
        <v>0</v>
      </c>
      <c r="AD778" s="1509">
        <f t="shared" si="527"/>
        <v>0</v>
      </c>
      <c r="AE778" s="1509">
        <f t="shared" si="528"/>
        <v>0</v>
      </c>
      <c r="AF778" s="1509">
        <f t="shared" si="528"/>
        <v>0</v>
      </c>
      <c r="AG778" s="1509">
        <f t="shared" si="528"/>
        <v>0</v>
      </c>
      <c r="AH778" s="1490">
        <f t="shared" si="494"/>
        <v>0</v>
      </c>
      <c r="AI778" s="1636">
        <f t="shared" si="529"/>
        <v>0</v>
      </c>
      <c r="AJ778" s="1636">
        <f t="shared" si="530"/>
        <v>0</v>
      </c>
      <c r="AK778" s="1636">
        <f t="shared" si="531"/>
        <v>0</v>
      </c>
      <c r="AL778" s="1636">
        <f t="shared" si="515"/>
        <v>0</v>
      </c>
      <c r="AM778" s="1636">
        <f t="shared" si="515"/>
        <v>0</v>
      </c>
      <c r="AN778" s="1637"/>
      <c r="AO778" s="1722">
        <v>0</v>
      </c>
      <c r="AP778" s="1638"/>
      <c r="AQ778" s="1638"/>
      <c r="AR778" s="1638"/>
      <c r="AS778" s="1963">
        <v>0</v>
      </c>
      <c r="AT778" s="1638"/>
      <c r="AU778" s="1638"/>
      <c r="AV778" s="1638"/>
      <c r="AW778" s="1722">
        <v>0</v>
      </c>
      <c r="AX778" s="1640"/>
      <c r="AY778" s="1640"/>
      <c r="AZ778" s="1640"/>
      <c r="BA778" s="1964">
        <v>0</v>
      </c>
      <c r="BB778" s="1640"/>
      <c r="BC778" s="1640"/>
      <c r="BD778" s="1640"/>
      <c r="BE778" s="1964">
        <v>0</v>
      </c>
      <c r="BF778" s="1640"/>
      <c r="BG778" s="1640"/>
      <c r="BH778" s="1640"/>
      <c r="BI778" s="1641"/>
      <c r="BJ778" s="1640"/>
      <c r="BK778" s="1640"/>
      <c r="BL778" s="1640"/>
      <c r="BM778" s="1641"/>
      <c r="BN778" s="1640"/>
      <c r="BO778" s="1640"/>
      <c r="BP778" s="1640"/>
      <c r="BQ778" s="1641"/>
      <c r="BR778" s="1640"/>
      <c r="BS778" s="1640"/>
      <c r="BT778" s="1640"/>
      <c r="BU778" s="1641"/>
      <c r="BV778" s="1640"/>
      <c r="BW778" s="1640"/>
      <c r="BX778" s="1640"/>
      <c r="BY778" s="1641"/>
      <c r="BZ778" s="1640"/>
      <c r="CA778" s="1640"/>
      <c r="CB778" s="1640"/>
      <c r="CC778" s="1641"/>
      <c r="CD778" s="1640"/>
      <c r="CE778" s="1640"/>
      <c r="CF778" s="1640"/>
      <c r="CG778" s="1642"/>
      <c r="CH778" s="1641">
        <f t="shared" si="504"/>
        <v>0</v>
      </c>
      <c r="CI778" s="1641">
        <f t="shared" si="504"/>
        <v>0</v>
      </c>
      <c r="CJ778" s="1641">
        <f t="shared" si="504"/>
        <v>0</v>
      </c>
      <c r="CK778" s="1641">
        <f t="shared" si="504"/>
        <v>0</v>
      </c>
      <c r="CL778" s="1889">
        <v>0</v>
      </c>
      <c r="CM778" s="1889">
        <v>0</v>
      </c>
      <c r="CN778" s="1889">
        <v>0</v>
      </c>
      <c r="CO778" s="1889">
        <v>0</v>
      </c>
      <c r="CP778" s="1641"/>
      <c r="CQ778" s="1640"/>
      <c r="CR778" s="1640"/>
      <c r="CS778" s="1640"/>
      <c r="CX778" s="1558"/>
      <c r="CY778" s="1558"/>
      <c r="CZ778" s="1558"/>
      <c r="DA778" s="1559"/>
      <c r="DB778" s="1559"/>
      <c r="DC778" s="1559"/>
    </row>
    <row r="779" spans="1:107" ht="15" thickBot="1" x14ac:dyDescent="0.2">
      <c r="A779" s="1541" t="s">
        <v>84</v>
      </c>
      <c r="B779" s="1523" t="s">
        <v>79</v>
      </c>
      <c r="C779" s="1523" t="s">
        <v>80</v>
      </c>
      <c r="D779" s="1523" t="s">
        <v>125</v>
      </c>
      <c r="E779" s="1523" t="s">
        <v>216</v>
      </c>
      <c r="F779" s="1523"/>
      <c r="G779" s="1667">
        <v>213</v>
      </c>
      <c r="H779" s="1501">
        <v>5213.2</v>
      </c>
      <c r="I779" s="1501"/>
      <c r="J779" s="1630"/>
      <c r="K779" s="1630"/>
      <c r="L779" s="1631"/>
      <c r="M779" s="1631"/>
      <c r="N779" s="1631"/>
      <c r="O779" s="1631"/>
      <c r="P779" s="1631"/>
      <c r="Q779" s="1631"/>
      <c r="R779" s="1631"/>
      <c r="S779" s="1631"/>
      <c r="T779" s="1632"/>
      <c r="U779" s="1633"/>
      <c r="V779" s="1633"/>
      <c r="W779" s="1634">
        <f>(H779-302)/12</f>
        <v>409.26666666666665</v>
      </c>
      <c r="X779" s="1634">
        <f>AO779</f>
        <v>434.4</v>
      </c>
      <c r="Y779" s="1634">
        <f>CC779</f>
        <v>175.71</v>
      </c>
      <c r="Z779" s="1635">
        <v>175.71</v>
      </c>
      <c r="AA779" s="1634">
        <f>AB779-Z779</f>
        <v>-175.71</v>
      </c>
      <c r="AB779" s="1511">
        <f>AI779</f>
        <v>0</v>
      </c>
      <c r="AC779" s="1508">
        <f t="shared" si="526"/>
        <v>5213.2</v>
      </c>
      <c r="AD779" s="1509">
        <f t="shared" si="527"/>
        <v>0</v>
      </c>
      <c r="AE779" s="1509">
        <f t="shared" si="528"/>
        <v>0</v>
      </c>
      <c r="AF779" s="1509">
        <f t="shared" si="528"/>
        <v>0</v>
      </c>
      <c r="AG779" s="1509">
        <f t="shared" si="528"/>
        <v>0</v>
      </c>
      <c r="AH779" s="1490">
        <f t="shared" si="494"/>
        <v>41.570999999999998</v>
      </c>
      <c r="AI779" s="1636">
        <f t="shared" si="529"/>
        <v>0</v>
      </c>
      <c r="AJ779" s="1636">
        <f t="shared" si="530"/>
        <v>0</v>
      </c>
      <c r="AK779" s="1636">
        <f t="shared" si="531"/>
        <v>0</v>
      </c>
      <c r="AL779" s="1636">
        <f t="shared" si="515"/>
        <v>0</v>
      </c>
      <c r="AM779" s="1636">
        <f t="shared" si="515"/>
        <v>0</v>
      </c>
      <c r="AN779" s="1637">
        <f>AI779/4</f>
        <v>0</v>
      </c>
      <c r="AO779" s="1722">
        <v>434.4</v>
      </c>
      <c r="AP779" s="1638"/>
      <c r="AQ779" s="1638"/>
      <c r="AR779" s="1638"/>
      <c r="AS779" s="1963">
        <v>434.4</v>
      </c>
      <c r="AT779" s="1638"/>
      <c r="AU779" s="1638"/>
      <c r="AV779" s="1638"/>
      <c r="AW779" s="1722">
        <v>434.4</v>
      </c>
      <c r="AX779" s="1640"/>
      <c r="AY779" s="1640"/>
      <c r="AZ779" s="1640"/>
      <c r="BA779" s="1964">
        <v>434.4</v>
      </c>
      <c r="BB779" s="1640"/>
      <c r="BC779" s="1640"/>
      <c r="BD779" s="1640"/>
      <c r="BE779" s="1964">
        <v>434.4</v>
      </c>
      <c r="BF779" s="1640"/>
      <c r="BG779" s="1640"/>
      <c r="BH779" s="1640"/>
      <c r="BI779" s="1641"/>
      <c r="BJ779" s="1640"/>
      <c r="BK779" s="1640"/>
      <c r="BL779" s="1640"/>
      <c r="BM779" s="1641">
        <f>412.819+868.8</f>
        <v>1281.6189999999999</v>
      </c>
      <c r="BN779" s="1640"/>
      <c r="BO779" s="1640"/>
      <c r="BP779" s="1640"/>
      <c r="BQ779" s="1641">
        <v>434.4</v>
      </c>
      <c r="BR779" s="1640"/>
      <c r="BS779" s="1640"/>
      <c r="BT779" s="1640"/>
      <c r="BU779" s="1641">
        <v>331.3</v>
      </c>
      <c r="BV779" s="1640"/>
      <c r="BW779" s="1640"/>
      <c r="BX779" s="1640"/>
      <c r="BY779" s="1641">
        <f>125+434.4+217.2</f>
        <v>776.59999999999991</v>
      </c>
      <c r="BZ779" s="1640"/>
      <c r="CA779" s="1640"/>
      <c r="CB779" s="1640"/>
      <c r="CC779" s="1641">
        <v>175.71</v>
      </c>
      <c r="CD779" s="1640"/>
      <c r="CE779" s="1640"/>
      <c r="CF779" s="1640"/>
      <c r="CG779" s="1642"/>
      <c r="CH779" s="1641">
        <f t="shared" si="504"/>
        <v>41.570999999999998</v>
      </c>
      <c r="CI779" s="1641">
        <f t="shared" si="504"/>
        <v>0</v>
      </c>
      <c r="CJ779" s="1641">
        <f t="shared" si="504"/>
        <v>0</v>
      </c>
      <c r="CK779" s="1641">
        <f t="shared" si="504"/>
        <v>0</v>
      </c>
      <c r="CL779" s="1889">
        <v>41.570999999999998</v>
      </c>
      <c r="CM779" s="1889">
        <v>0</v>
      </c>
      <c r="CN779" s="1889">
        <v>0</v>
      </c>
      <c r="CO779" s="1889">
        <v>0</v>
      </c>
      <c r="CP779" s="1641"/>
      <c r="CQ779" s="1640"/>
      <c r="CR779" s="1640"/>
      <c r="CS779" s="1640"/>
      <c r="CX779" s="1558">
        <f>H779/12*10-AC779</f>
        <v>-868.86666666666679</v>
      </c>
      <c r="CY779" s="1558">
        <f>AI779/3</f>
        <v>0</v>
      </c>
      <c r="CZ779" s="1558">
        <f>H779/12</f>
        <v>434.43333333333334</v>
      </c>
      <c r="DA779" s="1559"/>
      <c r="DB779" s="1559"/>
      <c r="DC779" s="1559"/>
    </row>
    <row r="780" spans="1:107" ht="15" thickBot="1" x14ac:dyDescent="0.2">
      <c r="A780" s="1541" t="s">
        <v>85</v>
      </c>
      <c r="B780" s="1523" t="s">
        <v>79</v>
      </c>
      <c r="C780" s="1523" t="s">
        <v>80</v>
      </c>
      <c r="D780" s="1523" t="s">
        <v>125</v>
      </c>
      <c r="E780" s="1523" t="s">
        <v>216</v>
      </c>
      <c r="F780" s="1523"/>
      <c r="G780" s="1667">
        <v>221</v>
      </c>
      <c r="H780" s="1501"/>
      <c r="I780" s="1501"/>
      <c r="J780" s="1630"/>
      <c r="K780" s="1630"/>
      <c r="L780" s="1631"/>
      <c r="M780" s="1631"/>
      <c r="N780" s="1631"/>
      <c r="O780" s="1631"/>
      <c r="P780" s="1631"/>
      <c r="Q780" s="1631"/>
      <c r="R780" s="1631"/>
      <c r="S780" s="1631"/>
      <c r="T780" s="1632"/>
      <c r="U780" s="1633"/>
      <c r="V780" s="1633"/>
      <c r="W780" s="1634"/>
      <c r="X780" s="1634"/>
      <c r="Y780" s="1634"/>
      <c r="Z780" s="1635"/>
      <c r="AA780" s="1634">
        <f>AB780-Z780</f>
        <v>0</v>
      </c>
      <c r="AB780" s="1634"/>
      <c r="AC780" s="1508">
        <f t="shared" si="526"/>
        <v>0</v>
      </c>
      <c r="AD780" s="1509">
        <f t="shared" si="527"/>
        <v>0</v>
      </c>
      <c r="AE780" s="1509">
        <f t="shared" si="528"/>
        <v>0</v>
      </c>
      <c r="AF780" s="1509">
        <f t="shared" si="528"/>
        <v>0</v>
      </c>
      <c r="AG780" s="1509">
        <f t="shared" si="528"/>
        <v>0</v>
      </c>
      <c r="AH780" s="1490">
        <f t="shared" si="494"/>
        <v>0</v>
      </c>
      <c r="AI780" s="1636">
        <f t="shared" si="529"/>
        <v>0</v>
      </c>
      <c r="AJ780" s="1636">
        <f t="shared" si="530"/>
        <v>0</v>
      </c>
      <c r="AK780" s="1636">
        <f t="shared" si="531"/>
        <v>0</v>
      </c>
      <c r="AL780" s="1636">
        <f t="shared" si="515"/>
        <v>0</v>
      </c>
      <c r="AM780" s="1636">
        <f t="shared" si="515"/>
        <v>0</v>
      </c>
      <c r="AN780" s="1637"/>
      <c r="AO780" s="1722">
        <v>0</v>
      </c>
      <c r="AP780" s="1638"/>
      <c r="AQ780" s="1638"/>
      <c r="AR780" s="1638"/>
      <c r="AS780" s="1963">
        <v>0</v>
      </c>
      <c r="AT780" s="1638"/>
      <c r="AU780" s="1638"/>
      <c r="AV780" s="1638"/>
      <c r="AW780" s="1639"/>
      <c r="AX780" s="1640"/>
      <c r="AY780" s="1640"/>
      <c r="AZ780" s="1640"/>
      <c r="BA780" s="1641"/>
      <c r="BB780" s="1640"/>
      <c r="BC780" s="1640"/>
      <c r="BD780" s="1640"/>
      <c r="BE780" s="1644"/>
      <c r="BF780" s="1640"/>
      <c r="BG780" s="1640"/>
      <c r="BH780" s="1640"/>
      <c r="BI780" s="1641"/>
      <c r="BJ780" s="1640"/>
      <c r="BK780" s="1640"/>
      <c r="BL780" s="1640"/>
      <c r="BM780" s="1641"/>
      <c r="BN780" s="1640"/>
      <c r="BO780" s="1640"/>
      <c r="BP780" s="1640"/>
      <c r="BQ780" s="1641"/>
      <c r="BR780" s="1640"/>
      <c r="BS780" s="1640"/>
      <c r="BT780" s="1640"/>
      <c r="BU780" s="1641"/>
      <c r="BV780" s="1640"/>
      <c r="BW780" s="1640"/>
      <c r="BX780" s="1640"/>
      <c r="BY780" s="1641"/>
      <c r="BZ780" s="1640"/>
      <c r="CA780" s="1640"/>
      <c r="CB780" s="1640"/>
      <c r="CC780" s="1641"/>
      <c r="CD780" s="1640"/>
      <c r="CE780" s="1640"/>
      <c r="CF780" s="1640"/>
      <c r="CG780" s="1642"/>
      <c r="CH780" s="1641">
        <f t="shared" si="504"/>
        <v>0</v>
      </c>
      <c r="CI780" s="1641">
        <f t="shared" si="504"/>
        <v>0</v>
      </c>
      <c r="CJ780" s="1641">
        <f t="shared" si="504"/>
        <v>0</v>
      </c>
      <c r="CK780" s="1641">
        <f t="shared" si="504"/>
        <v>0</v>
      </c>
      <c r="CL780" s="1889">
        <v>0</v>
      </c>
      <c r="CM780" s="1889">
        <v>0</v>
      </c>
      <c r="CN780" s="1889">
        <v>0</v>
      </c>
      <c r="CO780" s="1889">
        <v>0</v>
      </c>
      <c r="CP780" s="1641"/>
      <c r="CQ780" s="1640"/>
      <c r="CR780" s="1640"/>
      <c r="CS780" s="1640"/>
    </row>
    <row r="781" spans="1:107" ht="15" thickBot="1" x14ac:dyDescent="0.2">
      <c r="A781" s="1541" t="s">
        <v>86</v>
      </c>
      <c r="B781" s="1523" t="s">
        <v>79</v>
      </c>
      <c r="C781" s="1523" t="s">
        <v>80</v>
      </c>
      <c r="D781" s="1523" t="s">
        <v>125</v>
      </c>
      <c r="E781" s="1523" t="s">
        <v>216</v>
      </c>
      <c r="F781" s="1523"/>
      <c r="G781" s="1667">
        <v>222</v>
      </c>
      <c r="H781" s="1501"/>
      <c r="I781" s="1501"/>
      <c r="J781" s="1630"/>
      <c r="K781" s="1630"/>
      <c r="L781" s="1631"/>
      <c r="M781" s="1631"/>
      <c r="N781" s="1631"/>
      <c r="O781" s="1631"/>
      <c r="P781" s="1631"/>
      <c r="Q781" s="1631"/>
      <c r="R781" s="1631"/>
      <c r="S781" s="1631"/>
      <c r="T781" s="1632"/>
      <c r="U781" s="1633"/>
      <c r="V781" s="1633"/>
      <c r="W781" s="1634"/>
      <c r="X781" s="1634"/>
      <c r="Y781" s="1634"/>
      <c r="Z781" s="1635"/>
      <c r="AA781" s="1634">
        <f>AB781-Z781</f>
        <v>0</v>
      </c>
      <c r="AB781" s="1634"/>
      <c r="AC781" s="1508">
        <f t="shared" si="526"/>
        <v>0</v>
      </c>
      <c r="AD781" s="1509">
        <f t="shared" si="527"/>
        <v>0</v>
      </c>
      <c r="AE781" s="1509">
        <f t="shared" si="528"/>
        <v>0</v>
      </c>
      <c r="AF781" s="1509">
        <f t="shared" si="528"/>
        <v>0</v>
      </c>
      <c r="AG781" s="1509">
        <f t="shared" si="528"/>
        <v>0</v>
      </c>
      <c r="AH781" s="1490">
        <f t="shared" si="494"/>
        <v>0</v>
      </c>
      <c r="AI781" s="1636">
        <f t="shared" si="529"/>
        <v>0</v>
      </c>
      <c r="AJ781" s="1636">
        <f t="shared" si="530"/>
        <v>0</v>
      </c>
      <c r="AK781" s="1636">
        <f t="shared" si="531"/>
        <v>0</v>
      </c>
      <c r="AL781" s="1636">
        <f t="shared" si="515"/>
        <v>0</v>
      </c>
      <c r="AM781" s="1636">
        <f t="shared" si="515"/>
        <v>0</v>
      </c>
      <c r="AN781" s="1637"/>
      <c r="AO781" s="1722">
        <v>0</v>
      </c>
      <c r="AP781" s="1638"/>
      <c r="AQ781" s="1638"/>
      <c r="AR781" s="1638"/>
      <c r="AS781" s="1963">
        <v>0</v>
      </c>
      <c r="AT781" s="1638"/>
      <c r="AU781" s="1638"/>
      <c r="AV781" s="1638"/>
      <c r="AW781" s="1639"/>
      <c r="AX781" s="1640"/>
      <c r="AY781" s="1640"/>
      <c r="AZ781" s="1640"/>
      <c r="BA781" s="1641"/>
      <c r="BB781" s="1640"/>
      <c r="BC781" s="1640"/>
      <c r="BD781" s="1640"/>
      <c r="BE781" s="1644"/>
      <c r="BF781" s="1640"/>
      <c r="BG781" s="1640"/>
      <c r="BH781" s="1640"/>
      <c r="BI781" s="1641"/>
      <c r="BJ781" s="1640"/>
      <c r="BK781" s="1640"/>
      <c r="BL781" s="1640"/>
      <c r="BM781" s="1641"/>
      <c r="BN781" s="1640"/>
      <c r="BO781" s="1640"/>
      <c r="BP781" s="1640"/>
      <c r="BQ781" s="1641"/>
      <c r="BR781" s="1640"/>
      <c r="BS781" s="1640"/>
      <c r="BT781" s="1640"/>
      <c r="BU781" s="1641"/>
      <c r="BV781" s="1640"/>
      <c r="BW781" s="1640"/>
      <c r="BX781" s="1640"/>
      <c r="BY781" s="1641"/>
      <c r="BZ781" s="1640"/>
      <c r="CA781" s="1640"/>
      <c r="CB781" s="1640"/>
      <c r="CC781" s="1641"/>
      <c r="CD781" s="1640"/>
      <c r="CE781" s="1640"/>
      <c r="CF781" s="1640"/>
      <c r="CG781" s="1642"/>
      <c r="CH781" s="1641">
        <f t="shared" si="504"/>
        <v>0</v>
      </c>
      <c r="CI781" s="1641">
        <f t="shared" si="504"/>
        <v>0</v>
      </c>
      <c r="CJ781" s="1641">
        <f t="shared" si="504"/>
        <v>0</v>
      </c>
      <c r="CK781" s="1641">
        <f t="shared" si="504"/>
        <v>0</v>
      </c>
      <c r="CL781" s="1889">
        <v>0</v>
      </c>
      <c r="CM781" s="1889">
        <v>0</v>
      </c>
      <c r="CN781" s="1889">
        <v>0</v>
      </c>
      <c r="CO781" s="1889">
        <v>0</v>
      </c>
      <c r="CP781" s="1641"/>
      <c r="CQ781" s="1640"/>
      <c r="CR781" s="1640"/>
      <c r="CS781" s="1640"/>
    </row>
    <row r="782" spans="1:107" s="1559" customFormat="1" ht="15" thickBot="1" x14ac:dyDescent="0.2">
      <c r="A782" s="1541" t="s">
        <v>87</v>
      </c>
      <c r="B782" s="1523" t="s">
        <v>79</v>
      </c>
      <c r="C782" s="1523" t="s">
        <v>80</v>
      </c>
      <c r="D782" s="1523" t="s">
        <v>125</v>
      </c>
      <c r="E782" s="1523" t="s">
        <v>216</v>
      </c>
      <c r="F782" s="1523"/>
      <c r="G782" s="1667">
        <v>223</v>
      </c>
      <c r="H782" s="1501">
        <v>148.69999999999999</v>
      </c>
      <c r="I782" s="1501"/>
      <c r="J782" s="1630"/>
      <c r="K782" s="1630"/>
      <c r="L782" s="1631"/>
      <c r="M782" s="1631"/>
      <c r="N782" s="1631"/>
      <c r="O782" s="1631"/>
      <c r="P782" s="1631"/>
      <c r="Q782" s="1631"/>
      <c r="R782" s="1631"/>
      <c r="S782" s="1631"/>
      <c r="T782" s="1632"/>
      <c r="U782" s="1633"/>
      <c r="V782" s="1633"/>
      <c r="W782" s="1634"/>
      <c r="X782" s="1634"/>
      <c r="Y782" s="1634"/>
      <c r="Z782" s="1635"/>
      <c r="AA782" s="1634">
        <f>AB782-Z782</f>
        <v>0</v>
      </c>
      <c r="AB782" s="1634"/>
      <c r="AC782" s="1637">
        <f t="shared" si="526"/>
        <v>148.70000000000002</v>
      </c>
      <c r="AD782" s="1771">
        <f t="shared" si="527"/>
        <v>0</v>
      </c>
      <c r="AE782" s="1771">
        <f t="shared" si="528"/>
        <v>0</v>
      </c>
      <c r="AF782" s="1771">
        <f t="shared" si="528"/>
        <v>0</v>
      </c>
      <c r="AG782" s="1771">
        <f t="shared" si="528"/>
        <v>0</v>
      </c>
      <c r="AH782" s="1490">
        <f t="shared" si="494"/>
        <v>5.15</v>
      </c>
      <c r="AI782" s="1637">
        <f t="shared" si="529"/>
        <v>0</v>
      </c>
      <c r="AJ782" s="1637">
        <f t="shared" si="530"/>
        <v>0</v>
      </c>
      <c r="AK782" s="1637">
        <f t="shared" si="531"/>
        <v>0</v>
      </c>
      <c r="AL782" s="1636">
        <f t="shared" si="515"/>
        <v>0</v>
      </c>
      <c r="AM782" s="1637">
        <f t="shared" si="515"/>
        <v>0</v>
      </c>
      <c r="AN782" s="1637"/>
      <c r="AO782" s="1964">
        <v>12.4</v>
      </c>
      <c r="AP782" s="1753"/>
      <c r="AQ782" s="1753"/>
      <c r="AR782" s="1753"/>
      <c r="AS782" s="1963">
        <v>12.4</v>
      </c>
      <c r="AT782" s="1753"/>
      <c r="AU782" s="1753"/>
      <c r="AV782" s="1753"/>
      <c r="AW782" s="1641"/>
      <c r="AX782" s="1641"/>
      <c r="AY782" s="1641"/>
      <c r="AZ782" s="1641"/>
      <c r="BA782" s="1641"/>
      <c r="BB782" s="1641"/>
      <c r="BC782" s="1641"/>
      <c r="BD782" s="1641"/>
      <c r="BE782" s="1644">
        <v>28.1</v>
      </c>
      <c r="BF782" s="1641"/>
      <c r="BG782" s="1641"/>
      <c r="BH782" s="1641"/>
      <c r="BI782" s="1641">
        <v>14.05</v>
      </c>
      <c r="BJ782" s="1641"/>
      <c r="BK782" s="1641"/>
      <c r="BL782" s="1641"/>
      <c r="BM782" s="1641"/>
      <c r="BN782" s="1641"/>
      <c r="BO782" s="1641"/>
      <c r="BP782" s="1641"/>
      <c r="BQ782" s="1641">
        <f>40+14.1</f>
        <v>54.1</v>
      </c>
      <c r="BR782" s="1641"/>
      <c r="BS782" s="1641"/>
      <c r="BT782" s="1641"/>
      <c r="BU782" s="1641"/>
      <c r="BV782" s="1641"/>
      <c r="BW782" s="1641"/>
      <c r="BX782" s="1641"/>
      <c r="BY782" s="1641">
        <v>22.5</v>
      </c>
      <c r="BZ782" s="1641"/>
      <c r="CA782" s="1641"/>
      <c r="CB782" s="1641"/>
      <c r="CC782" s="1641"/>
      <c r="CD782" s="1641"/>
      <c r="CE782" s="1641"/>
      <c r="CF782" s="1641"/>
      <c r="CG782" s="1691"/>
      <c r="CH782" s="1641">
        <f t="shared" si="504"/>
        <v>5.15</v>
      </c>
      <c r="CI782" s="1641">
        <f t="shared" si="504"/>
        <v>0</v>
      </c>
      <c r="CJ782" s="1641">
        <f t="shared" si="504"/>
        <v>0</v>
      </c>
      <c r="CK782" s="1641">
        <f t="shared" si="504"/>
        <v>0</v>
      </c>
      <c r="CL782" s="1976">
        <v>5.15</v>
      </c>
      <c r="CM782" s="1976">
        <v>0</v>
      </c>
      <c r="CN782" s="1889">
        <v>0</v>
      </c>
      <c r="CO782" s="1976">
        <v>0</v>
      </c>
      <c r="CP782" s="1641"/>
      <c r="CQ782" s="1641"/>
      <c r="CR782" s="1641"/>
      <c r="CS782" s="1641"/>
      <c r="CT782" s="1558"/>
      <c r="CU782" s="1558"/>
      <c r="CV782" s="1558"/>
      <c r="CW782" s="1558"/>
      <c r="CY782" s="1558"/>
    </row>
    <row r="783" spans="1:107" ht="15" thickBot="1" x14ac:dyDescent="0.2">
      <c r="A783" s="1541" t="s">
        <v>134</v>
      </c>
      <c r="B783" s="1523" t="s">
        <v>79</v>
      </c>
      <c r="C783" s="1523" t="s">
        <v>80</v>
      </c>
      <c r="D783" s="1523" t="s">
        <v>125</v>
      </c>
      <c r="E783" s="1523" t="s">
        <v>216</v>
      </c>
      <c r="F783" s="1523"/>
      <c r="G783" s="1667">
        <v>224</v>
      </c>
      <c r="H783" s="1501">
        <v>160</v>
      </c>
      <c r="I783" s="1501"/>
      <c r="J783" s="1630"/>
      <c r="K783" s="1630"/>
      <c r="L783" s="1631"/>
      <c r="M783" s="1631"/>
      <c r="N783" s="1631"/>
      <c r="O783" s="1631"/>
      <c r="P783" s="1631"/>
      <c r="Q783" s="1631"/>
      <c r="R783" s="1631"/>
      <c r="S783" s="1631"/>
      <c r="T783" s="1632"/>
      <c r="U783" s="1633"/>
      <c r="V783" s="1633"/>
      <c r="W783" s="1634"/>
      <c r="X783" s="1634"/>
      <c r="Y783" s="1634"/>
      <c r="Z783" s="1635"/>
      <c r="AA783" s="1634">
        <f>AB783-Z783</f>
        <v>0</v>
      </c>
      <c r="AB783" s="1634"/>
      <c r="AC783" s="1508">
        <f t="shared" si="526"/>
        <v>160</v>
      </c>
      <c r="AD783" s="1509">
        <f t="shared" si="527"/>
        <v>0</v>
      </c>
      <c r="AE783" s="1509">
        <f t="shared" si="528"/>
        <v>0</v>
      </c>
      <c r="AF783" s="1509">
        <f t="shared" si="528"/>
        <v>0</v>
      </c>
      <c r="AG783" s="1509">
        <f t="shared" si="528"/>
        <v>0</v>
      </c>
      <c r="AH783" s="1490">
        <f t="shared" si="494"/>
        <v>133.4</v>
      </c>
      <c r="AI783" s="1636">
        <f t="shared" si="529"/>
        <v>0</v>
      </c>
      <c r="AJ783" s="1636">
        <f t="shared" si="530"/>
        <v>0</v>
      </c>
      <c r="AK783" s="1636">
        <f t="shared" si="531"/>
        <v>0</v>
      </c>
      <c r="AL783" s="1636">
        <f t="shared" si="515"/>
        <v>0</v>
      </c>
      <c r="AM783" s="1636">
        <f t="shared" si="515"/>
        <v>0</v>
      </c>
      <c r="AN783" s="1637"/>
      <c r="AO783" s="1722">
        <v>13.3</v>
      </c>
      <c r="AP783" s="1638"/>
      <c r="AQ783" s="1638"/>
      <c r="AR783" s="1638"/>
      <c r="AS783" s="1963">
        <v>13.3</v>
      </c>
      <c r="AT783" s="1638"/>
      <c r="AU783" s="1638"/>
      <c r="AV783" s="1638"/>
      <c r="AW783" s="1639"/>
      <c r="AX783" s="1640"/>
      <c r="AY783" s="1640"/>
      <c r="AZ783" s="1640"/>
      <c r="BA783" s="1641"/>
      <c r="BB783" s="1640"/>
      <c r="BC783" s="1640"/>
      <c r="BD783" s="1640"/>
      <c r="BE783" s="1644"/>
      <c r="BF783" s="1640"/>
      <c r="BG783" s="1640"/>
      <c r="BH783" s="1640"/>
      <c r="BI783" s="1641"/>
      <c r="BJ783" s="1640"/>
      <c r="BK783" s="1640"/>
      <c r="BL783" s="1640"/>
      <c r="BM783" s="1641"/>
      <c r="BN783" s="1640"/>
      <c r="BO783" s="1640"/>
      <c r="BP783" s="1640"/>
      <c r="BQ783" s="1641"/>
      <c r="BR783" s="1640"/>
      <c r="BS783" s="1640"/>
      <c r="BT783" s="1640"/>
      <c r="BU783" s="1641"/>
      <c r="BV783" s="1640"/>
      <c r="BW783" s="1640"/>
      <c r="BX783" s="1640"/>
      <c r="BY783" s="1641"/>
      <c r="BZ783" s="1640"/>
      <c r="CA783" s="1640"/>
      <c r="CB783" s="1640"/>
      <c r="CC783" s="1641"/>
      <c r="CD783" s="1640"/>
      <c r="CE783" s="1640"/>
      <c r="CF783" s="1640"/>
      <c r="CG783" s="1642"/>
      <c r="CH783" s="1641">
        <f t="shared" si="504"/>
        <v>133.4</v>
      </c>
      <c r="CI783" s="1641">
        <f t="shared" si="504"/>
        <v>0</v>
      </c>
      <c r="CJ783" s="1641">
        <f t="shared" si="504"/>
        <v>0</v>
      </c>
      <c r="CK783" s="1641">
        <f t="shared" si="504"/>
        <v>0</v>
      </c>
      <c r="CL783" s="1889">
        <v>133.4</v>
      </c>
      <c r="CM783" s="1889">
        <v>0</v>
      </c>
      <c r="CN783" s="1889">
        <v>0</v>
      </c>
      <c r="CO783" s="1889">
        <v>0</v>
      </c>
      <c r="CP783" s="1641"/>
      <c r="CQ783" s="1640"/>
      <c r="CR783" s="1640"/>
      <c r="CS783" s="1640"/>
    </row>
    <row r="784" spans="1:107" ht="15" thickBot="1" x14ac:dyDescent="0.2">
      <c r="A784" s="1541" t="s">
        <v>90</v>
      </c>
      <c r="B784" s="1523" t="s">
        <v>79</v>
      </c>
      <c r="C784" s="1523" t="s">
        <v>80</v>
      </c>
      <c r="D784" s="1523" t="s">
        <v>125</v>
      </c>
      <c r="E784" s="1523" t="s">
        <v>216</v>
      </c>
      <c r="F784" s="1523"/>
      <c r="G784" s="1667">
        <v>225</v>
      </c>
      <c r="H784" s="1501">
        <v>50</v>
      </c>
      <c r="I784" s="1501"/>
      <c r="J784" s="1630"/>
      <c r="K784" s="1630"/>
      <c r="L784" s="1631"/>
      <c r="M784" s="1631"/>
      <c r="N784" s="1631"/>
      <c r="O784" s="1631"/>
      <c r="P784" s="1631"/>
      <c r="Q784" s="1631"/>
      <c r="R784" s="1631"/>
      <c r="S784" s="1631"/>
      <c r="T784" s="1632"/>
      <c r="U784" s="1633"/>
      <c r="V784" s="1633"/>
      <c r="W784" s="1634"/>
      <c r="X784" s="1634"/>
      <c r="Y784" s="1634"/>
      <c r="Z784" s="1635"/>
      <c r="AA784" s="1634">
        <f t="shared" ref="AA784:AA803" si="532">AB784-Z784</f>
        <v>0</v>
      </c>
      <c r="AB784" s="1634"/>
      <c r="AC784" s="1508">
        <f t="shared" si="526"/>
        <v>50</v>
      </c>
      <c r="AD784" s="1509">
        <f t="shared" si="527"/>
        <v>0</v>
      </c>
      <c r="AE784" s="1509">
        <f t="shared" si="528"/>
        <v>0</v>
      </c>
      <c r="AF784" s="1509">
        <f t="shared" si="528"/>
        <v>0</v>
      </c>
      <c r="AG784" s="1509">
        <f t="shared" si="528"/>
        <v>0</v>
      </c>
      <c r="AH784" s="1490">
        <f t="shared" si="494"/>
        <v>0</v>
      </c>
      <c r="AI784" s="1636">
        <f t="shared" si="529"/>
        <v>0</v>
      </c>
      <c r="AJ784" s="1636">
        <f t="shared" si="530"/>
        <v>0</v>
      </c>
      <c r="AK784" s="1636">
        <f t="shared" si="531"/>
        <v>0</v>
      </c>
      <c r="AL784" s="1636">
        <f t="shared" si="515"/>
        <v>0</v>
      </c>
      <c r="AM784" s="1636">
        <f t="shared" si="515"/>
        <v>0</v>
      </c>
      <c r="AN784" s="1637"/>
      <c r="AO784" s="1723"/>
      <c r="AP784" s="1638"/>
      <c r="AQ784" s="1638"/>
      <c r="AR784" s="1638"/>
      <c r="AS784" s="1639"/>
      <c r="AT784" s="1638"/>
      <c r="AU784" s="1638"/>
      <c r="AV784" s="1638"/>
      <c r="AW784" s="1639"/>
      <c r="AX784" s="1640"/>
      <c r="AY784" s="1640"/>
      <c r="AZ784" s="1640"/>
      <c r="BA784" s="1641"/>
      <c r="BB784" s="1640"/>
      <c r="BC784" s="1640"/>
      <c r="BD784" s="1640"/>
      <c r="BE784" s="1644"/>
      <c r="BF784" s="1640"/>
      <c r="BG784" s="1640"/>
      <c r="BH784" s="1640"/>
      <c r="BI784" s="1641"/>
      <c r="BJ784" s="1640"/>
      <c r="BK784" s="1640"/>
      <c r="BL784" s="1640"/>
      <c r="BM784" s="1641"/>
      <c r="BN784" s="1640"/>
      <c r="BO784" s="1640"/>
      <c r="BP784" s="1640"/>
      <c r="BQ784" s="1641">
        <v>50</v>
      </c>
      <c r="BR784" s="1640"/>
      <c r="BS784" s="1640"/>
      <c r="BT784" s="1640"/>
      <c r="BU784" s="1641"/>
      <c r="BV784" s="1640"/>
      <c r="BW784" s="1640"/>
      <c r="BX784" s="1640"/>
      <c r="BY784" s="1641"/>
      <c r="BZ784" s="1640"/>
      <c r="CA784" s="1640"/>
      <c r="CB784" s="1640"/>
      <c r="CC784" s="1641"/>
      <c r="CD784" s="1640"/>
      <c r="CE784" s="1640"/>
      <c r="CF784" s="1640"/>
      <c r="CG784" s="1642"/>
      <c r="CH784" s="1641">
        <f t="shared" si="504"/>
        <v>0</v>
      </c>
      <c r="CI784" s="1641">
        <f t="shared" si="504"/>
        <v>0</v>
      </c>
      <c r="CJ784" s="1641">
        <f t="shared" si="504"/>
        <v>0</v>
      </c>
      <c r="CK784" s="1641">
        <f t="shared" si="504"/>
        <v>0</v>
      </c>
      <c r="CL784" s="1889">
        <v>0</v>
      </c>
      <c r="CM784" s="1889">
        <v>0</v>
      </c>
      <c r="CN784" s="1889">
        <v>0</v>
      </c>
      <c r="CO784" s="1889">
        <v>0</v>
      </c>
      <c r="CP784" s="1641"/>
      <c r="CQ784" s="1640"/>
      <c r="CR784" s="1640"/>
      <c r="CS784" s="1640"/>
    </row>
    <row r="785" spans="1:111" ht="15" thickBot="1" x14ac:dyDescent="0.2">
      <c r="A785" s="1541" t="s">
        <v>91</v>
      </c>
      <c r="B785" s="1523" t="s">
        <v>79</v>
      </c>
      <c r="C785" s="1523" t="s">
        <v>80</v>
      </c>
      <c r="D785" s="1523" t="s">
        <v>125</v>
      </c>
      <c r="E785" s="1523" t="s">
        <v>216</v>
      </c>
      <c r="F785" s="1523"/>
      <c r="G785" s="1667">
        <v>226</v>
      </c>
      <c r="H785" s="1501">
        <f>35+15</f>
        <v>50</v>
      </c>
      <c r="I785" s="1501">
        <f>2190-1089.243-U785+0.043-0.8</f>
        <v>6.1839422471621219E-14</v>
      </c>
      <c r="J785" s="1630"/>
      <c r="K785" s="1630"/>
      <c r="L785" s="1631"/>
      <c r="M785" s="1631"/>
      <c r="N785" s="1631"/>
      <c r="O785" s="1631"/>
      <c r="P785" s="1631"/>
      <c r="Q785" s="1631"/>
      <c r="R785" s="1631"/>
      <c r="S785" s="1631"/>
      <c r="T785" s="1632"/>
      <c r="U785" s="1633">
        <v>1100</v>
      </c>
      <c r="V785" s="1633"/>
      <c r="W785" s="1634"/>
      <c r="X785" s="1634"/>
      <c r="Y785" s="1634"/>
      <c r="Z785" s="1635"/>
      <c r="AA785" s="1634">
        <f t="shared" si="532"/>
        <v>0</v>
      </c>
      <c r="AB785" s="1634"/>
      <c r="AC785" s="1508">
        <f t="shared" si="526"/>
        <v>50</v>
      </c>
      <c r="AD785" s="1509">
        <f t="shared" si="527"/>
        <v>0</v>
      </c>
      <c r="AE785" s="1509">
        <f t="shared" si="528"/>
        <v>0</v>
      </c>
      <c r="AF785" s="1509">
        <f t="shared" si="528"/>
        <v>0</v>
      </c>
      <c r="AG785" s="1509">
        <f t="shared" si="528"/>
        <v>0</v>
      </c>
      <c r="AH785" s="1490">
        <f t="shared" si="494"/>
        <v>2.4500000000000002</v>
      </c>
      <c r="AI785" s="1636">
        <f t="shared" si="529"/>
        <v>0</v>
      </c>
      <c r="AJ785" s="1636">
        <f t="shared" si="530"/>
        <v>6.1839422471621219E-14</v>
      </c>
      <c r="AK785" s="1636">
        <f t="shared" si="531"/>
        <v>6.1839422471621219E-14</v>
      </c>
      <c r="AL785" s="1636">
        <f t="shared" si="515"/>
        <v>0</v>
      </c>
      <c r="AM785" s="1636">
        <f t="shared" si="515"/>
        <v>0</v>
      </c>
      <c r="AN785" s="1637"/>
      <c r="AO785" s="1723"/>
      <c r="AP785" s="1638"/>
      <c r="AQ785" s="1638"/>
      <c r="AR785" s="1638"/>
      <c r="AS785" s="1639"/>
      <c r="AT785" s="1638"/>
      <c r="AU785" s="1638"/>
      <c r="AV785" s="1638"/>
      <c r="AW785" s="1639"/>
      <c r="AX785" s="1640"/>
      <c r="AY785" s="1640"/>
      <c r="AZ785" s="1640"/>
      <c r="BA785" s="1641"/>
      <c r="BB785" s="1640"/>
      <c r="BC785" s="1640"/>
      <c r="BD785" s="1640"/>
      <c r="BE785" s="1644"/>
      <c r="BF785" s="1640"/>
      <c r="BG785" s="1640"/>
      <c r="BH785" s="1640"/>
      <c r="BI785" s="1641"/>
      <c r="BJ785" s="1640"/>
      <c r="BK785" s="1640"/>
      <c r="BL785" s="1640"/>
      <c r="BM785" s="1641">
        <v>12.5</v>
      </c>
      <c r="BN785" s="1640"/>
      <c r="BO785" s="1640"/>
      <c r="BP785" s="1640"/>
      <c r="BQ785" s="1641">
        <v>35.049999999999997</v>
      </c>
      <c r="BR785" s="1640"/>
      <c r="BS785" s="1640"/>
      <c r="BT785" s="1640"/>
      <c r="BU785" s="1641"/>
      <c r="BV785" s="1640"/>
      <c r="BW785" s="1640"/>
      <c r="BX785" s="1640"/>
      <c r="BY785" s="1641"/>
      <c r="BZ785" s="1640"/>
      <c r="CA785" s="1640"/>
      <c r="CB785" s="1640"/>
      <c r="CC785" s="1641"/>
      <c r="CD785" s="1640"/>
      <c r="CE785" s="1640"/>
      <c r="CF785" s="1640"/>
      <c r="CG785" s="1642"/>
      <c r="CH785" s="1641">
        <f t="shared" si="504"/>
        <v>2.4500000000000002</v>
      </c>
      <c r="CI785" s="1641">
        <f t="shared" si="504"/>
        <v>0</v>
      </c>
      <c r="CJ785" s="1641">
        <f t="shared" si="504"/>
        <v>0</v>
      </c>
      <c r="CK785" s="1641">
        <f t="shared" si="504"/>
        <v>0</v>
      </c>
      <c r="CL785" s="1889">
        <v>2.4500000000000002</v>
      </c>
      <c r="CM785" s="1889">
        <v>0</v>
      </c>
      <c r="CN785" s="1889">
        <v>0</v>
      </c>
      <c r="CO785" s="1889">
        <v>0</v>
      </c>
      <c r="CP785" s="1641"/>
      <c r="CQ785" s="1640"/>
      <c r="CR785" s="1640"/>
      <c r="CS785" s="1640"/>
    </row>
    <row r="786" spans="1:111" ht="15" thickBot="1" x14ac:dyDescent="0.2">
      <c r="A786" s="1541" t="s">
        <v>94</v>
      </c>
      <c r="B786" s="1523" t="s">
        <v>79</v>
      </c>
      <c r="C786" s="1523" t="s">
        <v>80</v>
      </c>
      <c r="D786" s="1523" t="s">
        <v>125</v>
      </c>
      <c r="E786" s="1523" t="s">
        <v>216</v>
      </c>
      <c r="F786" s="1523"/>
      <c r="G786" s="1667">
        <v>290</v>
      </c>
      <c r="H786" s="1501">
        <v>26.3</v>
      </c>
      <c r="I786" s="1501"/>
      <c r="J786" s="1630"/>
      <c r="K786" s="1630"/>
      <c r="L786" s="1631"/>
      <c r="M786" s="1631"/>
      <c r="N786" s="1631"/>
      <c r="O786" s="1631"/>
      <c r="P786" s="1631"/>
      <c r="Q786" s="1631"/>
      <c r="R786" s="1631"/>
      <c r="S786" s="1631"/>
      <c r="T786" s="1632"/>
      <c r="U786" s="1633"/>
      <c r="V786" s="1633"/>
      <c r="W786" s="1634"/>
      <c r="X786" s="1634"/>
      <c r="Y786" s="1634"/>
      <c r="Z786" s="1635"/>
      <c r="AA786" s="1634">
        <f t="shared" si="532"/>
        <v>0</v>
      </c>
      <c r="AB786" s="1634"/>
      <c r="AC786" s="1508">
        <f t="shared" si="526"/>
        <v>26.3</v>
      </c>
      <c r="AD786" s="1509">
        <f t="shared" si="527"/>
        <v>0</v>
      </c>
      <c r="AE786" s="1509">
        <f t="shared" si="528"/>
        <v>0</v>
      </c>
      <c r="AF786" s="1509">
        <f t="shared" si="528"/>
        <v>0</v>
      </c>
      <c r="AG786" s="1509">
        <f t="shared" si="528"/>
        <v>0</v>
      </c>
      <c r="AH786" s="1490">
        <f t="shared" si="494"/>
        <v>0</v>
      </c>
      <c r="AI786" s="1636">
        <f t="shared" si="529"/>
        <v>0</v>
      </c>
      <c r="AJ786" s="1636">
        <f t="shared" si="530"/>
        <v>0</v>
      </c>
      <c r="AK786" s="1636">
        <f t="shared" si="531"/>
        <v>0</v>
      </c>
      <c r="AL786" s="1636">
        <f t="shared" si="515"/>
        <v>0</v>
      </c>
      <c r="AM786" s="1636">
        <f t="shared" si="515"/>
        <v>0</v>
      </c>
      <c r="AN786" s="1637"/>
      <c r="AO786" s="1722">
        <v>2.2000000000000002</v>
      </c>
      <c r="AP786" s="1638"/>
      <c r="AQ786" s="1638"/>
      <c r="AR786" s="1638"/>
      <c r="AS786" s="1639"/>
      <c r="AT786" s="1638"/>
      <c r="AU786" s="1638"/>
      <c r="AV786" s="1638"/>
      <c r="AW786" s="1639"/>
      <c r="AX786" s="1640"/>
      <c r="AY786" s="1640"/>
      <c r="AZ786" s="1640"/>
      <c r="BA786" s="1641"/>
      <c r="BB786" s="1640"/>
      <c r="BC786" s="1640"/>
      <c r="BD786" s="1640"/>
      <c r="BE786" s="1644">
        <v>6.6</v>
      </c>
      <c r="BF786" s="1640"/>
      <c r="BG786" s="1640"/>
      <c r="BH786" s="1640"/>
      <c r="BI786" s="1641"/>
      <c r="BJ786" s="1640"/>
      <c r="BK786" s="1640"/>
      <c r="BL786" s="1640"/>
      <c r="BM786" s="1641"/>
      <c r="BN786" s="1640"/>
      <c r="BO786" s="1640"/>
      <c r="BP786" s="1640"/>
      <c r="BQ786" s="1641"/>
      <c r="BR786" s="1640"/>
      <c r="BS786" s="1640"/>
      <c r="BT786" s="1640"/>
      <c r="BU786" s="1641">
        <v>17.5</v>
      </c>
      <c r="BV786" s="1640"/>
      <c r="BW786" s="1640"/>
      <c r="BX786" s="1640"/>
      <c r="BY786" s="1641"/>
      <c r="BZ786" s="1640"/>
      <c r="CA786" s="1640"/>
      <c r="CB786" s="1640"/>
      <c r="CC786" s="1641"/>
      <c r="CD786" s="1640"/>
      <c r="CE786" s="1640"/>
      <c r="CF786" s="1640"/>
      <c r="CG786" s="1642"/>
      <c r="CH786" s="1641">
        <f t="shared" si="504"/>
        <v>0</v>
      </c>
      <c r="CI786" s="1641">
        <f t="shared" si="504"/>
        <v>0</v>
      </c>
      <c r="CJ786" s="1641">
        <f t="shared" si="504"/>
        <v>0</v>
      </c>
      <c r="CK786" s="1641">
        <f t="shared" si="504"/>
        <v>0</v>
      </c>
      <c r="CL786" s="1889">
        <v>0</v>
      </c>
      <c r="CM786" s="1889">
        <v>0</v>
      </c>
      <c r="CN786" s="1889">
        <v>0</v>
      </c>
      <c r="CO786" s="1889">
        <v>0</v>
      </c>
      <c r="CP786" s="1641"/>
      <c r="CQ786" s="1640"/>
      <c r="CR786" s="1640"/>
      <c r="CS786" s="1640"/>
    </row>
    <row r="787" spans="1:111" ht="15" thickBot="1" x14ac:dyDescent="0.2">
      <c r="A787" s="1541" t="s">
        <v>94</v>
      </c>
      <c r="B787" s="1523" t="s">
        <v>79</v>
      </c>
      <c r="C787" s="1523" t="s">
        <v>80</v>
      </c>
      <c r="D787" s="1523" t="s">
        <v>125</v>
      </c>
      <c r="E787" s="1523" t="s">
        <v>216</v>
      </c>
      <c r="F787" s="1523"/>
      <c r="G787" s="1667" t="s">
        <v>95</v>
      </c>
      <c r="H787" s="1501"/>
      <c r="I787" s="1501"/>
      <c r="J787" s="1630"/>
      <c r="K787" s="1630"/>
      <c r="L787" s="1631"/>
      <c r="M787" s="1631"/>
      <c r="N787" s="1631"/>
      <c r="O787" s="1631"/>
      <c r="P787" s="1631"/>
      <c r="Q787" s="1631"/>
      <c r="R787" s="1631"/>
      <c r="S787" s="1631"/>
      <c r="T787" s="1632"/>
      <c r="U787" s="1633"/>
      <c r="V787" s="1633"/>
      <c r="W787" s="1634"/>
      <c r="X787" s="1634"/>
      <c r="Y787" s="1634"/>
      <c r="Z787" s="1635"/>
      <c r="AA787" s="1634">
        <f t="shared" si="532"/>
        <v>0</v>
      </c>
      <c r="AB787" s="1634"/>
      <c r="AC787" s="1508">
        <f t="shared" si="526"/>
        <v>0</v>
      </c>
      <c r="AD787" s="1509">
        <f t="shared" si="527"/>
        <v>0</v>
      </c>
      <c r="AE787" s="1509">
        <f t="shared" si="528"/>
        <v>0</v>
      </c>
      <c r="AF787" s="1509">
        <f t="shared" si="528"/>
        <v>0</v>
      </c>
      <c r="AG787" s="1509">
        <f t="shared" si="528"/>
        <v>0</v>
      </c>
      <c r="AH787" s="1490">
        <f t="shared" si="494"/>
        <v>0</v>
      </c>
      <c r="AI787" s="1636">
        <f t="shared" si="529"/>
        <v>0</v>
      </c>
      <c r="AJ787" s="1636">
        <f t="shared" si="530"/>
        <v>0</v>
      </c>
      <c r="AK787" s="1636">
        <f t="shared" si="531"/>
        <v>0</v>
      </c>
      <c r="AL787" s="1636">
        <f t="shared" si="515"/>
        <v>0</v>
      </c>
      <c r="AM787" s="1636">
        <f t="shared" si="515"/>
        <v>0</v>
      </c>
      <c r="AN787" s="1637"/>
      <c r="AO787" s="1722">
        <v>0</v>
      </c>
      <c r="AP787" s="1638"/>
      <c r="AQ787" s="1638"/>
      <c r="AR787" s="1638"/>
      <c r="AS787" s="1639"/>
      <c r="AT787" s="1638"/>
      <c r="AU787" s="1638"/>
      <c r="AV787" s="1638"/>
      <c r="AW787" s="1639"/>
      <c r="AX787" s="1640"/>
      <c r="AY787" s="1640"/>
      <c r="AZ787" s="1640"/>
      <c r="BA787" s="1641"/>
      <c r="BB787" s="1640"/>
      <c r="BC787" s="1640"/>
      <c r="BD787" s="1640"/>
      <c r="BE787" s="1644"/>
      <c r="BF787" s="1640"/>
      <c r="BG787" s="1640"/>
      <c r="BH787" s="1640"/>
      <c r="BI787" s="1641"/>
      <c r="BJ787" s="1640"/>
      <c r="BK787" s="1640"/>
      <c r="BL787" s="1640"/>
      <c r="BM787" s="1641"/>
      <c r="BN787" s="1640"/>
      <c r="BO787" s="1640"/>
      <c r="BP787" s="1640"/>
      <c r="BQ787" s="1641"/>
      <c r="BR787" s="1640"/>
      <c r="BS787" s="1640"/>
      <c r="BT787" s="1640"/>
      <c r="BU787" s="1641"/>
      <c r="BV787" s="1640"/>
      <c r="BW787" s="1640"/>
      <c r="BX787" s="1640"/>
      <c r="BY787" s="1641"/>
      <c r="BZ787" s="1640"/>
      <c r="CA787" s="1640"/>
      <c r="CB787" s="1640"/>
      <c r="CC787" s="1641"/>
      <c r="CD787" s="1640"/>
      <c r="CE787" s="1640"/>
      <c r="CF787" s="1640"/>
      <c r="CG787" s="1642"/>
      <c r="CH787" s="1641">
        <f t="shared" si="504"/>
        <v>0</v>
      </c>
      <c r="CI787" s="1641">
        <f t="shared" si="504"/>
        <v>0</v>
      </c>
      <c r="CJ787" s="1641">
        <f t="shared" si="504"/>
        <v>0</v>
      </c>
      <c r="CK787" s="1641">
        <f t="shared" si="504"/>
        <v>0</v>
      </c>
      <c r="CL787" s="1889">
        <v>0</v>
      </c>
      <c r="CM787" s="1889">
        <v>0</v>
      </c>
      <c r="CN787" s="1889">
        <v>0</v>
      </c>
      <c r="CO787" s="1889">
        <v>0</v>
      </c>
      <c r="CP787" s="1641"/>
      <c r="CQ787" s="1640"/>
      <c r="CR787" s="1640"/>
      <c r="CS787" s="1640"/>
    </row>
    <row r="788" spans="1:111" ht="15" thickBot="1" x14ac:dyDescent="0.2">
      <c r="A788" s="1541" t="s">
        <v>96</v>
      </c>
      <c r="B788" s="1523" t="s">
        <v>79</v>
      </c>
      <c r="C788" s="1523" t="s">
        <v>80</v>
      </c>
      <c r="D788" s="1523" t="s">
        <v>125</v>
      </c>
      <c r="E788" s="1523" t="s">
        <v>216</v>
      </c>
      <c r="F788" s="1523"/>
      <c r="G788" s="1667">
        <v>310</v>
      </c>
      <c r="H788" s="1501">
        <v>100</v>
      </c>
      <c r="I788" s="1501">
        <f>4100-125-86.2</f>
        <v>3888.8</v>
      </c>
      <c r="J788" s="1630"/>
      <c r="K788" s="1630">
        <f>500-U788</f>
        <v>0</v>
      </c>
      <c r="L788" s="1631"/>
      <c r="M788" s="1631"/>
      <c r="N788" s="1631"/>
      <c r="O788" s="1631"/>
      <c r="P788" s="1631"/>
      <c r="Q788" s="1631"/>
      <c r="R788" s="1631"/>
      <c r="S788" s="1631"/>
      <c r="T788" s="1632"/>
      <c r="U788" s="1633">
        <v>500</v>
      </c>
      <c r="V788" s="1633"/>
      <c r="W788" s="1634"/>
      <c r="X788" s="1634"/>
      <c r="Y788" s="1634"/>
      <c r="Z788" s="1635"/>
      <c r="AA788" s="1634">
        <f t="shared" si="532"/>
        <v>0</v>
      </c>
      <c r="AB788" s="1634"/>
      <c r="AC788" s="1508">
        <f t="shared" si="526"/>
        <v>100</v>
      </c>
      <c r="AD788" s="1509">
        <f t="shared" si="527"/>
        <v>3888.8</v>
      </c>
      <c r="AE788" s="1509">
        <f t="shared" si="528"/>
        <v>3888.8</v>
      </c>
      <c r="AF788" s="1509">
        <f t="shared" si="528"/>
        <v>0</v>
      </c>
      <c r="AG788" s="1509">
        <f t="shared" si="528"/>
        <v>0</v>
      </c>
      <c r="AH788" s="1490">
        <f t="shared" si="494"/>
        <v>0</v>
      </c>
      <c r="AI788" s="1636">
        <f t="shared" si="529"/>
        <v>0</v>
      </c>
      <c r="AJ788" s="1636">
        <f t="shared" si="530"/>
        <v>0</v>
      </c>
      <c r="AK788" s="1636">
        <f t="shared" si="531"/>
        <v>0</v>
      </c>
      <c r="AL788" s="1636">
        <f t="shared" si="515"/>
        <v>0</v>
      </c>
      <c r="AM788" s="1636">
        <f t="shared" si="515"/>
        <v>0</v>
      </c>
      <c r="AN788" s="1637"/>
      <c r="AO788" s="1723"/>
      <c r="AP788" s="1638"/>
      <c r="AQ788" s="1638"/>
      <c r="AR788" s="1638"/>
      <c r="AS788" s="1639"/>
      <c r="AT788" s="1638"/>
      <c r="AU788" s="1638"/>
      <c r="AV788" s="1638"/>
      <c r="AW788" s="1639"/>
      <c r="AX788" s="1640"/>
      <c r="AY788" s="1640"/>
      <c r="AZ788" s="1640"/>
      <c r="BA788" s="1641"/>
      <c r="BB788" s="1640"/>
      <c r="BC788" s="1640"/>
      <c r="BD788" s="1640"/>
      <c r="BE788" s="1644"/>
      <c r="BF788" s="1640"/>
      <c r="BG788" s="1640"/>
      <c r="BH788" s="1640"/>
      <c r="BI788" s="1641">
        <v>100</v>
      </c>
      <c r="BJ788" s="1640"/>
      <c r="BK788" s="1640"/>
      <c r="BL788" s="1640"/>
      <c r="BM788" s="1641"/>
      <c r="BN788" s="1640"/>
      <c r="BO788" s="1640"/>
      <c r="BP788" s="1640"/>
      <c r="BQ788" s="1641"/>
      <c r="BR788" s="1640"/>
      <c r="BS788" s="1640"/>
      <c r="BT788" s="1640"/>
      <c r="BU788" s="1641"/>
      <c r="BV788" s="1640"/>
      <c r="BW788" s="1640"/>
      <c r="BX788" s="1640"/>
      <c r="BY788" s="1641"/>
      <c r="BZ788" s="1640"/>
      <c r="CA788" s="1640"/>
      <c r="CB788" s="1640"/>
      <c r="CC788" s="1641"/>
      <c r="CD788" s="1640"/>
      <c r="CE788" s="1640"/>
      <c r="CF788" s="1640"/>
      <c r="CG788" s="1691"/>
      <c r="CH788" s="1641">
        <f t="shared" si="504"/>
        <v>0</v>
      </c>
      <c r="CI788" s="1641">
        <f t="shared" si="504"/>
        <v>3888.8</v>
      </c>
      <c r="CJ788" s="1641">
        <f t="shared" si="504"/>
        <v>0</v>
      </c>
      <c r="CK788" s="1641">
        <f t="shared" si="504"/>
        <v>0</v>
      </c>
      <c r="CL788" s="1889">
        <v>0</v>
      </c>
      <c r="CM788" s="1889">
        <v>0</v>
      </c>
      <c r="CN788" s="1889">
        <v>0</v>
      </c>
      <c r="CO788" s="1889">
        <v>0</v>
      </c>
      <c r="CP788" s="1641"/>
      <c r="CQ788" s="1640">
        <v>3888.8</v>
      </c>
      <c r="CR788" s="1640"/>
      <c r="CS788" s="1640"/>
    </row>
    <row r="789" spans="1:111" ht="15" thickBot="1" x14ac:dyDescent="0.2">
      <c r="A789" s="1541" t="s">
        <v>97</v>
      </c>
      <c r="B789" s="1523" t="s">
        <v>79</v>
      </c>
      <c r="C789" s="1523" t="s">
        <v>80</v>
      </c>
      <c r="D789" s="1523" t="s">
        <v>125</v>
      </c>
      <c r="E789" s="1523" t="s">
        <v>216</v>
      </c>
      <c r="F789" s="1523"/>
      <c r="G789" s="1667">
        <v>340</v>
      </c>
      <c r="H789" s="1501">
        <v>200</v>
      </c>
      <c r="I789" s="1501"/>
      <c r="J789" s="1630"/>
      <c r="K789" s="1630"/>
      <c r="L789" s="1631"/>
      <c r="M789" s="1631"/>
      <c r="N789" s="1631"/>
      <c r="O789" s="1631"/>
      <c r="P789" s="1631"/>
      <c r="Q789" s="1631"/>
      <c r="R789" s="1631"/>
      <c r="S789" s="1631"/>
      <c r="T789" s="1632"/>
      <c r="U789" s="1633"/>
      <c r="V789" s="1633"/>
      <c r="W789" s="1634"/>
      <c r="X789" s="1634"/>
      <c r="Y789" s="1634"/>
      <c r="Z789" s="1635"/>
      <c r="AA789" s="1634">
        <f t="shared" si="532"/>
        <v>0</v>
      </c>
      <c r="AB789" s="1634"/>
      <c r="AC789" s="1508">
        <f t="shared" si="526"/>
        <v>200</v>
      </c>
      <c r="AD789" s="1509">
        <f t="shared" si="527"/>
        <v>0</v>
      </c>
      <c r="AE789" s="1509">
        <f t="shared" si="528"/>
        <v>0</v>
      </c>
      <c r="AF789" s="1509">
        <f t="shared" si="528"/>
        <v>0</v>
      </c>
      <c r="AG789" s="1509">
        <f t="shared" si="528"/>
        <v>0</v>
      </c>
      <c r="AH789" s="1490">
        <f t="shared" si="494"/>
        <v>0</v>
      </c>
      <c r="AI789" s="1636">
        <f t="shared" si="529"/>
        <v>0</v>
      </c>
      <c r="AJ789" s="1636">
        <f t="shared" si="530"/>
        <v>0</v>
      </c>
      <c r="AK789" s="1636">
        <f t="shared" si="531"/>
        <v>0</v>
      </c>
      <c r="AL789" s="1636">
        <f t="shared" si="515"/>
        <v>0</v>
      </c>
      <c r="AM789" s="1636">
        <f t="shared" si="515"/>
        <v>0</v>
      </c>
      <c r="AN789" s="1637"/>
      <c r="AO789" s="1722">
        <v>12.5</v>
      </c>
      <c r="AP789" s="1638"/>
      <c r="AQ789" s="1638"/>
      <c r="AR789" s="1638"/>
      <c r="AS789" s="1639"/>
      <c r="AT789" s="1638"/>
      <c r="AU789" s="1638"/>
      <c r="AV789" s="1638"/>
      <c r="AW789" s="1639"/>
      <c r="AX789" s="1640"/>
      <c r="AY789" s="1640"/>
      <c r="AZ789" s="1640"/>
      <c r="BA789" s="1641"/>
      <c r="BB789" s="1640"/>
      <c r="BC789" s="1640"/>
      <c r="BD789" s="1640"/>
      <c r="BE789" s="1644"/>
      <c r="BF789" s="1640"/>
      <c r="BG789" s="1640"/>
      <c r="BH789" s="1640"/>
      <c r="BI789" s="1641"/>
      <c r="BJ789" s="1640"/>
      <c r="BK789" s="1640"/>
      <c r="BL789" s="1640"/>
      <c r="BM789" s="1641">
        <v>187.5</v>
      </c>
      <c r="BN789" s="1640"/>
      <c r="BO789" s="1640"/>
      <c r="BP789" s="1640"/>
      <c r="BQ789" s="1641"/>
      <c r="BR789" s="1640"/>
      <c r="BS789" s="1640"/>
      <c r="BT789" s="1640"/>
      <c r="BU789" s="1641"/>
      <c r="BV789" s="1640"/>
      <c r="BW789" s="1640"/>
      <c r="BX789" s="1640"/>
      <c r="BY789" s="1641"/>
      <c r="BZ789" s="1640"/>
      <c r="CA789" s="1640"/>
      <c r="CB789" s="1640"/>
      <c r="CC789" s="1641"/>
      <c r="CD789" s="1640"/>
      <c r="CE789" s="1640"/>
      <c r="CF789" s="1640"/>
      <c r="CG789" s="1642"/>
      <c r="CH789" s="1641">
        <f t="shared" si="504"/>
        <v>0</v>
      </c>
      <c r="CI789" s="1641">
        <f t="shared" si="504"/>
        <v>0</v>
      </c>
      <c r="CJ789" s="1641">
        <f t="shared" si="504"/>
        <v>0</v>
      </c>
      <c r="CK789" s="1641">
        <f t="shared" si="504"/>
        <v>0</v>
      </c>
      <c r="CL789" s="1889">
        <v>0</v>
      </c>
      <c r="CM789" s="1889">
        <v>0</v>
      </c>
      <c r="CN789" s="1889">
        <v>0</v>
      </c>
      <c r="CO789" s="1889">
        <v>0</v>
      </c>
      <c r="CP789" s="1641"/>
      <c r="CQ789" s="1640"/>
      <c r="CR789" s="1640"/>
      <c r="CS789" s="1640"/>
    </row>
    <row r="790" spans="1:111" ht="15" thickBot="1" x14ac:dyDescent="0.2">
      <c r="A790" s="1528" t="s">
        <v>767</v>
      </c>
      <c r="B790" s="1530" t="s">
        <v>79</v>
      </c>
      <c r="C790" s="1530" t="s">
        <v>80</v>
      </c>
      <c r="D790" s="1530" t="s">
        <v>125</v>
      </c>
      <c r="E790" s="1530" t="s">
        <v>216</v>
      </c>
      <c r="F790" s="1530">
        <v>612</v>
      </c>
      <c r="G790" s="1687" t="s">
        <v>766</v>
      </c>
      <c r="H790" s="1647">
        <f>I776</f>
        <v>3888.8</v>
      </c>
      <c r="I790" s="1645"/>
      <c r="J790" s="1630"/>
      <c r="K790" s="1630"/>
      <c r="L790" s="1631"/>
      <c r="M790" s="1631"/>
      <c r="N790" s="1631"/>
      <c r="O790" s="1631"/>
      <c r="P790" s="1631"/>
      <c r="Q790" s="1631"/>
      <c r="R790" s="1631"/>
      <c r="S790" s="1631"/>
      <c r="T790" s="1632"/>
      <c r="U790" s="1633"/>
      <c r="V790" s="1633"/>
      <c r="W790" s="1634"/>
      <c r="X790" s="1634"/>
      <c r="Y790" s="1634"/>
      <c r="Z790" s="1635"/>
      <c r="AA790" s="1634">
        <f t="shared" si="532"/>
        <v>0</v>
      </c>
      <c r="AB790" s="1634"/>
      <c r="AC790" s="1508"/>
      <c r="AD790" s="1509"/>
      <c r="AE790" s="1509"/>
      <c r="AF790" s="1509"/>
      <c r="AG790" s="1509"/>
      <c r="AH790" s="1490">
        <f t="shared" ref="AH790:AH853" si="533">CG790+CL790</f>
        <v>0</v>
      </c>
      <c r="AI790" s="1636"/>
      <c r="AJ790" s="1636"/>
      <c r="AK790" s="1636"/>
      <c r="AL790" s="1636">
        <f t="shared" si="515"/>
        <v>0</v>
      </c>
      <c r="AM790" s="1636"/>
      <c r="AN790" s="1712"/>
      <c r="AO790" s="1713"/>
      <c r="AP790" s="1638"/>
      <c r="AQ790" s="1638"/>
      <c r="AR790" s="1638"/>
      <c r="AS790" s="1639"/>
      <c r="AT790" s="1638"/>
      <c r="AU790" s="1638"/>
      <c r="AV790" s="1638"/>
      <c r="AW790" s="1639"/>
      <c r="AX790" s="1640"/>
      <c r="AY790" s="1640"/>
      <c r="AZ790" s="1640"/>
      <c r="BA790" s="1641"/>
      <c r="BB790" s="1640"/>
      <c r="BC790" s="1640"/>
      <c r="BD790" s="1640"/>
      <c r="BE790" s="1644"/>
      <c r="BF790" s="1640"/>
      <c r="BG790" s="1640"/>
      <c r="BH790" s="1640"/>
      <c r="BI790" s="1641"/>
      <c r="BJ790" s="1640"/>
      <c r="BK790" s="1640"/>
      <c r="BL790" s="1640"/>
      <c r="BM790" s="1641"/>
      <c r="BN790" s="1640"/>
      <c r="BO790" s="1640"/>
      <c r="BP790" s="1640"/>
      <c r="BQ790" s="1641"/>
      <c r="BR790" s="1640"/>
      <c r="BS790" s="1640"/>
      <c r="BT790" s="1640"/>
      <c r="BU790" s="1641"/>
      <c r="BV790" s="1640"/>
      <c r="BW790" s="1640"/>
      <c r="BX790" s="1640"/>
      <c r="BY790" s="1641"/>
      <c r="BZ790" s="1640"/>
      <c r="CA790" s="1640"/>
      <c r="CB790" s="1640"/>
      <c r="CC790" s="1641"/>
      <c r="CD790" s="1640"/>
      <c r="CE790" s="1640"/>
      <c r="CF790" s="1640"/>
      <c r="CG790" s="1642"/>
      <c r="CH790" s="1641">
        <f t="shared" si="504"/>
        <v>0</v>
      </c>
      <c r="CI790" s="1641">
        <f t="shared" si="504"/>
        <v>0</v>
      </c>
      <c r="CJ790" s="1641">
        <f t="shared" si="504"/>
        <v>0</v>
      </c>
      <c r="CK790" s="1641">
        <f t="shared" si="504"/>
        <v>0</v>
      </c>
      <c r="CL790" s="1898"/>
      <c r="CM790" s="1898"/>
      <c r="CN790" s="1889">
        <v>0</v>
      </c>
      <c r="CO790" s="1898"/>
      <c r="CP790" s="1641"/>
      <c r="CQ790" s="1640"/>
      <c r="CR790" s="1640"/>
      <c r="CS790" s="1640"/>
    </row>
    <row r="791" spans="1:111" s="1886" customFormat="1" ht="38.25" customHeight="1" thickBot="1" x14ac:dyDescent="0.2">
      <c r="A791" s="1873" t="s">
        <v>1293</v>
      </c>
      <c r="B791" s="1941" t="s">
        <v>79</v>
      </c>
      <c r="C791" s="1941" t="s">
        <v>80</v>
      </c>
      <c r="D791" s="1941" t="s">
        <v>125</v>
      </c>
      <c r="E791" s="1941" t="s">
        <v>216</v>
      </c>
      <c r="F791" s="1941">
        <v>600</v>
      </c>
      <c r="G791" s="1874"/>
      <c r="H791" s="1606">
        <f>H792+H806</f>
        <v>12716.400000000001</v>
      </c>
      <c r="I791" s="1606">
        <f>I792+I806</f>
        <v>0</v>
      </c>
      <c r="J791" s="1606">
        <f>J792+J806</f>
        <v>217.11</v>
      </c>
      <c r="K791" s="1606">
        <f>K792+K806</f>
        <v>0</v>
      </c>
      <c r="L791" s="1607"/>
      <c r="M791" s="1607"/>
      <c r="N791" s="1607"/>
      <c r="O791" s="1607"/>
      <c r="P791" s="1607"/>
      <c r="Q791" s="1607"/>
      <c r="R791" s="1607"/>
      <c r="S791" s="1607"/>
      <c r="T791" s="1608"/>
      <c r="U791" s="1609"/>
      <c r="V791" s="1609"/>
      <c r="W791" s="1610"/>
      <c r="X791" s="1610"/>
      <c r="Y791" s="1610"/>
      <c r="Z791" s="1611"/>
      <c r="AA791" s="1634">
        <f t="shared" si="532"/>
        <v>0</v>
      </c>
      <c r="AB791" s="1610"/>
      <c r="AC791" s="1612">
        <f t="shared" ref="AC791:CF791" si="534">AC792+AC806</f>
        <v>12716.400000000001</v>
      </c>
      <c r="AD791" s="1612">
        <f t="shared" si="534"/>
        <v>217.11</v>
      </c>
      <c r="AE791" s="1612">
        <f t="shared" si="534"/>
        <v>0</v>
      </c>
      <c r="AF791" s="1612">
        <f t="shared" si="534"/>
        <v>217.11</v>
      </c>
      <c r="AG791" s="1612">
        <f t="shared" si="534"/>
        <v>0</v>
      </c>
      <c r="AH791" s="1490">
        <f t="shared" si="533"/>
        <v>212.77</v>
      </c>
      <c r="AI791" s="1613">
        <f t="shared" si="534"/>
        <v>0</v>
      </c>
      <c r="AJ791" s="1613">
        <f t="shared" si="534"/>
        <v>0</v>
      </c>
      <c r="AK791" s="1613">
        <f t="shared" si="534"/>
        <v>0</v>
      </c>
      <c r="AL791" s="1636">
        <f t="shared" ref="AL791:AM822" si="535">J791-AF791</f>
        <v>0</v>
      </c>
      <c r="AM791" s="1613">
        <f t="shared" si="534"/>
        <v>0</v>
      </c>
      <c r="AN791" s="1614"/>
      <c r="AO791" s="1606">
        <f t="shared" si="534"/>
        <v>557.90000000000009</v>
      </c>
      <c r="AP791" s="1606">
        <f t="shared" si="534"/>
        <v>0</v>
      </c>
      <c r="AQ791" s="1606">
        <f t="shared" si="534"/>
        <v>0</v>
      </c>
      <c r="AR791" s="1606">
        <f t="shared" si="534"/>
        <v>0</v>
      </c>
      <c r="AS791" s="1611">
        <f t="shared" si="534"/>
        <v>556.80000000000007</v>
      </c>
      <c r="AT791" s="1606">
        <f t="shared" si="534"/>
        <v>0</v>
      </c>
      <c r="AU791" s="1606">
        <f t="shared" si="534"/>
        <v>0</v>
      </c>
      <c r="AV791" s="1606">
        <f t="shared" si="534"/>
        <v>0</v>
      </c>
      <c r="AW791" s="1611">
        <f t="shared" si="534"/>
        <v>550.1</v>
      </c>
      <c r="AX791" s="1606">
        <f t="shared" si="534"/>
        <v>0</v>
      </c>
      <c r="AY791" s="1606">
        <f t="shared" si="534"/>
        <v>0</v>
      </c>
      <c r="AZ791" s="1606">
        <f t="shared" si="534"/>
        <v>0</v>
      </c>
      <c r="BA791" s="1614">
        <f t="shared" si="534"/>
        <v>1550.1</v>
      </c>
      <c r="BB791" s="1606">
        <f t="shared" si="534"/>
        <v>0</v>
      </c>
      <c r="BC791" s="1606">
        <f t="shared" si="534"/>
        <v>0</v>
      </c>
      <c r="BD791" s="1606">
        <f t="shared" si="534"/>
        <v>0</v>
      </c>
      <c r="BE791" s="1615">
        <f t="shared" si="534"/>
        <v>568.6</v>
      </c>
      <c r="BF791" s="1606">
        <f t="shared" si="534"/>
        <v>0</v>
      </c>
      <c r="BG791" s="1606">
        <f t="shared" si="534"/>
        <v>0</v>
      </c>
      <c r="BH791" s="1606">
        <f t="shared" si="534"/>
        <v>0</v>
      </c>
      <c r="BI791" s="1614">
        <f t="shared" si="534"/>
        <v>4155.4709999999995</v>
      </c>
      <c r="BJ791" s="1606">
        <f t="shared" si="534"/>
        <v>0</v>
      </c>
      <c r="BK791" s="1606">
        <f t="shared" si="534"/>
        <v>0</v>
      </c>
      <c r="BL791" s="1606">
        <f t="shared" si="534"/>
        <v>0</v>
      </c>
      <c r="BM791" s="1614">
        <f t="shared" si="534"/>
        <v>431.32900000000001</v>
      </c>
      <c r="BN791" s="1606">
        <f t="shared" si="534"/>
        <v>0</v>
      </c>
      <c r="BO791" s="1606">
        <f t="shared" si="534"/>
        <v>0</v>
      </c>
      <c r="BP791" s="1606">
        <f t="shared" si="534"/>
        <v>0</v>
      </c>
      <c r="BQ791" s="1614">
        <f t="shared" si="534"/>
        <v>756.73</v>
      </c>
      <c r="BR791" s="1606">
        <f t="shared" si="534"/>
        <v>0</v>
      </c>
      <c r="BS791" s="1606">
        <f t="shared" si="534"/>
        <v>0</v>
      </c>
      <c r="BT791" s="1606">
        <f t="shared" si="534"/>
        <v>0</v>
      </c>
      <c r="BU791" s="1614">
        <f t="shared" si="534"/>
        <v>1875.1</v>
      </c>
      <c r="BV791" s="1606">
        <f t="shared" si="534"/>
        <v>0</v>
      </c>
      <c r="BW791" s="1606">
        <f t="shared" si="534"/>
        <v>0</v>
      </c>
      <c r="BX791" s="1606">
        <f t="shared" si="534"/>
        <v>0</v>
      </c>
      <c r="BY791" s="1614">
        <f t="shared" si="534"/>
        <v>602.1</v>
      </c>
      <c r="BZ791" s="1606">
        <f t="shared" si="534"/>
        <v>0</v>
      </c>
      <c r="CA791" s="1606">
        <f t="shared" si="534"/>
        <v>0</v>
      </c>
      <c r="CB791" s="1606">
        <f t="shared" si="534"/>
        <v>0</v>
      </c>
      <c r="CC791" s="1614">
        <f t="shared" si="534"/>
        <v>899.40000000000009</v>
      </c>
      <c r="CD791" s="1606">
        <f t="shared" si="534"/>
        <v>0</v>
      </c>
      <c r="CE791" s="1606">
        <f t="shared" si="534"/>
        <v>0</v>
      </c>
      <c r="CF791" s="1606">
        <f t="shared" si="534"/>
        <v>0</v>
      </c>
      <c r="CG791" s="1616"/>
      <c r="CH791" s="1641">
        <f t="shared" si="504"/>
        <v>212.77</v>
      </c>
      <c r="CI791" s="1641">
        <f t="shared" si="504"/>
        <v>0</v>
      </c>
      <c r="CJ791" s="1641">
        <f t="shared" si="504"/>
        <v>217.11</v>
      </c>
      <c r="CK791" s="1641">
        <f t="shared" si="504"/>
        <v>0</v>
      </c>
      <c r="CL791" s="1943">
        <v>212.77</v>
      </c>
      <c r="CM791" s="1943">
        <v>0</v>
      </c>
      <c r="CN791" s="1889">
        <v>217.11</v>
      </c>
      <c r="CO791" s="1943">
        <v>0</v>
      </c>
      <c r="CP791" s="1614">
        <f>CP792+CP806</f>
        <v>0</v>
      </c>
      <c r="CQ791" s="1606">
        <f>CQ792+CQ806</f>
        <v>0</v>
      </c>
      <c r="CR791" s="1606">
        <f>CR792+CR806</f>
        <v>0</v>
      </c>
      <c r="CS791" s="1606">
        <f>CS792+CS806</f>
        <v>0</v>
      </c>
      <c r="CT791" s="1885"/>
      <c r="CU791" s="1885"/>
      <c r="CV791" s="1885"/>
      <c r="CW791" s="1885"/>
      <c r="CY791" s="1885"/>
    </row>
    <row r="792" spans="1:111" ht="53" thickBot="1" x14ac:dyDescent="0.2">
      <c r="A792" s="1748" t="s">
        <v>1135</v>
      </c>
      <c r="B792" s="1749" t="s">
        <v>79</v>
      </c>
      <c r="C792" s="1749" t="s">
        <v>80</v>
      </c>
      <c r="D792" s="1749" t="s">
        <v>125</v>
      </c>
      <c r="E792" s="1749" t="s">
        <v>216</v>
      </c>
      <c r="F792" s="1749" t="s">
        <v>765</v>
      </c>
      <c r="G792" s="1600" t="s">
        <v>766</v>
      </c>
      <c r="H792" s="1531">
        <f>H793+H794+H795+H796+H797+H798+H799+H800+H801+H802+H803+H804+H805</f>
        <v>12716.400000000001</v>
      </c>
      <c r="I792" s="1531">
        <f>I793+I794+I795+I796+I797+I798+I799+I800+I801+I802+I803+I804+I805</f>
        <v>0</v>
      </c>
      <c r="J792" s="1531">
        <f>J793+J794+J795+J796+J797+J798+J799+J800+J801+J802+J803+J804+J805</f>
        <v>217.11</v>
      </c>
      <c r="K792" s="1531">
        <f>K793+K794+K795+K796+K797+K798+K799+K800+K801+K802+K803+K804+K805</f>
        <v>0</v>
      </c>
      <c r="L792" s="1601"/>
      <c r="M792" s="1601"/>
      <c r="N792" s="1601"/>
      <c r="O792" s="1601">
        <f>O793+O794+O795+O796+O797+O798+O799+O800+O801+O802+O803+O804+O805</f>
        <v>0</v>
      </c>
      <c r="P792" s="1601"/>
      <c r="Q792" s="1601">
        <f>Q793+Q794+Q795+Q796+Q797+Q798+Q799+Q800+Q801+Q802+Q803+Q804+Q805</f>
        <v>582.94550000000004</v>
      </c>
      <c r="R792" s="1601">
        <f>R793+R794+R795+R796+R797+R798+R799+R800+R801+R802+R803+R804+R805</f>
        <v>0</v>
      </c>
      <c r="S792" s="1601">
        <f>S793+S794+S795+S796+S797+S798+S799+S800+S801+S802+S803+S804+S805</f>
        <v>0</v>
      </c>
      <c r="T792" s="1602"/>
      <c r="U792" s="1533"/>
      <c r="V792" s="1533"/>
      <c r="W792" s="1534"/>
      <c r="X792" s="1534"/>
      <c r="Y792" s="1534"/>
      <c r="Z792" s="1535"/>
      <c r="AA792" s="1634">
        <f t="shared" si="532"/>
        <v>0</v>
      </c>
      <c r="AB792" s="1534"/>
      <c r="AC792" s="1603">
        <f t="shared" ref="AC792:CF792" si="536">AC793+AC794+AC795+AC796+AC797+AC798+AC799+AC800+AC801+AC802+AC803+AC804+AC805</f>
        <v>12716.400000000001</v>
      </c>
      <c r="AD792" s="1603">
        <f t="shared" si="536"/>
        <v>217.11</v>
      </c>
      <c r="AE792" s="1603">
        <f t="shared" si="536"/>
        <v>0</v>
      </c>
      <c r="AF792" s="1603">
        <f t="shared" si="536"/>
        <v>217.11</v>
      </c>
      <c r="AG792" s="1603">
        <f t="shared" si="536"/>
        <v>0</v>
      </c>
      <c r="AH792" s="1490">
        <f t="shared" si="533"/>
        <v>212.77</v>
      </c>
      <c r="AI792" s="1592">
        <f t="shared" si="536"/>
        <v>0</v>
      </c>
      <c r="AJ792" s="1592">
        <f t="shared" si="536"/>
        <v>0</v>
      </c>
      <c r="AK792" s="1592">
        <f t="shared" si="536"/>
        <v>0</v>
      </c>
      <c r="AL792" s="1636">
        <f t="shared" si="535"/>
        <v>0</v>
      </c>
      <c r="AM792" s="1592">
        <f t="shared" si="536"/>
        <v>0</v>
      </c>
      <c r="AN792" s="1717"/>
      <c r="AO792" s="1707">
        <f t="shared" si="536"/>
        <v>557.90000000000009</v>
      </c>
      <c r="AP792" s="1531">
        <f t="shared" si="536"/>
        <v>0</v>
      </c>
      <c r="AQ792" s="1531">
        <f t="shared" si="536"/>
        <v>0</v>
      </c>
      <c r="AR792" s="1531">
        <f t="shared" si="536"/>
        <v>0</v>
      </c>
      <c r="AS792" s="1535">
        <f t="shared" si="536"/>
        <v>556.80000000000007</v>
      </c>
      <c r="AT792" s="1531">
        <f t="shared" si="536"/>
        <v>0</v>
      </c>
      <c r="AU792" s="1531">
        <f t="shared" si="536"/>
        <v>0</v>
      </c>
      <c r="AV792" s="1531">
        <f t="shared" si="536"/>
        <v>0</v>
      </c>
      <c r="AW792" s="1535">
        <f t="shared" si="536"/>
        <v>550.1</v>
      </c>
      <c r="AX792" s="1531">
        <f t="shared" si="536"/>
        <v>0</v>
      </c>
      <c r="AY792" s="1531">
        <f t="shared" si="536"/>
        <v>0</v>
      </c>
      <c r="AZ792" s="1531">
        <f t="shared" si="536"/>
        <v>0</v>
      </c>
      <c r="BA792" s="1538">
        <f t="shared" si="536"/>
        <v>1550.1</v>
      </c>
      <c r="BB792" s="1531">
        <f t="shared" si="536"/>
        <v>0</v>
      </c>
      <c r="BC792" s="1531">
        <f t="shared" si="536"/>
        <v>0</v>
      </c>
      <c r="BD792" s="1531">
        <f t="shared" si="536"/>
        <v>0</v>
      </c>
      <c r="BE792" s="1539">
        <f t="shared" si="536"/>
        <v>568.6</v>
      </c>
      <c r="BF792" s="1531">
        <f t="shared" si="536"/>
        <v>0</v>
      </c>
      <c r="BG792" s="1531">
        <f t="shared" si="536"/>
        <v>0</v>
      </c>
      <c r="BH792" s="1531">
        <f t="shared" si="536"/>
        <v>0</v>
      </c>
      <c r="BI792" s="1538">
        <f t="shared" si="536"/>
        <v>4155.4709999999995</v>
      </c>
      <c r="BJ792" s="1531">
        <f t="shared" si="536"/>
        <v>0</v>
      </c>
      <c r="BK792" s="1531">
        <f t="shared" si="536"/>
        <v>0</v>
      </c>
      <c r="BL792" s="1531">
        <f t="shared" si="536"/>
        <v>0</v>
      </c>
      <c r="BM792" s="1538">
        <f t="shared" si="536"/>
        <v>431.32900000000001</v>
      </c>
      <c r="BN792" s="1531">
        <f t="shared" si="536"/>
        <v>0</v>
      </c>
      <c r="BO792" s="1531">
        <f t="shared" si="536"/>
        <v>0</v>
      </c>
      <c r="BP792" s="1531">
        <f t="shared" si="536"/>
        <v>0</v>
      </c>
      <c r="BQ792" s="1538">
        <f t="shared" si="536"/>
        <v>756.73</v>
      </c>
      <c r="BR792" s="1531">
        <f t="shared" si="536"/>
        <v>0</v>
      </c>
      <c r="BS792" s="1531">
        <f t="shared" si="536"/>
        <v>0</v>
      </c>
      <c r="BT792" s="1531">
        <f t="shared" si="536"/>
        <v>0</v>
      </c>
      <c r="BU792" s="1538">
        <f t="shared" si="536"/>
        <v>1875.1</v>
      </c>
      <c r="BV792" s="1531">
        <f t="shared" si="536"/>
        <v>0</v>
      </c>
      <c r="BW792" s="1531">
        <f t="shared" si="536"/>
        <v>0</v>
      </c>
      <c r="BX792" s="1531">
        <f t="shared" si="536"/>
        <v>0</v>
      </c>
      <c r="BY792" s="1538">
        <f t="shared" si="536"/>
        <v>602.1</v>
      </c>
      <c r="BZ792" s="1531">
        <f t="shared" si="536"/>
        <v>0</v>
      </c>
      <c r="CA792" s="1531">
        <f t="shared" si="536"/>
        <v>0</v>
      </c>
      <c r="CB792" s="1531">
        <f t="shared" si="536"/>
        <v>0</v>
      </c>
      <c r="CC792" s="1538">
        <f t="shared" si="536"/>
        <v>899.40000000000009</v>
      </c>
      <c r="CD792" s="1531">
        <f t="shared" si="536"/>
        <v>0</v>
      </c>
      <c r="CE792" s="1531">
        <f t="shared" si="536"/>
        <v>0</v>
      </c>
      <c r="CF792" s="1531">
        <f t="shared" si="536"/>
        <v>0</v>
      </c>
      <c r="CG792" s="1705"/>
      <c r="CH792" s="1641">
        <f t="shared" si="504"/>
        <v>212.77</v>
      </c>
      <c r="CI792" s="1641">
        <f t="shared" si="504"/>
        <v>0</v>
      </c>
      <c r="CJ792" s="1641">
        <f t="shared" si="504"/>
        <v>217.11</v>
      </c>
      <c r="CK792" s="1641">
        <f t="shared" si="504"/>
        <v>0</v>
      </c>
      <c r="CL792" s="1902">
        <v>212.77</v>
      </c>
      <c r="CM792" s="1902">
        <v>0</v>
      </c>
      <c r="CN792" s="1889">
        <v>217.11</v>
      </c>
      <c r="CO792" s="1902">
        <v>0</v>
      </c>
      <c r="CP792" s="1538">
        <f>CP793+CP794+CP795+CP796+CP797+CP798+CP799+CP800+CP801+CP802+CP803+CP804+CP805</f>
        <v>0</v>
      </c>
      <c r="CQ792" s="1531">
        <f>CQ793+CQ794+CQ795+CQ796+CQ797+CQ798+CQ799+CQ800+CQ801+CQ802+CQ803+CQ804+CQ805</f>
        <v>0</v>
      </c>
      <c r="CR792" s="1531">
        <f>CR793+CR794+CR795+CR796+CR797+CR798+CR799+CR800+CR801+CR802+CR803+CR804+CR805</f>
        <v>0</v>
      </c>
      <c r="CS792" s="1531">
        <f>CS793+CS794+CS795+CS796+CS797+CS798+CS799+CS800+CS801+CS802+CS803+CS804+CS805</f>
        <v>0</v>
      </c>
    </row>
    <row r="793" spans="1:111" ht="15" thickBot="1" x14ac:dyDescent="0.2">
      <c r="A793" s="1541" t="s">
        <v>78</v>
      </c>
      <c r="B793" s="1523" t="s">
        <v>79</v>
      </c>
      <c r="C793" s="1523" t="s">
        <v>80</v>
      </c>
      <c r="D793" s="1523" t="s">
        <v>125</v>
      </c>
      <c r="E793" s="1523" t="s">
        <v>216</v>
      </c>
      <c r="F793" s="1523"/>
      <c r="G793" s="1667">
        <v>211</v>
      </c>
      <c r="H793" s="1501">
        <f>5069.8+1000</f>
        <v>6069.8</v>
      </c>
      <c r="I793" s="1501"/>
      <c r="J793" s="1630"/>
      <c r="K793" s="1630"/>
      <c r="L793" s="1631"/>
      <c r="M793" s="1631"/>
      <c r="N793" s="1631"/>
      <c r="O793" s="1631"/>
      <c r="P793" s="1631"/>
      <c r="Q793" s="1631"/>
      <c r="R793" s="1631"/>
      <c r="S793" s="1631"/>
      <c r="T793" s="1632"/>
      <c r="U793" s="1633"/>
      <c r="V793" s="1633"/>
      <c r="W793" s="1634">
        <f>(H793-1000)/12</f>
        <v>422.48333333333335</v>
      </c>
      <c r="X793" s="1634">
        <f>AO793</f>
        <v>422.5</v>
      </c>
      <c r="Y793" s="1634">
        <f>CC793</f>
        <v>589.90000000000009</v>
      </c>
      <c r="Z793" s="1635">
        <v>385.6</v>
      </c>
      <c r="AA793" s="1634">
        <f t="shared" si="532"/>
        <v>-385.6</v>
      </c>
      <c r="AB793" s="1511">
        <f>AI793</f>
        <v>0</v>
      </c>
      <c r="AC793" s="1508">
        <f t="shared" ref="AC793:AC805" si="537">AO793+AS793+AW793+BA793+BE793+BI793+BM793+BQ793+BU793+BY793+CC793+CH793</f>
        <v>6069.8</v>
      </c>
      <c r="AD793" s="1509">
        <f t="shared" ref="AD793:AD805" si="538">AE793+AF793+AG793</f>
        <v>0</v>
      </c>
      <c r="AE793" s="1509">
        <f t="shared" ref="AE793:AG805" si="539">AP793+AT793+AX793+BB793+BF793+BJ793+BN793+BR793+BV793+BZ793+CD793+CI793</f>
        <v>0</v>
      </c>
      <c r="AF793" s="1509">
        <f t="shared" si="539"/>
        <v>0</v>
      </c>
      <c r="AG793" s="1509">
        <f t="shared" si="539"/>
        <v>0</v>
      </c>
      <c r="AH793" s="1490">
        <f t="shared" si="533"/>
        <v>91.2</v>
      </c>
      <c r="AI793" s="1636">
        <f t="shared" ref="AI793:AI805" si="540">H793-AC793</f>
        <v>0</v>
      </c>
      <c r="AJ793" s="1636">
        <f t="shared" ref="AJ793:AJ805" si="541">AK793+AL793+AM793</f>
        <v>0</v>
      </c>
      <c r="AK793" s="1636">
        <f t="shared" ref="AK793:AK805" si="542">I793-AE793</f>
        <v>0</v>
      </c>
      <c r="AL793" s="1636">
        <f t="shared" si="535"/>
        <v>0</v>
      </c>
      <c r="AM793" s="1636">
        <f t="shared" si="535"/>
        <v>0</v>
      </c>
      <c r="AN793" s="1637">
        <f>AI793/4</f>
        <v>0</v>
      </c>
      <c r="AO793" s="1722">
        <v>422.5</v>
      </c>
      <c r="AP793" s="1638"/>
      <c r="AQ793" s="1638"/>
      <c r="AR793" s="1638"/>
      <c r="AS793" s="1963">
        <v>422.5</v>
      </c>
      <c r="AT793" s="1638"/>
      <c r="AU793" s="1638"/>
      <c r="AV793" s="1638"/>
      <c r="AW793" s="1722">
        <v>422.5</v>
      </c>
      <c r="AX793" s="1640"/>
      <c r="AY793" s="1640"/>
      <c r="AZ793" s="1640"/>
      <c r="BA793" s="1964">
        <v>422.5</v>
      </c>
      <c r="BB793" s="1640"/>
      <c r="BC793" s="1640"/>
      <c r="BD793" s="1640"/>
      <c r="BE793" s="1964">
        <v>422.5</v>
      </c>
      <c r="BF793" s="1640"/>
      <c r="BG793" s="1640"/>
      <c r="BH793" s="1640"/>
      <c r="BI793" s="1641">
        <f>193.771+422.5</f>
        <v>616.27099999999996</v>
      </c>
      <c r="BJ793" s="1640"/>
      <c r="BK793" s="1640"/>
      <c r="BL793" s="1640"/>
      <c r="BM793" s="1641">
        <v>228.72900000000001</v>
      </c>
      <c r="BN793" s="1640"/>
      <c r="BO793" s="1640"/>
      <c r="BP793" s="1640"/>
      <c r="BQ793" s="1641">
        <v>422.5</v>
      </c>
      <c r="BR793" s="1640"/>
      <c r="BS793" s="1640"/>
      <c r="BT793" s="1640"/>
      <c r="BU793" s="1641">
        <f>1000+422.5</f>
        <v>1422.5</v>
      </c>
      <c r="BV793" s="1640"/>
      <c r="BW793" s="1640"/>
      <c r="BX793" s="1640"/>
      <c r="BY793" s="1641">
        <f>126.75+459.45</f>
        <v>586.20000000000005</v>
      </c>
      <c r="BZ793" s="1640"/>
      <c r="CA793" s="1640"/>
      <c r="CB793" s="1640"/>
      <c r="CC793" s="1641">
        <f>204.3+385.6</f>
        <v>589.90000000000009</v>
      </c>
      <c r="CD793" s="1640"/>
      <c r="CE793" s="1640"/>
      <c r="CF793" s="1640"/>
      <c r="CG793" s="1642"/>
      <c r="CH793" s="1641">
        <f t="shared" ref="CH793:CK856" si="543">CL793+CP793</f>
        <v>91.2</v>
      </c>
      <c r="CI793" s="1641">
        <f t="shared" si="543"/>
        <v>0</v>
      </c>
      <c r="CJ793" s="1641">
        <f t="shared" si="543"/>
        <v>0</v>
      </c>
      <c r="CK793" s="1641">
        <f t="shared" si="543"/>
        <v>0</v>
      </c>
      <c r="CL793" s="1889">
        <v>91.2</v>
      </c>
      <c r="CM793" s="1889">
        <v>0</v>
      </c>
      <c r="CN793" s="1889">
        <v>0</v>
      </c>
      <c r="CO793" s="1889">
        <v>0</v>
      </c>
      <c r="CP793" s="1641"/>
      <c r="CQ793" s="1640"/>
      <c r="CR793" s="1640"/>
      <c r="CS793" s="1640"/>
      <c r="CX793" s="1558">
        <f>(5069.8/12*10+1000)-AC793</f>
        <v>-844.96666666666624</v>
      </c>
      <c r="CY793" s="1558">
        <f>AI793/3</f>
        <v>0</v>
      </c>
      <c r="CZ793" s="1558">
        <f>H793/12</f>
        <v>505.81666666666666</v>
      </c>
      <c r="DA793" s="1559"/>
      <c r="DB793" s="1559"/>
      <c r="DC793" s="1559"/>
      <c r="DE793">
        <f>5069.8/12</f>
        <v>422.48333333333335</v>
      </c>
      <c r="DF793" s="489">
        <f>BY793</f>
        <v>586.20000000000005</v>
      </c>
      <c r="DG793" s="489"/>
    </row>
    <row r="794" spans="1:111" ht="15" thickBot="1" x14ac:dyDescent="0.2">
      <c r="A794" s="1541" t="s">
        <v>103</v>
      </c>
      <c r="B794" s="1523" t="s">
        <v>79</v>
      </c>
      <c r="C794" s="1523" t="s">
        <v>80</v>
      </c>
      <c r="D794" s="1523" t="s">
        <v>125</v>
      </c>
      <c r="E794" s="1523" t="s">
        <v>216</v>
      </c>
      <c r="F794" s="1523"/>
      <c r="G794" s="1667">
        <v>212</v>
      </c>
      <c r="H794" s="1501"/>
      <c r="I794" s="1501"/>
      <c r="J794" s="1630"/>
      <c r="K794" s="1630"/>
      <c r="L794" s="1631"/>
      <c r="M794" s="1631"/>
      <c r="N794" s="1631"/>
      <c r="O794" s="1631"/>
      <c r="P794" s="1631"/>
      <c r="Q794" s="1631"/>
      <c r="R794" s="1631"/>
      <c r="S794" s="1631"/>
      <c r="T794" s="1632"/>
      <c r="U794" s="1633"/>
      <c r="V794" s="1633"/>
      <c r="W794" s="1634"/>
      <c r="X794" s="1634"/>
      <c r="Y794" s="1634">
        <f>CC794</f>
        <v>0</v>
      </c>
      <c r="Z794" s="1635">
        <f>AI794-X794</f>
        <v>0</v>
      </c>
      <c r="AA794" s="1634">
        <f t="shared" si="532"/>
        <v>0</v>
      </c>
      <c r="AB794" s="1511"/>
      <c r="AC794" s="1508">
        <f t="shared" si="537"/>
        <v>0</v>
      </c>
      <c r="AD794" s="1509">
        <f t="shared" si="538"/>
        <v>0</v>
      </c>
      <c r="AE794" s="1509">
        <f t="shared" si="539"/>
        <v>0</v>
      </c>
      <c r="AF794" s="1509">
        <f t="shared" si="539"/>
        <v>0</v>
      </c>
      <c r="AG794" s="1509">
        <f t="shared" si="539"/>
        <v>0</v>
      </c>
      <c r="AH794" s="1490">
        <f t="shared" si="533"/>
        <v>0</v>
      </c>
      <c r="AI794" s="1636">
        <f t="shared" si="540"/>
        <v>0</v>
      </c>
      <c r="AJ794" s="1636">
        <f t="shared" si="541"/>
        <v>0</v>
      </c>
      <c r="AK794" s="1636">
        <f t="shared" si="542"/>
        <v>0</v>
      </c>
      <c r="AL794" s="1636">
        <f t="shared" si="535"/>
        <v>0</v>
      </c>
      <c r="AM794" s="1636">
        <f t="shared" si="535"/>
        <v>0</v>
      </c>
      <c r="AN794" s="1637"/>
      <c r="AO794" s="1722">
        <v>0</v>
      </c>
      <c r="AP794" s="1638"/>
      <c r="AQ794" s="1638"/>
      <c r="AR794" s="1638"/>
      <c r="AS794" s="1963">
        <v>0</v>
      </c>
      <c r="AT794" s="1638"/>
      <c r="AU794" s="1638"/>
      <c r="AV794" s="1638"/>
      <c r="AW794" s="1722">
        <v>0</v>
      </c>
      <c r="AX794" s="1640"/>
      <c r="AY794" s="1640"/>
      <c r="AZ794" s="1640"/>
      <c r="BA794" s="1964">
        <v>0</v>
      </c>
      <c r="BB794" s="1640"/>
      <c r="BC794" s="1640"/>
      <c r="BD794" s="1640"/>
      <c r="BE794" s="1964">
        <v>0</v>
      </c>
      <c r="BF794" s="1640"/>
      <c r="BG794" s="1640"/>
      <c r="BH794" s="1640"/>
      <c r="BI794" s="1641"/>
      <c r="BJ794" s="1640"/>
      <c r="BK794" s="1640"/>
      <c r="BL794" s="1640"/>
      <c r="BM794" s="1641"/>
      <c r="BN794" s="1640"/>
      <c r="BO794" s="1640"/>
      <c r="BP794" s="1640"/>
      <c r="BQ794" s="1641"/>
      <c r="BR794" s="1640"/>
      <c r="BS794" s="1640"/>
      <c r="BT794" s="1640"/>
      <c r="BU794" s="1641"/>
      <c r="BV794" s="1640"/>
      <c r="BW794" s="1640"/>
      <c r="BX794" s="1640"/>
      <c r="BY794" s="1641"/>
      <c r="BZ794" s="1640"/>
      <c r="CA794" s="1640"/>
      <c r="CB794" s="1640"/>
      <c r="CC794" s="1641"/>
      <c r="CD794" s="1640"/>
      <c r="CE794" s="1640"/>
      <c r="CF794" s="1640"/>
      <c r="CG794" s="1642"/>
      <c r="CH794" s="1641">
        <f t="shared" si="543"/>
        <v>0</v>
      </c>
      <c r="CI794" s="1641">
        <f t="shared" si="543"/>
        <v>0</v>
      </c>
      <c r="CJ794" s="1641">
        <f t="shared" si="543"/>
        <v>0</v>
      </c>
      <c r="CK794" s="1641">
        <f t="shared" si="543"/>
        <v>0</v>
      </c>
      <c r="CL794" s="1889">
        <v>0</v>
      </c>
      <c r="CM794" s="1889">
        <v>0</v>
      </c>
      <c r="CN794" s="1889">
        <v>0</v>
      </c>
      <c r="CO794" s="1889">
        <v>0</v>
      </c>
      <c r="CP794" s="1641"/>
      <c r="CQ794" s="1640"/>
      <c r="CR794" s="1640"/>
      <c r="CS794" s="1640"/>
      <c r="CX794" s="1558"/>
      <c r="CY794" s="1558"/>
      <c r="CZ794" s="1558"/>
      <c r="DA794" s="1559"/>
      <c r="DB794" s="1559"/>
      <c r="DC794" s="1559"/>
    </row>
    <row r="795" spans="1:111" ht="15" thickBot="1" x14ac:dyDescent="0.2">
      <c r="A795" s="1541" t="s">
        <v>84</v>
      </c>
      <c r="B795" s="1523" t="s">
        <v>79</v>
      </c>
      <c r="C795" s="1523" t="s">
        <v>80</v>
      </c>
      <c r="D795" s="1523" t="s">
        <v>125</v>
      </c>
      <c r="E795" s="1523" t="s">
        <v>216</v>
      </c>
      <c r="F795" s="1523"/>
      <c r="G795" s="1667">
        <v>213</v>
      </c>
      <c r="H795" s="1501">
        <f>1531.1+302</f>
        <v>1833.1</v>
      </c>
      <c r="I795" s="1501"/>
      <c r="J795" s="1630"/>
      <c r="K795" s="1630"/>
      <c r="L795" s="1631"/>
      <c r="M795" s="1631"/>
      <c r="N795" s="1631"/>
      <c r="O795" s="1631"/>
      <c r="P795" s="1631"/>
      <c r="Q795" s="1631"/>
      <c r="R795" s="1631"/>
      <c r="S795" s="1631"/>
      <c r="T795" s="1632"/>
      <c r="U795" s="1633"/>
      <c r="V795" s="1633"/>
      <c r="W795" s="1634">
        <f>(H795-302)/12</f>
        <v>127.59166666666665</v>
      </c>
      <c r="X795" s="1634">
        <f>AO795</f>
        <v>127.6</v>
      </c>
      <c r="Y795" s="1634">
        <f>CC795</f>
        <v>309.5</v>
      </c>
      <c r="Z795" s="1635">
        <v>309.5</v>
      </c>
      <c r="AA795" s="1634">
        <f t="shared" si="532"/>
        <v>-309.5</v>
      </c>
      <c r="AB795" s="1511">
        <f>AI795</f>
        <v>0</v>
      </c>
      <c r="AC795" s="1508">
        <f t="shared" si="537"/>
        <v>1833.1000000000001</v>
      </c>
      <c r="AD795" s="1509">
        <f t="shared" si="538"/>
        <v>0</v>
      </c>
      <c r="AE795" s="1509">
        <f t="shared" si="539"/>
        <v>0</v>
      </c>
      <c r="AF795" s="1509">
        <f t="shared" si="539"/>
        <v>0</v>
      </c>
      <c r="AG795" s="1509">
        <f t="shared" si="539"/>
        <v>0</v>
      </c>
      <c r="AH795" s="1490">
        <f t="shared" si="533"/>
        <v>73.2</v>
      </c>
      <c r="AI795" s="1636">
        <f t="shared" si="540"/>
        <v>0</v>
      </c>
      <c r="AJ795" s="1636">
        <f t="shared" si="541"/>
        <v>0</v>
      </c>
      <c r="AK795" s="1636">
        <f t="shared" si="542"/>
        <v>0</v>
      </c>
      <c r="AL795" s="1636">
        <f t="shared" si="535"/>
        <v>0</v>
      </c>
      <c r="AM795" s="1636">
        <f t="shared" si="535"/>
        <v>0</v>
      </c>
      <c r="AN795" s="1637">
        <f>AI795/4</f>
        <v>0</v>
      </c>
      <c r="AO795" s="1722">
        <v>127.6</v>
      </c>
      <c r="AP795" s="1638"/>
      <c r="AQ795" s="1638"/>
      <c r="AR795" s="1638"/>
      <c r="AS795" s="1963">
        <v>127.6</v>
      </c>
      <c r="AT795" s="1638"/>
      <c r="AU795" s="1638"/>
      <c r="AV795" s="1638"/>
      <c r="AW795" s="1722">
        <v>127.6</v>
      </c>
      <c r="AX795" s="1640"/>
      <c r="AY795" s="1640"/>
      <c r="AZ795" s="1640"/>
      <c r="BA795" s="1964">
        <v>127.6</v>
      </c>
      <c r="BB795" s="1640"/>
      <c r="BC795" s="1640"/>
      <c r="BD795" s="1640"/>
      <c r="BE795" s="1964">
        <v>127.6</v>
      </c>
      <c r="BF795" s="1640"/>
      <c r="BG795" s="1640"/>
      <c r="BH795" s="1640"/>
      <c r="BI795" s="1641">
        <f>127.6</f>
        <v>127.6</v>
      </c>
      <c r="BJ795" s="1640"/>
      <c r="BK795" s="1640"/>
      <c r="BL795" s="1640"/>
      <c r="BM795" s="1641">
        <v>127.6</v>
      </c>
      <c r="BN795" s="1640"/>
      <c r="BO795" s="1640"/>
      <c r="BP795" s="1640"/>
      <c r="BQ795" s="1641">
        <v>127.6</v>
      </c>
      <c r="BR795" s="1640"/>
      <c r="BS795" s="1640"/>
      <c r="BT795" s="1640"/>
      <c r="BU795" s="1641">
        <f>302+127.6</f>
        <v>429.6</v>
      </c>
      <c r="BV795" s="1640"/>
      <c r="BW795" s="1640"/>
      <c r="BX795" s="1640"/>
      <c r="BY795" s="1641"/>
      <c r="BZ795" s="1640"/>
      <c r="CA795" s="1640"/>
      <c r="CB795" s="1640"/>
      <c r="CC795" s="1641">
        <v>309.5</v>
      </c>
      <c r="CD795" s="1640"/>
      <c r="CE795" s="1640"/>
      <c r="CF795" s="1640"/>
      <c r="CG795" s="1642"/>
      <c r="CH795" s="1641">
        <f t="shared" si="543"/>
        <v>73.2</v>
      </c>
      <c r="CI795" s="1641">
        <f t="shared" si="543"/>
        <v>0</v>
      </c>
      <c r="CJ795" s="1641">
        <f t="shared" si="543"/>
        <v>0</v>
      </c>
      <c r="CK795" s="1641">
        <f t="shared" si="543"/>
        <v>0</v>
      </c>
      <c r="CL795" s="1889">
        <v>73.2</v>
      </c>
      <c r="CM795" s="1889">
        <v>0</v>
      </c>
      <c r="CN795" s="1889">
        <v>0</v>
      </c>
      <c r="CO795" s="1889">
        <v>0</v>
      </c>
      <c r="CP795" s="1641"/>
      <c r="CQ795" s="1640"/>
      <c r="CR795" s="1640"/>
      <c r="CS795" s="1640"/>
      <c r="CX795" s="1558">
        <f>(1531.1/12*10+302)-AC795</f>
        <v>-255.18333333333362</v>
      </c>
      <c r="CY795" s="1558">
        <f>AI795/3</f>
        <v>0</v>
      </c>
      <c r="CZ795" s="1558">
        <f>H795/12</f>
        <v>152.75833333333333</v>
      </c>
      <c r="DA795" s="1559"/>
      <c r="DB795" s="1559"/>
      <c r="DC795" s="1559"/>
      <c r="DE795">
        <f>1531.1/12</f>
        <v>127.59166666666665</v>
      </c>
    </row>
    <row r="796" spans="1:111" ht="15" thickBot="1" x14ac:dyDescent="0.2">
      <c r="A796" s="1541" t="s">
        <v>85</v>
      </c>
      <c r="B796" s="1523" t="s">
        <v>79</v>
      </c>
      <c r="C796" s="1523" t="s">
        <v>80</v>
      </c>
      <c r="D796" s="1523" t="s">
        <v>125</v>
      </c>
      <c r="E796" s="1523" t="s">
        <v>216</v>
      </c>
      <c r="F796" s="1523"/>
      <c r="G796" s="1667">
        <v>221</v>
      </c>
      <c r="H796" s="1501"/>
      <c r="I796" s="1501"/>
      <c r="J796" s="1630"/>
      <c r="K796" s="1630"/>
      <c r="L796" s="1631"/>
      <c r="M796" s="1631"/>
      <c r="N796" s="1631"/>
      <c r="O796" s="1631"/>
      <c r="P796" s="1631"/>
      <c r="Q796" s="1631"/>
      <c r="R796" s="1631"/>
      <c r="S796" s="1631"/>
      <c r="T796" s="1632"/>
      <c r="U796" s="1633"/>
      <c r="V796" s="1633"/>
      <c r="W796" s="1634"/>
      <c r="X796" s="1634"/>
      <c r="Y796" s="1634"/>
      <c r="Z796" s="1635"/>
      <c r="AA796" s="1634">
        <f t="shared" si="532"/>
        <v>0</v>
      </c>
      <c r="AB796" s="1634"/>
      <c r="AC796" s="1508">
        <f t="shared" si="537"/>
        <v>0</v>
      </c>
      <c r="AD796" s="1509">
        <f t="shared" si="538"/>
        <v>0</v>
      </c>
      <c r="AE796" s="1509">
        <f t="shared" si="539"/>
        <v>0</v>
      </c>
      <c r="AF796" s="1509">
        <f t="shared" si="539"/>
        <v>0</v>
      </c>
      <c r="AG796" s="1509">
        <f t="shared" si="539"/>
        <v>0</v>
      </c>
      <c r="AH796" s="1490">
        <f t="shared" si="533"/>
        <v>0</v>
      </c>
      <c r="AI796" s="1636">
        <f t="shared" si="540"/>
        <v>0</v>
      </c>
      <c r="AJ796" s="1636">
        <f t="shared" si="541"/>
        <v>0</v>
      </c>
      <c r="AK796" s="1636">
        <f t="shared" si="542"/>
        <v>0</v>
      </c>
      <c r="AL796" s="1636">
        <f t="shared" si="535"/>
        <v>0</v>
      </c>
      <c r="AM796" s="1636">
        <f t="shared" si="535"/>
        <v>0</v>
      </c>
      <c r="AN796" s="1637"/>
      <c r="AO796" s="1722">
        <v>0</v>
      </c>
      <c r="AP796" s="1638"/>
      <c r="AQ796" s="1638"/>
      <c r="AR796" s="1638"/>
      <c r="AS796" s="1963">
        <v>0</v>
      </c>
      <c r="AT796" s="1638"/>
      <c r="AU796" s="1638"/>
      <c r="AV796" s="1638"/>
      <c r="AW796" s="1639"/>
      <c r="AX796" s="1640"/>
      <c r="AY796" s="1640"/>
      <c r="AZ796" s="1640"/>
      <c r="BA796" s="1641"/>
      <c r="BB796" s="1640"/>
      <c r="BC796" s="1640"/>
      <c r="BD796" s="1640"/>
      <c r="BE796" s="1644"/>
      <c r="BF796" s="1640"/>
      <c r="BG796" s="1640"/>
      <c r="BH796" s="1640"/>
      <c r="BI796" s="1641"/>
      <c r="BJ796" s="1640"/>
      <c r="BK796" s="1640"/>
      <c r="BL796" s="1640"/>
      <c r="BM796" s="1641"/>
      <c r="BN796" s="1640"/>
      <c r="BO796" s="1640"/>
      <c r="BP796" s="1640"/>
      <c r="BQ796" s="1641"/>
      <c r="BR796" s="1640"/>
      <c r="BS796" s="1640"/>
      <c r="BT796" s="1640"/>
      <c r="BU796" s="1641"/>
      <c r="BV796" s="1640"/>
      <c r="BW796" s="1640"/>
      <c r="BX796" s="1640"/>
      <c r="BY796" s="1641"/>
      <c r="BZ796" s="1640"/>
      <c r="CA796" s="1640"/>
      <c r="CB796" s="1640"/>
      <c r="CC796" s="1641"/>
      <c r="CD796" s="1640"/>
      <c r="CE796" s="1640"/>
      <c r="CF796" s="1640"/>
      <c r="CG796" s="1642"/>
      <c r="CH796" s="1641">
        <f t="shared" si="543"/>
        <v>0</v>
      </c>
      <c r="CI796" s="1641">
        <f t="shared" si="543"/>
        <v>0</v>
      </c>
      <c r="CJ796" s="1641">
        <f t="shared" si="543"/>
        <v>0</v>
      </c>
      <c r="CK796" s="1641">
        <f t="shared" si="543"/>
        <v>0</v>
      </c>
      <c r="CL796" s="1889">
        <v>0</v>
      </c>
      <c r="CM796" s="1889">
        <v>0</v>
      </c>
      <c r="CN796" s="1889">
        <v>0</v>
      </c>
      <c r="CO796" s="1889">
        <v>0</v>
      </c>
      <c r="CP796" s="1641"/>
      <c r="CQ796" s="1640"/>
      <c r="CR796" s="1640"/>
      <c r="CS796" s="1640"/>
    </row>
    <row r="797" spans="1:111" ht="15" thickBot="1" x14ac:dyDescent="0.2">
      <c r="A797" s="1541" t="s">
        <v>86</v>
      </c>
      <c r="B797" s="1523" t="s">
        <v>79</v>
      </c>
      <c r="C797" s="1523" t="s">
        <v>80</v>
      </c>
      <c r="D797" s="1523" t="s">
        <v>125</v>
      </c>
      <c r="E797" s="1523" t="s">
        <v>216</v>
      </c>
      <c r="F797" s="1523"/>
      <c r="G797" s="1667">
        <v>222</v>
      </c>
      <c r="H797" s="1501"/>
      <c r="I797" s="1501"/>
      <c r="J797" s="1630"/>
      <c r="K797" s="1630"/>
      <c r="L797" s="1631"/>
      <c r="M797" s="1631"/>
      <c r="N797" s="1631"/>
      <c r="O797" s="1631"/>
      <c r="P797" s="1631"/>
      <c r="Q797" s="1631"/>
      <c r="R797" s="1631"/>
      <c r="S797" s="1631"/>
      <c r="T797" s="1632"/>
      <c r="U797" s="1633"/>
      <c r="V797" s="1633"/>
      <c r="W797" s="1634"/>
      <c r="X797" s="1634"/>
      <c r="Y797" s="1634"/>
      <c r="Z797" s="1635"/>
      <c r="AA797" s="1634">
        <f t="shared" si="532"/>
        <v>0</v>
      </c>
      <c r="AB797" s="1634"/>
      <c r="AC797" s="1508">
        <f t="shared" si="537"/>
        <v>0</v>
      </c>
      <c r="AD797" s="1509">
        <f t="shared" si="538"/>
        <v>0</v>
      </c>
      <c r="AE797" s="1509">
        <f t="shared" si="539"/>
        <v>0</v>
      </c>
      <c r="AF797" s="1509">
        <f t="shared" si="539"/>
        <v>0</v>
      </c>
      <c r="AG797" s="1509">
        <f t="shared" si="539"/>
        <v>0</v>
      </c>
      <c r="AH797" s="1490">
        <f t="shared" si="533"/>
        <v>0</v>
      </c>
      <c r="AI797" s="1636">
        <f t="shared" si="540"/>
        <v>0</v>
      </c>
      <c r="AJ797" s="1636">
        <f t="shared" si="541"/>
        <v>0</v>
      </c>
      <c r="AK797" s="1636">
        <f t="shared" si="542"/>
        <v>0</v>
      </c>
      <c r="AL797" s="1636">
        <f t="shared" si="535"/>
        <v>0</v>
      </c>
      <c r="AM797" s="1636">
        <f t="shared" si="535"/>
        <v>0</v>
      </c>
      <c r="AN797" s="1637"/>
      <c r="AO797" s="1722">
        <v>0</v>
      </c>
      <c r="AP797" s="1638"/>
      <c r="AQ797" s="1638"/>
      <c r="AR797" s="1638"/>
      <c r="AS797" s="1963">
        <v>0</v>
      </c>
      <c r="AT797" s="1638"/>
      <c r="AU797" s="1638"/>
      <c r="AV797" s="1638"/>
      <c r="AW797" s="1639"/>
      <c r="AX797" s="1640"/>
      <c r="AY797" s="1640"/>
      <c r="AZ797" s="1640"/>
      <c r="BA797" s="1641"/>
      <c r="BB797" s="1640"/>
      <c r="BC797" s="1640"/>
      <c r="BD797" s="1640"/>
      <c r="BE797" s="1644"/>
      <c r="BF797" s="1640"/>
      <c r="BG797" s="1640"/>
      <c r="BH797" s="1640"/>
      <c r="BI797" s="1641"/>
      <c r="BJ797" s="1640"/>
      <c r="BK797" s="1640"/>
      <c r="BL797" s="1640"/>
      <c r="BM797" s="1641"/>
      <c r="BN797" s="1640"/>
      <c r="BO797" s="1640"/>
      <c r="BP797" s="1640"/>
      <c r="BQ797" s="1641"/>
      <c r="BR797" s="1640"/>
      <c r="BS797" s="1640"/>
      <c r="BT797" s="1640"/>
      <c r="BU797" s="1641"/>
      <c r="BV797" s="1640"/>
      <c r="BW797" s="1640"/>
      <c r="BX797" s="1640"/>
      <c r="BY797" s="1641"/>
      <c r="BZ797" s="1640"/>
      <c r="CA797" s="1640"/>
      <c r="CB797" s="1640"/>
      <c r="CC797" s="1641"/>
      <c r="CD797" s="1640"/>
      <c r="CE797" s="1640"/>
      <c r="CF797" s="1640"/>
      <c r="CG797" s="1642"/>
      <c r="CH797" s="1641">
        <f t="shared" si="543"/>
        <v>0</v>
      </c>
      <c r="CI797" s="1641">
        <f t="shared" si="543"/>
        <v>0</v>
      </c>
      <c r="CJ797" s="1641">
        <f t="shared" si="543"/>
        <v>0</v>
      </c>
      <c r="CK797" s="1641">
        <f t="shared" si="543"/>
        <v>0</v>
      </c>
      <c r="CL797" s="1889">
        <v>0</v>
      </c>
      <c r="CM797" s="1889">
        <v>0</v>
      </c>
      <c r="CN797" s="1889">
        <v>0</v>
      </c>
      <c r="CO797" s="1889">
        <v>0</v>
      </c>
      <c r="CP797" s="1641"/>
      <c r="CQ797" s="1640"/>
      <c r="CR797" s="1640"/>
      <c r="CS797" s="1640"/>
    </row>
    <row r="798" spans="1:111" ht="15" thickBot="1" x14ac:dyDescent="0.2">
      <c r="A798" s="1541" t="s">
        <v>87</v>
      </c>
      <c r="B798" s="1523" t="s">
        <v>79</v>
      </c>
      <c r="C798" s="1523" t="s">
        <v>80</v>
      </c>
      <c r="D798" s="1523" t="s">
        <v>125</v>
      </c>
      <c r="E798" s="1523" t="s">
        <v>216</v>
      </c>
      <c r="F798" s="1523"/>
      <c r="G798" s="1667">
        <v>223</v>
      </c>
      <c r="H798" s="1501">
        <v>80.3</v>
      </c>
      <c r="I798" s="1501"/>
      <c r="J798" s="1630"/>
      <c r="K798" s="1630"/>
      <c r="L798" s="1631"/>
      <c r="M798" s="1631"/>
      <c r="N798" s="1631"/>
      <c r="O798" s="1631"/>
      <c r="P798" s="1631"/>
      <c r="Q798" s="1631"/>
      <c r="R798" s="1631"/>
      <c r="S798" s="1631"/>
      <c r="T798" s="1632"/>
      <c r="U798" s="1633"/>
      <c r="V798" s="1633"/>
      <c r="W798" s="1634"/>
      <c r="X798" s="1634"/>
      <c r="Y798" s="1634"/>
      <c r="Z798" s="1635"/>
      <c r="AA798" s="1634">
        <f t="shared" si="532"/>
        <v>0</v>
      </c>
      <c r="AB798" s="1891"/>
      <c r="AC798" s="1508">
        <f t="shared" si="537"/>
        <v>80.3</v>
      </c>
      <c r="AD798" s="1509">
        <f t="shared" si="538"/>
        <v>0</v>
      </c>
      <c r="AE798" s="1509">
        <f t="shared" si="539"/>
        <v>0</v>
      </c>
      <c r="AF798" s="1509">
        <f t="shared" si="539"/>
        <v>0</v>
      </c>
      <c r="AG798" s="1509">
        <f t="shared" si="539"/>
        <v>0</v>
      </c>
      <c r="AH798" s="1490">
        <f t="shared" si="533"/>
        <v>3.6</v>
      </c>
      <c r="AI798" s="1636">
        <f t="shared" si="540"/>
        <v>0</v>
      </c>
      <c r="AJ798" s="1636">
        <f t="shared" si="541"/>
        <v>0</v>
      </c>
      <c r="AK798" s="1636">
        <f t="shared" si="542"/>
        <v>0</v>
      </c>
      <c r="AL798" s="1636">
        <f t="shared" si="535"/>
        <v>0</v>
      </c>
      <c r="AM798" s="1636">
        <f t="shared" si="535"/>
        <v>0</v>
      </c>
      <c r="AN798" s="1637"/>
      <c r="AO798" s="1722">
        <v>6.7</v>
      </c>
      <c r="AP798" s="1638"/>
      <c r="AQ798" s="1638"/>
      <c r="AR798" s="1638"/>
      <c r="AS798" s="1963">
        <v>6.7</v>
      </c>
      <c r="AT798" s="1638"/>
      <c r="AU798" s="1638"/>
      <c r="AV798" s="1638"/>
      <c r="AW798" s="1639"/>
      <c r="AX798" s="1640"/>
      <c r="AY798" s="1640"/>
      <c r="AZ798" s="1640"/>
      <c r="BA798" s="1641"/>
      <c r="BB798" s="1640"/>
      <c r="BC798" s="1640"/>
      <c r="BD798" s="1640"/>
      <c r="BE798" s="1644">
        <v>15.2</v>
      </c>
      <c r="BF798" s="1640"/>
      <c r="BG798" s="1640"/>
      <c r="BH798" s="1640"/>
      <c r="BI798" s="1641">
        <v>7.6</v>
      </c>
      <c r="BJ798" s="1640"/>
      <c r="BK798" s="1640"/>
      <c r="BL798" s="1640"/>
      <c r="BM798" s="1641"/>
      <c r="BN798" s="1640"/>
      <c r="BO798" s="1640"/>
      <c r="BP798" s="1640"/>
      <c r="BQ798" s="1641">
        <v>7.6</v>
      </c>
      <c r="BR798" s="1640"/>
      <c r="BS798" s="1640"/>
      <c r="BT798" s="1640"/>
      <c r="BU798" s="1641">
        <v>17</v>
      </c>
      <c r="BV798" s="1640"/>
      <c r="BW798" s="1640"/>
      <c r="BX798" s="1640"/>
      <c r="BY798" s="1641">
        <v>15.9</v>
      </c>
      <c r="BZ798" s="1640"/>
      <c r="CA798" s="1640"/>
      <c r="CB798" s="1640"/>
      <c r="CC798" s="1641"/>
      <c r="CD798" s="1640"/>
      <c r="CE798" s="1640"/>
      <c r="CF798" s="1640"/>
      <c r="CG798" s="1642"/>
      <c r="CH798" s="1641">
        <f t="shared" si="543"/>
        <v>3.6</v>
      </c>
      <c r="CI798" s="1641">
        <f t="shared" si="543"/>
        <v>0</v>
      </c>
      <c r="CJ798" s="1641">
        <f t="shared" si="543"/>
        <v>0</v>
      </c>
      <c r="CK798" s="1641">
        <f t="shared" si="543"/>
        <v>0</v>
      </c>
      <c r="CL798" s="1889">
        <v>3.6</v>
      </c>
      <c r="CM798" s="1889">
        <v>0</v>
      </c>
      <c r="CN798" s="1889">
        <v>0</v>
      </c>
      <c r="CO798" s="1889">
        <v>0</v>
      </c>
      <c r="CP798" s="1641"/>
      <c r="CQ798" s="1640"/>
      <c r="CR798" s="1640"/>
      <c r="CS798" s="1640"/>
    </row>
    <row r="799" spans="1:111" ht="15" thickBot="1" x14ac:dyDescent="0.2">
      <c r="A799" s="1541" t="s">
        <v>134</v>
      </c>
      <c r="B799" s="1523" t="s">
        <v>79</v>
      </c>
      <c r="C799" s="1523" t="s">
        <v>80</v>
      </c>
      <c r="D799" s="1523" t="s">
        <v>125</v>
      </c>
      <c r="E799" s="1523" t="s">
        <v>216</v>
      </c>
      <c r="F799" s="1523"/>
      <c r="G799" s="1667">
        <v>224</v>
      </c>
      <c r="H799" s="1501"/>
      <c r="I799" s="1501"/>
      <c r="J799" s="1630"/>
      <c r="K799" s="1630"/>
      <c r="L799" s="1631"/>
      <c r="M799" s="1631"/>
      <c r="N799" s="1631"/>
      <c r="O799" s="1631"/>
      <c r="P799" s="1631"/>
      <c r="Q799" s="1631"/>
      <c r="R799" s="1631"/>
      <c r="S799" s="1631"/>
      <c r="T799" s="1632"/>
      <c r="U799" s="1633"/>
      <c r="V799" s="1633"/>
      <c r="W799" s="1634"/>
      <c r="X799" s="1634"/>
      <c r="Y799" s="1634"/>
      <c r="Z799" s="1635"/>
      <c r="AA799" s="1634">
        <f t="shared" si="532"/>
        <v>0</v>
      </c>
      <c r="AB799" s="1634"/>
      <c r="AC799" s="1508">
        <f t="shared" si="537"/>
        <v>0</v>
      </c>
      <c r="AD799" s="1509">
        <f t="shared" si="538"/>
        <v>0</v>
      </c>
      <c r="AE799" s="1509">
        <f t="shared" si="539"/>
        <v>0</v>
      </c>
      <c r="AF799" s="1509">
        <f t="shared" si="539"/>
        <v>0</v>
      </c>
      <c r="AG799" s="1509">
        <f t="shared" si="539"/>
        <v>0</v>
      </c>
      <c r="AH799" s="1490">
        <f t="shared" si="533"/>
        <v>0</v>
      </c>
      <c r="AI799" s="1636">
        <f t="shared" si="540"/>
        <v>0</v>
      </c>
      <c r="AJ799" s="1636">
        <f t="shared" si="541"/>
        <v>0</v>
      </c>
      <c r="AK799" s="1636">
        <f t="shared" si="542"/>
        <v>0</v>
      </c>
      <c r="AL799" s="1636">
        <f t="shared" si="535"/>
        <v>0</v>
      </c>
      <c r="AM799" s="1636">
        <f t="shared" si="535"/>
        <v>0</v>
      </c>
      <c r="AN799" s="1637"/>
      <c r="AO799" s="1722">
        <v>0</v>
      </c>
      <c r="AP799" s="1638"/>
      <c r="AQ799" s="1638"/>
      <c r="AR799" s="1638"/>
      <c r="AS799" s="1963">
        <v>0</v>
      </c>
      <c r="AT799" s="1638"/>
      <c r="AU799" s="1638"/>
      <c r="AV799" s="1638"/>
      <c r="AW799" s="1639"/>
      <c r="AX799" s="1640"/>
      <c r="AY799" s="1640"/>
      <c r="AZ799" s="1640"/>
      <c r="BA799" s="1641"/>
      <c r="BB799" s="1640"/>
      <c r="BC799" s="1640"/>
      <c r="BD799" s="1640"/>
      <c r="BE799" s="1644"/>
      <c r="BF799" s="1640"/>
      <c r="BG799" s="1640"/>
      <c r="BH799" s="1640"/>
      <c r="BI799" s="1641"/>
      <c r="BJ799" s="1640"/>
      <c r="BK799" s="1640"/>
      <c r="BL799" s="1640"/>
      <c r="BM799" s="1641"/>
      <c r="BN799" s="1640"/>
      <c r="BO799" s="1640"/>
      <c r="BP799" s="1640"/>
      <c r="BQ799" s="1641"/>
      <c r="BR799" s="1640"/>
      <c r="BS799" s="1640"/>
      <c r="BT799" s="1640"/>
      <c r="BU799" s="1641"/>
      <c r="BV799" s="1640"/>
      <c r="BW799" s="1640"/>
      <c r="BX799" s="1640"/>
      <c r="BY799" s="1641"/>
      <c r="BZ799" s="1640"/>
      <c r="CA799" s="1640"/>
      <c r="CB799" s="1640"/>
      <c r="CC799" s="1641"/>
      <c r="CD799" s="1640"/>
      <c r="CE799" s="1640"/>
      <c r="CF799" s="1640"/>
      <c r="CG799" s="1642"/>
      <c r="CH799" s="1641">
        <f t="shared" si="543"/>
        <v>0</v>
      </c>
      <c r="CI799" s="1641">
        <f t="shared" si="543"/>
        <v>0</v>
      </c>
      <c r="CJ799" s="1641">
        <f t="shared" si="543"/>
        <v>0</v>
      </c>
      <c r="CK799" s="1641">
        <f t="shared" si="543"/>
        <v>0</v>
      </c>
      <c r="CL799" s="1889">
        <v>0</v>
      </c>
      <c r="CM799" s="1889">
        <v>0</v>
      </c>
      <c r="CN799" s="1889">
        <v>0</v>
      </c>
      <c r="CO799" s="1889">
        <v>0</v>
      </c>
      <c r="CP799" s="1641"/>
      <c r="CQ799" s="1640"/>
      <c r="CR799" s="1640"/>
      <c r="CS799" s="1640"/>
    </row>
    <row r="800" spans="1:111" ht="15" thickBot="1" x14ac:dyDescent="0.2">
      <c r="A800" s="1541" t="s">
        <v>90</v>
      </c>
      <c r="B800" s="1523" t="s">
        <v>79</v>
      </c>
      <c r="C800" s="1523" t="s">
        <v>80</v>
      </c>
      <c r="D800" s="1523" t="s">
        <v>125</v>
      </c>
      <c r="E800" s="1523" t="s">
        <v>216</v>
      </c>
      <c r="F800" s="1523"/>
      <c r="G800" s="1667">
        <v>225</v>
      </c>
      <c r="H800" s="1501">
        <f>4354+50</f>
        <v>4404</v>
      </c>
      <c r="I800" s="1501"/>
      <c r="J800" s="1630">
        <f>35+33</f>
        <v>68</v>
      </c>
      <c r="K800" s="1630"/>
      <c r="L800" s="1631"/>
      <c r="M800" s="1631"/>
      <c r="N800" s="1631"/>
      <c r="O800" s="1631"/>
      <c r="P800" s="1631"/>
      <c r="Q800" s="1631"/>
      <c r="R800" s="1631"/>
      <c r="S800" s="1631"/>
      <c r="T800" s="1632"/>
      <c r="U800" s="1633"/>
      <c r="V800" s="1633"/>
      <c r="W800" s="1634"/>
      <c r="X800" s="1634"/>
      <c r="Y800" s="1634"/>
      <c r="Z800" s="1635"/>
      <c r="AA800" s="1634">
        <f t="shared" si="532"/>
        <v>0</v>
      </c>
      <c r="AB800" s="1634"/>
      <c r="AC800" s="1508">
        <f t="shared" si="537"/>
        <v>4404</v>
      </c>
      <c r="AD800" s="1509">
        <f t="shared" si="538"/>
        <v>68</v>
      </c>
      <c r="AE800" s="1509">
        <f t="shared" si="539"/>
        <v>0</v>
      </c>
      <c r="AF800" s="1509">
        <f t="shared" si="539"/>
        <v>68</v>
      </c>
      <c r="AG800" s="1509">
        <f t="shared" si="539"/>
        <v>0</v>
      </c>
      <c r="AH800" s="1490">
        <f t="shared" si="533"/>
        <v>0</v>
      </c>
      <c r="AI800" s="1636">
        <f t="shared" si="540"/>
        <v>0</v>
      </c>
      <c r="AJ800" s="1636">
        <f t="shared" si="541"/>
        <v>0</v>
      </c>
      <c r="AK800" s="1636">
        <f t="shared" si="542"/>
        <v>0</v>
      </c>
      <c r="AL800" s="1636">
        <f t="shared" si="535"/>
        <v>0</v>
      </c>
      <c r="AM800" s="1636">
        <f t="shared" si="535"/>
        <v>0</v>
      </c>
      <c r="AN800" s="1637"/>
      <c r="AO800" s="1723"/>
      <c r="AP800" s="1638"/>
      <c r="AQ800" s="1638"/>
      <c r="AR800" s="1638"/>
      <c r="AS800" s="1639"/>
      <c r="AT800" s="1638"/>
      <c r="AU800" s="1638"/>
      <c r="AV800" s="1638"/>
      <c r="AW800" s="1639"/>
      <c r="AX800" s="1640"/>
      <c r="AY800" s="1640"/>
      <c r="AZ800" s="1640"/>
      <c r="BA800" s="1641">
        <v>1000</v>
      </c>
      <c r="BB800" s="1640"/>
      <c r="BC800" s="1640"/>
      <c r="BD800" s="1640"/>
      <c r="BE800" s="1644"/>
      <c r="BF800" s="1640"/>
      <c r="BG800" s="1640"/>
      <c r="BH800" s="1640"/>
      <c r="BI800" s="1641">
        <f>3354</f>
        <v>3354</v>
      </c>
      <c r="BJ800" s="1640"/>
      <c r="BK800" s="1640"/>
      <c r="BL800" s="1640"/>
      <c r="BM800" s="1641"/>
      <c r="BN800" s="1640"/>
      <c r="BO800" s="1640"/>
      <c r="BP800" s="1640"/>
      <c r="BQ800" s="1641">
        <v>50</v>
      </c>
      <c r="BR800" s="1640"/>
      <c r="BS800" s="1640"/>
      <c r="BT800" s="1640"/>
      <c r="BU800" s="1641"/>
      <c r="BV800" s="1640"/>
      <c r="BW800" s="1640"/>
      <c r="BX800" s="1640"/>
      <c r="BY800" s="1641"/>
      <c r="BZ800" s="1640"/>
      <c r="CA800" s="1640"/>
      <c r="CB800" s="1640"/>
      <c r="CC800" s="1641"/>
      <c r="CD800" s="1640"/>
      <c r="CE800" s="1640"/>
      <c r="CF800" s="1640"/>
      <c r="CG800" s="1642"/>
      <c r="CH800" s="1641">
        <f t="shared" si="543"/>
        <v>0</v>
      </c>
      <c r="CI800" s="1641">
        <f t="shared" si="543"/>
        <v>0</v>
      </c>
      <c r="CJ800" s="1641">
        <f t="shared" si="543"/>
        <v>68</v>
      </c>
      <c r="CK800" s="1641">
        <f t="shared" si="543"/>
        <v>0</v>
      </c>
      <c r="CL800" s="1889">
        <v>0</v>
      </c>
      <c r="CM800" s="1889">
        <v>0</v>
      </c>
      <c r="CN800" s="1889">
        <v>68</v>
      </c>
      <c r="CO800" s="1889">
        <v>0</v>
      </c>
      <c r="CP800" s="1641"/>
      <c r="CQ800" s="1640"/>
      <c r="CR800" s="1640"/>
      <c r="CS800" s="1640"/>
    </row>
    <row r="801" spans="1:107" ht="15" thickBot="1" x14ac:dyDescent="0.2">
      <c r="A801" s="1541" t="s">
        <v>91</v>
      </c>
      <c r="B801" s="1523" t="s">
        <v>79</v>
      </c>
      <c r="C801" s="1523" t="s">
        <v>80</v>
      </c>
      <c r="D801" s="1523" t="s">
        <v>125</v>
      </c>
      <c r="E801" s="1523" t="s">
        <v>216</v>
      </c>
      <c r="F801" s="1523"/>
      <c r="G801" s="1667">
        <v>226</v>
      </c>
      <c r="H801" s="1501">
        <f>149+7</f>
        <v>156</v>
      </c>
      <c r="I801" s="1501"/>
      <c r="J801" s="1630">
        <f>300-33-V801</f>
        <v>149.11000000000001</v>
      </c>
      <c r="K801" s="1630"/>
      <c r="L801" s="1631"/>
      <c r="M801" s="1631"/>
      <c r="N801" s="1631"/>
      <c r="O801" s="1631"/>
      <c r="P801" s="1631"/>
      <c r="Q801" s="1631">
        <v>582.94550000000004</v>
      </c>
      <c r="R801" s="1631"/>
      <c r="S801" s="1631"/>
      <c r="T801" s="1632"/>
      <c r="U801" s="1633"/>
      <c r="V801" s="1633">
        <v>117.89</v>
      </c>
      <c r="W801" s="1634"/>
      <c r="X801" s="1634"/>
      <c r="Y801" s="1634"/>
      <c r="Z801" s="1635"/>
      <c r="AA801" s="1634">
        <f t="shared" si="532"/>
        <v>0</v>
      </c>
      <c r="AB801" s="1634"/>
      <c r="AC801" s="1508">
        <f t="shared" si="537"/>
        <v>156</v>
      </c>
      <c r="AD801" s="1509">
        <f t="shared" si="538"/>
        <v>149.11000000000001</v>
      </c>
      <c r="AE801" s="1509">
        <f t="shared" si="539"/>
        <v>0</v>
      </c>
      <c r="AF801" s="1509">
        <f t="shared" si="539"/>
        <v>149.11000000000001</v>
      </c>
      <c r="AG801" s="1509">
        <f t="shared" si="539"/>
        <v>0</v>
      </c>
      <c r="AH801" s="1490">
        <f t="shared" si="533"/>
        <v>6.97</v>
      </c>
      <c r="AI801" s="1636">
        <f t="shared" si="540"/>
        <v>0</v>
      </c>
      <c r="AJ801" s="1636">
        <f t="shared" si="541"/>
        <v>0</v>
      </c>
      <c r="AK801" s="1636">
        <f t="shared" si="542"/>
        <v>0</v>
      </c>
      <c r="AL801" s="1636">
        <f t="shared" si="535"/>
        <v>0</v>
      </c>
      <c r="AM801" s="1636">
        <f t="shared" si="535"/>
        <v>0</v>
      </c>
      <c r="AN801" s="1637"/>
      <c r="AO801" s="1723"/>
      <c r="AP801" s="1638"/>
      <c r="AQ801" s="1638"/>
      <c r="AR801" s="1638"/>
      <c r="AS801" s="1639"/>
      <c r="AT801" s="1638"/>
      <c r="AU801" s="1638"/>
      <c r="AV801" s="1638"/>
      <c r="AW801" s="1639"/>
      <c r="AX801" s="1640"/>
      <c r="AY801" s="1640"/>
      <c r="AZ801" s="1640"/>
      <c r="BA801" s="1641"/>
      <c r="BB801" s="1640"/>
      <c r="BC801" s="1640"/>
      <c r="BD801" s="1640"/>
      <c r="BE801" s="1644"/>
      <c r="BF801" s="1640"/>
      <c r="BG801" s="1640"/>
      <c r="BH801" s="1640"/>
      <c r="BI801" s="1641"/>
      <c r="BJ801" s="1640"/>
      <c r="BK801" s="1640"/>
      <c r="BL801" s="1640"/>
      <c r="BM801" s="1641"/>
      <c r="BN801" s="1640"/>
      <c r="BO801" s="1640"/>
      <c r="BP801" s="1640"/>
      <c r="BQ801" s="1641">
        <v>149.03</v>
      </c>
      <c r="BR801" s="1640"/>
      <c r="BS801" s="1640"/>
      <c r="BT801" s="1640"/>
      <c r="BU801" s="1641"/>
      <c r="BV801" s="1640"/>
      <c r="BW801" s="1640"/>
      <c r="BX801" s="1640"/>
      <c r="BY801" s="1641"/>
      <c r="BZ801" s="1640"/>
      <c r="CA801" s="1640"/>
      <c r="CB801" s="1640"/>
      <c r="CC801" s="1641"/>
      <c r="CD801" s="1640"/>
      <c r="CE801" s="1640"/>
      <c r="CF801" s="1640"/>
      <c r="CG801" s="1642"/>
      <c r="CH801" s="1641">
        <f t="shared" si="543"/>
        <v>6.97</v>
      </c>
      <c r="CI801" s="1641">
        <f t="shared" si="543"/>
        <v>0</v>
      </c>
      <c r="CJ801" s="1641">
        <f t="shared" si="543"/>
        <v>149.11000000000001</v>
      </c>
      <c r="CK801" s="1641">
        <f t="shared" si="543"/>
        <v>0</v>
      </c>
      <c r="CL801" s="1889">
        <v>6.97</v>
      </c>
      <c r="CM801" s="1889">
        <v>0</v>
      </c>
      <c r="CN801" s="1889">
        <v>149.11000000000001</v>
      </c>
      <c r="CO801" s="1889">
        <v>0</v>
      </c>
      <c r="CP801" s="1641"/>
      <c r="CQ801" s="1640"/>
      <c r="CR801" s="1640"/>
      <c r="CS801" s="1640"/>
    </row>
    <row r="802" spans="1:107" ht="15" thickBot="1" x14ac:dyDescent="0.2">
      <c r="A802" s="1541" t="s">
        <v>94</v>
      </c>
      <c r="B802" s="1523" t="s">
        <v>79</v>
      </c>
      <c r="C802" s="1523" t="s">
        <v>80</v>
      </c>
      <c r="D802" s="1523" t="s">
        <v>125</v>
      </c>
      <c r="E802" s="1523" t="s">
        <v>216</v>
      </c>
      <c r="F802" s="1523"/>
      <c r="G802" s="1667">
        <v>290</v>
      </c>
      <c r="H802" s="1501">
        <v>13.2</v>
      </c>
      <c r="I802" s="1501"/>
      <c r="J802" s="1630"/>
      <c r="K802" s="1630"/>
      <c r="L802" s="1631"/>
      <c r="M802" s="1631"/>
      <c r="N802" s="1631"/>
      <c r="O802" s="1631"/>
      <c r="P802" s="1631"/>
      <c r="Q802" s="1631"/>
      <c r="R802" s="1631"/>
      <c r="S802" s="1631"/>
      <c r="T802" s="1632"/>
      <c r="U802" s="1633"/>
      <c r="V802" s="1633"/>
      <c r="W802" s="1634"/>
      <c r="X802" s="1634"/>
      <c r="Y802" s="1634"/>
      <c r="Z802" s="1635"/>
      <c r="AA802" s="1634">
        <f t="shared" si="532"/>
        <v>0</v>
      </c>
      <c r="AB802" s="1634"/>
      <c r="AC802" s="1508">
        <f t="shared" si="537"/>
        <v>13.2</v>
      </c>
      <c r="AD802" s="1509">
        <f t="shared" si="538"/>
        <v>0</v>
      </c>
      <c r="AE802" s="1509">
        <f t="shared" si="539"/>
        <v>0</v>
      </c>
      <c r="AF802" s="1509">
        <f t="shared" si="539"/>
        <v>0</v>
      </c>
      <c r="AG802" s="1509">
        <f t="shared" si="539"/>
        <v>0</v>
      </c>
      <c r="AH802" s="1490">
        <f t="shared" si="533"/>
        <v>2.8</v>
      </c>
      <c r="AI802" s="1636">
        <f t="shared" si="540"/>
        <v>0</v>
      </c>
      <c r="AJ802" s="1636">
        <f t="shared" si="541"/>
        <v>0</v>
      </c>
      <c r="AK802" s="1636">
        <f t="shared" si="542"/>
        <v>0</v>
      </c>
      <c r="AL802" s="1636">
        <f t="shared" si="535"/>
        <v>0</v>
      </c>
      <c r="AM802" s="1636">
        <f t="shared" si="535"/>
        <v>0</v>
      </c>
      <c r="AN802" s="1637"/>
      <c r="AO802" s="1722">
        <v>1.1000000000000001</v>
      </c>
      <c r="AP802" s="1638"/>
      <c r="AQ802" s="1638"/>
      <c r="AR802" s="1638"/>
      <c r="AS802" s="1639"/>
      <c r="AT802" s="1638"/>
      <c r="AU802" s="1638"/>
      <c r="AV802" s="1638"/>
      <c r="AW802" s="1639"/>
      <c r="AX802" s="1640"/>
      <c r="AY802" s="1640"/>
      <c r="AZ802" s="1640"/>
      <c r="BA802" s="1641"/>
      <c r="BB802" s="1640"/>
      <c r="BC802" s="1640"/>
      <c r="BD802" s="1640"/>
      <c r="BE802" s="1644">
        <v>3.3</v>
      </c>
      <c r="BF802" s="1640"/>
      <c r="BG802" s="1640"/>
      <c r="BH802" s="1640"/>
      <c r="BI802" s="1641"/>
      <c r="BJ802" s="1640"/>
      <c r="BK802" s="1640"/>
      <c r="BL802" s="1640"/>
      <c r="BM802" s="1641"/>
      <c r="BN802" s="1640"/>
      <c r="BO802" s="1640"/>
      <c r="BP802" s="1640"/>
      <c r="BQ802" s="1641"/>
      <c r="BR802" s="1640"/>
      <c r="BS802" s="1640"/>
      <c r="BT802" s="1640"/>
      <c r="BU802" s="1641">
        <v>6</v>
      </c>
      <c r="BV802" s="1640"/>
      <c r="BW802" s="1640"/>
      <c r="BX802" s="1640"/>
      <c r="BY802" s="1641"/>
      <c r="BZ802" s="1640"/>
      <c r="CA802" s="1640"/>
      <c r="CB802" s="1640"/>
      <c r="CC802" s="1641"/>
      <c r="CD802" s="1640"/>
      <c r="CE802" s="1640"/>
      <c r="CF802" s="1640"/>
      <c r="CG802" s="1642"/>
      <c r="CH802" s="1641">
        <f t="shared" si="543"/>
        <v>2.8</v>
      </c>
      <c r="CI802" s="1641">
        <f t="shared" si="543"/>
        <v>0</v>
      </c>
      <c r="CJ802" s="1641">
        <f t="shared" si="543"/>
        <v>0</v>
      </c>
      <c r="CK802" s="1641">
        <f t="shared" si="543"/>
        <v>0</v>
      </c>
      <c r="CL802" s="1889">
        <v>2.8</v>
      </c>
      <c r="CM802" s="1889">
        <v>0</v>
      </c>
      <c r="CN802" s="1889">
        <v>0</v>
      </c>
      <c r="CO802" s="1889">
        <v>0</v>
      </c>
      <c r="CP802" s="1641"/>
      <c r="CQ802" s="1640"/>
      <c r="CR802" s="1640"/>
      <c r="CS802" s="1640"/>
    </row>
    <row r="803" spans="1:107" ht="15" thickBot="1" x14ac:dyDescent="0.2">
      <c r="A803" s="1541" t="s">
        <v>94</v>
      </c>
      <c r="B803" s="1523" t="s">
        <v>79</v>
      </c>
      <c r="C803" s="1523" t="s">
        <v>80</v>
      </c>
      <c r="D803" s="1523" t="s">
        <v>125</v>
      </c>
      <c r="E803" s="1523" t="s">
        <v>216</v>
      </c>
      <c r="F803" s="1523"/>
      <c r="G803" s="1667" t="s">
        <v>95</v>
      </c>
      <c r="H803" s="1501"/>
      <c r="I803" s="1501"/>
      <c r="J803" s="1630"/>
      <c r="K803" s="1630"/>
      <c r="L803" s="1631"/>
      <c r="M803" s="1631"/>
      <c r="N803" s="1631"/>
      <c r="O803" s="1631"/>
      <c r="P803" s="1631"/>
      <c r="Q803" s="1631"/>
      <c r="R803" s="1631"/>
      <c r="S803" s="1631"/>
      <c r="T803" s="1632"/>
      <c r="U803" s="1633"/>
      <c r="V803" s="1633"/>
      <c r="W803" s="1634"/>
      <c r="X803" s="1634"/>
      <c r="Y803" s="1634"/>
      <c r="Z803" s="1635"/>
      <c r="AA803" s="1634">
        <f t="shared" si="532"/>
        <v>0</v>
      </c>
      <c r="AB803" s="1634"/>
      <c r="AC803" s="1508">
        <f t="shared" si="537"/>
        <v>0</v>
      </c>
      <c r="AD803" s="1509">
        <f t="shared" si="538"/>
        <v>0</v>
      </c>
      <c r="AE803" s="1509">
        <f t="shared" si="539"/>
        <v>0</v>
      </c>
      <c r="AF803" s="1509">
        <f t="shared" si="539"/>
        <v>0</v>
      </c>
      <c r="AG803" s="1509">
        <f t="shared" si="539"/>
        <v>0</v>
      </c>
      <c r="AH803" s="1490">
        <f t="shared" si="533"/>
        <v>0</v>
      </c>
      <c r="AI803" s="1636">
        <f t="shared" si="540"/>
        <v>0</v>
      </c>
      <c r="AJ803" s="1636">
        <f t="shared" si="541"/>
        <v>0</v>
      </c>
      <c r="AK803" s="1636">
        <f t="shared" si="542"/>
        <v>0</v>
      </c>
      <c r="AL803" s="1636">
        <f t="shared" si="535"/>
        <v>0</v>
      </c>
      <c r="AM803" s="1636">
        <f t="shared" si="535"/>
        <v>0</v>
      </c>
      <c r="AN803" s="1637"/>
      <c r="AO803" s="1722">
        <v>0</v>
      </c>
      <c r="AP803" s="1638"/>
      <c r="AQ803" s="1638"/>
      <c r="AR803" s="1638"/>
      <c r="AS803" s="1639"/>
      <c r="AT803" s="1638"/>
      <c r="AU803" s="1638"/>
      <c r="AV803" s="1638"/>
      <c r="AW803" s="1639"/>
      <c r="AX803" s="1640"/>
      <c r="AY803" s="1640"/>
      <c r="AZ803" s="1640"/>
      <c r="BA803" s="1641"/>
      <c r="BB803" s="1640"/>
      <c r="BC803" s="1640"/>
      <c r="BD803" s="1640"/>
      <c r="BE803" s="1644"/>
      <c r="BF803" s="1640"/>
      <c r="BG803" s="1640"/>
      <c r="BH803" s="1640"/>
      <c r="BI803" s="1641"/>
      <c r="BJ803" s="1640"/>
      <c r="BK803" s="1640"/>
      <c r="BL803" s="1640"/>
      <c r="BM803" s="1641"/>
      <c r="BN803" s="1640"/>
      <c r="BO803" s="1640"/>
      <c r="BP803" s="1640"/>
      <c r="BQ803" s="1641"/>
      <c r="BR803" s="1640"/>
      <c r="BS803" s="1640"/>
      <c r="BT803" s="1640"/>
      <c r="BU803" s="1641"/>
      <c r="BV803" s="1640"/>
      <c r="BW803" s="1640"/>
      <c r="BX803" s="1640"/>
      <c r="BY803" s="1641"/>
      <c r="BZ803" s="1640"/>
      <c r="CA803" s="1640"/>
      <c r="CB803" s="1640"/>
      <c r="CC803" s="1641"/>
      <c r="CD803" s="1640"/>
      <c r="CE803" s="1640"/>
      <c r="CF803" s="1640"/>
      <c r="CG803" s="1642"/>
      <c r="CH803" s="1641">
        <f t="shared" si="543"/>
        <v>0</v>
      </c>
      <c r="CI803" s="1641">
        <f t="shared" si="543"/>
        <v>0</v>
      </c>
      <c r="CJ803" s="1641">
        <f t="shared" si="543"/>
        <v>0</v>
      </c>
      <c r="CK803" s="1641">
        <f t="shared" si="543"/>
        <v>0</v>
      </c>
      <c r="CL803" s="1889">
        <v>0</v>
      </c>
      <c r="CM803" s="1889">
        <v>0</v>
      </c>
      <c r="CN803" s="1889">
        <v>0</v>
      </c>
      <c r="CO803" s="1889">
        <v>0</v>
      </c>
      <c r="CP803" s="1641"/>
      <c r="CQ803" s="1640"/>
      <c r="CR803" s="1640"/>
      <c r="CS803" s="1640"/>
    </row>
    <row r="804" spans="1:107" ht="15" thickBot="1" x14ac:dyDescent="0.2">
      <c r="A804" s="1541" t="s">
        <v>96</v>
      </c>
      <c r="B804" s="1523" t="s">
        <v>79</v>
      </c>
      <c r="C804" s="1523" t="s">
        <v>80</v>
      </c>
      <c r="D804" s="1523" t="s">
        <v>125</v>
      </c>
      <c r="E804" s="1523" t="s">
        <v>216</v>
      </c>
      <c r="F804" s="1523"/>
      <c r="G804" s="1667">
        <v>310</v>
      </c>
      <c r="H804" s="1501">
        <f>170-10</f>
        <v>160</v>
      </c>
      <c r="I804" s="1501"/>
      <c r="J804" s="1630"/>
      <c r="K804" s="1630">
        <f>150-U804</f>
        <v>0</v>
      </c>
      <c r="L804" s="1631"/>
      <c r="M804" s="1631"/>
      <c r="N804" s="1631"/>
      <c r="O804" s="1631"/>
      <c r="P804" s="1631"/>
      <c r="Q804" s="1631"/>
      <c r="R804" s="1631"/>
      <c r="S804" s="1631"/>
      <c r="T804" s="1632"/>
      <c r="U804" s="1633">
        <v>150</v>
      </c>
      <c r="V804" s="1633"/>
      <c r="W804" s="1634"/>
      <c r="X804" s="1634"/>
      <c r="Y804" s="1634"/>
      <c r="Z804" s="1635"/>
      <c r="AA804" s="1634">
        <f>AB804-Z804</f>
        <v>0</v>
      </c>
      <c r="AB804" s="1634"/>
      <c r="AC804" s="1508">
        <f t="shared" si="537"/>
        <v>160</v>
      </c>
      <c r="AD804" s="1509">
        <f t="shared" si="538"/>
        <v>0</v>
      </c>
      <c r="AE804" s="1509">
        <f t="shared" si="539"/>
        <v>0</v>
      </c>
      <c r="AF804" s="1509">
        <f t="shared" si="539"/>
        <v>0</v>
      </c>
      <c r="AG804" s="1509">
        <f t="shared" si="539"/>
        <v>0</v>
      </c>
      <c r="AH804" s="1490">
        <f t="shared" si="533"/>
        <v>35</v>
      </c>
      <c r="AI804" s="1636">
        <f t="shared" si="540"/>
        <v>0</v>
      </c>
      <c r="AJ804" s="1636">
        <f t="shared" si="541"/>
        <v>0</v>
      </c>
      <c r="AK804" s="1636">
        <f t="shared" si="542"/>
        <v>0</v>
      </c>
      <c r="AL804" s="1636">
        <f t="shared" si="535"/>
        <v>0</v>
      </c>
      <c r="AM804" s="1636">
        <f t="shared" si="535"/>
        <v>0</v>
      </c>
      <c r="AN804" s="1637"/>
      <c r="AO804" s="1723"/>
      <c r="AP804" s="1638"/>
      <c r="AQ804" s="1638"/>
      <c r="AR804" s="1638"/>
      <c r="AS804" s="1639"/>
      <c r="AT804" s="1638"/>
      <c r="AU804" s="1638"/>
      <c r="AV804" s="1638"/>
      <c r="AW804" s="1639"/>
      <c r="AX804" s="1640"/>
      <c r="AY804" s="1640"/>
      <c r="AZ804" s="1640"/>
      <c r="BA804" s="1641"/>
      <c r="BB804" s="1640"/>
      <c r="BC804" s="1640"/>
      <c r="BD804" s="1640"/>
      <c r="BE804" s="1644"/>
      <c r="BF804" s="1640"/>
      <c r="BG804" s="1640"/>
      <c r="BH804" s="1640"/>
      <c r="BI804" s="1641">
        <v>50</v>
      </c>
      <c r="BJ804" s="1640"/>
      <c r="BK804" s="1640"/>
      <c r="BL804" s="1640"/>
      <c r="BM804" s="1641">
        <v>75</v>
      </c>
      <c r="BN804" s="1640"/>
      <c r="BO804" s="1640"/>
      <c r="BP804" s="1640"/>
      <c r="BQ804" s="1641"/>
      <c r="BR804" s="1640"/>
      <c r="BS804" s="1640"/>
      <c r="BT804" s="1640"/>
      <c r="BU804" s="1641"/>
      <c r="BV804" s="1640"/>
      <c r="BW804" s="1640"/>
      <c r="BX804" s="1640"/>
      <c r="BY804" s="1641"/>
      <c r="BZ804" s="1640"/>
      <c r="CA804" s="1640"/>
      <c r="CB804" s="1640"/>
      <c r="CC804" s="1641"/>
      <c r="CD804" s="1640"/>
      <c r="CE804" s="1640"/>
      <c r="CF804" s="1640"/>
      <c r="CG804" s="1642"/>
      <c r="CH804" s="1641">
        <f t="shared" si="543"/>
        <v>35</v>
      </c>
      <c r="CI804" s="1641">
        <f t="shared" si="543"/>
        <v>0</v>
      </c>
      <c r="CJ804" s="1641">
        <f t="shared" si="543"/>
        <v>0</v>
      </c>
      <c r="CK804" s="1641">
        <f t="shared" si="543"/>
        <v>0</v>
      </c>
      <c r="CL804" s="1889">
        <v>35</v>
      </c>
      <c r="CM804" s="1889">
        <v>0</v>
      </c>
      <c r="CN804" s="1889">
        <v>0</v>
      </c>
      <c r="CO804" s="1889">
        <v>0</v>
      </c>
      <c r="CP804" s="1641"/>
      <c r="CQ804" s="1640"/>
      <c r="CR804" s="1640"/>
      <c r="CS804" s="1640"/>
    </row>
    <row r="805" spans="1:107" ht="15" thickBot="1" x14ac:dyDescent="0.2">
      <c r="A805" s="1541" t="s">
        <v>97</v>
      </c>
      <c r="B805" s="1523" t="s">
        <v>79</v>
      </c>
      <c r="C805" s="1523" t="s">
        <v>80</v>
      </c>
      <c r="D805" s="1523" t="s">
        <v>125</v>
      </c>
      <c r="E805" s="1523" t="s">
        <v>216</v>
      </c>
      <c r="F805" s="1523"/>
      <c r="G805" s="1667">
        <v>340</v>
      </c>
      <c r="H805" s="1501">
        <v>0</v>
      </c>
      <c r="I805" s="1501"/>
      <c r="J805" s="1630"/>
      <c r="K805" s="1630"/>
      <c r="L805" s="1631"/>
      <c r="M805" s="1631"/>
      <c r="N805" s="1631"/>
      <c r="O805" s="1631"/>
      <c r="P805" s="1631"/>
      <c r="Q805" s="1631"/>
      <c r="R805" s="1631"/>
      <c r="S805" s="1631"/>
      <c r="T805" s="1632"/>
      <c r="U805" s="1633"/>
      <c r="V805" s="1633"/>
      <c r="W805" s="1634"/>
      <c r="X805" s="1634"/>
      <c r="Y805" s="1634"/>
      <c r="Z805" s="1635"/>
      <c r="AA805" s="1634">
        <f t="shared" ref="AA805:AA828" si="544">AB805-Z805</f>
        <v>0</v>
      </c>
      <c r="AB805" s="1634"/>
      <c r="AC805" s="1508">
        <f t="shared" si="537"/>
        <v>0</v>
      </c>
      <c r="AD805" s="1509">
        <f t="shared" si="538"/>
        <v>0</v>
      </c>
      <c r="AE805" s="1509">
        <f t="shared" si="539"/>
        <v>0</v>
      </c>
      <c r="AF805" s="1509">
        <f t="shared" si="539"/>
        <v>0</v>
      </c>
      <c r="AG805" s="1509">
        <f t="shared" si="539"/>
        <v>0</v>
      </c>
      <c r="AH805" s="1490">
        <f t="shared" si="533"/>
        <v>0</v>
      </c>
      <c r="AI805" s="1636">
        <f t="shared" si="540"/>
        <v>0</v>
      </c>
      <c r="AJ805" s="1636">
        <f t="shared" si="541"/>
        <v>0</v>
      </c>
      <c r="AK805" s="1636">
        <f t="shared" si="542"/>
        <v>0</v>
      </c>
      <c r="AL805" s="1636">
        <f t="shared" si="535"/>
        <v>0</v>
      </c>
      <c r="AM805" s="1636">
        <f t="shared" si="535"/>
        <v>0</v>
      </c>
      <c r="AN805" s="1637"/>
      <c r="AO805" s="1722">
        <v>0</v>
      </c>
      <c r="AP805" s="1638"/>
      <c r="AQ805" s="1638"/>
      <c r="AR805" s="1638"/>
      <c r="AS805" s="1639"/>
      <c r="AT805" s="1638"/>
      <c r="AU805" s="1638"/>
      <c r="AV805" s="1638"/>
      <c r="AW805" s="1639"/>
      <c r="AX805" s="1640"/>
      <c r="AY805" s="1640"/>
      <c r="AZ805" s="1640"/>
      <c r="BA805" s="1641"/>
      <c r="BB805" s="1640"/>
      <c r="BC805" s="1640"/>
      <c r="BD805" s="1640"/>
      <c r="BE805" s="1644"/>
      <c r="BF805" s="1640"/>
      <c r="BG805" s="1640"/>
      <c r="BH805" s="1640"/>
      <c r="BI805" s="1641"/>
      <c r="BJ805" s="1640"/>
      <c r="BK805" s="1640"/>
      <c r="BL805" s="1640"/>
      <c r="BM805" s="1641"/>
      <c r="BN805" s="1640"/>
      <c r="BO805" s="1640"/>
      <c r="BP805" s="1640"/>
      <c r="BQ805" s="1641"/>
      <c r="BR805" s="1640"/>
      <c r="BS805" s="1640"/>
      <c r="BT805" s="1640"/>
      <c r="BU805" s="1641"/>
      <c r="BV805" s="1640"/>
      <c r="BW805" s="1640"/>
      <c r="BX805" s="1640"/>
      <c r="BY805" s="1641"/>
      <c r="BZ805" s="1640"/>
      <c r="CA805" s="1640"/>
      <c r="CB805" s="1640"/>
      <c r="CC805" s="1641"/>
      <c r="CD805" s="1640"/>
      <c r="CE805" s="1640"/>
      <c r="CF805" s="1640"/>
      <c r="CG805" s="1642"/>
      <c r="CH805" s="1641">
        <f t="shared" si="543"/>
        <v>0</v>
      </c>
      <c r="CI805" s="1641">
        <f t="shared" si="543"/>
        <v>0</v>
      </c>
      <c r="CJ805" s="1641">
        <f t="shared" si="543"/>
        <v>0</v>
      </c>
      <c r="CK805" s="1641">
        <f t="shared" si="543"/>
        <v>0</v>
      </c>
      <c r="CL805" s="1889">
        <v>0</v>
      </c>
      <c r="CM805" s="1889">
        <v>0</v>
      </c>
      <c r="CN805" s="1889">
        <v>0</v>
      </c>
      <c r="CO805" s="1889">
        <v>0</v>
      </c>
      <c r="CP805" s="1641"/>
      <c r="CQ805" s="1640"/>
      <c r="CR805" s="1640"/>
      <c r="CS805" s="1640"/>
    </row>
    <row r="806" spans="1:107" ht="15" thickBot="1" x14ac:dyDescent="0.2">
      <c r="A806" s="1528" t="s">
        <v>767</v>
      </c>
      <c r="B806" s="1530" t="s">
        <v>79</v>
      </c>
      <c r="C806" s="1530" t="s">
        <v>80</v>
      </c>
      <c r="D806" s="1530" t="s">
        <v>125</v>
      </c>
      <c r="E806" s="1530" t="s">
        <v>216</v>
      </c>
      <c r="F806" s="1530">
        <v>612</v>
      </c>
      <c r="G806" s="1687" t="s">
        <v>766</v>
      </c>
      <c r="H806" s="1647">
        <f>I792</f>
        <v>0</v>
      </c>
      <c r="I806" s="1645"/>
      <c r="J806" s="1630"/>
      <c r="K806" s="1630"/>
      <c r="L806" s="1631"/>
      <c r="M806" s="1631"/>
      <c r="N806" s="1631"/>
      <c r="O806" s="1631"/>
      <c r="P806" s="1631"/>
      <c r="Q806" s="1631"/>
      <c r="R806" s="1631"/>
      <c r="S806" s="1631"/>
      <c r="T806" s="1632"/>
      <c r="U806" s="1633"/>
      <c r="V806" s="1633"/>
      <c r="W806" s="1634"/>
      <c r="X806" s="1634"/>
      <c r="Y806" s="1634"/>
      <c r="Z806" s="1635"/>
      <c r="AA806" s="1634">
        <f t="shared" si="544"/>
        <v>0</v>
      </c>
      <c r="AB806" s="1634"/>
      <c r="AC806" s="1508"/>
      <c r="AD806" s="1509"/>
      <c r="AE806" s="1509"/>
      <c r="AF806" s="1509"/>
      <c r="AG806" s="1509"/>
      <c r="AH806" s="1490">
        <f t="shared" si="533"/>
        <v>0</v>
      </c>
      <c r="AI806" s="1636"/>
      <c r="AJ806" s="1636"/>
      <c r="AK806" s="1636"/>
      <c r="AL806" s="1636">
        <f t="shared" si="535"/>
        <v>0</v>
      </c>
      <c r="AM806" s="1636"/>
      <c r="AN806" s="1712"/>
      <c r="AO806" s="1713"/>
      <c r="AP806" s="1638"/>
      <c r="AQ806" s="1638"/>
      <c r="AR806" s="1638"/>
      <c r="AS806" s="1639"/>
      <c r="AT806" s="1638"/>
      <c r="AU806" s="1638"/>
      <c r="AV806" s="1638"/>
      <c r="AW806" s="1639"/>
      <c r="AX806" s="1640"/>
      <c r="AY806" s="1640"/>
      <c r="AZ806" s="1640"/>
      <c r="BA806" s="1641"/>
      <c r="BB806" s="1640"/>
      <c r="BC806" s="1640"/>
      <c r="BD806" s="1640"/>
      <c r="BE806" s="1644"/>
      <c r="BF806" s="1640"/>
      <c r="BG806" s="1640"/>
      <c r="BH806" s="1640"/>
      <c r="BI806" s="1641"/>
      <c r="BJ806" s="1640"/>
      <c r="BK806" s="1640"/>
      <c r="BL806" s="1640"/>
      <c r="BM806" s="1641"/>
      <c r="BN806" s="1640"/>
      <c r="BO806" s="1640"/>
      <c r="BP806" s="1640"/>
      <c r="BQ806" s="1641"/>
      <c r="BR806" s="1640"/>
      <c r="BS806" s="1640"/>
      <c r="BT806" s="1640"/>
      <c r="BU806" s="1641"/>
      <c r="BV806" s="1640"/>
      <c r="BW806" s="1640"/>
      <c r="BX806" s="1640"/>
      <c r="BY806" s="1641"/>
      <c r="BZ806" s="1640"/>
      <c r="CA806" s="1640"/>
      <c r="CB806" s="1640"/>
      <c r="CC806" s="1641"/>
      <c r="CD806" s="1640"/>
      <c r="CE806" s="1640"/>
      <c r="CF806" s="1640"/>
      <c r="CG806" s="1642"/>
      <c r="CH806" s="1641">
        <f t="shared" si="543"/>
        <v>0</v>
      </c>
      <c r="CI806" s="1641">
        <f t="shared" si="543"/>
        <v>0</v>
      </c>
      <c r="CJ806" s="1641">
        <f t="shared" si="543"/>
        <v>0</v>
      </c>
      <c r="CK806" s="1641">
        <f t="shared" si="543"/>
        <v>0</v>
      </c>
      <c r="CL806" s="1898"/>
      <c r="CM806" s="1898"/>
      <c r="CN806" s="1889">
        <v>0</v>
      </c>
      <c r="CO806" s="1898"/>
      <c r="CP806" s="1641"/>
      <c r="CQ806" s="1640"/>
      <c r="CR806" s="1640"/>
      <c r="CS806" s="1640"/>
    </row>
    <row r="807" spans="1:107" s="1886" customFormat="1" ht="27" thickBot="1" x14ac:dyDescent="0.2">
      <c r="A807" s="1873" t="s">
        <v>1294</v>
      </c>
      <c r="B807" s="1941" t="s">
        <v>79</v>
      </c>
      <c r="C807" s="1941" t="s">
        <v>80</v>
      </c>
      <c r="D807" s="1941" t="s">
        <v>125</v>
      </c>
      <c r="E807" s="1941" t="s">
        <v>216</v>
      </c>
      <c r="F807" s="1941">
        <v>600</v>
      </c>
      <c r="G807" s="1874"/>
      <c r="H807" s="1606">
        <f>H808+H822</f>
        <v>5608.2</v>
      </c>
      <c r="I807" s="1606">
        <f>I808+I822</f>
        <v>0</v>
      </c>
      <c r="J807" s="1606">
        <f>J808+J822</f>
        <v>0</v>
      </c>
      <c r="K807" s="1606">
        <f t="shared" ref="K807:CF807" si="545">K808+K822</f>
        <v>0</v>
      </c>
      <c r="L807" s="1607"/>
      <c r="M807" s="1607"/>
      <c r="N807" s="1607"/>
      <c r="O807" s="1607"/>
      <c r="P807" s="1607"/>
      <c r="Q807" s="1607"/>
      <c r="R807" s="1607"/>
      <c r="S807" s="1607"/>
      <c r="T807" s="1608"/>
      <c r="U807" s="1609"/>
      <c r="V807" s="1609"/>
      <c r="W807" s="1610"/>
      <c r="X807" s="1610"/>
      <c r="Y807" s="1610"/>
      <c r="Z807" s="1611"/>
      <c r="AA807" s="1634">
        <f t="shared" si="544"/>
        <v>0</v>
      </c>
      <c r="AB807" s="1610"/>
      <c r="AC807" s="1612">
        <f t="shared" si="545"/>
        <v>5608.2</v>
      </c>
      <c r="AD807" s="1612">
        <f t="shared" si="545"/>
        <v>0</v>
      </c>
      <c r="AE807" s="1612">
        <f t="shared" si="545"/>
        <v>0</v>
      </c>
      <c r="AF807" s="1612">
        <f t="shared" si="545"/>
        <v>0</v>
      </c>
      <c r="AG807" s="1612">
        <f t="shared" si="545"/>
        <v>0</v>
      </c>
      <c r="AH807" s="1490">
        <f t="shared" si="533"/>
        <v>207.42</v>
      </c>
      <c r="AI807" s="1613">
        <f t="shared" si="545"/>
        <v>0</v>
      </c>
      <c r="AJ807" s="1613">
        <f t="shared" si="545"/>
        <v>0</v>
      </c>
      <c r="AK807" s="1613">
        <f t="shared" si="545"/>
        <v>0</v>
      </c>
      <c r="AL807" s="1636">
        <f t="shared" si="535"/>
        <v>0</v>
      </c>
      <c r="AM807" s="1613">
        <f t="shared" si="545"/>
        <v>0</v>
      </c>
      <c r="AN807" s="1614"/>
      <c r="AO807" s="1606">
        <f t="shared" si="545"/>
        <v>453.50000000000006</v>
      </c>
      <c r="AP807" s="1606">
        <f t="shared" si="545"/>
        <v>0</v>
      </c>
      <c r="AQ807" s="1606">
        <f t="shared" si="545"/>
        <v>0</v>
      </c>
      <c r="AR807" s="1606">
        <f t="shared" si="545"/>
        <v>0</v>
      </c>
      <c r="AS807" s="1611">
        <f t="shared" si="545"/>
        <v>450.90000000000003</v>
      </c>
      <c r="AT807" s="1606">
        <f t="shared" si="545"/>
        <v>0</v>
      </c>
      <c r="AU807" s="1606">
        <f t="shared" si="545"/>
        <v>0</v>
      </c>
      <c r="AV807" s="1606">
        <f t="shared" si="545"/>
        <v>0</v>
      </c>
      <c r="AW807" s="1611">
        <f t="shared" si="545"/>
        <v>445.70000000000005</v>
      </c>
      <c r="AX807" s="1606">
        <f t="shared" si="545"/>
        <v>0</v>
      </c>
      <c r="AY807" s="1606">
        <f t="shared" si="545"/>
        <v>0</v>
      </c>
      <c r="AZ807" s="1606">
        <f t="shared" si="545"/>
        <v>0</v>
      </c>
      <c r="BA807" s="1614">
        <f t="shared" si="545"/>
        <v>445.70000000000005</v>
      </c>
      <c r="BB807" s="1606">
        <f t="shared" si="545"/>
        <v>0</v>
      </c>
      <c r="BC807" s="1606">
        <f t="shared" si="545"/>
        <v>0</v>
      </c>
      <c r="BD807" s="1606">
        <f t="shared" si="545"/>
        <v>0</v>
      </c>
      <c r="BE807" s="1615">
        <f t="shared" si="545"/>
        <v>449.6</v>
      </c>
      <c r="BF807" s="1606">
        <f t="shared" si="545"/>
        <v>0</v>
      </c>
      <c r="BG807" s="1606">
        <f t="shared" si="545"/>
        <v>0</v>
      </c>
      <c r="BH807" s="1606">
        <f t="shared" si="545"/>
        <v>0</v>
      </c>
      <c r="BI807" s="1614">
        <f t="shared" si="545"/>
        <v>397.46</v>
      </c>
      <c r="BJ807" s="1606">
        <f t="shared" si="545"/>
        <v>0</v>
      </c>
      <c r="BK807" s="1606">
        <f t="shared" si="545"/>
        <v>0</v>
      </c>
      <c r="BL807" s="1606">
        <f t="shared" si="545"/>
        <v>0</v>
      </c>
      <c r="BM807" s="1614">
        <f t="shared" si="545"/>
        <v>1039.6400000000001</v>
      </c>
      <c r="BN807" s="1606">
        <f t="shared" si="545"/>
        <v>0</v>
      </c>
      <c r="BO807" s="1606">
        <f t="shared" si="545"/>
        <v>0</v>
      </c>
      <c r="BP807" s="1606">
        <f t="shared" si="545"/>
        <v>0</v>
      </c>
      <c r="BQ807" s="1614">
        <f t="shared" si="545"/>
        <v>505.75000000000006</v>
      </c>
      <c r="BR807" s="1606">
        <f t="shared" si="545"/>
        <v>0</v>
      </c>
      <c r="BS807" s="1606">
        <f t="shared" si="545"/>
        <v>0</v>
      </c>
      <c r="BT807" s="1606">
        <f t="shared" si="545"/>
        <v>0</v>
      </c>
      <c r="BU807" s="1614">
        <f t="shared" si="545"/>
        <v>341.2</v>
      </c>
      <c r="BV807" s="1606">
        <f t="shared" si="545"/>
        <v>0</v>
      </c>
      <c r="BW807" s="1606">
        <f t="shared" si="545"/>
        <v>0</v>
      </c>
      <c r="BX807" s="1606">
        <f t="shared" si="545"/>
        <v>0</v>
      </c>
      <c r="BY807" s="1614">
        <f t="shared" si="545"/>
        <v>111.12</v>
      </c>
      <c r="BZ807" s="1606">
        <f t="shared" si="545"/>
        <v>0</v>
      </c>
      <c r="CA807" s="1606">
        <f t="shared" si="545"/>
        <v>0</v>
      </c>
      <c r="CB807" s="1606">
        <f t="shared" si="545"/>
        <v>0</v>
      </c>
      <c r="CC807" s="1614">
        <f t="shared" si="545"/>
        <v>760.21</v>
      </c>
      <c r="CD807" s="1606">
        <f t="shared" si="545"/>
        <v>0</v>
      </c>
      <c r="CE807" s="1606">
        <f t="shared" si="545"/>
        <v>0</v>
      </c>
      <c r="CF807" s="1606">
        <f t="shared" si="545"/>
        <v>0</v>
      </c>
      <c r="CG807" s="1616"/>
      <c r="CH807" s="1641">
        <f t="shared" si="543"/>
        <v>207.42</v>
      </c>
      <c r="CI807" s="1641">
        <f t="shared" si="543"/>
        <v>0</v>
      </c>
      <c r="CJ807" s="1641">
        <f t="shared" si="543"/>
        <v>0</v>
      </c>
      <c r="CK807" s="1641">
        <f t="shared" si="543"/>
        <v>0</v>
      </c>
      <c r="CL807" s="1943">
        <v>207.42</v>
      </c>
      <c r="CM807" s="1943">
        <v>0</v>
      </c>
      <c r="CN807" s="1889">
        <v>0</v>
      </c>
      <c r="CO807" s="1943">
        <v>0</v>
      </c>
      <c r="CP807" s="1614">
        <f>CP808+CP822</f>
        <v>0</v>
      </c>
      <c r="CQ807" s="1606">
        <f>CQ808+CQ822</f>
        <v>0</v>
      </c>
      <c r="CR807" s="1606">
        <f>CR808+CR822</f>
        <v>0</v>
      </c>
      <c r="CS807" s="1606">
        <f>CS808+CS822</f>
        <v>0</v>
      </c>
      <c r="CT807" s="1885"/>
      <c r="CU807" s="1885"/>
      <c r="CV807" s="1885"/>
      <c r="CW807" s="1885"/>
      <c r="CY807" s="1885"/>
    </row>
    <row r="808" spans="1:107" ht="53" thickBot="1" x14ac:dyDescent="0.2">
      <c r="A808" s="1748" t="s">
        <v>1135</v>
      </c>
      <c r="B808" s="1749" t="s">
        <v>79</v>
      </c>
      <c r="C808" s="1749" t="s">
        <v>80</v>
      </c>
      <c r="D808" s="1749" t="s">
        <v>125</v>
      </c>
      <c r="E808" s="1749" t="s">
        <v>216</v>
      </c>
      <c r="F808" s="1749" t="s">
        <v>765</v>
      </c>
      <c r="G808" s="1600" t="s">
        <v>766</v>
      </c>
      <c r="H808" s="1531">
        <f>H809+H810+H811+H812+H813+H814+H815+H816+H817+H818+H819+H820+H821</f>
        <v>5608.2</v>
      </c>
      <c r="I808" s="1531">
        <f>I809+I810+I811+I812+I813+I814+I815+I816+I817+I818+I819+I820+I821</f>
        <v>0</v>
      </c>
      <c r="J808" s="1531">
        <f>J809+J810+J811+J812+J813+J814+J815+J816+J817+J818+J819+J820+J821</f>
        <v>0</v>
      </c>
      <c r="K808" s="1531">
        <f t="shared" ref="K808:CF808" si="546">K809+K810+K811+K812+K813+K814+K815+K816+K817+K818+K819+K820+K821</f>
        <v>0</v>
      </c>
      <c r="L808" s="1601"/>
      <c r="M808" s="1601"/>
      <c r="N808" s="1601"/>
      <c r="O808" s="1601"/>
      <c r="P808" s="1601"/>
      <c r="Q808" s="1601"/>
      <c r="R808" s="1601"/>
      <c r="S808" s="1601"/>
      <c r="T808" s="1602"/>
      <c r="U808" s="1533"/>
      <c r="V808" s="1533"/>
      <c r="W808" s="1534"/>
      <c r="X808" s="1534"/>
      <c r="Y808" s="1534"/>
      <c r="Z808" s="1535"/>
      <c r="AA808" s="1634">
        <f t="shared" si="544"/>
        <v>0</v>
      </c>
      <c r="AB808" s="1534"/>
      <c r="AC808" s="1603">
        <f t="shared" si="546"/>
        <v>5608.2</v>
      </c>
      <c r="AD808" s="1603">
        <f t="shared" si="546"/>
        <v>0</v>
      </c>
      <c r="AE808" s="1603">
        <f t="shared" si="546"/>
        <v>0</v>
      </c>
      <c r="AF808" s="1603">
        <f t="shared" si="546"/>
        <v>0</v>
      </c>
      <c r="AG808" s="1603">
        <f t="shared" si="546"/>
        <v>0</v>
      </c>
      <c r="AH808" s="1490">
        <f t="shared" si="533"/>
        <v>207.42</v>
      </c>
      <c r="AI808" s="1592">
        <f t="shared" si="546"/>
        <v>0</v>
      </c>
      <c r="AJ808" s="1592">
        <f t="shared" si="546"/>
        <v>0</v>
      </c>
      <c r="AK808" s="1592">
        <f t="shared" si="546"/>
        <v>0</v>
      </c>
      <c r="AL808" s="1636">
        <f t="shared" si="535"/>
        <v>0</v>
      </c>
      <c r="AM808" s="1592">
        <f t="shared" si="546"/>
        <v>0</v>
      </c>
      <c r="AN808" s="1717"/>
      <c r="AO808" s="1718">
        <f t="shared" si="546"/>
        <v>453.50000000000006</v>
      </c>
      <c r="AP808" s="1531">
        <f t="shared" si="546"/>
        <v>0</v>
      </c>
      <c r="AQ808" s="1531">
        <f t="shared" si="546"/>
        <v>0</v>
      </c>
      <c r="AR808" s="1531">
        <f t="shared" si="546"/>
        <v>0</v>
      </c>
      <c r="AS808" s="1535">
        <f t="shared" si="546"/>
        <v>450.90000000000003</v>
      </c>
      <c r="AT808" s="1531">
        <f t="shared" si="546"/>
        <v>0</v>
      </c>
      <c r="AU808" s="1531">
        <f t="shared" si="546"/>
        <v>0</v>
      </c>
      <c r="AV808" s="1531">
        <f t="shared" si="546"/>
        <v>0</v>
      </c>
      <c r="AW808" s="1535">
        <f t="shared" si="546"/>
        <v>445.70000000000005</v>
      </c>
      <c r="AX808" s="1531">
        <f t="shared" si="546"/>
        <v>0</v>
      </c>
      <c r="AY808" s="1531">
        <f t="shared" si="546"/>
        <v>0</v>
      </c>
      <c r="AZ808" s="1531">
        <f t="shared" si="546"/>
        <v>0</v>
      </c>
      <c r="BA808" s="1538">
        <f t="shared" si="546"/>
        <v>445.70000000000005</v>
      </c>
      <c r="BB808" s="1531">
        <f t="shared" si="546"/>
        <v>0</v>
      </c>
      <c r="BC808" s="1531">
        <f t="shared" si="546"/>
        <v>0</v>
      </c>
      <c r="BD808" s="1531">
        <f t="shared" si="546"/>
        <v>0</v>
      </c>
      <c r="BE808" s="1539">
        <f t="shared" si="546"/>
        <v>449.6</v>
      </c>
      <c r="BF808" s="1531">
        <f t="shared" si="546"/>
        <v>0</v>
      </c>
      <c r="BG808" s="1531">
        <f t="shared" si="546"/>
        <v>0</v>
      </c>
      <c r="BH808" s="1531">
        <f t="shared" si="546"/>
        <v>0</v>
      </c>
      <c r="BI808" s="1538">
        <f t="shared" si="546"/>
        <v>397.46</v>
      </c>
      <c r="BJ808" s="1531">
        <f t="shared" si="546"/>
        <v>0</v>
      </c>
      <c r="BK808" s="1531">
        <f t="shared" si="546"/>
        <v>0</v>
      </c>
      <c r="BL808" s="1531">
        <f t="shared" si="546"/>
        <v>0</v>
      </c>
      <c r="BM808" s="1538">
        <f t="shared" si="546"/>
        <v>1039.6400000000001</v>
      </c>
      <c r="BN808" s="1531">
        <f t="shared" si="546"/>
        <v>0</v>
      </c>
      <c r="BO808" s="1531">
        <f t="shared" si="546"/>
        <v>0</v>
      </c>
      <c r="BP808" s="1531">
        <f t="shared" si="546"/>
        <v>0</v>
      </c>
      <c r="BQ808" s="1538">
        <f t="shared" si="546"/>
        <v>505.75000000000006</v>
      </c>
      <c r="BR808" s="1531">
        <f t="shared" si="546"/>
        <v>0</v>
      </c>
      <c r="BS808" s="1531">
        <f t="shared" si="546"/>
        <v>0</v>
      </c>
      <c r="BT808" s="1531">
        <f t="shared" si="546"/>
        <v>0</v>
      </c>
      <c r="BU808" s="1538">
        <f t="shared" si="546"/>
        <v>341.2</v>
      </c>
      <c r="BV808" s="1531">
        <f t="shared" si="546"/>
        <v>0</v>
      </c>
      <c r="BW808" s="1531">
        <f t="shared" si="546"/>
        <v>0</v>
      </c>
      <c r="BX808" s="1531">
        <f t="shared" si="546"/>
        <v>0</v>
      </c>
      <c r="BY808" s="1538">
        <f t="shared" si="546"/>
        <v>111.12</v>
      </c>
      <c r="BZ808" s="1531">
        <f t="shared" si="546"/>
        <v>0</v>
      </c>
      <c r="CA808" s="1531">
        <f t="shared" si="546"/>
        <v>0</v>
      </c>
      <c r="CB808" s="1531">
        <f t="shared" si="546"/>
        <v>0</v>
      </c>
      <c r="CC808" s="1538">
        <f t="shared" si="546"/>
        <v>760.21</v>
      </c>
      <c r="CD808" s="1531">
        <f t="shared" si="546"/>
        <v>0</v>
      </c>
      <c r="CE808" s="1531">
        <f t="shared" si="546"/>
        <v>0</v>
      </c>
      <c r="CF808" s="1531">
        <f t="shared" si="546"/>
        <v>0</v>
      </c>
      <c r="CG808" s="1705"/>
      <c r="CH808" s="1641">
        <f t="shared" si="543"/>
        <v>207.42</v>
      </c>
      <c r="CI808" s="1641">
        <f t="shared" si="543"/>
        <v>0</v>
      </c>
      <c r="CJ808" s="1641">
        <f t="shared" si="543"/>
        <v>0</v>
      </c>
      <c r="CK808" s="1641">
        <f t="shared" si="543"/>
        <v>0</v>
      </c>
      <c r="CL808" s="1902">
        <v>207.42</v>
      </c>
      <c r="CM808" s="1902">
        <v>0</v>
      </c>
      <c r="CN808" s="1889">
        <v>0</v>
      </c>
      <c r="CO808" s="1902">
        <v>0</v>
      </c>
      <c r="CP808" s="1538">
        <f>CP809+CP810+CP811+CP812+CP813+CP814+CP815+CP816+CP817+CP818+CP819+CP820+CP821</f>
        <v>0</v>
      </c>
      <c r="CQ808" s="1531">
        <f>CQ809+CQ810+CQ811+CQ812+CQ813+CQ814+CQ815+CQ816+CQ817+CQ818+CQ819+CQ820+CQ821</f>
        <v>0</v>
      </c>
      <c r="CR808" s="1531">
        <f>CR809+CR810+CR811+CR812+CR813+CR814+CR815+CR816+CR817+CR818+CR819+CR820+CR821</f>
        <v>0</v>
      </c>
      <c r="CS808" s="1531">
        <f>CS809+CS810+CS811+CS812+CS813+CS814+CS815+CS816+CS817+CS818+CS819+CS820+CS821</f>
        <v>0</v>
      </c>
    </row>
    <row r="809" spans="1:107" ht="15" thickBot="1" x14ac:dyDescent="0.2">
      <c r="A809" s="1541" t="s">
        <v>78</v>
      </c>
      <c r="B809" s="1523" t="s">
        <v>79</v>
      </c>
      <c r="C809" s="1523" t="s">
        <v>80</v>
      </c>
      <c r="D809" s="1523" t="s">
        <v>125</v>
      </c>
      <c r="E809" s="1523" t="s">
        <v>216</v>
      </c>
      <c r="F809" s="1523"/>
      <c r="G809" s="1667">
        <v>211</v>
      </c>
      <c r="H809" s="1502">
        <v>4107.6000000000004</v>
      </c>
      <c r="I809" s="1502"/>
      <c r="J809" s="1630"/>
      <c r="K809" s="1630"/>
      <c r="L809" s="1631"/>
      <c r="M809" s="1631"/>
      <c r="N809" s="1631"/>
      <c r="O809" s="1631"/>
      <c r="P809" s="1631"/>
      <c r="Q809" s="1631"/>
      <c r="R809" s="1631"/>
      <c r="S809" s="1631"/>
      <c r="T809" s="1632"/>
      <c r="U809" s="1633"/>
      <c r="V809" s="1633"/>
      <c r="W809" s="1634">
        <f>H809/12</f>
        <v>342.3</v>
      </c>
      <c r="X809" s="1634">
        <f>AO809</f>
        <v>342.3</v>
      </c>
      <c r="Y809" s="1634">
        <f>CC809</f>
        <v>593.01</v>
      </c>
      <c r="Z809" s="1635">
        <v>387.61</v>
      </c>
      <c r="AA809" s="1634">
        <f t="shared" si="544"/>
        <v>-387.61</v>
      </c>
      <c r="AB809" s="1511">
        <f>AI809</f>
        <v>0</v>
      </c>
      <c r="AC809" s="1508">
        <f t="shared" ref="AC809:AC821" si="547">AO809+AS809+AW809+BA809+BE809+BI809+BM809+BQ809+BU809+BY809+CC809+CH809</f>
        <v>4107.6000000000004</v>
      </c>
      <c r="AD809" s="1509">
        <f t="shared" ref="AD809:AD821" si="548">AE809+AF809+AG809</f>
        <v>0</v>
      </c>
      <c r="AE809" s="1509">
        <f t="shared" ref="AE809:AG821" si="549">AP809+AT809+AX809+BB809+BF809+BJ809+BN809+BR809+BV809+BZ809+CD809+CI809</f>
        <v>0</v>
      </c>
      <c r="AF809" s="1509">
        <f t="shared" si="549"/>
        <v>0</v>
      </c>
      <c r="AG809" s="1509">
        <f t="shared" si="549"/>
        <v>0</v>
      </c>
      <c r="AH809" s="1490">
        <f t="shared" si="533"/>
        <v>91.71</v>
      </c>
      <c r="AI809" s="1636">
        <f t="shared" ref="AI809:AI821" si="550">H809-AC809</f>
        <v>0</v>
      </c>
      <c r="AJ809" s="1636">
        <f t="shared" ref="AJ809:AJ821" si="551">AK809+AL809+AM809</f>
        <v>0</v>
      </c>
      <c r="AK809" s="1636">
        <f t="shared" ref="AK809:AK821" si="552">I809-AE809</f>
        <v>0</v>
      </c>
      <c r="AL809" s="1636">
        <f t="shared" si="535"/>
        <v>0</v>
      </c>
      <c r="AM809" s="1636">
        <f t="shared" si="535"/>
        <v>0</v>
      </c>
      <c r="AN809" s="1637">
        <f>AI809/4</f>
        <v>0</v>
      </c>
      <c r="AO809" s="1722">
        <v>342.3</v>
      </c>
      <c r="AP809" s="1638"/>
      <c r="AQ809" s="1638"/>
      <c r="AR809" s="1638"/>
      <c r="AS809" s="1963">
        <v>342.3</v>
      </c>
      <c r="AT809" s="1638"/>
      <c r="AU809" s="1638"/>
      <c r="AV809" s="1638"/>
      <c r="AW809" s="1722">
        <v>342.3</v>
      </c>
      <c r="AX809" s="1722"/>
      <c r="AY809" s="1640"/>
      <c r="AZ809" s="1640"/>
      <c r="BA809" s="1964">
        <v>342.3</v>
      </c>
      <c r="BB809" s="1640"/>
      <c r="BC809" s="1640"/>
      <c r="BD809" s="1640"/>
      <c r="BE809" s="1964">
        <v>342.3</v>
      </c>
      <c r="BF809" s="1640"/>
      <c r="BG809" s="1640"/>
      <c r="BH809" s="1640"/>
      <c r="BI809" s="1641">
        <f>347.46</f>
        <v>347.46</v>
      </c>
      <c r="BJ809" s="1640"/>
      <c r="BK809" s="1640"/>
      <c r="BL809" s="1640"/>
      <c r="BM809" s="1641">
        <v>684.6</v>
      </c>
      <c r="BN809" s="1640"/>
      <c r="BO809" s="1640"/>
      <c r="BP809" s="1640"/>
      <c r="BQ809" s="1641">
        <v>342.3</v>
      </c>
      <c r="BR809" s="1640"/>
      <c r="BS809" s="1640"/>
      <c r="BT809" s="1640"/>
      <c r="BU809" s="1641">
        <v>255.4</v>
      </c>
      <c r="BV809" s="1640"/>
      <c r="BW809" s="1640"/>
      <c r="BX809" s="1640"/>
      <c r="BY809" s="1641">
        <f>76.62+5</f>
        <v>81.62</v>
      </c>
      <c r="BZ809" s="1640"/>
      <c r="CA809" s="1640"/>
      <c r="CB809" s="1640"/>
      <c r="CC809" s="1641">
        <f>205.4+387.61</f>
        <v>593.01</v>
      </c>
      <c r="CD809" s="1640"/>
      <c r="CE809" s="1640"/>
      <c r="CF809" s="1640"/>
      <c r="CG809" s="1642"/>
      <c r="CH809" s="1641">
        <f t="shared" si="543"/>
        <v>91.71</v>
      </c>
      <c r="CI809" s="1641">
        <f t="shared" si="543"/>
        <v>0</v>
      </c>
      <c r="CJ809" s="1641">
        <f t="shared" si="543"/>
        <v>0</v>
      </c>
      <c r="CK809" s="1641">
        <f t="shared" si="543"/>
        <v>0</v>
      </c>
      <c r="CL809" s="1889">
        <v>91.71</v>
      </c>
      <c r="CM809" s="1889">
        <v>0</v>
      </c>
      <c r="CN809" s="1889">
        <v>0</v>
      </c>
      <c r="CO809" s="1889">
        <v>0</v>
      </c>
      <c r="CP809" s="1641"/>
      <c r="CQ809" s="1640"/>
      <c r="CR809" s="1640"/>
      <c r="CS809" s="1640"/>
      <c r="CX809" s="1558">
        <f>H809/12*10-AC809</f>
        <v>-684.60000000000036</v>
      </c>
      <c r="CY809" s="1558">
        <f>AI809/3</f>
        <v>0</v>
      </c>
      <c r="CZ809" s="1558">
        <f>H809/12</f>
        <v>342.3</v>
      </c>
      <c r="DA809" s="1559"/>
      <c r="DB809" s="1559"/>
      <c r="DC809" s="1559"/>
    </row>
    <row r="810" spans="1:107" ht="15" thickBot="1" x14ac:dyDescent="0.2">
      <c r="A810" s="1541" t="s">
        <v>103</v>
      </c>
      <c r="B810" s="1523" t="s">
        <v>79</v>
      </c>
      <c r="C810" s="1523" t="s">
        <v>80</v>
      </c>
      <c r="D810" s="1523" t="s">
        <v>125</v>
      </c>
      <c r="E810" s="1523" t="s">
        <v>216</v>
      </c>
      <c r="F810" s="1523"/>
      <c r="G810" s="1667">
        <v>212</v>
      </c>
      <c r="H810" s="1517"/>
      <c r="I810" s="1517"/>
      <c r="J810" s="1630"/>
      <c r="K810" s="1630"/>
      <c r="L810" s="1631"/>
      <c r="M810" s="1631"/>
      <c r="N810" s="1631"/>
      <c r="O810" s="1631"/>
      <c r="P810" s="1631"/>
      <c r="Q810" s="1631"/>
      <c r="R810" s="1631"/>
      <c r="S810" s="1631"/>
      <c r="T810" s="1632"/>
      <c r="U810" s="1633"/>
      <c r="V810" s="1633"/>
      <c r="W810" s="1634"/>
      <c r="X810" s="1634"/>
      <c r="Y810" s="1634">
        <f>CC810</f>
        <v>0</v>
      </c>
      <c r="Z810" s="1635">
        <f>AI810-X810</f>
        <v>0</v>
      </c>
      <c r="AA810" s="1634">
        <f t="shared" si="544"/>
        <v>0</v>
      </c>
      <c r="AB810" s="1511"/>
      <c r="AC810" s="1508">
        <f t="shared" si="547"/>
        <v>0</v>
      </c>
      <c r="AD810" s="1509">
        <f t="shared" si="548"/>
        <v>0</v>
      </c>
      <c r="AE810" s="1509">
        <f t="shared" si="549"/>
        <v>0</v>
      </c>
      <c r="AF810" s="1509">
        <f t="shared" si="549"/>
        <v>0</v>
      </c>
      <c r="AG810" s="1509">
        <f t="shared" si="549"/>
        <v>0</v>
      </c>
      <c r="AH810" s="1490">
        <f t="shared" si="533"/>
        <v>0</v>
      </c>
      <c r="AI810" s="1636">
        <f t="shared" si="550"/>
        <v>0</v>
      </c>
      <c r="AJ810" s="1636">
        <f t="shared" si="551"/>
        <v>0</v>
      </c>
      <c r="AK810" s="1636">
        <f t="shared" si="552"/>
        <v>0</v>
      </c>
      <c r="AL810" s="1636">
        <f t="shared" si="535"/>
        <v>0</v>
      </c>
      <c r="AM810" s="1636">
        <f t="shared" si="535"/>
        <v>0</v>
      </c>
      <c r="AN810" s="1637"/>
      <c r="AO810" s="1722">
        <v>0</v>
      </c>
      <c r="AP810" s="1638"/>
      <c r="AQ810" s="1638"/>
      <c r="AR810" s="1638"/>
      <c r="AS810" s="1963">
        <v>0</v>
      </c>
      <c r="AT810" s="1638"/>
      <c r="AU810" s="1638"/>
      <c r="AV810" s="1638"/>
      <c r="AW810" s="1722">
        <v>0</v>
      </c>
      <c r="AX810" s="1722"/>
      <c r="AY810" s="1640"/>
      <c r="AZ810" s="1640"/>
      <c r="BA810" s="1964">
        <v>0</v>
      </c>
      <c r="BB810" s="1640"/>
      <c r="BC810" s="1640"/>
      <c r="BD810" s="1640"/>
      <c r="BE810" s="1964">
        <v>0</v>
      </c>
      <c r="BF810" s="1640"/>
      <c r="BG810" s="1640"/>
      <c r="BH810" s="1640"/>
      <c r="BI810" s="1641"/>
      <c r="BJ810" s="1640"/>
      <c r="BK810" s="1640"/>
      <c r="BL810" s="1640"/>
      <c r="BM810" s="1641"/>
      <c r="BN810" s="1640"/>
      <c r="BO810" s="1640"/>
      <c r="BP810" s="1640"/>
      <c r="BQ810" s="1641"/>
      <c r="BR810" s="1640"/>
      <c r="BS810" s="1640"/>
      <c r="BT810" s="1640"/>
      <c r="BU810" s="1641"/>
      <c r="BV810" s="1640"/>
      <c r="BW810" s="1640"/>
      <c r="BX810" s="1640"/>
      <c r="BY810" s="1641"/>
      <c r="BZ810" s="1640"/>
      <c r="CA810" s="1640"/>
      <c r="CB810" s="1640"/>
      <c r="CC810" s="1641"/>
      <c r="CD810" s="1640"/>
      <c r="CE810" s="1640"/>
      <c r="CF810" s="1640"/>
      <c r="CG810" s="1642"/>
      <c r="CH810" s="1641">
        <f t="shared" si="543"/>
        <v>0</v>
      </c>
      <c r="CI810" s="1641">
        <f t="shared" si="543"/>
        <v>0</v>
      </c>
      <c r="CJ810" s="1641">
        <f t="shared" si="543"/>
        <v>0</v>
      </c>
      <c r="CK810" s="1641">
        <f t="shared" si="543"/>
        <v>0</v>
      </c>
      <c r="CL810" s="1889">
        <v>0</v>
      </c>
      <c r="CM810" s="1889">
        <v>0</v>
      </c>
      <c r="CN810" s="1889">
        <v>0</v>
      </c>
      <c r="CO810" s="1889">
        <v>0</v>
      </c>
      <c r="CP810" s="1641"/>
      <c r="CQ810" s="1640"/>
      <c r="CR810" s="1640"/>
      <c r="CS810" s="1640"/>
      <c r="CX810" s="1558"/>
      <c r="CY810" s="1558"/>
      <c r="CZ810" s="1558"/>
      <c r="DA810" s="1559"/>
      <c r="DB810" s="1559"/>
      <c r="DC810" s="1559"/>
    </row>
    <row r="811" spans="1:107" ht="15" thickBot="1" x14ac:dyDescent="0.2">
      <c r="A811" s="1541" t="s">
        <v>84</v>
      </c>
      <c r="B811" s="1523" t="s">
        <v>79</v>
      </c>
      <c r="C811" s="1523" t="s">
        <v>80</v>
      </c>
      <c r="D811" s="1523" t="s">
        <v>125</v>
      </c>
      <c r="E811" s="1523" t="s">
        <v>216</v>
      </c>
      <c r="F811" s="1523"/>
      <c r="G811" s="1667">
        <v>213</v>
      </c>
      <c r="H811" s="1502">
        <v>1240.5</v>
      </c>
      <c r="I811" s="1502"/>
      <c r="J811" s="1630"/>
      <c r="K811" s="1630"/>
      <c r="L811" s="1631"/>
      <c r="M811" s="1631"/>
      <c r="N811" s="1631"/>
      <c r="O811" s="1631"/>
      <c r="P811" s="1631"/>
      <c r="Q811" s="1631"/>
      <c r="R811" s="1631"/>
      <c r="S811" s="1631"/>
      <c r="T811" s="1632"/>
      <c r="U811" s="1633"/>
      <c r="V811" s="1633"/>
      <c r="W811" s="1634">
        <f>H811/12</f>
        <v>103.375</v>
      </c>
      <c r="X811" s="1634">
        <f>AO811</f>
        <v>103.4</v>
      </c>
      <c r="Y811" s="1634">
        <f>CC811</f>
        <v>167.2</v>
      </c>
      <c r="Z811" s="1635">
        <v>167.2</v>
      </c>
      <c r="AA811" s="1634">
        <f t="shared" si="544"/>
        <v>-167.2</v>
      </c>
      <c r="AB811" s="1511">
        <f>AI811</f>
        <v>0</v>
      </c>
      <c r="AC811" s="1508">
        <f t="shared" si="547"/>
        <v>1240.4999999999998</v>
      </c>
      <c r="AD811" s="1509">
        <f t="shared" si="548"/>
        <v>0</v>
      </c>
      <c r="AE811" s="1509">
        <f t="shared" si="549"/>
        <v>0</v>
      </c>
      <c r="AF811" s="1509">
        <f t="shared" si="549"/>
        <v>0</v>
      </c>
      <c r="AG811" s="1509">
        <f t="shared" si="549"/>
        <v>0</v>
      </c>
      <c r="AH811" s="1490">
        <f t="shared" si="533"/>
        <v>39.56</v>
      </c>
      <c r="AI811" s="1636">
        <f t="shared" si="550"/>
        <v>0</v>
      </c>
      <c r="AJ811" s="1636">
        <f t="shared" si="551"/>
        <v>0</v>
      </c>
      <c r="AK811" s="1636">
        <f t="shared" si="552"/>
        <v>0</v>
      </c>
      <c r="AL811" s="1636">
        <f t="shared" si="535"/>
        <v>0</v>
      </c>
      <c r="AM811" s="1636">
        <f t="shared" si="535"/>
        <v>0</v>
      </c>
      <c r="AN811" s="1637">
        <f>AI811/4</f>
        <v>0</v>
      </c>
      <c r="AO811" s="1722">
        <v>103.4</v>
      </c>
      <c r="AP811" s="1638"/>
      <c r="AQ811" s="1638"/>
      <c r="AR811" s="1638"/>
      <c r="AS811" s="1963">
        <v>103.4</v>
      </c>
      <c r="AT811" s="1638"/>
      <c r="AU811" s="1638"/>
      <c r="AV811" s="1638"/>
      <c r="AW811" s="1722">
        <v>103.4</v>
      </c>
      <c r="AX811" s="1722"/>
      <c r="AY811" s="1640"/>
      <c r="AZ811" s="1640"/>
      <c r="BA811" s="1964">
        <v>103.4</v>
      </c>
      <c r="BB811" s="1640"/>
      <c r="BC811" s="1640"/>
      <c r="BD811" s="1640"/>
      <c r="BE811" s="1964">
        <v>103.4</v>
      </c>
      <c r="BF811" s="1640"/>
      <c r="BG811" s="1640"/>
      <c r="BH811" s="1640"/>
      <c r="BI811" s="1641"/>
      <c r="BJ811" s="1640"/>
      <c r="BK811" s="1640"/>
      <c r="BL811" s="1640"/>
      <c r="BM811" s="1641">
        <f>98.24+206.8</f>
        <v>305.04000000000002</v>
      </c>
      <c r="BN811" s="1640"/>
      <c r="BO811" s="1640"/>
      <c r="BP811" s="1640"/>
      <c r="BQ811" s="1641">
        <v>103.4</v>
      </c>
      <c r="BR811" s="1640"/>
      <c r="BS811" s="1640"/>
      <c r="BT811" s="1640"/>
      <c r="BU811" s="1641">
        <v>78.8</v>
      </c>
      <c r="BV811" s="1640"/>
      <c r="BW811" s="1640"/>
      <c r="BX811" s="1640"/>
      <c r="BY811" s="1641">
        <v>29.5</v>
      </c>
      <c r="BZ811" s="1640"/>
      <c r="CA811" s="1640"/>
      <c r="CB811" s="1640"/>
      <c r="CC811" s="1641">
        <v>167.2</v>
      </c>
      <c r="CD811" s="1640"/>
      <c r="CE811" s="1640"/>
      <c r="CF811" s="1640"/>
      <c r="CG811" s="1642"/>
      <c r="CH811" s="1641">
        <f t="shared" si="543"/>
        <v>39.56</v>
      </c>
      <c r="CI811" s="1641">
        <f t="shared" si="543"/>
        <v>0</v>
      </c>
      <c r="CJ811" s="1641">
        <f t="shared" si="543"/>
        <v>0</v>
      </c>
      <c r="CK811" s="1641">
        <f t="shared" si="543"/>
        <v>0</v>
      </c>
      <c r="CL811" s="1889">
        <v>39.56</v>
      </c>
      <c r="CM811" s="1889">
        <v>0</v>
      </c>
      <c r="CN811" s="1889">
        <v>0</v>
      </c>
      <c r="CO811" s="1889">
        <v>0</v>
      </c>
      <c r="CP811" s="1641"/>
      <c r="CQ811" s="1640"/>
      <c r="CR811" s="1640"/>
      <c r="CS811" s="1640"/>
      <c r="CX811" s="1558">
        <f>H811/12*10-AC811</f>
        <v>-206.74999999999977</v>
      </c>
      <c r="CY811" s="1558">
        <f>AI811/3</f>
        <v>0</v>
      </c>
      <c r="CZ811" s="1558">
        <f>H811/12</f>
        <v>103.375</v>
      </c>
      <c r="DA811" s="1559"/>
      <c r="DB811" s="1559"/>
      <c r="DC811" s="1559"/>
    </row>
    <row r="812" spans="1:107" ht="15" thickBot="1" x14ac:dyDescent="0.2">
      <c r="A812" s="1541" t="s">
        <v>85</v>
      </c>
      <c r="B812" s="1523" t="s">
        <v>79</v>
      </c>
      <c r="C812" s="1523" t="s">
        <v>80</v>
      </c>
      <c r="D812" s="1523" t="s">
        <v>125</v>
      </c>
      <c r="E812" s="1523" t="s">
        <v>216</v>
      </c>
      <c r="F812" s="1523"/>
      <c r="G812" s="1667">
        <v>221</v>
      </c>
      <c r="H812" s="1502"/>
      <c r="I812" s="1502"/>
      <c r="J812" s="1630"/>
      <c r="K812" s="1630"/>
      <c r="L812" s="1631"/>
      <c r="M812" s="1631"/>
      <c r="N812" s="1631"/>
      <c r="O812" s="1631"/>
      <c r="P812" s="1631"/>
      <c r="Q812" s="1631"/>
      <c r="R812" s="1631"/>
      <c r="S812" s="1631"/>
      <c r="T812" s="1632"/>
      <c r="U812" s="1633"/>
      <c r="V812" s="1633"/>
      <c r="W812" s="1634"/>
      <c r="X812" s="1634"/>
      <c r="Y812" s="1634"/>
      <c r="Z812" s="1635"/>
      <c r="AA812" s="1634">
        <f t="shared" si="544"/>
        <v>0</v>
      </c>
      <c r="AB812" s="1634"/>
      <c r="AC812" s="1508">
        <f t="shared" si="547"/>
        <v>0</v>
      </c>
      <c r="AD812" s="1509">
        <f t="shared" si="548"/>
        <v>0</v>
      </c>
      <c r="AE812" s="1509">
        <f t="shared" si="549"/>
        <v>0</v>
      </c>
      <c r="AF812" s="1509">
        <f t="shared" si="549"/>
        <v>0</v>
      </c>
      <c r="AG812" s="1509">
        <f t="shared" si="549"/>
        <v>0</v>
      </c>
      <c r="AH812" s="1490">
        <f t="shared" si="533"/>
        <v>0</v>
      </c>
      <c r="AI812" s="1636">
        <f t="shared" si="550"/>
        <v>0</v>
      </c>
      <c r="AJ812" s="1636">
        <f t="shared" si="551"/>
        <v>0</v>
      </c>
      <c r="AK812" s="1636">
        <f t="shared" si="552"/>
        <v>0</v>
      </c>
      <c r="AL812" s="1636">
        <f t="shared" si="535"/>
        <v>0</v>
      </c>
      <c r="AM812" s="1636">
        <f t="shared" si="535"/>
        <v>0</v>
      </c>
      <c r="AN812" s="1637"/>
      <c r="AO812" s="1722">
        <v>0</v>
      </c>
      <c r="AP812" s="1638"/>
      <c r="AQ812" s="1638"/>
      <c r="AR812" s="1638"/>
      <c r="AS812" s="1963">
        <v>0</v>
      </c>
      <c r="AT812" s="1638"/>
      <c r="AU812" s="1638"/>
      <c r="AV812" s="1638"/>
      <c r="AW812" s="1639"/>
      <c r="AX812" s="1640"/>
      <c r="AY812" s="1640"/>
      <c r="AZ812" s="1640"/>
      <c r="BA812" s="1641"/>
      <c r="BB812" s="1640"/>
      <c r="BC812" s="1640"/>
      <c r="BD812" s="1640"/>
      <c r="BE812" s="1644"/>
      <c r="BF812" s="1640"/>
      <c r="BG812" s="1640"/>
      <c r="BH812" s="1640"/>
      <c r="BI812" s="1641"/>
      <c r="BJ812" s="1640"/>
      <c r="BK812" s="1640"/>
      <c r="BL812" s="1640"/>
      <c r="BM812" s="1641"/>
      <c r="BN812" s="1640"/>
      <c r="BO812" s="1640"/>
      <c r="BP812" s="1640"/>
      <c r="BQ812" s="1641"/>
      <c r="BR812" s="1640"/>
      <c r="BS812" s="1640"/>
      <c r="BT812" s="1640"/>
      <c r="BU812" s="1641"/>
      <c r="BV812" s="1640"/>
      <c r="BW812" s="1640"/>
      <c r="BX812" s="1640"/>
      <c r="BY812" s="1641"/>
      <c r="BZ812" s="1640"/>
      <c r="CA812" s="1640"/>
      <c r="CB812" s="1640"/>
      <c r="CC812" s="1641"/>
      <c r="CD812" s="1640"/>
      <c r="CE812" s="1640"/>
      <c r="CF812" s="1640"/>
      <c r="CG812" s="1642"/>
      <c r="CH812" s="1641">
        <f t="shared" si="543"/>
        <v>0</v>
      </c>
      <c r="CI812" s="1641">
        <f t="shared" si="543"/>
        <v>0</v>
      </c>
      <c r="CJ812" s="1641">
        <f t="shared" si="543"/>
        <v>0</v>
      </c>
      <c r="CK812" s="1641">
        <f t="shared" si="543"/>
        <v>0</v>
      </c>
      <c r="CL812" s="1889">
        <v>0</v>
      </c>
      <c r="CM812" s="1889">
        <v>0</v>
      </c>
      <c r="CN812" s="1889">
        <v>0</v>
      </c>
      <c r="CO812" s="1889">
        <v>0</v>
      </c>
      <c r="CP812" s="1641"/>
      <c r="CQ812" s="1640"/>
      <c r="CR812" s="1640"/>
      <c r="CS812" s="1640"/>
    </row>
    <row r="813" spans="1:107" ht="15" thickBot="1" x14ac:dyDescent="0.2">
      <c r="A813" s="1541" t="s">
        <v>86</v>
      </c>
      <c r="B813" s="1523" t="s">
        <v>79</v>
      </c>
      <c r="C813" s="1523" t="s">
        <v>80</v>
      </c>
      <c r="D813" s="1523" t="s">
        <v>125</v>
      </c>
      <c r="E813" s="1523" t="s">
        <v>216</v>
      </c>
      <c r="F813" s="1523"/>
      <c r="G813" s="1667">
        <v>222</v>
      </c>
      <c r="H813" s="1502"/>
      <c r="I813" s="1502"/>
      <c r="J813" s="1630"/>
      <c r="K813" s="1630"/>
      <c r="L813" s="1631"/>
      <c r="M813" s="1631"/>
      <c r="N813" s="1631"/>
      <c r="O813" s="1631"/>
      <c r="P813" s="1631"/>
      <c r="Q813" s="1631"/>
      <c r="R813" s="1631"/>
      <c r="S813" s="1631"/>
      <c r="T813" s="1632"/>
      <c r="U813" s="1633"/>
      <c r="V813" s="1633"/>
      <c r="W813" s="1634"/>
      <c r="X813" s="1634"/>
      <c r="Y813" s="1634"/>
      <c r="Z813" s="1635"/>
      <c r="AA813" s="1634">
        <f t="shared" si="544"/>
        <v>0</v>
      </c>
      <c r="AB813" s="1634"/>
      <c r="AC813" s="1508">
        <f t="shared" si="547"/>
        <v>0</v>
      </c>
      <c r="AD813" s="1509">
        <f t="shared" si="548"/>
        <v>0</v>
      </c>
      <c r="AE813" s="1509">
        <f t="shared" si="549"/>
        <v>0</v>
      </c>
      <c r="AF813" s="1509">
        <f t="shared" si="549"/>
        <v>0</v>
      </c>
      <c r="AG813" s="1509">
        <f t="shared" si="549"/>
        <v>0</v>
      </c>
      <c r="AH813" s="1490">
        <f t="shared" si="533"/>
        <v>0</v>
      </c>
      <c r="AI813" s="1636">
        <f t="shared" si="550"/>
        <v>0</v>
      </c>
      <c r="AJ813" s="1636">
        <f t="shared" si="551"/>
        <v>0</v>
      </c>
      <c r="AK813" s="1636">
        <f t="shared" si="552"/>
        <v>0</v>
      </c>
      <c r="AL813" s="1636">
        <f t="shared" si="535"/>
        <v>0</v>
      </c>
      <c r="AM813" s="1636">
        <f t="shared" si="535"/>
        <v>0</v>
      </c>
      <c r="AN813" s="1637"/>
      <c r="AO813" s="1722">
        <v>0</v>
      </c>
      <c r="AP813" s="1638"/>
      <c r="AQ813" s="1638"/>
      <c r="AR813" s="1638"/>
      <c r="AS813" s="1963">
        <v>0</v>
      </c>
      <c r="AT813" s="1638"/>
      <c r="AU813" s="1638"/>
      <c r="AV813" s="1638"/>
      <c r="AW813" s="1639"/>
      <c r="AX813" s="1640"/>
      <c r="AY813" s="1640"/>
      <c r="AZ813" s="1640"/>
      <c r="BA813" s="1641"/>
      <c r="BB813" s="1640"/>
      <c r="BC813" s="1640"/>
      <c r="BD813" s="1640"/>
      <c r="BE813" s="1644"/>
      <c r="BF813" s="1640"/>
      <c r="BG813" s="1640"/>
      <c r="BH813" s="1640"/>
      <c r="BI813" s="1641"/>
      <c r="BJ813" s="1640"/>
      <c r="BK813" s="1640"/>
      <c r="BL813" s="1640"/>
      <c r="BM813" s="1641"/>
      <c r="BN813" s="1640"/>
      <c r="BO813" s="1640"/>
      <c r="BP813" s="1640"/>
      <c r="BQ813" s="1641"/>
      <c r="BR813" s="1640"/>
      <c r="BS813" s="1640"/>
      <c r="BT813" s="1640"/>
      <c r="BU813" s="1641"/>
      <c r="BV813" s="1640"/>
      <c r="BW813" s="1640"/>
      <c r="BX813" s="1640"/>
      <c r="BY813" s="1641"/>
      <c r="BZ813" s="1640"/>
      <c r="CA813" s="1640"/>
      <c r="CB813" s="1640"/>
      <c r="CC813" s="1641"/>
      <c r="CD813" s="1640"/>
      <c r="CE813" s="1640"/>
      <c r="CF813" s="1640"/>
      <c r="CG813" s="1642"/>
      <c r="CH813" s="1641">
        <f t="shared" si="543"/>
        <v>0</v>
      </c>
      <c r="CI813" s="1641">
        <f t="shared" si="543"/>
        <v>0</v>
      </c>
      <c r="CJ813" s="1641">
        <f t="shared" si="543"/>
        <v>0</v>
      </c>
      <c r="CK813" s="1641">
        <f t="shared" si="543"/>
        <v>0</v>
      </c>
      <c r="CL813" s="1889">
        <v>0</v>
      </c>
      <c r="CM813" s="1889">
        <v>0</v>
      </c>
      <c r="CN813" s="1889">
        <v>0</v>
      </c>
      <c r="CO813" s="1889">
        <v>0</v>
      </c>
      <c r="CP813" s="1641"/>
      <c r="CQ813" s="1640"/>
      <c r="CR813" s="1640"/>
      <c r="CS813" s="1640"/>
    </row>
    <row r="814" spans="1:107" ht="15" thickBot="1" x14ac:dyDescent="0.2">
      <c r="A814" s="1541" t="s">
        <v>87</v>
      </c>
      <c r="B814" s="1523" t="s">
        <v>79</v>
      </c>
      <c r="C814" s="1523" t="s">
        <v>80</v>
      </c>
      <c r="D814" s="1523" t="s">
        <v>125</v>
      </c>
      <c r="E814" s="1523" t="s">
        <v>216</v>
      </c>
      <c r="F814" s="1523"/>
      <c r="G814" s="1667">
        <v>223</v>
      </c>
      <c r="H814" s="1502"/>
      <c r="I814" s="1502"/>
      <c r="J814" s="1630"/>
      <c r="K814" s="1630"/>
      <c r="L814" s="1631"/>
      <c r="M814" s="1631"/>
      <c r="N814" s="1631"/>
      <c r="O814" s="1631"/>
      <c r="P814" s="1631"/>
      <c r="Q814" s="1631"/>
      <c r="R814" s="1631"/>
      <c r="S814" s="1631"/>
      <c r="T814" s="1632"/>
      <c r="U814" s="1633"/>
      <c r="V814" s="1633"/>
      <c r="W814" s="1634"/>
      <c r="X814" s="1634"/>
      <c r="Y814" s="1634"/>
      <c r="Z814" s="1635"/>
      <c r="AA814" s="1634">
        <f t="shared" si="544"/>
        <v>0</v>
      </c>
      <c r="AB814" s="1891"/>
      <c r="AC814" s="1508">
        <f t="shared" si="547"/>
        <v>0</v>
      </c>
      <c r="AD814" s="1509">
        <f t="shared" si="548"/>
        <v>0</v>
      </c>
      <c r="AE814" s="1509">
        <f t="shared" si="549"/>
        <v>0</v>
      </c>
      <c r="AF814" s="1509">
        <f t="shared" si="549"/>
        <v>0</v>
      </c>
      <c r="AG814" s="1509">
        <f t="shared" si="549"/>
        <v>0</v>
      </c>
      <c r="AH814" s="1490">
        <f t="shared" si="533"/>
        <v>0</v>
      </c>
      <c r="AI814" s="1636">
        <f t="shared" si="550"/>
        <v>0</v>
      </c>
      <c r="AJ814" s="1636">
        <f t="shared" si="551"/>
        <v>0</v>
      </c>
      <c r="AK814" s="1636">
        <f t="shared" si="552"/>
        <v>0</v>
      </c>
      <c r="AL814" s="1636">
        <f t="shared" si="535"/>
        <v>0</v>
      </c>
      <c r="AM814" s="1636">
        <f t="shared" si="535"/>
        <v>0</v>
      </c>
      <c r="AN814" s="1637"/>
      <c r="AO814" s="1722">
        <v>0</v>
      </c>
      <c r="AP814" s="1638"/>
      <c r="AQ814" s="1638"/>
      <c r="AR814" s="1638"/>
      <c r="AS814" s="1963">
        <v>0</v>
      </c>
      <c r="AT814" s="1638"/>
      <c r="AU814" s="1638"/>
      <c r="AV814" s="1638"/>
      <c r="AW814" s="1639"/>
      <c r="AX814" s="1640"/>
      <c r="AY814" s="1640"/>
      <c r="AZ814" s="1640"/>
      <c r="BA814" s="1641"/>
      <c r="BB814" s="1640"/>
      <c r="BC814" s="1640"/>
      <c r="BD814" s="1640"/>
      <c r="BE814" s="1644"/>
      <c r="BF814" s="1640"/>
      <c r="BG814" s="1640"/>
      <c r="BH814" s="1640"/>
      <c r="BI814" s="1641"/>
      <c r="BJ814" s="1640"/>
      <c r="BK814" s="1640"/>
      <c r="BL814" s="1640"/>
      <c r="BM814" s="1641"/>
      <c r="BN814" s="1640"/>
      <c r="BO814" s="1640"/>
      <c r="BP814" s="1640"/>
      <c r="BQ814" s="1641"/>
      <c r="BR814" s="1640"/>
      <c r="BS814" s="1640"/>
      <c r="BT814" s="1640"/>
      <c r="BU814" s="1641"/>
      <c r="BV814" s="1640"/>
      <c r="BW814" s="1640"/>
      <c r="BX814" s="1640"/>
      <c r="BY814" s="1641"/>
      <c r="BZ814" s="1640"/>
      <c r="CA814" s="1640"/>
      <c r="CB814" s="1640"/>
      <c r="CC814" s="1641"/>
      <c r="CD814" s="1640"/>
      <c r="CE814" s="1640"/>
      <c r="CF814" s="1640"/>
      <c r="CG814" s="1642"/>
      <c r="CH814" s="1641">
        <f t="shared" si="543"/>
        <v>0</v>
      </c>
      <c r="CI814" s="1641">
        <f t="shared" si="543"/>
        <v>0</v>
      </c>
      <c r="CJ814" s="1641">
        <f t="shared" si="543"/>
        <v>0</v>
      </c>
      <c r="CK814" s="1641">
        <f t="shared" si="543"/>
        <v>0</v>
      </c>
      <c r="CL814" s="1889">
        <v>0</v>
      </c>
      <c r="CM814" s="1889">
        <v>0</v>
      </c>
      <c r="CN814" s="1889">
        <v>0</v>
      </c>
      <c r="CO814" s="1889">
        <v>0</v>
      </c>
      <c r="CP814" s="1641"/>
      <c r="CQ814" s="1640"/>
      <c r="CR814" s="1640"/>
      <c r="CS814" s="1640"/>
    </row>
    <row r="815" spans="1:107" ht="15" thickBot="1" x14ac:dyDescent="0.2">
      <c r="A815" s="1541" t="s">
        <v>134</v>
      </c>
      <c r="B815" s="1523" t="s">
        <v>79</v>
      </c>
      <c r="C815" s="1523" t="s">
        <v>80</v>
      </c>
      <c r="D815" s="1523" t="s">
        <v>125</v>
      </c>
      <c r="E815" s="1523" t="s">
        <v>216</v>
      </c>
      <c r="F815" s="1523"/>
      <c r="G815" s="1667">
        <v>224</v>
      </c>
      <c r="H815" s="1502">
        <v>62.4</v>
      </c>
      <c r="I815" s="1502"/>
      <c r="J815" s="1630"/>
      <c r="K815" s="1630"/>
      <c r="L815" s="1631"/>
      <c r="M815" s="1631"/>
      <c r="N815" s="1631"/>
      <c r="O815" s="1631"/>
      <c r="P815" s="1631"/>
      <c r="Q815" s="1631"/>
      <c r="R815" s="1631"/>
      <c r="S815" s="1631"/>
      <c r="T815" s="1632"/>
      <c r="U815" s="1633"/>
      <c r="V815" s="1633"/>
      <c r="W815" s="1634"/>
      <c r="X815" s="1634"/>
      <c r="Y815" s="1634"/>
      <c r="Z815" s="1635"/>
      <c r="AA815" s="1634">
        <f t="shared" si="544"/>
        <v>0</v>
      </c>
      <c r="AB815" s="1634"/>
      <c r="AC815" s="1508">
        <f t="shared" si="547"/>
        <v>62.4</v>
      </c>
      <c r="AD815" s="1509">
        <f t="shared" si="548"/>
        <v>0</v>
      </c>
      <c r="AE815" s="1509">
        <f t="shared" si="549"/>
        <v>0</v>
      </c>
      <c r="AF815" s="1509">
        <f t="shared" si="549"/>
        <v>0</v>
      </c>
      <c r="AG815" s="1509">
        <f t="shared" si="549"/>
        <v>0</v>
      </c>
      <c r="AH815" s="1490">
        <f t="shared" si="533"/>
        <v>52</v>
      </c>
      <c r="AI815" s="1636">
        <f t="shared" si="550"/>
        <v>0</v>
      </c>
      <c r="AJ815" s="1636">
        <f t="shared" si="551"/>
        <v>0</v>
      </c>
      <c r="AK815" s="1636">
        <f t="shared" si="552"/>
        <v>0</v>
      </c>
      <c r="AL815" s="1636">
        <f t="shared" si="535"/>
        <v>0</v>
      </c>
      <c r="AM815" s="1636">
        <f t="shared" si="535"/>
        <v>0</v>
      </c>
      <c r="AN815" s="1637"/>
      <c r="AO815" s="1722">
        <v>5.2</v>
      </c>
      <c r="AP815" s="1638"/>
      <c r="AQ815" s="1638"/>
      <c r="AR815" s="1638"/>
      <c r="AS815" s="1963">
        <v>5.2</v>
      </c>
      <c r="AT815" s="1638"/>
      <c r="AU815" s="1638"/>
      <c r="AV815" s="1638"/>
      <c r="AW815" s="1639"/>
      <c r="AX815" s="1640"/>
      <c r="AY815" s="1640"/>
      <c r="AZ815" s="1640"/>
      <c r="BA815" s="1641"/>
      <c r="BB815" s="1640"/>
      <c r="BC815" s="1640"/>
      <c r="BD815" s="1640"/>
      <c r="BE815" s="1644"/>
      <c r="BF815" s="1640"/>
      <c r="BG815" s="1640"/>
      <c r="BH815" s="1640"/>
      <c r="BI815" s="1641"/>
      <c r="BJ815" s="1640"/>
      <c r="BK815" s="1640"/>
      <c r="BL815" s="1640"/>
      <c r="BM815" s="1641"/>
      <c r="BN815" s="1640"/>
      <c r="BO815" s="1640"/>
      <c r="BP815" s="1640"/>
      <c r="BQ815" s="1641"/>
      <c r="BR815" s="1640"/>
      <c r="BS815" s="1640"/>
      <c r="BT815" s="1640"/>
      <c r="BU815" s="1641"/>
      <c r="BV815" s="1640"/>
      <c r="BW815" s="1640"/>
      <c r="BX815" s="1640"/>
      <c r="BY815" s="1641"/>
      <c r="BZ815" s="1640"/>
      <c r="CA815" s="1640"/>
      <c r="CB815" s="1640"/>
      <c r="CC815" s="1641"/>
      <c r="CD815" s="1640"/>
      <c r="CE815" s="1640"/>
      <c r="CF815" s="1640"/>
      <c r="CG815" s="1642"/>
      <c r="CH815" s="1641">
        <f t="shared" si="543"/>
        <v>52</v>
      </c>
      <c r="CI815" s="1641">
        <f t="shared" si="543"/>
        <v>0</v>
      </c>
      <c r="CJ815" s="1641">
        <f t="shared" si="543"/>
        <v>0</v>
      </c>
      <c r="CK815" s="1641">
        <f t="shared" si="543"/>
        <v>0</v>
      </c>
      <c r="CL815" s="1889">
        <v>52</v>
      </c>
      <c r="CM815" s="1889">
        <v>0</v>
      </c>
      <c r="CN815" s="1889">
        <v>0</v>
      </c>
      <c r="CO815" s="1889">
        <v>0</v>
      </c>
      <c r="CP815" s="1641"/>
      <c r="CQ815" s="1640"/>
      <c r="CR815" s="1640"/>
      <c r="CS815" s="1640"/>
    </row>
    <row r="816" spans="1:107" ht="15" thickBot="1" x14ac:dyDescent="0.2">
      <c r="A816" s="1541" t="s">
        <v>90</v>
      </c>
      <c r="B816" s="1523" t="s">
        <v>79</v>
      </c>
      <c r="C816" s="1523" t="s">
        <v>80</v>
      </c>
      <c r="D816" s="1523" t="s">
        <v>125</v>
      </c>
      <c r="E816" s="1523" t="s">
        <v>216</v>
      </c>
      <c r="F816" s="1523"/>
      <c r="G816" s="1667">
        <v>225</v>
      </c>
      <c r="H816" s="1502">
        <f>25</f>
        <v>25</v>
      </c>
      <c r="I816" s="1502"/>
      <c r="J816" s="1630">
        <f>25-V816</f>
        <v>0</v>
      </c>
      <c r="K816" s="1630"/>
      <c r="L816" s="1631"/>
      <c r="M816" s="1631"/>
      <c r="N816" s="1631"/>
      <c r="O816" s="1631"/>
      <c r="P816" s="1631"/>
      <c r="Q816" s="1631"/>
      <c r="R816" s="1631"/>
      <c r="S816" s="1631"/>
      <c r="T816" s="1632"/>
      <c r="U816" s="1633"/>
      <c r="V816" s="1633">
        <v>25</v>
      </c>
      <c r="W816" s="1634"/>
      <c r="X816" s="1634"/>
      <c r="Y816" s="1634"/>
      <c r="Z816" s="1635"/>
      <c r="AA816" s="1634">
        <f t="shared" si="544"/>
        <v>0</v>
      </c>
      <c r="AB816" s="1634"/>
      <c r="AC816" s="1508">
        <f t="shared" si="547"/>
        <v>25</v>
      </c>
      <c r="AD816" s="1509">
        <f t="shared" si="548"/>
        <v>0</v>
      </c>
      <c r="AE816" s="1509">
        <f t="shared" si="549"/>
        <v>0</v>
      </c>
      <c r="AF816" s="1509">
        <f t="shared" si="549"/>
        <v>0</v>
      </c>
      <c r="AG816" s="1509">
        <f t="shared" si="549"/>
        <v>0</v>
      </c>
      <c r="AH816" s="1490">
        <f t="shared" si="533"/>
        <v>0</v>
      </c>
      <c r="AI816" s="1636">
        <f t="shared" si="550"/>
        <v>0</v>
      </c>
      <c r="AJ816" s="1636">
        <f t="shared" si="551"/>
        <v>0</v>
      </c>
      <c r="AK816" s="1636">
        <f t="shared" si="552"/>
        <v>0</v>
      </c>
      <c r="AL816" s="1636">
        <f t="shared" si="535"/>
        <v>0</v>
      </c>
      <c r="AM816" s="1636">
        <f t="shared" si="535"/>
        <v>0</v>
      </c>
      <c r="AN816" s="1637"/>
      <c r="AO816" s="1723"/>
      <c r="AP816" s="1638"/>
      <c r="AQ816" s="1638"/>
      <c r="AR816" s="1638"/>
      <c r="AS816" s="1639"/>
      <c r="AT816" s="1638"/>
      <c r="AU816" s="1638"/>
      <c r="AV816" s="1638"/>
      <c r="AW816" s="1639"/>
      <c r="AX816" s="1640"/>
      <c r="AY816" s="1640"/>
      <c r="AZ816" s="1640"/>
      <c r="BA816" s="1641"/>
      <c r="BB816" s="1640"/>
      <c r="BC816" s="1640"/>
      <c r="BD816" s="1640"/>
      <c r="BE816" s="1644"/>
      <c r="BF816" s="1640"/>
      <c r="BG816" s="1640"/>
      <c r="BH816" s="1640"/>
      <c r="BI816" s="1641"/>
      <c r="BJ816" s="1640"/>
      <c r="BK816" s="1640"/>
      <c r="BL816" s="1640"/>
      <c r="BM816" s="1641"/>
      <c r="BN816" s="1640"/>
      <c r="BO816" s="1640"/>
      <c r="BP816" s="1640"/>
      <c r="BQ816" s="1641">
        <v>25</v>
      </c>
      <c r="BR816" s="1640"/>
      <c r="BS816" s="1640"/>
      <c r="BT816" s="1640"/>
      <c r="BU816" s="1641"/>
      <c r="BV816" s="1640"/>
      <c r="BW816" s="1640"/>
      <c r="BX816" s="1640"/>
      <c r="BY816" s="1641"/>
      <c r="BZ816" s="1640"/>
      <c r="CA816" s="1640"/>
      <c r="CB816" s="1640"/>
      <c r="CC816" s="1641"/>
      <c r="CD816" s="1640"/>
      <c r="CE816" s="1640"/>
      <c r="CF816" s="1640"/>
      <c r="CG816" s="1642"/>
      <c r="CH816" s="1641">
        <f t="shared" si="543"/>
        <v>0</v>
      </c>
      <c r="CI816" s="1641">
        <f t="shared" si="543"/>
        <v>0</v>
      </c>
      <c r="CJ816" s="1641">
        <f t="shared" si="543"/>
        <v>0</v>
      </c>
      <c r="CK816" s="1641">
        <f t="shared" si="543"/>
        <v>0</v>
      </c>
      <c r="CL816" s="1889">
        <v>0</v>
      </c>
      <c r="CM816" s="1889">
        <v>0</v>
      </c>
      <c r="CN816" s="1889">
        <v>0</v>
      </c>
      <c r="CO816" s="1889">
        <v>0</v>
      </c>
      <c r="CP816" s="1641"/>
      <c r="CQ816" s="1640"/>
      <c r="CR816" s="1640"/>
      <c r="CS816" s="1640"/>
    </row>
    <row r="817" spans="1:107" ht="15" thickBot="1" x14ac:dyDescent="0.2">
      <c r="A817" s="1541" t="s">
        <v>91</v>
      </c>
      <c r="B817" s="1523" t="s">
        <v>79</v>
      </c>
      <c r="C817" s="1523" t="s">
        <v>80</v>
      </c>
      <c r="D817" s="1523" t="s">
        <v>125</v>
      </c>
      <c r="E817" s="1523" t="s">
        <v>216</v>
      </c>
      <c r="F817" s="1523"/>
      <c r="G817" s="1667">
        <v>226</v>
      </c>
      <c r="H817" s="1502">
        <f>35+2</f>
        <v>37</v>
      </c>
      <c r="I817" s="1502"/>
      <c r="J817" s="1630"/>
      <c r="K817" s="1630"/>
      <c r="L817" s="1631"/>
      <c r="M817" s="1631"/>
      <c r="N817" s="1631"/>
      <c r="O817" s="1631"/>
      <c r="P817" s="1631"/>
      <c r="Q817" s="1631"/>
      <c r="R817" s="1631"/>
      <c r="S817" s="1631"/>
      <c r="T817" s="1632"/>
      <c r="U817" s="1633"/>
      <c r="V817" s="1633"/>
      <c r="W817" s="1634"/>
      <c r="X817" s="1634"/>
      <c r="Y817" s="1634"/>
      <c r="Z817" s="1635"/>
      <c r="AA817" s="1634">
        <f t="shared" si="544"/>
        <v>0</v>
      </c>
      <c r="AB817" s="1634"/>
      <c r="AC817" s="1508">
        <f t="shared" si="547"/>
        <v>37</v>
      </c>
      <c r="AD817" s="1509">
        <f t="shared" si="548"/>
        <v>0</v>
      </c>
      <c r="AE817" s="1509">
        <f t="shared" si="549"/>
        <v>0</v>
      </c>
      <c r="AF817" s="1509">
        <f t="shared" si="549"/>
        <v>0</v>
      </c>
      <c r="AG817" s="1509">
        <f t="shared" si="549"/>
        <v>0</v>
      </c>
      <c r="AH817" s="1490">
        <f t="shared" si="533"/>
        <v>1.95</v>
      </c>
      <c r="AI817" s="1636">
        <f t="shared" si="550"/>
        <v>0</v>
      </c>
      <c r="AJ817" s="1636">
        <f t="shared" si="551"/>
        <v>0</v>
      </c>
      <c r="AK817" s="1636">
        <f t="shared" si="552"/>
        <v>0</v>
      </c>
      <c r="AL817" s="1636">
        <f t="shared" si="535"/>
        <v>0</v>
      </c>
      <c r="AM817" s="1636">
        <f t="shared" si="535"/>
        <v>0</v>
      </c>
      <c r="AN817" s="1637"/>
      <c r="AO817" s="1723"/>
      <c r="AP817" s="1638"/>
      <c r="AQ817" s="1638"/>
      <c r="AR817" s="1638"/>
      <c r="AS817" s="1639"/>
      <c r="AT817" s="1638"/>
      <c r="AU817" s="1638"/>
      <c r="AV817" s="1638"/>
      <c r="AW817" s="1639"/>
      <c r="AX817" s="1640"/>
      <c r="AY817" s="1640"/>
      <c r="AZ817" s="1640"/>
      <c r="BA817" s="1641"/>
      <c r="BB817" s="1640"/>
      <c r="BC817" s="1640"/>
      <c r="BD817" s="1640"/>
      <c r="BE817" s="1644"/>
      <c r="BF817" s="1640"/>
      <c r="BG817" s="1640"/>
      <c r="BH817" s="1640"/>
      <c r="BI817" s="1641"/>
      <c r="BJ817" s="1640"/>
      <c r="BK817" s="1640"/>
      <c r="BL817" s="1640"/>
      <c r="BM817" s="1641"/>
      <c r="BN817" s="1640"/>
      <c r="BO817" s="1640"/>
      <c r="BP817" s="1640"/>
      <c r="BQ817" s="1641">
        <v>35.049999999999997</v>
      </c>
      <c r="BR817" s="1640"/>
      <c r="BS817" s="1640"/>
      <c r="BT817" s="1640"/>
      <c r="BU817" s="1641"/>
      <c r="BV817" s="1640"/>
      <c r="BW817" s="1640"/>
      <c r="BX817" s="1640"/>
      <c r="BY817" s="1641"/>
      <c r="BZ817" s="1640"/>
      <c r="CA817" s="1640"/>
      <c r="CB817" s="1640"/>
      <c r="CC817" s="1641"/>
      <c r="CD817" s="1640"/>
      <c r="CE817" s="1640"/>
      <c r="CF817" s="1640"/>
      <c r="CG817" s="1642"/>
      <c r="CH817" s="1641">
        <f t="shared" si="543"/>
        <v>1.95</v>
      </c>
      <c r="CI817" s="1641">
        <f t="shared" si="543"/>
        <v>0</v>
      </c>
      <c r="CJ817" s="1641">
        <f t="shared" si="543"/>
        <v>0</v>
      </c>
      <c r="CK817" s="1641">
        <f t="shared" si="543"/>
        <v>0</v>
      </c>
      <c r="CL817" s="1889">
        <v>1.95</v>
      </c>
      <c r="CM817" s="1889">
        <v>0</v>
      </c>
      <c r="CN817" s="1889">
        <v>0</v>
      </c>
      <c r="CO817" s="1889">
        <v>0</v>
      </c>
      <c r="CP817" s="1641"/>
      <c r="CQ817" s="1640"/>
      <c r="CR817" s="1640"/>
      <c r="CS817" s="1640"/>
    </row>
    <row r="818" spans="1:107" ht="15" thickBot="1" x14ac:dyDescent="0.2">
      <c r="A818" s="1541" t="s">
        <v>94</v>
      </c>
      <c r="B818" s="1523" t="s">
        <v>79</v>
      </c>
      <c r="C818" s="1523" t="s">
        <v>80</v>
      </c>
      <c r="D818" s="1523" t="s">
        <v>125</v>
      </c>
      <c r="E818" s="1523" t="s">
        <v>216</v>
      </c>
      <c r="F818" s="1523"/>
      <c r="G818" s="1667">
        <v>290</v>
      </c>
      <c r="H818" s="1502">
        <v>15.7</v>
      </c>
      <c r="I818" s="1502"/>
      <c r="J818" s="1630"/>
      <c r="K818" s="1630"/>
      <c r="L818" s="1631"/>
      <c r="M818" s="1631"/>
      <c r="N818" s="1631"/>
      <c r="O818" s="1631"/>
      <c r="P818" s="1631"/>
      <c r="Q818" s="1631"/>
      <c r="R818" s="1631"/>
      <c r="S818" s="1631"/>
      <c r="T818" s="1632"/>
      <c r="U818" s="1633"/>
      <c r="V818" s="1633"/>
      <c r="W818" s="1634"/>
      <c r="X818" s="1634"/>
      <c r="Y818" s="1634"/>
      <c r="Z818" s="1635"/>
      <c r="AA818" s="1634">
        <f t="shared" si="544"/>
        <v>0</v>
      </c>
      <c r="AB818" s="1634"/>
      <c r="AC818" s="1508">
        <f t="shared" si="547"/>
        <v>15.7</v>
      </c>
      <c r="AD818" s="1509">
        <f t="shared" si="548"/>
        <v>0</v>
      </c>
      <c r="AE818" s="1509">
        <f t="shared" si="549"/>
        <v>0</v>
      </c>
      <c r="AF818" s="1509">
        <f t="shared" si="549"/>
        <v>0</v>
      </c>
      <c r="AG818" s="1509">
        <f t="shared" si="549"/>
        <v>0</v>
      </c>
      <c r="AH818" s="1490">
        <f t="shared" si="533"/>
        <v>3.5</v>
      </c>
      <c r="AI818" s="1636">
        <f t="shared" si="550"/>
        <v>0</v>
      </c>
      <c r="AJ818" s="1636">
        <f t="shared" si="551"/>
        <v>0</v>
      </c>
      <c r="AK818" s="1636">
        <f t="shared" si="552"/>
        <v>0</v>
      </c>
      <c r="AL818" s="1636">
        <f t="shared" si="535"/>
        <v>0</v>
      </c>
      <c r="AM818" s="1636">
        <f t="shared" si="535"/>
        <v>0</v>
      </c>
      <c r="AN818" s="1637"/>
      <c r="AO818" s="1722">
        <v>1.3</v>
      </c>
      <c r="AP818" s="1638"/>
      <c r="AQ818" s="1638"/>
      <c r="AR818" s="1638"/>
      <c r="AS818" s="1639"/>
      <c r="AT818" s="1638"/>
      <c r="AU818" s="1638"/>
      <c r="AV818" s="1638"/>
      <c r="AW818" s="1639"/>
      <c r="AX818" s="1640"/>
      <c r="AY818" s="1640"/>
      <c r="AZ818" s="1640"/>
      <c r="BA818" s="1641"/>
      <c r="BB818" s="1640"/>
      <c r="BC818" s="1640"/>
      <c r="BD818" s="1640"/>
      <c r="BE818" s="1644">
        <v>3.9</v>
      </c>
      <c r="BF818" s="1640"/>
      <c r="BG818" s="1640"/>
      <c r="BH818" s="1640"/>
      <c r="BI818" s="1641"/>
      <c r="BJ818" s="1640"/>
      <c r="BK818" s="1640"/>
      <c r="BL818" s="1640"/>
      <c r="BM818" s="1641"/>
      <c r="BN818" s="1640"/>
      <c r="BO818" s="1640"/>
      <c r="BP818" s="1640"/>
      <c r="BQ818" s="1641"/>
      <c r="BR818" s="1640"/>
      <c r="BS818" s="1640"/>
      <c r="BT818" s="1640"/>
      <c r="BU818" s="1641">
        <v>7</v>
      </c>
      <c r="BV818" s="1640"/>
      <c r="BW818" s="1640"/>
      <c r="BX818" s="1640"/>
      <c r="BY818" s="1641"/>
      <c r="BZ818" s="1640"/>
      <c r="CA818" s="1640"/>
      <c r="CB818" s="1640"/>
      <c r="CC818" s="1641"/>
      <c r="CD818" s="1640"/>
      <c r="CE818" s="1640"/>
      <c r="CF818" s="1640"/>
      <c r="CG818" s="1642"/>
      <c r="CH818" s="1641">
        <f t="shared" si="543"/>
        <v>3.5</v>
      </c>
      <c r="CI818" s="1641">
        <f t="shared" si="543"/>
        <v>0</v>
      </c>
      <c r="CJ818" s="1641">
        <f t="shared" si="543"/>
        <v>0</v>
      </c>
      <c r="CK818" s="1641">
        <f t="shared" si="543"/>
        <v>0</v>
      </c>
      <c r="CL818" s="1889">
        <v>3.5</v>
      </c>
      <c r="CM818" s="1889">
        <v>0</v>
      </c>
      <c r="CN818" s="1889">
        <v>0</v>
      </c>
      <c r="CO818" s="1889">
        <v>0</v>
      </c>
      <c r="CP818" s="1641"/>
      <c r="CQ818" s="1640"/>
      <c r="CR818" s="1640"/>
      <c r="CS818" s="1640"/>
    </row>
    <row r="819" spans="1:107" ht="15" thickBot="1" x14ac:dyDescent="0.2">
      <c r="A819" s="1541" t="s">
        <v>94</v>
      </c>
      <c r="B819" s="1523" t="s">
        <v>79</v>
      </c>
      <c r="C819" s="1523" t="s">
        <v>80</v>
      </c>
      <c r="D819" s="1523" t="s">
        <v>125</v>
      </c>
      <c r="E819" s="1523" t="s">
        <v>216</v>
      </c>
      <c r="F819" s="1523"/>
      <c r="G819" s="1667" t="s">
        <v>95</v>
      </c>
      <c r="H819" s="1502"/>
      <c r="I819" s="1502"/>
      <c r="J819" s="1630"/>
      <c r="K819" s="1630"/>
      <c r="L819" s="1631"/>
      <c r="M819" s="1631"/>
      <c r="N819" s="1631"/>
      <c r="O819" s="1631"/>
      <c r="P819" s="1631"/>
      <c r="Q819" s="1631"/>
      <c r="R819" s="1631"/>
      <c r="S819" s="1631"/>
      <c r="T819" s="1632"/>
      <c r="U819" s="1633"/>
      <c r="V819" s="1633"/>
      <c r="W819" s="1634"/>
      <c r="X819" s="1634"/>
      <c r="Y819" s="1634"/>
      <c r="Z819" s="1635"/>
      <c r="AA819" s="1634">
        <f t="shared" si="544"/>
        <v>0</v>
      </c>
      <c r="AB819" s="1634"/>
      <c r="AC819" s="1508">
        <f t="shared" si="547"/>
        <v>0</v>
      </c>
      <c r="AD819" s="1509">
        <f t="shared" si="548"/>
        <v>0</v>
      </c>
      <c r="AE819" s="1509">
        <f t="shared" si="549"/>
        <v>0</v>
      </c>
      <c r="AF819" s="1509">
        <f t="shared" si="549"/>
        <v>0</v>
      </c>
      <c r="AG819" s="1509">
        <f t="shared" si="549"/>
        <v>0</v>
      </c>
      <c r="AH819" s="1490">
        <f t="shared" si="533"/>
        <v>0</v>
      </c>
      <c r="AI819" s="1636">
        <f t="shared" si="550"/>
        <v>0</v>
      </c>
      <c r="AJ819" s="1636">
        <f t="shared" si="551"/>
        <v>0</v>
      </c>
      <c r="AK819" s="1636">
        <f t="shared" si="552"/>
        <v>0</v>
      </c>
      <c r="AL819" s="1636">
        <f t="shared" si="535"/>
        <v>0</v>
      </c>
      <c r="AM819" s="1636">
        <f t="shared" si="535"/>
        <v>0</v>
      </c>
      <c r="AN819" s="1637"/>
      <c r="AO819" s="1722">
        <v>0</v>
      </c>
      <c r="AP819" s="1638"/>
      <c r="AQ819" s="1638"/>
      <c r="AR819" s="1638"/>
      <c r="AS819" s="1639"/>
      <c r="AT819" s="1638"/>
      <c r="AU819" s="1638"/>
      <c r="AV819" s="1638"/>
      <c r="AW819" s="1639"/>
      <c r="AX819" s="1640"/>
      <c r="AY819" s="1640"/>
      <c r="AZ819" s="1640"/>
      <c r="BA819" s="1641"/>
      <c r="BB819" s="1640"/>
      <c r="BC819" s="1640"/>
      <c r="BD819" s="1640"/>
      <c r="BE819" s="1644"/>
      <c r="BF819" s="1640"/>
      <c r="BG819" s="1640"/>
      <c r="BH819" s="1640"/>
      <c r="BI819" s="1641"/>
      <c r="BJ819" s="1640"/>
      <c r="BK819" s="1640"/>
      <c r="BL819" s="1640"/>
      <c r="BM819" s="1641"/>
      <c r="BN819" s="1640"/>
      <c r="BO819" s="1640"/>
      <c r="BP819" s="1640"/>
      <c r="BQ819" s="1641"/>
      <c r="BR819" s="1640"/>
      <c r="BS819" s="1640"/>
      <c r="BT819" s="1640"/>
      <c r="BU819" s="1641"/>
      <c r="BV819" s="1640"/>
      <c r="BW819" s="1640"/>
      <c r="BX819" s="1640"/>
      <c r="BY819" s="1641"/>
      <c r="BZ819" s="1640"/>
      <c r="CA819" s="1640"/>
      <c r="CB819" s="1640"/>
      <c r="CC819" s="1641"/>
      <c r="CD819" s="1640"/>
      <c r="CE819" s="1640"/>
      <c r="CF819" s="1640"/>
      <c r="CG819" s="1642"/>
      <c r="CH819" s="1641">
        <f t="shared" si="543"/>
        <v>0</v>
      </c>
      <c r="CI819" s="1641">
        <f t="shared" si="543"/>
        <v>0</v>
      </c>
      <c r="CJ819" s="1641">
        <f t="shared" si="543"/>
        <v>0</v>
      </c>
      <c r="CK819" s="1641">
        <f t="shared" si="543"/>
        <v>0</v>
      </c>
      <c r="CL819" s="1889">
        <v>0</v>
      </c>
      <c r="CM819" s="1889">
        <v>0</v>
      </c>
      <c r="CN819" s="1889">
        <v>0</v>
      </c>
      <c r="CO819" s="1889">
        <v>0</v>
      </c>
      <c r="CP819" s="1641"/>
      <c r="CQ819" s="1640"/>
      <c r="CR819" s="1640"/>
      <c r="CS819" s="1640"/>
    </row>
    <row r="820" spans="1:107" ht="15" thickBot="1" x14ac:dyDescent="0.2">
      <c r="A820" s="1541" t="s">
        <v>96</v>
      </c>
      <c r="B820" s="1523" t="s">
        <v>79</v>
      </c>
      <c r="C820" s="1523" t="s">
        <v>80</v>
      </c>
      <c r="D820" s="1523" t="s">
        <v>125</v>
      </c>
      <c r="E820" s="1523" t="s">
        <v>216</v>
      </c>
      <c r="F820" s="1523"/>
      <c r="G820" s="1667">
        <v>310</v>
      </c>
      <c r="H820" s="1502">
        <f>150-50</f>
        <v>100</v>
      </c>
      <c r="I820" s="1502"/>
      <c r="J820" s="1630"/>
      <c r="K820" s="1630"/>
      <c r="L820" s="1631"/>
      <c r="M820" s="1631"/>
      <c r="N820" s="1631"/>
      <c r="O820" s="1631"/>
      <c r="P820" s="1631"/>
      <c r="Q820" s="1631"/>
      <c r="R820" s="1631"/>
      <c r="S820" s="1631"/>
      <c r="T820" s="1632"/>
      <c r="U820" s="1633"/>
      <c r="V820" s="1633"/>
      <c r="W820" s="1634"/>
      <c r="X820" s="1634"/>
      <c r="Y820" s="1634"/>
      <c r="Z820" s="1635"/>
      <c r="AA820" s="1634">
        <f t="shared" si="544"/>
        <v>0</v>
      </c>
      <c r="AB820" s="1634"/>
      <c r="AC820" s="1508">
        <f t="shared" si="547"/>
        <v>100</v>
      </c>
      <c r="AD820" s="1509">
        <f t="shared" si="548"/>
        <v>0</v>
      </c>
      <c r="AE820" s="1509">
        <f t="shared" si="549"/>
        <v>0</v>
      </c>
      <c r="AF820" s="1509">
        <f t="shared" si="549"/>
        <v>0</v>
      </c>
      <c r="AG820" s="1509">
        <f t="shared" si="549"/>
        <v>0</v>
      </c>
      <c r="AH820" s="1490">
        <f t="shared" si="533"/>
        <v>0</v>
      </c>
      <c r="AI820" s="1636">
        <f t="shared" si="550"/>
        <v>0</v>
      </c>
      <c r="AJ820" s="1636">
        <f t="shared" si="551"/>
        <v>0</v>
      </c>
      <c r="AK820" s="1636">
        <f t="shared" si="552"/>
        <v>0</v>
      </c>
      <c r="AL820" s="1636">
        <f t="shared" si="535"/>
        <v>0</v>
      </c>
      <c r="AM820" s="1636">
        <f t="shared" si="535"/>
        <v>0</v>
      </c>
      <c r="AN820" s="1637"/>
      <c r="AO820" s="1723"/>
      <c r="AP820" s="1638"/>
      <c r="AQ820" s="1638"/>
      <c r="AR820" s="1638"/>
      <c r="AS820" s="1639"/>
      <c r="AT820" s="1638"/>
      <c r="AU820" s="1638"/>
      <c r="AV820" s="1638"/>
      <c r="AW820" s="1639"/>
      <c r="AX820" s="1640"/>
      <c r="AY820" s="1640"/>
      <c r="AZ820" s="1640"/>
      <c r="BA820" s="1641"/>
      <c r="BB820" s="1640"/>
      <c r="BC820" s="1640"/>
      <c r="BD820" s="1640"/>
      <c r="BE820" s="1644"/>
      <c r="BF820" s="1640"/>
      <c r="BG820" s="1640"/>
      <c r="BH820" s="1640"/>
      <c r="BI820" s="1641">
        <v>50</v>
      </c>
      <c r="BJ820" s="1640"/>
      <c r="BK820" s="1640"/>
      <c r="BL820" s="1640"/>
      <c r="BM820" s="1641">
        <v>50</v>
      </c>
      <c r="BN820" s="1640"/>
      <c r="BO820" s="1640"/>
      <c r="BP820" s="1640"/>
      <c r="BQ820" s="1641"/>
      <c r="BR820" s="1640"/>
      <c r="BS820" s="1640"/>
      <c r="BT820" s="1640"/>
      <c r="BU820" s="1641"/>
      <c r="BV820" s="1640"/>
      <c r="BW820" s="1640"/>
      <c r="BX820" s="1640"/>
      <c r="BY820" s="1641"/>
      <c r="BZ820" s="1640"/>
      <c r="CA820" s="1640"/>
      <c r="CB820" s="1640"/>
      <c r="CC820" s="1641"/>
      <c r="CD820" s="1640"/>
      <c r="CE820" s="1640"/>
      <c r="CF820" s="1640"/>
      <c r="CG820" s="1642"/>
      <c r="CH820" s="1641">
        <f t="shared" si="543"/>
        <v>0</v>
      </c>
      <c r="CI820" s="1641">
        <f t="shared" si="543"/>
        <v>0</v>
      </c>
      <c r="CJ820" s="1641">
        <f t="shared" si="543"/>
        <v>0</v>
      </c>
      <c r="CK820" s="1641">
        <f t="shared" si="543"/>
        <v>0</v>
      </c>
      <c r="CL820" s="1889">
        <v>0</v>
      </c>
      <c r="CM820" s="1889">
        <v>0</v>
      </c>
      <c r="CN820" s="1889">
        <v>0</v>
      </c>
      <c r="CO820" s="1889">
        <v>0</v>
      </c>
      <c r="CP820" s="1641"/>
      <c r="CQ820" s="1640"/>
      <c r="CR820" s="1640"/>
      <c r="CS820" s="1640"/>
    </row>
    <row r="821" spans="1:107" ht="15" thickBot="1" x14ac:dyDescent="0.2">
      <c r="A821" s="1541" t="s">
        <v>97</v>
      </c>
      <c r="B821" s="1523" t="s">
        <v>79</v>
      </c>
      <c r="C821" s="1523" t="s">
        <v>80</v>
      </c>
      <c r="D821" s="1523" t="s">
        <v>125</v>
      </c>
      <c r="E821" s="1523" t="s">
        <v>216</v>
      </c>
      <c r="F821" s="1523"/>
      <c r="G821" s="1667">
        <v>340</v>
      </c>
      <c r="H821" s="1502">
        <v>20</v>
      </c>
      <c r="I821" s="1502"/>
      <c r="J821" s="1630"/>
      <c r="K821" s="1630"/>
      <c r="L821" s="1631"/>
      <c r="M821" s="1631"/>
      <c r="N821" s="1631"/>
      <c r="O821" s="1631"/>
      <c r="P821" s="1631"/>
      <c r="Q821" s="1631"/>
      <c r="R821" s="1631"/>
      <c r="S821" s="1631"/>
      <c r="T821" s="1632"/>
      <c r="U821" s="1633"/>
      <c r="V821" s="1633"/>
      <c r="W821" s="1634"/>
      <c r="X821" s="1634"/>
      <c r="Y821" s="1634"/>
      <c r="Z821" s="1635"/>
      <c r="AA821" s="1634">
        <f t="shared" si="544"/>
        <v>0</v>
      </c>
      <c r="AB821" s="1634"/>
      <c r="AC821" s="1508">
        <f t="shared" si="547"/>
        <v>20</v>
      </c>
      <c r="AD821" s="1509">
        <f t="shared" si="548"/>
        <v>0</v>
      </c>
      <c r="AE821" s="1509">
        <f t="shared" si="549"/>
        <v>0</v>
      </c>
      <c r="AF821" s="1509">
        <f t="shared" si="549"/>
        <v>0</v>
      </c>
      <c r="AG821" s="1509">
        <f t="shared" si="549"/>
        <v>0</v>
      </c>
      <c r="AH821" s="1490">
        <f t="shared" si="533"/>
        <v>18.7</v>
      </c>
      <c r="AI821" s="1636">
        <f t="shared" si="550"/>
        <v>0</v>
      </c>
      <c r="AJ821" s="1636">
        <f t="shared" si="551"/>
        <v>0</v>
      </c>
      <c r="AK821" s="1636">
        <f t="shared" si="552"/>
        <v>0</v>
      </c>
      <c r="AL821" s="1636">
        <f t="shared" si="535"/>
        <v>0</v>
      </c>
      <c r="AM821" s="1636">
        <f t="shared" si="535"/>
        <v>0</v>
      </c>
      <c r="AN821" s="1637"/>
      <c r="AO821" s="1722">
        <v>1.3</v>
      </c>
      <c r="AP821" s="1638"/>
      <c r="AQ821" s="1638"/>
      <c r="AR821" s="1638"/>
      <c r="AS821" s="1639"/>
      <c r="AT821" s="1638"/>
      <c r="AU821" s="1638"/>
      <c r="AV821" s="1638"/>
      <c r="AW821" s="1639"/>
      <c r="AX821" s="1640"/>
      <c r="AY821" s="1640"/>
      <c r="AZ821" s="1640"/>
      <c r="BA821" s="1641"/>
      <c r="BB821" s="1640"/>
      <c r="BC821" s="1640"/>
      <c r="BD821" s="1640"/>
      <c r="BE821" s="1644"/>
      <c r="BF821" s="1640"/>
      <c r="BG821" s="1640"/>
      <c r="BH821" s="1640"/>
      <c r="BI821" s="1641"/>
      <c r="BJ821" s="1640"/>
      <c r="BK821" s="1640"/>
      <c r="BL821" s="1640"/>
      <c r="BM821" s="1641"/>
      <c r="BN821" s="1640"/>
      <c r="BO821" s="1640"/>
      <c r="BP821" s="1640"/>
      <c r="BQ821" s="1641"/>
      <c r="BR821" s="1640"/>
      <c r="BS821" s="1640"/>
      <c r="BT821" s="1640"/>
      <c r="BU821" s="1641"/>
      <c r="BV821" s="1640"/>
      <c r="BW821" s="1640"/>
      <c r="BX821" s="1640"/>
      <c r="BY821" s="1641"/>
      <c r="BZ821" s="1640"/>
      <c r="CA821" s="1640"/>
      <c r="CB821" s="1640"/>
      <c r="CC821" s="1641"/>
      <c r="CD821" s="1640"/>
      <c r="CE821" s="1640"/>
      <c r="CF821" s="1640"/>
      <c r="CG821" s="1642"/>
      <c r="CH821" s="1641">
        <f t="shared" si="543"/>
        <v>18.7</v>
      </c>
      <c r="CI821" s="1641">
        <f t="shared" si="543"/>
        <v>0</v>
      </c>
      <c r="CJ821" s="1641">
        <f t="shared" si="543"/>
        <v>0</v>
      </c>
      <c r="CK821" s="1641">
        <f t="shared" si="543"/>
        <v>0</v>
      </c>
      <c r="CL821" s="1889">
        <v>18.7</v>
      </c>
      <c r="CM821" s="1889">
        <v>0</v>
      </c>
      <c r="CN821" s="1889">
        <v>0</v>
      </c>
      <c r="CO821" s="1889">
        <v>0</v>
      </c>
      <c r="CP821" s="1641"/>
      <c r="CQ821" s="1640"/>
      <c r="CR821" s="1640"/>
      <c r="CS821" s="1640"/>
    </row>
    <row r="822" spans="1:107" ht="15" thickBot="1" x14ac:dyDescent="0.2">
      <c r="A822" s="1528" t="s">
        <v>767</v>
      </c>
      <c r="B822" s="1530" t="s">
        <v>79</v>
      </c>
      <c r="C822" s="1530" t="s">
        <v>80</v>
      </c>
      <c r="D822" s="1530" t="s">
        <v>125</v>
      </c>
      <c r="E822" s="1530" t="s">
        <v>216</v>
      </c>
      <c r="F822" s="1530">
        <v>612</v>
      </c>
      <c r="G822" s="1687" t="s">
        <v>766</v>
      </c>
      <c r="H822" s="1647">
        <f>I808</f>
        <v>0</v>
      </c>
      <c r="I822" s="1645"/>
      <c r="J822" s="1630"/>
      <c r="K822" s="1630"/>
      <c r="L822" s="1631"/>
      <c r="M822" s="1631"/>
      <c r="N822" s="1631"/>
      <c r="O822" s="1631"/>
      <c r="P822" s="1631"/>
      <c r="Q822" s="1631"/>
      <c r="R822" s="1631"/>
      <c r="S822" s="1631"/>
      <c r="T822" s="1632"/>
      <c r="U822" s="1633"/>
      <c r="V822" s="1633"/>
      <c r="W822" s="1634"/>
      <c r="X822" s="1634"/>
      <c r="Y822" s="1634"/>
      <c r="Z822" s="1635"/>
      <c r="AA822" s="1634">
        <f t="shared" si="544"/>
        <v>0</v>
      </c>
      <c r="AB822" s="1634"/>
      <c r="AC822" s="1508"/>
      <c r="AD822" s="1509"/>
      <c r="AE822" s="1509"/>
      <c r="AF822" s="1509"/>
      <c r="AG822" s="1509"/>
      <c r="AH822" s="1490">
        <f t="shared" si="533"/>
        <v>0</v>
      </c>
      <c r="AI822" s="1636"/>
      <c r="AJ822" s="1636"/>
      <c r="AK822" s="1636"/>
      <c r="AL822" s="1636">
        <f t="shared" si="535"/>
        <v>0</v>
      </c>
      <c r="AM822" s="1636"/>
      <c r="AN822" s="1712"/>
      <c r="AO822" s="1713"/>
      <c r="AP822" s="1638"/>
      <c r="AQ822" s="1638"/>
      <c r="AR822" s="1638"/>
      <c r="AS822" s="1639"/>
      <c r="AT822" s="1638"/>
      <c r="AU822" s="1638"/>
      <c r="AV822" s="1638"/>
      <c r="AW822" s="1639"/>
      <c r="AX822" s="1640"/>
      <c r="AY822" s="1640"/>
      <c r="AZ822" s="1640"/>
      <c r="BA822" s="1641"/>
      <c r="BB822" s="1640"/>
      <c r="BC822" s="1640"/>
      <c r="BD822" s="1640"/>
      <c r="BE822" s="1644"/>
      <c r="BF822" s="1640"/>
      <c r="BG822" s="1640"/>
      <c r="BH822" s="1640"/>
      <c r="BI822" s="1641"/>
      <c r="BJ822" s="1640"/>
      <c r="BK822" s="1640"/>
      <c r="BL822" s="1640"/>
      <c r="BM822" s="1641"/>
      <c r="BN822" s="1640"/>
      <c r="BO822" s="1640"/>
      <c r="BP822" s="1640"/>
      <c r="BQ822" s="1641"/>
      <c r="BR822" s="1640"/>
      <c r="BS822" s="1640"/>
      <c r="BT822" s="1640"/>
      <c r="BU822" s="1641"/>
      <c r="BV822" s="1640"/>
      <c r="BW822" s="1640"/>
      <c r="BX822" s="1640"/>
      <c r="BY822" s="1641"/>
      <c r="BZ822" s="1640"/>
      <c r="CA822" s="1640"/>
      <c r="CB822" s="1640"/>
      <c r="CC822" s="1641"/>
      <c r="CD822" s="1640"/>
      <c r="CE822" s="1640"/>
      <c r="CF822" s="1640"/>
      <c r="CG822" s="1642"/>
      <c r="CH822" s="1641">
        <f t="shared" si="543"/>
        <v>0</v>
      </c>
      <c r="CI822" s="1641">
        <f t="shared" si="543"/>
        <v>0</v>
      </c>
      <c r="CJ822" s="1641">
        <f t="shared" si="543"/>
        <v>0</v>
      </c>
      <c r="CK822" s="1641">
        <f t="shared" si="543"/>
        <v>0</v>
      </c>
      <c r="CL822" s="1898"/>
      <c r="CM822" s="1898"/>
      <c r="CN822" s="1889">
        <v>0</v>
      </c>
      <c r="CO822" s="1898"/>
      <c r="CP822" s="1641"/>
      <c r="CQ822" s="1640"/>
      <c r="CR822" s="1640"/>
      <c r="CS822" s="1640"/>
    </row>
    <row r="823" spans="1:107" s="1886" customFormat="1" ht="27" thickBot="1" x14ac:dyDescent="0.2">
      <c r="A823" s="1873" t="s">
        <v>1295</v>
      </c>
      <c r="B823" s="1941" t="s">
        <v>79</v>
      </c>
      <c r="C823" s="1941" t="s">
        <v>80</v>
      </c>
      <c r="D823" s="1941" t="s">
        <v>125</v>
      </c>
      <c r="E823" s="1941" t="s">
        <v>216</v>
      </c>
      <c r="F823" s="1941">
        <v>600</v>
      </c>
      <c r="G823" s="1874"/>
      <c r="H823" s="1606">
        <f>H824+H838</f>
        <v>8932.2540000000008</v>
      </c>
      <c r="I823" s="1606">
        <f>I824+I838</f>
        <v>90</v>
      </c>
      <c r="J823" s="1606">
        <f>J824+J838</f>
        <v>0</v>
      </c>
      <c r="K823" s="1606">
        <f>K824+K838</f>
        <v>0</v>
      </c>
      <c r="L823" s="1607"/>
      <c r="M823" s="1607"/>
      <c r="N823" s="1607"/>
      <c r="O823" s="1607"/>
      <c r="P823" s="1607"/>
      <c r="Q823" s="1607"/>
      <c r="R823" s="1607"/>
      <c r="S823" s="1607"/>
      <c r="T823" s="1608"/>
      <c r="U823" s="1609"/>
      <c r="V823" s="1609"/>
      <c r="W823" s="1610"/>
      <c r="X823" s="1610"/>
      <c r="Y823" s="1610"/>
      <c r="Z823" s="1611"/>
      <c r="AA823" s="1634">
        <f t="shared" si="544"/>
        <v>0</v>
      </c>
      <c r="AB823" s="1610"/>
      <c r="AC823" s="1612">
        <f t="shared" ref="AC823:CF823" si="553">AC824+AC838</f>
        <v>8842.2540000000008</v>
      </c>
      <c r="AD823" s="1612">
        <f t="shared" si="553"/>
        <v>90</v>
      </c>
      <c r="AE823" s="1612">
        <f t="shared" si="553"/>
        <v>90</v>
      </c>
      <c r="AF823" s="1612">
        <f t="shared" si="553"/>
        <v>0</v>
      </c>
      <c r="AG823" s="1612">
        <f t="shared" si="553"/>
        <v>0</v>
      </c>
      <c r="AH823" s="1490">
        <f t="shared" si="533"/>
        <v>439.13400000000001</v>
      </c>
      <c r="AI823" s="1613">
        <f t="shared" si="553"/>
        <v>0</v>
      </c>
      <c r="AJ823" s="1613">
        <f t="shared" si="553"/>
        <v>0</v>
      </c>
      <c r="AK823" s="1613">
        <f t="shared" si="553"/>
        <v>0</v>
      </c>
      <c r="AL823" s="1636">
        <f t="shared" ref="AL823:AM854" si="554">J823-AF823</f>
        <v>0</v>
      </c>
      <c r="AM823" s="1613">
        <f t="shared" si="553"/>
        <v>0</v>
      </c>
      <c r="AN823" s="1614"/>
      <c r="AO823" s="1606">
        <f t="shared" si="553"/>
        <v>700.40000000000009</v>
      </c>
      <c r="AP823" s="1606">
        <f t="shared" si="553"/>
        <v>0</v>
      </c>
      <c r="AQ823" s="1606">
        <f t="shared" si="553"/>
        <v>0</v>
      </c>
      <c r="AR823" s="1606">
        <f t="shared" si="553"/>
        <v>0</v>
      </c>
      <c r="AS823" s="1611">
        <f t="shared" si="553"/>
        <v>698.7</v>
      </c>
      <c r="AT823" s="1606">
        <f t="shared" si="553"/>
        <v>0</v>
      </c>
      <c r="AU823" s="1606">
        <f t="shared" si="553"/>
        <v>0</v>
      </c>
      <c r="AV823" s="1606">
        <f t="shared" si="553"/>
        <v>0</v>
      </c>
      <c r="AW823" s="1611">
        <f t="shared" si="553"/>
        <v>698.7</v>
      </c>
      <c r="AX823" s="1606">
        <f t="shared" si="553"/>
        <v>0</v>
      </c>
      <c r="AY823" s="1606">
        <f t="shared" si="553"/>
        <v>0</v>
      </c>
      <c r="AZ823" s="1606">
        <f t="shared" si="553"/>
        <v>0</v>
      </c>
      <c r="BA823" s="1614">
        <f t="shared" si="553"/>
        <v>698.7</v>
      </c>
      <c r="BB823" s="1606">
        <f t="shared" si="553"/>
        <v>0</v>
      </c>
      <c r="BC823" s="1606">
        <f t="shared" si="553"/>
        <v>0</v>
      </c>
      <c r="BD823" s="1606">
        <f t="shared" si="553"/>
        <v>0</v>
      </c>
      <c r="BE823" s="1615">
        <f t="shared" si="553"/>
        <v>703.90000000000009</v>
      </c>
      <c r="BF823" s="1606">
        <f t="shared" si="553"/>
        <v>0</v>
      </c>
      <c r="BG823" s="1606">
        <f t="shared" si="553"/>
        <v>0</v>
      </c>
      <c r="BH823" s="1606">
        <f t="shared" si="553"/>
        <v>0</v>
      </c>
      <c r="BI823" s="1614">
        <f t="shared" si="553"/>
        <v>594.69399999999996</v>
      </c>
      <c r="BJ823" s="1606">
        <f t="shared" si="553"/>
        <v>0</v>
      </c>
      <c r="BK823" s="1606">
        <f t="shared" si="553"/>
        <v>0</v>
      </c>
      <c r="BL823" s="1606">
        <f t="shared" si="553"/>
        <v>0</v>
      </c>
      <c r="BM823" s="1614">
        <f t="shared" si="553"/>
        <v>1721.4060000000002</v>
      </c>
      <c r="BN823" s="1606">
        <f t="shared" si="553"/>
        <v>0</v>
      </c>
      <c r="BO823" s="1606">
        <f t="shared" si="553"/>
        <v>0</v>
      </c>
      <c r="BP823" s="1606">
        <f t="shared" si="553"/>
        <v>0</v>
      </c>
      <c r="BQ823" s="1614">
        <f t="shared" si="553"/>
        <v>733.75</v>
      </c>
      <c r="BR823" s="1606">
        <f t="shared" si="553"/>
        <v>0</v>
      </c>
      <c r="BS823" s="1606">
        <f t="shared" si="553"/>
        <v>0</v>
      </c>
      <c r="BT823" s="1606">
        <f t="shared" si="553"/>
        <v>0</v>
      </c>
      <c r="BU823" s="1614">
        <f t="shared" si="553"/>
        <v>514.9</v>
      </c>
      <c r="BV823" s="1606">
        <f t="shared" si="553"/>
        <v>0</v>
      </c>
      <c r="BW823" s="1606">
        <f t="shared" si="553"/>
        <v>0</v>
      </c>
      <c r="BX823" s="1606">
        <f t="shared" si="553"/>
        <v>0</v>
      </c>
      <c r="BY823" s="1614">
        <f t="shared" si="553"/>
        <v>147.32</v>
      </c>
      <c r="BZ823" s="1606">
        <f t="shared" si="553"/>
        <v>0</v>
      </c>
      <c r="CA823" s="1606">
        <f t="shared" si="553"/>
        <v>0</v>
      </c>
      <c r="CB823" s="1606">
        <f t="shared" si="553"/>
        <v>0</v>
      </c>
      <c r="CC823" s="1614">
        <f t="shared" si="553"/>
        <v>1190.6500000000001</v>
      </c>
      <c r="CD823" s="1606">
        <f t="shared" si="553"/>
        <v>0</v>
      </c>
      <c r="CE823" s="1606">
        <f t="shared" si="553"/>
        <v>0</v>
      </c>
      <c r="CF823" s="1606">
        <f t="shared" si="553"/>
        <v>0</v>
      </c>
      <c r="CG823" s="1616"/>
      <c r="CH823" s="1641">
        <f t="shared" si="543"/>
        <v>439.13400000000001</v>
      </c>
      <c r="CI823" s="1641">
        <f t="shared" si="543"/>
        <v>90</v>
      </c>
      <c r="CJ823" s="1641">
        <f t="shared" si="543"/>
        <v>0</v>
      </c>
      <c r="CK823" s="1641">
        <f t="shared" si="543"/>
        <v>0</v>
      </c>
      <c r="CL823" s="1943">
        <v>439.13400000000001</v>
      </c>
      <c r="CM823" s="1943">
        <v>90</v>
      </c>
      <c r="CN823" s="1889">
        <v>0</v>
      </c>
      <c r="CO823" s="1943">
        <v>0</v>
      </c>
      <c r="CP823" s="1614">
        <f>CP824+CP838</f>
        <v>0</v>
      </c>
      <c r="CQ823" s="1606">
        <f>CQ824+CQ838</f>
        <v>0</v>
      </c>
      <c r="CR823" s="1606">
        <f>CR824+CR838</f>
        <v>0</v>
      </c>
      <c r="CS823" s="1606">
        <f>CS824+CS838</f>
        <v>0</v>
      </c>
      <c r="CT823" s="1885"/>
      <c r="CU823" s="1885"/>
      <c r="CV823" s="1885"/>
      <c r="CW823" s="1885"/>
      <c r="CY823" s="1885"/>
    </row>
    <row r="824" spans="1:107" ht="53" thickBot="1" x14ac:dyDescent="0.2">
      <c r="A824" s="1748" t="s">
        <v>1135</v>
      </c>
      <c r="B824" s="1749" t="s">
        <v>79</v>
      </c>
      <c r="C824" s="1749" t="s">
        <v>80</v>
      </c>
      <c r="D824" s="1749" t="s">
        <v>125</v>
      </c>
      <c r="E824" s="1749" t="s">
        <v>216</v>
      </c>
      <c r="F824" s="1749" t="s">
        <v>765</v>
      </c>
      <c r="G824" s="1600" t="s">
        <v>766</v>
      </c>
      <c r="H824" s="1531">
        <f>H825+H826+H827+H828+H829+H830+H831+H832+H833+H834+H835+H836+H837</f>
        <v>8842.2540000000008</v>
      </c>
      <c r="I824" s="1531">
        <f>I825+I826+I827+I828+I829+I830+I831+I832+I833+I834+I835+I836+I837</f>
        <v>90</v>
      </c>
      <c r="J824" s="1531">
        <f>J825+J826+J827+J828+J829+J830+J831+J832+J833+J834+J835+J836+J837</f>
        <v>0</v>
      </c>
      <c r="K824" s="1531">
        <f>K825+K826+K827+K828+K829+K830+K831+K832+K833+K834+K835+K836+K837</f>
        <v>0</v>
      </c>
      <c r="L824" s="1601"/>
      <c r="M824" s="1601"/>
      <c r="N824" s="1601"/>
      <c r="O824" s="1601"/>
      <c r="P824" s="1601"/>
      <c r="Q824" s="1601"/>
      <c r="R824" s="1601"/>
      <c r="S824" s="1601"/>
      <c r="T824" s="1602"/>
      <c r="U824" s="1533"/>
      <c r="V824" s="1533"/>
      <c r="W824" s="1534"/>
      <c r="X824" s="1534"/>
      <c r="Y824" s="1534"/>
      <c r="Z824" s="1535"/>
      <c r="AA824" s="1634">
        <f t="shared" si="544"/>
        <v>0</v>
      </c>
      <c r="AB824" s="1534"/>
      <c r="AC824" s="1603">
        <f t="shared" ref="AC824:CF824" si="555">AC825+AC826+AC827+AC828+AC829+AC830+AC831+AC832+AC833+AC834+AC835+AC836+AC837</f>
        <v>8842.2540000000008</v>
      </c>
      <c r="AD824" s="1603">
        <f t="shared" si="555"/>
        <v>90</v>
      </c>
      <c r="AE824" s="1603">
        <f t="shared" si="555"/>
        <v>90</v>
      </c>
      <c r="AF824" s="1603">
        <f t="shared" si="555"/>
        <v>0</v>
      </c>
      <c r="AG824" s="1603">
        <f t="shared" si="555"/>
        <v>0</v>
      </c>
      <c r="AH824" s="1490">
        <f t="shared" si="533"/>
        <v>439.13400000000001</v>
      </c>
      <c r="AI824" s="1592">
        <f t="shared" si="555"/>
        <v>0</v>
      </c>
      <c r="AJ824" s="1592">
        <f t="shared" si="555"/>
        <v>0</v>
      </c>
      <c r="AK824" s="1592">
        <f t="shared" si="555"/>
        <v>0</v>
      </c>
      <c r="AL824" s="1636">
        <f t="shared" si="554"/>
        <v>0</v>
      </c>
      <c r="AM824" s="1592">
        <f t="shared" si="555"/>
        <v>0</v>
      </c>
      <c r="AN824" s="1717"/>
      <c r="AO824" s="1718">
        <f t="shared" si="555"/>
        <v>700.40000000000009</v>
      </c>
      <c r="AP824" s="1531">
        <f t="shared" si="555"/>
        <v>0</v>
      </c>
      <c r="AQ824" s="1531">
        <f t="shared" si="555"/>
        <v>0</v>
      </c>
      <c r="AR824" s="1531">
        <f t="shared" si="555"/>
        <v>0</v>
      </c>
      <c r="AS824" s="1535">
        <f t="shared" si="555"/>
        <v>698.7</v>
      </c>
      <c r="AT824" s="1531">
        <f t="shared" si="555"/>
        <v>0</v>
      </c>
      <c r="AU824" s="1531">
        <f t="shared" si="555"/>
        <v>0</v>
      </c>
      <c r="AV824" s="1531">
        <f t="shared" si="555"/>
        <v>0</v>
      </c>
      <c r="AW824" s="1535">
        <f t="shared" si="555"/>
        <v>698.7</v>
      </c>
      <c r="AX824" s="1531">
        <f t="shared" si="555"/>
        <v>0</v>
      </c>
      <c r="AY824" s="1531">
        <f t="shared" si="555"/>
        <v>0</v>
      </c>
      <c r="AZ824" s="1531">
        <f t="shared" si="555"/>
        <v>0</v>
      </c>
      <c r="BA824" s="1538">
        <f t="shared" si="555"/>
        <v>698.7</v>
      </c>
      <c r="BB824" s="1531">
        <f t="shared" si="555"/>
        <v>0</v>
      </c>
      <c r="BC824" s="1531">
        <f t="shared" si="555"/>
        <v>0</v>
      </c>
      <c r="BD824" s="1531">
        <f t="shared" si="555"/>
        <v>0</v>
      </c>
      <c r="BE824" s="1539">
        <f t="shared" si="555"/>
        <v>703.90000000000009</v>
      </c>
      <c r="BF824" s="1531">
        <f t="shared" si="555"/>
        <v>0</v>
      </c>
      <c r="BG824" s="1531">
        <f t="shared" si="555"/>
        <v>0</v>
      </c>
      <c r="BH824" s="1531">
        <f t="shared" si="555"/>
        <v>0</v>
      </c>
      <c r="BI824" s="1538">
        <f t="shared" si="555"/>
        <v>594.69399999999996</v>
      </c>
      <c r="BJ824" s="1531">
        <f t="shared" si="555"/>
        <v>0</v>
      </c>
      <c r="BK824" s="1531">
        <f t="shared" si="555"/>
        <v>0</v>
      </c>
      <c r="BL824" s="1531">
        <f t="shared" si="555"/>
        <v>0</v>
      </c>
      <c r="BM824" s="1538">
        <f t="shared" si="555"/>
        <v>1721.4060000000002</v>
      </c>
      <c r="BN824" s="1531">
        <f t="shared" si="555"/>
        <v>0</v>
      </c>
      <c r="BO824" s="1531">
        <f t="shared" si="555"/>
        <v>0</v>
      </c>
      <c r="BP824" s="1531">
        <f t="shared" si="555"/>
        <v>0</v>
      </c>
      <c r="BQ824" s="1538">
        <f t="shared" si="555"/>
        <v>733.75</v>
      </c>
      <c r="BR824" s="1531">
        <f t="shared" si="555"/>
        <v>0</v>
      </c>
      <c r="BS824" s="1531">
        <f t="shared" si="555"/>
        <v>0</v>
      </c>
      <c r="BT824" s="1531">
        <f t="shared" si="555"/>
        <v>0</v>
      </c>
      <c r="BU824" s="1538">
        <f t="shared" si="555"/>
        <v>514.9</v>
      </c>
      <c r="BV824" s="1531">
        <f t="shared" si="555"/>
        <v>0</v>
      </c>
      <c r="BW824" s="1531">
        <f t="shared" si="555"/>
        <v>0</v>
      </c>
      <c r="BX824" s="1531">
        <f t="shared" si="555"/>
        <v>0</v>
      </c>
      <c r="BY824" s="1538">
        <f t="shared" si="555"/>
        <v>147.32</v>
      </c>
      <c r="BZ824" s="1531">
        <f t="shared" si="555"/>
        <v>0</v>
      </c>
      <c r="CA824" s="1531">
        <f t="shared" si="555"/>
        <v>0</v>
      </c>
      <c r="CB824" s="1531">
        <f t="shared" si="555"/>
        <v>0</v>
      </c>
      <c r="CC824" s="1538">
        <f t="shared" si="555"/>
        <v>1190.6500000000001</v>
      </c>
      <c r="CD824" s="1531">
        <f t="shared" si="555"/>
        <v>0</v>
      </c>
      <c r="CE824" s="1531">
        <f t="shared" si="555"/>
        <v>0</v>
      </c>
      <c r="CF824" s="1531">
        <f t="shared" si="555"/>
        <v>0</v>
      </c>
      <c r="CG824" s="1705"/>
      <c r="CH824" s="1641">
        <f t="shared" si="543"/>
        <v>439.13400000000001</v>
      </c>
      <c r="CI824" s="1641">
        <f t="shared" si="543"/>
        <v>90</v>
      </c>
      <c r="CJ824" s="1641">
        <f t="shared" si="543"/>
        <v>0</v>
      </c>
      <c r="CK824" s="1641">
        <f t="shared" si="543"/>
        <v>0</v>
      </c>
      <c r="CL824" s="1902">
        <v>439.13400000000001</v>
      </c>
      <c r="CM824" s="1902">
        <v>90</v>
      </c>
      <c r="CN824" s="1889">
        <v>0</v>
      </c>
      <c r="CO824" s="1902">
        <v>0</v>
      </c>
      <c r="CP824" s="1538">
        <f>CP825+CP826+CP827+CP828+CP829+CP830+CP831+CP832+CP833+CP834+CP835+CP836+CP837</f>
        <v>0</v>
      </c>
      <c r="CQ824" s="1531">
        <f>CQ825+CQ826+CQ827+CQ828+CQ829+CQ830+CQ831+CQ832+CQ833+CQ834+CQ835+CQ836+CQ837</f>
        <v>0</v>
      </c>
      <c r="CR824" s="1531">
        <f>CR825+CR826+CR827+CR828+CR829+CR830+CR831+CR832+CR833+CR834+CR835+CR836+CR837</f>
        <v>0</v>
      </c>
      <c r="CS824" s="1531">
        <f>CS825+CS826+CS827+CS828+CS829+CS830+CS831+CS832+CS833+CS834+CS835+CS836+CS837</f>
        <v>0</v>
      </c>
    </row>
    <row r="825" spans="1:107" ht="15" thickBot="1" x14ac:dyDescent="0.2">
      <c r="A825" s="1541" t="s">
        <v>78</v>
      </c>
      <c r="B825" s="1523" t="s">
        <v>79</v>
      </c>
      <c r="C825" s="1523" t="s">
        <v>80</v>
      </c>
      <c r="D825" s="1523" t="s">
        <v>125</v>
      </c>
      <c r="E825" s="1523" t="s">
        <v>216</v>
      </c>
      <c r="F825" s="1523"/>
      <c r="G825" s="1667">
        <v>211</v>
      </c>
      <c r="H825" s="1502">
        <v>6439.4</v>
      </c>
      <c r="I825" s="1502"/>
      <c r="J825" s="1630"/>
      <c r="K825" s="1630"/>
      <c r="L825" s="1631"/>
      <c r="M825" s="1631"/>
      <c r="N825" s="1631"/>
      <c r="O825" s="1631"/>
      <c r="P825" s="1631"/>
      <c r="Q825" s="1631"/>
      <c r="R825" s="1631"/>
      <c r="S825" s="1631"/>
      <c r="T825" s="1632"/>
      <c r="U825" s="1633"/>
      <c r="V825" s="1633"/>
      <c r="W825" s="1634">
        <f>H825/12</f>
        <v>536.61666666666667</v>
      </c>
      <c r="X825" s="1634">
        <f>AO825</f>
        <v>536.6</v>
      </c>
      <c r="Y825" s="1634">
        <f>CC825</f>
        <v>915.34</v>
      </c>
      <c r="Z825" s="1635">
        <v>598.24</v>
      </c>
      <c r="AA825" s="1634">
        <f t="shared" si="544"/>
        <v>-598.24</v>
      </c>
      <c r="AB825" s="1511">
        <f>AI825</f>
        <v>0</v>
      </c>
      <c r="AC825" s="1508">
        <f t="shared" ref="AC825:AC837" si="556">AO825+AS825+AW825+BA825+BE825+BI825+BM825+BQ825+BU825+BY825+CC825+CH825</f>
        <v>6439.4000000000005</v>
      </c>
      <c r="AD825" s="1509">
        <f t="shared" ref="AD825:AD837" si="557">AE825+AF825+AG825</f>
        <v>0</v>
      </c>
      <c r="AE825" s="1509">
        <f t="shared" ref="AE825:AG837" si="558">AP825+AT825+AX825+BB825+BF825+BJ825+BN825+BR825+BV825+BZ825+CD825+CI825</f>
        <v>0</v>
      </c>
      <c r="AF825" s="1509">
        <f t="shared" si="558"/>
        <v>0</v>
      </c>
      <c r="AG825" s="1509">
        <f t="shared" si="558"/>
        <v>0</v>
      </c>
      <c r="AH825" s="1490">
        <f t="shared" si="533"/>
        <v>141.54599999999999</v>
      </c>
      <c r="AI825" s="1636">
        <f t="shared" ref="AI825:AI837" si="559">H825-AC825</f>
        <v>0</v>
      </c>
      <c r="AJ825" s="1636">
        <f t="shared" ref="AJ825:AJ837" si="560">AK825+AL825+AM825</f>
        <v>0</v>
      </c>
      <c r="AK825" s="1636">
        <f t="shared" ref="AK825:AK837" si="561">I825-AE825</f>
        <v>0</v>
      </c>
      <c r="AL825" s="1636">
        <f t="shared" si="554"/>
        <v>0</v>
      </c>
      <c r="AM825" s="1636">
        <f t="shared" si="554"/>
        <v>0</v>
      </c>
      <c r="AN825" s="1637">
        <f>AI825/4</f>
        <v>0</v>
      </c>
      <c r="AO825" s="1722">
        <v>536.6</v>
      </c>
      <c r="AP825" s="1638"/>
      <c r="AQ825" s="1638"/>
      <c r="AR825" s="1638"/>
      <c r="AS825" s="1963">
        <v>536.6</v>
      </c>
      <c r="AT825" s="1638"/>
      <c r="AU825" s="1638"/>
      <c r="AV825" s="1638"/>
      <c r="AW825" s="1722">
        <v>536.6</v>
      </c>
      <c r="AX825" s="1640"/>
      <c r="AY825" s="1640"/>
      <c r="AZ825" s="1640"/>
      <c r="BA825" s="1964">
        <v>536.6</v>
      </c>
      <c r="BB825" s="1640"/>
      <c r="BC825" s="1640"/>
      <c r="BD825" s="1640"/>
      <c r="BE825" s="1964">
        <v>536.6</v>
      </c>
      <c r="BF825" s="1640"/>
      <c r="BG825" s="1640"/>
      <c r="BH825" s="1640"/>
      <c r="BI825" s="1641">
        <f>544.694</f>
        <v>544.69399999999996</v>
      </c>
      <c r="BJ825" s="1640"/>
      <c r="BK825" s="1640"/>
      <c r="BL825" s="1640"/>
      <c r="BM825" s="1641">
        <f>1073.2+1.2</f>
        <v>1074.4000000000001</v>
      </c>
      <c r="BN825" s="1640"/>
      <c r="BO825" s="1640"/>
      <c r="BP825" s="1640"/>
      <c r="BQ825" s="1641">
        <f>536.6+35</f>
        <v>571.6</v>
      </c>
      <c r="BR825" s="1640"/>
      <c r="BS825" s="1640"/>
      <c r="BT825" s="1640"/>
      <c r="BU825" s="1641">
        <v>391.4</v>
      </c>
      <c r="BV825" s="1640"/>
      <c r="BW825" s="1640"/>
      <c r="BX825" s="1640"/>
      <c r="BY825" s="1641">
        <v>117.42</v>
      </c>
      <c r="BZ825" s="1640"/>
      <c r="CA825" s="1640"/>
      <c r="CB825" s="1640"/>
      <c r="CC825" s="1641">
        <f>317.1+598.24</f>
        <v>915.34</v>
      </c>
      <c r="CD825" s="1640"/>
      <c r="CE825" s="1640"/>
      <c r="CF825" s="1640"/>
      <c r="CG825" s="1642"/>
      <c r="CH825" s="1641">
        <f t="shared" si="543"/>
        <v>141.54599999999999</v>
      </c>
      <c r="CI825" s="1641">
        <f t="shared" si="543"/>
        <v>0</v>
      </c>
      <c r="CJ825" s="1641">
        <f t="shared" si="543"/>
        <v>0</v>
      </c>
      <c r="CK825" s="1641">
        <f t="shared" si="543"/>
        <v>0</v>
      </c>
      <c r="CL825" s="1889">
        <v>141.54599999999999</v>
      </c>
      <c r="CM825" s="1889">
        <v>0</v>
      </c>
      <c r="CN825" s="1889">
        <v>0</v>
      </c>
      <c r="CO825" s="1889">
        <v>0</v>
      </c>
      <c r="CP825" s="1641"/>
      <c r="CQ825" s="1640"/>
      <c r="CR825" s="1640"/>
      <c r="CS825" s="1640"/>
      <c r="CX825" s="1558">
        <f>H825/12*10-AC825</f>
        <v>-1073.2333333333336</v>
      </c>
      <c r="CY825" s="1558">
        <f>AI825/3</f>
        <v>0</v>
      </c>
      <c r="CZ825" s="1558">
        <f>H825/12</f>
        <v>536.61666666666667</v>
      </c>
      <c r="DA825" s="1559"/>
      <c r="DB825" s="1559"/>
      <c r="DC825" s="1559"/>
    </row>
    <row r="826" spans="1:107" ht="15" customHeight="1" thickBot="1" x14ac:dyDescent="0.2">
      <c r="A826" s="1541" t="s">
        <v>103</v>
      </c>
      <c r="B826" s="1523" t="s">
        <v>79</v>
      </c>
      <c r="C826" s="1523" t="s">
        <v>80</v>
      </c>
      <c r="D826" s="1523" t="s">
        <v>125</v>
      </c>
      <c r="E826" s="1523" t="s">
        <v>216</v>
      </c>
      <c r="F826" s="1523"/>
      <c r="G826" s="1667">
        <v>212</v>
      </c>
      <c r="H826" s="1517"/>
      <c r="I826" s="1517"/>
      <c r="J826" s="1630"/>
      <c r="K826" s="1630"/>
      <c r="L826" s="1631"/>
      <c r="M826" s="1631"/>
      <c r="N826" s="1631"/>
      <c r="O826" s="1631"/>
      <c r="P826" s="1631"/>
      <c r="Q826" s="1631"/>
      <c r="R826" s="1631"/>
      <c r="S826" s="1631"/>
      <c r="T826" s="1632"/>
      <c r="U826" s="1633"/>
      <c r="V826" s="1633"/>
      <c r="W826" s="1634"/>
      <c r="X826" s="1634"/>
      <c r="Y826" s="1634">
        <f>CC826</f>
        <v>0</v>
      </c>
      <c r="Z826" s="1635">
        <f>AI826-X826</f>
        <v>0</v>
      </c>
      <c r="AA826" s="1634">
        <f t="shared" si="544"/>
        <v>0</v>
      </c>
      <c r="AB826" s="1511"/>
      <c r="AC826" s="1508">
        <f t="shared" si="556"/>
        <v>0</v>
      </c>
      <c r="AD826" s="1509">
        <f t="shared" si="557"/>
        <v>0</v>
      </c>
      <c r="AE826" s="1509">
        <f t="shared" si="558"/>
        <v>0</v>
      </c>
      <c r="AF826" s="1509">
        <f t="shared" si="558"/>
        <v>0</v>
      </c>
      <c r="AG826" s="1509">
        <f t="shared" si="558"/>
        <v>0</v>
      </c>
      <c r="AH826" s="1490">
        <f t="shared" si="533"/>
        <v>0</v>
      </c>
      <c r="AI826" s="1636">
        <f t="shared" si="559"/>
        <v>0</v>
      </c>
      <c r="AJ826" s="1636">
        <f t="shared" si="560"/>
        <v>0</v>
      </c>
      <c r="AK826" s="1636">
        <f t="shared" si="561"/>
        <v>0</v>
      </c>
      <c r="AL826" s="1636">
        <f t="shared" si="554"/>
        <v>0</v>
      </c>
      <c r="AM826" s="1636">
        <f t="shared" si="554"/>
        <v>0</v>
      </c>
      <c r="AN826" s="1637"/>
      <c r="AO826" s="1722">
        <v>0</v>
      </c>
      <c r="AP826" s="1638"/>
      <c r="AQ826" s="1638"/>
      <c r="AR826" s="1638"/>
      <c r="AS826" s="1963">
        <v>0</v>
      </c>
      <c r="AT826" s="1638"/>
      <c r="AU826" s="1638"/>
      <c r="AV826" s="1638"/>
      <c r="AW826" s="1722">
        <v>0</v>
      </c>
      <c r="AX826" s="1640"/>
      <c r="AY826" s="1640"/>
      <c r="AZ826" s="1640"/>
      <c r="BA826" s="1964">
        <v>0</v>
      </c>
      <c r="BB826" s="1640"/>
      <c r="BC826" s="1640"/>
      <c r="BD826" s="1640"/>
      <c r="BE826" s="1964">
        <v>0</v>
      </c>
      <c r="BF826" s="1640"/>
      <c r="BG826" s="1640"/>
      <c r="BH826" s="1640"/>
      <c r="BI826" s="1641"/>
      <c r="BJ826" s="1640"/>
      <c r="BK826" s="1640"/>
      <c r="BL826" s="1640"/>
      <c r="BM826" s="1641"/>
      <c r="BN826" s="1640"/>
      <c r="BO826" s="1640"/>
      <c r="BP826" s="1640"/>
      <c r="BQ826" s="1641"/>
      <c r="BR826" s="1640"/>
      <c r="BS826" s="1640"/>
      <c r="BT826" s="1640"/>
      <c r="BU826" s="1641"/>
      <c r="BV826" s="1640"/>
      <c r="BW826" s="1640"/>
      <c r="BX826" s="1640"/>
      <c r="BY826" s="1641"/>
      <c r="BZ826" s="1640"/>
      <c r="CA826" s="1640"/>
      <c r="CB826" s="1640"/>
      <c r="CC826" s="1641"/>
      <c r="CD826" s="1640"/>
      <c r="CE826" s="1640"/>
      <c r="CF826" s="1640"/>
      <c r="CG826" s="1642"/>
      <c r="CH826" s="1641">
        <f t="shared" si="543"/>
        <v>0</v>
      </c>
      <c r="CI826" s="1641">
        <f t="shared" si="543"/>
        <v>0</v>
      </c>
      <c r="CJ826" s="1641">
        <f t="shared" si="543"/>
        <v>0</v>
      </c>
      <c r="CK826" s="1641">
        <f t="shared" si="543"/>
        <v>0</v>
      </c>
      <c r="CL826" s="1889">
        <v>0</v>
      </c>
      <c r="CM826" s="1889">
        <v>0</v>
      </c>
      <c r="CN826" s="1889">
        <v>0</v>
      </c>
      <c r="CO826" s="1889">
        <v>0</v>
      </c>
      <c r="CP826" s="1641"/>
      <c r="CQ826" s="1640"/>
      <c r="CR826" s="1640"/>
      <c r="CS826" s="1640"/>
      <c r="CX826" s="1558"/>
      <c r="CY826" s="1558"/>
      <c r="CZ826" s="1558"/>
      <c r="DA826" s="1559"/>
      <c r="DB826" s="1559"/>
      <c r="DC826" s="1559"/>
    </row>
    <row r="827" spans="1:107" ht="15" thickBot="1" x14ac:dyDescent="0.2">
      <c r="A827" s="1541" t="s">
        <v>84</v>
      </c>
      <c r="B827" s="1523" t="s">
        <v>79</v>
      </c>
      <c r="C827" s="1523" t="s">
        <v>80</v>
      </c>
      <c r="D827" s="1523" t="s">
        <v>125</v>
      </c>
      <c r="E827" s="1523" t="s">
        <v>216</v>
      </c>
      <c r="F827" s="1523"/>
      <c r="G827" s="1667">
        <v>213</v>
      </c>
      <c r="H827" s="1502">
        <v>1944.7</v>
      </c>
      <c r="I827" s="1502"/>
      <c r="J827" s="1630"/>
      <c r="K827" s="1630"/>
      <c r="L827" s="1631"/>
      <c r="M827" s="1631"/>
      <c r="N827" s="1631"/>
      <c r="O827" s="1631"/>
      <c r="P827" s="1631"/>
      <c r="Q827" s="1631"/>
      <c r="R827" s="1631"/>
      <c r="S827" s="1631"/>
      <c r="T827" s="1632"/>
      <c r="U827" s="1633"/>
      <c r="V827" s="1633"/>
      <c r="W827" s="1634">
        <f>H827/12</f>
        <v>162.05833333333334</v>
      </c>
      <c r="X827" s="1634">
        <f>AO827</f>
        <v>162.1</v>
      </c>
      <c r="Y827" s="1634">
        <f>CC827</f>
        <v>275.31</v>
      </c>
      <c r="Z827" s="1635">
        <v>275.31</v>
      </c>
      <c r="AA827" s="1634">
        <f t="shared" si="544"/>
        <v>-275.31</v>
      </c>
      <c r="AB827" s="1511">
        <f>AI827</f>
        <v>0</v>
      </c>
      <c r="AC827" s="1508">
        <f t="shared" si="556"/>
        <v>1944.7000000000003</v>
      </c>
      <c r="AD827" s="1509">
        <f t="shared" si="557"/>
        <v>0</v>
      </c>
      <c r="AE827" s="1509">
        <f t="shared" si="558"/>
        <v>0</v>
      </c>
      <c r="AF827" s="1509">
        <f t="shared" si="558"/>
        <v>0</v>
      </c>
      <c r="AG827" s="1509">
        <f t="shared" si="558"/>
        <v>0</v>
      </c>
      <c r="AH827" s="1490">
        <f t="shared" si="533"/>
        <v>65.134</v>
      </c>
      <c r="AI827" s="1636">
        <f t="shared" si="559"/>
        <v>0</v>
      </c>
      <c r="AJ827" s="1636">
        <f t="shared" si="560"/>
        <v>0</v>
      </c>
      <c r="AK827" s="1636">
        <f t="shared" si="561"/>
        <v>0</v>
      </c>
      <c r="AL827" s="1636">
        <f t="shared" si="554"/>
        <v>0</v>
      </c>
      <c r="AM827" s="1636">
        <f t="shared" si="554"/>
        <v>0</v>
      </c>
      <c r="AN827" s="1637">
        <f>AI827/4</f>
        <v>0</v>
      </c>
      <c r="AO827" s="1722">
        <v>162.1</v>
      </c>
      <c r="AP827" s="1638"/>
      <c r="AQ827" s="1638"/>
      <c r="AR827" s="1638"/>
      <c r="AS827" s="1963">
        <v>162.1</v>
      </c>
      <c r="AT827" s="1638"/>
      <c r="AU827" s="1638"/>
      <c r="AV827" s="1638"/>
      <c r="AW827" s="1722">
        <v>162.1</v>
      </c>
      <c r="AX827" s="1640"/>
      <c r="AY827" s="1640"/>
      <c r="AZ827" s="1640"/>
      <c r="BA827" s="1964">
        <v>162.1</v>
      </c>
      <c r="BB827" s="1640"/>
      <c r="BC827" s="1640"/>
      <c r="BD827" s="1640"/>
      <c r="BE827" s="1964">
        <v>162.1</v>
      </c>
      <c r="BF827" s="1640"/>
      <c r="BG827" s="1640"/>
      <c r="BH827" s="1640"/>
      <c r="BI827" s="1641"/>
      <c r="BJ827" s="1640"/>
      <c r="BK827" s="1640"/>
      <c r="BL827" s="1640"/>
      <c r="BM827" s="1641">
        <f>154.006+324.2</f>
        <v>478.20600000000002</v>
      </c>
      <c r="BN827" s="1640"/>
      <c r="BO827" s="1640"/>
      <c r="BP827" s="1640"/>
      <c r="BQ827" s="1641">
        <f>162.1+0.05</f>
        <v>162.15</v>
      </c>
      <c r="BR827" s="1640"/>
      <c r="BS827" s="1640"/>
      <c r="BT827" s="1640"/>
      <c r="BU827" s="1641">
        <v>123.5</v>
      </c>
      <c r="BV827" s="1640"/>
      <c r="BW827" s="1640"/>
      <c r="BX827" s="1640"/>
      <c r="BY827" s="1641">
        <v>29.9</v>
      </c>
      <c r="BZ827" s="1640"/>
      <c r="CA827" s="1640"/>
      <c r="CB827" s="1640"/>
      <c r="CC827" s="1641">
        <v>275.31</v>
      </c>
      <c r="CD827" s="1640"/>
      <c r="CE827" s="1640"/>
      <c r="CF827" s="1640"/>
      <c r="CG827" s="1642"/>
      <c r="CH827" s="1641">
        <f t="shared" si="543"/>
        <v>65.134</v>
      </c>
      <c r="CI827" s="1641">
        <f t="shared" si="543"/>
        <v>0</v>
      </c>
      <c r="CJ827" s="1641">
        <f t="shared" si="543"/>
        <v>0</v>
      </c>
      <c r="CK827" s="1641">
        <f t="shared" si="543"/>
        <v>0</v>
      </c>
      <c r="CL827" s="1889">
        <v>65.134</v>
      </c>
      <c r="CM827" s="1889">
        <v>0</v>
      </c>
      <c r="CN827" s="1889">
        <v>0</v>
      </c>
      <c r="CO827" s="1889">
        <v>0</v>
      </c>
      <c r="CP827" s="1641"/>
      <c r="CQ827" s="1640"/>
      <c r="CR827" s="1640"/>
      <c r="CS827" s="1640"/>
      <c r="CX827" s="1558">
        <f>H827/12*10-AC827</f>
        <v>-324.11666666666679</v>
      </c>
      <c r="CY827" s="1558">
        <f>AI827/3</f>
        <v>0</v>
      </c>
      <c r="CZ827" s="1558">
        <f>H827/12</f>
        <v>162.05833333333334</v>
      </c>
      <c r="DA827" s="1559"/>
      <c r="DB827" s="1559"/>
      <c r="DC827" s="1559"/>
    </row>
    <row r="828" spans="1:107" ht="15" thickBot="1" x14ac:dyDescent="0.2">
      <c r="A828" s="1541" t="s">
        <v>85</v>
      </c>
      <c r="B828" s="1523" t="s">
        <v>79</v>
      </c>
      <c r="C828" s="1523" t="s">
        <v>80</v>
      </c>
      <c r="D828" s="1523" t="s">
        <v>125</v>
      </c>
      <c r="E828" s="1523" t="s">
        <v>216</v>
      </c>
      <c r="F828" s="1523"/>
      <c r="G828" s="1667">
        <v>221</v>
      </c>
      <c r="H828" s="1502"/>
      <c r="I828" s="1502"/>
      <c r="J828" s="1630"/>
      <c r="K828" s="1630"/>
      <c r="L828" s="1631"/>
      <c r="M828" s="1631"/>
      <c r="N828" s="1631"/>
      <c r="O828" s="1631"/>
      <c r="P828" s="1631"/>
      <c r="Q828" s="1631"/>
      <c r="R828" s="1631"/>
      <c r="S828" s="1631"/>
      <c r="T828" s="1632"/>
      <c r="U828" s="1633"/>
      <c r="V828" s="1633"/>
      <c r="W828" s="1634"/>
      <c r="X828" s="1634"/>
      <c r="Y828" s="1634"/>
      <c r="Z828" s="1635"/>
      <c r="AA828" s="1634">
        <f t="shared" si="544"/>
        <v>0</v>
      </c>
      <c r="AB828" s="1634"/>
      <c r="AC828" s="1508">
        <f t="shared" si="556"/>
        <v>0</v>
      </c>
      <c r="AD828" s="1509">
        <f t="shared" si="557"/>
        <v>0</v>
      </c>
      <c r="AE828" s="1509">
        <f t="shared" si="558"/>
        <v>0</v>
      </c>
      <c r="AF828" s="1509">
        <f t="shared" si="558"/>
        <v>0</v>
      </c>
      <c r="AG828" s="1509">
        <f t="shared" si="558"/>
        <v>0</v>
      </c>
      <c r="AH828" s="1490">
        <f t="shared" si="533"/>
        <v>0</v>
      </c>
      <c r="AI828" s="1636">
        <f t="shared" si="559"/>
        <v>0</v>
      </c>
      <c r="AJ828" s="1636">
        <f t="shared" si="560"/>
        <v>0</v>
      </c>
      <c r="AK828" s="1636">
        <f t="shared" si="561"/>
        <v>0</v>
      </c>
      <c r="AL828" s="1636">
        <f t="shared" si="554"/>
        <v>0</v>
      </c>
      <c r="AM828" s="1636">
        <f t="shared" si="554"/>
        <v>0</v>
      </c>
      <c r="AN828" s="1637"/>
      <c r="AO828" s="1722">
        <v>0</v>
      </c>
      <c r="AP828" s="1638"/>
      <c r="AQ828" s="1638"/>
      <c r="AR828" s="1638"/>
      <c r="AS828" s="1963">
        <v>0</v>
      </c>
      <c r="AT828" s="1638"/>
      <c r="AU828" s="1638"/>
      <c r="AV828" s="1638"/>
      <c r="AW828" s="1639"/>
      <c r="AX828" s="1640"/>
      <c r="AY828" s="1640"/>
      <c r="AZ828" s="1640"/>
      <c r="BA828" s="1641"/>
      <c r="BB828" s="1640"/>
      <c r="BC828" s="1640"/>
      <c r="BD828" s="1640"/>
      <c r="BE828" s="1644"/>
      <c r="BF828" s="1640"/>
      <c r="BG828" s="1640"/>
      <c r="BH828" s="1640"/>
      <c r="BI828" s="1641"/>
      <c r="BJ828" s="1640"/>
      <c r="BK828" s="1640"/>
      <c r="BL828" s="1640"/>
      <c r="BM828" s="1641"/>
      <c r="BN828" s="1640"/>
      <c r="BO828" s="1640"/>
      <c r="BP828" s="1640"/>
      <c r="BQ828" s="1641"/>
      <c r="BR828" s="1640"/>
      <c r="BS828" s="1640"/>
      <c r="BT828" s="1640"/>
      <c r="BU828" s="1641"/>
      <c r="BV828" s="1640"/>
      <c r="BW828" s="1640"/>
      <c r="BX828" s="1640"/>
      <c r="BY828" s="1641"/>
      <c r="BZ828" s="1640"/>
      <c r="CA828" s="1640"/>
      <c r="CB828" s="1640"/>
      <c r="CC828" s="1641"/>
      <c r="CD828" s="1640"/>
      <c r="CE828" s="1640"/>
      <c r="CF828" s="1640"/>
      <c r="CG828" s="1642"/>
      <c r="CH828" s="1641">
        <f t="shared" si="543"/>
        <v>0</v>
      </c>
      <c r="CI828" s="1641">
        <f t="shared" si="543"/>
        <v>0</v>
      </c>
      <c r="CJ828" s="1641">
        <f t="shared" si="543"/>
        <v>0</v>
      </c>
      <c r="CK828" s="1641">
        <f t="shared" si="543"/>
        <v>0</v>
      </c>
      <c r="CL828" s="1889">
        <v>0</v>
      </c>
      <c r="CM828" s="1889">
        <v>0</v>
      </c>
      <c r="CN828" s="1889">
        <v>0</v>
      </c>
      <c r="CO828" s="1889">
        <v>0</v>
      </c>
      <c r="CP828" s="1641"/>
      <c r="CQ828" s="1640"/>
      <c r="CR828" s="1640"/>
      <c r="CS828" s="1640"/>
    </row>
    <row r="829" spans="1:107" ht="15" thickBot="1" x14ac:dyDescent="0.2">
      <c r="A829" s="1541" t="s">
        <v>86</v>
      </c>
      <c r="B829" s="1523" t="s">
        <v>79</v>
      </c>
      <c r="C829" s="1523" t="s">
        <v>80</v>
      </c>
      <c r="D829" s="1523" t="s">
        <v>125</v>
      </c>
      <c r="E829" s="1523" t="s">
        <v>216</v>
      </c>
      <c r="F829" s="1523"/>
      <c r="G829" s="1667">
        <v>222</v>
      </c>
      <c r="H829" s="1502"/>
      <c r="I829" s="1502"/>
      <c r="J829" s="1630"/>
      <c r="K829" s="1630"/>
      <c r="L829" s="1631"/>
      <c r="M829" s="1631"/>
      <c r="N829" s="1631"/>
      <c r="O829" s="1631"/>
      <c r="P829" s="1631"/>
      <c r="Q829" s="1631"/>
      <c r="R829" s="1631"/>
      <c r="S829" s="1631"/>
      <c r="T829" s="1632"/>
      <c r="U829" s="1633"/>
      <c r="V829" s="1633"/>
      <c r="W829" s="1634"/>
      <c r="X829" s="1634"/>
      <c r="Y829" s="1634"/>
      <c r="Z829" s="1635"/>
      <c r="AA829" s="1634">
        <f>AB829-Z829</f>
        <v>0</v>
      </c>
      <c r="AB829" s="1634"/>
      <c r="AC829" s="1508">
        <f t="shared" si="556"/>
        <v>0</v>
      </c>
      <c r="AD829" s="1509">
        <f t="shared" si="557"/>
        <v>0</v>
      </c>
      <c r="AE829" s="1509">
        <f t="shared" si="558"/>
        <v>0</v>
      </c>
      <c r="AF829" s="1509">
        <f t="shared" si="558"/>
        <v>0</v>
      </c>
      <c r="AG829" s="1509">
        <f t="shared" si="558"/>
        <v>0</v>
      </c>
      <c r="AH829" s="1490">
        <f t="shared" si="533"/>
        <v>0</v>
      </c>
      <c r="AI829" s="1636">
        <f t="shared" si="559"/>
        <v>0</v>
      </c>
      <c r="AJ829" s="1636">
        <f t="shared" si="560"/>
        <v>0</v>
      </c>
      <c r="AK829" s="1636">
        <f t="shared" si="561"/>
        <v>0</v>
      </c>
      <c r="AL829" s="1636">
        <f t="shared" si="554"/>
        <v>0</v>
      </c>
      <c r="AM829" s="1636">
        <f t="shared" si="554"/>
        <v>0</v>
      </c>
      <c r="AN829" s="1637"/>
      <c r="AO829" s="1722">
        <v>0</v>
      </c>
      <c r="AP829" s="1638"/>
      <c r="AQ829" s="1638"/>
      <c r="AR829" s="1638"/>
      <c r="AS829" s="1963">
        <v>0</v>
      </c>
      <c r="AT829" s="1638"/>
      <c r="AU829" s="1638"/>
      <c r="AV829" s="1638"/>
      <c r="AW829" s="1639"/>
      <c r="AX829" s="1640"/>
      <c r="AY829" s="1640"/>
      <c r="AZ829" s="1640"/>
      <c r="BA829" s="1641"/>
      <c r="BB829" s="1640"/>
      <c r="BC829" s="1640"/>
      <c r="BD829" s="1640"/>
      <c r="BE829" s="1644"/>
      <c r="BF829" s="1640"/>
      <c r="BG829" s="1640"/>
      <c r="BH829" s="1640"/>
      <c r="BI829" s="1641"/>
      <c r="BJ829" s="1640"/>
      <c r="BK829" s="1640"/>
      <c r="BL829" s="1640"/>
      <c r="BM829" s="1641"/>
      <c r="BN829" s="1640"/>
      <c r="BO829" s="1640"/>
      <c r="BP829" s="1640"/>
      <c r="BQ829" s="1641"/>
      <c r="BR829" s="1640"/>
      <c r="BS829" s="1640"/>
      <c r="BT829" s="1640"/>
      <c r="BU829" s="1641"/>
      <c r="BV829" s="1640"/>
      <c r="BW829" s="1640"/>
      <c r="BX829" s="1640"/>
      <c r="BY829" s="1641"/>
      <c r="BZ829" s="1640"/>
      <c r="CA829" s="1640"/>
      <c r="CB829" s="1640"/>
      <c r="CC829" s="1641"/>
      <c r="CD829" s="1640"/>
      <c r="CE829" s="1640"/>
      <c r="CF829" s="1640"/>
      <c r="CG829" s="1642"/>
      <c r="CH829" s="1641">
        <f t="shared" si="543"/>
        <v>0</v>
      </c>
      <c r="CI829" s="1641">
        <f t="shared" si="543"/>
        <v>0</v>
      </c>
      <c r="CJ829" s="1641">
        <f t="shared" si="543"/>
        <v>0</v>
      </c>
      <c r="CK829" s="1641">
        <f t="shared" si="543"/>
        <v>0</v>
      </c>
      <c r="CL829" s="1889">
        <v>0</v>
      </c>
      <c r="CM829" s="1889">
        <v>0</v>
      </c>
      <c r="CN829" s="1889">
        <v>0</v>
      </c>
      <c r="CO829" s="1889">
        <v>0</v>
      </c>
      <c r="CP829" s="1641"/>
      <c r="CQ829" s="1640"/>
      <c r="CR829" s="1640"/>
      <c r="CS829" s="1640"/>
    </row>
    <row r="830" spans="1:107" ht="15" thickBot="1" x14ac:dyDescent="0.2">
      <c r="A830" s="1541" t="s">
        <v>87</v>
      </c>
      <c r="B830" s="1523" t="s">
        <v>79</v>
      </c>
      <c r="C830" s="1523" t="s">
        <v>80</v>
      </c>
      <c r="D830" s="1523" t="s">
        <v>125</v>
      </c>
      <c r="E830" s="1523" t="s">
        <v>216</v>
      </c>
      <c r="F830" s="1523"/>
      <c r="G830" s="1667">
        <v>223</v>
      </c>
      <c r="H830" s="1502"/>
      <c r="I830" s="1502"/>
      <c r="J830" s="1630"/>
      <c r="K830" s="1630"/>
      <c r="L830" s="1631"/>
      <c r="M830" s="1631"/>
      <c r="N830" s="1631"/>
      <c r="O830" s="1631"/>
      <c r="P830" s="1631"/>
      <c r="Q830" s="1631"/>
      <c r="R830" s="1631"/>
      <c r="S830" s="1631"/>
      <c r="T830" s="1632"/>
      <c r="U830" s="1633"/>
      <c r="V830" s="1633"/>
      <c r="W830" s="1634"/>
      <c r="X830" s="1634"/>
      <c r="Y830" s="1634"/>
      <c r="Z830" s="1635"/>
      <c r="AA830" s="1634">
        <f>AB830-Z830</f>
        <v>0</v>
      </c>
      <c r="AB830" s="1634"/>
      <c r="AC830" s="1508">
        <f t="shared" si="556"/>
        <v>0</v>
      </c>
      <c r="AD830" s="1509">
        <f t="shared" si="557"/>
        <v>0</v>
      </c>
      <c r="AE830" s="1509">
        <f t="shared" si="558"/>
        <v>0</v>
      </c>
      <c r="AF830" s="1509">
        <f t="shared" si="558"/>
        <v>0</v>
      </c>
      <c r="AG830" s="1509">
        <f t="shared" si="558"/>
        <v>0</v>
      </c>
      <c r="AH830" s="1490">
        <f t="shared" si="533"/>
        <v>0</v>
      </c>
      <c r="AI830" s="1636">
        <f t="shared" si="559"/>
        <v>0</v>
      </c>
      <c r="AJ830" s="1636">
        <f t="shared" si="560"/>
        <v>0</v>
      </c>
      <c r="AK830" s="1636">
        <f t="shared" si="561"/>
        <v>0</v>
      </c>
      <c r="AL830" s="1636">
        <f t="shared" si="554"/>
        <v>0</v>
      </c>
      <c r="AM830" s="1636">
        <f t="shared" si="554"/>
        <v>0</v>
      </c>
      <c r="AN830" s="1637"/>
      <c r="AO830" s="1722">
        <v>0</v>
      </c>
      <c r="AP830" s="1638"/>
      <c r="AQ830" s="1638"/>
      <c r="AR830" s="1638"/>
      <c r="AS830" s="1963">
        <v>0</v>
      </c>
      <c r="AT830" s="1638"/>
      <c r="AU830" s="1638"/>
      <c r="AV830" s="1638"/>
      <c r="AW830" s="1639"/>
      <c r="AX830" s="1640"/>
      <c r="AY830" s="1640"/>
      <c r="AZ830" s="1640"/>
      <c r="BA830" s="1641"/>
      <c r="BB830" s="1640"/>
      <c r="BC830" s="1640"/>
      <c r="BD830" s="1640"/>
      <c r="BE830" s="1644"/>
      <c r="BF830" s="1640"/>
      <c r="BG830" s="1640"/>
      <c r="BH830" s="1640"/>
      <c r="BI830" s="1641"/>
      <c r="BJ830" s="1640"/>
      <c r="BK830" s="1640"/>
      <c r="BL830" s="1640"/>
      <c r="BM830" s="1641"/>
      <c r="BN830" s="1640"/>
      <c r="BO830" s="1640"/>
      <c r="BP830" s="1640"/>
      <c r="BQ830" s="1641"/>
      <c r="BR830" s="1640"/>
      <c r="BS830" s="1640"/>
      <c r="BT830" s="1640"/>
      <c r="BU830" s="1641"/>
      <c r="BV830" s="1640"/>
      <c r="BW830" s="1640"/>
      <c r="BX830" s="1640"/>
      <c r="BY830" s="1641"/>
      <c r="BZ830" s="1640"/>
      <c r="CA830" s="1640"/>
      <c r="CB830" s="1640"/>
      <c r="CC830" s="1641"/>
      <c r="CD830" s="1640"/>
      <c r="CE830" s="1640"/>
      <c r="CF830" s="1640"/>
      <c r="CG830" s="1642"/>
      <c r="CH830" s="1641">
        <f t="shared" si="543"/>
        <v>0</v>
      </c>
      <c r="CI830" s="1641">
        <f t="shared" si="543"/>
        <v>0</v>
      </c>
      <c r="CJ830" s="1641">
        <f t="shared" si="543"/>
        <v>0</v>
      </c>
      <c r="CK830" s="1641">
        <f t="shared" si="543"/>
        <v>0</v>
      </c>
      <c r="CL830" s="1889">
        <v>0</v>
      </c>
      <c r="CM830" s="1889">
        <v>0</v>
      </c>
      <c r="CN830" s="1889">
        <v>0</v>
      </c>
      <c r="CO830" s="1889">
        <v>0</v>
      </c>
      <c r="CP830" s="1641"/>
      <c r="CQ830" s="1640"/>
      <c r="CR830" s="1640"/>
      <c r="CS830" s="1640"/>
    </row>
    <row r="831" spans="1:107" ht="15" thickBot="1" x14ac:dyDescent="0.2">
      <c r="A831" s="1541" t="s">
        <v>134</v>
      </c>
      <c r="B831" s="1523" t="s">
        <v>79</v>
      </c>
      <c r="C831" s="1523" t="s">
        <v>80</v>
      </c>
      <c r="D831" s="1523" t="s">
        <v>125</v>
      </c>
      <c r="E831" s="1523" t="s">
        <v>216</v>
      </c>
      <c r="F831" s="1523"/>
      <c r="G831" s="1667">
        <v>224</v>
      </c>
      <c r="H831" s="1502"/>
      <c r="I831" s="1502"/>
      <c r="J831" s="1630"/>
      <c r="K831" s="1630"/>
      <c r="L831" s="1631"/>
      <c r="M831" s="1631"/>
      <c r="N831" s="1631"/>
      <c r="O831" s="1631"/>
      <c r="P831" s="1631"/>
      <c r="Q831" s="1631"/>
      <c r="R831" s="1631"/>
      <c r="S831" s="1631"/>
      <c r="T831" s="1632"/>
      <c r="U831" s="1633"/>
      <c r="V831" s="1633"/>
      <c r="W831" s="1634"/>
      <c r="X831" s="1634"/>
      <c r="Y831" s="1634"/>
      <c r="Z831" s="1635"/>
      <c r="AA831" s="1634">
        <f t="shared" ref="AA831:AA894" si="562">AB831-Z831</f>
        <v>0</v>
      </c>
      <c r="AB831" s="1634"/>
      <c r="AC831" s="1508">
        <f t="shared" si="556"/>
        <v>0</v>
      </c>
      <c r="AD831" s="1509">
        <f t="shared" si="557"/>
        <v>0</v>
      </c>
      <c r="AE831" s="1509">
        <f t="shared" si="558"/>
        <v>0</v>
      </c>
      <c r="AF831" s="1509">
        <f t="shared" si="558"/>
        <v>0</v>
      </c>
      <c r="AG831" s="1509">
        <f t="shared" si="558"/>
        <v>0</v>
      </c>
      <c r="AH831" s="1490">
        <f t="shared" si="533"/>
        <v>0</v>
      </c>
      <c r="AI831" s="1636">
        <f t="shared" si="559"/>
        <v>0</v>
      </c>
      <c r="AJ831" s="1636">
        <f t="shared" si="560"/>
        <v>0</v>
      </c>
      <c r="AK831" s="1636">
        <f t="shared" si="561"/>
        <v>0</v>
      </c>
      <c r="AL831" s="1636">
        <f t="shared" si="554"/>
        <v>0</v>
      </c>
      <c r="AM831" s="1636">
        <f t="shared" si="554"/>
        <v>0</v>
      </c>
      <c r="AN831" s="1637"/>
      <c r="AO831" s="1722">
        <v>0</v>
      </c>
      <c r="AP831" s="1638"/>
      <c r="AQ831" s="1638"/>
      <c r="AR831" s="1638"/>
      <c r="AS831" s="1963">
        <v>0</v>
      </c>
      <c r="AT831" s="1638"/>
      <c r="AU831" s="1638"/>
      <c r="AV831" s="1638"/>
      <c r="AW831" s="1639"/>
      <c r="AX831" s="1640"/>
      <c r="AY831" s="1640"/>
      <c r="AZ831" s="1640"/>
      <c r="BA831" s="1641"/>
      <c r="BB831" s="1640"/>
      <c r="BC831" s="1640"/>
      <c r="BD831" s="1640"/>
      <c r="BE831" s="1644"/>
      <c r="BF831" s="1640"/>
      <c r="BG831" s="1640"/>
      <c r="BH831" s="1640"/>
      <c r="BI831" s="1641"/>
      <c r="BJ831" s="1640"/>
      <c r="BK831" s="1640"/>
      <c r="BL831" s="1640"/>
      <c r="BM831" s="1641"/>
      <c r="BN831" s="1640"/>
      <c r="BO831" s="1640"/>
      <c r="BP831" s="1640"/>
      <c r="BQ831" s="1641"/>
      <c r="BR831" s="1640"/>
      <c r="BS831" s="1640"/>
      <c r="BT831" s="1640"/>
      <c r="BU831" s="1641"/>
      <c r="BV831" s="1640"/>
      <c r="BW831" s="1640"/>
      <c r="BX831" s="1640"/>
      <c r="BY831" s="1641"/>
      <c r="BZ831" s="1640"/>
      <c r="CA831" s="1640"/>
      <c r="CB831" s="1640"/>
      <c r="CC831" s="1641"/>
      <c r="CD831" s="1640"/>
      <c r="CE831" s="1640"/>
      <c r="CF831" s="1640"/>
      <c r="CG831" s="1642"/>
      <c r="CH831" s="1641">
        <f t="shared" si="543"/>
        <v>0</v>
      </c>
      <c r="CI831" s="1641">
        <f t="shared" si="543"/>
        <v>0</v>
      </c>
      <c r="CJ831" s="1641">
        <f t="shared" si="543"/>
        <v>0</v>
      </c>
      <c r="CK831" s="1641">
        <f t="shared" si="543"/>
        <v>0</v>
      </c>
      <c r="CL831" s="1889">
        <v>0</v>
      </c>
      <c r="CM831" s="1889">
        <v>0</v>
      </c>
      <c r="CN831" s="1889">
        <v>0</v>
      </c>
      <c r="CO831" s="1889">
        <v>0</v>
      </c>
      <c r="CP831" s="1641"/>
      <c r="CQ831" s="1640"/>
      <c r="CR831" s="1640"/>
      <c r="CS831" s="1640"/>
    </row>
    <row r="832" spans="1:107" ht="15" thickBot="1" x14ac:dyDescent="0.2">
      <c r="A832" s="1541" t="s">
        <v>90</v>
      </c>
      <c r="B832" s="1523" t="s">
        <v>79</v>
      </c>
      <c r="C832" s="1523" t="s">
        <v>80</v>
      </c>
      <c r="D832" s="1523" t="s">
        <v>125</v>
      </c>
      <c r="E832" s="1523" t="s">
        <v>216</v>
      </c>
      <c r="F832" s="1523"/>
      <c r="G832" s="1667">
        <v>225</v>
      </c>
      <c r="H832" s="1502"/>
      <c r="I832" s="1502"/>
      <c r="J832" s="1630"/>
      <c r="K832" s="1630"/>
      <c r="L832" s="1631"/>
      <c r="M832" s="1631"/>
      <c r="N832" s="1631"/>
      <c r="O832" s="1631"/>
      <c r="P832" s="1631"/>
      <c r="Q832" s="1631"/>
      <c r="R832" s="1631"/>
      <c r="S832" s="1631"/>
      <c r="T832" s="1632"/>
      <c r="U832" s="1633"/>
      <c r="V832" s="1633"/>
      <c r="W832" s="1634"/>
      <c r="X832" s="1634"/>
      <c r="Y832" s="1634"/>
      <c r="Z832" s="1635"/>
      <c r="AA832" s="1634">
        <f t="shared" si="562"/>
        <v>0</v>
      </c>
      <c r="AB832" s="1634"/>
      <c r="AC832" s="1508">
        <f t="shared" si="556"/>
        <v>0</v>
      </c>
      <c r="AD832" s="1509">
        <f t="shared" si="557"/>
        <v>0</v>
      </c>
      <c r="AE832" s="1509">
        <f t="shared" si="558"/>
        <v>0</v>
      </c>
      <c r="AF832" s="1509">
        <f t="shared" si="558"/>
        <v>0</v>
      </c>
      <c r="AG832" s="1509">
        <f t="shared" si="558"/>
        <v>0</v>
      </c>
      <c r="AH832" s="1490">
        <f t="shared" si="533"/>
        <v>0</v>
      </c>
      <c r="AI832" s="1636">
        <f t="shared" si="559"/>
        <v>0</v>
      </c>
      <c r="AJ832" s="1636">
        <f t="shared" si="560"/>
        <v>0</v>
      </c>
      <c r="AK832" s="1636">
        <f t="shared" si="561"/>
        <v>0</v>
      </c>
      <c r="AL832" s="1636">
        <f t="shared" si="554"/>
        <v>0</v>
      </c>
      <c r="AM832" s="1636">
        <f t="shared" si="554"/>
        <v>0</v>
      </c>
      <c r="AN832" s="1637"/>
      <c r="AO832" s="1723"/>
      <c r="AP832" s="1638"/>
      <c r="AQ832" s="1638"/>
      <c r="AR832" s="1638"/>
      <c r="AS832" s="1639"/>
      <c r="AT832" s="1638"/>
      <c r="AU832" s="1638"/>
      <c r="AV832" s="1638"/>
      <c r="AW832" s="1639"/>
      <c r="AX832" s="1640"/>
      <c r="AY832" s="1640"/>
      <c r="AZ832" s="1640"/>
      <c r="BA832" s="1641"/>
      <c r="BB832" s="1640"/>
      <c r="BC832" s="1640"/>
      <c r="BD832" s="1640"/>
      <c r="BE832" s="1644"/>
      <c r="BF832" s="1640"/>
      <c r="BG832" s="1640"/>
      <c r="BH832" s="1640"/>
      <c r="BI832" s="1641"/>
      <c r="BJ832" s="1640"/>
      <c r="BK832" s="1640"/>
      <c r="BL832" s="1640"/>
      <c r="BM832" s="1641"/>
      <c r="BN832" s="1640"/>
      <c r="BO832" s="1640"/>
      <c r="BP832" s="1640"/>
      <c r="BQ832" s="1641"/>
      <c r="BR832" s="1640"/>
      <c r="BS832" s="1640"/>
      <c r="BT832" s="1640"/>
      <c r="BU832" s="1641"/>
      <c r="BV832" s="1640"/>
      <c r="BW832" s="1640"/>
      <c r="BX832" s="1640"/>
      <c r="BY832" s="1641"/>
      <c r="BZ832" s="1640"/>
      <c r="CA832" s="1640"/>
      <c r="CB832" s="1640"/>
      <c r="CC832" s="1641"/>
      <c r="CD832" s="1640"/>
      <c r="CE832" s="1640"/>
      <c r="CF832" s="1640"/>
      <c r="CG832" s="1642"/>
      <c r="CH832" s="1641">
        <f t="shared" si="543"/>
        <v>0</v>
      </c>
      <c r="CI832" s="1641">
        <f t="shared" si="543"/>
        <v>0</v>
      </c>
      <c r="CJ832" s="1641">
        <f t="shared" si="543"/>
        <v>0</v>
      </c>
      <c r="CK832" s="1641">
        <f t="shared" si="543"/>
        <v>0</v>
      </c>
      <c r="CL832" s="1889">
        <v>0</v>
      </c>
      <c r="CM832" s="1889">
        <v>0</v>
      </c>
      <c r="CN832" s="1889">
        <v>0</v>
      </c>
      <c r="CO832" s="1889">
        <v>0</v>
      </c>
      <c r="CP832" s="1641"/>
      <c r="CQ832" s="1640"/>
      <c r="CR832" s="1640"/>
      <c r="CS832" s="1640"/>
    </row>
    <row r="833" spans="1:113" ht="15" thickBot="1" x14ac:dyDescent="0.2">
      <c r="A833" s="1541" t="s">
        <v>91</v>
      </c>
      <c r="B833" s="1523" t="s">
        <v>79</v>
      </c>
      <c r="C833" s="1523" t="s">
        <v>80</v>
      </c>
      <c r="D833" s="1523" t="s">
        <v>125</v>
      </c>
      <c r="E833" s="1523" t="s">
        <v>216</v>
      </c>
      <c r="F833" s="1523"/>
      <c r="G833" s="1667">
        <v>226</v>
      </c>
      <c r="H833" s="1502">
        <f>35</f>
        <v>35</v>
      </c>
      <c r="I833" s="1502">
        <f>90</f>
        <v>90</v>
      </c>
      <c r="J833" s="1630"/>
      <c r="K833" s="1630"/>
      <c r="L833" s="1631"/>
      <c r="M833" s="1631"/>
      <c r="N833" s="1631"/>
      <c r="O833" s="1631"/>
      <c r="P833" s="1631"/>
      <c r="Q833" s="1631"/>
      <c r="R833" s="1631"/>
      <c r="S833" s="1631"/>
      <c r="T833" s="1632"/>
      <c r="U833" s="1633"/>
      <c r="V833" s="1633"/>
      <c r="W833" s="1634"/>
      <c r="X833" s="1634"/>
      <c r="Y833" s="1634"/>
      <c r="Z833" s="1635"/>
      <c r="AA833" s="1634">
        <f t="shared" si="562"/>
        <v>0</v>
      </c>
      <c r="AB833" s="1634"/>
      <c r="AC833" s="1508">
        <f t="shared" si="556"/>
        <v>35</v>
      </c>
      <c r="AD833" s="1509">
        <f t="shared" si="557"/>
        <v>90</v>
      </c>
      <c r="AE833" s="1509">
        <f t="shared" si="558"/>
        <v>90</v>
      </c>
      <c r="AF833" s="1509">
        <f t="shared" si="558"/>
        <v>0</v>
      </c>
      <c r="AG833" s="1509">
        <f t="shared" si="558"/>
        <v>0</v>
      </c>
      <c r="AH833" s="1490">
        <f t="shared" si="533"/>
        <v>0</v>
      </c>
      <c r="AI833" s="1636">
        <f t="shared" si="559"/>
        <v>0</v>
      </c>
      <c r="AJ833" s="1636">
        <f t="shared" si="560"/>
        <v>0</v>
      </c>
      <c r="AK833" s="1636">
        <f t="shared" si="561"/>
        <v>0</v>
      </c>
      <c r="AL833" s="1636">
        <f t="shared" si="554"/>
        <v>0</v>
      </c>
      <c r="AM833" s="1636">
        <f t="shared" si="554"/>
        <v>0</v>
      </c>
      <c r="AN833" s="1637"/>
      <c r="AO833" s="1723"/>
      <c r="AP833" s="1638"/>
      <c r="AQ833" s="1638"/>
      <c r="AR833" s="1638"/>
      <c r="AS833" s="1639"/>
      <c r="AT833" s="1638"/>
      <c r="AU833" s="1638"/>
      <c r="AV833" s="1638"/>
      <c r="AW833" s="1639"/>
      <c r="AX833" s="1640"/>
      <c r="AY833" s="1640"/>
      <c r="AZ833" s="1640"/>
      <c r="BA833" s="1641"/>
      <c r="BB833" s="1640"/>
      <c r="BC833" s="1640"/>
      <c r="BD833" s="1640"/>
      <c r="BE833" s="1644"/>
      <c r="BF833" s="1640"/>
      <c r="BG833" s="1640"/>
      <c r="BH833" s="1640"/>
      <c r="BI833" s="1641"/>
      <c r="BJ833" s="1640"/>
      <c r="BK833" s="1640"/>
      <c r="BL833" s="1640"/>
      <c r="BM833" s="1641">
        <v>35</v>
      </c>
      <c r="BN833" s="1640"/>
      <c r="BO833" s="1640"/>
      <c r="BP833" s="1640"/>
      <c r="BQ833" s="1641">
        <f>35-35</f>
        <v>0</v>
      </c>
      <c r="BR833" s="1640"/>
      <c r="BS833" s="1640"/>
      <c r="BT833" s="1640"/>
      <c r="BU833" s="1641"/>
      <c r="BV833" s="1640"/>
      <c r="BW833" s="1640"/>
      <c r="BX833" s="1640"/>
      <c r="BY833" s="1641"/>
      <c r="BZ833" s="1640"/>
      <c r="CA833" s="1640"/>
      <c r="CB833" s="1640"/>
      <c r="CC833" s="1641"/>
      <c r="CD833" s="1640"/>
      <c r="CE833" s="1640"/>
      <c r="CF833" s="1640"/>
      <c r="CG833" s="1642"/>
      <c r="CH833" s="1641">
        <f t="shared" si="543"/>
        <v>0</v>
      </c>
      <c r="CI833" s="1641">
        <f t="shared" si="543"/>
        <v>90</v>
      </c>
      <c r="CJ833" s="1641">
        <f t="shared" si="543"/>
        <v>0</v>
      </c>
      <c r="CK833" s="1641">
        <f t="shared" si="543"/>
        <v>0</v>
      </c>
      <c r="CL833" s="1889">
        <v>0</v>
      </c>
      <c r="CM833" s="1889">
        <v>90</v>
      </c>
      <c r="CN833" s="1889">
        <v>0</v>
      </c>
      <c r="CO833" s="1889">
        <v>0</v>
      </c>
      <c r="CP833" s="1641"/>
      <c r="CQ833" s="1640"/>
      <c r="CR833" s="1640"/>
      <c r="CS833" s="1640"/>
    </row>
    <row r="834" spans="1:113" ht="15" thickBot="1" x14ac:dyDescent="0.2">
      <c r="A834" s="1541" t="s">
        <v>94</v>
      </c>
      <c r="B834" s="1523" t="s">
        <v>79</v>
      </c>
      <c r="C834" s="1523" t="s">
        <v>80</v>
      </c>
      <c r="D834" s="1523" t="s">
        <v>125</v>
      </c>
      <c r="E834" s="1523" t="s">
        <v>216</v>
      </c>
      <c r="F834" s="1523"/>
      <c r="G834" s="1667">
        <v>290</v>
      </c>
      <c r="H834" s="1502">
        <f>20.7+200</f>
        <v>220.7</v>
      </c>
      <c r="I834" s="1502"/>
      <c r="J834" s="1630"/>
      <c r="K834" s="1630"/>
      <c r="L834" s="1631"/>
      <c r="M834" s="1631"/>
      <c r="N834" s="1631"/>
      <c r="O834" s="1631"/>
      <c r="P834" s="1631"/>
      <c r="Q834" s="1631"/>
      <c r="R834" s="1631"/>
      <c r="S834" s="1631"/>
      <c r="T834" s="1632"/>
      <c r="U834" s="1633"/>
      <c r="V834" s="1633"/>
      <c r="W834" s="1634"/>
      <c r="X834" s="1634"/>
      <c r="Y834" s="1634"/>
      <c r="Z834" s="1635"/>
      <c r="AA834" s="1634">
        <f t="shared" si="562"/>
        <v>0</v>
      </c>
      <c r="AB834" s="1634"/>
      <c r="AC834" s="1508">
        <f t="shared" si="556"/>
        <v>220.7</v>
      </c>
      <c r="AD834" s="1509">
        <f t="shared" si="557"/>
        <v>0</v>
      </c>
      <c r="AE834" s="1509">
        <f t="shared" si="558"/>
        <v>0</v>
      </c>
      <c r="AF834" s="1509">
        <f t="shared" si="558"/>
        <v>0</v>
      </c>
      <c r="AG834" s="1509">
        <f t="shared" si="558"/>
        <v>0</v>
      </c>
      <c r="AH834" s="1490">
        <f t="shared" si="533"/>
        <v>200</v>
      </c>
      <c r="AI834" s="1636">
        <f t="shared" si="559"/>
        <v>0</v>
      </c>
      <c r="AJ834" s="1636">
        <f t="shared" si="560"/>
        <v>0</v>
      </c>
      <c r="AK834" s="1636">
        <f t="shared" si="561"/>
        <v>0</v>
      </c>
      <c r="AL834" s="1636">
        <f t="shared" si="554"/>
        <v>0</v>
      </c>
      <c r="AM834" s="1636">
        <f t="shared" si="554"/>
        <v>0</v>
      </c>
      <c r="AN834" s="1637"/>
      <c r="AO834" s="1722">
        <v>1.7</v>
      </c>
      <c r="AP834" s="1638"/>
      <c r="AQ834" s="1638"/>
      <c r="AR834" s="1638"/>
      <c r="AS834" s="1639"/>
      <c r="AT834" s="1638"/>
      <c r="AU834" s="1638"/>
      <c r="AV834" s="1638"/>
      <c r="AW834" s="1639"/>
      <c r="AX834" s="1640"/>
      <c r="AY834" s="1640"/>
      <c r="AZ834" s="1640"/>
      <c r="BA834" s="1641"/>
      <c r="BB834" s="1640"/>
      <c r="BC834" s="1640"/>
      <c r="BD834" s="1640"/>
      <c r="BE834" s="1644">
        <v>5.2</v>
      </c>
      <c r="BF834" s="1640"/>
      <c r="BG834" s="1640"/>
      <c r="BH834" s="1640"/>
      <c r="BI834" s="1641"/>
      <c r="BJ834" s="1640"/>
      <c r="BK834" s="1640"/>
      <c r="BL834" s="1640"/>
      <c r="BM834" s="1641">
        <v>13.8</v>
      </c>
      <c r="BN834" s="1640"/>
      <c r="BO834" s="1640"/>
      <c r="BP834" s="1640"/>
      <c r="BQ834" s="1641">
        <f>0.05-0.05</f>
        <v>0</v>
      </c>
      <c r="BR834" s="1640"/>
      <c r="BS834" s="1640"/>
      <c r="BT834" s="1640"/>
      <c r="BU834" s="1641"/>
      <c r="BV834" s="1640"/>
      <c r="BW834" s="1640"/>
      <c r="BX834" s="1640"/>
      <c r="BY834" s="1641"/>
      <c r="BZ834" s="1640"/>
      <c r="CA834" s="1640"/>
      <c r="CB834" s="1640"/>
      <c r="CC834" s="1641"/>
      <c r="CD834" s="1640"/>
      <c r="CE834" s="1640"/>
      <c r="CF834" s="1640"/>
      <c r="CG834" s="1642"/>
      <c r="CH834" s="1641">
        <f t="shared" si="543"/>
        <v>200</v>
      </c>
      <c r="CI834" s="1641">
        <f t="shared" si="543"/>
        <v>0</v>
      </c>
      <c r="CJ834" s="1641">
        <f t="shared" si="543"/>
        <v>0</v>
      </c>
      <c r="CK834" s="1641">
        <f t="shared" si="543"/>
        <v>0</v>
      </c>
      <c r="CL834" s="1889">
        <v>200</v>
      </c>
      <c r="CM834" s="1889">
        <v>0</v>
      </c>
      <c r="CN834" s="1889">
        <v>0</v>
      </c>
      <c r="CO834" s="1889">
        <v>0</v>
      </c>
      <c r="CP834" s="1641"/>
      <c r="CQ834" s="1640"/>
      <c r="CR834" s="1640"/>
      <c r="CS834" s="1640"/>
    </row>
    <row r="835" spans="1:113" ht="15" thickBot="1" x14ac:dyDescent="0.2">
      <c r="A835" s="1541" t="s">
        <v>94</v>
      </c>
      <c r="B835" s="1523" t="s">
        <v>79</v>
      </c>
      <c r="C835" s="1523" t="s">
        <v>80</v>
      </c>
      <c r="D835" s="1523" t="s">
        <v>125</v>
      </c>
      <c r="E835" s="1523" t="s">
        <v>216</v>
      </c>
      <c r="F835" s="1523"/>
      <c r="G835" s="1667" t="s">
        <v>95</v>
      </c>
      <c r="H835" s="1502"/>
      <c r="I835" s="1502"/>
      <c r="J835" s="1630"/>
      <c r="K835" s="1630"/>
      <c r="L835" s="1631"/>
      <c r="M835" s="1631"/>
      <c r="N835" s="1631"/>
      <c r="O835" s="1631"/>
      <c r="P835" s="1631"/>
      <c r="Q835" s="1631"/>
      <c r="R835" s="1631"/>
      <c r="S835" s="1631"/>
      <c r="T835" s="1632"/>
      <c r="U835" s="1633"/>
      <c r="V835" s="1633"/>
      <c r="W835" s="1634"/>
      <c r="X835" s="1634"/>
      <c r="Y835" s="1634"/>
      <c r="Z835" s="1635"/>
      <c r="AA835" s="1634">
        <f t="shared" si="562"/>
        <v>0</v>
      </c>
      <c r="AB835" s="1634"/>
      <c r="AC835" s="1508">
        <f t="shared" si="556"/>
        <v>0</v>
      </c>
      <c r="AD835" s="1509">
        <f t="shared" si="557"/>
        <v>0</v>
      </c>
      <c r="AE835" s="1509">
        <f t="shared" si="558"/>
        <v>0</v>
      </c>
      <c r="AF835" s="1509">
        <f t="shared" si="558"/>
        <v>0</v>
      </c>
      <c r="AG835" s="1509">
        <f t="shared" si="558"/>
        <v>0</v>
      </c>
      <c r="AH835" s="1490">
        <f t="shared" si="533"/>
        <v>0</v>
      </c>
      <c r="AI835" s="1636">
        <f t="shared" si="559"/>
        <v>0</v>
      </c>
      <c r="AJ835" s="1636">
        <f t="shared" si="560"/>
        <v>0</v>
      </c>
      <c r="AK835" s="1636">
        <f t="shared" si="561"/>
        <v>0</v>
      </c>
      <c r="AL835" s="1636">
        <f t="shared" si="554"/>
        <v>0</v>
      </c>
      <c r="AM835" s="1636">
        <f t="shared" si="554"/>
        <v>0</v>
      </c>
      <c r="AN835" s="1637"/>
      <c r="AO835" s="1722">
        <v>0</v>
      </c>
      <c r="AP835" s="1638"/>
      <c r="AQ835" s="1638"/>
      <c r="AR835" s="1638"/>
      <c r="AS835" s="1639"/>
      <c r="AT835" s="1638"/>
      <c r="AU835" s="1638"/>
      <c r="AV835" s="1638"/>
      <c r="AW835" s="1639"/>
      <c r="AX835" s="1640"/>
      <c r="AY835" s="1640"/>
      <c r="AZ835" s="1640"/>
      <c r="BA835" s="1641"/>
      <c r="BB835" s="1640"/>
      <c r="BC835" s="1640"/>
      <c r="BD835" s="1640"/>
      <c r="BE835" s="1644"/>
      <c r="BF835" s="1640"/>
      <c r="BG835" s="1640"/>
      <c r="BH835" s="1640"/>
      <c r="BI835" s="1641"/>
      <c r="BJ835" s="1640"/>
      <c r="BK835" s="1640"/>
      <c r="BL835" s="1640"/>
      <c r="BM835" s="1641"/>
      <c r="BN835" s="1640"/>
      <c r="BO835" s="1640"/>
      <c r="BP835" s="1640"/>
      <c r="BQ835" s="1641"/>
      <c r="BR835" s="1640"/>
      <c r="BS835" s="1640"/>
      <c r="BT835" s="1640"/>
      <c r="BU835" s="1641"/>
      <c r="BV835" s="1640"/>
      <c r="BW835" s="1640"/>
      <c r="BX835" s="1640"/>
      <c r="BY835" s="1641"/>
      <c r="BZ835" s="1640"/>
      <c r="CA835" s="1640"/>
      <c r="CB835" s="1640"/>
      <c r="CC835" s="1641"/>
      <c r="CD835" s="1640"/>
      <c r="CE835" s="1640"/>
      <c r="CF835" s="1640"/>
      <c r="CG835" s="1642"/>
      <c r="CH835" s="1641">
        <f t="shared" si="543"/>
        <v>0</v>
      </c>
      <c r="CI835" s="1641">
        <f t="shared" si="543"/>
        <v>0</v>
      </c>
      <c r="CJ835" s="1641">
        <f t="shared" si="543"/>
        <v>0</v>
      </c>
      <c r="CK835" s="1641">
        <f t="shared" si="543"/>
        <v>0</v>
      </c>
      <c r="CL835" s="1889">
        <v>0</v>
      </c>
      <c r="CM835" s="1889">
        <v>0</v>
      </c>
      <c r="CN835" s="1889">
        <v>0</v>
      </c>
      <c r="CO835" s="1889">
        <v>0</v>
      </c>
      <c r="CP835" s="1641"/>
      <c r="CQ835" s="1640"/>
      <c r="CR835" s="1640"/>
      <c r="CS835" s="1640"/>
    </row>
    <row r="836" spans="1:113" ht="15" thickBot="1" x14ac:dyDescent="0.2">
      <c r="A836" s="1541" t="s">
        <v>96</v>
      </c>
      <c r="B836" s="1523" t="s">
        <v>79</v>
      </c>
      <c r="C836" s="1523" t="s">
        <v>80</v>
      </c>
      <c r="D836" s="1523" t="s">
        <v>125</v>
      </c>
      <c r="E836" s="1523" t="s">
        <v>216</v>
      </c>
      <c r="F836" s="1523"/>
      <c r="G836" s="1667">
        <v>310</v>
      </c>
      <c r="H836" s="1502">
        <f>170+32.454</f>
        <v>202.45400000000001</v>
      </c>
      <c r="I836" s="1502"/>
      <c r="J836" s="1630"/>
      <c r="K836" s="1630"/>
      <c r="L836" s="1631"/>
      <c r="M836" s="1631"/>
      <c r="N836" s="1631"/>
      <c r="O836" s="1631"/>
      <c r="P836" s="1631"/>
      <c r="Q836" s="1631"/>
      <c r="R836" s="1631"/>
      <c r="S836" s="1631"/>
      <c r="T836" s="1632"/>
      <c r="U836" s="1633"/>
      <c r="V836" s="1633"/>
      <c r="W836" s="1634"/>
      <c r="X836" s="1634"/>
      <c r="Y836" s="1634"/>
      <c r="Z836" s="1635"/>
      <c r="AA836" s="1634">
        <f t="shared" si="562"/>
        <v>0</v>
      </c>
      <c r="AB836" s="1634"/>
      <c r="AC836" s="1508">
        <f t="shared" si="556"/>
        <v>202.45400000000001</v>
      </c>
      <c r="AD836" s="1509">
        <f t="shared" si="557"/>
        <v>0</v>
      </c>
      <c r="AE836" s="1509">
        <f t="shared" si="558"/>
        <v>0</v>
      </c>
      <c r="AF836" s="1509">
        <f t="shared" si="558"/>
        <v>0</v>
      </c>
      <c r="AG836" s="1509">
        <f t="shared" si="558"/>
        <v>0</v>
      </c>
      <c r="AH836" s="1490">
        <f t="shared" si="533"/>
        <v>32.454000000000001</v>
      </c>
      <c r="AI836" s="1636">
        <f t="shared" si="559"/>
        <v>0</v>
      </c>
      <c r="AJ836" s="1636">
        <f t="shared" si="560"/>
        <v>0</v>
      </c>
      <c r="AK836" s="1636">
        <f t="shared" si="561"/>
        <v>0</v>
      </c>
      <c r="AL836" s="1636">
        <f t="shared" si="554"/>
        <v>0</v>
      </c>
      <c r="AM836" s="1636">
        <f t="shared" si="554"/>
        <v>0</v>
      </c>
      <c r="AN836" s="1637"/>
      <c r="AO836" s="1723"/>
      <c r="AP836" s="1638"/>
      <c r="AQ836" s="1638"/>
      <c r="AR836" s="1638"/>
      <c r="AS836" s="1639"/>
      <c r="AT836" s="1638"/>
      <c r="AU836" s="1638"/>
      <c r="AV836" s="1638"/>
      <c r="AW836" s="1639"/>
      <c r="AX836" s="1640"/>
      <c r="AY836" s="1640"/>
      <c r="AZ836" s="1640"/>
      <c r="BA836" s="1641"/>
      <c r="BB836" s="1640"/>
      <c r="BC836" s="1640"/>
      <c r="BD836" s="1640"/>
      <c r="BE836" s="1644"/>
      <c r="BF836" s="1640"/>
      <c r="BG836" s="1640"/>
      <c r="BH836" s="1640"/>
      <c r="BI836" s="1641">
        <v>50</v>
      </c>
      <c r="BJ836" s="1640"/>
      <c r="BK836" s="1640"/>
      <c r="BL836" s="1640"/>
      <c r="BM836" s="1641">
        <v>120</v>
      </c>
      <c r="BN836" s="1640"/>
      <c r="BO836" s="1640"/>
      <c r="BP836" s="1640"/>
      <c r="BQ836" s="1641"/>
      <c r="BR836" s="1640"/>
      <c r="BS836" s="1640"/>
      <c r="BT836" s="1640"/>
      <c r="BU836" s="1641"/>
      <c r="BV836" s="1640"/>
      <c r="BW836" s="1640"/>
      <c r="BX836" s="1640"/>
      <c r="BY836" s="1641"/>
      <c r="BZ836" s="1640"/>
      <c r="CA836" s="1640"/>
      <c r="CB836" s="1640"/>
      <c r="CC836" s="1641"/>
      <c r="CD836" s="1640"/>
      <c r="CE836" s="1640"/>
      <c r="CF836" s="1640"/>
      <c r="CG836" s="1642"/>
      <c r="CH836" s="1641">
        <f t="shared" si="543"/>
        <v>32.454000000000001</v>
      </c>
      <c r="CI836" s="1641">
        <f t="shared" si="543"/>
        <v>0</v>
      </c>
      <c r="CJ836" s="1641">
        <f t="shared" si="543"/>
        <v>0</v>
      </c>
      <c r="CK836" s="1641">
        <f t="shared" si="543"/>
        <v>0</v>
      </c>
      <c r="CL836" s="1889">
        <v>32.454000000000001</v>
      </c>
      <c r="CM836" s="1889">
        <v>0</v>
      </c>
      <c r="CN836" s="1889">
        <v>0</v>
      </c>
      <c r="CO836" s="1889">
        <v>0</v>
      </c>
      <c r="CP836" s="1641"/>
      <c r="CQ836" s="1640"/>
      <c r="CR836" s="1640"/>
      <c r="CS836" s="1640"/>
    </row>
    <row r="837" spans="1:113" ht="15" thickBot="1" x14ac:dyDescent="0.2">
      <c r="A837" s="1541" t="s">
        <v>97</v>
      </c>
      <c r="B837" s="1523" t="s">
        <v>79</v>
      </c>
      <c r="C837" s="1523" t="s">
        <v>80</v>
      </c>
      <c r="D837" s="1523" t="s">
        <v>125</v>
      </c>
      <c r="E837" s="1523" t="s">
        <v>216</v>
      </c>
      <c r="F837" s="1523"/>
      <c r="G837" s="1667">
        <v>340</v>
      </c>
      <c r="H837" s="1502"/>
      <c r="I837" s="1645"/>
      <c r="J837" s="1630"/>
      <c r="K837" s="1630"/>
      <c r="L837" s="1631"/>
      <c r="M837" s="1631"/>
      <c r="N837" s="1631"/>
      <c r="O837" s="1631"/>
      <c r="P837" s="1631"/>
      <c r="Q837" s="1631"/>
      <c r="R837" s="1631"/>
      <c r="S837" s="1631"/>
      <c r="T837" s="1632"/>
      <c r="U837" s="1633"/>
      <c r="V837" s="1633"/>
      <c r="W837" s="1634"/>
      <c r="X837" s="1634"/>
      <c r="Y837" s="1634"/>
      <c r="Z837" s="1635"/>
      <c r="AA837" s="1634">
        <f t="shared" si="562"/>
        <v>0</v>
      </c>
      <c r="AB837" s="1634"/>
      <c r="AC837" s="1508">
        <f t="shared" si="556"/>
        <v>0</v>
      </c>
      <c r="AD837" s="1509">
        <f t="shared" si="557"/>
        <v>0</v>
      </c>
      <c r="AE837" s="1509">
        <f t="shared" si="558"/>
        <v>0</v>
      </c>
      <c r="AF837" s="1509">
        <f t="shared" si="558"/>
        <v>0</v>
      </c>
      <c r="AG837" s="1509">
        <f t="shared" si="558"/>
        <v>0</v>
      </c>
      <c r="AH837" s="1490">
        <f t="shared" si="533"/>
        <v>0</v>
      </c>
      <c r="AI837" s="1636">
        <f t="shared" si="559"/>
        <v>0</v>
      </c>
      <c r="AJ837" s="1636">
        <f t="shared" si="560"/>
        <v>0</v>
      </c>
      <c r="AK837" s="1636">
        <f t="shared" si="561"/>
        <v>0</v>
      </c>
      <c r="AL837" s="1636">
        <f t="shared" si="554"/>
        <v>0</v>
      </c>
      <c r="AM837" s="1636">
        <f t="shared" si="554"/>
        <v>0</v>
      </c>
      <c r="AN837" s="1637"/>
      <c r="AO837" s="1722">
        <v>0</v>
      </c>
      <c r="AP837" s="1638"/>
      <c r="AQ837" s="1638"/>
      <c r="AR837" s="1638"/>
      <c r="AS837" s="1639"/>
      <c r="AT837" s="1638"/>
      <c r="AU837" s="1638"/>
      <c r="AV837" s="1638"/>
      <c r="AW837" s="1639"/>
      <c r="AX837" s="1640"/>
      <c r="AY837" s="1640"/>
      <c r="AZ837" s="1640"/>
      <c r="BA837" s="1641"/>
      <c r="BB837" s="1640"/>
      <c r="BC837" s="1640"/>
      <c r="BD837" s="1640"/>
      <c r="BE837" s="1644"/>
      <c r="BF837" s="1640"/>
      <c r="BG837" s="1640"/>
      <c r="BH837" s="1640"/>
      <c r="BI837" s="1641"/>
      <c r="BJ837" s="1640"/>
      <c r="BK837" s="1640"/>
      <c r="BL837" s="1640"/>
      <c r="BM837" s="1641"/>
      <c r="BN837" s="1640"/>
      <c r="BO837" s="1640"/>
      <c r="BP837" s="1640"/>
      <c r="BQ837" s="1641"/>
      <c r="BR837" s="1640"/>
      <c r="BS837" s="1640"/>
      <c r="BT837" s="1640"/>
      <c r="BU837" s="1641"/>
      <c r="BV837" s="1640"/>
      <c r="BW837" s="1640"/>
      <c r="BX837" s="1640"/>
      <c r="BY837" s="1641"/>
      <c r="BZ837" s="1640"/>
      <c r="CA837" s="1640"/>
      <c r="CB837" s="1640"/>
      <c r="CC837" s="1641"/>
      <c r="CD837" s="1640"/>
      <c r="CE837" s="1640"/>
      <c r="CF837" s="1640"/>
      <c r="CG837" s="1642"/>
      <c r="CH837" s="1641">
        <f t="shared" si="543"/>
        <v>0</v>
      </c>
      <c r="CI837" s="1641">
        <f t="shared" si="543"/>
        <v>0</v>
      </c>
      <c r="CJ837" s="1641">
        <f t="shared" si="543"/>
        <v>0</v>
      </c>
      <c r="CK837" s="1641">
        <f t="shared" si="543"/>
        <v>0</v>
      </c>
      <c r="CL837" s="1889">
        <v>0</v>
      </c>
      <c r="CM837" s="1889">
        <v>0</v>
      </c>
      <c r="CN837" s="1889">
        <v>0</v>
      </c>
      <c r="CO837" s="1889">
        <v>0</v>
      </c>
      <c r="CP837" s="1641"/>
      <c r="CQ837" s="1640"/>
      <c r="CR837" s="1640"/>
      <c r="CS837" s="1640"/>
    </row>
    <row r="838" spans="1:113" ht="15" thickBot="1" x14ac:dyDescent="0.2">
      <c r="A838" s="1528" t="s">
        <v>767</v>
      </c>
      <c r="B838" s="1530" t="s">
        <v>79</v>
      </c>
      <c r="C838" s="1530" t="s">
        <v>80</v>
      </c>
      <c r="D838" s="1530" t="s">
        <v>125</v>
      </c>
      <c r="E838" s="1530" t="s">
        <v>216</v>
      </c>
      <c r="F838" s="1530">
        <v>612</v>
      </c>
      <c r="G838" s="1687" t="s">
        <v>766</v>
      </c>
      <c r="H838" s="1647">
        <f>I824</f>
        <v>90</v>
      </c>
      <c r="I838" s="1645"/>
      <c r="J838" s="1630"/>
      <c r="K838" s="1630"/>
      <c r="L838" s="1631"/>
      <c r="M838" s="1631"/>
      <c r="N838" s="1631"/>
      <c r="O838" s="1631"/>
      <c r="P838" s="1631"/>
      <c r="Q838" s="1631"/>
      <c r="R838" s="1631"/>
      <c r="S838" s="1631"/>
      <c r="T838" s="1632"/>
      <c r="U838" s="1633"/>
      <c r="V838" s="1633"/>
      <c r="W838" s="1634"/>
      <c r="X838" s="1634"/>
      <c r="Y838" s="1634"/>
      <c r="Z838" s="1635"/>
      <c r="AA838" s="1634">
        <f t="shared" si="562"/>
        <v>0</v>
      </c>
      <c r="AB838" s="1634"/>
      <c r="AC838" s="1508"/>
      <c r="AD838" s="1509"/>
      <c r="AE838" s="1509"/>
      <c r="AF838" s="1509"/>
      <c r="AG838" s="1509"/>
      <c r="AH838" s="1490">
        <f t="shared" si="533"/>
        <v>0</v>
      </c>
      <c r="AI838" s="1636"/>
      <c r="AJ838" s="1636"/>
      <c r="AK838" s="1636"/>
      <c r="AL838" s="1636">
        <f t="shared" si="554"/>
        <v>0</v>
      </c>
      <c r="AM838" s="1636"/>
      <c r="AN838" s="1712"/>
      <c r="AO838" s="1713"/>
      <c r="AP838" s="1638"/>
      <c r="AQ838" s="1638"/>
      <c r="AR838" s="1638"/>
      <c r="AS838" s="1639"/>
      <c r="AT838" s="1638"/>
      <c r="AU838" s="1638"/>
      <c r="AV838" s="1638"/>
      <c r="AW838" s="1639"/>
      <c r="AX838" s="1640"/>
      <c r="AY838" s="1640"/>
      <c r="AZ838" s="1640"/>
      <c r="BA838" s="1641"/>
      <c r="BB838" s="1640"/>
      <c r="BC838" s="1640"/>
      <c r="BD838" s="1640"/>
      <c r="BE838" s="1644"/>
      <c r="BF838" s="1640"/>
      <c r="BG838" s="1640"/>
      <c r="BH838" s="1640"/>
      <c r="BI838" s="1641"/>
      <c r="BJ838" s="1640"/>
      <c r="BK838" s="1640"/>
      <c r="BL838" s="1640"/>
      <c r="BM838" s="1641"/>
      <c r="BN838" s="1640"/>
      <c r="BO838" s="1640"/>
      <c r="BP838" s="1640"/>
      <c r="BQ838" s="1641"/>
      <c r="BR838" s="1640"/>
      <c r="BS838" s="1640"/>
      <c r="BT838" s="1640"/>
      <c r="BU838" s="1641"/>
      <c r="BV838" s="1640"/>
      <c r="BW838" s="1640"/>
      <c r="BX838" s="1640"/>
      <c r="BY838" s="1641"/>
      <c r="BZ838" s="1640"/>
      <c r="CA838" s="1640"/>
      <c r="CB838" s="1640"/>
      <c r="CC838" s="1641"/>
      <c r="CD838" s="1640"/>
      <c r="CE838" s="1640"/>
      <c r="CF838" s="1640"/>
      <c r="CG838" s="1642"/>
      <c r="CH838" s="1641">
        <f t="shared" si="543"/>
        <v>0</v>
      </c>
      <c r="CI838" s="1641">
        <f t="shared" si="543"/>
        <v>0</v>
      </c>
      <c r="CJ838" s="1641">
        <f t="shared" si="543"/>
        <v>0</v>
      </c>
      <c r="CK838" s="1641">
        <f t="shared" si="543"/>
        <v>0</v>
      </c>
      <c r="CL838" s="1898"/>
      <c r="CM838" s="1898"/>
      <c r="CN838" s="1889">
        <v>0</v>
      </c>
      <c r="CO838" s="1898"/>
      <c r="CP838" s="1641"/>
      <c r="CQ838" s="1640"/>
      <c r="CR838" s="1640"/>
      <c r="CS838" s="1640"/>
    </row>
    <row r="839" spans="1:113" s="1886" customFormat="1" ht="27" thickBot="1" x14ac:dyDescent="0.2">
      <c r="A839" s="1873" t="s">
        <v>1296</v>
      </c>
      <c r="B839" s="1941" t="s">
        <v>79</v>
      </c>
      <c r="C839" s="1941" t="s">
        <v>80</v>
      </c>
      <c r="D839" s="1941" t="s">
        <v>125</v>
      </c>
      <c r="E839" s="1941" t="s">
        <v>216</v>
      </c>
      <c r="F839" s="1941">
        <v>600</v>
      </c>
      <c r="G839" s="1874"/>
      <c r="H839" s="1606">
        <f>H840+H854</f>
        <v>9610.4</v>
      </c>
      <c r="I839" s="1606">
        <f>I840+I854</f>
        <v>0</v>
      </c>
      <c r="J839" s="1606">
        <f>J840+J854</f>
        <v>0</v>
      </c>
      <c r="K839" s="1606">
        <f>K840+K854</f>
        <v>300</v>
      </c>
      <c r="L839" s="1607"/>
      <c r="M839" s="1607"/>
      <c r="N839" s="1607"/>
      <c r="O839" s="1607"/>
      <c r="P839" s="1607"/>
      <c r="Q839" s="1607"/>
      <c r="R839" s="1607"/>
      <c r="S839" s="1607"/>
      <c r="T839" s="1608"/>
      <c r="U839" s="1609"/>
      <c r="V839" s="1609"/>
      <c r="W839" s="1610"/>
      <c r="X839" s="1610"/>
      <c r="Y839" s="1610"/>
      <c r="Z839" s="1611"/>
      <c r="AA839" s="1634">
        <f t="shared" si="562"/>
        <v>0</v>
      </c>
      <c r="AB839" s="1610"/>
      <c r="AC839" s="1612">
        <f t="shared" ref="AC839:CF839" si="563">AC840+AC854</f>
        <v>9610.4</v>
      </c>
      <c r="AD839" s="1612">
        <f t="shared" si="563"/>
        <v>300</v>
      </c>
      <c r="AE839" s="1612">
        <f t="shared" si="563"/>
        <v>0</v>
      </c>
      <c r="AF839" s="1612">
        <f t="shared" si="563"/>
        <v>0</v>
      </c>
      <c r="AG839" s="1612">
        <f t="shared" si="563"/>
        <v>300</v>
      </c>
      <c r="AH839" s="1490">
        <f t="shared" si="533"/>
        <v>319.63</v>
      </c>
      <c r="AI839" s="1613">
        <f t="shared" si="563"/>
        <v>0</v>
      </c>
      <c r="AJ839" s="1613">
        <f t="shared" si="563"/>
        <v>0</v>
      </c>
      <c r="AK839" s="1613">
        <f t="shared" si="563"/>
        <v>0</v>
      </c>
      <c r="AL839" s="1636">
        <f t="shared" si="554"/>
        <v>0</v>
      </c>
      <c r="AM839" s="1613">
        <f t="shared" si="563"/>
        <v>0</v>
      </c>
      <c r="AN839" s="1614"/>
      <c r="AO839" s="1606">
        <f t="shared" si="563"/>
        <v>733.30000000000007</v>
      </c>
      <c r="AP839" s="1606">
        <f t="shared" si="563"/>
        <v>0</v>
      </c>
      <c r="AQ839" s="1606">
        <f t="shared" si="563"/>
        <v>0</v>
      </c>
      <c r="AR839" s="1606">
        <f t="shared" si="563"/>
        <v>0</v>
      </c>
      <c r="AS839" s="1611">
        <f t="shared" si="563"/>
        <v>731.30000000000007</v>
      </c>
      <c r="AT839" s="1606">
        <f t="shared" si="563"/>
        <v>0</v>
      </c>
      <c r="AU839" s="1606">
        <f t="shared" si="563"/>
        <v>0</v>
      </c>
      <c r="AV839" s="1606">
        <f t="shared" si="563"/>
        <v>0</v>
      </c>
      <c r="AW839" s="1611">
        <f t="shared" si="563"/>
        <v>731.30000000000007</v>
      </c>
      <c r="AX839" s="1606">
        <f t="shared" si="563"/>
        <v>0</v>
      </c>
      <c r="AY839" s="1606">
        <f t="shared" si="563"/>
        <v>0</v>
      </c>
      <c r="AZ839" s="1606">
        <f t="shared" si="563"/>
        <v>0</v>
      </c>
      <c r="BA839" s="1614">
        <f t="shared" si="563"/>
        <v>731.30000000000007</v>
      </c>
      <c r="BB839" s="1606">
        <f t="shared" si="563"/>
        <v>0</v>
      </c>
      <c r="BC839" s="1606">
        <f t="shared" si="563"/>
        <v>0</v>
      </c>
      <c r="BD839" s="1606">
        <f t="shared" si="563"/>
        <v>0</v>
      </c>
      <c r="BE839" s="1615">
        <f t="shared" si="563"/>
        <v>736.30000000000007</v>
      </c>
      <c r="BF839" s="1606">
        <f t="shared" si="563"/>
        <v>0</v>
      </c>
      <c r="BG839" s="1606">
        <f t="shared" si="563"/>
        <v>0</v>
      </c>
      <c r="BH839" s="1606">
        <f t="shared" si="563"/>
        <v>0</v>
      </c>
      <c r="BI839" s="1614">
        <f t="shared" si="563"/>
        <v>230.12100000000001</v>
      </c>
      <c r="BJ839" s="1606">
        <f t="shared" si="563"/>
        <v>0</v>
      </c>
      <c r="BK839" s="1606">
        <f t="shared" si="563"/>
        <v>0</v>
      </c>
      <c r="BL839" s="1606">
        <f t="shared" si="563"/>
        <v>0</v>
      </c>
      <c r="BM839" s="1614">
        <f t="shared" si="563"/>
        <v>2093.779</v>
      </c>
      <c r="BN839" s="1606">
        <f t="shared" si="563"/>
        <v>0</v>
      </c>
      <c r="BO839" s="1606">
        <f t="shared" si="563"/>
        <v>0</v>
      </c>
      <c r="BP839" s="1606">
        <f t="shared" si="563"/>
        <v>0</v>
      </c>
      <c r="BQ839" s="1614">
        <f t="shared" si="563"/>
        <v>766.35</v>
      </c>
      <c r="BR839" s="1606">
        <f t="shared" si="563"/>
        <v>0</v>
      </c>
      <c r="BS839" s="1606">
        <f t="shared" si="563"/>
        <v>0</v>
      </c>
      <c r="BT839" s="1606">
        <f t="shared" si="563"/>
        <v>300</v>
      </c>
      <c r="BU839" s="1614">
        <f t="shared" si="563"/>
        <v>709.4</v>
      </c>
      <c r="BV839" s="1606">
        <f t="shared" si="563"/>
        <v>0</v>
      </c>
      <c r="BW839" s="1606">
        <f t="shared" si="563"/>
        <v>0</v>
      </c>
      <c r="BX839" s="1606">
        <f t="shared" si="563"/>
        <v>0</v>
      </c>
      <c r="BY839" s="1614">
        <f t="shared" si="563"/>
        <v>233.89000000000001</v>
      </c>
      <c r="BZ839" s="1606">
        <f t="shared" si="563"/>
        <v>0</v>
      </c>
      <c r="CA839" s="1606">
        <f t="shared" si="563"/>
        <v>0</v>
      </c>
      <c r="CB839" s="1606">
        <f t="shared" si="563"/>
        <v>0</v>
      </c>
      <c r="CC839" s="1614">
        <f t="shared" si="563"/>
        <v>1593.7299999999998</v>
      </c>
      <c r="CD839" s="1606">
        <f t="shared" si="563"/>
        <v>0</v>
      </c>
      <c r="CE839" s="1606">
        <f t="shared" si="563"/>
        <v>0</v>
      </c>
      <c r="CF839" s="1606">
        <f t="shared" si="563"/>
        <v>0</v>
      </c>
      <c r="CG839" s="1616"/>
      <c r="CH839" s="1641">
        <f t="shared" si="543"/>
        <v>319.63</v>
      </c>
      <c r="CI839" s="1641">
        <f t="shared" si="543"/>
        <v>0</v>
      </c>
      <c r="CJ839" s="1641">
        <f t="shared" si="543"/>
        <v>0</v>
      </c>
      <c r="CK839" s="1641">
        <f t="shared" si="543"/>
        <v>0</v>
      </c>
      <c r="CL839" s="1943">
        <v>319.63</v>
      </c>
      <c r="CM839" s="1943">
        <v>0</v>
      </c>
      <c r="CN839" s="1889">
        <v>0</v>
      </c>
      <c r="CO839" s="1943">
        <v>0</v>
      </c>
      <c r="CP839" s="1614">
        <f>CP840+CP854</f>
        <v>0</v>
      </c>
      <c r="CQ839" s="1606">
        <f>CQ840+CQ854</f>
        <v>0</v>
      </c>
      <c r="CR839" s="1606">
        <f>CR840+CR854</f>
        <v>0</v>
      </c>
      <c r="CS839" s="1606">
        <f>CS840+CS854</f>
        <v>0</v>
      </c>
      <c r="CT839" s="1885"/>
      <c r="CU839" s="1885"/>
      <c r="CV839" s="1885"/>
      <c r="CW839" s="1885"/>
      <c r="CY839" s="1885"/>
    </row>
    <row r="840" spans="1:113" ht="53" thickBot="1" x14ac:dyDescent="0.2">
      <c r="A840" s="1748" t="s">
        <v>1135</v>
      </c>
      <c r="B840" s="1749" t="s">
        <v>79</v>
      </c>
      <c r="C840" s="1749" t="s">
        <v>80</v>
      </c>
      <c r="D840" s="1749" t="s">
        <v>125</v>
      </c>
      <c r="E840" s="1749" t="s">
        <v>216</v>
      </c>
      <c r="F840" s="1749" t="s">
        <v>765</v>
      </c>
      <c r="G840" s="1600" t="s">
        <v>766</v>
      </c>
      <c r="H840" s="1531">
        <f>H841+H842+H843+H844+H845+H846+H847+H848+H849+H850+H851+H852+H853</f>
        <v>9610.4</v>
      </c>
      <c r="I840" s="1531">
        <f>I841+I842+I843+I844+I845+I846+I847+I848+I849+I850+I851+I852+I853</f>
        <v>0</v>
      </c>
      <c r="J840" s="1531">
        <f>J841+J842+J843+J844+J845+J846+J847+J848+J849+J850+J851+J852+J853</f>
        <v>0</v>
      </c>
      <c r="K840" s="1531">
        <f>K841+K842+K843+K844+K845+K846+K847+K848+K849+K850+K851+K852+K853</f>
        <v>300</v>
      </c>
      <c r="L840" s="1601"/>
      <c r="M840" s="1601"/>
      <c r="N840" s="1601"/>
      <c r="O840" s="1601"/>
      <c r="P840" s="1601"/>
      <c r="Q840" s="1601"/>
      <c r="R840" s="1601"/>
      <c r="S840" s="1601"/>
      <c r="T840" s="1602"/>
      <c r="U840" s="1533"/>
      <c r="V840" s="1533"/>
      <c r="W840" s="1534"/>
      <c r="X840" s="1534"/>
      <c r="Y840" s="1534"/>
      <c r="Z840" s="1535"/>
      <c r="AA840" s="1634">
        <f t="shared" si="562"/>
        <v>0</v>
      </c>
      <c r="AB840" s="1534"/>
      <c r="AC840" s="1603">
        <f t="shared" ref="AC840:CF840" si="564">AC841+AC842+AC843+AC844+AC845+AC846+AC847+AC848+AC849+AC850+AC851+AC852+AC853</f>
        <v>9610.4</v>
      </c>
      <c r="AD840" s="1603">
        <f t="shared" si="564"/>
        <v>300</v>
      </c>
      <c r="AE840" s="1603">
        <f t="shared" si="564"/>
        <v>0</v>
      </c>
      <c r="AF840" s="1603">
        <f t="shared" si="564"/>
        <v>0</v>
      </c>
      <c r="AG840" s="1603">
        <f t="shared" si="564"/>
        <v>300</v>
      </c>
      <c r="AH840" s="1490">
        <f t="shared" si="533"/>
        <v>319.63</v>
      </c>
      <c r="AI840" s="1592">
        <f t="shared" si="564"/>
        <v>0</v>
      </c>
      <c r="AJ840" s="1592">
        <f t="shared" si="564"/>
        <v>0</v>
      </c>
      <c r="AK840" s="1592">
        <f t="shared" si="564"/>
        <v>0</v>
      </c>
      <c r="AL840" s="1636">
        <f t="shared" si="554"/>
        <v>0</v>
      </c>
      <c r="AM840" s="1592">
        <f t="shared" si="564"/>
        <v>0</v>
      </c>
      <c r="AN840" s="1706"/>
      <c r="AO840" s="1707">
        <f t="shared" si="564"/>
        <v>733.30000000000007</v>
      </c>
      <c r="AP840" s="1531">
        <f t="shared" si="564"/>
        <v>0</v>
      </c>
      <c r="AQ840" s="1531">
        <f t="shared" si="564"/>
        <v>0</v>
      </c>
      <c r="AR840" s="1531">
        <f t="shared" si="564"/>
        <v>0</v>
      </c>
      <c r="AS840" s="1535">
        <f t="shared" si="564"/>
        <v>731.30000000000007</v>
      </c>
      <c r="AT840" s="1531">
        <f t="shared" si="564"/>
        <v>0</v>
      </c>
      <c r="AU840" s="1531">
        <f t="shared" si="564"/>
        <v>0</v>
      </c>
      <c r="AV840" s="1531">
        <f t="shared" si="564"/>
        <v>0</v>
      </c>
      <c r="AW840" s="1535">
        <f t="shared" si="564"/>
        <v>731.30000000000007</v>
      </c>
      <c r="AX840" s="1531">
        <f t="shared" si="564"/>
        <v>0</v>
      </c>
      <c r="AY840" s="1531">
        <f t="shared" si="564"/>
        <v>0</v>
      </c>
      <c r="AZ840" s="1531">
        <f t="shared" si="564"/>
        <v>0</v>
      </c>
      <c r="BA840" s="1538">
        <f t="shared" si="564"/>
        <v>731.30000000000007</v>
      </c>
      <c r="BB840" s="1531">
        <f t="shared" si="564"/>
        <v>0</v>
      </c>
      <c r="BC840" s="1531">
        <f t="shared" si="564"/>
        <v>0</v>
      </c>
      <c r="BD840" s="1531">
        <f t="shared" si="564"/>
        <v>0</v>
      </c>
      <c r="BE840" s="1539">
        <f t="shared" si="564"/>
        <v>736.30000000000007</v>
      </c>
      <c r="BF840" s="1531">
        <f t="shared" si="564"/>
        <v>0</v>
      </c>
      <c r="BG840" s="1531">
        <f t="shared" si="564"/>
        <v>0</v>
      </c>
      <c r="BH840" s="1531">
        <f t="shared" si="564"/>
        <v>0</v>
      </c>
      <c r="BI840" s="1538">
        <f t="shared" si="564"/>
        <v>230.12100000000001</v>
      </c>
      <c r="BJ840" s="1531">
        <f t="shared" si="564"/>
        <v>0</v>
      </c>
      <c r="BK840" s="1531">
        <f t="shared" si="564"/>
        <v>0</v>
      </c>
      <c r="BL840" s="1531">
        <f t="shared" si="564"/>
        <v>0</v>
      </c>
      <c r="BM840" s="1538">
        <f t="shared" si="564"/>
        <v>2093.779</v>
      </c>
      <c r="BN840" s="1531">
        <f t="shared" si="564"/>
        <v>0</v>
      </c>
      <c r="BO840" s="1531">
        <f t="shared" si="564"/>
        <v>0</v>
      </c>
      <c r="BP840" s="1531">
        <f t="shared" si="564"/>
        <v>0</v>
      </c>
      <c r="BQ840" s="1538">
        <f t="shared" si="564"/>
        <v>766.35</v>
      </c>
      <c r="BR840" s="1531">
        <f t="shared" si="564"/>
        <v>0</v>
      </c>
      <c r="BS840" s="1531">
        <f t="shared" si="564"/>
        <v>0</v>
      </c>
      <c r="BT840" s="1531">
        <f t="shared" si="564"/>
        <v>300</v>
      </c>
      <c r="BU840" s="1538">
        <f t="shared" si="564"/>
        <v>709.4</v>
      </c>
      <c r="BV840" s="1531">
        <f t="shared" si="564"/>
        <v>0</v>
      </c>
      <c r="BW840" s="1531">
        <f t="shared" si="564"/>
        <v>0</v>
      </c>
      <c r="BX840" s="1531">
        <f t="shared" si="564"/>
        <v>0</v>
      </c>
      <c r="BY840" s="1538">
        <f t="shared" si="564"/>
        <v>233.89000000000001</v>
      </c>
      <c r="BZ840" s="1531">
        <f t="shared" si="564"/>
        <v>0</v>
      </c>
      <c r="CA840" s="1531">
        <f t="shared" si="564"/>
        <v>0</v>
      </c>
      <c r="CB840" s="1531">
        <f t="shared" si="564"/>
        <v>0</v>
      </c>
      <c r="CC840" s="1538">
        <f t="shared" si="564"/>
        <v>1593.7299999999998</v>
      </c>
      <c r="CD840" s="1531">
        <f t="shared" si="564"/>
        <v>0</v>
      </c>
      <c r="CE840" s="1531">
        <f t="shared" si="564"/>
        <v>0</v>
      </c>
      <c r="CF840" s="1531">
        <f t="shared" si="564"/>
        <v>0</v>
      </c>
      <c r="CG840" s="1705"/>
      <c r="CH840" s="1641">
        <f t="shared" si="543"/>
        <v>319.63</v>
      </c>
      <c r="CI840" s="1641">
        <f t="shared" si="543"/>
        <v>0</v>
      </c>
      <c r="CJ840" s="1641">
        <f t="shared" si="543"/>
        <v>0</v>
      </c>
      <c r="CK840" s="1641">
        <f t="shared" si="543"/>
        <v>0</v>
      </c>
      <c r="CL840" s="1902">
        <v>319.63</v>
      </c>
      <c r="CM840" s="1902">
        <v>0</v>
      </c>
      <c r="CN840" s="1889">
        <v>0</v>
      </c>
      <c r="CO840" s="1902">
        <v>0</v>
      </c>
      <c r="CP840" s="1538">
        <f>CP841+CP842+CP843+CP844+CP845+CP846+CP847+CP848+CP849+CP850+CP851+CP852+CP853</f>
        <v>0</v>
      </c>
      <c r="CQ840" s="1531">
        <f>CQ841+CQ842+CQ843+CQ844+CQ845+CQ846+CQ847+CQ848+CQ849+CQ850+CQ851+CQ852+CQ853</f>
        <v>0</v>
      </c>
      <c r="CR840" s="1531">
        <f>CR841+CR842+CR843+CR844+CR845+CR846+CR847+CR848+CR849+CR850+CR851+CR852+CR853</f>
        <v>0</v>
      </c>
      <c r="CS840" s="1531">
        <f>CS841+CS842+CS843+CS844+CS845+CS846+CS847+CS848+CS849+CS850+CS851+CS852+CS853</f>
        <v>0</v>
      </c>
    </row>
    <row r="841" spans="1:113" ht="15" thickBot="1" x14ac:dyDescent="0.2">
      <c r="A841" s="1541" t="s">
        <v>78</v>
      </c>
      <c r="B841" s="1523" t="s">
        <v>79</v>
      </c>
      <c r="C841" s="1523" t="s">
        <v>80</v>
      </c>
      <c r="D841" s="1523" t="s">
        <v>125</v>
      </c>
      <c r="E841" s="1523" t="s">
        <v>216</v>
      </c>
      <c r="F841" s="1523"/>
      <c r="G841" s="1667">
        <v>211</v>
      </c>
      <c r="H841" s="1502">
        <f>6740.5+468</f>
        <v>7208.5</v>
      </c>
      <c r="I841" s="1502"/>
      <c r="J841" s="1630"/>
      <c r="K841" s="1630"/>
      <c r="L841" s="1631"/>
      <c r="M841" s="1631"/>
      <c r="N841" s="1631"/>
      <c r="O841" s="1631"/>
      <c r="P841" s="1631"/>
      <c r="Q841" s="1631"/>
      <c r="R841" s="1631"/>
      <c r="S841" s="1631"/>
      <c r="T841" s="1632"/>
      <c r="U841" s="1633"/>
      <c r="V841" s="1633"/>
      <c r="W841" s="1634">
        <f>H841/12</f>
        <v>600.70833333333337</v>
      </c>
      <c r="X841" s="1634">
        <f>AO841</f>
        <v>561.70000000000005</v>
      </c>
      <c r="Y841" s="1634">
        <f>CC841</f>
        <v>1243.1599999999999</v>
      </c>
      <c r="Z841" s="1635">
        <v>812.56</v>
      </c>
      <c r="AA841" s="1634">
        <f t="shared" si="562"/>
        <v>-812.56</v>
      </c>
      <c r="AB841" s="1511">
        <f>AI841</f>
        <v>0</v>
      </c>
      <c r="AC841" s="1508">
        <f t="shared" ref="AC841:AC853" si="565">AO841+AS841+AW841+BA841+BE841+BI841+BM841+BQ841+BU841+BY841+CC841+CH841</f>
        <v>7208.5</v>
      </c>
      <c r="AD841" s="1509">
        <f t="shared" ref="AD841:AD853" si="566">AE841+AF841+AG841</f>
        <v>0</v>
      </c>
      <c r="AE841" s="1509">
        <f t="shared" ref="AE841:AG853" si="567">AP841+AT841+AX841+BB841+BF841+BJ841+BN841+BR841+BV841+BZ841+CD841+CI841</f>
        <v>0</v>
      </c>
      <c r="AF841" s="1509">
        <f t="shared" si="567"/>
        <v>0</v>
      </c>
      <c r="AG841" s="1509">
        <f t="shared" si="567"/>
        <v>0</v>
      </c>
      <c r="AH841" s="1490">
        <f t="shared" si="533"/>
        <v>192.25</v>
      </c>
      <c r="AI841" s="1636">
        <f t="shared" ref="AI841:AI853" si="568">H841-AC841</f>
        <v>0</v>
      </c>
      <c r="AJ841" s="1636">
        <f t="shared" ref="AJ841:AJ853" si="569">AK841+AL841+AM841</f>
        <v>0</v>
      </c>
      <c r="AK841" s="1636">
        <f t="shared" ref="AK841:AK853" si="570">I841-AE841</f>
        <v>0</v>
      </c>
      <c r="AL841" s="1636">
        <f t="shared" si="554"/>
        <v>0</v>
      </c>
      <c r="AM841" s="1636">
        <f t="shared" si="554"/>
        <v>0</v>
      </c>
      <c r="AN841" s="1637">
        <f>AI841/4</f>
        <v>0</v>
      </c>
      <c r="AO841" s="1722">
        <v>561.70000000000005</v>
      </c>
      <c r="AP841" s="1638"/>
      <c r="AQ841" s="1638"/>
      <c r="AR841" s="1638"/>
      <c r="AS841" s="1963">
        <v>561.70000000000005</v>
      </c>
      <c r="AT841" s="1638"/>
      <c r="AU841" s="1638"/>
      <c r="AV841" s="1638"/>
      <c r="AW841" s="1722">
        <v>561.70000000000005</v>
      </c>
      <c r="AX841" s="1640"/>
      <c r="AY841" s="1640"/>
      <c r="AZ841" s="1640"/>
      <c r="BA841" s="1964">
        <v>561.70000000000005</v>
      </c>
      <c r="BB841" s="1640"/>
      <c r="BC841" s="1640"/>
      <c r="BD841" s="1640"/>
      <c r="BE841" s="1964">
        <v>561.70000000000005</v>
      </c>
      <c r="BF841" s="1640"/>
      <c r="BG841" s="1640"/>
      <c r="BH841" s="1640"/>
      <c r="BI841" s="1641">
        <f>180.121</f>
        <v>180.12100000000001</v>
      </c>
      <c r="BJ841" s="1640"/>
      <c r="BK841" s="1640"/>
      <c r="BL841" s="1640"/>
      <c r="BM841" s="1641">
        <f>381.579+1123.4</f>
        <v>1504.979</v>
      </c>
      <c r="BN841" s="1640"/>
      <c r="BO841" s="1640"/>
      <c r="BP841" s="1640"/>
      <c r="BQ841" s="1641">
        <v>561.70000000000005</v>
      </c>
      <c r="BR841" s="1640"/>
      <c r="BS841" s="1640"/>
      <c r="BT841" s="1640"/>
      <c r="BU841" s="1641">
        <v>538.29999999999995</v>
      </c>
      <c r="BV841" s="1640"/>
      <c r="BW841" s="1640"/>
      <c r="BX841" s="1640"/>
      <c r="BY841" s="1641">
        <f>161.49+18</f>
        <v>179.49</v>
      </c>
      <c r="BZ841" s="1640"/>
      <c r="CA841" s="1640"/>
      <c r="CB841" s="1640"/>
      <c r="CC841" s="1641">
        <f>430.6+812.56</f>
        <v>1243.1599999999999</v>
      </c>
      <c r="CD841" s="1640"/>
      <c r="CE841" s="1640"/>
      <c r="CF841" s="1640"/>
      <c r="CG841" s="1642"/>
      <c r="CH841" s="1641">
        <f t="shared" si="543"/>
        <v>192.25</v>
      </c>
      <c r="CI841" s="1641">
        <f t="shared" si="543"/>
        <v>0</v>
      </c>
      <c r="CJ841" s="1641">
        <f t="shared" si="543"/>
        <v>0</v>
      </c>
      <c r="CK841" s="1641">
        <f t="shared" si="543"/>
        <v>0</v>
      </c>
      <c r="CL841" s="1889">
        <v>192.25</v>
      </c>
      <c r="CM841" s="1889">
        <v>0</v>
      </c>
      <c r="CN841" s="1889">
        <v>0</v>
      </c>
      <c r="CO841" s="1889">
        <v>0</v>
      </c>
      <c r="CP841" s="1641"/>
      <c r="CQ841" s="1640"/>
      <c r="CR841" s="1640"/>
      <c r="CS841" s="1640"/>
      <c r="CX841" s="1558">
        <f>(6740.5/12*8+678.708*2)-AC841</f>
        <v>-1357.4173333333329</v>
      </c>
      <c r="CY841" s="1558">
        <f>AI841/3</f>
        <v>0</v>
      </c>
      <c r="CZ841" s="1558">
        <f>6740.5/12</f>
        <v>561.70833333333337</v>
      </c>
      <c r="DA841" s="1559">
        <f>468/4</f>
        <v>117</v>
      </c>
      <c r="DB841" s="1558">
        <f>SUM(CZ841:DA841)</f>
        <v>678.70833333333337</v>
      </c>
      <c r="DC841" s="1559">
        <f>CZ841*8</f>
        <v>4493.666666666667</v>
      </c>
      <c r="DD841">
        <f>DB841*2+DC841</f>
        <v>5851.0833333333339</v>
      </c>
      <c r="DE841" s="489">
        <f>DD841-AC841</f>
        <v>-1357.4166666666661</v>
      </c>
      <c r="DH841" s="489">
        <f>DE841-CX841</f>
        <v>6.6666666680248454E-4</v>
      </c>
      <c r="DI841">
        <f>DH841/2</f>
        <v>3.3333333340124227E-4</v>
      </c>
    </row>
    <row r="842" spans="1:113" ht="15" thickBot="1" x14ac:dyDescent="0.2">
      <c r="A842" s="1541" t="s">
        <v>103</v>
      </c>
      <c r="B842" s="1523" t="s">
        <v>79</v>
      </c>
      <c r="C842" s="1523" t="s">
        <v>80</v>
      </c>
      <c r="D842" s="1523" t="s">
        <v>125</v>
      </c>
      <c r="E842" s="1523" t="s">
        <v>216</v>
      </c>
      <c r="F842" s="1523"/>
      <c r="G842" s="1667">
        <v>212</v>
      </c>
      <c r="H842" s="1517"/>
      <c r="I842" s="1517"/>
      <c r="J842" s="1630"/>
      <c r="K842" s="1630"/>
      <c r="L842" s="1631"/>
      <c r="M842" s="1631"/>
      <c r="N842" s="1631"/>
      <c r="O842" s="1631"/>
      <c r="P842" s="1631"/>
      <c r="Q842" s="1631"/>
      <c r="R842" s="1631"/>
      <c r="S842" s="1631"/>
      <c r="T842" s="1632"/>
      <c r="U842" s="1633"/>
      <c r="V842" s="1633"/>
      <c r="W842" s="1634"/>
      <c r="X842" s="1634"/>
      <c r="Y842" s="1634">
        <f>CC842</f>
        <v>0</v>
      </c>
      <c r="Z842" s="1635">
        <f>AI842-X842</f>
        <v>0</v>
      </c>
      <c r="AA842" s="1634">
        <f t="shared" si="562"/>
        <v>0</v>
      </c>
      <c r="AB842" s="1511"/>
      <c r="AC842" s="1508">
        <f t="shared" si="565"/>
        <v>0</v>
      </c>
      <c r="AD842" s="1509">
        <f t="shared" si="566"/>
        <v>0</v>
      </c>
      <c r="AE842" s="1509">
        <f t="shared" si="567"/>
        <v>0</v>
      </c>
      <c r="AF842" s="1509">
        <f t="shared" si="567"/>
        <v>0</v>
      </c>
      <c r="AG842" s="1509">
        <f t="shared" si="567"/>
        <v>0</v>
      </c>
      <c r="AH842" s="1490">
        <f t="shared" si="533"/>
        <v>0</v>
      </c>
      <c r="AI842" s="1636">
        <f t="shared" si="568"/>
        <v>0</v>
      </c>
      <c r="AJ842" s="1636">
        <f t="shared" si="569"/>
        <v>0</v>
      </c>
      <c r="AK842" s="1636">
        <f t="shared" si="570"/>
        <v>0</v>
      </c>
      <c r="AL842" s="1636">
        <f t="shared" si="554"/>
        <v>0</v>
      </c>
      <c r="AM842" s="1636">
        <f t="shared" si="554"/>
        <v>0</v>
      </c>
      <c r="AN842" s="1637"/>
      <c r="AO842" s="1722">
        <v>0</v>
      </c>
      <c r="AP842" s="1638"/>
      <c r="AQ842" s="1638"/>
      <c r="AR842" s="1638"/>
      <c r="AS842" s="1963">
        <v>0</v>
      </c>
      <c r="AT842" s="1638"/>
      <c r="AU842" s="1638"/>
      <c r="AV842" s="1638"/>
      <c r="AW842" s="1722">
        <v>0</v>
      </c>
      <c r="AX842" s="1640"/>
      <c r="AY842" s="1640"/>
      <c r="AZ842" s="1640"/>
      <c r="BA842" s="1964">
        <v>0</v>
      </c>
      <c r="BB842" s="1640"/>
      <c r="BC842" s="1640"/>
      <c r="BD842" s="1640"/>
      <c r="BE842" s="1964">
        <v>0</v>
      </c>
      <c r="BF842" s="1640"/>
      <c r="BG842" s="1640"/>
      <c r="BH842" s="1640"/>
      <c r="BI842" s="1641"/>
      <c r="BJ842" s="1640"/>
      <c r="BK842" s="1640"/>
      <c r="BL842" s="1640"/>
      <c r="BM842" s="1641"/>
      <c r="BN842" s="1640"/>
      <c r="BO842" s="1640"/>
      <c r="BP842" s="1640"/>
      <c r="BQ842" s="1641"/>
      <c r="BR842" s="1640"/>
      <c r="BS842" s="1640"/>
      <c r="BT842" s="1640"/>
      <c r="BU842" s="1641"/>
      <c r="BV842" s="1640"/>
      <c r="BW842" s="1640"/>
      <c r="BX842" s="1640"/>
      <c r="BY842" s="1641"/>
      <c r="BZ842" s="1640"/>
      <c r="CA842" s="1640"/>
      <c r="CB842" s="1640"/>
      <c r="CC842" s="1641"/>
      <c r="CD842" s="1640"/>
      <c r="CE842" s="1640"/>
      <c r="CF842" s="1640"/>
      <c r="CG842" s="1642"/>
      <c r="CH842" s="1641">
        <f t="shared" si="543"/>
        <v>0</v>
      </c>
      <c r="CI842" s="1641">
        <f t="shared" si="543"/>
        <v>0</v>
      </c>
      <c r="CJ842" s="1641">
        <f t="shared" si="543"/>
        <v>0</v>
      </c>
      <c r="CK842" s="1641">
        <f t="shared" si="543"/>
        <v>0</v>
      </c>
      <c r="CL842" s="1889">
        <v>0</v>
      </c>
      <c r="CM842" s="1889">
        <v>0</v>
      </c>
      <c r="CN842" s="1889">
        <v>0</v>
      </c>
      <c r="CO842" s="1889">
        <v>0</v>
      </c>
      <c r="CP842" s="1641"/>
      <c r="CQ842" s="1640"/>
      <c r="CR842" s="1640"/>
      <c r="CS842" s="1640"/>
      <c r="CX842" s="1558"/>
      <c r="CY842" s="1558"/>
      <c r="CZ842" s="1558"/>
      <c r="DA842" s="1559"/>
      <c r="DB842" s="1558">
        <f>SUM(CZ842:DA842)</f>
        <v>0</v>
      </c>
      <c r="DC842" s="1559">
        <f>CZ842*8</f>
        <v>0</v>
      </c>
      <c r="DD842">
        <f>DB842*2+DC842</f>
        <v>0</v>
      </c>
      <c r="DE842" s="489">
        <f>DD842-AC842</f>
        <v>0</v>
      </c>
      <c r="DH842" s="489">
        <f>DE842-CX842</f>
        <v>0</v>
      </c>
      <c r="DI842">
        <f>DH842/2</f>
        <v>0</v>
      </c>
    </row>
    <row r="843" spans="1:113" ht="15" customHeight="1" thickBot="1" x14ac:dyDescent="0.2">
      <c r="A843" s="1541" t="s">
        <v>84</v>
      </c>
      <c r="B843" s="1523" t="s">
        <v>79</v>
      </c>
      <c r="C843" s="1523" t="s">
        <v>80</v>
      </c>
      <c r="D843" s="1523" t="s">
        <v>125</v>
      </c>
      <c r="E843" s="1523" t="s">
        <v>216</v>
      </c>
      <c r="F843" s="1523"/>
      <c r="G843" s="1667">
        <v>213</v>
      </c>
      <c r="H843" s="1502">
        <f>2035.6+141.3</f>
        <v>2176.9</v>
      </c>
      <c r="I843" s="1502"/>
      <c r="J843" s="1630"/>
      <c r="K843" s="1630"/>
      <c r="L843" s="1631"/>
      <c r="M843" s="1631"/>
      <c r="N843" s="1631"/>
      <c r="O843" s="1631"/>
      <c r="P843" s="1631"/>
      <c r="Q843" s="1631"/>
      <c r="R843" s="1631"/>
      <c r="S843" s="1631"/>
      <c r="T843" s="1632"/>
      <c r="U843" s="1633"/>
      <c r="V843" s="1633"/>
      <c r="W843" s="1634">
        <f>H843/12</f>
        <v>181.40833333333333</v>
      </c>
      <c r="X843" s="1634">
        <f>AO843</f>
        <v>169.6</v>
      </c>
      <c r="Y843" s="1634">
        <f>CC843</f>
        <v>350.57</v>
      </c>
      <c r="Z843" s="1635">
        <v>350.57</v>
      </c>
      <c r="AA843" s="1634">
        <f t="shared" si="562"/>
        <v>-350.57</v>
      </c>
      <c r="AB843" s="1511">
        <f>AI843</f>
        <v>0</v>
      </c>
      <c r="AC843" s="1508">
        <f t="shared" si="565"/>
        <v>2176.8999999999996</v>
      </c>
      <c r="AD843" s="1509">
        <f t="shared" si="566"/>
        <v>0</v>
      </c>
      <c r="AE843" s="1509">
        <f t="shared" si="567"/>
        <v>0</v>
      </c>
      <c r="AF843" s="1509">
        <f t="shared" si="567"/>
        <v>0</v>
      </c>
      <c r="AG843" s="1509">
        <f t="shared" si="567"/>
        <v>0</v>
      </c>
      <c r="AH843" s="1490">
        <f t="shared" si="533"/>
        <v>82.93</v>
      </c>
      <c r="AI843" s="1636">
        <f t="shared" si="568"/>
        <v>0</v>
      </c>
      <c r="AJ843" s="1636">
        <f t="shared" si="569"/>
        <v>0</v>
      </c>
      <c r="AK843" s="1636">
        <f t="shared" si="570"/>
        <v>0</v>
      </c>
      <c r="AL843" s="1636">
        <f t="shared" si="554"/>
        <v>0</v>
      </c>
      <c r="AM843" s="1636">
        <f t="shared" si="554"/>
        <v>0</v>
      </c>
      <c r="AN843" s="1637">
        <f>AI843/4</f>
        <v>0</v>
      </c>
      <c r="AO843" s="1722">
        <v>169.6</v>
      </c>
      <c r="AP843" s="1638"/>
      <c r="AQ843" s="1638"/>
      <c r="AR843" s="1638"/>
      <c r="AS843" s="1963">
        <v>169.6</v>
      </c>
      <c r="AT843" s="1638"/>
      <c r="AU843" s="1638"/>
      <c r="AV843" s="1638"/>
      <c r="AW843" s="1722">
        <v>169.6</v>
      </c>
      <c r="AX843" s="1640"/>
      <c r="AY843" s="1640"/>
      <c r="AZ843" s="1640"/>
      <c r="BA843" s="1964">
        <v>169.6</v>
      </c>
      <c r="BB843" s="1640"/>
      <c r="BC843" s="1640"/>
      <c r="BD843" s="1640"/>
      <c r="BE843" s="1964">
        <v>169.6</v>
      </c>
      <c r="BF843" s="1640"/>
      <c r="BG843" s="1640"/>
      <c r="BH843" s="1640"/>
      <c r="BI843" s="1641"/>
      <c r="BJ843" s="1640"/>
      <c r="BK843" s="1640"/>
      <c r="BL843" s="1640"/>
      <c r="BM843" s="1641">
        <f>169.6+339.2</f>
        <v>508.79999999999995</v>
      </c>
      <c r="BN843" s="1640"/>
      <c r="BO843" s="1640"/>
      <c r="BP843" s="1640"/>
      <c r="BQ843" s="1641">
        <v>169.6</v>
      </c>
      <c r="BR843" s="1640"/>
      <c r="BS843" s="1640"/>
      <c r="BT843" s="1640"/>
      <c r="BU843" s="1641">
        <v>162.6</v>
      </c>
      <c r="BV843" s="1640"/>
      <c r="BW843" s="1640"/>
      <c r="BX843" s="1640"/>
      <c r="BY843" s="1641">
        <v>54.4</v>
      </c>
      <c r="BZ843" s="1640"/>
      <c r="CA843" s="1640"/>
      <c r="CB843" s="1640"/>
      <c r="CC843" s="1641">
        <v>350.57</v>
      </c>
      <c r="CD843" s="1640"/>
      <c r="CE843" s="1640"/>
      <c r="CF843" s="1640"/>
      <c r="CG843" s="1642"/>
      <c r="CH843" s="1641">
        <f t="shared" si="543"/>
        <v>82.93</v>
      </c>
      <c r="CI843" s="1641">
        <f t="shared" si="543"/>
        <v>0</v>
      </c>
      <c r="CJ843" s="1641">
        <f t="shared" si="543"/>
        <v>0</v>
      </c>
      <c r="CK843" s="1641">
        <f t="shared" si="543"/>
        <v>0</v>
      </c>
      <c r="CL843" s="1889">
        <v>82.93</v>
      </c>
      <c r="CM843" s="1889">
        <v>0</v>
      </c>
      <c r="CN843" s="1889">
        <v>0</v>
      </c>
      <c r="CO843" s="1889">
        <v>0</v>
      </c>
      <c r="CP843" s="1641"/>
      <c r="CQ843" s="1640"/>
      <c r="CR843" s="1640"/>
      <c r="CS843" s="1640"/>
      <c r="CX843" s="1558">
        <f>(2035.6/12*8+204.958*2)-AC843</f>
        <v>-409.91733333333309</v>
      </c>
      <c r="CY843" s="1558">
        <f>AI843/3</f>
        <v>0</v>
      </c>
      <c r="CZ843" s="1558">
        <f>2035.6/12</f>
        <v>169.63333333333333</v>
      </c>
      <c r="DA843" s="1559">
        <f>141.3/4</f>
        <v>35.325000000000003</v>
      </c>
      <c r="DB843" s="1558">
        <f>SUM(CZ843:DA843)</f>
        <v>204.95833333333331</v>
      </c>
      <c r="DC843" s="1559">
        <f>CZ843*8</f>
        <v>1357.0666666666666</v>
      </c>
      <c r="DD843">
        <f>DB843*2+DC843</f>
        <v>1766.9833333333331</v>
      </c>
      <c r="DE843" s="489">
        <f>DD843-AC843</f>
        <v>-409.91666666666652</v>
      </c>
      <c r="DH843" s="489">
        <f>DE843-CX843</f>
        <v>6.6666666657511087E-4</v>
      </c>
      <c r="DI843">
        <f>DH843/2</f>
        <v>3.3333333328755543E-4</v>
      </c>
    </row>
    <row r="844" spans="1:113" ht="15" thickBot="1" x14ac:dyDescent="0.2">
      <c r="A844" s="1541" t="s">
        <v>85</v>
      </c>
      <c r="B844" s="1523" t="s">
        <v>79</v>
      </c>
      <c r="C844" s="1523" t="s">
        <v>80</v>
      </c>
      <c r="D844" s="1523" t="s">
        <v>125</v>
      </c>
      <c r="E844" s="1523" t="s">
        <v>216</v>
      </c>
      <c r="F844" s="1523"/>
      <c r="G844" s="1667">
        <v>221</v>
      </c>
      <c r="H844" s="1502"/>
      <c r="I844" s="1502"/>
      <c r="J844" s="1630"/>
      <c r="K844" s="1630"/>
      <c r="L844" s="1631"/>
      <c r="M844" s="1631"/>
      <c r="N844" s="1631"/>
      <c r="O844" s="1631"/>
      <c r="P844" s="1631"/>
      <c r="Q844" s="1631"/>
      <c r="R844" s="1631"/>
      <c r="S844" s="1631"/>
      <c r="T844" s="1632"/>
      <c r="U844" s="1633"/>
      <c r="V844" s="1633"/>
      <c r="W844" s="1634"/>
      <c r="X844" s="1634"/>
      <c r="Y844" s="1634"/>
      <c r="Z844" s="1635"/>
      <c r="AA844" s="1634">
        <f t="shared" si="562"/>
        <v>0</v>
      </c>
      <c r="AB844" s="1634"/>
      <c r="AC844" s="1508">
        <f t="shared" si="565"/>
        <v>0</v>
      </c>
      <c r="AD844" s="1509">
        <f t="shared" si="566"/>
        <v>0</v>
      </c>
      <c r="AE844" s="1509">
        <f t="shared" si="567"/>
        <v>0</v>
      </c>
      <c r="AF844" s="1509">
        <f t="shared" si="567"/>
        <v>0</v>
      </c>
      <c r="AG844" s="1509">
        <f t="shared" si="567"/>
        <v>0</v>
      </c>
      <c r="AH844" s="1490">
        <f t="shared" si="533"/>
        <v>0</v>
      </c>
      <c r="AI844" s="1636">
        <f t="shared" si="568"/>
        <v>0</v>
      </c>
      <c r="AJ844" s="1636">
        <f t="shared" si="569"/>
        <v>0</v>
      </c>
      <c r="AK844" s="1636">
        <f t="shared" si="570"/>
        <v>0</v>
      </c>
      <c r="AL844" s="1636">
        <f t="shared" si="554"/>
        <v>0</v>
      </c>
      <c r="AM844" s="1636">
        <f t="shared" si="554"/>
        <v>0</v>
      </c>
      <c r="AN844" s="1637"/>
      <c r="AO844" s="1722">
        <v>0</v>
      </c>
      <c r="AP844" s="1638"/>
      <c r="AQ844" s="1638"/>
      <c r="AR844" s="1638"/>
      <c r="AS844" s="1963">
        <v>0</v>
      </c>
      <c r="AT844" s="1638"/>
      <c r="AU844" s="1638"/>
      <c r="AV844" s="1638"/>
      <c r="AW844" s="1639"/>
      <c r="AX844" s="1640"/>
      <c r="AY844" s="1640"/>
      <c r="AZ844" s="1640"/>
      <c r="BA844" s="1641"/>
      <c r="BB844" s="1640"/>
      <c r="BC844" s="1640"/>
      <c r="BD844" s="1640"/>
      <c r="BE844" s="1644"/>
      <c r="BF844" s="1640"/>
      <c r="BG844" s="1640"/>
      <c r="BH844" s="1640"/>
      <c r="BI844" s="1641"/>
      <c r="BJ844" s="1640"/>
      <c r="BK844" s="1640"/>
      <c r="BL844" s="1640"/>
      <c r="BM844" s="1641"/>
      <c r="BN844" s="1640"/>
      <c r="BO844" s="1640"/>
      <c r="BP844" s="1640"/>
      <c r="BQ844" s="1641"/>
      <c r="BR844" s="1640"/>
      <c r="BS844" s="1640"/>
      <c r="BT844" s="1640"/>
      <c r="BU844" s="1641"/>
      <c r="BV844" s="1640"/>
      <c r="BW844" s="1640"/>
      <c r="BX844" s="1640"/>
      <c r="BY844" s="1641"/>
      <c r="BZ844" s="1640"/>
      <c r="CA844" s="1640"/>
      <c r="CB844" s="1640"/>
      <c r="CC844" s="1641"/>
      <c r="CD844" s="1640"/>
      <c r="CE844" s="1640"/>
      <c r="CF844" s="1640"/>
      <c r="CG844" s="1642"/>
      <c r="CH844" s="1641">
        <f t="shared" si="543"/>
        <v>0</v>
      </c>
      <c r="CI844" s="1641">
        <f t="shared" si="543"/>
        <v>0</v>
      </c>
      <c r="CJ844" s="1641">
        <f t="shared" si="543"/>
        <v>0</v>
      </c>
      <c r="CK844" s="1641">
        <f t="shared" si="543"/>
        <v>0</v>
      </c>
      <c r="CL844" s="1889">
        <v>0</v>
      </c>
      <c r="CM844" s="1889">
        <v>0</v>
      </c>
      <c r="CN844" s="1889">
        <v>0</v>
      </c>
      <c r="CO844" s="1889">
        <v>0</v>
      </c>
      <c r="CP844" s="1641"/>
      <c r="CQ844" s="1640"/>
      <c r="CR844" s="1640"/>
      <c r="CS844" s="1640"/>
    </row>
    <row r="845" spans="1:113" ht="15" thickBot="1" x14ac:dyDescent="0.2">
      <c r="A845" s="1541" t="s">
        <v>86</v>
      </c>
      <c r="B845" s="1523" t="s">
        <v>79</v>
      </c>
      <c r="C845" s="1523" t="s">
        <v>80</v>
      </c>
      <c r="D845" s="1523" t="s">
        <v>125</v>
      </c>
      <c r="E845" s="1523" t="s">
        <v>216</v>
      </c>
      <c r="F845" s="1523"/>
      <c r="G845" s="1667">
        <v>222</v>
      </c>
      <c r="H845" s="1502"/>
      <c r="I845" s="1502"/>
      <c r="J845" s="1630"/>
      <c r="K845" s="1630"/>
      <c r="L845" s="1631"/>
      <c r="M845" s="1631"/>
      <c r="N845" s="1631"/>
      <c r="O845" s="1631"/>
      <c r="P845" s="1631"/>
      <c r="Q845" s="1631"/>
      <c r="R845" s="1631"/>
      <c r="S845" s="1631"/>
      <c r="T845" s="1632"/>
      <c r="U845" s="1633"/>
      <c r="V845" s="1633"/>
      <c r="W845" s="1634"/>
      <c r="X845" s="1634"/>
      <c r="Y845" s="1634"/>
      <c r="Z845" s="1635"/>
      <c r="AA845" s="1634">
        <f t="shared" si="562"/>
        <v>0</v>
      </c>
      <c r="AB845" s="1634"/>
      <c r="AC845" s="1508">
        <f t="shared" si="565"/>
        <v>0</v>
      </c>
      <c r="AD845" s="1509">
        <f t="shared" si="566"/>
        <v>0</v>
      </c>
      <c r="AE845" s="1509">
        <f t="shared" si="567"/>
        <v>0</v>
      </c>
      <c r="AF845" s="1509">
        <f t="shared" si="567"/>
        <v>0</v>
      </c>
      <c r="AG845" s="1509">
        <f t="shared" si="567"/>
        <v>0</v>
      </c>
      <c r="AH845" s="1490">
        <f t="shared" si="533"/>
        <v>0</v>
      </c>
      <c r="AI845" s="1636">
        <f t="shared" si="568"/>
        <v>0</v>
      </c>
      <c r="AJ845" s="1636">
        <f t="shared" si="569"/>
        <v>0</v>
      </c>
      <c r="AK845" s="1636">
        <f t="shared" si="570"/>
        <v>0</v>
      </c>
      <c r="AL845" s="1636">
        <f t="shared" si="554"/>
        <v>0</v>
      </c>
      <c r="AM845" s="1636">
        <f t="shared" si="554"/>
        <v>0</v>
      </c>
      <c r="AN845" s="1637"/>
      <c r="AO845" s="1722">
        <v>0</v>
      </c>
      <c r="AP845" s="1638"/>
      <c r="AQ845" s="1638"/>
      <c r="AR845" s="1638"/>
      <c r="AS845" s="1963">
        <v>0</v>
      </c>
      <c r="AT845" s="1638"/>
      <c r="AU845" s="1638"/>
      <c r="AV845" s="1638"/>
      <c r="AW845" s="1639"/>
      <c r="AX845" s="1640"/>
      <c r="AY845" s="1640"/>
      <c r="AZ845" s="1640"/>
      <c r="BA845" s="1641"/>
      <c r="BB845" s="1640"/>
      <c r="BC845" s="1640"/>
      <c r="BD845" s="1640"/>
      <c r="BE845" s="1644"/>
      <c r="BF845" s="1640"/>
      <c r="BG845" s="1640"/>
      <c r="BH845" s="1640"/>
      <c r="BI845" s="1641"/>
      <c r="BJ845" s="1640"/>
      <c r="BK845" s="1640"/>
      <c r="BL845" s="1640"/>
      <c r="BM845" s="1641"/>
      <c r="BN845" s="1640"/>
      <c r="BO845" s="1640"/>
      <c r="BP845" s="1640"/>
      <c r="BQ845" s="1641"/>
      <c r="BR845" s="1640"/>
      <c r="BS845" s="1640"/>
      <c r="BT845" s="1640"/>
      <c r="BU845" s="1641"/>
      <c r="BV845" s="1640"/>
      <c r="BW845" s="1640"/>
      <c r="BX845" s="1640"/>
      <c r="BY845" s="1641"/>
      <c r="BZ845" s="1640"/>
      <c r="CA845" s="1640"/>
      <c r="CB845" s="1640"/>
      <c r="CC845" s="1641"/>
      <c r="CD845" s="1640"/>
      <c r="CE845" s="1640"/>
      <c r="CF845" s="1640"/>
      <c r="CG845" s="1642"/>
      <c r="CH845" s="1641">
        <f t="shared" si="543"/>
        <v>0</v>
      </c>
      <c r="CI845" s="1641">
        <f t="shared" si="543"/>
        <v>0</v>
      </c>
      <c r="CJ845" s="1641">
        <f t="shared" si="543"/>
        <v>0</v>
      </c>
      <c r="CK845" s="1641">
        <f t="shared" si="543"/>
        <v>0</v>
      </c>
      <c r="CL845" s="1889">
        <v>0</v>
      </c>
      <c r="CM845" s="1889">
        <v>0</v>
      </c>
      <c r="CN845" s="1889">
        <v>0</v>
      </c>
      <c r="CO845" s="1889">
        <v>0</v>
      </c>
      <c r="CP845" s="1641"/>
      <c r="CQ845" s="1640"/>
      <c r="CR845" s="1640"/>
      <c r="CS845" s="1640"/>
    </row>
    <row r="846" spans="1:113" ht="15" thickBot="1" x14ac:dyDescent="0.2">
      <c r="A846" s="1541" t="s">
        <v>87</v>
      </c>
      <c r="B846" s="1523" t="s">
        <v>79</v>
      </c>
      <c r="C846" s="1523" t="s">
        <v>80</v>
      </c>
      <c r="D846" s="1523" t="s">
        <v>125</v>
      </c>
      <c r="E846" s="1523" t="s">
        <v>216</v>
      </c>
      <c r="F846" s="1523"/>
      <c r="G846" s="1667">
        <v>223</v>
      </c>
      <c r="H846" s="1502"/>
      <c r="I846" s="1502"/>
      <c r="J846" s="1630"/>
      <c r="K846" s="1630"/>
      <c r="L846" s="1631"/>
      <c r="M846" s="1631"/>
      <c r="N846" s="1631"/>
      <c r="O846" s="1631"/>
      <c r="P846" s="1631"/>
      <c r="Q846" s="1631"/>
      <c r="R846" s="1631"/>
      <c r="S846" s="1631"/>
      <c r="T846" s="1632"/>
      <c r="U846" s="1633"/>
      <c r="V846" s="1633"/>
      <c r="W846" s="1634"/>
      <c r="X846" s="1634"/>
      <c r="Y846" s="1634"/>
      <c r="Z846" s="1635"/>
      <c r="AA846" s="1634">
        <f t="shared" si="562"/>
        <v>0</v>
      </c>
      <c r="AB846" s="1634"/>
      <c r="AC846" s="1508">
        <f t="shared" si="565"/>
        <v>0</v>
      </c>
      <c r="AD846" s="1509">
        <f t="shared" si="566"/>
        <v>0</v>
      </c>
      <c r="AE846" s="1509">
        <f t="shared" si="567"/>
        <v>0</v>
      </c>
      <c r="AF846" s="1509">
        <f t="shared" si="567"/>
        <v>0</v>
      </c>
      <c r="AG846" s="1509">
        <f t="shared" si="567"/>
        <v>0</v>
      </c>
      <c r="AH846" s="1490">
        <f t="shared" si="533"/>
        <v>0</v>
      </c>
      <c r="AI846" s="1636">
        <f t="shared" si="568"/>
        <v>0</v>
      </c>
      <c r="AJ846" s="1636">
        <f t="shared" si="569"/>
        <v>0</v>
      </c>
      <c r="AK846" s="1636">
        <f t="shared" si="570"/>
        <v>0</v>
      </c>
      <c r="AL846" s="1636">
        <f t="shared" si="554"/>
        <v>0</v>
      </c>
      <c r="AM846" s="1636">
        <f t="shared" si="554"/>
        <v>0</v>
      </c>
      <c r="AN846" s="1637"/>
      <c r="AO846" s="1722">
        <v>0</v>
      </c>
      <c r="AP846" s="1638"/>
      <c r="AQ846" s="1638"/>
      <c r="AR846" s="1638"/>
      <c r="AS846" s="1963">
        <v>0</v>
      </c>
      <c r="AT846" s="1638"/>
      <c r="AU846" s="1638"/>
      <c r="AV846" s="1638"/>
      <c r="AW846" s="1639"/>
      <c r="AX846" s="1640"/>
      <c r="AY846" s="1640"/>
      <c r="AZ846" s="1640"/>
      <c r="BA846" s="1641"/>
      <c r="BB846" s="1640"/>
      <c r="BC846" s="1640"/>
      <c r="BD846" s="1640"/>
      <c r="BE846" s="1644"/>
      <c r="BF846" s="1640"/>
      <c r="BG846" s="1640"/>
      <c r="BH846" s="1640"/>
      <c r="BI846" s="1641"/>
      <c r="BJ846" s="1640"/>
      <c r="BK846" s="1640"/>
      <c r="BL846" s="1640"/>
      <c r="BM846" s="1641"/>
      <c r="BN846" s="1640"/>
      <c r="BO846" s="1640"/>
      <c r="BP846" s="1640"/>
      <c r="BQ846" s="1641"/>
      <c r="BR846" s="1640"/>
      <c r="BS846" s="1640"/>
      <c r="BT846" s="1640"/>
      <c r="BU846" s="1641"/>
      <c r="BV846" s="1640"/>
      <c r="BW846" s="1640"/>
      <c r="BX846" s="1640"/>
      <c r="BY846" s="1641"/>
      <c r="BZ846" s="1640"/>
      <c r="CA846" s="1640"/>
      <c r="CB846" s="1640"/>
      <c r="CC846" s="1641"/>
      <c r="CD846" s="1640"/>
      <c r="CE846" s="1640"/>
      <c r="CF846" s="1640"/>
      <c r="CG846" s="1642"/>
      <c r="CH846" s="1641">
        <f t="shared" si="543"/>
        <v>0</v>
      </c>
      <c r="CI846" s="1641">
        <f t="shared" si="543"/>
        <v>0</v>
      </c>
      <c r="CJ846" s="1641">
        <f t="shared" si="543"/>
        <v>0</v>
      </c>
      <c r="CK846" s="1641">
        <f t="shared" si="543"/>
        <v>0</v>
      </c>
      <c r="CL846" s="1889">
        <v>0</v>
      </c>
      <c r="CM846" s="1889">
        <v>0</v>
      </c>
      <c r="CN846" s="1889">
        <v>0</v>
      </c>
      <c r="CO846" s="1889">
        <v>0</v>
      </c>
      <c r="CP846" s="1641"/>
      <c r="CQ846" s="1640"/>
      <c r="CR846" s="1640"/>
      <c r="CS846" s="1640"/>
    </row>
    <row r="847" spans="1:113" ht="15" thickBot="1" x14ac:dyDescent="0.2">
      <c r="A847" s="1541" t="s">
        <v>134</v>
      </c>
      <c r="B847" s="1523" t="s">
        <v>79</v>
      </c>
      <c r="C847" s="1523" t="s">
        <v>80</v>
      </c>
      <c r="D847" s="1523" t="s">
        <v>125</v>
      </c>
      <c r="E847" s="1523" t="s">
        <v>216</v>
      </c>
      <c r="F847" s="1523"/>
      <c r="G847" s="1667">
        <v>224</v>
      </c>
      <c r="H847" s="1502"/>
      <c r="I847" s="1502"/>
      <c r="J847" s="1630"/>
      <c r="K847" s="1630"/>
      <c r="L847" s="1631"/>
      <c r="M847" s="1631"/>
      <c r="N847" s="1631"/>
      <c r="O847" s="1631"/>
      <c r="P847" s="1631"/>
      <c r="Q847" s="1631"/>
      <c r="R847" s="1631"/>
      <c r="S847" s="1631"/>
      <c r="T847" s="1632"/>
      <c r="U847" s="1633"/>
      <c r="V847" s="1633"/>
      <c r="W847" s="1634"/>
      <c r="X847" s="1634"/>
      <c r="Y847" s="1634"/>
      <c r="Z847" s="1635"/>
      <c r="AA847" s="1634">
        <f t="shared" si="562"/>
        <v>0</v>
      </c>
      <c r="AB847" s="1634"/>
      <c r="AC847" s="1508">
        <f t="shared" si="565"/>
        <v>0</v>
      </c>
      <c r="AD847" s="1509">
        <f t="shared" si="566"/>
        <v>0</v>
      </c>
      <c r="AE847" s="1509">
        <f t="shared" si="567"/>
        <v>0</v>
      </c>
      <c r="AF847" s="1509">
        <f t="shared" si="567"/>
        <v>0</v>
      </c>
      <c r="AG847" s="1509">
        <f t="shared" si="567"/>
        <v>0</v>
      </c>
      <c r="AH847" s="1490">
        <f t="shared" si="533"/>
        <v>0</v>
      </c>
      <c r="AI847" s="1636">
        <f t="shared" si="568"/>
        <v>0</v>
      </c>
      <c r="AJ847" s="1636">
        <f t="shared" si="569"/>
        <v>0</v>
      </c>
      <c r="AK847" s="1636">
        <f t="shared" si="570"/>
        <v>0</v>
      </c>
      <c r="AL847" s="1636">
        <f t="shared" si="554"/>
        <v>0</v>
      </c>
      <c r="AM847" s="1636">
        <f t="shared" si="554"/>
        <v>0</v>
      </c>
      <c r="AN847" s="1637"/>
      <c r="AO847" s="1722">
        <v>0</v>
      </c>
      <c r="AP847" s="1638"/>
      <c r="AQ847" s="1638"/>
      <c r="AR847" s="1638"/>
      <c r="AS847" s="1963">
        <v>0</v>
      </c>
      <c r="AT847" s="1638"/>
      <c r="AU847" s="1638"/>
      <c r="AV847" s="1638"/>
      <c r="AW847" s="1639"/>
      <c r="AX847" s="1640"/>
      <c r="AY847" s="1640"/>
      <c r="AZ847" s="1640"/>
      <c r="BA847" s="1641"/>
      <c r="BB847" s="1640"/>
      <c r="BC847" s="1640"/>
      <c r="BD847" s="1640"/>
      <c r="BE847" s="1644"/>
      <c r="BF847" s="1640"/>
      <c r="BG847" s="1640"/>
      <c r="BH847" s="1640"/>
      <c r="BI847" s="1641"/>
      <c r="BJ847" s="1640"/>
      <c r="BK847" s="1640"/>
      <c r="BL847" s="1640"/>
      <c r="BM847" s="1641"/>
      <c r="BN847" s="1640"/>
      <c r="BO847" s="1640"/>
      <c r="BP847" s="1640"/>
      <c r="BQ847" s="1641"/>
      <c r="BR847" s="1640"/>
      <c r="BS847" s="1640"/>
      <c r="BT847" s="1640"/>
      <c r="BU847" s="1641"/>
      <c r="BV847" s="1640"/>
      <c r="BW847" s="1640"/>
      <c r="BX847" s="1640"/>
      <c r="BY847" s="1641"/>
      <c r="BZ847" s="1640"/>
      <c r="CA847" s="1640"/>
      <c r="CB847" s="1640"/>
      <c r="CC847" s="1641"/>
      <c r="CD847" s="1640"/>
      <c r="CE847" s="1640"/>
      <c r="CF847" s="1640"/>
      <c r="CG847" s="1642"/>
      <c r="CH847" s="1641">
        <f t="shared" si="543"/>
        <v>0</v>
      </c>
      <c r="CI847" s="1641">
        <f t="shared" si="543"/>
        <v>0</v>
      </c>
      <c r="CJ847" s="1641">
        <f t="shared" si="543"/>
        <v>0</v>
      </c>
      <c r="CK847" s="1641">
        <f t="shared" si="543"/>
        <v>0</v>
      </c>
      <c r="CL847" s="1889">
        <v>0</v>
      </c>
      <c r="CM847" s="1889">
        <v>0</v>
      </c>
      <c r="CN847" s="1889">
        <v>0</v>
      </c>
      <c r="CO847" s="1889">
        <v>0</v>
      </c>
      <c r="CP847" s="1641"/>
      <c r="CQ847" s="1640"/>
      <c r="CR847" s="1640"/>
      <c r="CS847" s="1640"/>
    </row>
    <row r="848" spans="1:113" ht="15" thickBot="1" x14ac:dyDescent="0.2">
      <c r="A848" s="1541" t="s">
        <v>90</v>
      </c>
      <c r="B848" s="1523" t="s">
        <v>79</v>
      </c>
      <c r="C848" s="1523" t="s">
        <v>80</v>
      </c>
      <c r="D848" s="1523" t="s">
        <v>125</v>
      </c>
      <c r="E848" s="1523" t="s">
        <v>216</v>
      </c>
      <c r="F848" s="1523"/>
      <c r="G848" s="1667">
        <v>225</v>
      </c>
      <c r="H848" s="1502"/>
      <c r="I848" s="1502"/>
      <c r="J848" s="1630"/>
      <c r="K848" s="1630"/>
      <c r="L848" s="1631"/>
      <c r="M848" s="1631"/>
      <c r="N848" s="1631"/>
      <c r="O848" s="1631"/>
      <c r="P848" s="1631"/>
      <c r="Q848" s="1631"/>
      <c r="R848" s="1631"/>
      <c r="S848" s="1631"/>
      <c r="T848" s="1632"/>
      <c r="U848" s="1633"/>
      <c r="V848" s="1633"/>
      <c r="W848" s="1634"/>
      <c r="X848" s="1634"/>
      <c r="Y848" s="1634"/>
      <c r="Z848" s="1635"/>
      <c r="AA848" s="1634">
        <f t="shared" si="562"/>
        <v>0</v>
      </c>
      <c r="AB848" s="1634"/>
      <c r="AC848" s="1508">
        <f t="shared" si="565"/>
        <v>0</v>
      </c>
      <c r="AD848" s="1509">
        <f t="shared" si="566"/>
        <v>0</v>
      </c>
      <c r="AE848" s="1509">
        <f t="shared" si="567"/>
        <v>0</v>
      </c>
      <c r="AF848" s="1509">
        <f t="shared" si="567"/>
        <v>0</v>
      </c>
      <c r="AG848" s="1509">
        <f t="shared" si="567"/>
        <v>0</v>
      </c>
      <c r="AH848" s="1490">
        <f t="shared" si="533"/>
        <v>0</v>
      </c>
      <c r="AI848" s="1636">
        <f t="shared" si="568"/>
        <v>0</v>
      </c>
      <c r="AJ848" s="1636">
        <f t="shared" si="569"/>
        <v>0</v>
      </c>
      <c r="AK848" s="1636">
        <f t="shared" si="570"/>
        <v>0</v>
      </c>
      <c r="AL848" s="1636">
        <f t="shared" si="554"/>
        <v>0</v>
      </c>
      <c r="AM848" s="1636">
        <f t="shared" si="554"/>
        <v>0</v>
      </c>
      <c r="AN848" s="1637"/>
      <c r="AO848" s="1723"/>
      <c r="AP848" s="1638"/>
      <c r="AQ848" s="1638"/>
      <c r="AR848" s="1638"/>
      <c r="AS848" s="1639"/>
      <c r="AT848" s="1638"/>
      <c r="AU848" s="1638"/>
      <c r="AV848" s="1638"/>
      <c r="AW848" s="1639"/>
      <c r="AX848" s="1640"/>
      <c r="AY848" s="1640"/>
      <c r="AZ848" s="1640"/>
      <c r="BA848" s="1641"/>
      <c r="BB848" s="1640"/>
      <c r="BC848" s="1640"/>
      <c r="BD848" s="1640"/>
      <c r="BE848" s="1644"/>
      <c r="BF848" s="1640"/>
      <c r="BG848" s="1640"/>
      <c r="BH848" s="1640"/>
      <c r="BI848" s="1641"/>
      <c r="BJ848" s="1640"/>
      <c r="BK848" s="1640"/>
      <c r="BL848" s="1640"/>
      <c r="BM848" s="1641"/>
      <c r="BN848" s="1640"/>
      <c r="BO848" s="1640"/>
      <c r="BP848" s="1640"/>
      <c r="BQ848" s="1641"/>
      <c r="BR848" s="1640"/>
      <c r="BS848" s="1640"/>
      <c r="BT848" s="1640"/>
      <c r="BU848" s="1641"/>
      <c r="BV848" s="1640"/>
      <c r="BW848" s="1640"/>
      <c r="BX848" s="1640"/>
      <c r="BY848" s="1641"/>
      <c r="BZ848" s="1640"/>
      <c r="CA848" s="1640"/>
      <c r="CB848" s="1640"/>
      <c r="CC848" s="1641"/>
      <c r="CD848" s="1640"/>
      <c r="CE848" s="1640"/>
      <c r="CF848" s="1640"/>
      <c r="CG848" s="1642"/>
      <c r="CH848" s="1641">
        <f t="shared" si="543"/>
        <v>0</v>
      </c>
      <c r="CI848" s="1641">
        <f t="shared" si="543"/>
        <v>0</v>
      </c>
      <c r="CJ848" s="1641">
        <f t="shared" si="543"/>
        <v>0</v>
      </c>
      <c r="CK848" s="1641">
        <f t="shared" si="543"/>
        <v>0</v>
      </c>
      <c r="CL848" s="1889">
        <v>0</v>
      </c>
      <c r="CM848" s="1889">
        <v>0</v>
      </c>
      <c r="CN848" s="1889">
        <v>0</v>
      </c>
      <c r="CO848" s="1889">
        <v>0</v>
      </c>
      <c r="CP848" s="1641"/>
      <c r="CQ848" s="1640"/>
      <c r="CR848" s="1640"/>
      <c r="CS848" s="1640"/>
    </row>
    <row r="849" spans="1:107" ht="15" thickBot="1" x14ac:dyDescent="0.2">
      <c r="A849" s="1541" t="s">
        <v>91</v>
      </c>
      <c r="B849" s="1523" t="s">
        <v>79</v>
      </c>
      <c r="C849" s="1523" t="s">
        <v>80</v>
      </c>
      <c r="D849" s="1523" t="s">
        <v>125</v>
      </c>
      <c r="E849" s="1523" t="s">
        <v>216</v>
      </c>
      <c r="F849" s="1523"/>
      <c r="G849" s="1667">
        <v>226</v>
      </c>
      <c r="H849" s="1502">
        <f>35</f>
        <v>35</v>
      </c>
      <c r="I849" s="1502"/>
      <c r="J849" s="1630"/>
      <c r="K849" s="1630"/>
      <c r="L849" s="1631"/>
      <c r="M849" s="1631"/>
      <c r="N849" s="1631"/>
      <c r="O849" s="1631"/>
      <c r="P849" s="1631"/>
      <c r="Q849" s="1631"/>
      <c r="R849" s="1631"/>
      <c r="S849" s="1631"/>
      <c r="T849" s="1632"/>
      <c r="U849" s="1633"/>
      <c r="V849" s="1633"/>
      <c r="W849" s="1634"/>
      <c r="X849" s="1634"/>
      <c r="Y849" s="1634"/>
      <c r="Z849" s="1635"/>
      <c r="AA849" s="1634">
        <f t="shared" si="562"/>
        <v>0</v>
      </c>
      <c r="AB849" s="1634"/>
      <c r="AC849" s="1508">
        <f t="shared" si="565"/>
        <v>35</v>
      </c>
      <c r="AD849" s="1509">
        <f t="shared" si="566"/>
        <v>0</v>
      </c>
      <c r="AE849" s="1509">
        <f t="shared" si="567"/>
        <v>0</v>
      </c>
      <c r="AF849" s="1509">
        <f t="shared" si="567"/>
        <v>0</v>
      </c>
      <c r="AG849" s="1509">
        <f t="shared" si="567"/>
        <v>0</v>
      </c>
      <c r="AH849" s="1490">
        <f t="shared" si="533"/>
        <v>0</v>
      </c>
      <c r="AI849" s="1636">
        <f t="shared" si="568"/>
        <v>0</v>
      </c>
      <c r="AJ849" s="1636">
        <f t="shared" si="569"/>
        <v>0</v>
      </c>
      <c r="AK849" s="1636">
        <f t="shared" si="570"/>
        <v>0</v>
      </c>
      <c r="AL849" s="1636">
        <f t="shared" si="554"/>
        <v>0</v>
      </c>
      <c r="AM849" s="1636">
        <f t="shared" si="554"/>
        <v>0</v>
      </c>
      <c r="AN849" s="1637"/>
      <c r="AO849" s="1723"/>
      <c r="AP849" s="1638"/>
      <c r="AQ849" s="1638"/>
      <c r="AR849" s="1638"/>
      <c r="AS849" s="1639"/>
      <c r="AT849" s="1638"/>
      <c r="AU849" s="1638"/>
      <c r="AV849" s="1638"/>
      <c r="AW849" s="1639"/>
      <c r="AX849" s="1640"/>
      <c r="AY849" s="1640"/>
      <c r="AZ849" s="1640"/>
      <c r="BA849" s="1641"/>
      <c r="BB849" s="1640"/>
      <c r="BC849" s="1640"/>
      <c r="BD849" s="1640"/>
      <c r="BE849" s="1644"/>
      <c r="BF849" s="1640"/>
      <c r="BG849" s="1640"/>
      <c r="BH849" s="1640"/>
      <c r="BI849" s="1641"/>
      <c r="BJ849" s="1640"/>
      <c r="BK849" s="1640"/>
      <c r="BL849" s="1640"/>
      <c r="BM849" s="1641"/>
      <c r="BN849" s="1640"/>
      <c r="BO849" s="1640"/>
      <c r="BP849" s="1640"/>
      <c r="BQ849" s="1641">
        <v>35</v>
      </c>
      <c r="BR849" s="1640"/>
      <c r="BS849" s="1640"/>
      <c r="BT849" s="1640"/>
      <c r="BU849" s="1641"/>
      <c r="BV849" s="1640"/>
      <c r="BW849" s="1640"/>
      <c r="BX849" s="1640"/>
      <c r="BY849" s="1641"/>
      <c r="BZ849" s="1640"/>
      <c r="CA849" s="1640"/>
      <c r="CB849" s="1640"/>
      <c r="CC849" s="1641"/>
      <c r="CD849" s="1640"/>
      <c r="CE849" s="1640"/>
      <c r="CF849" s="1640"/>
      <c r="CG849" s="1642"/>
      <c r="CH849" s="1641">
        <f t="shared" si="543"/>
        <v>0</v>
      </c>
      <c r="CI849" s="1641">
        <f t="shared" si="543"/>
        <v>0</v>
      </c>
      <c r="CJ849" s="1641">
        <f t="shared" si="543"/>
        <v>0</v>
      </c>
      <c r="CK849" s="1641">
        <f t="shared" si="543"/>
        <v>0</v>
      </c>
      <c r="CL849" s="1889">
        <v>0</v>
      </c>
      <c r="CM849" s="1889">
        <v>0</v>
      </c>
      <c r="CN849" s="1889">
        <v>0</v>
      </c>
      <c r="CO849" s="1889">
        <v>0</v>
      </c>
      <c r="CP849" s="1641"/>
      <c r="CQ849" s="1640"/>
      <c r="CR849" s="1640"/>
      <c r="CS849" s="1640"/>
    </row>
    <row r="850" spans="1:107" ht="15" thickBot="1" x14ac:dyDescent="0.2">
      <c r="A850" s="1541" t="s">
        <v>94</v>
      </c>
      <c r="B850" s="1523" t="s">
        <v>79</v>
      </c>
      <c r="C850" s="1523" t="s">
        <v>80</v>
      </c>
      <c r="D850" s="1523" t="s">
        <v>125</v>
      </c>
      <c r="E850" s="1523" t="s">
        <v>216</v>
      </c>
      <c r="F850" s="1523"/>
      <c r="G850" s="1667">
        <v>290</v>
      </c>
      <c r="H850" s="1502">
        <v>20</v>
      </c>
      <c r="I850" s="1502"/>
      <c r="J850" s="1630"/>
      <c r="K850" s="1630"/>
      <c r="L850" s="1631"/>
      <c r="M850" s="1631"/>
      <c r="N850" s="1631"/>
      <c r="O850" s="1631"/>
      <c r="P850" s="1631"/>
      <c r="Q850" s="1631"/>
      <c r="R850" s="1631"/>
      <c r="S850" s="1631"/>
      <c r="T850" s="1632"/>
      <c r="U850" s="1633"/>
      <c r="V850" s="1633"/>
      <c r="W850" s="1634"/>
      <c r="X850" s="1634"/>
      <c r="Y850" s="1634"/>
      <c r="Z850" s="1635"/>
      <c r="AA850" s="1634">
        <f t="shared" si="562"/>
        <v>0</v>
      </c>
      <c r="AB850" s="1634"/>
      <c r="AC850" s="1508">
        <f t="shared" si="565"/>
        <v>20</v>
      </c>
      <c r="AD850" s="1509">
        <f t="shared" si="566"/>
        <v>0</v>
      </c>
      <c r="AE850" s="1509">
        <f t="shared" si="567"/>
        <v>0</v>
      </c>
      <c r="AF850" s="1509">
        <f t="shared" si="567"/>
        <v>0</v>
      </c>
      <c r="AG850" s="1509">
        <f t="shared" si="567"/>
        <v>0</v>
      </c>
      <c r="AH850" s="1490">
        <f t="shared" si="533"/>
        <v>4.75</v>
      </c>
      <c r="AI850" s="1636">
        <f t="shared" si="568"/>
        <v>0</v>
      </c>
      <c r="AJ850" s="1636">
        <f t="shared" si="569"/>
        <v>0</v>
      </c>
      <c r="AK850" s="1636">
        <f t="shared" si="570"/>
        <v>0</v>
      </c>
      <c r="AL850" s="1636">
        <f t="shared" si="554"/>
        <v>0</v>
      </c>
      <c r="AM850" s="1636">
        <f t="shared" si="554"/>
        <v>0</v>
      </c>
      <c r="AN850" s="1637"/>
      <c r="AO850" s="1722">
        <v>1.7</v>
      </c>
      <c r="AP850" s="1638"/>
      <c r="AQ850" s="1638"/>
      <c r="AR850" s="1638"/>
      <c r="AS850" s="1639"/>
      <c r="AT850" s="1638"/>
      <c r="AU850" s="1638"/>
      <c r="AV850" s="1638"/>
      <c r="AW850" s="1639"/>
      <c r="AX850" s="1640"/>
      <c r="AY850" s="1640"/>
      <c r="AZ850" s="1640"/>
      <c r="BA850" s="1641"/>
      <c r="BB850" s="1640"/>
      <c r="BC850" s="1640"/>
      <c r="BD850" s="1640"/>
      <c r="BE850" s="1644">
        <v>5</v>
      </c>
      <c r="BF850" s="1640"/>
      <c r="BG850" s="1640"/>
      <c r="BH850" s="1640"/>
      <c r="BI850" s="1641"/>
      <c r="BJ850" s="1640"/>
      <c r="BK850" s="1640"/>
      <c r="BL850" s="1640"/>
      <c r="BM850" s="1641"/>
      <c r="BN850" s="1640"/>
      <c r="BO850" s="1640"/>
      <c r="BP850" s="1640"/>
      <c r="BQ850" s="1641">
        <v>0.05</v>
      </c>
      <c r="BR850" s="1640"/>
      <c r="BS850" s="1640"/>
      <c r="BT850" s="1640"/>
      <c r="BU850" s="1641">
        <v>8.5</v>
      </c>
      <c r="BV850" s="1640"/>
      <c r="BW850" s="1640"/>
      <c r="BX850" s="1640"/>
      <c r="BY850" s="1641"/>
      <c r="BZ850" s="1640"/>
      <c r="CA850" s="1640"/>
      <c r="CB850" s="1640"/>
      <c r="CC850" s="1641"/>
      <c r="CD850" s="1640"/>
      <c r="CE850" s="1640"/>
      <c r="CF850" s="1640"/>
      <c r="CG850" s="1642"/>
      <c r="CH850" s="1641">
        <f t="shared" si="543"/>
        <v>4.75</v>
      </c>
      <c r="CI850" s="1641">
        <f t="shared" si="543"/>
        <v>0</v>
      </c>
      <c r="CJ850" s="1641">
        <f t="shared" si="543"/>
        <v>0</v>
      </c>
      <c r="CK850" s="1641">
        <f t="shared" si="543"/>
        <v>0</v>
      </c>
      <c r="CL850" s="1889">
        <v>4.75</v>
      </c>
      <c r="CM850" s="1889">
        <v>0</v>
      </c>
      <c r="CN850" s="1889">
        <v>0</v>
      </c>
      <c r="CO850" s="1889">
        <v>0</v>
      </c>
      <c r="CP850" s="1641"/>
      <c r="CQ850" s="1640"/>
      <c r="CR850" s="1640"/>
      <c r="CS850" s="1640"/>
    </row>
    <row r="851" spans="1:107" ht="15" thickBot="1" x14ac:dyDescent="0.2">
      <c r="A851" s="1541" t="s">
        <v>94</v>
      </c>
      <c r="B851" s="1523" t="s">
        <v>79</v>
      </c>
      <c r="C851" s="1523" t="s">
        <v>80</v>
      </c>
      <c r="D851" s="1523" t="s">
        <v>125</v>
      </c>
      <c r="E851" s="1523" t="s">
        <v>216</v>
      </c>
      <c r="F851" s="1523"/>
      <c r="G851" s="1667" t="s">
        <v>95</v>
      </c>
      <c r="H851" s="1502"/>
      <c r="I851" s="1502"/>
      <c r="J851" s="1630"/>
      <c r="K851" s="1630"/>
      <c r="L851" s="1631"/>
      <c r="M851" s="1631"/>
      <c r="N851" s="1631"/>
      <c r="O851" s="1631"/>
      <c r="P851" s="1631"/>
      <c r="Q851" s="1631"/>
      <c r="R851" s="1631"/>
      <c r="S851" s="1631"/>
      <c r="T851" s="1632"/>
      <c r="U851" s="1633"/>
      <c r="V851" s="1633"/>
      <c r="W851" s="1634"/>
      <c r="X851" s="1634"/>
      <c r="Y851" s="1634"/>
      <c r="Z851" s="1635"/>
      <c r="AA851" s="1634">
        <f t="shared" si="562"/>
        <v>0</v>
      </c>
      <c r="AB851" s="1634"/>
      <c r="AC851" s="1508">
        <f t="shared" si="565"/>
        <v>0</v>
      </c>
      <c r="AD851" s="1509">
        <f t="shared" si="566"/>
        <v>0</v>
      </c>
      <c r="AE851" s="1509">
        <f t="shared" si="567"/>
        <v>0</v>
      </c>
      <c r="AF851" s="1509">
        <f t="shared" si="567"/>
        <v>0</v>
      </c>
      <c r="AG851" s="1509">
        <f t="shared" si="567"/>
        <v>0</v>
      </c>
      <c r="AH851" s="1490">
        <f t="shared" si="533"/>
        <v>0</v>
      </c>
      <c r="AI851" s="1636">
        <f t="shared" si="568"/>
        <v>0</v>
      </c>
      <c r="AJ851" s="1636">
        <f t="shared" si="569"/>
        <v>0</v>
      </c>
      <c r="AK851" s="1636">
        <f t="shared" si="570"/>
        <v>0</v>
      </c>
      <c r="AL851" s="1636">
        <f t="shared" si="554"/>
        <v>0</v>
      </c>
      <c r="AM851" s="1636">
        <f t="shared" si="554"/>
        <v>0</v>
      </c>
      <c r="AN851" s="1637"/>
      <c r="AO851" s="1722">
        <v>0</v>
      </c>
      <c r="AP851" s="1638"/>
      <c r="AQ851" s="1638"/>
      <c r="AR851" s="1638"/>
      <c r="AS851" s="1639"/>
      <c r="AT851" s="1638"/>
      <c r="AU851" s="1638"/>
      <c r="AV851" s="1638"/>
      <c r="AW851" s="1639"/>
      <c r="AX851" s="1640"/>
      <c r="AY851" s="1640"/>
      <c r="AZ851" s="1640"/>
      <c r="BA851" s="1641"/>
      <c r="BB851" s="1640"/>
      <c r="BC851" s="1640"/>
      <c r="BD851" s="1640"/>
      <c r="BE851" s="1644"/>
      <c r="BF851" s="1640"/>
      <c r="BG851" s="1640"/>
      <c r="BH851" s="1640"/>
      <c r="BI851" s="1641"/>
      <c r="BJ851" s="1640"/>
      <c r="BK851" s="1640"/>
      <c r="BL851" s="1640"/>
      <c r="BM851" s="1641"/>
      <c r="BN851" s="1640"/>
      <c r="BO851" s="1640"/>
      <c r="BP851" s="1640"/>
      <c r="BQ851" s="1641"/>
      <c r="BR851" s="1640"/>
      <c r="BS851" s="1640"/>
      <c r="BT851" s="1640"/>
      <c r="BU851" s="1641"/>
      <c r="BV851" s="1640"/>
      <c r="BW851" s="1640"/>
      <c r="BX851" s="1640"/>
      <c r="BY851" s="1641"/>
      <c r="BZ851" s="1640"/>
      <c r="CA851" s="1640"/>
      <c r="CB851" s="1640"/>
      <c r="CC851" s="1641"/>
      <c r="CD851" s="1640"/>
      <c r="CE851" s="1640"/>
      <c r="CF851" s="1640"/>
      <c r="CG851" s="1642"/>
      <c r="CH851" s="1641">
        <f t="shared" si="543"/>
        <v>0</v>
      </c>
      <c r="CI851" s="1641">
        <f t="shared" si="543"/>
        <v>0</v>
      </c>
      <c r="CJ851" s="1641">
        <f t="shared" si="543"/>
        <v>0</v>
      </c>
      <c r="CK851" s="1641">
        <f t="shared" si="543"/>
        <v>0</v>
      </c>
      <c r="CL851" s="1889">
        <v>0</v>
      </c>
      <c r="CM851" s="1889">
        <v>0</v>
      </c>
      <c r="CN851" s="1889">
        <v>0</v>
      </c>
      <c r="CO851" s="1889">
        <v>0</v>
      </c>
      <c r="CP851" s="1641"/>
      <c r="CQ851" s="1640"/>
      <c r="CR851" s="1640"/>
      <c r="CS851" s="1640"/>
    </row>
    <row r="852" spans="1:107" ht="15" thickBot="1" x14ac:dyDescent="0.2">
      <c r="A852" s="1541" t="s">
        <v>96</v>
      </c>
      <c r="B852" s="1523" t="s">
        <v>79</v>
      </c>
      <c r="C852" s="1523" t="s">
        <v>80</v>
      </c>
      <c r="D852" s="1523" t="s">
        <v>125</v>
      </c>
      <c r="E852" s="1523" t="s">
        <v>216</v>
      </c>
      <c r="F852" s="1523"/>
      <c r="G852" s="1667">
        <v>310</v>
      </c>
      <c r="H852" s="1646">
        <v>165</v>
      </c>
      <c r="I852" s="1502"/>
      <c r="J852" s="1630"/>
      <c r="K852" s="1630">
        <v>300</v>
      </c>
      <c r="L852" s="1631"/>
      <c r="M852" s="1631"/>
      <c r="N852" s="1631"/>
      <c r="O852" s="1631"/>
      <c r="P852" s="1631"/>
      <c r="Q852" s="1631"/>
      <c r="R852" s="1631"/>
      <c r="S852" s="1631"/>
      <c r="T852" s="1632"/>
      <c r="U852" s="1633"/>
      <c r="V852" s="1633"/>
      <c r="W852" s="1634"/>
      <c r="X852" s="1634"/>
      <c r="Y852" s="1634"/>
      <c r="Z852" s="1635"/>
      <c r="AA852" s="1634">
        <f t="shared" si="562"/>
        <v>0</v>
      </c>
      <c r="AB852" s="1634"/>
      <c r="AC852" s="1508">
        <f t="shared" si="565"/>
        <v>165</v>
      </c>
      <c r="AD852" s="1509">
        <f t="shared" si="566"/>
        <v>300</v>
      </c>
      <c r="AE852" s="1509">
        <f t="shared" si="567"/>
        <v>0</v>
      </c>
      <c r="AF852" s="1509">
        <f t="shared" si="567"/>
        <v>0</v>
      </c>
      <c r="AG852" s="1509">
        <f t="shared" si="567"/>
        <v>300</v>
      </c>
      <c r="AH852" s="1490">
        <f t="shared" si="533"/>
        <v>35</v>
      </c>
      <c r="AI852" s="1636">
        <f t="shared" si="568"/>
        <v>0</v>
      </c>
      <c r="AJ852" s="1636">
        <f t="shared" si="569"/>
        <v>0</v>
      </c>
      <c r="AK852" s="1636">
        <f t="shared" si="570"/>
        <v>0</v>
      </c>
      <c r="AL852" s="1636">
        <f t="shared" si="554"/>
        <v>0</v>
      </c>
      <c r="AM852" s="1636">
        <f t="shared" si="554"/>
        <v>0</v>
      </c>
      <c r="AN852" s="1637"/>
      <c r="AO852" s="1723"/>
      <c r="AP852" s="1638"/>
      <c r="AQ852" s="1638"/>
      <c r="AR852" s="1638"/>
      <c r="AS852" s="1639"/>
      <c r="AT852" s="1638"/>
      <c r="AU852" s="1638"/>
      <c r="AV852" s="1638"/>
      <c r="AW852" s="1639"/>
      <c r="AX852" s="1640"/>
      <c r="AY852" s="1640"/>
      <c r="AZ852" s="1640"/>
      <c r="BA852" s="1641"/>
      <c r="BB852" s="1640"/>
      <c r="BC852" s="1640"/>
      <c r="BD852" s="1640"/>
      <c r="BE852" s="1644"/>
      <c r="BF852" s="1640"/>
      <c r="BG852" s="1640"/>
      <c r="BH852" s="1640"/>
      <c r="BI852" s="1641">
        <v>50</v>
      </c>
      <c r="BJ852" s="1640"/>
      <c r="BK852" s="1640"/>
      <c r="BL852" s="1640"/>
      <c r="BM852" s="1641">
        <v>80</v>
      </c>
      <c r="BN852" s="1640"/>
      <c r="BO852" s="1640"/>
      <c r="BP852" s="1640"/>
      <c r="BQ852" s="1641"/>
      <c r="BR852" s="1640"/>
      <c r="BS852" s="1640"/>
      <c r="BT852" s="1640">
        <v>300</v>
      </c>
      <c r="BU852" s="1641"/>
      <c r="BV852" s="1640"/>
      <c r="BW852" s="1640"/>
      <c r="BX852" s="1640"/>
      <c r="BY852" s="1641"/>
      <c r="BZ852" s="1640"/>
      <c r="CA852" s="1640"/>
      <c r="CB852" s="1640"/>
      <c r="CC852" s="1641"/>
      <c r="CD852" s="1640"/>
      <c r="CE852" s="1640"/>
      <c r="CF852" s="1640"/>
      <c r="CG852" s="1642"/>
      <c r="CH852" s="1641">
        <f t="shared" si="543"/>
        <v>35</v>
      </c>
      <c r="CI852" s="1641">
        <f t="shared" si="543"/>
        <v>0</v>
      </c>
      <c r="CJ852" s="1641">
        <f t="shared" si="543"/>
        <v>0</v>
      </c>
      <c r="CK852" s="1641">
        <f t="shared" si="543"/>
        <v>0</v>
      </c>
      <c r="CL852" s="1889">
        <v>35</v>
      </c>
      <c r="CM852" s="1889">
        <v>0</v>
      </c>
      <c r="CN852" s="1889">
        <v>0</v>
      </c>
      <c r="CO852" s="1889">
        <v>0</v>
      </c>
      <c r="CP852" s="1641"/>
      <c r="CQ852" s="1640"/>
      <c r="CR852" s="1640"/>
      <c r="CS852" s="1640"/>
    </row>
    <row r="853" spans="1:107" ht="15" thickBot="1" x14ac:dyDescent="0.2">
      <c r="A853" s="1541" t="s">
        <v>97</v>
      </c>
      <c r="B853" s="1523" t="s">
        <v>79</v>
      </c>
      <c r="C853" s="1523" t="s">
        <v>80</v>
      </c>
      <c r="D853" s="1523" t="s">
        <v>125</v>
      </c>
      <c r="E853" s="1523" t="s">
        <v>216</v>
      </c>
      <c r="F853" s="1523"/>
      <c r="G853" s="1667">
        <v>340</v>
      </c>
      <c r="H853" s="1502">
        <v>5</v>
      </c>
      <c r="I853" s="1502"/>
      <c r="J853" s="1630"/>
      <c r="K853" s="1630"/>
      <c r="L853" s="1631"/>
      <c r="M853" s="1631"/>
      <c r="N853" s="1631"/>
      <c r="O853" s="1631"/>
      <c r="P853" s="1631"/>
      <c r="Q853" s="1631"/>
      <c r="R853" s="1631"/>
      <c r="S853" s="1631"/>
      <c r="T853" s="1632"/>
      <c r="U853" s="1633"/>
      <c r="V853" s="1633"/>
      <c r="W853" s="1634"/>
      <c r="X853" s="1634"/>
      <c r="Y853" s="1634"/>
      <c r="Z853" s="1635"/>
      <c r="AA853" s="1634">
        <f t="shared" si="562"/>
        <v>0</v>
      </c>
      <c r="AB853" s="1634"/>
      <c r="AC853" s="1508">
        <f t="shared" si="565"/>
        <v>5</v>
      </c>
      <c r="AD853" s="1509">
        <f t="shared" si="566"/>
        <v>0</v>
      </c>
      <c r="AE853" s="1509">
        <f t="shared" si="567"/>
        <v>0</v>
      </c>
      <c r="AF853" s="1509">
        <f t="shared" si="567"/>
        <v>0</v>
      </c>
      <c r="AG853" s="1509">
        <f t="shared" si="567"/>
        <v>0</v>
      </c>
      <c r="AH853" s="1490">
        <f t="shared" si="533"/>
        <v>4.7</v>
      </c>
      <c r="AI853" s="1636">
        <f t="shared" si="568"/>
        <v>0</v>
      </c>
      <c r="AJ853" s="1636">
        <f t="shared" si="569"/>
        <v>0</v>
      </c>
      <c r="AK853" s="1636">
        <f t="shared" si="570"/>
        <v>0</v>
      </c>
      <c r="AL853" s="1636">
        <f t="shared" si="554"/>
        <v>0</v>
      </c>
      <c r="AM853" s="1636">
        <f t="shared" si="554"/>
        <v>0</v>
      </c>
      <c r="AN853" s="1637"/>
      <c r="AO853" s="1722">
        <v>0.3</v>
      </c>
      <c r="AP853" s="1638"/>
      <c r="AQ853" s="1638"/>
      <c r="AR853" s="1638"/>
      <c r="AS853" s="1639"/>
      <c r="AT853" s="1638"/>
      <c r="AU853" s="1638"/>
      <c r="AV853" s="1638"/>
      <c r="AW853" s="1639"/>
      <c r="AX853" s="1640"/>
      <c r="AY853" s="1640"/>
      <c r="AZ853" s="1640"/>
      <c r="BA853" s="1641"/>
      <c r="BB853" s="1640"/>
      <c r="BC853" s="1640"/>
      <c r="BD853" s="1640"/>
      <c r="BE853" s="1644"/>
      <c r="BF853" s="1640"/>
      <c r="BG853" s="1640"/>
      <c r="BH853" s="1640"/>
      <c r="BI853" s="1641"/>
      <c r="BJ853" s="1640"/>
      <c r="BK853" s="1640"/>
      <c r="BL853" s="1640"/>
      <c r="BM853" s="1641"/>
      <c r="BN853" s="1640"/>
      <c r="BO853" s="1640"/>
      <c r="BP853" s="1640"/>
      <c r="BQ853" s="1641"/>
      <c r="BR853" s="1640"/>
      <c r="BS853" s="1640"/>
      <c r="BT853" s="1640"/>
      <c r="BU853" s="1641"/>
      <c r="BV853" s="1640"/>
      <c r="BW853" s="1640"/>
      <c r="BX853" s="1640"/>
      <c r="BY853" s="1641"/>
      <c r="BZ853" s="1640"/>
      <c r="CA853" s="1640"/>
      <c r="CB853" s="1640"/>
      <c r="CC853" s="1641"/>
      <c r="CD853" s="1640"/>
      <c r="CE853" s="1640"/>
      <c r="CF853" s="1640"/>
      <c r="CG853" s="1642"/>
      <c r="CH853" s="1641">
        <f t="shared" si="543"/>
        <v>4.7</v>
      </c>
      <c r="CI853" s="1641">
        <f t="shared" si="543"/>
        <v>0</v>
      </c>
      <c r="CJ853" s="1641">
        <f t="shared" si="543"/>
        <v>0</v>
      </c>
      <c r="CK853" s="1641">
        <f t="shared" si="543"/>
        <v>0</v>
      </c>
      <c r="CL853" s="1889">
        <v>4.7</v>
      </c>
      <c r="CM853" s="1889">
        <v>0</v>
      </c>
      <c r="CN853" s="1889">
        <v>0</v>
      </c>
      <c r="CO853" s="1889">
        <v>0</v>
      </c>
      <c r="CP853" s="1641"/>
      <c r="CQ853" s="1640"/>
      <c r="CR853" s="1640"/>
      <c r="CS853" s="1640"/>
    </row>
    <row r="854" spans="1:107" ht="15" thickBot="1" x14ac:dyDescent="0.2">
      <c r="A854" s="1528" t="s">
        <v>767</v>
      </c>
      <c r="B854" s="1530" t="s">
        <v>79</v>
      </c>
      <c r="C854" s="1530" t="s">
        <v>80</v>
      </c>
      <c r="D854" s="1530" t="s">
        <v>125</v>
      </c>
      <c r="E854" s="1530" t="s">
        <v>216</v>
      </c>
      <c r="F854" s="1530">
        <v>612</v>
      </c>
      <c r="G854" s="1687" t="s">
        <v>766</v>
      </c>
      <c r="H854" s="1647">
        <f>I840</f>
        <v>0</v>
      </c>
      <c r="I854" s="1645"/>
      <c r="J854" s="1630"/>
      <c r="K854" s="1630"/>
      <c r="L854" s="1631"/>
      <c r="M854" s="1631"/>
      <c r="N854" s="1631"/>
      <c r="O854" s="1631"/>
      <c r="P854" s="1631"/>
      <c r="Q854" s="1631"/>
      <c r="R854" s="1631"/>
      <c r="S854" s="1631"/>
      <c r="T854" s="1632"/>
      <c r="U854" s="1633"/>
      <c r="V854" s="1633"/>
      <c r="W854" s="1634"/>
      <c r="X854" s="1634"/>
      <c r="Y854" s="1634"/>
      <c r="Z854" s="1635"/>
      <c r="AA854" s="1634">
        <f t="shared" si="562"/>
        <v>0</v>
      </c>
      <c r="AB854" s="1634"/>
      <c r="AC854" s="1508"/>
      <c r="AD854" s="1509"/>
      <c r="AE854" s="1509"/>
      <c r="AF854" s="1509"/>
      <c r="AG854" s="1509"/>
      <c r="AH854" s="1490">
        <f t="shared" ref="AH854:AH917" si="571">CG854+CL854</f>
        <v>0</v>
      </c>
      <c r="AI854" s="1636"/>
      <c r="AJ854" s="1636"/>
      <c r="AK854" s="1636"/>
      <c r="AL854" s="1636">
        <f t="shared" si="554"/>
        <v>0</v>
      </c>
      <c r="AM854" s="1636"/>
      <c r="AN854" s="1712"/>
      <c r="AO854" s="1713"/>
      <c r="AP854" s="1638"/>
      <c r="AQ854" s="1638"/>
      <c r="AR854" s="1638"/>
      <c r="AS854" s="1639"/>
      <c r="AT854" s="1638"/>
      <c r="AU854" s="1638"/>
      <c r="AV854" s="1638"/>
      <c r="AW854" s="1639"/>
      <c r="AX854" s="1640"/>
      <c r="AY854" s="1640"/>
      <c r="AZ854" s="1640"/>
      <c r="BA854" s="1641"/>
      <c r="BB854" s="1640"/>
      <c r="BC854" s="1640"/>
      <c r="BD854" s="1640"/>
      <c r="BE854" s="1644"/>
      <c r="BF854" s="1640"/>
      <c r="BG854" s="1640"/>
      <c r="BH854" s="1640"/>
      <c r="BI854" s="1641"/>
      <c r="BJ854" s="1640"/>
      <c r="BK854" s="1640"/>
      <c r="BL854" s="1640"/>
      <c r="BM854" s="1641"/>
      <c r="BN854" s="1640"/>
      <c r="BO854" s="1640"/>
      <c r="BP854" s="1640"/>
      <c r="BQ854" s="1641"/>
      <c r="BR854" s="1640"/>
      <c r="BS854" s="1640"/>
      <c r="BT854" s="1640"/>
      <c r="BU854" s="1641"/>
      <c r="BV854" s="1640"/>
      <c r="BW854" s="1640"/>
      <c r="BX854" s="1640"/>
      <c r="BY854" s="1641"/>
      <c r="BZ854" s="1640"/>
      <c r="CA854" s="1640"/>
      <c r="CB854" s="1640"/>
      <c r="CC854" s="1641"/>
      <c r="CD854" s="1640"/>
      <c r="CE854" s="1640"/>
      <c r="CF854" s="1640"/>
      <c r="CG854" s="1642"/>
      <c r="CH854" s="1641">
        <f t="shared" si="543"/>
        <v>0</v>
      </c>
      <c r="CI854" s="1641">
        <f t="shared" si="543"/>
        <v>0</v>
      </c>
      <c r="CJ854" s="1641">
        <f t="shared" si="543"/>
        <v>0</v>
      </c>
      <c r="CK854" s="1641">
        <f t="shared" si="543"/>
        <v>0</v>
      </c>
      <c r="CL854" s="1898"/>
      <c r="CM854" s="1898"/>
      <c r="CN854" s="1889">
        <v>0</v>
      </c>
      <c r="CO854" s="1898"/>
      <c r="CP854" s="1641"/>
      <c r="CQ854" s="1640"/>
      <c r="CR854" s="1640"/>
      <c r="CS854" s="1640"/>
    </row>
    <row r="855" spans="1:107" s="1886" customFormat="1" ht="27" thickBot="1" x14ac:dyDescent="0.2">
      <c r="A855" s="1873" t="s">
        <v>1297</v>
      </c>
      <c r="B855" s="1941" t="s">
        <v>79</v>
      </c>
      <c r="C855" s="1941" t="s">
        <v>80</v>
      </c>
      <c r="D855" s="1941" t="s">
        <v>125</v>
      </c>
      <c r="E855" s="1941" t="s">
        <v>216</v>
      </c>
      <c r="F855" s="1941">
        <v>600</v>
      </c>
      <c r="G855" s="1874"/>
      <c r="H855" s="1606">
        <f>H856+H870</f>
        <v>10359.6</v>
      </c>
      <c r="I855" s="1606">
        <f>I856+I870</f>
        <v>0</v>
      </c>
      <c r="J855" s="1606">
        <f>J856+J870</f>
        <v>0</v>
      </c>
      <c r="K855" s="1606">
        <f>K856+K870</f>
        <v>0</v>
      </c>
      <c r="L855" s="1607"/>
      <c r="M855" s="1607"/>
      <c r="N855" s="1607"/>
      <c r="O855" s="1607"/>
      <c r="P855" s="1607"/>
      <c r="Q855" s="1607"/>
      <c r="R855" s="1607"/>
      <c r="S855" s="1607"/>
      <c r="T855" s="1608"/>
      <c r="U855" s="1609"/>
      <c r="V855" s="1609"/>
      <c r="W855" s="1610"/>
      <c r="X855" s="1610"/>
      <c r="Y855" s="1610"/>
      <c r="Z855" s="1611"/>
      <c r="AA855" s="1634">
        <f>AB855-Z855</f>
        <v>0</v>
      </c>
      <c r="AB855" s="1610"/>
      <c r="AC855" s="1612">
        <f t="shared" ref="AC855:CF855" si="572">AC856+AC870</f>
        <v>10359.6</v>
      </c>
      <c r="AD855" s="1612">
        <f t="shared" si="572"/>
        <v>0</v>
      </c>
      <c r="AE855" s="1612">
        <f t="shared" si="572"/>
        <v>0</v>
      </c>
      <c r="AF855" s="1612">
        <f t="shared" si="572"/>
        <v>0</v>
      </c>
      <c r="AG855" s="1612">
        <f t="shared" si="572"/>
        <v>0</v>
      </c>
      <c r="AH855" s="1490">
        <f t="shared" si="571"/>
        <v>310.45</v>
      </c>
      <c r="AI855" s="1613">
        <f t="shared" si="572"/>
        <v>0</v>
      </c>
      <c r="AJ855" s="1613">
        <f t="shared" si="572"/>
        <v>0</v>
      </c>
      <c r="AK855" s="1613">
        <f t="shared" si="572"/>
        <v>0</v>
      </c>
      <c r="AL855" s="1636">
        <f t="shared" ref="AL855:AM886" si="573">J855-AF855</f>
        <v>0</v>
      </c>
      <c r="AM855" s="1613">
        <f t="shared" si="572"/>
        <v>0</v>
      </c>
      <c r="AN855" s="1614"/>
      <c r="AO855" s="1606">
        <f t="shared" si="572"/>
        <v>2166.3000000000002</v>
      </c>
      <c r="AP855" s="1606">
        <f t="shared" si="572"/>
        <v>0</v>
      </c>
      <c r="AQ855" s="1606">
        <f t="shared" si="572"/>
        <v>0</v>
      </c>
      <c r="AR855" s="1606">
        <f t="shared" si="572"/>
        <v>0</v>
      </c>
      <c r="AS855" s="1611">
        <f t="shared" si="572"/>
        <v>816.09999999999991</v>
      </c>
      <c r="AT855" s="1606">
        <f t="shared" si="572"/>
        <v>0</v>
      </c>
      <c r="AU855" s="1606">
        <f t="shared" si="572"/>
        <v>0</v>
      </c>
      <c r="AV855" s="1606">
        <f t="shared" si="572"/>
        <v>0</v>
      </c>
      <c r="AW855" s="1611">
        <f t="shared" si="572"/>
        <v>816.09999999999991</v>
      </c>
      <c r="AX855" s="1606">
        <f t="shared" si="572"/>
        <v>0</v>
      </c>
      <c r="AY855" s="1606">
        <f t="shared" si="572"/>
        <v>0</v>
      </c>
      <c r="AZ855" s="1606">
        <f t="shared" si="572"/>
        <v>0</v>
      </c>
      <c r="BA855" s="1614">
        <f t="shared" si="572"/>
        <v>816.09999999999991</v>
      </c>
      <c r="BB855" s="1606">
        <f t="shared" si="572"/>
        <v>0</v>
      </c>
      <c r="BC855" s="1606">
        <f t="shared" si="572"/>
        <v>0</v>
      </c>
      <c r="BD855" s="1606">
        <f t="shared" si="572"/>
        <v>0</v>
      </c>
      <c r="BE855" s="1615">
        <f t="shared" si="572"/>
        <v>4.5</v>
      </c>
      <c r="BF855" s="1606">
        <f t="shared" si="572"/>
        <v>0</v>
      </c>
      <c r="BG855" s="1606">
        <f t="shared" si="572"/>
        <v>0</v>
      </c>
      <c r="BH855" s="1606">
        <f t="shared" si="572"/>
        <v>0</v>
      </c>
      <c r="BI855" s="1614">
        <f t="shared" si="572"/>
        <v>201.00800000000001</v>
      </c>
      <c r="BJ855" s="1606">
        <f t="shared" si="572"/>
        <v>0</v>
      </c>
      <c r="BK855" s="1606">
        <f t="shared" si="572"/>
        <v>0</v>
      </c>
      <c r="BL855" s="1606">
        <f t="shared" si="572"/>
        <v>0</v>
      </c>
      <c r="BM855" s="1614">
        <f t="shared" si="572"/>
        <v>2247.2919999999999</v>
      </c>
      <c r="BN855" s="1606">
        <f t="shared" si="572"/>
        <v>0</v>
      </c>
      <c r="BO855" s="1606">
        <f t="shared" si="572"/>
        <v>0</v>
      </c>
      <c r="BP855" s="1606">
        <f t="shared" si="572"/>
        <v>0</v>
      </c>
      <c r="BQ855" s="1614">
        <f t="shared" si="572"/>
        <v>851.15</v>
      </c>
      <c r="BR855" s="1606">
        <f t="shared" si="572"/>
        <v>0</v>
      </c>
      <c r="BS855" s="1606">
        <f t="shared" si="572"/>
        <v>0</v>
      </c>
      <c r="BT855" s="1606">
        <f t="shared" si="572"/>
        <v>0</v>
      </c>
      <c r="BU855" s="1614">
        <f t="shared" si="572"/>
        <v>610.6</v>
      </c>
      <c r="BV855" s="1606">
        <f t="shared" si="572"/>
        <v>0</v>
      </c>
      <c r="BW855" s="1606">
        <f t="shared" si="572"/>
        <v>0</v>
      </c>
      <c r="BX855" s="1606">
        <f t="shared" si="572"/>
        <v>0</v>
      </c>
      <c r="BY855" s="1614">
        <f t="shared" si="572"/>
        <v>140.58000000000001</v>
      </c>
      <c r="BZ855" s="1606">
        <f t="shared" si="572"/>
        <v>0</v>
      </c>
      <c r="CA855" s="1606">
        <f t="shared" si="572"/>
        <v>0</v>
      </c>
      <c r="CB855" s="1606">
        <f t="shared" si="572"/>
        <v>0</v>
      </c>
      <c r="CC855" s="1614">
        <f t="shared" si="572"/>
        <v>1379.42</v>
      </c>
      <c r="CD855" s="1606">
        <f t="shared" si="572"/>
        <v>0</v>
      </c>
      <c r="CE855" s="1606">
        <f t="shared" si="572"/>
        <v>0</v>
      </c>
      <c r="CF855" s="1606">
        <f t="shared" si="572"/>
        <v>0</v>
      </c>
      <c r="CG855" s="1616"/>
      <c r="CH855" s="1641">
        <f t="shared" si="543"/>
        <v>310.45</v>
      </c>
      <c r="CI855" s="1641">
        <f t="shared" si="543"/>
        <v>0</v>
      </c>
      <c r="CJ855" s="1641">
        <f t="shared" si="543"/>
        <v>0</v>
      </c>
      <c r="CK855" s="1641">
        <f t="shared" si="543"/>
        <v>0</v>
      </c>
      <c r="CL855" s="1943">
        <v>310.45</v>
      </c>
      <c r="CM855" s="1943">
        <v>0</v>
      </c>
      <c r="CN855" s="1889">
        <v>0</v>
      </c>
      <c r="CO855" s="1943">
        <v>0</v>
      </c>
      <c r="CP855" s="1614">
        <f>CP856+CP870</f>
        <v>0</v>
      </c>
      <c r="CQ855" s="1606">
        <f>CQ856+CQ870</f>
        <v>0</v>
      </c>
      <c r="CR855" s="1606">
        <f>CR856+CR870</f>
        <v>0</v>
      </c>
      <c r="CS855" s="1606">
        <f>CS856+CS870</f>
        <v>0</v>
      </c>
      <c r="CT855" s="1885"/>
      <c r="CU855" s="1885"/>
      <c r="CV855" s="1885"/>
      <c r="CW855" s="1885"/>
      <c r="CY855" s="1885"/>
    </row>
    <row r="856" spans="1:107" ht="53" thickBot="1" x14ac:dyDescent="0.2">
      <c r="A856" s="1748" t="s">
        <v>1135</v>
      </c>
      <c r="B856" s="1749" t="s">
        <v>79</v>
      </c>
      <c r="C856" s="1749" t="s">
        <v>80</v>
      </c>
      <c r="D856" s="1749" t="s">
        <v>125</v>
      </c>
      <c r="E856" s="1749" t="s">
        <v>216</v>
      </c>
      <c r="F856" s="1749" t="s">
        <v>765</v>
      </c>
      <c r="G856" s="1600" t="s">
        <v>766</v>
      </c>
      <c r="H856" s="1531">
        <f>H857+H858+H859+H860+H861+H862+H863+H864+H865+H866+H867+H868+H869</f>
        <v>10359.6</v>
      </c>
      <c r="I856" s="1531">
        <f>I857+I858+I859+I860+I861+I862+I863+I864+I865+I866+I867+I868+I869</f>
        <v>0</v>
      </c>
      <c r="J856" s="1531">
        <f>J857+J858+J859+J860+J861+J862+J863+J864+J865+J866+J867+J868+J869</f>
        <v>0</v>
      </c>
      <c r="K856" s="1531">
        <f>K857+K858+K859+K860+K861+K862+K863+K864+K865+K866+K867+K868+K869</f>
        <v>0</v>
      </c>
      <c r="L856" s="1601"/>
      <c r="M856" s="1601"/>
      <c r="N856" s="1601"/>
      <c r="O856" s="1601"/>
      <c r="P856" s="1601"/>
      <c r="Q856" s="1601"/>
      <c r="R856" s="1601"/>
      <c r="S856" s="1601"/>
      <c r="T856" s="1602"/>
      <c r="U856" s="1533"/>
      <c r="V856" s="1533"/>
      <c r="W856" s="1534"/>
      <c r="X856" s="1534"/>
      <c r="Y856" s="1534"/>
      <c r="Z856" s="1535"/>
      <c r="AA856" s="1634">
        <f t="shared" si="562"/>
        <v>0</v>
      </c>
      <c r="AB856" s="1534"/>
      <c r="AC856" s="1603">
        <f t="shared" ref="AC856:CF856" si="574">AC857+AC858+AC859+AC860+AC861+AC862+AC863+AC864+AC865+AC866+AC867+AC868+AC869</f>
        <v>10359.6</v>
      </c>
      <c r="AD856" s="1603">
        <f t="shared" si="574"/>
        <v>0</v>
      </c>
      <c r="AE856" s="1603">
        <f t="shared" si="574"/>
        <v>0</v>
      </c>
      <c r="AF856" s="1603">
        <f t="shared" si="574"/>
        <v>0</v>
      </c>
      <c r="AG856" s="1603">
        <f t="shared" si="574"/>
        <v>0</v>
      </c>
      <c r="AH856" s="1490">
        <f t="shared" si="571"/>
        <v>310.45</v>
      </c>
      <c r="AI856" s="1592">
        <f t="shared" si="574"/>
        <v>0</v>
      </c>
      <c r="AJ856" s="1592">
        <f t="shared" si="574"/>
        <v>0</v>
      </c>
      <c r="AK856" s="1592">
        <f t="shared" si="574"/>
        <v>0</v>
      </c>
      <c r="AL856" s="1636">
        <f t="shared" si="573"/>
        <v>0</v>
      </c>
      <c r="AM856" s="1592">
        <f t="shared" si="574"/>
        <v>0</v>
      </c>
      <c r="AN856" s="1717"/>
      <c r="AO856" s="1707">
        <f t="shared" si="574"/>
        <v>2166.3000000000002</v>
      </c>
      <c r="AP856" s="1531">
        <f t="shared" si="574"/>
        <v>0</v>
      </c>
      <c r="AQ856" s="1531">
        <f t="shared" si="574"/>
        <v>0</v>
      </c>
      <c r="AR856" s="1531">
        <f t="shared" si="574"/>
        <v>0</v>
      </c>
      <c r="AS856" s="1535">
        <f t="shared" si="574"/>
        <v>816.09999999999991</v>
      </c>
      <c r="AT856" s="1531">
        <f t="shared" si="574"/>
        <v>0</v>
      </c>
      <c r="AU856" s="1531">
        <f t="shared" si="574"/>
        <v>0</v>
      </c>
      <c r="AV856" s="1531">
        <f t="shared" si="574"/>
        <v>0</v>
      </c>
      <c r="AW856" s="1535">
        <f t="shared" si="574"/>
        <v>816.09999999999991</v>
      </c>
      <c r="AX856" s="1531">
        <f t="shared" si="574"/>
        <v>0</v>
      </c>
      <c r="AY856" s="1531">
        <f t="shared" si="574"/>
        <v>0</v>
      </c>
      <c r="AZ856" s="1531">
        <f t="shared" si="574"/>
        <v>0</v>
      </c>
      <c r="BA856" s="1538">
        <f t="shared" si="574"/>
        <v>816.09999999999991</v>
      </c>
      <c r="BB856" s="1531">
        <f t="shared" si="574"/>
        <v>0</v>
      </c>
      <c r="BC856" s="1531">
        <f t="shared" si="574"/>
        <v>0</v>
      </c>
      <c r="BD856" s="1531">
        <f t="shared" si="574"/>
        <v>0</v>
      </c>
      <c r="BE856" s="1539">
        <f t="shared" si="574"/>
        <v>4.5</v>
      </c>
      <c r="BF856" s="1531">
        <f t="shared" si="574"/>
        <v>0</v>
      </c>
      <c r="BG856" s="1531">
        <f t="shared" si="574"/>
        <v>0</v>
      </c>
      <c r="BH856" s="1531">
        <f t="shared" si="574"/>
        <v>0</v>
      </c>
      <c r="BI856" s="1538">
        <f t="shared" si="574"/>
        <v>201.00800000000001</v>
      </c>
      <c r="BJ856" s="1531">
        <f t="shared" si="574"/>
        <v>0</v>
      </c>
      <c r="BK856" s="1531">
        <f t="shared" si="574"/>
        <v>0</v>
      </c>
      <c r="BL856" s="1531">
        <f t="shared" si="574"/>
        <v>0</v>
      </c>
      <c r="BM856" s="1538">
        <f t="shared" si="574"/>
        <v>2247.2919999999999</v>
      </c>
      <c r="BN856" s="1531">
        <f t="shared" si="574"/>
        <v>0</v>
      </c>
      <c r="BO856" s="1531">
        <f t="shared" si="574"/>
        <v>0</v>
      </c>
      <c r="BP856" s="1531">
        <f t="shared" si="574"/>
        <v>0</v>
      </c>
      <c r="BQ856" s="1538">
        <f t="shared" si="574"/>
        <v>851.15</v>
      </c>
      <c r="BR856" s="1531">
        <f t="shared" si="574"/>
        <v>0</v>
      </c>
      <c r="BS856" s="1531">
        <f t="shared" si="574"/>
        <v>0</v>
      </c>
      <c r="BT856" s="1531">
        <f t="shared" si="574"/>
        <v>0</v>
      </c>
      <c r="BU856" s="1538">
        <f t="shared" si="574"/>
        <v>610.6</v>
      </c>
      <c r="BV856" s="1531">
        <f t="shared" si="574"/>
        <v>0</v>
      </c>
      <c r="BW856" s="1531">
        <f t="shared" si="574"/>
        <v>0</v>
      </c>
      <c r="BX856" s="1531">
        <f t="shared" si="574"/>
        <v>0</v>
      </c>
      <c r="BY856" s="1538">
        <f t="shared" si="574"/>
        <v>140.58000000000001</v>
      </c>
      <c r="BZ856" s="1531">
        <f t="shared" si="574"/>
        <v>0</v>
      </c>
      <c r="CA856" s="1531">
        <f t="shared" si="574"/>
        <v>0</v>
      </c>
      <c r="CB856" s="1531">
        <f t="shared" si="574"/>
        <v>0</v>
      </c>
      <c r="CC856" s="1538">
        <f t="shared" si="574"/>
        <v>1379.42</v>
      </c>
      <c r="CD856" s="1531">
        <f t="shared" si="574"/>
        <v>0</v>
      </c>
      <c r="CE856" s="1531">
        <f t="shared" si="574"/>
        <v>0</v>
      </c>
      <c r="CF856" s="1531">
        <f t="shared" si="574"/>
        <v>0</v>
      </c>
      <c r="CG856" s="1705"/>
      <c r="CH856" s="1641">
        <f t="shared" si="543"/>
        <v>310.45</v>
      </c>
      <c r="CI856" s="1641">
        <f t="shared" si="543"/>
        <v>0</v>
      </c>
      <c r="CJ856" s="1641">
        <f t="shared" si="543"/>
        <v>0</v>
      </c>
      <c r="CK856" s="1641">
        <f t="shared" ref="CK856:CK919" si="575">CO856+CS856</f>
        <v>0</v>
      </c>
      <c r="CL856" s="1902">
        <v>310.45</v>
      </c>
      <c r="CM856" s="1902">
        <v>0</v>
      </c>
      <c r="CN856" s="1889">
        <v>0</v>
      </c>
      <c r="CO856" s="1902">
        <v>0</v>
      </c>
      <c r="CP856" s="1538">
        <f>CP857+CP858+CP859+CP860+CP861+CP862+CP863+CP864+CP865+CP866+CP867+CP868+CP869</f>
        <v>0</v>
      </c>
      <c r="CQ856" s="1531">
        <f>CQ857+CQ858+CQ859+CQ860+CQ861+CQ862+CQ863+CQ864+CQ865+CQ866+CQ867+CQ868+CQ869</f>
        <v>0</v>
      </c>
      <c r="CR856" s="1531">
        <f>CR857+CR858+CR859+CR860+CR861+CR862+CR863+CR864+CR865+CR866+CR867+CR868+CR869</f>
        <v>0</v>
      </c>
      <c r="CS856" s="1531">
        <f>CS857+CS858+CS859+CS860+CS861+CS862+CS863+CS864+CS865+CS866+CS867+CS868+CS869</f>
        <v>0</v>
      </c>
    </row>
    <row r="857" spans="1:107" ht="15" thickBot="1" x14ac:dyDescent="0.2">
      <c r="A857" s="1541" t="s">
        <v>78</v>
      </c>
      <c r="B857" s="1523" t="s">
        <v>79</v>
      </c>
      <c r="C857" s="1523" t="s">
        <v>80</v>
      </c>
      <c r="D857" s="1523" t="s">
        <v>125</v>
      </c>
      <c r="E857" s="1523" t="s">
        <v>216</v>
      </c>
      <c r="F857" s="1523"/>
      <c r="G857" s="1667">
        <v>211</v>
      </c>
      <c r="H857" s="1502">
        <f>7521.5-55</f>
        <v>7466.5</v>
      </c>
      <c r="I857" s="1502"/>
      <c r="J857" s="1630"/>
      <c r="K857" s="1630"/>
      <c r="L857" s="1631"/>
      <c r="M857" s="1631"/>
      <c r="N857" s="1631"/>
      <c r="O857" s="1631"/>
      <c r="P857" s="1631"/>
      <c r="Q857" s="1631"/>
      <c r="R857" s="1631"/>
      <c r="S857" s="1631"/>
      <c r="T857" s="1632"/>
      <c r="U857" s="1633"/>
      <c r="V857" s="1633"/>
      <c r="W857" s="1634">
        <f>H857/12</f>
        <v>622.20833333333337</v>
      </c>
      <c r="X857" s="1634">
        <f>AO857</f>
        <v>626.79999999999995</v>
      </c>
      <c r="Y857" s="1634">
        <f>CC857</f>
        <v>1048.52</v>
      </c>
      <c r="Z857" s="1635">
        <v>685.32</v>
      </c>
      <c r="AA857" s="1634">
        <f t="shared" si="562"/>
        <v>-685.32</v>
      </c>
      <c r="AB857" s="1511">
        <f>AI857</f>
        <v>0</v>
      </c>
      <c r="AC857" s="1508">
        <f t="shared" ref="AC857:AC869" si="576">AO857+AS857+AW857+BA857+BE857+BI857+BM857+BQ857+BU857+BY857+CC857+CH857</f>
        <v>7466.5</v>
      </c>
      <c r="AD857" s="1509">
        <f t="shared" ref="AD857:AD869" si="577">AE857+AF857+AG857</f>
        <v>0</v>
      </c>
      <c r="AE857" s="1509">
        <f t="shared" ref="AE857:AG869" si="578">AP857+AT857+AX857+BB857+BF857+BJ857+BN857+BR857+BV857+BZ857+CD857+CI857</f>
        <v>0</v>
      </c>
      <c r="AF857" s="1509">
        <f t="shared" si="578"/>
        <v>0</v>
      </c>
      <c r="AG857" s="1509">
        <f t="shared" si="578"/>
        <v>0</v>
      </c>
      <c r="AH857" s="1490">
        <f t="shared" si="571"/>
        <v>162.15</v>
      </c>
      <c r="AI857" s="1636">
        <f t="shared" ref="AI857:AI869" si="579">H857-AC857</f>
        <v>0</v>
      </c>
      <c r="AJ857" s="1636">
        <f t="shared" ref="AJ857:AJ869" si="580">AK857+AL857+AM857</f>
        <v>0</v>
      </c>
      <c r="AK857" s="1636">
        <f t="shared" ref="AK857:AK869" si="581">I857-AE857</f>
        <v>0</v>
      </c>
      <c r="AL857" s="1636">
        <f t="shared" si="573"/>
        <v>0</v>
      </c>
      <c r="AM857" s="1636">
        <f t="shared" si="573"/>
        <v>0</v>
      </c>
      <c r="AN857" s="1637">
        <f>AI857/4</f>
        <v>0</v>
      </c>
      <c r="AO857" s="1722">
        <v>626.79999999999995</v>
      </c>
      <c r="AP857" s="1638"/>
      <c r="AQ857" s="1638"/>
      <c r="AR857" s="1638"/>
      <c r="AS857" s="1963">
        <v>626.79999999999995</v>
      </c>
      <c r="AT857" s="1638"/>
      <c r="AU857" s="1638"/>
      <c r="AV857" s="1638"/>
      <c r="AW857" s="1722">
        <v>626.79999999999995</v>
      </c>
      <c r="AX857" s="1640"/>
      <c r="AY857" s="1640"/>
      <c r="AZ857" s="1640"/>
      <c r="BA857" s="1964">
        <v>626.79999999999995</v>
      </c>
      <c r="BB857" s="1640"/>
      <c r="BC857" s="1640"/>
      <c r="BD857" s="1640"/>
      <c r="BE857" s="1964">
        <v>626.79999999999995</v>
      </c>
      <c r="BF857" s="1640"/>
      <c r="BG857" s="1640"/>
      <c r="BH857" s="1640"/>
      <c r="BI857" s="1641">
        <f>201.008</f>
        <v>201.00800000000001</v>
      </c>
      <c r="BJ857" s="1640"/>
      <c r="BK857" s="1640"/>
      <c r="BL857" s="1640"/>
      <c r="BM857" s="1641">
        <f>425.792+1253.6</f>
        <v>1679.3919999999998</v>
      </c>
      <c r="BN857" s="1640"/>
      <c r="BO857" s="1640"/>
      <c r="BP857" s="1640"/>
      <c r="BQ857" s="1641">
        <f>626.8+5.45</f>
        <v>632.25</v>
      </c>
      <c r="BR857" s="1640"/>
      <c r="BS857" s="1640"/>
      <c r="BT857" s="1640"/>
      <c r="BU857" s="1641">
        <v>468.6</v>
      </c>
      <c r="BV857" s="1640"/>
      <c r="BW857" s="1640"/>
      <c r="BX857" s="1640"/>
      <c r="BY857" s="1641">
        <v>140.58000000000001</v>
      </c>
      <c r="BZ857" s="1640"/>
      <c r="CA857" s="1640"/>
      <c r="CB857" s="1640"/>
      <c r="CC857" s="1641">
        <f>363.2+685.32</f>
        <v>1048.52</v>
      </c>
      <c r="CD857" s="1640"/>
      <c r="CE857" s="1640"/>
      <c r="CF857" s="1640"/>
      <c r="CG857" s="1642"/>
      <c r="CH857" s="1641">
        <f t="shared" ref="CH857:CK920" si="582">CL857+CP857</f>
        <v>162.15</v>
      </c>
      <c r="CI857" s="1641">
        <f t="shared" si="582"/>
        <v>0</v>
      </c>
      <c r="CJ857" s="1641">
        <f t="shared" si="582"/>
        <v>0</v>
      </c>
      <c r="CK857" s="1641">
        <f t="shared" si="575"/>
        <v>0</v>
      </c>
      <c r="CL857" s="1889">
        <v>162.15</v>
      </c>
      <c r="CM857" s="1889">
        <v>0</v>
      </c>
      <c r="CN857" s="1889">
        <v>0</v>
      </c>
      <c r="CO857" s="1889">
        <v>0</v>
      </c>
      <c r="CP857" s="1641"/>
      <c r="CQ857" s="1640"/>
      <c r="CR857" s="1640"/>
      <c r="CS857" s="1640"/>
      <c r="CX857" s="1558">
        <f>H857/12*10-AC857</f>
        <v>-1244.4166666666661</v>
      </c>
      <c r="CY857" s="1558">
        <f>AI857/3</f>
        <v>0</v>
      </c>
      <c r="CZ857" s="1558">
        <f>H857/12</f>
        <v>622.20833333333337</v>
      </c>
      <c r="DA857" s="1559"/>
      <c r="DB857" s="1559"/>
      <c r="DC857" s="1559"/>
    </row>
    <row r="858" spans="1:107" ht="15" thickBot="1" x14ac:dyDescent="0.2">
      <c r="A858" s="1541" t="s">
        <v>103</v>
      </c>
      <c r="B858" s="1523" t="s">
        <v>79</v>
      </c>
      <c r="C858" s="1523" t="s">
        <v>80</v>
      </c>
      <c r="D858" s="1523" t="s">
        <v>125</v>
      </c>
      <c r="E858" s="1523" t="s">
        <v>216</v>
      </c>
      <c r="F858" s="1523"/>
      <c r="G858" s="1667">
        <v>212</v>
      </c>
      <c r="H858" s="1517"/>
      <c r="I858" s="1517"/>
      <c r="J858" s="1630"/>
      <c r="K858" s="1630"/>
      <c r="L858" s="1631"/>
      <c r="M858" s="1631"/>
      <c r="N858" s="1631"/>
      <c r="O858" s="1631"/>
      <c r="P858" s="1631"/>
      <c r="Q858" s="1631"/>
      <c r="R858" s="1631"/>
      <c r="S858" s="1631"/>
      <c r="T858" s="1632"/>
      <c r="U858" s="1633"/>
      <c r="V858" s="1633"/>
      <c r="W858" s="1634"/>
      <c r="X858" s="1634"/>
      <c r="Y858" s="1634">
        <f>CC858</f>
        <v>0</v>
      </c>
      <c r="Z858" s="1635">
        <f>AI858-X858</f>
        <v>0</v>
      </c>
      <c r="AA858" s="1634">
        <f t="shared" si="562"/>
        <v>0</v>
      </c>
      <c r="AB858" s="1511"/>
      <c r="AC858" s="1508">
        <f t="shared" si="576"/>
        <v>0</v>
      </c>
      <c r="AD858" s="1509">
        <f t="shared" si="577"/>
        <v>0</v>
      </c>
      <c r="AE858" s="1509">
        <f t="shared" si="578"/>
        <v>0</v>
      </c>
      <c r="AF858" s="1509">
        <f t="shared" si="578"/>
        <v>0</v>
      </c>
      <c r="AG858" s="1509">
        <f t="shared" si="578"/>
        <v>0</v>
      </c>
      <c r="AH858" s="1490">
        <f t="shared" si="571"/>
        <v>0</v>
      </c>
      <c r="AI858" s="1636">
        <f t="shared" si="579"/>
        <v>0</v>
      </c>
      <c r="AJ858" s="1636">
        <f t="shared" si="580"/>
        <v>0</v>
      </c>
      <c r="AK858" s="1636">
        <f t="shared" si="581"/>
        <v>0</v>
      </c>
      <c r="AL858" s="1636">
        <f t="shared" si="573"/>
        <v>0</v>
      </c>
      <c r="AM858" s="1636">
        <f t="shared" si="573"/>
        <v>0</v>
      </c>
      <c r="AN858" s="1637"/>
      <c r="AO858" s="1722">
        <v>0</v>
      </c>
      <c r="AP858" s="1638"/>
      <c r="AQ858" s="1638"/>
      <c r="AR858" s="1638"/>
      <c r="AS858" s="1963">
        <v>0</v>
      </c>
      <c r="AT858" s="1638"/>
      <c r="AU858" s="1638"/>
      <c r="AV858" s="1638"/>
      <c r="AW858" s="1722">
        <v>0</v>
      </c>
      <c r="AX858" s="1640"/>
      <c r="AY858" s="1640"/>
      <c r="AZ858" s="1640"/>
      <c r="BA858" s="1964">
        <v>0</v>
      </c>
      <c r="BB858" s="1640"/>
      <c r="BC858" s="1640"/>
      <c r="BD858" s="1640"/>
      <c r="BE858" s="1964">
        <v>0</v>
      </c>
      <c r="BF858" s="1640"/>
      <c r="BG858" s="1640"/>
      <c r="BH858" s="1640"/>
      <c r="BI858" s="1641"/>
      <c r="BJ858" s="1640"/>
      <c r="BK858" s="1640"/>
      <c r="BL858" s="1640"/>
      <c r="BM858" s="1641"/>
      <c r="BN858" s="1640"/>
      <c r="BO858" s="1640"/>
      <c r="BP858" s="1640"/>
      <c r="BQ858" s="1641"/>
      <c r="BR858" s="1640"/>
      <c r="BS858" s="1640"/>
      <c r="BT858" s="1640"/>
      <c r="BU858" s="1641"/>
      <c r="BV858" s="1640"/>
      <c r="BW858" s="1640"/>
      <c r="BX858" s="1640"/>
      <c r="BY858" s="1641"/>
      <c r="BZ858" s="1640"/>
      <c r="CA858" s="1640"/>
      <c r="CB858" s="1640"/>
      <c r="CC858" s="1641"/>
      <c r="CD858" s="1640"/>
      <c r="CE858" s="1640"/>
      <c r="CF858" s="1640"/>
      <c r="CG858" s="1642"/>
      <c r="CH858" s="1641">
        <f t="shared" si="582"/>
        <v>0</v>
      </c>
      <c r="CI858" s="1641">
        <f t="shared" si="582"/>
        <v>0</v>
      </c>
      <c r="CJ858" s="1641">
        <f t="shared" si="582"/>
        <v>0</v>
      </c>
      <c r="CK858" s="1641">
        <f t="shared" si="575"/>
        <v>0</v>
      </c>
      <c r="CL858" s="1889">
        <v>0</v>
      </c>
      <c r="CM858" s="1889">
        <v>0</v>
      </c>
      <c r="CN858" s="1889">
        <v>0</v>
      </c>
      <c r="CO858" s="1889">
        <v>0</v>
      </c>
      <c r="CP858" s="1641"/>
      <c r="CQ858" s="1640"/>
      <c r="CR858" s="1640"/>
      <c r="CS858" s="1640"/>
      <c r="CX858" s="1558"/>
      <c r="CY858" s="1558"/>
      <c r="CZ858" s="1558"/>
      <c r="DA858" s="1559"/>
      <c r="DB858" s="1559"/>
      <c r="DC858" s="1559"/>
    </row>
    <row r="859" spans="1:107" ht="15" thickBot="1" x14ac:dyDescent="0.2">
      <c r="A859" s="1541" t="s">
        <v>84</v>
      </c>
      <c r="B859" s="1523" t="s">
        <v>79</v>
      </c>
      <c r="C859" s="1523" t="s">
        <v>80</v>
      </c>
      <c r="D859" s="1523" t="s">
        <v>125</v>
      </c>
      <c r="E859" s="1523" t="s">
        <v>216</v>
      </c>
      <c r="F859" s="1523"/>
      <c r="G859" s="1667">
        <v>213</v>
      </c>
      <c r="H859" s="1502">
        <f>2271.5-16.6</f>
        <v>2254.9</v>
      </c>
      <c r="I859" s="1502"/>
      <c r="J859" s="1630"/>
      <c r="K859" s="1630"/>
      <c r="L859" s="1631"/>
      <c r="M859" s="1631"/>
      <c r="N859" s="1631"/>
      <c r="O859" s="1631"/>
      <c r="P859" s="1631"/>
      <c r="Q859" s="1631"/>
      <c r="R859" s="1631"/>
      <c r="S859" s="1631"/>
      <c r="T859" s="1632"/>
      <c r="U859" s="1633"/>
      <c r="V859" s="1633"/>
      <c r="W859" s="1634">
        <f>H859/12</f>
        <v>187.90833333333333</v>
      </c>
      <c r="X859" s="1634">
        <f>AO859</f>
        <v>189.3</v>
      </c>
      <c r="Y859" s="1634">
        <f>CC859</f>
        <v>330.9</v>
      </c>
      <c r="Z859" s="1635">
        <v>330.9</v>
      </c>
      <c r="AA859" s="1634">
        <f t="shared" si="562"/>
        <v>-330.9</v>
      </c>
      <c r="AB859" s="1511">
        <f>AI859</f>
        <v>0</v>
      </c>
      <c r="AC859" s="1508">
        <f t="shared" si="576"/>
        <v>2254.9</v>
      </c>
      <c r="AD859" s="1509">
        <f t="shared" si="577"/>
        <v>0</v>
      </c>
      <c r="AE859" s="1509">
        <f t="shared" si="578"/>
        <v>0</v>
      </c>
      <c r="AF859" s="1509">
        <f t="shared" si="578"/>
        <v>0</v>
      </c>
      <c r="AG859" s="1509">
        <f t="shared" si="578"/>
        <v>0</v>
      </c>
      <c r="AH859" s="1490">
        <f t="shared" si="571"/>
        <v>78.3</v>
      </c>
      <c r="AI859" s="1636">
        <f t="shared" si="579"/>
        <v>0</v>
      </c>
      <c r="AJ859" s="1636">
        <f t="shared" si="580"/>
        <v>0</v>
      </c>
      <c r="AK859" s="1636">
        <f t="shared" si="581"/>
        <v>0</v>
      </c>
      <c r="AL859" s="1636">
        <f t="shared" si="573"/>
        <v>0</v>
      </c>
      <c r="AM859" s="1636">
        <f t="shared" si="573"/>
        <v>0</v>
      </c>
      <c r="AN859" s="1637">
        <f>AI859/4</f>
        <v>0</v>
      </c>
      <c r="AO859" s="1722">
        <v>189.3</v>
      </c>
      <c r="AP859" s="1638"/>
      <c r="AQ859" s="1638"/>
      <c r="AR859" s="1638"/>
      <c r="AS859" s="1963">
        <v>189.3</v>
      </c>
      <c r="AT859" s="1638"/>
      <c r="AU859" s="1638"/>
      <c r="AV859" s="1638"/>
      <c r="AW859" s="1722">
        <v>189.3</v>
      </c>
      <c r="AX859" s="1640"/>
      <c r="AY859" s="1640"/>
      <c r="AZ859" s="1640"/>
      <c r="BA859" s="1964">
        <v>189.3</v>
      </c>
      <c r="BB859" s="1640"/>
      <c r="BC859" s="1640"/>
      <c r="BD859" s="1640"/>
      <c r="BE859" s="1964">
        <v>189.3</v>
      </c>
      <c r="BF859" s="1640"/>
      <c r="BG859" s="1640"/>
      <c r="BH859" s="1640"/>
      <c r="BI859" s="1641"/>
      <c r="BJ859" s="1640"/>
      <c r="BK859" s="1640"/>
      <c r="BL859" s="1640"/>
      <c r="BM859" s="1641">
        <f>189.3+378.6</f>
        <v>567.90000000000009</v>
      </c>
      <c r="BN859" s="1640"/>
      <c r="BO859" s="1640"/>
      <c r="BP859" s="1640"/>
      <c r="BQ859" s="1641">
        <v>189.3</v>
      </c>
      <c r="BR859" s="1640"/>
      <c r="BS859" s="1640"/>
      <c r="BT859" s="1640"/>
      <c r="BU859" s="1641">
        <v>142</v>
      </c>
      <c r="BV859" s="1640"/>
      <c r="BW859" s="1640"/>
      <c r="BX859" s="1640"/>
      <c r="BY859" s="1641"/>
      <c r="BZ859" s="1640"/>
      <c r="CA859" s="1640"/>
      <c r="CB859" s="1640"/>
      <c r="CC859" s="1641">
        <v>330.9</v>
      </c>
      <c r="CD859" s="1640"/>
      <c r="CE859" s="1640"/>
      <c r="CF859" s="1640"/>
      <c r="CG859" s="1642"/>
      <c r="CH859" s="1641">
        <f t="shared" si="582"/>
        <v>78.3</v>
      </c>
      <c r="CI859" s="1641">
        <f t="shared" si="582"/>
        <v>0</v>
      </c>
      <c r="CJ859" s="1641">
        <f t="shared" si="582"/>
        <v>0</v>
      </c>
      <c r="CK859" s="1641">
        <f t="shared" si="575"/>
        <v>0</v>
      </c>
      <c r="CL859" s="1889">
        <v>78.3</v>
      </c>
      <c r="CM859" s="1889">
        <v>0</v>
      </c>
      <c r="CN859" s="1889">
        <v>0</v>
      </c>
      <c r="CO859" s="1889">
        <v>0</v>
      </c>
      <c r="CP859" s="1641"/>
      <c r="CQ859" s="1640"/>
      <c r="CR859" s="1640"/>
      <c r="CS859" s="1640"/>
      <c r="CX859" s="1558">
        <f>H859/12*10-AC859</f>
        <v>-375.81666666666683</v>
      </c>
      <c r="CY859" s="1558">
        <f>AI859/3</f>
        <v>0</v>
      </c>
      <c r="CZ859" s="1558">
        <f>H859/12</f>
        <v>187.90833333333333</v>
      </c>
      <c r="DA859" s="1559"/>
      <c r="DB859" s="1559"/>
      <c r="DC859" s="1559"/>
    </row>
    <row r="860" spans="1:107" ht="15" customHeight="1" thickBot="1" x14ac:dyDescent="0.2">
      <c r="A860" s="1541" t="s">
        <v>85</v>
      </c>
      <c r="B860" s="1523" t="s">
        <v>79</v>
      </c>
      <c r="C860" s="1523" t="s">
        <v>80</v>
      </c>
      <c r="D860" s="1523" t="s">
        <v>125</v>
      </c>
      <c r="E860" s="1523" t="s">
        <v>216</v>
      </c>
      <c r="F860" s="1523"/>
      <c r="G860" s="1667">
        <v>221</v>
      </c>
      <c r="H860" s="1502"/>
      <c r="I860" s="1502"/>
      <c r="J860" s="1630"/>
      <c r="K860" s="1630"/>
      <c r="L860" s="1631"/>
      <c r="M860" s="1631"/>
      <c r="N860" s="1631"/>
      <c r="O860" s="1631"/>
      <c r="P860" s="1631"/>
      <c r="Q860" s="1631"/>
      <c r="R860" s="1631"/>
      <c r="S860" s="1631"/>
      <c r="T860" s="1632"/>
      <c r="U860" s="1633"/>
      <c r="V860" s="1633"/>
      <c r="W860" s="1634"/>
      <c r="X860" s="1634"/>
      <c r="Y860" s="1634"/>
      <c r="Z860" s="1635"/>
      <c r="AA860" s="1634">
        <f t="shared" si="562"/>
        <v>0</v>
      </c>
      <c r="AB860" s="1634"/>
      <c r="AC860" s="1508">
        <f t="shared" si="576"/>
        <v>0</v>
      </c>
      <c r="AD860" s="1509">
        <f t="shared" si="577"/>
        <v>0</v>
      </c>
      <c r="AE860" s="1509">
        <f t="shared" si="578"/>
        <v>0</v>
      </c>
      <c r="AF860" s="1509">
        <f t="shared" si="578"/>
        <v>0</v>
      </c>
      <c r="AG860" s="1509">
        <f t="shared" si="578"/>
        <v>0</v>
      </c>
      <c r="AH860" s="1490">
        <f t="shared" si="571"/>
        <v>0</v>
      </c>
      <c r="AI860" s="1636">
        <f t="shared" si="579"/>
        <v>0</v>
      </c>
      <c r="AJ860" s="1636">
        <f t="shared" si="580"/>
        <v>0</v>
      </c>
      <c r="AK860" s="1636">
        <f t="shared" si="581"/>
        <v>0</v>
      </c>
      <c r="AL860" s="1636">
        <f t="shared" si="573"/>
        <v>0</v>
      </c>
      <c r="AM860" s="1636">
        <f t="shared" si="573"/>
        <v>0</v>
      </c>
      <c r="AN860" s="1637"/>
      <c r="AO860" s="1722">
        <v>0</v>
      </c>
      <c r="AP860" s="1638"/>
      <c r="AQ860" s="1638"/>
      <c r="AR860" s="1638"/>
      <c r="AS860" s="1963">
        <v>0</v>
      </c>
      <c r="AT860" s="1638"/>
      <c r="AU860" s="1638"/>
      <c r="AV860" s="1638"/>
      <c r="AW860" s="1639"/>
      <c r="AX860" s="1640"/>
      <c r="AY860" s="1640"/>
      <c r="AZ860" s="1640"/>
      <c r="BA860" s="1641"/>
      <c r="BB860" s="1640"/>
      <c r="BC860" s="1640"/>
      <c r="BD860" s="1640"/>
      <c r="BE860" s="1644"/>
      <c r="BF860" s="1640"/>
      <c r="BG860" s="1640"/>
      <c r="BH860" s="1640"/>
      <c r="BI860" s="1641"/>
      <c r="BJ860" s="1640"/>
      <c r="BK860" s="1640"/>
      <c r="BL860" s="1640"/>
      <c r="BM860" s="1641"/>
      <c r="BN860" s="1640"/>
      <c r="BO860" s="1640"/>
      <c r="BP860" s="1640"/>
      <c r="BQ860" s="1641"/>
      <c r="BR860" s="1640"/>
      <c r="BS860" s="1640"/>
      <c r="BT860" s="1640"/>
      <c r="BU860" s="1641"/>
      <c r="BV860" s="1640"/>
      <c r="BW860" s="1640"/>
      <c r="BX860" s="1640"/>
      <c r="BY860" s="1641"/>
      <c r="BZ860" s="1640"/>
      <c r="CA860" s="1640"/>
      <c r="CB860" s="1640"/>
      <c r="CC860" s="1641"/>
      <c r="CD860" s="1640"/>
      <c r="CE860" s="1640"/>
      <c r="CF860" s="1640"/>
      <c r="CG860" s="1642"/>
      <c r="CH860" s="1641">
        <f t="shared" si="582"/>
        <v>0</v>
      </c>
      <c r="CI860" s="1641">
        <f t="shared" si="582"/>
        <v>0</v>
      </c>
      <c r="CJ860" s="1641">
        <f t="shared" si="582"/>
        <v>0</v>
      </c>
      <c r="CK860" s="1641">
        <f t="shared" si="575"/>
        <v>0</v>
      </c>
      <c r="CL860" s="1889">
        <v>0</v>
      </c>
      <c r="CM860" s="1889">
        <v>0</v>
      </c>
      <c r="CN860" s="1889">
        <v>0</v>
      </c>
      <c r="CO860" s="1889">
        <v>0</v>
      </c>
      <c r="CP860" s="1641"/>
      <c r="CQ860" s="1640"/>
      <c r="CR860" s="1640"/>
      <c r="CS860" s="1640"/>
    </row>
    <row r="861" spans="1:107" ht="15" thickBot="1" x14ac:dyDescent="0.2">
      <c r="A861" s="1541" t="s">
        <v>86</v>
      </c>
      <c r="B861" s="1523" t="s">
        <v>79</v>
      </c>
      <c r="C861" s="1523" t="s">
        <v>80</v>
      </c>
      <c r="D861" s="1523" t="s">
        <v>125</v>
      </c>
      <c r="E861" s="1523" t="s">
        <v>216</v>
      </c>
      <c r="F861" s="1523"/>
      <c r="G861" s="1667">
        <v>222</v>
      </c>
      <c r="H861" s="1502">
        <f>200</f>
        <v>200</v>
      </c>
      <c r="I861" s="1502"/>
      <c r="J861" s="1630"/>
      <c r="K861" s="1630"/>
      <c r="L861" s="1631"/>
      <c r="M861" s="1631"/>
      <c r="N861" s="1631"/>
      <c r="O861" s="1631"/>
      <c r="P861" s="1631"/>
      <c r="Q861" s="1631"/>
      <c r="R861" s="1631"/>
      <c r="S861" s="1631"/>
      <c r="T861" s="1632"/>
      <c r="U861" s="1633"/>
      <c r="V861" s="1633"/>
      <c r="W861" s="1634"/>
      <c r="X861" s="1634"/>
      <c r="Y861" s="1634"/>
      <c r="Z861" s="1635"/>
      <c r="AA861" s="1634">
        <f t="shared" si="562"/>
        <v>0</v>
      </c>
      <c r="AB861" s="1634"/>
      <c r="AC861" s="1508">
        <f t="shared" si="576"/>
        <v>199.99999999999997</v>
      </c>
      <c r="AD861" s="1509">
        <f t="shared" si="577"/>
        <v>0</v>
      </c>
      <c r="AE861" s="1509">
        <f t="shared" si="578"/>
        <v>0</v>
      </c>
      <c r="AF861" s="1509">
        <f t="shared" si="578"/>
        <v>0</v>
      </c>
      <c r="AG861" s="1509">
        <f t="shared" si="578"/>
        <v>0</v>
      </c>
      <c r="AH861" s="1490">
        <f t="shared" si="571"/>
        <v>0</v>
      </c>
      <c r="AI861" s="1636">
        <f t="shared" si="579"/>
        <v>0</v>
      </c>
      <c r="AJ861" s="1636">
        <f t="shared" si="580"/>
        <v>0</v>
      </c>
      <c r="AK861" s="1636">
        <f t="shared" si="581"/>
        <v>0</v>
      </c>
      <c r="AL861" s="1636">
        <f t="shared" si="573"/>
        <v>0</v>
      </c>
      <c r="AM861" s="1636">
        <f t="shared" si="573"/>
        <v>0</v>
      </c>
      <c r="AN861" s="1637"/>
      <c r="AO861" s="1722">
        <v>16.7</v>
      </c>
      <c r="AP861" s="1638"/>
      <c r="AQ861" s="1638"/>
      <c r="AR861" s="1638"/>
      <c r="AS861" s="1963">
        <v>0</v>
      </c>
      <c r="AT861" s="1638"/>
      <c r="AU861" s="1638"/>
      <c r="AV861" s="1638"/>
      <c r="AW861" s="1639"/>
      <c r="AX861" s="1640"/>
      <c r="AY861" s="1640"/>
      <c r="AZ861" s="1640"/>
      <c r="BA861" s="1641"/>
      <c r="BB861" s="1640"/>
      <c r="BC861" s="1640"/>
      <c r="BD861" s="1640"/>
      <c r="BE861" s="1644">
        <v>166.7</v>
      </c>
      <c r="BF861" s="1640"/>
      <c r="BG861" s="1640"/>
      <c r="BH861" s="1640"/>
      <c r="BI861" s="1641"/>
      <c r="BJ861" s="1640"/>
      <c r="BK861" s="1640"/>
      <c r="BL861" s="1640"/>
      <c r="BM861" s="1641"/>
      <c r="BN861" s="1640"/>
      <c r="BO861" s="1640"/>
      <c r="BP861" s="1640"/>
      <c r="BQ861" s="1641">
        <v>16.600000000000001</v>
      </c>
      <c r="BR861" s="1640"/>
      <c r="BS861" s="1640"/>
      <c r="BT861" s="1640"/>
      <c r="BU861" s="1641"/>
      <c r="BV861" s="1640"/>
      <c r="BW861" s="1640"/>
      <c r="BX861" s="1640"/>
      <c r="BY861" s="1641"/>
      <c r="BZ861" s="1640"/>
      <c r="CA861" s="1640"/>
      <c r="CB861" s="1640"/>
      <c r="CC861" s="1641"/>
      <c r="CD861" s="1640"/>
      <c r="CE861" s="1640"/>
      <c r="CF861" s="1640"/>
      <c r="CG861" s="1642"/>
      <c r="CH861" s="1641">
        <f t="shared" si="582"/>
        <v>0</v>
      </c>
      <c r="CI861" s="1641">
        <f t="shared" si="582"/>
        <v>0</v>
      </c>
      <c r="CJ861" s="1641">
        <f t="shared" si="582"/>
        <v>0</v>
      </c>
      <c r="CK861" s="1641">
        <f t="shared" si="575"/>
        <v>0</v>
      </c>
      <c r="CL861" s="1889">
        <v>0</v>
      </c>
      <c r="CM861" s="1889">
        <v>0</v>
      </c>
      <c r="CN861" s="1889">
        <v>0</v>
      </c>
      <c r="CO861" s="1889">
        <v>0</v>
      </c>
      <c r="CP861" s="1641"/>
      <c r="CQ861" s="1640"/>
      <c r="CR861" s="1640"/>
      <c r="CS861" s="1640"/>
    </row>
    <row r="862" spans="1:107" ht="15" thickBot="1" x14ac:dyDescent="0.2">
      <c r="A862" s="1541" t="s">
        <v>87</v>
      </c>
      <c r="B862" s="1523" t="s">
        <v>79</v>
      </c>
      <c r="C862" s="1523" t="s">
        <v>80</v>
      </c>
      <c r="D862" s="1523" t="s">
        <v>125</v>
      </c>
      <c r="E862" s="1523" t="s">
        <v>216</v>
      </c>
      <c r="F862" s="1523"/>
      <c r="G862" s="1667">
        <v>223</v>
      </c>
      <c r="H862" s="1502"/>
      <c r="I862" s="1502"/>
      <c r="J862" s="1630"/>
      <c r="K862" s="1630"/>
      <c r="L862" s="1631"/>
      <c r="M862" s="1631"/>
      <c r="N862" s="1631"/>
      <c r="O862" s="1631"/>
      <c r="P862" s="1631"/>
      <c r="Q862" s="1631"/>
      <c r="R862" s="1631"/>
      <c r="S862" s="1631"/>
      <c r="T862" s="1632"/>
      <c r="U862" s="1633"/>
      <c r="V862" s="1633"/>
      <c r="W862" s="1634"/>
      <c r="X862" s="1634"/>
      <c r="Y862" s="1634"/>
      <c r="Z862" s="1635"/>
      <c r="AA862" s="1634">
        <f t="shared" si="562"/>
        <v>0</v>
      </c>
      <c r="AB862" s="1634"/>
      <c r="AC862" s="1508">
        <f t="shared" si="576"/>
        <v>0</v>
      </c>
      <c r="AD862" s="1509">
        <f t="shared" si="577"/>
        <v>0</v>
      </c>
      <c r="AE862" s="1509">
        <f t="shared" si="578"/>
        <v>0</v>
      </c>
      <c r="AF862" s="1509">
        <f t="shared" si="578"/>
        <v>0</v>
      </c>
      <c r="AG862" s="1509">
        <f t="shared" si="578"/>
        <v>0</v>
      </c>
      <c r="AH862" s="1490">
        <f t="shared" si="571"/>
        <v>0</v>
      </c>
      <c r="AI862" s="1636">
        <f t="shared" si="579"/>
        <v>0</v>
      </c>
      <c r="AJ862" s="1636">
        <f t="shared" si="580"/>
        <v>0</v>
      </c>
      <c r="AK862" s="1636">
        <f t="shared" si="581"/>
        <v>0</v>
      </c>
      <c r="AL862" s="1636">
        <f t="shared" si="573"/>
        <v>0</v>
      </c>
      <c r="AM862" s="1636">
        <f t="shared" si="573"/>
        <v>0</v>
      </c>
      <c r="AN862" s="1637"/>
      <c r="AO862" s="1722">
        <v>0</v>
      </c>
      <c r="AP862" s="1638"/>
      <c r="AQ862" s="1638"/>
      <c r="AR862" s="1638"/>
      <c r="AS862" s="1963">
        <v>0</v>
      </c>
      <c r="AT862" s="1638"/>
      <c r="AU862" s="1638"/>
      <c r="AV862" s="1638"/>
      <c r="AW862" s="1639"/>
      <c r="AX862" s="1640"/>
      <c r="AY862" s="1640"/>
      <c r="AZ862" s="1640"/>
      <c r="BA862" s="1641"/>
      <c r="BB862" s="1640"/>
      <c r="BC862" s="1640"/>
      <c r="BD862" s="1640"/>
      <c r="BE862" s="1644"/>
      <c r="BF862" s="1640"/>
      <c r="BG862" s="1640"/>
      <c r="BH862" s="1640"/>
      <c r="BI862" s="1641"/>
      <c r="BJ862" s="1640"/>
      <c r="BK862" s="1640"/>
      <c r="BL862" s="1640"/>
      <c r="BM862" s="1641"/>
      <c r="BN862" s="1640"/>
      <c r="BO862" s="1640"/>
      <c r="BP862" s="1640"/>
      <c r="BQ862" s="1641"/>
      <c r="BR862" s="1640"/>
      <c r="BS862" s="1640"/>
      <c r="BT862" s="1640"/>
      <c r="BU862" s="1641"/>
      <c r="BV862" s="1640"/>
      <c r="BW862" s="1640"/>
      <c r="BX862" s="1640"/>
      <c r="BY862" s="1641"/>
      <c r="BZ862" s="1640"/>
      <c r="CA862" s="1640"/>
      <c r="CB862" s="1640"/>
      <c r="CC862" s="1641"/>
      <c r="CD862" s="1640"/>
      <c r="CE862" s="1640"/>
      <c r="CF862" s="1640"/>
      <c r="CG862" s="1642"/>
      <c r="CH862" s="1641">
        <f t="shared" si="582"/>
        <v>0</v>
      </c>
      <c r="CI862" s="1641">
        <f t="shared" si="582"/>
        <v>0</v>
      </c>
      <c r="CJ862" s="1641">
        <f t="shared" si="582"/>
        <v>0</v>
      </c>
      <c r="CK862" s="1641">
        <f t="shared" si="575"/>
        <v>0</v>
      </c>
      <c r="CL862" s="1889">
        <v>0</v>
      </c>
      <c r="CM862" s="1889">
        <v>0</v>
      </c>
      <c r="CN862" s="1889">
        <v>0</v>
      </c>
      <c r="CO862" s="1889">
        <v>0</v>
      </c>
      <c r="CP862" s="1641"/>
      <c r="CQ862" s="1640"/>
      <c r="CR862" s="1640"/>
      <c r="CS862" s="1640"/>
    </row>
    <row r="863" spans="1:107" ht="15" thickBot="1" x14ac:dyDescent="0.2">
      <c r="A863" s="1541" t="s">
        <v>134</v>
      </c>
      <c r="B863" s="1523" t="s">
        <v>79</v>
      </c>
      <c r="C863" s="1523" t="s">
        <v>80</v>
      </c>
      <c r="D863" s="1523" t="s">
        <v>125</v>
      </c>
      <c r="E863" s="1523" t="s">
        <v>216</v>
      </c>
      <c r="F863" s="1523"/>
      <c r="G863" s="1667">
        <v>224</v>
      </c>
      <c r="H863" s="1502"/>
      <c r="I863" s="1502"/>
      <c r="J863" s="1630"/>
      <c r="K863" s="1630"/>
      <c r="L863" s="1631"/>
      <c r="M863" s="1631"/>
      <c r="N863" s="1631"/>
      <c r="O863" s="1631"/>
      <c r="P863" s="1631"/>
      <c r="Q863" s="1631"/>
      <c r="R863" s="1631"/>
      <c r="S863" s="1631"/>
      <c r="T863" s="1632"/>
      <c r="U863" s="1633"/>
      <c r="V863" s="1633"/>
      <c r="W863" s="1634"/>
      <c r="X863" s="1634"/>
      <c r="Y863" s="1634"/>
      <c r="Z863" s="1635"/>
      <c r="AA863" s="1634">
        <f t="shared" si="562"/>
        <v>0</v>
      </c>
      <c r="AB863" s="1634"/>
      <c r="AC863" s="1508">
        <f t="shared" si="576"/>
        <v>0</v>
      </c>
      <c r="AD863" s="1509">
        <f t="shared" si="577"/>
        <v>0</v>
      </c>
      <c r="AE863" s="1509">
        <f t="shared" si="578"/>
        <v>0</v>
      </c>
      <c r="AF863" s="1509">
        <f t="shared" si="578"/>
        <v>0</v>
      </c>
      <c r="AG863" s="1509">
        <f t="shared" si="578"/>
        <v>0</v>
      </c>
      <c r="AH863" s="1490">
        <f t="shared" si="571"/>
        <v>0</v>
      </c>
      <c r="AI863" s="1636">
        <f t="shared" si="579"/>
        <v>0</v>
      </c>
      <c r="AJ863" s="1636">
        <f t="shared" si="580"/>
        <v>0</v>
      </c>
      <c r="AK863" s="1636">
        <f t="shared" si="581"/>
        <v>0</v>
      </c>
      <c r="AL863" s="1636">
        <f t="shared" si="573"/>
        <v>0</v>
      </c>
      <c r="AM863" s="1636">
        <f t="shared" si="573"/>
        <v>0</v>
      </c>
      <c r="AN863" s="1637"/>
      <c r="AO863" s="1722">
        <v>0</v>
      </c>
      <c r="AP863" s="1638"/>
      <c r="AQ863" s="1638"/>
      <c r="AR863" s="1638"/>
      <c r="AS863" s="1963">
        <v>0</v>
      </c>
      <c r="AT863" s="1638"/>
      <c r="AU863" s="1638"/>
      <c r="AV863" s="1638"/>
      <c r="AW863" s="1639"/>
      <c r="AX863" s="1640"/>
      <c r="AY863" s="1640"/>
      <c r="AZ863" s="1640"/>
      <c r="BA863" s="1641"/>
      <c r="BB863" s="1640"/>
      <c r="BC863" s="1640"/>
      <c r="BD863" s="1640"/>
      <c r="BE863" s="1644"/>
      <c r="BF863" s="1640"/>
      <c r="BG863" s="1640"/>
      <c r="BH863" s="1640"/>
      <c r="BI863" s="1641"/>
      <c r="BJ863" s="1640"/>
      <c r="BK863" s="1640"/>
      <c r="BL863" s="1640"/>
      <c r="BM863" s="1641"/>
      <c r="BN863" s="1640"/>
      <c r="BO863" s="1640"/>
      <c r="BP863" s="1640"/>
      <c r="BQ863" s="1641"/>
      <c r="BR863" s="1640"/>
      <c r="BS863" s="1640"/>
      <c r="BT863" s="1640"/>
      <c r="BU863" s="1641"/>
      <c r="BV863" s="1640"/>
      <c r="BW863" s="1640"/>
      <c r="BX863" s="1640"/>
      <c r="BY863" s="1641"/>
      <c r="BZ863" s="1640"/>
      <c r="CA863" s="1640"/>
      <c r="CB863" s="1640"/>
      <c r="CC863" s="1641"/>
      <c r="CD863" s="1640"/>
      <c r="CE863" s="1640"/>
      <c r="CF863" s="1640"/>
      <c r="CG863" s="1642"/>
      <c r="CH863" s="1641">
        <f t="shared" si="582"/>
        <v>0</v>
      </c>
      <c r="CI863" s="1641">
        <f t="shared" si="582"/>
        <v>0</v>
      </c>
      <c r="CJ863" s="1641">
        <f t="shared" si="582"/>
        <v>0</v>
      </c>
      <c r="CK863" s="1641">
        <f t="shared" si="575"/>
        <v>0</v>
      </c>
      <c r="CL863" s="1889">
        <v>0</v>
      </c>
      <c r="CM863" s="1889">
        <v>0</v>
      </c>
      <c r="CN863" s="1889">
        <v>0</v>
      </c>
      <c r="CO863" s="1889">
        <v>0</v>
      </c>
      <c r="CP863" s="1641"/>
      <c r="CQ863" s="1640"/>
      <c r="CR863" s="1640"/>
      <c r="CS863" s="1640"/>
    </row>
    <row r="864" spans="1:107" ht="15" thickBot="1" x14ac:dyDescent="0.2">
      <c r="A864" s="1541" t="s">
        <v>90</v>
      </c>
      <c r="B864" s="1523" t="s">
        <v>79</v>
      </c>
      <c r="C864" s="1523" t="s">
        <v>80</v>
      </c>
      <c r="D864" s="1523" t="s">
        <v>125</v>
      </c>
      <c r="E864" s="1523" t="s">
        <v>216</v>
      </c>
      <c r="F864" s="1523"/>
      <c r="G864" s="1667">
        <v>225</v>
      </c>
      <c r="H864" s="1502"/>
      <c r="I864" s="1502"/>
      <c r="J864" s="1630"/>
      <c r="K864" s="1630"/>
      <c r="L864" s="1631"/>
      <c r="M864" s="1631"/>
      <c r="N864" s="1631"/>
      <c r="O864" s="1631"/>
      <c r="P864" s="1631"/>
      <c r="Q864" s="1631"/>
      <c r="R864" s="1631"/>
      <c r="S864" s="1631"/>
      <c r="T864" s="1632"/>
      <c r="U864" s="1633"/>
      <c r="V864" s="1633"/>
      <c r="W864" s="1634"/>
      <c r="X864" s="1634"/>
      <c r="Y864" s="1634"/>
      <c r="Z864" s="1635"/>
      <c r="AA864" s="1634">
        <f t="shared" si="562"/>
        <v>0</v>
      </c>
      <c r="AB864" s="1634"/>
      <c r="AC864" s="1508">
        <f t="shared" si="576"/>
        <v>0</v>
      </c>
      <c r="AD864" s="1509">
        <f t="shared" si="577"/>
        <v>0</v>
      </c>
      <c r="AE864" s="1509">
        <f t="shared" si="578"/>
        <v>0</v>
      </c>
      <c r="AF864" s="1509">
        <f t="shared" si="578"/>
        <v>0</v>
      </c>
      <c r="AG864" s="1509">
        <f t="shared" si="578"/>
        <v>0</v>
      </c>
      <c r="AH864" s="1490">
        <f t="shared" si="571"/>
        <v>0</v>
      </c>
      <c r="AI864" s="1636">
        <f t="shared" si="579"/>
        <v>0</v>
      </c>
      <c r="AJ864" s="1636">
        <f t="shared" si="580"/>
        <v>0</v>
      </c>
      <c r="AK864" s="1636">
        <f t="shared" si="581"/>
        <v>0</v>
      </c>
      <c r="AL864" s="1636">
        <f t="shared" si="573"/>
        <v>0</v>
      </c>
      <c r="AM864" s="1636">
        <f t="shared" si="573"/>
        <v>0</v>
      </c>
      <c r="AN864" s="1637"/>
      <c r="AO864" s="1723"/>
      <c r="AP864" s="1638"/>
      <c r="AQ864" s="1638"/>
      <c r="AR864" s="1638"/>
      <c r="AS864" s="1639"/>
      <c r="AT864" s="1638"/>
      <c r="AU864" s="1638"/>
      <c r="AV864" s="1638"/>
      <c r="AW864" s="1639"/>
      <c r="AX864" s="1640"/>
      <c r="AY864" s="1640"/>
      <c r="AZ864" s="1640"/>
      <c r="BA864" s="1641"/>
      <c r="BB864" s="1640"/>
      <c r="BC864" s="1640"/>
      <c r="BD864" s="1640"/>
      <c r="BE864" s="1644"/>
      <c r="BF864" s="1640"/>
      <c r="BG864" s="1640"/>
      <c r="BH864" s="1640"/>
      <c r="BI864" s="1641"/>
      <c r="BJ864" s="1640"/>
      <c r="BK864" s="1640"/>
      <c r="BL864" s="1640"/>
      <c r="BM864" s="1641"/>
      <c r="BN864" s="1640"/>
      <c r="BO864" s="1640"/>
      <c r="BP864" s="1640"/>
      <c r="BQ864" s="1641"/>
      <c r="BR864" s="1640"/>
      <c r="BS864" s="1640"/>
      <c r="BT864" s="1640"/>
      <c r="BU864" s="1641"/>
      <c r="BV864" s="1640"/>
      <c r="BW864" s="1640"/>
      <c r="BX864" s="1640"/>
      <c r="BY864" s="1641"/>
      <c r="BZ864" s="1640"/>
      <c r="CA864" s="1640"/>
      <c r="CB864" s="1640"/>
      <c r="CC864" s="1641"/>
      <c r="CD864" s="1640"/>
      <c r="CE864" s="1640"/>
      <c r="CF864" s="1640"/>
      <c r="CG864" s="1642"/>
      <c r="CH864" s="1641">
        <f t="shared" si="582"/>
        <v>0</v>
      </c>
      <c r="CI864" s="1641">
        <f t="shared" si="582"/>
        <v>0</v>
      </c>
      <c r="CJ864" s="1641">
        <f t="shared" si="582"/>
        <v>0</v>
      </c>
      <c r="CK864" s="1641">
        <f t="shared" si="575"/>
        <v>0</v>
      </c>
      <c r="CL864" s="1889">
        <v>0</v>
      </c>
      <c r="CM864" s="1889">
        <v>0</v>
      </c>
      <c r="CN864" s="1889">
        <v>0</v>
      </c>
      <c r="CO864" s="1889">
        <v>0</v>
      </c>
      <c r="CP864" s="1641"/>
      <c r="CQ864" s="1640"/>
      <c r="CR864" s="1640"/>
      <c r="CS864" s="1640"/>
    </row>
    <row r="865" spans="1:107" ht="15" thickBot="1" x14ac:dyDescent="0.2">
      <c r="A865" s="1541" t="s">
        <v>91</v>
      </c>
      <c r="B865" s="1523" t="s">
        <v>79</v>
      </c>
      <c r="C865" s="1523" t="s">
        <v>80</v>
      </c>
      <c r="D865" s="1523" t="s">
        <v>125</v>
      </c>
      <c r="E865" s="1523" t="s">
        <v>216</v>
      </c>
      <c r="F865" s="1523"/>
      <c r="G865" s="1667">
        <v>226</v>
      </c>
      <c r="H865" s="1502">
        <f>35+(1328-200)+80-982.8+70</f>
        <v>330.20000000000005</v>
      </c>
      <c r="I865" s="1502"/>
      <c r="J865" s="1630"/>
      <c r="K865" s="1630"/>
      <c r="L865" s="1631"/>
      <c r="M865" s="1631"/>
      <c r="N865" s="1631"/>
      <c r="O865" s="1631"/>
      <c r="P865" s="1631"/>
      <c r="Q865" s="1631"/>
      <c r="R865" s="1631"/>
      <c r="S865" s="1631"/>
      <c r="T865" s="1632"/>
      <c r="U865" s="1633"/>
      <c r="V865" s="1633"/>
      <c r="W865" s="1634"/>
      <c r="X865" s="1634"/>
      <c r="Y865" s="1634"/>
      <c r="Z865" s="1635"/>
      <c r="AA865" s="1634">
        <f t="shared" si="562"/>
        <v>0</v>
      </c>
      <c r="AB865" s="1634"/>
      <c r="AC865" s="1508">
        <f t="shared" si="576"/>
        <v>330.20000000000005</v>
      </c>
      <c r="AD865" s="1509">
        <f t="shared" si="577"/>
        <v>0</v>
      </c>
      <c r="AE865" s="1509">
        <f t="shared" si="578"/>
        <v>0</v>
      </c>
      <c r="AF865" s="1509">
        <f t="shared" si="578"/>
        <v>0</v>
      </c>
      <c r="AG865" s="1509">
        <f t="shared" si="578"/>
        <v>0</v>
      </c>
      <c r="AH865" s="1490">
        <f t="shared" si="571"/>
        <v>70</v>
      </c>
      <c r="AI865" s="1636">
        <f t="shared" si="579"/>
        <v>0</v>
      </c>
      <c r="AJ865" s="1636">
        <f t="shared" si="580"/>
        <v>0</v>
      </c>
      <c r="AK865" s="1636">
        <f t="shared" si="581"/>
        <v>0</v>
      </c>
      <c r="AL865" s="1636">
        <f t="shared" si="573"/>
        <v>0</v>
      </c>
      <c r="AM865" s="1636">
        <f t="shared" si="573"/>
        <v>0</v>
      </c>
      <c r="AN865" s="1637"/>
      <c r="AO865" s="1723">
        <v>1328</v>
      </c>
      <c r="AP865" s="1638"/>
      <c r="AQ865" s="1638"/>
      <c r="AR865" s="1638"/>
      <c r="AS865" s="1639"/>
      <c r="AT865" s="1638"/>
      <c r="AU865" s="1638"/>
      <c r="AV865" s="1638"/>
      <c r="AW865" s="1639"/>
      <c r="AX865" s="1640"/>
      <c r="AY865" s="1640"/>
      <c r="AZ865" s="1640"/>
      <c r="BA865" s="1641">
        <v>-85</v>
      </c>
      <c r="BB865" s="1640"/>
      <c r="BC865" s="1640"/>
      <c r="BD865" s="1640"/>
      <c r="BE865" s="1644">
        <v>-982.8</v>
      </c>
      <c r="BF865" s="1640"/>
      <c r="BG865" s="1640"/>
      <c r="BH865" s="1640"/>
      <c r="BI865" s="1641"/>
      <c r="BJ865" s="1640"/>
      <c r="BK865" s="1640"/>
      <c r="BL865" s="1640"/>
      <c r="BM865" s="1641"/>
      <c r="BN865" s="1640"/>
      <c r="BO865" s="1640"/>
      <c r="BP865" s="1640"/>
      <c r="BQ865" s="1641">
        <f>35.05-35.05</f>
        <v>0</v>
      </c>
      <c r="BR865" s="1640"/>
      <c r="BS865" s="1640"/>
      <c r="BT865" s="1640"/>
      <c r="BU865" s="1641"/>
      <c r="BV865" s="1640"/>
      <c r="BW865" s="1640"/>
      <c r="BX865" s="1640"/>
      <c r="BY865" s="1641"/>
      <c r="BZ865" s="1640"/>
      <c r="CA865" s="1640"/>
      <c r="CB865" s="1640"/>
      <c r="CC865" s="1641"/>
      <c r="CD865" s="1640"/>
      <c r="CE865" s="1640"/>
      <c r="CF865" s="1640"/>
      <c r="CG865" s="1642"/>
      <c r="CH865" s="1641">
        <f t="shared" si="582"/>
        <v>70</v>
      </c>
      <c r="CI865" s="1641">
        <f t="shared" si="582"/>
        <v>0</v>
      </c>
      <c r="CJ865" s="1641">
        <f t="shared" si="582"/>
        <v>0</v>
      </c>
      <c r="CK865" s="1641">
        <f t="shared" si="575"/>
        <v>0</v>
      </c>
      <c r="CL865" s="1889">
        <v>70</v>
      </c>
      <c r="CM865" s="1889">
        <v>0</v>
      </c>
      <c r="CN865" s="1889">
        <v>0</v>
      </c>
      <c r="CO865" s="1889">
        <v>0</v>
      </c>
      <c r="CP865" s="1641"/>
      <c r="CQ865" s="1640"/>
      <c r="CR865" s="1640"/>
      <c r="CS865" s="1640"/>
    </row>
    <row r="866" spans="1:107" ht="15" thickBot="1" x14ac:dyDescent="0.2">
      <c r="A866" s="1541" t="s">
        <v>94</v>
      </c>
      <c r="B866" s="1523" t="s">
        <v>79</v>
      </c>
      <c r="C866" s="1523" t="s">
        <v>80</v>
      </c>
      <c r="D866" s="1523" t="s">
        <v>125</v>
      </c>
      <c r="E866" s="1523" t="s">
        <v>216</v>
      </c>
      <c r="F866" s="1523"/>
      <c r="G866" s="1667">
        <v>290</v>
      </c>
      <c r="H866" s="1502">
        <v>18</v>
      </c>
      <c r="I866" s="1502"/>
      <c r="J866" s="1630"/>
      <c r="K866" s="1630"/>
      <c r="L866" s="1631"/>
      <c r="M866" s="1631"/>
      <c r="N866" s="1631"/>
      <c r="O866" s="1631"/>
      <c r="P866" s="1631"/>
      <c r="Q866" s="1631"/>
      <c r="R866" s="1631"/>
      <c r="S866" s="1631"/>
      <c r="T866" s="1632"/>
      <c r="U866" s="1633"/>
      <c r="V866" s="1633"/>
      <c r="W866" s="1634"/>
      <c r="X866" s="1634"/>
      <c r="Y866" s="1634"/>
      <c r="Z866" s="1635"/>
      <c r="AA866" s="1634">
        <f t="shared" si="562"/>
        <v>0</v>
      </c>
      <c r="AB866" s="1634"/>
      <c r="AC866" s="1508">
        <f t="shared" si="576"/>
        <v>18</v>
      </c>
      <c r="AD866" s="1509">
        <f t="shared" si="577"/>
        <v>0</v>
      </c>
      <c r="AE866" s="1509">
        <f t="shared" si="578"/>
        <v>0</v>
      </c>
      <c r="AF866" s="1509">
        <f t="shared" si="578"/>
        <v>0</v>
      </c>
      <c r="AG866" s="1509">
        <f t="shared" si="578"/>
        <v>0</v>
      </c>
      <c r="AH866" s="1490">
        <f t="shared" si="571"/>
        <v>0</v>
      </c>
      <c r="AI866" s="1636">
        <f t="shared" si="579"/>
        <v>0</v>
      </c>
      <c r="AJ866" s="1636">
        <f t="shared" si="580"/>
        <v>0</v>
      </c>
      <c r="AK866" s="1636">
        <f t="shared" si="581"/>
        <v>0</v>
      </c>
      <c r="AL866" s="1636">
        <f t="shared" si="573"/>
        <v>0</v>
      </c>
      <c r="AM866" s="1636">
        <f t="shared" si="573"/>
        <v>0</v>
      </c>
      <c r="AN866" s="1637"/>
      <c r="AO866" s="1722">
        <v>1.5</v>
      </c>
      <c r="AP866" s="1638"/>
      <c r="AQ866" s="1638"/>
      <c r="AR866" s="1638"/>
      <c r="AS866" s="1639"/>
      <c r="AT866" s="1638"/>
      <c r="AU866" s="1638"/>
      <c r="AV866" s="1638"/>
      <c r="AW866" s="1639"/>
      <c r="AX866" s="1640"/>
      <c r="AY866" s="1640"/>
      <c r="AZ866" s="1640"/>
      <c r="BA866" s="1641"/>
      <c r="BB866" s="1640"/>
      <c r="BC866" s="1640"/>
      <c r="BD866" s="1640"/>
      <c r="BE866" s="1644">
        <v>4.5</v>
      </c>
      <c r="BF866" s="1640"/>
      <c r="BG866" s="1640"/>
      <c r="BH866" s="1640"/>
      <c r="BI866" s="1641"/>
      <c r="BJ866" s="1640"/>
      <c r="BK866" s="1640"/>
      <c r="BL866" s="1640"/>
      <c r="BM866" s="1641"/>
      <c r="BN866" s="1640"/>
      <c r="BO866" s="1640"/>
      <c r="BP866" s="1640"/>
      <c r="BQ866" s="1641">
        <v>12</v>
      </c>
      <c r="BR866" s="1640"/>
      <c r="BS866" s="1640"/>
      <c r="BT866" s="1640"/>
      <c r="BU866" s="1641"/>
      <c r="BV866" s="1640"/>
      <c r="BW866" s="1640"/>
      <c r="BX866" s="1640"/>
      <c r="BY866" s="1641"/>
      <c r="BZ866" s="1640"/>
      <c r="CA866" s="1640"/>
      <c r="CB866" s="1640"/>
      <c r="CC866" s="1641"/>
      <c r="CD866" s="1640"/>
      <c r="CE866" s="1640"/>
      <c r="CF866" s="1640"/>
      <c r="CG866" s="1642"/>
      <c r="CH866" s="1641">
        <f t="shared" si="582"/>
        <v>0</v>
      </c>
      <c r="CI866" s="1641">
        <f t="shared" si="582"/>
        <v>0</v>
      </c>
      <c r="CJ866" s="1641">
        <f t="shared" si="582"/>
        <v>0</v>
      </c>
      <c r="CK866" s="1641">
        <f t="shared" si="575"/>
        <v>0</v>
      </c>
      <c r="CL866" s="1889">
        <v>0</v>
      </c>
      <c r="CM866" s="1889">
        <v>0</v>
      </c>
      <c r="CN866" s="1889">
        <v>0</v>
      </c>
      <c r="CO866" s="1889">
        <v>0</v>
      </c>
      <c r="CP866" s="1641"/>
      <c r="CQ866" s="1640"/>
      <c r="CR866" s="1640"/>
      <c r="CS866" s="1640"/>
    </row>
    <row r="867" spans="1:107" ht="15" thickBot="1" x14ac:dyDescent="0.2">
      <c r="A867" s="1541" t="s">
        <v>94</v>
      </c>
      <c r="B867" s="1523" t="s">
        <v>79</v>
      </c>
      <c r="C867" s="1523" t="s">
        <v>80</v>
      </c>
      <c r="D867" s="1523" t="s">
        <v>125</v>
      </c>
      <c r="E867" s="1523" t="s">
        <v>216</v>
      </c>
      <c r="F867" s="1523"/>
      <c r="G867" s="1667" t="s">
        <v>95</v>
      </c>
      <c r="H867" s="1502"/>
      <c r="I867" s="1502"/>
      <c r="J867" s="1630"/>
      <c r="K867" s="1630"/>
      <c r="L867" s="1631"/>
      <c r="M867" s="1631"/>
      <c r="N867" s="1631"/>
      <c r="O867" s="1631"/>
      <c r="P867" s="1631"/>
      <c r="Q867" s="1631"/>
      <c r="R867" s="1631"/>
      <c r="S867" s="1631"/>
      <c r="T867" s="1632"/>
      <c r="U867" s="1633"/>
      <c r="V867" s="1633"/>
      <c r="W867" s="1634"/>
      <c r="X867" s="1634"/>
      <c r="Y867" s="1634"/>
      <c r="Z867" s="1635"/>
      <c r="AA867" s="1634">
        <f t="shared" si="562"/>
        <v>0</v>
      </c>
      <c r="AB867" s="1634"/>
      <c r="AC867" s="1508">
        <f t="shared" si="576"/>
        <v>0</v>
      </c>
      <c r="AD867" s="1509">
        <f t="shared" si="577"/>
        <v>0</v>
      </c>
      <c r="AE867" s="1509">
        <f t="shared" si="578"/>
        <v>0</v>
      </c>
      <c r="AF867" s="1509">
        <f t="shared" si="578"/>
        <v>0</v>
      </c>
      <c r="AG867" s="1509">
        <f t="shared" si="578"/>
        <v>0</v>
      </c>
      <c r="AH867" s="1490">
        <f t="shared" si="571"/>
        <v>0</v>
      </c>
      <c r="AI867" s="1636">
        <f t="shared" si="579"/>
        <v>0</v>
      </c>
      <c r="AJ867" s="1636">
        <f t="shared" si="580"/>
        <v>0</v>
      </c>
      <c r="AK867" s="1636">
        <f t="shared" si="581"/>
        <v>0</v>
      </c>
      <c r="AL867" s="1636">
        <f t="shared" si="573"/>
        <v>0</v>
      </c>
      <c r="AM867" s="1636">
        <f t="shared" si="573"/>
        <v>0</v>
      </c>
      <c r="AN867" s="1637"/>
      <c r="AO867" s="1722">
        <v>0</v>
      </c>
      <c r="AP867" s="1638"/>
      <c r="AQ867" s="1638"/>
      <c r="AR867" s="1638"/>
      <c r="AS867" s="1639"/>
      <c r="AT867" s="1638"/>
      <c r="AU867" s="1638"/>
      <c r="AV867" s="1638"/>
      <c r="AW867" s="1639"/>
      <c r="AX867" s="1640"/>
      <c r="AY867" s="1640"/>
      <c r="AZ867" s="1640"/>
      <c r="BA867" s="1641"/>
      <c r="BB867" s="1640"/>
      <c r="BC867" s="1640"/>
      <c r="BD867" s="1640"/>
      <c r="BE867" s="1644"/>
      <c r="BF867" s="1640"/>
      <c r="BG867" s="1640"/>
      <c r="BH867" s="1640"/>
      <c r="BI867" s="1641"/>
      <c r="BJ867" s="1640"/>
      <c r="BK867" s="1640"/>
      <c r="BL867" s="1640"/>
      <c r="BM867" s="1641"/>
      <c r="BN867" s="1640"/>
      <c r="BO867" s="1640"/>
      <c r="BP867" s="1640"/>
      <c r="BQ867" s="1641"/>
      <c r="BR867" s="1640"/>
      <c r="BS867" s="1640"/>
      <c r="BT867" s="1640"/>
      <c r="BU867" s="1641"/>
      <c r="BV867" s="1640"/>
      <c r="BW867" s="1640"/>
      <c r="BX867" s="1640"/>
      <c r="BY867" s="1641"/>
      <c r="BZ867" s="1640"/>
      <c r="CA867" s="1640"/>
      <c r="CB867" s="1640"/>
      <c r="CC867" s="1641"/>
      <c r="CD867" s="1640"/>
      <c r="CE867" s="1640"/>
      <c r="CF867" s="1640"/>
      <c r="CG867" s="1642"/>
      <c r="CH867" s="1641">
        <f t="shared" si="582"/>
        <v>0</v>
      </c>
      <c r="CI867" s="1641">
        <f t="shared" si="582"/>
        <v>0</v>
      </c>
      <c r="CJ867" s="1641">
        <f t="shared" si="582"/>
        <v>0</v>
      </c>
      <c r="CK867" s="1641">
        <f t="shared" si="575"/>
        <v>0</v>
      </c>
      <c r="CL867" s="1889">
        <v>0</v>
      </c>
      <c r="CM867" s="1889">
        <v>0</v>
      </c>
      <c r="CN867" s="1889">
        <v>0</v>
      </c>
      <c r="CO867" s="1889">
        <v>0</v>
      </c>
      <c r="CP867" s="1641"/>
      <c r="CQ867" s="1640"/>
      <c r="CR867" s="1640"/>
      <c r="CS867" s="1640"/>
    </row>
    <row r="868" spans="1:107" ht="15" thickBot="1" x14ac:dyDescent="0.2">
      <c r="A868" s="1541" t="s">
        <v>96</v>
      </c>
      <c r="B868" s="1523" t="s">
        <v>79</v>
      </c>
      <c r="C868" s="1523" t="s">
        <v>80</v>
      </c>
      <c r="D868" s="1523" t="s">
        <v>125</v>
      </c>
      <c r="E868" s="1523" t="s">
        <v>216</v>
      </c>
      <c r="F868" s="1523"/>
      <c r="G868" s="1667">
        <v>310</v>
      </c>
      <c r="H868" s="1502">
        <v>30</v>
      </c>
      <c r="I868" s="1502"/>
      <c r="J868" s="1630"/>
      <c r="K868" s="1630"/>
      <c r="L868" s="1631"/>
      <c r="M868" s="1631"/>
      <c r="N868" s="1631"/>
      <c r="O868" s="1631"/>
      <c r="P868" s="1631"/>
      <c r="Q868" s="1631"/>
      <c r="R868" s="1631"/>
      <c r="S868" s="1631"/>
      <c r="T868" s="1632"/>
      <c r="U868" s="1633"/>
      <c r="V868" s="1633"/>
      <c r="W868" s="1634"/>
      <c r="X868" s="1634"/>
      <c r="Y868" s="1634"/>
      <c r="Z868" s="1635"/>
      <c r="AA868" s="1634">
        <f t="shared" si="562"/>
        <v>0</v>
      </c>
      <c r="AB868" s="1634"/>
      <c r="AC868" s="1508">
        <f t="shared" si="576"/>
        <v>30</v>
      </c>
      <c r="AD868" s="1509">
        <f t="shared" si="577"/>
        <v>0</v>
      </c>
      <c r="AE868" s="1509">
        <f t="shared" si="578"/>
        <v>0</v>
      </c>
      <c r="AF868" s="1509">
        <f t="shared" si="578"/>
        <v>0</v>
      </c>
      <c r="AG868" s="1509">
        <f t="shared" si="578"/>
        <v>0</v>
      </c>
      <c r="AH868" s="1490">
        <f t="shared" si="571"/>
        <v>0</v>
      </c>
      <c r="AI868" s="1636">
        <f t="shared" si="579"/>
        <v>0</v>
      </c>
      <c r="AJ868" s="1636">
        <f t="shared" si="580"/>
        <v>0</v>
      </c>
      <c r="AK868" s="1636">
        <f t="shared" si="581"/>
        <v>0</v>
      </c>
      <c r="AL868" s="1636">
        <f t="shared" si="573"/>
        <v>0</v>
      </c>
      <c r="AM868" s="1636">
        <f t="shared" si="573"/>
        <v>0</v>
      </c>
      <c r="AN868" s="1637"/>
      <c r="AO868" s="1723"/>
      <c r="AP868" s="1638"/>
      <c r="AQ868" s="1638"/>
      <c r="AR868" s="1638"/>
      <c r="AS868" s="1639"/>
      <c r="AT868" s="1638"/>
      <c r="AU868" s="1638"/>
      <c r="AV868" s="1638"/>
      <c r="AW868" s="1639"/>
      <c r="AX868" s="1640"/>
      <c r="AY868" s="1640"/>
      <c r="AZ868" s="1640"/>
      <c r="BA868" s="1641">
        <v>30</v>
      </c>
      <c r="BB868" s="1640"/>
      <c r="BC868" s="1640"/>
      <c r="BD868" s="1640"/>
      <c r="BE868" s="1644"/>
      <c r="BF868" s="1640"/>
      <c r="BG868" s="1640"/>
      <c r="BH868" s="1640"/>
      <c r="BI868" s="1641"/>
      <c r="BJ868" s="1640"/>
      <c r="BK868" s="1640"/>
      <c r="BL868" s="1640"/>
      <c r="BM868" s="1641"/>
      <c r="BN868" s="1640"/>
      <c r="BO868" s="1640"/>
      <c r="BP868" s="1640"/>
      <c r="BQ868" s="1641"/>
      <c r="BR868" s="1640"/>
      <c r="BS868" s="1640"/>
      <c r="BT868" s="1640"/>
      <c r="BU868" s="1641"/>
      <c r="BV868" s="1640"/>
      <c r="BW868" s="1640"/>
      <c r="BX868" s="1640"/>
      <c r="BY868" s="1641"/>
      <c r="BZ868" s="1640"/>
      <c r="CA868" s="1640"/>
      <c r="CB868" s="1640"/>
      <c r="CC868" s="1641"/>
      <c r="CD868" s="1640"/>
      <c r="CE868" s="1640"/>
      <c r="CF868" s="1640"/>
      <c r="CG868" s="1642"/>
      <c r="CH868" s="1641">
        <f t="shared" si="582"/>
        <v>0</v>
      </c>
      <c r="CI868" s="1641">
        <f t="shared" si="582"/>
        <v>0</v>
      </c>
      <c r="CJ868" s="1641">
        <f t="shared" si="582"/>
        <v>0</v>
      </c>
      <c r="CK868" s="1641">
        <f t="shared" si="575"/>
        <v>0</v>
      </c>
      <c r="CL868" s="1889">
        <v>0</v>
      </c>
      <c r="CM868" s="1889">
        <v>0</v>
      </c>
      <c r="CN868" s="1889">
        <v>0</v>
      </c>
      <c r="CO868" s="1889">
        <v>0</v>
      </c>
      <c r="CP868" s="1641"/>
      <c r="CQ868" s="1640"/>
      <c r="CR868" s="1640"/>
      <c r="CS868" s="1640"/>
    </row>
    <row r="869" spans="1:107" ht="15" thickBot="1" x14ac:dyDescent="0.2">
      <c r="A869" s="1541" t="s">
        <v>97</v>
      </c>
      <c r="B869" s="1523" t="s">
        <v>79</v>
      </c>
      <c r="C869" s="1523" t="s">
        <v>80</v>
      </c>
      <c r="D869" s="1523" t="s">
        <v>125</v>
      </c>
      <c r="E869" s="1523" t="s">
        <v>216</v>
      </c>
      <c r="F869" s="1523"/>
      <c r="G869" s="1667">
        <v>340</v>
      </c>
      <c r="H869" s="1502">
        <v>60</v>
      </c>
      <c r="I869" s="1502"/>
      <c r="J869" s="1630"/>
      <c r="K869" s="1630"/>
      <c r="L869" s="1631"/>
      <c r="M869" s="1631"/>
      <c r="N869" s="1631"/>
      <c r="O869" s="1631"/>
      <c r="P869" s="1631"/>
      <c r="Q869" s="1631"/>
      <c r="R869" s="1631"/>
      <c r="S869" s="1631"/>
      <c r="T869" s="1632"/>
      <c r="U869" s="1633"/>
      <c r="V869" s="1633"/>
      <c r="W869" s="1634"/>
      <c r="X869" s="1634"/>
      <c r="Y869" s="1634"/>
      <c r="Z869" s="1635"/>
      <c r="AA869" s="1634">
        <f t="shared" si="562"/>
        <v>0</v>
      </c>
      <c r="AB869" s="1634"/>
      <c r="AC869" s="1508">
        <f t="shared" si="576"/>
        <v>60</v>
      </c>
      <c r="AD869" s="1509">
        <f t="shared" si="577"/>
        <v>0</v>
      </c>
      <c r="AE869" s="1509">
        <f t="shared" si="578"/>
        <v>0</v>
      </c>
      <c r="AF869" s="1509">
        <f t="shared" si="578"/>
        <v>0</v>
      </c>
      <c r="AG869" s="1509">
        <f t="shared" si="578"/>
        <v>0</v>
      </c>
      <c r="AH869" s="1490">
        <f t="shared" si="571"/>
        <v>0</v>
      </c>
      <c r="AI869" s="1636">
        <f t="shared" si="579"/>
        <v>0</v>
      </c>
      <c r="AJ869" s="1636">
        <f t="shared" si="580"/>
        <v>0</v>
      </c>
      <c r="AK869" s="1636">
        <f t="shared" si="581"/>
        <v>0</v>
      </c>
      <c r="AL869" s="1636">
        <f t="shared" si="573"/>
        <v>0</v>
      </c>
      <c r="AM869" s="1636">
        <f t="shared" si="573"/>
        <v>0</v>
      </c>
      <c r="AN869" s="1637"/>
      <c r="AO869" s="1722">
        <v>4</v>
      </c>
      <c r="AP869" s="1638"/>
      <c r="AQ869" s="1638"/>
      <c r="AR869" s="1638"/>
      <c r="AS869" s="1639"/>
      <c r="AT869" s="1638"/>
      <c r="AU869" s="1638"/>
      <c r="AV869" s="1638"/>
      <c r="AW869" s="1639"/>
      <c r="AX869" s="1640"/>
      <c r="AY869" s="1640"/>
      <c r="AZ869" s="1640"/>
      <c r="BA869" s="1641">
        <v>55</v>
      </c>
      <c r="BB869" s="1640"/>
      <c r="BC869" s="1640"/>
      <c r="BD869" s="1640"/>
      <c r="BE869" s="1644"/>
      <c r="BF869" s="1640"/>
      <c r="BG869" s="1640"/>
      <c r="BH869" s="1640"/>
      <c r="BI869" s="1641"/>
      <c r="BJ869" s="1640"/>
      <c r="BK869" s="1640"/>
      <c r="BL869" s="1640"/>
      <c r="BM869" s="1641"/>
      <c r="BN869" s="1640"/>
      <c r="BO869" s="1640"/>
      <c r="BP869" s="1640"/>
      <c r="BQ869" s="1641">
        <v>1</v>
      </c>
      <c r="BR869" s="1640"/>
      <c r="BS869" s="1640"/>
      <c r="BT869" s="1640"/>
      <c r="BU869" s="1641"/>
      <c r="BV869" s="1640"/>
      <c r="BW869" s="1640"/>
      <c r="BX869" s="1640"/>
      <c r="BY869" s="1641"/>
      <c r="BZ869" s="1640"/>
      <c r="CA869" s="1640"/>
      <c r="CB869" s="1640"/>
      <c r="CC869" s="1641"/>
      <c r="CD869" s="1640"/>
      <c r="CE869" s="1640"/>
      <c r="CF869" s="1640"/>
      <c r="CG869" s="1642"/>
      <c r="CH869" s="1641">
        <f t="shared" si="582"/>
        <v>0</v>
      </c>
      <c r="CI869" s="1641">
        <f t="shared" si="582"/>
        <v>0</v>
      </c>
      <c r="CJ869" s="1641">
        <f t="shared" si="582"/>
        <v>0</v>
      </c>
      <c r="CK869" s="1641">
        <f t="shared" si="575"/>
        <v>0</v>
      </c>
      <c r="CL869" s="1889">
        <v>0</v>
      </c>
      <c r="CM869" s="1889">
        <v>0</v>
      </c>
      <c r="CN869" s="1889">
        <v>0</v>
      </c>
      <c r="CO869" s="1889">
        <v>0</v>
      </c>
      <c r="CP869" s="1641"/>
      <c r="CQ869" s="1640"/>
      <c r="CR869" s="1640"/>
      <c r="CS869" s="1640"/>
    </row>
    <row r="870" spans="1:107" ht="15" thickBot="1" x14ac:dyDescent="0.2">
      <c r="A870" s="1528" t="s">
        <v>767</v>
      </c>
      <c r="B870" s="1530" t="s">
        <v>79</v>
      </c>
      <c r="C870" s="1530" t="s">
        <v>80</v>
      </c>
      <c r="D870" s="1530" t="s">
        <v>125</v>
      </c>
      <c r="E870" s="1530" t="s">
        <v>216</v>
      </c>
      <c r="F870" s="1530">
        <v>612</v>
      </c>
      <c r="G870" s="1687" t="s">
        <v>766</v>
      </c>
      <c r="H870" s="1647">
        <f>I856</f>
        <v>0</v>
      </c>
      <c r="I870" s="1645"/>
      <c r="J870" s="1630"/>
      <c r="K870" s="1630"/>
      <c r="L870" s="1631"/>
      <c r="M870" s="1631"/>
      <c r="N870" s="1631"/>
      <c r="O870" s="1631"/>
      <c r="P870" s="1631"/>
      <c r="Q870" s="1631"/>
      <c r="R870" s="1631"/>
      <c r="S870" s="1631"/>
      <c r="T870" s="1632"/>
      <c r="U870" s="1633"/>
      <c r="V870" s="1633"/>
      <c r="W870" s="1634"/>
      <c r="X870" s="1634"/>
      <c r="Y870" s="1634"/>
      <c r="Z870" s="1635"/>
      <c r="AA870" s="1634">
        <f t="shared" si="562"/>
        <v>0</v>
      </c>
      <c r="AB870" s="1634"/>
      <c r="AC870" s="1508"/>
      <c r="AD870" s="1509"/>
      <c r="AE870" s="1509"/>
      <c r="AF870" s="1509"/>
      <c r="AG870" s="1509"/>
      <c r="AH870" s="1490">
        <f t="shared" si="571"/>
        <v>0</v>
      </c>
      <c r="AI870" s="1636"/>
      <c r="AJ870" s="1636"/>
      <c r="AK870" s="1636"/>
      <c r="AL870" s="1636">
        <f t="shared" si="573"/>
        <v>0</v>
      </c>
      <c r="AM870" s="1636"/>
      <c r="AN870" s="1712"/>
      <c r="AO870" s="1713"/>
      <c r="AP870" s="1638"/>
      <c r="AQ870" s="1638"/>
      <c r="AR870" s="1638"/>
      <c r="AS870" s="1639"/>
      <c r="AT870" s="1638"/>
      <c r="AU870" s="1638"/>
      <c r="AV870" s="1638"/>
      <c r="AW870" s="1639"/>
      <c r="AX870" s="1640"/>
      <c r="AY870" s="1640"/>
      <c r="AZ870" s="1640"/>
      <c r="BA870" s="1641"/>
      <c r="BB870" s="1640"/>
      <c r="BC870" s="1640"/>
      <c r="BD870" s="1640"/>
      <c r="BE870" s="1644"/>
      <c r="BF870" s="1640"/>
      <c r="BG870" s="1640"/>
      <c r="BH870" s="1640"/>
      <c r="BI870" s="1641"/>
      <c r="BJ870" s="1640"/>
      <c r="BK870" s="1640"/>
      <c r="BL870" s="1640"/>
      <c r="BM870" s="1641"/>
      <c r="BN870" s="1640"/>
      <c r="BO870" s="1640"/>
      <c r="BP870" s="1640"/>
      <c r="BQ870" s="1641"/>
      <c r="BR870" s="1640"/>
      <c r="BS870" s="1640"/>
      <c r="BT870" s="1640"/>
      <c r="BU870" s="1641"/>
      <c r="BV870" s="1640"/>
      <c r="BW870" s="1640"/>
      <c r="BX870" s="1640"/>
      <c r="BY870" s="1641"/>
      <c r="BZ870" s="1640"/>
      <c r="CA870" s="1640"/>
      <c r="CB870" s="1640"/>
      <c r="CC870" s="1641"/>
      <c r="CD870" s="1640"/>
      <c r="CE870" s="1640"/>
      <c r="CF870" s="1640"/>
      <c r="CG870" s="1642"/>
      <c r="CH870" s="1641">
        <f t="shared" si="582"/>
        <v>0</v>
      </c>
      <c r="CI870" s="1641">
        <f t="shared" si="582"/>
        <v>0</v>
      </c>
      <c r="CJ870" s="1641">
        <f t="shared" si="582"/>
        <v>0</v>
      </c>
      <c r="CK870" s="1641">
        <f t="shared" si="575"/>
        <v>0</v>
      </c>
      <c r="CL870" s="1898"/>
      <c r="CM870" s="1898"/>
      <c r="CN870" s="1889">
        <v>0</v>
      </c>
      <c r="CO870" s="1898"/>
      <c r="CP870" s="1641"/>
      <c r="CQ870" s="1640"/>
      <c r="CR870" s="1640"/>
      <c r="CS870" s="1640"/>
    </row>
    <row r="871" spans="1:107" s="1886" customFormat="1" ht="70.5" customHeight="1" thickBot="1" x14ac:dyDescent="0.2">
      <c r="A871" s="1873" t="s">
        <v>1298</v>
      </c>
      <c r="B871" s="1941" t="s">
        <v>79</v>
      </c>
      <c r="C871" s="1941" t="s">
        <v>80</v>
      </c>
      <c r="D871" s="1941" t="s">
        <v>125</v>
      </c>
      <c r="E871" s="1941" t="s">
        <v>216</v>
      </c>
      <c r="F871" s="1941">
        <v>600</v>
      </c>
      <c r="G871" s="1874"/>
      <c r="H871" s="1606">
        <f>H872+H886</f>
        <v>8719.9000000000015</v>
      </c>
      <c r="I871" s="1606">
        <f>I872+I886</f>
        <v>0</v>
      </c>
      <c r="J871" s="1606">
        <f>J872+J886</f>
        <v>0</v>
      </c>
      <c r="K871" s="1606">
        <f>K872+K886</f>
        <v>200</v>
      </c>
      <c r="L871" s="1607"/>
      <c r="M871" s="1607"/>
      <c r="N871" s="1607"/>
      <c r="O871" s="1607"/>
      <c r="P871" s="1607"/>
      <c r="Q871" s="1607"/>
      <c r="R871" s="1607"/>
      <c r="S871" s="1607"/>
      <c r="T871" s="1608"/>
      <c r="U871" s="1609"/>
      <c r="V871" s="1609"/>
      <c r="W871" s="1610"/>
      <c r="X871" s="1610"/>
      <c r="Y871" s="1610"/>
      <c r="Z871" s="1611"/>
      <c r="AA871" s="1634">
        <f t="shared" si="562"/>
        <v>0</v>
      </c>
      <c r="AB871" s="1610"/>
      <c r="AC871" s="1612">
        <f t="shared" ref="AC871:CF871" si="583">AC872+AC886</f>
        <v>8719.9000000000015</v>
      </c>
      <c r="AD871" s="1612">
        <f t="shared" si="583"/>
        <v>200</v>
      </c>
      <c r="AE871" s="1612">
        <f t="shared" si="583"/>
        <v>0</v>
      </c>
      <c r="AF871" s="1612">
        <f t="shared" si="583"/>
        <v>0</v>
      </c>
      <c r="AG871" s="1612">
        <f t="shared" si="583"/>
        <v>200</v>
      </c>
      <c r="AH871" s="1490">
        <f t="shared" si="571"/>
        <v>349.03</v>
      </c>
      <c r="AI871" s="1613">
        <f t="shared" si="583"/>
        <v>0</v>
      </c>
      <c r="AJ871" s="1613">
        <f t="shared" si="583"/>
        <v>0</v>
      </c>
      <c r="AK871" s="1613">
        <f t="shared" si="583"/>
        <v>0</v>
      </c>
      <c r="AL871" s="1636">
        <f t="shared" si="573"/>
        <v>0</v>
      </c>
      <c r="AM871" s="1613">
        <f t="shared" si="583"/>
        <v>0</v>
      </c>
      <c r="AN871" s="1614"/>
      <c r="AO871" s="1606">
        <f t="shared" si="583"/>
        <v>693.19999999999993</v>
      </c>
      <c r="AP871" s="1606">
        <f t="shared" si="583"/>
        <v>0</v>
      </c>
      <c r="AQ871" s="1606">
        <f t="shared" si="583"/>
        <v>0</v>
      </c>
      <c r="AR871" s="1606">
        <f t="shared" si="583"/>
        <v>0</v>
      </c>
      <c r="AS871" s="1611">
        <f t="shared" si="583"/>
        <v>691.9</v>
      </c>
      <c r="AT871" s="1606">
        <f t="shared" si="583"/>
        <v>0</v>
      </c>
      <c r="AU871" s="1606">
        <f t="shared" si="583"/>
        <v>0</v>
      </c>
      <c r="AV871" s="1606">
        <f t="shared" si="583"/>
        <v>0</v>
      </c>
      <c r="AW871" s="1611">
        <f t="shared" si="583"/>
        <v>691.9</v>
      </c>
      <c r="AX871" s="1606">
        <f t="shared" si="583"/>
        <v>0</v>
      </c>
      <c r="AY871" s="1606">
        <f t="shared" si="583"/>
        <v>0</v>
      </c>
      <c r="AZ871" s="1606">
        <f t="shared" si="583"/>
        <v>0</v>
      </c>
      <c r="BA871" s="1614">
        <f t="shared" si="583"/>
        <v>691.9</v>
      </c>
      <c r="BB871" s="1606">
        <f t="shared" si="583"/>
        <v>0</v>
      </c>
      <c r="BC871" s="1606">
        <f t="shared" si="583"/>
        <v>0</v>
      </c>
      <c r="BD871" s="1606">
        <f t="shared" si="583"/>
        <v>0</v>
      </c>
      <c r="BE871" s="1615">
        <f t="shared" si="583"/>
        <v>695.69999999999993</v>
      </c>
      <c r="BF871" s="1606">
        <f t="shared" si="583"/>
        <v>0</v>
      </c>
      <c r="BG871" s="1606">
        <f t="shared" si="583"/>
        <v>0</v>
      </c>
      <c r="BH871" s="1606">
        <f t="shared" si="583"/>
        <v>0</v>
      </c>
      <c r="BI871" s="1614">
        <f t="shared" si="583"/>
        <v>220.417</v>
      </c>
      <c r="BJ871" s="1606">
        <f t="shared" si="583"/>
        <v>0</v>
      </c>
      <c r="BK871" s="1606">
        <f t="shared" si="583"/>
        <v>0</v>
      </c>
      <c r="BL871" s="1606">
        <f t="shared" si="583"/>
        <v>0</v>
      </c>
      <c r="BM871" s="1614">
        <f t="shared" si="583"/>
        <v>1980.2829999999999</v>
      </c>
      <c r="BN871" s="1606">
        <f t="shared" si="583"/>
        <v>0</v>
      </c>
      <c r="BO871" s="1606">
        <f t="shared" si="583"/>
        <v>0</v>
      </c>
      <c r="BP871" s="1606">
        <f t="shared" si="583"/>
        <v>0</v>
      </c>
      <c r="BQ871" s="1614">
        <f t="shared" si="583"/>
        <v>751.94999999999993</v>
      </c>
      <c r="BR871" s="1606">
        <f t="shared" si="583"/>
        <v>0</v>
      </c>
      <c r="BS871" s="1606">
        <f t="shared" si="583"/>
        <v>0</v>
      </c>
      <c r="BT871" s="1606">
        <f t="shared" si="583"/>
        <v>0</v>
      </c>
      <c r="BU871" s="1614">
        <f t="shared" si="583"/>
        <v>525.19999999999993</v>
      </c>
      <c r="BV871" s="1606">
        <f t="shared" si="583"/>
        <v>0</v>
      </c>
      <c r="BW871" s="1606">
        <f t="shared" si="583"/>
        <v>0</v>
      </c>
      <c r="BX871" s="1606">
        <f t="shared" si="583"/>
        <v>133.167</v>
      </c>
      <c r="BY871" s="1614">
        <f t="shared" si="583"/>
        <v>753.78000000000009</v>
      </c>
      <c r="BZ871" s="1606">
        <f t="shared" si="583"/>
        <v>0</v>
      </c>
      <c r="CA871" s="1606">
        <f t="shared" si="583"/>
        <v>0</v>
      </c>
      <c r="CB871" s="1606">
        <f t="shared" si="583"/>
        <v>0</v>
      </c>
      <c r="CC871" s="1614">
        <f t="shared" si="583"/>
        <v>674.64</v>
      </c>
      <c r="CD871" s="1606">
        <f t="shared" si="583"/>
        <v>0</v>
      </c>
      <c r="CE871" s="1606">
        <f t="shared" si="583"/>
        <v>0</v>
      </c>
      <c r="CF871" s="1606">
        <f t="shared" si="583"/>
        <v>0</v>
      </c>
      <c r="CG871" s="1616"/>
      <c r="CH871" s="1641">
        <f t="shared" si="582"/>
        <v>349.03</v>
      </c>
      <c r="CI871" s="1641">
        <f t="shared" si="582"/>
        <v>0</v>
      </c>
      <c r="CJ871" s="1641">
        <f t="shared" si="582"/>
        <v>0</v>
      </c>
      <c r="CK871" s="1641">
        <f t="shared" si="575"/>
        <v>66.832999999999998</v>
      </c>
      <c r="CL871" s="1943">
        <v>349.03</v>
      </c>
      <c r="CM871" s="1943">
        <v>0</v>
      </c>
      <c r="CN871" s="1889">
        <v>0</v>
      </c>
      <c r="CO871" s="1943">
        <v>66.832999999999998</v>
      </c>
      <c r="CP871" s="1614">
        <f>CP872+CP886</f>
        <v>0</v>
      </c>
      <c r="CQ871" s="1606">
        <f>CQ872+CQ886</f>
        <v>0</v>
      </c>
      <c r="CR871" s="1606">
        <f>CR872+CR886</f>
        <v>0</v>
      </c>
      <c r="CS871" s="1606">
        <f>CS872+CS886</f>
        <v>0</v>
      </c>
      <c r="CT871" s="1885"/>
      <c r="CU871" s="1885"/>
      <c r="CV871" s="1885"/>
      <c r="CW871" s="1885"/>
      <c r="CY871" s="1885"/>
    </row>
    <row r="872" spans="1:107" ht="53" thickBot="1" x14ac:dyDescent="0.2">
      <c r="A872" s="1748" t="s">
        <v>1135</v>
      </c>
      <c r="B872" s="1749" t="s">
        <v>79</v>
      </c>
      <c r="C872" s="1749" t="s">
        <v>80</v>
      </c>
      <c r="D872" s="1749" t="s">
        <v>125</v>
      </c>
      <c r="E872" s="1749" t="s">
        <v>216</v>
      </c>
      <c r="F872" s="1749" t="s">
        <v>765</v>
      </c>
      <c r="G872" s="1600" t="s">
        <v>766</v>
      </c>
      <c r="H872" s="1531">
        <f>H873+H874+H875+H876+H877+H878+H879+H880+H881+H882+H883+H884+H885</f>
        <v>8719.9000000000015</v>
      </c>
      <c r="I872" s="1531">
        <f>I873+I874+I875+I876+I877+I878+I879+I880+I881+I882+I883+I884+I885</f>
        <v>0</v>
      </c>
      <c r="J872" s="1531">
        <f>J873+J874+J875+J876+J877+J878+J879+J880+J881+J882+J883+J884+J885</f>
        <v>0</v>
      </c>
      <c r="K872" s="1531">
        <f>K873+K874+K875+K876+K877+K878+K879+K880+K881+K882+K883+K884+K885</f>
        <v>200</v>
      </c>
      <c r="L872" s="1601"/>
      <c r="M872" s="1601"/>
      <c r="N872" s="1601"/>
      <c r="O872" s="1601"/>
      <c r="P872" s="1601"/>
      <c r="Q872" s="1601"/>
      <c r="R872" s="1601"/>
      <c r="S872" s="1601"/>
      <c r="T872" s="1602"/>
      <c r="U872" s="1533"/>
      <c r="V872" s="1533"/>
      <c r="W872" s="1534"/>
      <c r="X872" s="1534"/>
      <c r="Y872" s="1534"/>
      <c r="Z872" s="1535"/>
      <c r="AA872" s="1634">
        <f t="shared" si="562"/>
        <v>0</v>
      </c>
      <c r="AB872" s="1534"/>
      <c r="AC872" s="1603">
        <f t="shared" ref="AC872:CF872" si="584">AC873+AC874+AC875+AC876+AC877+AC878+AC879+AC880+AC881+AC882+AC883+AC884+AC885</f>
        <v>8719.9000000000015</v>
      </c>
      <c r="AD872" s="1603">
        <f t="shared" si="584"/>
        <v>200</v>
      </c>
      <c r="AE872" s="1603">
        <f t="shared" si="584"/>
        <v>0</v>
      </c>
      <c r="AF872" s="1603">
        <f t="shared" si="584"/>
        <v>0</v>
      </c>
      <c r="AG872" s="1603">
        <f t="shared" si="584"/>
        <v>200</v>
      </c>
      <c r="AH872" s="1490">
        <f t="shared" si="571"/>
        <v>349.03</v>
      </c>
      <c r="AI872" s="1592">
        <f t="shared" si="584"/>
        <v>0</v>
      </c>
      <c r="AJ872" s="1592">
        <f t="shared" si="584"/>
        <v>0</v>
      </c>
      <c r="AK872" s="1592">
        <f t="shared" si="584"/>
        <v>0</v>
      </c>
      <c r="AL872" s="1636">
        <f t="shared" si="573"/>
        <v>0</v>
      </c>
      <c r="AM872" s="1592">
        <f t="shared" si="584"/>
        <v>0</v>
      </c>
      <c r="AN872" s="1706"/>
      <c r="AO872" s="1707">
        <f t="shared" si="584"/>
        <v>693.19999999999993</v>
      </c>
      <c r="AP872" s="1531">
        <f t="shared" si="584"/>
        <v>0</v>
      </c>
      <c r="AQ872" s="1531">
        <f t="shared" si="584"/>
        <v>0</v>
      </c>
      <c r="AR872" s="1531">
        <f t="shared" si="584"/>
        <v>0</v>
      </c>
      <c r="AS872" s="1535">
        <f t="shared" si="584"/>
        <v>691.9</v>
      </c>
      <c r="AT872" s="1531">
        <f t="shared" si="584"/>
        <v>0</v>
      </c>
      <c r="AU872" s="1531">
        <f t="shared" si="584"/>
        <v>0</v>
      </c>
      <c r="AV872" s="1531">
        <f t="shared" si="584"/>
        <v>0</v>
      </c>
      <c r="AW872" s="1535">
        <f t="shared" si="584"/>
        <v>691.9</v>
      </c>
      <c r="AX872" s="1531">
        <f t="shared" si="584"/>
        <v>0</v>
      </c>
      <c r="AY872" s="1531">
        <f t="shared" si="584"/>
        <v>0</v>
      </c>
      <c r="AZ872" s="1531">
        <f t="shared" si="584"/>
        <v>0</v>
      </c>
      <c r="BA872" s="1538">
        <f t="shared" si="584"/>
        <v>691.9</v>
      </c>
      <c r="BB872" s="1531">
        <f t="shared" si="584"/>
        <v>0</v>
      </c>
      <c r="BC872" s="1531">
        <f t="shared" si="584"/>
        <v>0</v>
      </c>
      <c r="BD872" s="1531">
        <f t="shared" si="584"/>
        <v>0</v>
      </c>
      <c r="BE872" s="1539">
        <f t="shared" si="584"/>
        <v>695.69999999999993</v>
      </c>
      <c r="BF872" s="1531">
        <f t="shared" si="584"/>
        <v>0</v>
      </c>
      <c r="BG872" s="1531">
        <f t="shared" si="584"/>
        <v>0</v>
      </c>
      <c r="BH872" s="1531">
        <f t="shared" si="584"/>
        <v>0</v>
      </c>
      <c r="BI872" s="1538">
        <f t="shared" si="584"/>
        <v>220.417</v>
      </c>
      <c r="BJ872" s="1531">
        <f t="shared" si="584"/>
        <v>0</v>
      </c>
      <c r="BK872" s="1531">
        <f t="shared" si="584"/>
        <v>0</v>
      </c>
      <c r="BL872" s="1531">
        <f t="shared" si="584"/>
        <v>0</v>
      </c>
      <c r="BM872" s="1538">
        <f t="shared" si="584"/>
        <v>1980.2829999999999</v>
      </c>
      <c r="BN872" s="1531">
        <f t="shared" si="584"/>
        <v>0</v>
      </c>
      <c r="BO872" s="1531">
        <f t="shared" si="584"/>
        <v>0</v>
      </c>
      <c r="BP872" s="1531">
        <f t="shared" si="584"/>
        <v>0</v>
      </c>
      <c r="BQ872" s="1538">
        <f t="shared" si="584"/>
        <v>751.94999999999993</v>
      </c>
      <c r="BR872" s="1531">
        <f t="shared" si="584"/>
        <v>0</v>
      </c>
      <c r="BS872" s="1531">
        <f t="shared" si="584"/>
        <v>0</v>
      </c>
      <c r="BT872" s="1531">
        <f t="shared" si="584"/>
        <v>0</v>
      </c>
      <c r="BU872" s="1538">
        <f t="shared" si="584"/>
        <v>525.19999999999993</v>
      </c>
      <c r="BV872" s="1531">
        <f t="shared" si="584"/>
        <v>0</v>
      </c>
      <c r="BW872" s="1531">
        <f t="shared" si="584"/>
        <v>0</v>
      </c>
      <c r="BX872" s="1531">
        <f t="shared" si="584"/>
        <v>133.167</v>
      </c>
      <c r="BY872" s="1538">
        <f t="shared" si="584"/>
        <v>753.78000000000009</v>
      </c>
      <c r="BZ872" s="1531">
        <f t="shared" si="584"/>
        <v>0</v>
      </c>
      <c r="CA872" s="1531">
        <f t="shared" si="584"/>
        <v>0</v>
      </c>
      <c r="CB872" s="1531">
        <f t="shared" si="584"/>
        <v>0</v>
      </c>
      <c r="CC872" s="1538">
        <f t="shared" si="584"/>
        <v>674.64</v>
      </c>
      <c r="CD872" s="1531">
        <f t="shared" si="584"/>
        <v>0</v>
      </c>
      <c r="CE872" s="1531">
        <f t="shared" si="584"/>
        <v>0</v>
      </c>
      <c r="CF872" s="1531">
        <f t="shared" si="584"/>
        <v>0</v>
      </c>
      <c r="CG872" s="1705"/>
      <c r="CH872" s="1641">
        <f t="shared" si="582"/>
        <v>349.03</v>
      </c>
      <c r="CI872" s="1641">
        <f t="shared" si="582"/>
        <v>0</v>
      </c>
      <c r="CJ872" s="1641">
        <f t="shared" si="582"/>
        <v>0</v>
      </c>
      <c r="CK872" s="1641">
        <f t="shared" si="575"/>
        <v>66.832999999999998</v>
      </c>
      <c r="CL872" s="1902">
        <v>349.03</v>
      </c>
      <c r="CM872" s="1902">
        <v>0</v>
      </c>
      <c r="CN872" s="1889">
        <v>0</v>
      </c>
      <c r="CO872" s="1902">
        <v>66.832999999999998</v>
      </c>
      <c r="CP872" s="1538">
        <f>CP873+CP874+CP875+CP876+CP877+CP878+CP879+CP880+CP881+CP882+CP883+CP884+CP885</f>
        <v>0</v>
      </c>
      <c r="CQ872" s="1531">
        <f>CQ873+CQ874+CQ875+CQ876+CQ877+CQ878+CQ879+CQ880+CQ881+CQ882+CQ883+CQ884+CQ885</f>
        <v>0</v>
      </c>
      <c r="CR872" s="1531">
        <f>CR873+CR874+CR875+CR876+CR877+CR878+CR879+CR880+CR881+CR882+CR883+CR884+CR885</f>
        <v>0</v>
      </c>
      <c r="CS872" s="1531">
        <f>CS873+CS874+CS875+CS876+CS877+CS878+CS879+CS880+CS881+CS882+CS883+CS884+CS885</f>
        <v>0</v>
      </c>
    </row>
    <row r="873" spans="1:107" ht="15" thickBot="1" x14ac:dyDescent="0.2">
      <c r="A873" s="1541" t="s">
        <v>78</v>
      </c>
      <c r="B873" s="1523" t="s">
        <v>79</v>
      </c>
      <c r="C873" s="1523" t="s">
        <v>80</v>
      </c>
      <c r="D873" s="1523" t="s">
        <v>125</v>
      </c>
      <c r="E873" s="1523" t="s">
        <v>216</v>
      </c>
      <c r="F873" s="1523"/>
      <c r="G873" s="1667">
        <v>211</v>
      </c>
      <c r="H873" s="1502">
        <v>6376.8</v>
      </c>
      <c r="I873" s="1502"/>
      <c r="J873" s="1630"/>
      <c r="K873" s="1630"/>
      <c r="L873" s="1631"/>
      <c r="M873" s="1631"/>
      <c r="N873" s="1631"/>
      <c r="O873" s="1631"/>
      <c r="P873" s="1631"/>
      <c r="Q873" s="1631"/>
      <c r="R873" s="1631"/>
      <c r="S873" s="1631"/>
      <c r="T873" s="1632"/>
      <c r="U873" s="1633"/>
      <c r="V873" s="1633"/>
      <c r="W873" s="1634"/>
      <c r="X873" s="1634"/>
      <c r="Y873" s="1634"/>
      <c r="Z873" s="1635">
        <v>250.14</v>
      </c>
      <c r="AA873" s="1634">
        <f t="shared" si="562"/>
        <v>-250.14</v>
      </c>
      <c r="AB873" s="1511">
        <f>AI873</f>
        <v>0</v>
      </c>
      <c r="AC873" s="1508">
        <f t="shared" ref="AC873:AC885" si="585">AO873+AS873+AW873+BA873+BE873+BI873+BM873+BQ873+BU873+BY873+CC873+CH873</f>
        <v>6376.8</v>
      </c>
      <c r="AD873" s="1509">
        <f t="shared" ref="AD873:AD885" si="586">AE873+AF873+AG873</f>
        <v>0</v>
      </c>
      <c r="AE873" s="1509">
        <f t="shared" ref="AE873:AG885" si="587">AP873+AT873+AX873+BB873+BF873+BJ873+BN873+BR873+BV873+BZ873+CD873+CI873</f>
        <v>0</v>
      </c>
      <c r="AF873" s="1509">
        <f t="shared" si="587"/>
        <v>0</v>
      </c>
      <c r="AG873" s="1509">
        <f t="shared" si="587"/>
        <v>0</v>
      </c>
      <c r="AH873" s="1490">
        <f t="shared" si="571"/>
        <v>59.18</v>
      </c>
      <c r="AI873" s="1636">
        <f t="shared" ref="AI873:AI885" si="588">H873-AC873</f>
        <v>0</v>
      </c>
      <c r="AJ873" s="1636">
        <f t="shared" ref="AJ873:AJ885" si="589">AK873+AL873+AM873</f>
        <v>0</v>
      </c>
      <c r="AK873" s="1636">
        <f t="shared" ref="AK873:AK885" si="590">I873-AE873</f>
        <v>0</v>
      </c>
      <c r="AL873" s="1636">
        <f t="shared" si="573"/>
        <v>0</v>
      </c>
      <c r="AM873" s="1636">
        <f t="shared" si="573"/>
        <v>0</v>
      </c>
      <c r="AN873" s="1637">
        <f>AI873/4</f>
        <v>0</v>
      </c>
      <c r="AO873" s="1722">
        <v>531.4</v>
      </c>
      <c r="AP873" s="1638"/>
      <c r="AQ873" s="1638"/>
      <c r="AR873" s="1638"/>
      <c r="AS873" s="1963">
        <v>531.4</v>
      </c>
      <c r="AT873" s="1638"/>
      <c r="AU873" s="1638"/>
      <c r="AV873" s="1638"/>
      <c r="AW873" s="1722">
        <v>531.4</v>
      </c>
      <c r="AX873" s="1640"/>
      <c r="AY873" s="1640"/>
      <c r="AZ873" s="1640"/>
      <c r="BA873" s="1964">
        <v>531.4</v>
      </c>
      <c r="BB873" s="1640"/>
      <c r="BC873" s="1640"/>
      <c r="BD873" s="1640"/>
      <c r="BE873" s="1964">
        <v>531.4</v>
      </c>
      <c r="BF873" s="1640"/>
      <c r="BG873" s="1640"/>
      <c r="BH873" s="1640"/>
      <c r="BI873" s="1641">
        <f>170.417</f>
        <v>170.417</v>
      </c>
      <c r="BJ873" s="1640"/>
      <c r="BK873" s="1640"/>
      <c r="BL873" s="1640"/>
      <c r="BM873" s="1641">
        <f>360.983+1062.8</f>
        <v>1423.7829999999999</v>
      </c>
      <c r="BN873" s="1640"/>
      <c r="BO873" s="1640"/>
      <c r="BP873" s="1640"/>
      <c r="BQ873" s="1641">
        <v>531.4</v>
      </c>
      <c r="BR873" s="1640"/>
      <c r="BS873" s="1640"/>
      <c r="BT873" s="1640"/>
      <c r="BU873" s="1641">
        <v>398.6</v>
      </c>
      <c r="BV873" s="1640"/>
      <c r="BW873" s="1640"/>
      <c r="BX873" s="1640"/>
      <c r="BY873" s="1641">
        <f>119.58+634.2</f>
        <v>753.78000000000009</v>
      </c>
      <c r="BZ873" s="1640"/>
      <c r="CA873" s="1640"/>
      <c r="CB873" s="1640"/>
      <c r="CC873" s="1641">
        <f>132.5+250.14</f>
        <v>382.64</v>
      </c>
      <c r="CD873" s="1640"/>
      <c r="CE873" s="1640"/>
      <c r="CF873" s="1640"/>
      <c r="CG873" s="1642"/>
      <c r="CH873" s="1641">
        <f t="shared" si="582"/>
        <v>59.18</v>
      </c>
      <c r="CI873" s="1641">
        <f t="shared" si="582"/>
        <v>0</v>
      </c>
      <c r="CJ873" s="1641">
        <f t="shared" si="582"/>
        <v>0</v>
      </c>
      <c r="CK873" s="1641">
        <f t="shared" si="575"/>
        <v>0</v>
      </c>
      <c r="CL873" s="1889">
        <v>59.18</v>
      </c>
      <c r="CM873" s="1889">
        <v>0</v>
      </c>
      <c r="CN873" s="1889">
        <v>0</v>
      </c>
      <c r="CO873" s="1889">
        <v>0</v>
      </c>
      <c r="CP873" s="1641"/>
      <c r="CQ873" s="1640"/>
      <c r="CR873" s="1640"/>
      <c r="CS873" s="1640"/>
      <c r="CX873" s="1558">
        <f>H873/12*10-AC873</f>
        <v>-1062.8000000000002</v>
      </c>
      <c r="CY873" s="1558">
        <f>AI873/3</f>
        <v>0</v>
      </c>
      <c r="CZ873" s="1558">
        <f>H873/12</f>
        <v>531.4</v>
      </c>
      <c r="DA873" s="1559"/>
      <c r="DB873" s="1559"/>
      <c r="DC873" s="1559"/>
    </row>
    <row r="874" spans="1:107" ht="15" thickBot="1" x14ac:dyDescent="0.2">
      <c r="A874" s="1541" t="s">
        <v>103</v>
      </c>
      <c r="B874" s="1523" t="s">
        <v>79</v>
      </c>
      <c r="C874" s="1523" t="s">
        <v>80</v>
      </c>
      <c r="D874" s="1523" t="s">
        <v>125</v>
      </c>
      <c r="E874" s="1523" t="s">
        <v>216</v>
      </c>
      <c r="F874" s="1523"/>
      <c r="G874" s="1667">
        <v>212</v>
      </c>
      <c r="H874" s="1517"/>
      <c r="I874" s="1517"/>
      <c r="J874" s="1630"/>
      <c r="K874" s="1630"/>
      <c r="L874" s="1631"/>
      <c r="M874" s="1631"/>
      <c r="N874" s="1631"/>
      <c r="O874" s="1631"/>
      <c r="P874" s="1631"/>
      <c r="Q874" s="1631"/>
      <c r="R874" s="1631"/>
      <c r="S874" s="1631"/>
      <c r="T874" s="1632"/>
      <c r="U874" s="1633"/>
      <c r="V874" s="1633"/>
      <c r="W874" s="1634"/>
      <c r="X874" s="1634"/>
      <c r="Y874" s="1634"/>
      <c r="Z874" s="1635"/>
      <c r="AA874" s="1634">
        <f t="shared" si="562"/>
        <v>0</v>
      </c>
      <c r="AB874" s="1511"/>
      <c r="AC874" s="1508">
        <f t="shared" si="585"/>
        <v>0</v>
      </c>
      <c r="AD874" s="1509">
        <f t="shared" si="586"/>
        <v>0</v>
      </c>
      <c r="AE874" s="1509">
        <f t="shared" si="587"/>
        <v>0</v>
      </c>
      <c r="AF874" s="1509">
        <f t="shared" si="587"/>
        <v>0</v>
      </c>
      <c r="AG874" s="1509">
        <f t="shared" si="587"/>
        <v>0</v>
      </c>
      <c r="AH874" s="1490">
        <f t="shared" si="571"/>
        <v>0</v>
      </c>
      <c r="AI874" s="1636">
        <f t="shared" si="588"/>
        <v>0</v>
      </c>
      <c r="AJ874" s="1636">
        <f t="shared" si="589"/>
        <v>0</v>
      </c>
      <c r="AK874" s="1636">
        <f t="shared" si="590"/>
        <v>0</v>
      </c>
      <c r="AL874" s="1636">
        <f t="shared" si="573"/>
        <v>0</v>
      </c>
      <c r="AM874" s="1636">
        <f t="shared" si="573"/>
        <v>0</v>
      </c>
      <c r="AN874" s="1637"/>
      <c r="AO874" s="1722">
        <v>0</v>
      </c>
      <c r="AP874" s="1638"/>
      <c r="AQ874" s="1638"/>
      <c r="AR874" s="1638"/>
      <c r="AS874" s="1963">
        <v>0</v>
      </c>
      <c r="AT874" s="1638"/>
      <c r="AU874" s="1638"/>
      <c r="AV874" s="1638"/>
      <c r="AW874" s="1722">
        <v>0</v>
      </c>
      <c r="AX874" s="1640"/>
      <c r="AY874" s="1640"/>
      <c r="AZ874" s="1640"/>
      <c r="BA874" s="1964">
        <v>0</v>
      </c>
      <c r="BB874" s="1640"/>
      <c r="BC874" s="1640"/>
      <c r="BD874" s="1640"/>
      <c r="BE874" s="1964">
        <v>0</v>
      </c>
      <c r="BF874" s="1640"/>
      <c r="BG874" s="1640"/>
      <c r="BH874" s="1640"/>
      <c r="BI874" s="1641"/>
      <c r="BJ874" s="1640"/>
      <c r="BK874" s="1640"/>
      <c r="BL874" s="1640"/>
      <c r="BM874" s="1641"/>
      <c r="BN874" s="1640"/>
      <c r="BO874" s="1640"/>
      <c r="BP874" s="1640"/>
      <c r="BQ874" s="1641"/>
      <c r="BR874" s="1640"/>
      <c r="BS874" s="1640"/>
      <c r="BT874" s="1640"/>
      <c r="BU874" s="1641"/>
      <c r="BV874" s="1640"/>
      <c r="BW874" s="1640"/>
      <c r="BX874" s="1640"/>
      <c r="BY874" s="1641"/>
      <c r="BZ874" s="1640"/>
      <c r="CA874" s="1640"/>
      <c r="CB874" s="1640"/>
      <c r="CC874" s="1641"/>
      <c r="CD874" s="1640"/>
      <c r="CE874" s="1640"/>
      <c r="CF874" s="1640"/>
      <c r="CG874" s="1642"/>
      <c r="CH874" s="1641">
        <f t="shared" si="582"/>
        <v>0</v>
      </c>
      <c r="CI874" s="1641">
        <f t="shared" si="582"/>
        <v>0</v>
      </c>
      <c r="CJ874" s="1641">
        <f t="shared" si="582"/>
        <v>0</v>
      </c>
      <c r="CK874" s="1641">
        <f t="shared" si="575"/>
        <v>0</v>
      </c>
      <c r="CL874" s="1889">
        <v>0</v>
      </c>
      <c r="CM874" s="1889">
        <v>0</v>
      </c>
      <c r="CN874" s="1889">
        <v>0</v>
      </c>
      <c r="CO874" s="1889">
        <v>0</v>
      </c>
      <c r="CP874" s="1641"/>
      <c r="CQ874" s="1640"/>
      <c r="CR874" s="1640"/>
      <c r="CS874" s="1640"/>
      <c r="CX874" s="1558"/>
      <c r="CY874" s="1558"/>
      <c r="CZ874" s="1558"/>
      <c r="DA874" s="1559"/>
      <c r="DB874" s="1559"/>
      <c r="DC874" s="1559"/>
    </row>
    <row r="875" spans="1:107" ht="15" thickBot="1" x14ac:dyDescent="0.2">
      <c r="A875" s="1541" t="s">
        <v>84</v>
      </c>
      <c r="B875" s="1523" t="s">
        <v>79</v>
      </c>
      <c r="C875" s="1523" t="s">
        <v>80</v>
      </c>
      <c r="D875" s="1523" t="s">
        <v>125</v>
      </c>
      <c r="E875" s="1523" t="s">
        <v>216</v>
      </c>
      <c r="F875" s="1523"/>
      <c r="G875" s="1667">
        <v>213</v>
      </c>
      <c r="H875" s="1502">
        <v>1925.8</v>
      </c>
      <c r="I875" s="1502"/>
      <c r="J875" s="1630"/>
      <c r="K875" s="1630"/>
      <c r="L875" s="1631"/>
      <c r="M875" s="1631"/>
      <c r="N875" s="1631"/>
      <c r="O875" s="1631"/>
      <c r="P875" s="1631"/>
      <c r="Q875" s="1631"/>
      <c r="R875" s="1631"/>
      <c r="S875" s="1631"/>
      <c r="T875" s="1632"/>
      <c r="U875" s="1633"/>
      <c r="V875" s="1633"/>
      <c r="W875" s="1634"/>
      <c r="X875" s="1634"/>
      <c r="Y875" s="1634"/>
      <c r="Z875" s="1635">
        <v>292</v>
      </c>
      <c r="AA875" s="1634">
        <f t="shared" si="562"/>
        <v>-292</v>
      </c>
      <c r="AB875" s="1511">
        <f>AI875</f>
        <v>0</v>
      </c>
      <c r="AC875" s="1508">
        <f t="shared" si="585"/>
        <v>1925.8</v>
      </c>
      <c r="AD875" s="1509">
        <f t="shared" si="586"/>
        <v>0</v>
      </c>
      <c r="AE875" s="1509">
        <f t="shared" si="587"/>
        <v>0</v>
      </c>
      <c r="AF875" s="1509">
        <f t="shared" si="587"/>
        <v>0</v>
      </c>
      <c r="AG875" s="1509">
        <f t="shared" si="587"/>
        <v>0</v>
      </c>
      <c r="AH875" s="1490">
        <f t="shared" si="571"/>
        <v>69</v>
      </c>
      <c r="AI875" s="1636">
        <f t="shared" si="588"/>
        <v>0</v>
      </c>
      <c r="AJ875" s="1636">
        <f t="shared" si="589"/>
        <v>0</v>
      </c>
      <c r="AK875" s="1636">
        <f t="shared" si="590"/>
        <v>0</v>
      </c>
      <c r="AL875" s="1636">
        <f t="shared" si="573"/>
        <v>0</v>
      </c>
      <c r="AM875" s="1636">
        <f t="shared" si="573"/>
        <v>0</v>
      </c>
      <c r="AN875" s="1637">
        <f>AI875/4</f>
        <v>0</v>
      </c>
      <c r="AO875" s="1722">
        <v>160.5</v>
      </c>
      <c r="AP875" s="1638"/>
      <c r="AQ875" s="1638"/>
      <c r="AR875" s="1638"/>
      <c r="AS875" s="1963">
        <v>160.5</v>
      </c>
      <c r="AT875" s="1638"/>
      <c r="AU875" s="1638"/>
      <c r="AV875" s="1638"/>
      <c r="AW875" s="1722">
        <v>160.5</v>
      </c>
      <c r="AX875" s="1640"/>
      <c r="AY875" s="1640"/>
      <c r="AZ875" s="1640"/>
      <c r="BA875" s="1964">
        <v>160.5</v>
      </c>
      <c r="BB875" s="1640"/>
      <c r="BC875" s="1640"/>
      <c r="BD875" s="1640"/>
      <c r="BE875" s="1964">
        <v>160.5</v>
      </c>
      <c r="BF875" s="1640"/>
      <c r="BG875" s="1640"/>
      <c r="BH875" s="1640"/>
      <c r="BI875" s="1641"/>
      <c r="BJ875" s="1640"/>
      <c r="BK875" s="1640"/>
      <c r="BL875" s="1640"/>
      <c r="BM875" s="1641">
        <f>160.5+321</f>
        <v>481.5</v>
      </c>
      <c r="BN875" s="1640"/>
      <c r="BO875" s="1640"/>
      <c r="BP875" s="1640"/>
      <c r="BQ875" s="1641">
        <v>160.5</v>
      </c>
      <c r="BR875" s="1640"/>
      <c r="BS875" s="1640"/>
      <c r="BT875" s="1640"/>
      <c r="BU875" s="1641">
        <v>120.3</v>
      </c>
      <c r="BV875" s="1640"/>
      <c r="BW875" s="1640"/>
      <c r="BX875" s="1640"/>
      <c r="BY875" s="1641"/>
      <c r="BZ875" s="1640"/>
      <c r="CA875" s="1640"/>
      <c r="CB875" s="1640"/>
      <c r="CC875" s="1641">
        <v>292</v>
      </c>
      <c r="CD875" s="1640"/>
      <c r="CE875" s="1640"/>
      <c r="CF875" s="1640"/>
      <c r="CG875" s="1642"/>
      <c r="CH875" s="1641">
        <f t="shared" si="582"/>
        <v>69</v>
      </c>
      <c r="CI875" s="1641">
        <f t="shared" si="582"/>
        <v>0</v>
      </c>
      <c r="CJ875" s="1641">
        <f t="shared" si="582"/>
        <v>0</v>
      </c>
      <c r="CK875" s="1641">
        <f t="shared" si="575"/>
        <v>0</v>
      </c>
      <c r="CL875" s="1889">
        <v>69</v>
      </c>
      <c r="CM875" s="1889">
        <v>0</v>
      </c>
      <c r="CN875" s="1889">
        <v>0</v>
      </c>
      <c r="CO875" s="1889">
        <v>0</v>
      </c>
      <c r="CP875" s="1641"/>
      <c r="CQ875" s="1640"/>
      <c r="CR875" s="1640"/>
      <c r="CS875" s="1640"/>
      <c r="CX875" s="1558">
        <f>H875/12*10-AC875</f>
        <v>-320.9666666666667</v>
      </c>
      <c r="CY875" s="1558">
        <f>AI875/3</f>
        <v>0</v>
      </c>
      <c r="CZ875" s="1558">
        <f>H875/12</f>
        <v>160.48333333333332</v>
      </c>
      <c r="DA875" s="1559"/>
      <c r="DB875" s="1559"/>
      <c r="DC875" s="1559"/>
    </row>
    <row r="876" spans="1:107" ht="15" thickBot="1" x14ac:dyDescent="0.2">
      <c r="A876" s="1541" t="s">
        <v>85</v>
      </c>
      <c r="B876" s="1523" t="s">
        <v>79</v>
      </c>
      <c r="C876" s="1523" t="s">
        <v>80</v>
      </c>
      <c r="D876" s="1523" t="s">
        <v>125</v>
      </c>
      <c r="E876" s="1523" t="s">
        <v>216</v>
      </c>
      <c r="F876" s="1523"/>
      <c r="G876" s="1667">
        <v>221</v>
      </c>
      <c r="H876" s="1502"/>
      <c r="I876" s="1502"/>
      <c r="J876" s="1630"/>
      <c r="K876" s="1630"/>
      <c r="L876" s="1631"/>
      <c r="M876" s="1631"/>
      <c r="N876" s="1631"/>
      <c r="O876" s="1631"/>
      <c r="P876" s="1631"/>
      <c r="Q876" s="1631"/>
      <c r="R876" s="1631"/>
      <c r="S876" s="1631"/>
      <c r="T876" s="1632"/>
      <c r="U876" s="1633"/>
      <c r="V876" s="1633"/>
      <c r="W876" s="1634"/>
      <c r="X876" s="1634"/>
      <c r="Y876" s="1634"/>
      <c r="Z876" s="1635"/>
      <c r="AA876" s="1634">
        <f t="shared" si="562"/>
        <v>0</v>
      </c>
      <c r="AB876" s="1634"/>
      <c r="AC876" s="1508">
        <f t="shared" si="585"/>
        <v>0</v>
      </c>
      <c r="AD876" s="1509">
        <f t="shared" si="586"/>
        <v>0</v>
      </c>
      <c r="AE876" s="1509">
        <f t="shared" si="587"/>
        <v>0</v>
      </c>
      <c r="AF876" s="1509">
        <f t="shared" si="587"/>
        <v>0</v>
      </c>
      <c r="AG876" s="1509">
        <f t="shared" si="587"/>
        <v>0</v>
      </c>
      <c r="AH876" s="1490">
        <f t="shared" si="571"/>
        <v>0</v>
      </c>
      <c r="AI876" s="1636">
        <f t="shared" si="588"/>
        <v>0</v>
      </c>
      <c r="AJ876" s="1636">
        <f t="shared" si="589"/>
        <v>0</v>
      </c>
      <c r="AK876" s="1636">
        <f t="shared" si="590"/>
        <v>0</v>
      </c>
      <c r="AL876" s="1636">
        <f t="shared" si="573"/>
        <v>0</v>
      </c>
      <c r="AM876" s="1636">
        <f t="shared" si="573"/>
        <v>0</v>
      </c>
      <c r="AN876" s="1637"/>
      <c r="AO876" s="1722">
        <v>0</v>
      </c>
      <c r="AP876" s="1638"/>
      <c r="AQ876" s="1638"/>
      <c r="AR876" s="1638"/>
      <c r="AS876" s="1963">
        <v>0</v>
      </c>
      <c r="AT876" s="1638"/>
      <c r="AU876" s="1638"/>
      <c r="AV876" s="1638"/>
      <c r="AW876" s="1639"/>
      <c r="AX876" s="1640"/>
      <c r="AY876" s="1640"/>
      <c r="AZ876" s="1640"/>
      <c r="BA876" s="1641"/>
      <c r="BB876" s="1640"/>
      <c r="BC876" s="1640"/>
      <c r="BD876" s="1640"/>
      <c r="BE876" s="1644"/>
      <c r="BF876" s="1640"/>
      <c r="BG876" s="1640"/>
      <c r="BH876" s="1640"/>
      <c r="BI876" s="1641"/>
      <c r="BJ876" s="1640"/>
      <c r="BK876" s="1640"/>
      <c r="BL876" s="1640"/>
      <c r="BM876" s="1641"/>
      <c r="BN876" s="1640"/>
      <c r="BO876" s="1640"/>
      <c r="BP876" s="1640"/>
      <c r="BQ876" s="1641"/>
      <c r="BR876" s="1640"/>
      <c r="BS876" s="1640"/>
      <c r="BT876" s="1640"/>
      <c r="BU876" s="1641"/>
      <c r="BV876" s="1640"/>
      <c r="BW876" s="1640"/>
      <c r="BX876" s="1640"/>
      <c r="BY876" s="1641"/>
      <c r="BZ876" s="1640"/>
      <c r="CA876" s="1640"/>
      <c r="CB876" s="1640"/>
      <c r="CC876" s="1641"/>
      <c r="CD876" s="1640"/>
      <c r="CE876" s="1640"/>
      <c r="CF876" s="1640"/>
      <c r="CG876" s="1642"/>
      <c r="CH876" s="1641">
        <f t="shared" si="582"/>
        <v>0</v>
      </c>
      <c r="CI876" s="1641">
        <f t="shared" si="582"/>
        <v>0</v>
      </c>
      <c r="CJ876" s="1641">
        <f t="shared" si="582"/>
        <v>0</v>
      </c>
      <c r="CK876" s="1641">
        <f t="shared" si="575"/>
        <v>0</v>
      </c>
      <c r="CL876" s="1889">
        <v>0</v>
      </c>
      <c r="CM876" s="1889">
        <v>0</v>
      </c>
      <c r="CN876" s="1889">
        <v>0</v>
      </c>
      <c r="CO876" s="1889">
        <v>0</v>
      </c>
      <c r="CP876" s="1641"/>
      <c r="CQ876" s="1640"/>
      <c r="CR876" s="1640"/>
      <c r="CS876" s="1640"/>
    </row>
    <row r="877" spans="1:107" ht="15" customHeight="1" thickBot="1" x14ac:dyDescent="0.2">
      <c r="A877" s="1541" t="s">
        <v>86</v>
      </c>
      <c r="B877" s="1523" t="s">
        <v>79</v>
      </c>
      <c r="C877" s="1523" t="s">
        <v>80</v>
      </c>
      <c r="D877" s="1523" t="s">
        <v>125</v>
      </c>
      <c r="E877" s="1523" t="s">
        <v>216</v>
      </c>
      <c r="F877" s="1523"/>
      <c r="G877" s="1667">
        <v>222</v>
      </c>
      <c r="H877" s="1502"/>
      <c r="I877" s="1502"/>
      <c r="J877" s="1630"/>
      <c r="K877" s="1630"/>
      <c r="L877" s="1631"/>
      <c r="M877" s="1631"/>
      <c r="N877" s="1631"/>
      <c r="O877" s="1631"/>
      <c r="P877" s="1631"/>
      <c r="Q877" s="1631"/>
      <c r="R877" s="1631"/>
      <c r="S877" s="1631"/>
      <c r="T877" s="1632"/>
      <c r="U877" s="1633"/>
      <c r="V877" s="1633"/>
      <c r="W877" s="1634"/>
      <c r="X877" s="1634"/>
      <c r="Y877" s="1634"/>
      <c r="Z877" s="1635"/>
      <c r="AA877" s="1634">
        <f t="shared" si="562"/>
        <v>0</v>
      </c>
      <c r="AB877" s="1634"/>
      <c r="AC877" s="1508">
        <f t="shared" si="585"/>
        <v>0</v>
      </c>
      <c r="AD877" s="1509">
        <f t="shared" si="586"/>
        <v>0</v>
      </c>
      <c r="AE877" s="1509">
        <f t="shared" si="587"/>
        <v>0</v>
      </c>
      <c r="AF877" s="1509">
        <f t="shared" si="587"/>
        <v>0</v>
      </c>
      <c r="AG877" s="1509">
        <f t="shared" si="587"/>
        <v>0</v>
      </c>
      <c r="AH877" s="1490">
        <f t="shared" si="571"/>
        <v>0</v>
      </c>
      <c r="AI877" s="1636">
        <f t="shared" si="588"/>
        <v>0</v>
      </c>
      <c r="AJ877" s="1636">
        <f t="shared" si="589"/>
        <v>0</v>
      </c>
      <c r="AK877" s="1636">
        <f t="shared" si="590"/>
        <v>0</v>
      </c>
      <c r="AL877" s="1636">
        <f t="shared" si="573"/>
        <v>0</v>
      </c>
      <c r="AM877" s="1636">
        <f t="shared" si="573"/>
        <v>0</v>
      </c>
      <c r="AN877" s="1637"/>
      <c r="AO877" s="1722">
        <v>0</v>
      </c>
      <c r="AP877" s="1638"/>
      <c r="AQ877" s="1638"/>
      <c r="AR877" s="1638"/>
      <c r="AS877" s="1963">
        <v>0</v>
      </c>
      <c r="AT877" s="1638"/>
      <c r="AU877" s="1638"/>
      <c r="AV877" s="1638"/>
      <c r="AW877" s="1639"/>
      <c r="AX877" s="1640"/>
      <c r="AY877" s="1640"/>
      <c r="AZ877" s="1640"/>
      <c r="BA877" s="1641"/>
      <c r="BB877" s="1640"/>
      <c r="BC877" s="1640"/>
      <c r="BD877" s="1640"/>
      <c r="BE877" s="1644"/>
      <c r="BF877" s="1640"/>
      <c r="BG877" s="1640"/>
      <c r="BH877" s="1640"/>
      <c r="BI877" s="1641"/>
      <c r="BJ877" s="1640"/>
      <c r="BK877" s="1640"/>
      <c r="BL877" s="1640"/>
      <c r="BM877" s="1641"/>
      <c r="BN877" s="1640"/>
      <c r="BO877" s="1640"/>
      <c r="BP877" s="1640"/>
      <c r="BQ877" s="1641"/>
      <c r="BR877" s="1640"/>
      <c r="BS877" s="1640"/>
      <c r="BT877" s="1640"/>
      <c r="BU877" s="1641"/>
      <c r="BV877" s="1640"/>
      <c r="BW877" s="1640"/>
      <c r="BX877" s="1640"/>
      <c r="BY877" s="1641"/>
      <c r="BZ877" s="1640"/>
      <c r="CA877" s="1640"/>
      <c r="CB877" s="1640"/>
      <c r="CC877" s="1641"/>
      <c r="CD877" s="1640"/>
      <c r="CE877" s="1640"/>
      <c r="CF877" s="1640"/>
      <c r="CG877" s="1642"/>
      <c r="CH877" s="1641">
        <f t="shared" si="582"/>
        <v>0</v>
      </c>
      <c r="CI877" s="1641">
        <f t="shared" si="582"/>
        <v>0</v>
      </c>
      <c r="CJ877" s="1641">
        <f t="shared" si="582"/>
        <v>0</v>
      </c>
      <c r="CK877" s="1641">
        <f t="shared" si="575"/>
        <v>0</v>
      </c>
      <c r="CL877" s="1889">
        <v>0</v>
      </c>
      <c r="CM877" s="1889">
        <v>0</v>
      </c>
      <c r="CN877" s="1889">
        <v>0</v>
      </c>
      <c r="CO877" s="1889">
        <v>0</v>
      </c>
      <c r="CP877" s="1641"/>
      <c r="CQ877" s="1640"/>
      <c r="CR877" s="1640"/>
      <c r="CS877" s="1640"/>
    </row>
    <row r="878" spans="1:107" ht="15" thickBot="1" x14ac:dyDescent="0.2">
      <c r="A878" s="1541" t="s">
        <v>87</v>
      </c>
      <c r="B878" s="1523" t="s">
        <v>79</v>
      </c>
      <c r="C878" s="1523" t="s">
        <v>80</v>
      </c>
      <c r="D878" s="1523" t="s">
        <v>125</v>
      </c>
      <c r="E878" s="1523" t="s">
        <v>216</v>
      </c>
      <c r="F878" s="1523"/>
      <c r="G878" s="1667">
        <v>223</v>
      </c>
      <c r="H878" s="1502"/>
      <c r="I878" s="1502"/>
      <c r="J878" s="1630"/>
      <c r="K878" s="1630"/>
      <c r="L878" s="1631"/>
      <c r="M878" s="1631"/>
      <c r="N878" s="1631"/>
      <c r="O878" s="1631"/>
      <c r="P878" s="1631"/>
      <c r="Q878" s="1631"/>
      <c r="R878" s="1631"/>
      <c r="S878" s="1631"/>
      <c r="T878" s="1632"/>
      <c r="U878" s="1633"/>
      <c r="V878" s="1633"/>
      <c r="W878" s="1634"/>
      <c r="X878" s="1634"/>
      <c r="Y878" s="1634"/>
      <c r="Z878" s="1635"/>
      <c r="AA878" s="1634">
        <f t="shared" si="562"/>
        <v>0</v>
      </c>
      <c r="AB878" s="1891"/>
      <c r="AC878" s="1508">
        <f t="shared" si="585"/>
        <v>0</v>
      </c>
      <c r="AD878" s="1509">
        <f t="shared" si="586"/>
        <v>0</v>
      </c>
      <c r="AE878" s="1509">
        <f t="shared" si="587"/>
        <v>0</v>
      </c>
      <c r="AF878" s="1509">
        <f t="shared" si="587"/>
        <v>0</v>
      </c>
      <c r="AG878" s="1509">
        <f t="shared" si="587"/>
        <v>0</v>
      </c>
      <c r="AH878" s="1490">
        <f t="shared" si="571"/>
        <v>0</v>
      </c>
      <c r="AI878" s="1636">
        <f t="shared" si="588"/>
        <v>0</v>
      </c>
      <c r="AJ878" s="1636">
        <f t="shared" si="589"/>
        <v>0</v>
      </c>
      <c r="AK878" s="1636">
        <f t="shared" si="590"/>
        <v>0</v>
      </c>
      <c r="AL878" s="1636">
        <f t="shared" si="573"/>
        <v>0</v>
      </c>
      <c r="AM878" s="1636">
        <f t="shared" si="573"/>
        <v>0</v>
      </c>
      <c r="AN878" s="1637"/>
      <c r="AO878" s="1722">
        <v>0</v>
      </c>
      <c r="AP878" s="1638"/>
      <c r="AQ878" s="1638"/>
      <c r="AR878" s="1638"/>
      <c r="AS878" s="1963">
        <v>0</v>
      </c>
      <c r="AT878" s="1638"/>
      <c r="AU878" s="1638"/>
      <c r="AV878" s="1638"/>
      <c r="AW878" s="1639"/>
      <c r="AX878" s="1640"/>
      <c r="AY878" s="1640"/>
      <c r="AZ878" s="1640"/>
      <c r="BA878" s="1641"/>
      <c r="BB878" s="1640"/>
      <c r="BC878" s="1640"/>
      <c r="BD878" s="1640"/>
      <c r="BE878" s="1644"/>
      <c r="BF878" s="1640"/>
      <c r="BG878" s="1640"/>
      <c r="BH878" s="1640"/>
      <c r="BI878" s="1641"/>
      <c r="BJ878" s="1640"/>
      <c r="BK878" s="1640"/>
      <c r="BL878" s="1640"/>
      <c r="BM878" s="1641"/>
      <c r="BN878" s="1640"/>
      <c r="BO878" s="1640"/>
      <c r="BP878" s="1640"/>
      <c r="BQ878" s="1641"/>
      <c r="BR878" s="1640"/>
      <c r="BS878" s="1640"/>
      <c r="BT878" s="1640"/>
      <c r="BU878" s="1641"/>
      <c r="BV878" s="1640"/>
      <c r="BW878" s="1640"/>
      <c r="BX878" s="1640"/>
      <c r="BY878" s="1641"/>
      <c r="BZ878" s="1640"/>
      <c r="CA878" s="1640"/>
      <c r="CB878" s="1640"/>
      <c r="CC878" s="1641"/>
      <c r="CD878" s="1640"/>
      <c r="CE878" s="1640"/>
      <c r="CF878" s="1640"/>
      <c r="CG878" s="1642"/>
      <c r="CH878" s="1641">
        <f t="shared" si="582"/>
        <v>0</v>
      </c>
      <c r="CI878" s="1641">
        <f t="shared" si="582"/>
        <v>0</v>
      </c>
      <c r="CJ878" s="1641">
        <f t="shared" si="582"/>
        <v>0</v>
      </c>
      <c r="CK878" s="1641">
        <f t="shared" si="575"/>
        <v>0</v>
      </c>
      <c r="CL878" s="1889">
        <v>0</v>
      </c>
      <c r="CM878" s="1889">
        <v>0</v>
      </c>
      <c r="CN878" s="1889">
        <v>0</v>
      </c>
      <c r="CO878" s="1889">
        <v>0</v>
      </c>
      <c r="CP878" s="1641"/>
      <c r="CQ878" s="1640"/>
      <c r="CR878" s="1640"/>
      <c r="CS878" s="1640"/>
    </row>
    <row r="879" spans="1:107" ht="15" thickBot="1" x14ac:dyDescent="0.2">
      <c r="A879" s="1541" t="s">
        <v>134</v>
      </c>
      <c r="B879" s="1523" t="s">
        <v>79</v>
      </c>
      <c r="C879" s="1523" t="s">
        <v>80</v>
      </c>
      <c r="D879" s="1523" t="s">
        <v>125</v>
      </c>
      <c r="E879" s="1523" t="s">
        <v>216</v>
      </c>
      <c r="F879" s="1523"/>
      <c r="G879" s="1667">
        <v>224</v>
      </c>
      <c r="H879" s="1502"/>
      <c r="I879" s="1502"/>
      <c r="J879" s="1630"/>
      <c r="K879" s="1630"/>
      <c r="L879" s="1631"/>
      <c r="M879" s="1631"/>
      <c r="N879" s="1631"/>
      <c r="O879" s="1631"/>
      <c r="P879" s="1631"/>
      <c r="Q879" s="1631"/>
      <c r="R879" s="1631"/>
      <c r="S879" s="1631"/>
      <c r="T879" s="1632"/>
      <c r="U879" s="1633"/>
      <c r="V879" s="1633"/>
      <c r="W879" s="1634"/>
      <c r="X879" s="1634"/>
      <c r="Y879" s="1634"/>
      <c r="Z879" s="1635"/>
      <c r="AA879" s="1634">
        <f t="shared" si="562"/>
        <v>0</v>
      </c>
      <c r="AB879" s="1634"/>
      <c r="AC879" s="1508">
        <f t="shared" si="585"/>
        <v>0</v>
      </c>
      <c r="AD879" s="1509">
        <f t="shared" si="586"/>
        <v>0</v>
      </c>
      <c r="AE879" s="1509">
        <f t="shared" si="587"/>
        <v>0</v>
      </c>
      <c r="AF879" s="1509">
        <f t="shared" si="587"/>
        <v>0</v>
      </c>
      <c r="AG879" s="1509">
        <f t="shared" si="587"/>
        <v>0</v>
      </c>
      <c r="AH879" s="1490">
        <f t="shared" si="571"/>
        <v>0</v>
      </c>
      <c r="AI879" s="1636">
        <f t="shared" si="588"/>
        <v>0</v>
      </c>
      <c r="AJ879" s="1636">
        <f t="shared" si="589"/>
        <v>0</v>
      </c>
      <c r="AK879" s="1636">
        <f t="shared" si="590"/>
        <v>0</v>
      </c>
      <c r="AL879" s="1636">
        <f t="shared" si="573"/>
        <v>0</v>
      </c>
      <c r="AM879" s="1636">
        <f t="shared" si="573"/>
        <v>0</v>
      </c>
      <c r="AN879" s="1637"/>
      <c r="AO879" s="1722">
        <v>0</v>
      </c>
      <c r="AP879" s="1638"/>
      <c r="AQ879" s="1638"/>
      <c r="AR879" s="1638"/>
      <c r="AS879" s="1963">
        <v>0</v>
      </c>
      <c r="AT879" s="1638"/>
      <c r="AU879" s="1638"/>
      <c r="AV879" s="1638"/>
      <c r="AW879" s="1639"/>
      <c r="AX879" s="1640"/>
      <c r="AY879" s="1640"/>
      <c r="AZ879" s="1640"/>
      <c r="BA879" s="1641"/>
      <c r="BB879" s="1640"/>
      <c r="BC879" s="1640"/>
      <c r="BD879" s="1640"/>
      <c r="BE879" s="1644"/>
      <c r="BF879" s="1640"/>
      <c r="BG879" s="1640"/>
      <c r="BH879" s="1640"/>
      <c r="BI879" s="1641"/>
      <c r="BJ879" s="1640"/>
      <c r="BK879" s="1640"/>
      <c r="BL879" s="1640"/>
      <c r="BM879" s="1641"/>
      <c r="BN879" s="1640"/>
      <c r="BO879" s="1640"/>
      <c r="BP879" s="1640"/>
      <c r="BQ879" s="1641"/>
      <c r="BR879" s="1640"/>
      <c r="BS879" s="1640"/>
      <c r="BT879" s="1640"/>
      <c r="BU879" s="1641"/>
      <c r="BV879" s="1640"/>
      <c r="BW879" s="1640"/>
      <c r="BX879" s="1640"/>
      <c r="BY879" s="1641"/>
      <c r="BZ879" s="1640"/>
      <c r="CA879" s="1640"/>
      <c r="CB879" s="1640"/>
      <c r="CC879" s="1641"/>
      <c r="CD879" s="1640"/>
      <c r="CE879" s="1640"/>
      <c r="CF879" s="1640"/>
      <c r="CG879" s="1642"/>
      <c r="CH879" s="1641">
        <f t="shared" si="582"/>
        <v>0</v>
      </c>
      <c r="CI879" s="1641">
        <f t="shared" si="582"/>
        <v>0</v>
      </c>
      <c r="CJ879" s="1641">
        <f t="shared" si="582"/>
        <v>0</v>
      </c>
      <c r="CK879" s="1641">
        <f t="shared" si="575"/>
        <v>0</v>
      </c>
      <c r="CL879" s="1889">
        <v>0</v>
      </c>
      <c r="CM879" s="1889">
        <v>0</v>
      </c>
      <c r="CN879" s="1889">
        <v>0</v>
      </c>
      <c r="CO879" s="1889">
        <v>0</v>
      </c>
      <c r="CP879" s="1641"/>
      <c r="CQ879" s="1640"/>
      <c r="CR879" s="1640"/>
      <c r="CS879" s="1640"/>
    </row>
    <row r="880" spans="1:107" ht="15" thickBot="1" x14ac:dyDescent="0.2">
      <c r="A880" s="1541" t="s">
        <v>90</v>
      </c>
      <c r="B880" s="1523" t="s">
        <v>79</v>
      </c>
      <c r="C880" s="1523" t="s">
        <v>80</v>
      </c>
      <c r="D880" s="1523" t="s">
        <v>125</v>
      </c>
      <c r="E880" s="1523" t="s">
        <v>216</v>
      </c>
      <c r="F880" s="1523"/>
      <c r="G880" s="1667">
        <v>225</v>
      </c>
      <c r="H880" s="1502">
        <v>25</v>
      </c>
      <c r="I880" s="1502"/>
      <c r="J880" s="1630"/>
      <c r="K880" s="1630"/>
      <c r="L880" s="1631"/>
      <c r="M880" s="1631"/>
      <c r="N880" s="1631"/>
      <c r="O880" s="1631"/>
      <c r="P880" s="1631"/>
      <c r="Q880" s="1631"/>
      <c r="R880" s="1631"/>
      <c r="S880" s="1631"/>
      <c r="T880" s="1632"/>
      <c r="U880" s="1633"/>
      <c r="V880" s="1633"/>
      <c r="W880" s="1634"/>
      <c r="X880" s="1634"/>
      <c r="Y880" s="1634"/>
      <c r="Z880" s="1635"/>
      <c r="AA880" s="1634">
        <f t="shared" si="562"/>
        <v>0</v>
      </c>
      <c r="AB880" s="1634"/>
      <c r="AC880" s="1508">
        <f t="shared" si="585"/>
        <v>25</v>
      </c>
      <c r="AD880" s="1509">
        <f t="shared" si="586"/>
        <v>0</v>
      </c>
      <c r="AE880" s="1509">
        <f t="shared" si="587"/>
        <v>0</v>
      </c>
      <c r="AF880" s="1509">
        <f t="shared" si="587"/>
        <v>0</v>
      </c>
      <c r="AG880" s="1509">
        <f t="shared" si="587"/>
        <v>0</v>
      </c>
      <c r="AH880" s="1490">
        <f t="shared" si="571"/>
        <v>0</v>
      </c>
      <c r="AI880" s="1636">
        <f t="shared" si="588"/>
        <v>0</v>
      </c>
      <c r="AJ880" s="1636">
        <f t="shared" si="589"/>
        <v>0</v>
      </c>
      <c r="AK880" s="1636">
        <f t="shared" si="590"/>
        <v>0</v>
      </c>
      <c r="AL880" s="1636">
        <f t="shared" si="573"/>
        <v>0</v>
      </c>
      <c r="AM880" s="1636">
        <f t="shared" si="573"/>
        <v>0</v>
      </c>
      <c r="AN880" s="1637"/>
      <c r="AO880" s="1723"/>
      <c r="AP880" s="1638"/>
      <c r="AQ880" s="1638"/>
      <c r="AR880" s="1638"/>
      <c r="AS880" s="1639"/>
      <c r="AT880" s="1638"/>
      <c r="AU880" s="1638"/>
      <c r="AV880" s="1638"/>
      <c r="AW880" s="1639"/>
      <c r="AX880" s="1640"/>
      <c r="AY880" s="1640"/>
      <c r="AZ880" s="1640"/>
      <c r="BA880" s="1641"/>
      <c r="BB880" s="1640"/>
      <c r="BC880" s="1640"/>
      <c r="BD880" s="1640"/>
      <c r="BE880" s="1644"/>
      <c r="BF880" s="1640"/>
      <c r="BG880" s="1640"/>
      <c r="BH880" s="1640"/>
      <c r="BI880" s="1641"/>
      <c r="BJ880" s="1640"/>
      <c r="BK880" s="1640"/>
      <c r="BL880" s="1640"/>
      <c r="BM880" s="1641"/>
      <c r="BN880" s="1640"/>
      <c r="BO880" s="1640"/>
      <c r="BP880" s="1640"/>
      <c r="BQ880" s="1641">
        <v>25</v>
      </c>
      <c r="BR880" s="1640"/>
      <c r="BS880" s="1640"/>
      <c r="BT880" s="1640"/>
      <c r="BU880" s="1641"/>
      <c r="BV880" s="1640"/>
      <c r="BW880" s="1640"/>
      <c r="BX880" s="1640"/>
      <c r="BY880" s="1641"/>
      <c r="BZ880" s="1640"/>
      <c r="CA880" s="1640"/>
      <c r="CB880" s="1640"/>
      <c r="CC880" s="1641"/>
      <c r="CD880" s="1640"/>
      <c r="CE880" s="1640"/>
      <c r="CF880" s="1640"/>
      <c r="CG880" s="1642"/>
      <c r="CH880" s="1641">
        <f t="shared" si="582"/>
        <v>0</v>
      </c>
      <c r="CI880" s="1641">
        <f t="shared" si="582"/>
        <v>0</v>
      </c>
      <c r="CJ880" s="1641">
        <f t="shared" si="582"/>
        <v>0</v>
      </c>
      <c r="CK880" s="1641">
        <f t="shared" si="575"/>
        <v>0</v>
      </c>
      <c r="CL880" s="1889">
        <v>0</v>
      </c>
      <c r="CM880" s="1889">
        <v>0</v>
      </c>
      <c r="CN880" s="1889">
        <v>0</v>
      </c>
      <c r="CO880" s="1889">
        <v>0</v>
      </c>
      <c r="CP880" s="1641"/>
      <c r="CQ880" s="1640"/>
      <c r="CR880" s="1640"/>
      <c r="CS880" s="1640"/>
    </row>
    <row r="881" spans="1:107" ht="15" thickBot="1" x14ac:dyDescent="0.2">
      <c r="A881" s="1541" t="s">
        <v>91</v>
      </c>
      <c r="B881" s="1523" t="s">
        <v>79</v>
      </c>
      <c r="C881" s="1523" t="s">
        <v>80</v>
      </c>
      <c r="D881" s="1523" t="s">
        <v>125</v>
      </c>
      <c r="E881" s="1523" t="s">
        <v>216</v>
      </c>
      <c r="F881" s="1523"/>
      <c r="G881" s="1667">
        <v>226</v>
      </c>
      <c r="H881" s="1502">
        <f>35+2.1-10+160+20</f>
        <v>207.1</v>
      </c>
      <c r="I881" s="1502"/>
      <c r="J881" s="1630"/>
      <c r="K881" s="1630"/>
      <c r="L881" s="1631"/>
      <c r="M881" s="1631"/>
      <c r="N881" s="1631"/>
      <c r="O881" s="1631"/>
      <c r="P881" s="1631"/>
      <c r="Q881" s="1631"/>
      <c r="R881" s="1631"/>
      <c r="S881" s="1631"/>
      <c r="T881" s="1632"/>
      <c r="U881" s="1633"/>
      <c r="V881" s="1633"/>
      <c r="W881" s="1634"/>
      <c r="X881" s="1634"/>
      <c r="Y881" s="1634"/>
      <c r="Z881" s="1635"/>
      <c r="AA881" s="1634">
        <f t="shared" si="562"/>
        <v>0</v>
      </c>
      <c r="AB881" s="1634"/>
      <c r="AC881" s="1508">
        <f t="shared" si="585"/>
        <v>207.10000000000002</v>
      </c>
      <c r="AD881" s="1509">
        <f t="shared" si="586"/>
        <v>0</v>
      </c>
      <c r="AE881" s="1509">
        <f t="shared" si="587"/>
        <v>0</v>
      </c>
      <c r="AF881" s="1509">
        <f t="shared" si="587"/>
        <v>0</v>
      </c>
      <c r="AG881" s="1509">
        <f t="shared" si="587"/>
        <v>0</v>
      </c>
      <c r="AH881" s="1490">
        <f t="shared" si="571"/>
        <v>172.05</v>
      </c>
      <c r="AI881" s="1636">
        <f t="shared" si="588"/>
        <v>0</v>
      </c>
      <c r="AJ881" s="1636">
        <f t="shared" si="589"/>
        <v>0</v>
      </c>
      <c r="AK881" s="1636">
        <f t="shared" si="590"/>
        <v>0</v>
      </c>
      <c r="AL881" s="1636">
        <f t="shared" si="573"/>
        <v>0</v>
      </c>
      <c r="AM881" s="1636">
        <f t="shared" si="573"/>
        <v>0</v>
      </c>
      <c r="AN881" s="1637"/>
      <c r="AO881" s="1723"/>
      <c r="AP881" s="1638"/>
      <c r="AQ881" s="1638"/>
      <c r="AR881" s="1638"/>
      <c r="AS881" s="1639"/>
      <c r="AT881" s="1638"/>
      <c r="AU881" s="1638"/>
      <c r="AV881" s="1638"/>
      <c r="AW881" s="1639"/>
      <c r="AX881" s="1640"/>
      <c r="AY881" s="1640"/>
      <c r="AZ881" s="1640"/>
      <c r="BA881" s="1641"/>
      <c r="BB881" s="1640"/>
      <c r="BC881" s="1640"/>
      <c r="BD881" s="1640"/>
      <c r="BE881" s="1644"/>
      <c r="BF881" s="1640"/>
      <c r="BG881" s="1640"/>
      <c r="BH881" s="1640"/>
      <c r="BI881" s="1641"/>
      <c r="BJ881" s="1640"/>
      <c r="BK881" s="1640"/>
      <c r="BL881" s="1640"/>
      <c r="BM881" s="1641"/>
      <c r="BN881" s="1640"/>
      <c r="BO881" s="1640"/>
      <c r="BP881" s="1640"/>
      <c r="BQ881" s="1641">
        <v>35.049999999999997</v>
      </c>
      <c r="BR881" s="1640"/>
      <c r="BS881" s="1640"/>
      <c r="BT881" s="1640"/>
      <c r="BU881" s="1641"/>
      <c r="BV881" s="1640"/>
      <c r="BW881" s="1640"/>
      <c r="BX881" s="1640"/>
      <c r="BY881" s="1641"/>
      <c r="BZ881" s="1640"/>
      <c r="CA881" s="1640"/>
      <c r="CB881" s="1640"/>
      <c r="CC881" s="1641"/>
      <c r="CD881" s="1640"/>
      <c r="CE881" s="1640"/>
      <c r="CF881" s="1640"/>
      <c r="CG881" s="1642"/>
      <c r="CH881" s="1641">
        <f t="shared" si="582"/>
        <v>172.05</v>
      </c>
      <c r="CI881" s="1641">
        <f t="shared" si="582"/>
        <v>0</v>
      </c>
      <c r="CJ881" s="1641">
        <f t="shared" si="582"/>
        <v>0</v>
      </c>
      <c r="CK881" s="1641">
        <f t="shared" si="575"/>
        <v>0</v>
      </c>
      <c r="CL881" s="1889">
        <v>172.05</v>
      </c>
      <c r="CM881" s="1889">
        <v>0</v>
      </c>
      <c r="CN881" s="1889">
        <v>0</v>
      </c>
      <c r="CO881" s="1889">
        <v>0</v>
      </c>
      <c r="CP881" s="1641"/>
      <c r="CQ881" s="1640"/>
      <c r="CR881" s="1640"/>
      <c r="CS881" s="1640"/>
    </row>
    <row r="882" spans="1:107" ht="15" thickBot="1" x14ac:dyDescent="0.2">
      <c r="A882" s="1541" t="s">
        <v>94</v>
      </c>
      <c r="B882" s="1523" t="s">
        <v>79</v>
      </c>
      <c r="C882" s="1523" t="s">
        <v>80</v>
      </c>
      <c r="D882" s="1523" t="s">
        <v>125</v>
      </c>
      <c r="E882" s="1523" t="s">
        <v>216</v>
      </c>
      <c r="F882" s="1523"/>
      <c r="G882" s="1667">
        <v>290</v>
      </c>
      <c r="H882" s="1502">
        <v>15.2</v>
      </c>
      <c r="I882" s="1502"/>
      <c r="J882" s="1630"/>
      <c r="K882" s="1630"/>
      <c r="L882" s="1631"/>
      <c r="M882" s="1631"/>
      <c r="N882" s="1631"/>
      <c r="O882" s="1631"/>
      <c r="P882" s="1631"/>
      <c r="Q882" s="1631"/>
      <c r="R882" s="1631"/>
      <c r="S882" s="1631"/>
      <c r="T882" s="1632"/>
      <c r="U882" s="1633"/>
      <c r="V882" s="1633"/>
      <c r="W882" s="1634"/>
      <c r="X882" s="1634"/>
      <c r="Y882" s="1634"/>
      <c r="Z882" s="1635"/>
      <c r="AA882" s="1634">
        <f t="shared" si="562"/>
        <v>0</v>
      </c>
      <c r="AB882" s="1634"/>
      <c r="AC882" s="1508">
        <f t="shared" si="585"/>
        <v>15.2</v>
      </c>
      <c r="AD882" s="1509">
        <f t="shared" si="586"/>
        <v>0</v>
      </c>
      <c r="AE882" s="1509">
        <f t="shared" si="587"/>
        <v>0</v>
      </c>
      <c r="AF882" s="1509">
        <f t="shared" si="587"/>
        <v>0</v>
      </c>
      <c r="AG882" s="1509">
        <f t="shared" si="587"/>
        <v>0</v>
      </c>
      <c r="AH882" s="1490">
        <f t="shared" si="571"/>
        <v>3.8</v>
      </c>
      <c r="AI882" s="1636">
        <f t="shared" si="588"/>
        <v>0</v>
      </c>
      <c r="AJ882" s="1636">
        <f t="shared" si="589"/>
        <v>0</v>
      </c>
      <c r="AK882" s="1636">
        <f t="shared" si="590"/>
        <v>0</v>
      </c>
      <c r="AL882" s="1636">
        <f t="shared" si="573"/>
        <v>0</v>
      </c>
      <c r="AM882" s="1636">
        <f t="shared" si="573"/>
        <v>0</v>
      </c>
      <c r="AN882" s="1637"/>
      <c r="AO882" s="1722">
        <v>1.3</v>
      </c>
      <c r="AP882" s="1638"/>
      <c r="AQ882" s="1638"/>
      <c r="AR882" s="1638"/>
      <c r="AS882" s="1639"/>
      <c r="AT882" s="1638"/>
      <c r="AU882" s="1638"/>
      <c r="AV882" s="1638"/>
      <c r="AW882" s="1639"/>
      <c r="AX882" s="1640"/>
      <c r="AY882" s="1640"/>
      <c r="AZ882" s="1640"/>
      <c r="BA882" s="1641"/>
      <c r="BB882" s="1640"/>
      <c r="BC882" s="1640"/>
      <c r="BD882" s="1640"/>
      <c r="BE882" s="1644">
        <v>3.8</v>
      </c>
      <c r="BF882" s="1640"/>
      <c r="BG882" s="1640"/>
      <c r="BH882" s="1640"/>
      <c r="BI882" s="1641"/>
      <c r="BJ882" s="1640"/>
      <c r="BK882" s="1640"/>
      <c r="BL882" s="1640"/>
      <c r="BM882" s="1641"/>
      <c r="BN882" s="1640"/>
      <c r="BO882" s="1640"/>
      <c r="BP882" s="1640"/>
      <c r="BQ882" s="1641"/>
      <c r="BR882" s="1640"/>
      <c r="BS882" s="1640"/>
      <c r="BT882" s="1640"/>
      <c r="BU882" s="1641">
        <v>6.3</v>
      </c>
      <c r="BV882" s="1640"/>
      <c r="BW882" s="1640"/>
      <c r="BX882" s="1640"/>
      <c r="BY882" s="1641"/>
      <c r="BZ882" s="1640"/>
      <c r="CA882" s="1640"/>
      <c r="CB882" s="1640"/>
      <c r="CC882" s="1641"/>
      <c r="CD882" s="1640"/>
      <c r="CE882" s="1640"/>
      <c r="CF882" s="1640"/>
      <c r="CG882" s="1642"/>
      <c r="CH882" s="1641">
        <f t="shared" si="582"/>
        <v>3.8</v>
      </c>
      <c r="CI882" s="1641">
        <f t="shared" si="582"/>
        <v>0</v>
      </c>
      <c r="CJ882" s="1641">
        <f t="shared" si="582"/>
        <v>0</v>
      </c>
      <c r="CK882" s="1641">
        <f t="shared" si="575"/>
        <v>0</v>
      </c>
      <c r="CL882" s="1889">
        <v>3.8</v>
      </c>
      <c r="CM882" s="1889">
        <v>0</v>
      </c>
      <c r="CN882" s="1889">
        <v>0</v>
      </c>
      <c r="CO882" s="1889">
        <v>0</v>
      </c>
      <c r="CP882" s="1641"/>
      <c r="CQ882" s="1640"/>
      <c r="CR882" s="1640"/>
      <c r="CS882" s="1640"/>
    </row>
    <row r="883" spans="1:107" ht="15" thickBot="1" x14ac:dyDescent="0.2">
      <c r="A883" s="1541" t="s">
        <v>94</v>
      </c>
      <c r="B883" s="1523" t="s">
        <v>79</v>
      </c>
      <c r="C883" s="1523" t="s">
        <v>80</v>
      </c>
      <c r="D883" s="1523" t="s">
        <v>125</v>
      </c>
      <c r="E883" s="1523" t="s">
        <v>216</v>
      </c>
      <c r="F883" s="1523"/>
      <c r="G883" s="1667" t="s">
        <v>95</v>
      </c>
      <c r="H883" s="1502"/>
      <c r="I883" s="1502"/>
      <c r="J883" s="1630"/>
      <c r="K883" s="1630"/>
      <c r="L883" s="1631"/>
      <c r="M883" s="1631"/>
      <c r="N883" s="1631"/>
      <c r="O883" s="1631"/>
      <c r="P883" s="1631"/>
      <c r="Q883" s="1631"/>
      <c r="R883" s="1631"/>
      <c r="S883" s="1631"/>
      <c r="T883" s="1632"/>
      <c r="U883" s="1633"/>
      <c r="V883" s="1633"/>
      <c r="W883" s="1634"/>
      <c r="X883" s="1634"/>
      <c r="Y883" s="1634"/>
      <c r="Z883" s="1635"/>
      <c r="AA883" s="1634">
        <f t="shared" si="562"/>
        <v>0</v>
      </c>
      <c r="AB883" s="1634"/>
      <c r="AC883" s="1508">
        <f t="shared" si="585"/>
        <v>0</v>
      </c>
      <c r="AD883" s="1509">
        <f t="shared" si="586"/>
        <v>0</v>
      </c>
      <c r="AE883" s="1509">
        <f t="shared" si="587"/>
        <v>0</v>
      </c>
      <c r="AF883" s="1509">
        <f t="shared" si="587"/>
        <v>0</v>
      </c>
      <c r="AG883" s="1509">
        <f t="shared" si="587"/>
        <v>0</v>
      </c>
      <c r="AH883" s="1490">
        <f t="shared" si="571"/>
        <v>0</v>
      </c>
      <c r="AI883" s="1636">
        <f t="shared" si="588"/>
        <v>0</v>
      </c>
      <c r="AJ883" s="1636">
        <f t="shared" si="589"/>
        <v>0</v>
      </c>
      <c r="AK883" s="1636">
        <f t="shared" si="590"/>
        <v>0</v>
      </c>
      <c r="AL883" s="1636">
        <f t="shared" si="573"/>
        <v>0</v>
      </c>
      <c r="AM883" s="1636">
        <f t="shared" si="573"/>
        <v>0</v>
      </c>
      <c r="AN883" s="1637"/>
      <c r="AO883" s="1722">
        <v>0</v>
      </c>
      <c r="AP883" s="1638"/>
      <c r="AQ883" s="1638"/>
      <c r="AR883" s="1638"/>
      <c r="AS883" s="1639"/>
      <c r="AT883" s="1638"/>
      <c r="AU883" s="1638"/>
      <c r="AV883" s="1638"/>
      <c r="AW883" s="1639"/>
      <c r="AX883" s="1640"/>
      <c r="AY883" s="1640"/>
      <c r="AZ883" s="1640"/>
      <c r="BA883" s="1641"/>
      <c r="BB883" s="1640"/>
      <c r="BC883" s="1640"/>
      <c r="BD883" s="1640"/>
      <c r="BE883" s="1644"/>
      <c r="BF883" s="1640"/>
      <c r="BG883" s="1640"/>
      <c r="BH883" s="1640"/>
      <c r="BI883" s="1641"/>
      <c r="BJ883" s="1640"/>
      <c r="BK883" s="1640"/>
      <c r="BL883" s="1640"/>
      <c r="BM883" s="1641"/>
      <c r="BN883" s="1640"/>
      <c r="BO883" s="1640"/>
      <c r="BP883" s="1640"/>
      <c r="BQ883" s="1641"/>
      <c r="BR883" s="1640"/>
      <c r="BS883" s="1640"/>
      <c r="BT883" s="1640"/>
      <c r="BU883" s="1641"/>
      <c r="BV883" s="1640"/>
      <c r="BW883" s="1640"/>
      <c r="BX883" s="1640"/>
      <c r="BY883" s="1641"/>
      <c r="BZ883" s="1640"/>
      <c r="CA883" s="1640"/>
      <c r="CB883" s="1640"/>
      <c r="CC883" s="1641"/>
      <c r="CD883" s="1640"/>
      <c r="CE883" s="1640"/>
      <c r="CF883" s="1640"/>
      <c r="CG883" s="1642"/>
      <c r="CH883" s="1641">
        <f t="shared" si="582"/>
        <v>0</v>
      </c>
      <c r="CI883" s="1641">
        <f t="shared" si="582"/>
        <v>0</v>
      </c>
      <c r="CJ883" s="1641">
        <f t="shared" si="582"/>
        <v>0</v>
      </c>
      <c r="CK883" s="1641">
        <f t="shared" si="575"/>
        <v>0</v>
      </c>
      <c r="CL883" s="1889">
        <v>0</v>
      </c>
      <c r="CM883" s="1889">
        <v>0</v>
      </c>
      <c r="CN883" s="1889">
        <v>0</v>
      </c>
      <c r="CO883" s="1889">
        <v>0</v>
      </c>
      <c r="CP883" s="1641"/>
      <c r="CQ883" s="1640"/>
      <c r="CR883" s="1640"/>
      <c r="CS883" s="1640"/>
    </row>
    <row r="884" spans="1:107" ht="15" thickBot="1" x14ac:dyDescent="0.2">
      <c r="A884" s="1541" t="s">
        <v>96</v>
      </c>
      <c r="B884" s="1523" t="s">
        <v>79</v>
      </c>
      <c r="C884" s="1523" t="s">
        <v>80</v>
      </c>
      <c r="D884" s="1523" t="s">
        <v>125</v>
      </c>
      <c r="E884" s="1523" t="s">
        <v>216</v>
      </c>
      <c r="F884" s="1523"/>
      <c r="G884" s="1667">
        <v>310</v>
      </c>
      <c r="H884" s="1502">
        <f>170</f>
        <v>170</v>
      </c>
      <c r="I884" s="1502"/>
      <c r="J884" s="1630"/>
      <c r="K884" s="1630">
        <f>250-U884</f>
        <v>200</v>
      </c>
      <c r="L884" s="1631"/>
      <c r="M884" s="1631"/>
      <c r="N884" s="1631"/>
      <c r="O884" s="1631"/>
      <c r="P884" s="1631"/>
      <c r="Q884" s="1631"/>
      <c r="R884" s="1631"/>
      <c r="S884" s="1631"/>
      <c r="T884" s="1632"/>
      <c r="U884" s="1633">
        <v>50</v>
      </c>
      <c r="V884" s="1633"/>
      <c r="W884" s="1634"/>
      <c r="X884" s="1634"/>
      <c r="Y884" s="1634"/>
      <c r="Z884" s="1635"/>
      <c r="AA884" s="1634">
        <f t="shared" si="562"/>
        <v>0</v>
      </c>
      <c r="AB884" s="1634"/>
      <c r="AC884" s="1508">
        <f t="shared" si="585"/>
        <v>170</v>
      </c>
      <c r="AD884" s="1509">
        <f t="shared" si="586"/>
        <v>200</v>
      </c>
      <c r="AE884" s="1509">
        <f t="shared" si="587"/>
        <v>0</v>
      </c>
      <c r="AF884" s="1509">
        <f t="shared" si="587"/>
        <v>0</v>
      </c>
      <c r="AG884" s="1509">
        <f t="shared" si="587"/>
        <v>200</v>
      </c>
      <c r="AH884" s="1490">
        <f t="shared" si="571"/>
        <v>45</v>
      </c>
      <c r="AI884" s="1636">
        <f t="shared" si="588"/>
        <v>0</v>
      </c>
      <c r="AJ884" s="1636">
        <f t="shared" si="589"/>
        <v>0</v>
      </c>
      <c r="AK884" s="1636">
        <f t="shared" si="590"/>
        <v>0</v>
      </c>
      <c r="AL884" s="1636">
        <f t="shared" si="573"/>
        <v>0</v>
      </c>
      <c r="AM884" s="1636">
        <f t="shared" si="573"/>
        <v>0</v>
      </c>
      <c r="AN884" s="1637"/>
      <c r="AO884" s="1723"/>
      <c r="AP884" s="1638"/>
      <c r="AQ884" s="1638"/>
      <c r="AR884" s="1638"/>
      <c r="AS884" s="1639"/>
      <c r="AT884" s="1638"/>
      <c r="AU884" s="1638"/>
      <c r="AV884" s="1638"/>
      <c r="AW884" s="1639"/>
      <c r="AX884" s="1640"/>
      <c r="AY884" s="1640"/>
      <c r="AZ884" s="1640"/>
      <c r="BA884" s="1641"/>
      <c r="BB884" s="1640"/>
      <c r="BC884" s="1640"/>
      <c r="BD884" s="1640"/>
      <c r="BE884" s="1644"/>
      <c r="BF884" s="1640"/>
      <c r="BG884" s="1640"/>
      <c r="BH884" s="1640"/>
      <c r="BI884" s="1641">
        <v>50</v>
      </c>
      <c r="BJ884" s="1640"/>
      <c r="BK884" s="1640"/>
      <c r="BL884" s="1640"/>
      <c r="BM884" s="1641">
        <v>75</v>
      </c>
      <c r="BN884" s="1640"/>
      <c r="BO884" s="1640"/>
      <c r="BP884" s="1640"/>
      <c r="BQ884" s="1641"/>
      <c r="BR884" s="1640"/>
      <c r="BS884" s="1640"/>
      <c r="BT884" s="1640"/>
      <c r="BU884" s="1641"/>
      <c r="BV884" s="1640"/>
      <c r="BW884" s="1640"/>
      <c r="BX884" s="1640">
        <v>133.167</v>
      </c>
      <c r="BY884" s="1641"/>
      <c r="BZ884" s="1640"/>
      <c r="CA884" s="1640"/>
      <c r="CB884" s="1640"/>
      <c r="CC884" s="1641"/>
      <c r="CD884" s="1640"/>
      <c r="CE884" s="1640"/>
      <c r="CF884" s="1640"/>
      <c r="CG884" s="1642"/>
      <c r="CH884" s="1641">
        <f t="shared" si="582"/>
        <v>45</v>
      </c>
      <c r="CI884" s="1641">
        <f t="shared" si="582"/>
        <v>0</v>
      </c>
      <c r="CJ884" s="1641">
        <f t="shared" si="582"/>
        <v>0</v>
      </c>
      <c r="CK884" s="1641">
        <f t="shared" si="575"/>
        <v>66.832999999999998</v>
      </c>
      <c r="CL884" s="1889">
        <v>45</v>
      </c>
      <c r="CM884" s="1889">
        <v>0</v>
      </c>
      <c r="CN884" s="1889">
        <v>0</v>
      </c>
      <c r="CO884" s="1889">
        <v>66.832999999999998</v>
      </c>
      <c r="CP884" s="1641"/>
      <c r="CQ884" s="1640"/>
      <c r="CR884" s="1640"/>
      <c r="CS884" s="1640"/>
    </row>
    <row r="885" spans="1:107" ht="15" thickBot="1" x14ac:dyDescent="0.2">
      <c r="A885" s="1541" t="s">
        <v>97</v>
      </c>
      <c r="B885" s="1523" t="s">
        <v>79</v>
      </c>
      <c r="C885" s="1523" t="s">
        <v>80</v>
      </c>
      <c r="D885" s="1523" t="s">
        <v>125</v>
      </c>
      <c r="E885" s="1523" t="s">
        <v>216</v>
      </c>
      <c r="F885" s="1523"/>
      <c r="G885" s="1667">
        <v>340</v>
      </c>
      <c r="H885" s="1502"/>
      <c r="I885" s="1502"/>
      <c r="J885" s="1630"/>
      <c r="K885" s="1630"/>
      <c r="L885" s="1631"/>
      <c r="M885" s="1631"/>
      <c r="N885" s="1631"/>
      <c r="O885" s="1631"/>
      <c r="P885" s="1631"/>
      <c r="Q885" s="1631"/>
      <c r="R885" s="1631"/>
      <c r="S885" s="1631"/>
      <c r="T885" s="1632"/>
      <c r="U885" s="1633"/>
      <c r="V885" s="1633"/>
      <c r="W885" s="1634"/>
      <c r="X885" s="1634"/>
      <c r="Y885" s="1634"/>
      <c r="Z885" s="1635"/>
      <c r="AA885" s="1634">
        <f t="shared" si="562"/>
        <v>0</v>
      </c>
      <c r="AB885" s="1634"/>
      <c r="AC885" s="1508">
        <f t="shared" si="585"/>
        <v>0</v>
      </c>
      <c r="AD885" s="1509">
        <f t="shared" si="586"/>
        <v>0</v>
      </c>
      <c r="AE885" s="1509">
        <f t="shared" si="587"/>
        <v>0</v>
      </c>
      <c r="AF885" s="1509">
        <f t="shared" si="587"/>
        <v>0</v>
      </c>
      <c r="AG885" s="1509">
        <f t="shared" si="587"/>
        <v>0</v>
      </c>
      <c r="AH885" s="1490">
        <f t="shared" si="571"/>
        <v>0</v>
      </c>
      <c r="AI885" s="1636">
        <f t="shared" si="588"/>
        <v>0</v>
      </c>
      <c r="AJ885" s="1636">
        <f t="shared" si="589"/>
        <v>0</v>
      </c>
      <c r="AK885" s="1636">
        <f t="shared" si="590"/>
        <v>0</v>
      </c>
      <c r="AL885" s="1636">
        <f t="shared" si="573"/>
        <v>0</v>
      </c>
      <c r="AM885" s="1636">
        <f t="shared" si="573"/>
        <v>0</v>
      </c>
      <c r="AN885" s="1637"/>
      <c r="AO885" s="1722">
        <v>0</v>
      </c>
      <c r="AP885" s="1638"/>
      <c r="AQ885" s="1638"/>
      <c r="AR885" s="1638"/>
      <c r="AS885" s="1639"/>
      <c r="AT885" s="1638"/>
      <c r="AU885" s="1638"/>
      <c r="AV885" s="1638"/>
      <c r="AW885" s="1639"/>
      <c r="AX885" s="1640"/>
      <c r="AY885" s="1640"/>
      <c r="AZ885" s="1640"/>
      <c r="BA885" s="1641"/>
      <c r="BB885" s="1640"/>
      <c r="BC885" s="1640"/>
      <c r="BD885" s="1640"/>
      <c r="BE885" s="1644"/>
      <c r="BF885" s="1640"/>
      <c r="BG885" s="1640"/>
      <c r="BH885" s="1640"/>
      <c r="BI885" s="1641"/>
      <c r="BJ885" s="1640"/>
      <c r="BK885" s="1640"/>
      <c r="BL885" s="1640"/>
      <c r="BM885" s="1641"/>
      <c r="BN885" s="1640"/>
      <c r="BO885" s="1640"/>
      <c r="BP885" s="1640"/>
      <c r="BQ885" s="1641"/>
      <c r="BR885" s="1640"/>
      <c r="BS885" s="1640"/>
      <c r="BT885" s="1640"/>
      <c r="BU885" s="1641"/>
      <c r="BV885" s="1640"/>
      <c r="BW885" s="1640"/>
      <c r="BX885" s="1640"/>
      <c r="BY885" s="1641"/>
      <c r="BZ885" s="1640"/>
      <c r="CA885" s="1640"/>
      <c r="CB885" s="1640"/>
      <c r="CC885" s="1641"/>
      <c r="CD885" s="1640"/>
      <c r="CE885" s="1640"/>
      <c r="CF885" s="1640"/>
      <c r="CG885" s="1642"/>
      <c r="CH885" s="1641">
        <f t="shared" si="582"/>
        <v>0</v>
      </c>
      <c r="CI885" s="1641">
        <f t="shared" si="582"/>
        <v>0</v>
      </c>
      <c r="CJ885" s="1641">
        <f t="shared" si="582"/>
        <v>0</v>
      </c>
      <c r="CK885" s="1641">
        <f t="shared" si="575"/>
        <v>0</v>
      </c>
      <c r="CL885" s="1889">
        <v>0</v>
      </c>
      <c r="CM885" s="1889">
        <v>0</v>
      </c>
      <c r="CN885" s="1889">
        <v>0</v>
      </c>
      <c r="CO885" s="1889">
        <v>0</v>
      </c>
      <c r="CP885" s="1641"/>
      <c r="CQ885" s="1640"/>
      <c r="CR885" s="1640"/>
      <c r="CS885" s="1640"/>
    </row>
    <row r="886" spans="1:107" ht="15" thickBot="1" x14ac:dyDescent="0.2">
      <c r="A886" s="1528" t="s">
        <v>767</v>
      </c>
      <c r="B886" s="1530" t="s">
        <v>79</v>
      </c>
      <c r="C886" s="1530" t="s">
        <v>80</v>
      </c>
      <c r="D886" s="1530" t="s">
        <v>125</v>
      </c>
      <c r="E886" s="1530" t="s">
        <v>216</v>
      </c>
      <c r="F886" s="1530">
        <v>612</v>
      </c>
      <c r="G886" s="1687" t="s">
        <v>766</v>
      </c>
      <c r="H886" s="1647">
        <f>I872</f>
        <v>0</v>
      </c>
      <c r="I886" s="1645"/>
      <c r="J886" s="1630"/>
      <c r="K886" s="1630"/>
      <c r="L886" s="1631"/>
      <c r="M886" s="1631"/>
      <c r="N886" s="1631"/>
      <c r="O886" s="1631"/>
      <c r="P886" s="1631"/>
      <c r="Q886" s="1631"/>
      <c r="R886" s="1631"/>
      <c r="S886" s="1631"/>
      <c r="T886" s="1632"/>
      <c r="U886" s="1633"/>
      <c r="V886" s="1633"/>
      <c r="W886" s="1634"/>
      <c r="X886" s="1634"/>
      <c r="Y886" s="1634"/>
      <c r="Z886" s="1635"/>
      <c r="AA886" s="1634">
        <f t="shared" si="562"/>
        <v>0</v>
      </c>
      <c r="AB886" s="1634"/>
      <c r="AC886" s="1508"/>
      <c r="AD886" s="1509"/>
      <c r="AE886" s="1509"/>
      <c r="AF886" s="1509"/>
      <c r="AG886" s="1509"/>
      <c r="AH886" s="1490">
        <f t="shared" si="571"/>
        <v>0</v>
      </c>
      <c r="AI886" s="1636"/>
      <c r="AJ886" s="1636"/>
      <c r="AK886" s="1636"/>
      <c r="AL886" s="1636">
        <f t="shared" si="573"/>
        <v>0</v>
      </c>
      <c r="AM886" s="1636"/>
      <c r="AN886" s="1712"/>
      <c r="AO886" s="1713"/>
      <c r="AP886" s="1638"/>
      <c r="AQ886" s="1638"/>
      <c r="AR886" s="1638"/>
      <c r="AS886" s="1639"/>
      <c r="AT886" s="1638"/>
      <c r="AU886" s="1638"/>
      <c r="AV886" s="1638"/>
      <c r="AW886" s="1639"/>
      <c r="AX886" s="1640"/>
      <c r="AY886" s="1640"/>
      <c r="AZ886" s="1640"/>
      <c r="BA886" s="1641"/>
      <c r="BB886" s="1640"/>
      <c r="BC886" s="1640"/>
      <c r="BD886" s="1640"/>
      <c r="BE886" s="1644"/>
      <c r="BF886" s="1640"/>
      <c r="BG886" s="1640"/>
      <c r="BH886" s="1640"/>
      <c r="BI886" s="1641"/>
      <c r="BJ886" s="1640"/>
      <c r="BK886" s="1640"/>
      <c r="BL886" s="1640"/>
      <c r="BM886" s="1641"/>
      <c r="BN886" s="1640"/>
      <c r="BO886" s="1640"/>
      <c r="BP886" s="1640"/>
      <c r="BQ886" s="1641"/>
      <c r="BR886" s="1640"/>
      <c r="BS886" s="1640"/>
      <c r="BT886" s="1640"/>
      <c r="BU886" s="1641"/>
      <c r="BV886" s="1640"/>
      <c r="BW886" s="1640"/>
      <c r="BX886" s="1640"/>
      <c r="BY886" s="1641"/>
      <c r="BZ886" s="1640"/>
      <c r="CA886" s="1640"/>
      <c r="CB886" s="1640"/>
      <c r="CC886" s="1641"/>
      <c r="CD886" s="1640"/>
      <c r="CE886" s="1640"/>
      <c r="CF886" s="1640"/>
      <c r="CG886" s="1642"/>
      <c r="CH886" s="1641">
        <f t="shared" si="582"/>
        <v>0</v>
      </c>
      <c r="CI886" s="1641">
        <f t="shared" si="582"/>
        <v>0</v>
      </c>
      <c r="CJ886" s="1641">
        <f t="shared" si="582"/>
        <v>0</v>
      </c>
      <c r="CK886" s="1641">
        <f t="shared" si="575"/>
        <v>0</v>
      </c>
      <c r="CL886" s="1898"/>
      <c r="CM886" s="1898"/>
      <c r="CN886" s="1889">
        <v>0</v>
      </c>
      <c r="CO886" s="1898"/>
      <c r="CP886" s="1641"/>
      <c r="CQ886" s="1640"/>
      <c r="CR886" s="1640"/>
      <c r="CS886" s="1640"/>
    </row>
    <row r="887" spans="1:107" s="1886" customFormat="1" ht="15" thickBot="1" x14ac:dyDescent="0.2">
      <c r="A887" s="1873" t="s">
        <v>1299</v>
      </c>
      <c r="B887" s="1941" t="s">
        <v>79</v>
      </c>
      <c r="C887" s="1941" t="s">
        <v>80</v>
      </c>
      <c r="D887" s="1941" t="s">
        <v>125</v>
      </c>
      <c r="E887" s="1941" t="s">
        <v>216</v>
      </c>
      <c r="F887" s="1941">
        <v>600</v>
      </c>
      <c r="G887" s="1874"/>
      <c r="H887" s="1606">
        <f>H888+H902</f>
        <v>35483.046000000002</v>
      </c>
      <c r="I887" s="1606">
        <f>I888+I902</f>
        <v>32464.1</v>
      </c>
      <c r="J887" s="1606">
        <f>J888+J902</f>
        <v>0</v>
      </c>
      <c r="K887" s="1606">
        <f t="shared" ref="K887:CF887" si="591">K888+K902</f>
        <v>0</v>
      </c>
      <c r="L887" s="1607"/>
      <c r="M887" s="1607"/>
      <c r="N887" s="1607"/>
      <c r="O887" s="1607"/>
      <c r="P887" s="1607"/>
      <c r="Q887" s="1607"/>
      <c r="R887" s="1607"/>
      <c r="S887" s="1607"/>
      <c r="T887" s="1608"/>
      <c r="U887" s="1609"/>
      <c r="V887" s="1609"/>
      <c r="W887" s="1610"/>
      <c r="X887" s="1610"/>
      <c r="Y887" s="1610"/>
      <c r="Z887" s="1611"/>
      <c r="AA887" s="1634">
        <f t="shared" si="562"/>
        <v>0</v>
      </c>
      <c r="AB887" s="1610"/>
      <c r="AC887" s="1612">
        <f t="shared" si="591"/>
        <v>3018.9460000000004</v>
      </c>
      <c r="AD887" s="1612">
        <f t="shared" si="591"/>
        <v>32464.1</v>
      </c>
      <c r="AE887" s="1612">
        <f t="shared" si="591"/>
        <v>32464.1</v>
      </c>
      <c r="AF887" s="1612">
        <f t="shared" si="591"/>
        <v>0</v>
      </c>
      <c r="AG887" s="1612">
        <f t="shared" si="591"/>
        <v>0</v>
      </c>
      <c r="AH887" s="1490">
        <f t="shared" si="571"/>
        <v>0</v>
      </c>
      <c r="AI887" s="1613"/>
      <c r="AJ887" s="1613"/>
      <c r="AK887" s="1613"/>
      <c r="AL887" s="1636"/>
      <c r="AM887" s="1613"/>
      <c r="AN887" s="1614"/>
      <c r="AO887" s="1606">
        <f t="shared" si="591"/>
        <v>228.10000000000002</v>
      </c>
      <c r="AP887" s="1606">
        <f t="shared" si="591"/>
        <v>0</v>
      </c>
      <c r="AQ887" s="1606">
        <f t="shared" si="591"/>
        <v>0</v>
      </c>
      <c r="AR887" s="1606">
        <f t="shared" si="591"/>
        <v>0</v>
      </c>
      <c r="AS887" s="1611">
        <f t="shared" si="591"/>
        <v>223</v>
      </c>
      <c r="AT887" s="1606">
        <f t="shared" si="591"/>
        <v>0</v>
      </c>
      <c r="AU887" s="1606">
        <f t="shared" si="591"/>
        <v>0</v>
      </c>
      <c r="AV887" s="1606">
        <f t="shared" si="591"/>
        <v>0</v>
      </c>
      <c r="AW887" s="1611">
        <f t="shared" si="591"/>
        <v>488</v>
      </c>
      <c r="AX887" s="1606">
        <f t="shared" si="591"/>
        <v>2018.2</v>
      </c>
      <c r="AY887" s="1606">
        <f t="shared" si="591"/>
        <v>0</v>
      </c>
      <c r="AZ887" s="1606">
        <f t="shared" si="591"/>
        <v>0</v>
      </c>
      <c r="BA887" s="1614">
        <f t="shared" si="591"/>
        <v>188</v>
      </c>
      <c r="BB887" s="1606">
        <f t="shared" si="591"/>
        <v>1420</v>
      </c>
      <c r="BC887" s="1606">
        <f t="shared" si="591"/>
        <v>0</v>
      </c>
      <c r="BD887" s="1606">
        <f t="shared" si="591"/>
        <v>0</v>
      </c>
      <c r="BE887" s="1615">
        <f t="shared" si="591"/>
        <v>189.1</v>
      </c>
      <c r="BF887" s="1606">
        <f t="shared" si="591"/>
        <v>2424.1</v>
      </c>
      <c r="BG887" s="1606">
        <f t="shared" si="591"/>
        <v>0</v>
      </c>
      <c r="BH887" s="1606">
        <f t="shared" si="591"/>
        <v>0</v>
      </c>
      <c r="BI887" s="1614">
        <f t="shared" si="591"/>
        <v>46.305</v>
      </c>
      <c r="BJ887" s="1606">
        <f t="shared" si="591"/>
        <v>0</v>
      </c>
      <c r="BK887" s="1606">
        <f t="shared" si="591"/>
        <v>0</v>
      </c>
      <c r="BL887" s="1606">
        <f t="shared" si="591"/>
        <v>0</v>
      </c>
      <c r="BM887" s="1614">
        <f t="shared" si="591"/>
        <v>617.69499999999994</v>
      </c>
      <c r="BN887" s="1606">
        <f t="shared" si="591"/>
        <v>4000</v>
      </c>
      <c r="BO887" s="1606">
        <f t="shared" si="591"/>
        <v>0</v>
      </c>
      <c r="BP887" s="1606">
        <f t="shared" si="591"/>
        <v>0</v>
      </c>
      <c r="BQ887" s="1614">
        <f t="shared" si="591"/>
        <v>473.04599999999999</v>
      </c>
      <c r="BR887" s="1606">
        <f t="shared" si="591"/>
        <v>5635</v>
      </c>
      <c r="BS887" s="1606">
        <f t="shared" si="591"/>
        <v>0</v>
      </c>
      <c r="BT887" s="1606">
        <f t="shared" si="591"/>
        <v>0</v>
      </c>
      <c r="BU887" s="1614">
        <f t="shared" si="591"/>
        <v>142.9</v>
      </c>
      <c r="BV887" s="1606">
        <f t="shared" si="591"/>
        <v>3070</v>
      </c>
      <c r="BW887" s="1606">
        <f t="shared" si="591"/>
        <v>0</v>
      </c>
      <c r="BX887" s="1606">
        <f t="shared" si="591"/>
        <v>0</v>
      </c>
      <c r="BY887" s="1614">
        <f t="shared" si="591"/>
        <v>46.96</v>
      </c>
      <c r="BZ887" s="1606">
        <f t="shared" si="591"/>
        <v>896.8</v>
      </c>
      <c r="CA887" s="1606">
        <f t="shared" si="591"/>
        <v>0</v>
      </c>
      <c r="CB887" s="1606">
        <f t="shared" si="591"/>
        <v>0</v>
      </c>
      <c r="CC887" s="1614">
        <f t="shared" si="591"/>
        <v>320.46000000000004</v>
      </c>
      <c r="CD887" s="1606">
        <f t="shared" si="591"/>
        <v>0</v>
      </c>
      <c r="CE887" s="1606">
        <f t="shared" si="591"/>
        <v>0</v>
      </c>
      <c r="CF887" s="1606">
        <f t="shared" si="591"/>
        <v>0</v>
      </c>
      <c r="CG887" s="1616"/>
      <c r="CH887" s="1641">
        <f t="shared" si="582"/>
        <v>0</v>
      </c>
      <c r="CI887" s="1641">
        <f t="shared" si="582"/>
        <v>1000</v>
      </c>
      <c r="CJ887" s="1641">
        <f t="shared" si="582"/>
        <v>0</v>
      </c>
      <c r="CK887" s="1641">
        <f t="shared" si="575"/>
        <v>0</v>
      </c>
      <c r="CL887" s="1943"/>
      <c r="CM887" s="1943"/>
      <c r="CN887" s="1898"/>
      <c r="CO887" s="1943"/>
      <c r="CP887" s="1614">
        <f>CP888+CP902</f>
        <v>0</v>
      </c>
      <c r="CQ887" s="1606">
        <f>CQ888+CQ902</f>
        <v>1000</v>
      </c>
      <c r="CR887" s="1606">
        <f>CR888+CR902</f>
        <v>0</v>
      </c>
      <c r="CS887" s="1606">
        <f>CS888+CS902</f>
        <v>0</v>
      </c>
      <c r="CT887" s="1885"/>
      <c r="CU887" s="1885"/>
      <c r="CV887" s="1885"/>
      <c r="CW887" s="1885"/>
      <c r="CY887" s="1885"/>
    </row>
    <row r="888" spans="1:107" ht="53" thickBot="1" x14ac:dyDescent="0.2">
      <c r="A888" s="1748" t="s">
        <v>1135</v>
      </c>
      <c r="B888" s="1749" t="s">
        <v>79</v>
      </c>
      <c r="C888" s="1749" t="s">
        <v>80</v>
      </c>
      <c r="D888" s="1749" t="s">
        <v>125</v>
      </c>
      <c r="E888" s="1749" t="s">
        <v>216</v>
      </c>
      <c r="F888" s="1749" t="s">
        <v>765</v>
      </c>
      <c r="G888" s="1600" t="s">
        <v>766</v>
      </c>
      <c r="H888" s="1531">
        <f>H889+H890+H891+H892+H893+H894+H895+H896+H897+H898+H899+H900+H901</f>
        <v>3018.9460000000004</v>
      </c>
      <c r="I888" s="1531">
        <f>I889+I890+I891+I892+I893+I894+I895+I896+I897+I898+I899+I900+I901</f>
        <v>32464.1</v>
      </c>
      <c r="J888" s="1531">
        <f>J889+J890+J891+J892+J893+J894+J895+J896+J897+J898+J899+J900+J901</f>
        <v>0</v>
      </c>
      <c r="K888" s="1531">
        <f t="shared" ref="K888:CF888" si="592">K889+K890+K891+K892+K893+K894+K895+K896+K897+K898+K899+K900+K901</f>
        <v>0</v>
      </c>
      <c r="L888" s="1601"/>
      <c r="M888" s="1601"/>
      <c r="N888" s="1601"/>
      <c r="O888" s="1601"/>
      <c r="P888" s="1601"/>
      <c r="Q888" s="1601"/>
      <c r="R888" s="1601"/>
      <c r="S888" s="1601"/>
      <c r="T888" s="1602"/>
      <c r="U888" s="1533"/>
      <c r="V888" s="1533"/>
      <c r="W888" s="1534"/>
      <c r="X888" s="1534"/>
      <c r="Y888" s="1534"/>
      <c r="Z888" s="1535"/>
      <c r="AA888" s="1634">
        <f t="shared" si="562"/>
        <v>0</v>
      </c>
      <c r="AB888" s="1534"/>
      <c r="AC888" s="1603">
        <f t="shared" si="592"/>
        <v>3018.9460000000004</v>
      </c>
      <c r="AD888" s="1603">
        <f t="shared" si="592"/>
        <v>32464.1</v>
      </c>
      <c r="AE888" s="1603">
        <f t="shared" si="592"/>
        <v>32464.1</v>
      </c>
      <c r="AF888" s="1603">
        <f t="shared" si="592"/>
        <v>0</v>
      </c>
      <c r="AG888" s="1603">
        <f t="shared" si="592"/>
        <v>0</v>
      </c>
      <c r="AH888" s="1490">
        <f t="shared" si="571"/>
        <v>55.38</v>
      </c>
      <c r="AI888" s="1592">
        <f t="shared" si="592"/>
        <v>0</v>
      </c>
      <c r="AJ888" s="1592">
        <f t="shared" si="592"/>
        <v>0</v>
      </c>
      <c r="AK888" s="1592">
        <f t="shared" si="592"/>
        <v>0</v>
      </c>
      <c r="AL888" s="1636">
        <f t="shared" ref="AL888:AM933" si="593">J888-AF888</f>
        <v>0</v>
      </c>
      <c r="AM888" s="1592">
        <f t="shared" si="592"/>
        <v>0</v>
      </c>
      <c r="AN888" s="1717"/>
      <c r="AO888" s="1718">
        <f t="shared" si="592"/>
        <v>228.10000000000002</v>
      </c>
      <c r="AP888" s="1531">
        <f t="shared" si="592"/>
        <v>0</v>
      </c>
      <c r="AQ888" s="1531">
        <f t="shared" si="592"/>
        <v>0</v>
      </c>
      <c r="AR888" s="1531">
        <f t="shared" si="592"/>
        <v>0</v>
      </c>
      <c r="AS888" s="1535">
        <f t="shared" si="592"/>
        <v>223</v>
      </c>
      <c r="AT888" s="1531">
        <f t="shared" si="592"/>
        <v>0</v>
      </c>
      <c r="AU888" s="1531">
        <f t="shared" si="592"/>
        <v>0</v>
      </c>
      <c r="AV888" s="1531">
        <f t="shared" si="592"/>
        <v>0</v>
      </c>
      <c r="AW888" s="1535">
        <f t="shared" si="592"/>
        <v>488</v>
      </c>
      <c r="AX888" s="1531">
        <f t="shared" si="592"/>
        <v>2018.2</v>
      </c>
      <c r="AY888" s="1531">
        <f t="shared" si="592"/>
        <v>0</v>
      </c>
      <c r="AZ888" s="1531">
        <f t="shared" si="592"/>
        <v>0</v>
      </c>
      <c r="BA888" s="1538">
        <f t="shared" si="592"/>
        <v>188</v>
      </c>
      <c r="BB888" s="1531">
        <f t="shared" si="592"/>
        <v>1420</v>
      </c>
      <c r="BC888" s="1531">
        <f t="shared" si="592"/>
        <v>0</v>
      </c>
      <c r="BD888" s="1531">
        <f t="shared" si="592"/>
        <v>0</v>
      </c>
      <c r="BE888" s="1539">
        <f t="shared" si="592"/>
        <v>189.1</v>
      </c>
      <c r="BF888" s="1531">
        <f t="shared" si="592"/>
        <v>2424.1</v>
      </c>
      <c r="BG888" s="1531">
        <f t="shared" si="592"/>
        <v>0</v>
      </c>
      <c r="BH888" s="1531">
        <f t="shared" si="592"/>
        <v>0</v>
      </c>
      <c r="BI888" s="1538">
        <f t="shared" si="592"/>
        <v>46.305</v>
      </c>
      <c r="BJ888" s="1531">
        <f t="shared" si="592"/>
        <v>0</v>
      </c>
      <c r="BK888" s="1531">
        <f t="shared" si="592"/>
        <v>0</v>
      </c>
      <c r="BL888" s="1531">
        <f t="shared" si="592"/>
        <v>0</v>
      </c>
      <c r="BM888" s="1538">
        <f t="shared" si="592"/>
        <v>617.69499999999994</v>
      </c>
      <c r="BN888" s="1531">
        <f t="shared" si="592"/>
        <v>4000</v>
      </c>
      <c r="BO888" s="1531">
        <f t="shared" si="592"/>
        <v>0</v>
      </c>
      <c r="BP888" s="1531">
        <f t="shared" si="592"/>
        <v>0</v>
      </c>
      <c r="BQ888" s="1538">
        <f t="shared" si="592"/>
        <v>473.04599999999999</v>
      </c>
      <c r="BR888" s="1531">
        <f t="shared" si="592"/>
        <v>5635</v>
      </c>
      <c r="BS888" s="1531">
        <f t="shared" si="592"/>
        <v>0</v>
      </c>
      <c r="BT888" s="1531">
        <f t="shared" si="592"/>
        <v>0</v>
      </c>
      <c r="BU888" s="1538">
        <f t="shared" si="592"/>
        <v>142.9</v>
      </c>
      <c r="BV888" s="1531">
        <f t="shared" si="592"/>
        <v>3070</v>
      </c>
      <c r="BW888" s="1531">
        <f t="shared" si="592"/>
        <v>0</v>
      </c>
      <c r="BX888" s="1531">
        <f t="shared" si="592"/>
        <v>0</v>
      </c>
      <c r="BY888" s="1538">
        <f t="shared" si="592"/>
        <v>46.96</v>
      </c>
      <c r="BZ888" s="1531">
        <f t="shared" si="592"/>
        <v>896.8</v>
      </c>
      <c r="CA888" s="1531">
        <f t="shared" si="592"/>
        <v>0</v>
      </c>
      <c r="CB888" s="1531">
        <f t="shared" si="592"/>
        <v>0</v>
      </c>
      <c r="CC888" s="1538">
        <f t="shared" si="592"/>
        <v>320.46000000000004</v>
      </c>
      <c r="CD888" s="1531">
        <f t="shared" si="592"/>
        <v>0</v>
      </c>
      <c r="CE888" s="1531">
        <f t="shared" si="592"/>
        <v>0</v>
      </c>
      <c r="CF888" s="1531">
        <f t="shared" si="592"/>
        <v>0</v>
      </c>
      <c r="CG888" s="1705"/>
      <c r="CH888" s="1641">
        <f t="shared" si="582"/>
        <v>55.38</v>
      </c>
      <c r="CI888" s="1641">
        <f t="shared" si="582"/>
        <v>13000</v>
      </c>
      <c r="CJ888" s="1641">
        <f t="shared" si="582"/>
        <v>0</v>
      </c>
      <c r="CK888" s="1641">
        <f t="shared" si="575"/>
        <v>0</v>
      </c>
      <c r="CL888" s="1902">
        <v>55.38</v>
      </c>
      <c r="CM888" s="1901">
        <v>12000</v>
      </c>
      <c r="CN888" s="1889">
        <v>0</v>
      </c>
      <c r="CO888" s="1902">
        <v>0</v>
      </c>
      <c r="CP888" s="1538">
        <f>CP889+CP890+CP891+CP892+CP893+CP894+CP895+CP896+CP897+CP898+CP899+CP900+CP901</f>
        <v>0</v>
      </c>
      <c r="CQ888" s="1531">
        <f>CQ889+CQ890+CQ891+CQ892+CQ893+CQ894+CQ895+CQ896+CQ897+CQ898+CQ899+CQ900+CQ901</f>
        <v>1000</v>
      </c>
      <c r="CR888" s="1531">
        <f>CR889+CR890+CR891+CR892+CR893+CR894+CR895+CR896+CR897+CR898+CR899+CR900+CR901</f>
        <v>0</v>
      </c>
      <c r="CS888" s="1531">
        <f>CS889+CS890+CS891+CS892+CS893+CS894+CS895+CS896+CS897+CS898+CS899+CS900+CS901</f>
        <v>0</v>
      </c>
    </row>
    <row r="889" spans="1:107" ht="15" thickBot="1" x14ac:dyDescent="0.2">
      <c r="A889" s="1541" t="s">
        <v>78</v>
      </c>
      <c r="B889" s="1523" t="s">
        <v>79</v>
      </c>
      <c r="C889" s="1523" t="s">
        <v>80</v>
      </c>
      <c r="D889" s="1523" t="s">
        <v>125</v>
      </c>
      <c r="E889" s="1523" t="s">
        <v>216</v>
      </c>
      <c r="F889" s="1523"/>
      <c r="G889" s="1667">
        <v>211</v>
      </c>
      <c r="H889" s="1502">
        <v>1732.5</v>
      </c>
      <c r="I889" s="1502"/>
      <c r="J889" s="1630"/>
      <c r="K889" s="1630"/>
      <c r="L889" s="1631"/>
      <c r="M889" s="1631"/>
      <c r="N889" s="1631"/>
      <c r="O889" s="1631"/>
      <c r="P889" s="1631"/>
      <c r="Q889" s="1631"/>
      <c r="R889" s="1631"/>
      <c r="S889" s="1631"/>
      <c r="T889" s="1632"/>
      <c r="U889" s="1633"/>
      <c r="V889" s="1633"/>
      <c r="W889" s="1634">
        <f>H889/12</f>
        <v>144.375</v>
      </c>
      <c r="X889" s="1634">
        <f>AO889</f>
        <v>144.4</v>
      </c>
      <c r="Y889" s="1634">
        <f>CC889</f>
        <v>250.06</v>
      </c>
      <c r="Z889" s="1635">
        <v>163.46</v>
      </c>
      <c r="AA889" s="1634">
        <f>AB889-Z889</f>
        <v>-163.46</v>
      </c>
      <c r="AB889" s="1511">
        <f>AI889</f>
        <v>0</v>
      </c>
      <c r="AC889" s="1508">
        <f t="shared" ref="AC889:AC901" si="594">AO889+AS889+AW889+BA889+BE889+BI889+BM889+BQ889+BU889+BY889+CC889+CH889</f>
        <v>1732.5</v>
      </c>
      <c r="AD889" s="1509">
        <f t="shared" ref="AD889:AD901" si="595">AE889+AF889+AG889</f>
        <v>0</v>
      </c>
      <c r="AE889" s="1509">
        <f t="shared" ref="AE889:AG901" si="596">AP889+AT889+AX889+BB889+BF889+BJ889+BN889+BR889+BV889+BZ889+CD889+CI889</f>
        <v>0</v>
      </c>
      <c r="AF889" s="1509">
        <f t="shared" si="596"/>
        <v>0</v>
      </c>
      <c r="AG889" s="1509">
        <f t="shared" si="596"/>
        <v>0</v>
      </c>
      <c r="AH889" s="1490">
        <f t="shared" si="571"/>
        <v>38.68</v>
      </c>
      <c r="AI889" s="1636">
        <f t="shared" ref="AI889:AI901" si="597">H889-AC889</f>
        <v>0</v>
      </c>
      <c r="AJ889" s="1636">
        <f t="shared" ref="AJ889:AJ901" si="598">AK889+AL889+AM889</f>
        <v>0</v>
      </c>
      <c r="AK889" s="1636">
        <f t="shared" ref="AK889:AK901" si="599">I889-AE889</f>
        <v>0</v>
      </c>
      <c r="AL889" s="1636">
        <f t="shared" si="593"/>
        <v>0</v>
      </c>
      <c r="AM889" s="1636">
        <f t="shared" si="593"/>
        <v>0</v>
      </c>
      <c r="AN889" s="1637">
        <f>AI889/4</f>
        <v>0</v>
      </c>
      <c r="AO889" s="1722">
        <v>144.4</v>
      </c>
      <c r="AP889" s="1638"/>
      <c r="AQ889" s="1638"/>
      <c r="AR889" s="1638"/>
      <c r="AS889" s="1963">
        <v>144.4</v>
      </c>
      <c r="AT889" s="1638"/>
      <c r="AU889" s="1638"/>
      <c r="AV889" s="1638"/>
      <c r="AW889" s="1722">
        <v>144.4</v>
      </c>
      <c r="AX889" s="1640"/>
      <c r="AY889" s="1640"/>
      <c r="AZ889" s="1640"/>
      <c r="BA889" s="1964">
        <v>144.4</v>
      </c>
      <c r="BB889" s="1640"/>
      <c r="BC889" s="1640"/>
      <c r="BD889" s="1640"/>
      <c r="BE889" s="1964">
        <v>144.4</v>
      </c>
      <c r="BF889" s="1640"/>
      <c r="BG889" s="1640"/>
      <c r="BH889" s="1640"/>
      <c r="BI889" s="1641">
        <f>46.305</f>
        <v>46.305</v>
      </c>
      <c r="BJ889" s="1640"/>
      <c r="BK889" s="1640"/>
      <c r="BL889" s="1640"/>
      <c r="BM889" s="1641">
        <f>98.095+288.8</f>
        <v>386.89499999999998</v>
      </c>
      <c r="BN889" s="1640"/>
      <c r="BO889" s="1640"/>
      <c r="BP889" s="1640"/>
      <c r="BQ889" s="1641">
        <v>144.4</v>
      </c>
      <c r="BR889" s="1640"/>
      <c r="BS889" s="1640"/>
      <c r="BT889" s="1640"/>
      <c r="BU889" s="1641">
        <v>108.2</v>
      </c>
      <c r="BV889" s="1640"/>
      <c r="BW889" s="1640"/>
      <c r="BX889" s="1640"/>
      <c r="BY889" s="1641">
        <f>32.46+3.5</f>
        <v>35.96</v>
      </c>
      <c r="BZ889" s="1640"/>
      <c r="CA889" s="1640"/>
      <c r="CB889" s="1640"/>
      <c r="CC889" s="1641">
        <f>86.6+163.46</f>
        <v>250.06</v>
      </c>
      <c r="CD889" s="1640"/>
      <c r="CE889" s="1640"/>
      <c r="CF889" s="1640"/>
      <c r="CG889" s="1642"/>
      <c r="CH889" s="1641">
        <f t="shared" si="582"/>
        <v>38.68</v>
      </c>
      <c r="CI889" s="1641">
        <f t="shared" si="582"/>
        <v>0</v>
      </c>
      <c r="CJ889" s="1641">
        <f t="shared" si="582"/>
        <v>0</v>
      </c>
      <c r="CK889" s="1641">
        <f t="shared" si="575"/>
        <v>0</v>
      </c>
      <c r="CL889" s="1889">
        <v>38.68</v>
      </c>
      <c r="CM889" s="1889">
        <v>0</v>
      </c>
      <c r="CN889" s="1889">
        <v>0</v>
      </c>
      <c r="CO889" s="1889">
        <v>0</v>
      </c>
      <c r="CP889" s="1641"/>
      <c r="CQ889" s="1640"/>
      <c r="CR889" s="1640"/>
      <c r="CS889" s="1640"/>
      <c r="CX889" s="1558">
        <f>H889/12*10-AC889</f>
        <v>-288.75</v>
      </c>
      <c r="CY889" s="1558">
        <f>AI889/3</f>
        <v>0</v>
      </c>
      <c r="CZ889" s="1558">
        <f>H889/12</f>
        <v>144.375</v>
      </c>
      <c r="DA889" s="1559"/>
      <c r="DB889" s="1559"/>
      <c r="DC889" s="1559"/>
    </row>
    <row r="890" spans="1:107" ht="15" thickBot="1" x14ac:dyDescent="0.2">
      <c r="A890" s="1541" t="s">
        <v>103</v>
      </c>
      <c r="B890" s="1523" t="s">
        <v>79</v>
      </c>
      <c r="C890" s="1523" t="s">
        <v>80</v>
      </c>
      <c r="D890" s="1523" t="s">
        <v>125</v>
      </c>
      <c r="E890" s="1523" t="s">
        <v>216</v>
      </c>
      <c r="F890" s="1523"/>
      <c r="G890" s="1667">
        <v>212</v>
      </c>
      <c r="H890" s="1517"/>
      <c r="I890" s="1517"/>
      <c r="J890" s="1630"/>
      <c r="K890" s="1630"/>
      <c r="L890" s="1631"/>
      <c r="M890" s="1631"/>
      <c r="N890" s="1631"/>
      <c r="O890" s="1631"/>
      <c r="P890" s="1631"/>
      <c r="Q890" s="1631"/>
      <c r="R890" s="1631"/>
      <c r="S890" s="1631"/>
      <c r="T890" s="1632"/>
      <c r="U890" s="1633"/>
      <c r="V890" s="1633"/>
      <c r="W890" s="1634"/>
      <c r="X890" s="1634"/>
      <c r="Y890" s="1634">
        <f>CC890</f>
        <v>0</v>
      </c>
      <c r="Z890" s="1635">
        <f>AI890-X890</f>
        <v>0</v>
      </c>
      <c r="AA890" s="1634">
        <f t="shared" si="562"/>
        <v>0</v>
      </c>
      <c r="AB890" s="1511"/>
      <c r="AC890" s="1508">
        <f t="shared" si="594"/>
        <v>0</v>
      </c>
      <c r="AD890" s="1509">
        <f t="shared" si="595"/>
        <v>0</v>
      </c>
      <c r="AE890" s="1509">
        <f t="shared" si="596"/>
        <v>0</v>
      </c>
      <c r="AF890" s="1509">
        <f t="shared" si="596"/>
        <v>0</v>
      </c>
      <c r="AG890" s="1509">
        <f t="shared" si="596"/>
        <v>0</v>
      </c>
      <c r="AH890" s="1490">
        <f t="shared" si="571"/>
        <v>0</v>
      </c>
      <c r="AI890" s="1636">
        <f t="shared" si="597"/>
        <v>0</v>
      </c>
      <c r="AJ890" s="1636">
        <f t="shared" si="598"/>
        <v>0</v>
      </c>
      <c r="AK890" s="1636">
        <f t="shared" si="599"/>
        <v>0</v>
      </c>
      <c r="AL890" s="1636">
        <f t="shared" si="593"/>
        <v>0</v>
      </c>
      <c r="AM890" s="1636">
        <f t="shared" si="593"/>
        <v>0</v>
      </c>
      <c r="AN890" s="1637"/>
      <c r="AO890" s="1722">
        <v>0</v>
      </c>
      <c r="AP890" s="1638"/>
      <c r="AQ890" s="1638"/>
      <c r="AR890" s="1638"/>
      <c r="AS890" s="1963">
        <v>0</v>
      </c>
      <c r="AT890" s="1638"/>
      <c r="AU890" s="1638"/>
      <c r="AV890" s="1638"/>
      <c r="AW890" s="1722">
        <v>0</v>
      </c>
      <c r="AX890" s="1640"/>
      <c r="AY890" s="1640"/>
      <c r="AZ890" s="1640"/>
      <c r="BA890" s="1964">
        <v>0</v>
      </c>
      <c r="BB890" s="1640"/>
      <c r="BC890" s="1640"/>
      <c r="BD890" s="1640"/>
      <c r="BE890" s="1964">
        <v>0</v>
      </c>
      <c r="BF890" s="1640"/>
      <c r="BG890" s="1640"/>
      <c r="BH890" s="1640"/>
      <c r="BI890" s="1641"/>
      <c r="BJ890" s="1640"/>
      <c r="BK890" s="1640"/>
      <c r="BL890" s="1640"/>
      <c r="BM890" s="1641"/>
      <c r="BN890" s="1640"/>
      <c r="BO890" s="1640"/>
      <c r="BP890" s="1640"/>
      <c r="BQ890" s="1641"/>
      <c r="BR890" s="1640"/>
      <c r="BS890" s="1640"/>
      <c r="BT890" s="1640"/>
      <c r="BU890" s="1641"/>
      <c r="BV890" s="1640"/>
      <c r="BW890" s="1640"/>
      <c r="BX890" s="1640"/>
      <c r="BY890" s="1641"/>
      <c r="BZ890" s="1640"/>
      <c r="CA890" s="1640"/>
      <c r="CB890" s="1640"/>
      <c r="CC890" s="1641"/>
      <c r="CD890" s="1640"/>
      <c r="CE890" s="1640"/>
      <c r="CF890" s="1640"/>
      <c r="CG890" s="1642"/>
      <c r="CH890" s="1641">
        <f t="shared" si="582"/>
        <v>0</v>
      </c>
      <c r="CI890" s="1641">
        <f t="shared" si="582"/>
        <v>0</v>
      </c>
      <c r="CJ890" s="1641">
        <f t="shared" si="582"/>
        <v>0</v>
      </c>
      <c r="CK890" s="1641">
        <f t="shared" si="575"/>
        <v>0</v>
      </c>
      <c r="CL890" s="1889">
        <v>0</v>
      </c>
      <c r="CM890" s="1889">
        <v>0</v>
      </c>
      <c r="CN890" s="1889">
        <v>0</v>
      </c>
      <c r="CO890" s="1889">
        <v>0</v>
      </c>
      <c r="CP890" s="1641"/>
      <c r="CQ890" s="1640"/>
      <c r="CR890" s="1640"/>
      <c r="CS890" s="1640"/>
      <c r="CX890" s="1558"/>
      <c r="CY890" s="1558"/>
      <c r="CZ890" s="1558"/>
      <c r="DA890" s="1559"/>
      <c r="DB890" s="1559"/>
      <c r="DC890" s="1559"/>
    </row>
    <row r="891" spans="1:107" ht="15" thickBot="1" x14ac:dyDescent="0.2">
      <c r="A891" s="1541" t="s">
        <v>84</v>
      </c>
      <c r="B891" s="1523" t="s">
        <v>79</v>
      </c>
      <c r="C891" s="1523" t="s">
        <v>80</v>
      </c>
      <c r="D891" s="1523" t="s">
        <v>125</v>
      </c>
      <c r="E891" s="1523" t="s">
        <v>216</v>
      </c>
      <c r="F891" s="1523"/>
      <c r="G891" s="1667">
        <v>213</v>
      </c>
      <c r="H891" s="1502">
        <v>523.20000000000005</v>
      </c>
      <c r="I891" s="1502"/>
      <c r="J891" s="1630"/>
      <c r="K891" s="1630"/>
      <c r="L891" s="1631"/>
      <c r="M891" s="1631"/>
      <c r="N891" s="1631"/>
      <c r="O891" s="1631"/>
      <c r="P891" s="1631"/>
      <c r="Q891" s="1631"/>
      <c r="R891" s="1631"/>
      <c r="S891" s="1631"/>
      <c r="T891" s="1632"/>
      <c r="U891" s="1633"/>
      <c r="V891" s="1633"/>
      <c r="W891" s="1634">
        <f>H891/12</f>
        <v>43.6</v>
      </c>
      <c r="X891" s="1634">
        <f>AO891</f>
        <v>43.6</v>
      </c>
      <c r="Y891" s="1634">
        <f>CC891</f>
        <v>70.400000000000006</v>
      </c>
      <c r="Z891" s="1635">
        <v>70.400000000000006</v>
      </c>
      <c r="AA891" s="1634">
        <f t="shared" si="562"/>
        <v>-70.400000000000006</v>
      </c>
      <c r="AB891" s="1511">
        <f>AI891</f>
        <v>0</v>
      </c>
      <c r="AC891" s="1508">
        <f t="shared" si="594"/>
        <v>523.20000000000005</v>
      </c>
      <c r="AD891" s="1509">
        <f t="shared" si="595"/>
        <v>0</v>
      </c>
      <c r="AE891" s="1509">
        <f t="shared" si="596"/>
        <v>0</v>
      </c>
      <c r="AF891" s="1509">
        <f t="shared" si="596"/>
        <v>0</v>
      </c>
      <c r="AG891" s="1509">
        <f t="shared" si="596"/>
        <v>0</v>
      </c>
      <c r="AH891" s="1490">
        <f t="shared" si="571"/>
        <v>16.7</v>
      </c>
      <c r="AI891" s="1636">
        <f t="shared" si="597"/>
        <v>0</v>
      </c>
      <c r="AJ891" s="1636">
        <f t="shared" si="598"/>
        <v>0</v>
      </c>
      <c r="AK891" s="1636">
        <f t="shared" si="599"/>
        <v>0</v>
      </c>
      <c r="AL891" s="1636">
        <f t="shared" si="593"/>
        <v>0</v>
      </c>
      <c r="AM891" s="1636">
        <f t="shared" si="593"/>
        <v>0</v>
      </c>
      <c r="AN891" s="1637">
        <f>AI891/4</f>
        <v>0</v>
      </c>
      <c r="AO891" s="1722">
        <v>43.6</v>
      </c>
      <c r="AP891" s="1638"/>
      <c r="AQ891" s="1638"/>
      <c r="AR891" s="1638"/>
      <c r="AS891" s="1963">
        <v>43.6</v>
      </c>
      <c r="AT891" s="1638"/>
      <c r="AU891" s="1638"/>
      <c r="AV891" s="1638"/>
      <c r="AW891" s="1722">
        <v>43.6</v>
      </c>
      <c r="AX891" s="1640"/>
      <c r="AY891" s="1640"/>
      <c r="AZ891" s="1640"/>
      <c r="BA891" s="1964">
        <v>43.6</v>
      </c>
      <c r="BB891" s="1640"/>
      <c r="BC891" s="1640"/>
      <c r="BD891" s="1640"/>
      <c r="BE891" s="1964">
        <v>43.6</v>
      </c>
      <c r="BF891" s="1640"/>
      <c r="BG891" s="1640"/>
      <c r="BH891" s="1640"/>
      <c r="BI891" s="1641"/>
      <c r="BJ891" s="1640"/>
      <c r="BK891" s="1640"/>
      <c r="BL891" s="1640"/>
      <c r="BM891" s="1641">
        <f>43.6+87.2</f>
        <v>130.80000000000001</v>
      </c>
      <c r="BN891" s="1640"/>
      <c r="BO891" s="1640"/>
      <c r="BP891" s="1640"/>
      <c r="BQ891" s="1641">
        <v>43.6</v>
      </c>
      <c r="BR891" s="1640"/>
      <c r="BS891" s="1640"/>
      <c r="BT891" s="1640"/>
      <c r="BU891" s="1641">
        <v>32.700000000000003</v>
      </c>
      <c r="BV891" s="1640"/>
      <c r="BW891" s="1640"/>
      <c r="BX891" s="1640"/>
      <c r="BY891" s="1641">
        <v>11</v>
      </c>
      <c r="BZ891" s="1640"/>
      <c r="CA891" s="1640"/>
      <c r="CB891" s="1640"/>
      <c r="CC891" s="1641">
        <v>70.400000000000006</v>
      </c>
      <c r="CD891" s="1640"/>
      <c r="CE891" s="1640"/>
      <c r="CF891" s="1640"/>
      <c r="CG891" s="1642"/>
      <c r="CH891" s="1641">
        <f t="shared" si="582"/>
        <v>16.7</v>
      </c>
      <c r="CI891" s="1641">
        <f t="shared" si="582"/>
        <v>0</v>
      </c>
      <c r="CJ891" s="1641">
        <f t="shared" si="582"/>
        <v>0</v>
      </c>
      <c r="CK891" s="1641">
        <f t="shared" si="575"/>
        <v>0</v>
      </c>
      <c r="CL891" s="1889">
        <v>16.7</v>
      </c>
      <c r="CM891" s="1889">
        <v>0</v>
      </c>
      <c r="CN891" s="1889">
        <v>0</v>
      </c>
      <c r="CO891" s="1889">
        <v>0</v>
      </c>
      <c r="CP891" s="1641"/>
      <c r="CQ891" s="1640"/>
      <c r="CR891" s="1640"/>
      <c r="CS891" s="1640"/>
      <c r="CX891" s="1558">
        <f>H891/12*10-AC891</f>
        <v>-87.200000000000045</v>
      </c>
      <c r="CY891" s="1558">
        <f>AI891/3</f>
        <v>0</v>
      </c>
      <c r="CZ891" s="1558">
        <f>H891/12</f>
        <v>43.6</v>
      </c>
      <c r="DA891" s="1559"/>
      <c r="DB891" s="1559"/>
      <c r="DC891" s="1559"/>
    </row>
    <row r="892" spans="1:107" ht="15" thickBot="1" x14ac:dyDescent="0.2">
      <c r="A892" s="1541" t="s">
        <v>85</v>
      </c>
      <c r="B892" s="1523" t="s">
        <v>79</v>
      </c>
      <c r="C892" s="1523" t="s">
        <v>80</v>
      </c>
      <c r="D892" s="1523" t="s">
        <v>125</v>
      </c>
      <c r="E892" s="1523" t="s">
        <v>216</v>
      </c>
      <c r="F892" s="1523"/>
      <c r="G892" s="1667">
        <v>221</v>
      </c>
      <c r="H892" s="1502"/>
      <c r="I892" s="1502"/>
      <c r="J892" s="1630"/>
      <c r="K892" s="1630"/>
      <c r="L892" s="1631"/>
      <c r="M892" s="1631"/>
      <c r="N892" s="1631"/>
      <c r="O892" s="1631"/>
      <c r="P892" s="1631"/>
      <c r="Q892" s="1631"/>
      <c r="R892" s="1631"/>
      <c r="S892" s="1631"/>
      <c r="T892" s="1632"/>
      <c r="U892" s="1633"/>
      <c r="V892" s="1633"/>
      <c r="W892" s="1634"/>
      <c r="X892" s="1634"/>
      <c r="Y892" s="1634"/>
      <c r="Z892" s="1635"/>
      <c r="AA892" s="1634">
        <f t="shared" si="562"/>
        <v>0</v>
      </c>
      <c r="AB892" s="1634"/>
      <c r="AC892" s="1508">
        <f t="shared" si="594"/>
        <v>0</v>
      </c>
      <c r="AD892" s="1509">
        <f t="shared" si="595"/>
        <v>0</v>
      </c>
      <c r="AE892" s="1509">
        <f t="shared" si="596"/>
        <v>0</v>
      </c>
      <c r="AF892" s="1509">
        <f t="shared" si="596"/>
        <v>0</v>
      </c>
      <c r="AG892" s="1509">
        <f t="shared" si="596"/>
        <v>0</v>
      </c>
      <c r="AH892" s="1490">
        <f t="shared" si="571"/>
        <v>0</v>
      </c>
      <c r="AI892" s="1636">
        <f t="shared" si="597"/>
        <v>0</v>
      </c>
      <c r="AJ892" s="1636">
        <f t="shared" si="598"/>
        <v>0</v>
      </c>
      <c r="AK892" s="1636">
        <f t="shared" si="599"/>
        <v>0</v>
      </c>
      <c r="AL892" s="1636">
        <f t="shared" si="593"/>
        <v>0</v>
      </c>
      <c r="AM892" s="1636">
        <f t="shared" si="593"/>
        <v>0</v>
      </c>
      <c r="AN892" s="1637"/>
      <c r="AO892" s="1722">
        <v>0</v>
      </c>
      <c r="AP892" s="1638"/>
      <c r="AQ892" s="1638"/>
      <c r="AR892" s="1638"/>
      <c r="AS892" s="1963">
        <v>0</v>
      </c>
      <c r="AT892" s="1638"/>
      <c r="AU892" s="1638"/>
      <c r="AV892" s="1638"/>
      <c r="AW892" s="1639"/>
      <c r="AX892" s="1640"/>
      <c r="AY892" s="1640"/>
      <c r="AZ892" s="1640"/>
      <c r="BA892" s="1641"/>
      <c r="BB892" s="1640"/>
      <c r="BC892" s="1640"/>
      <c r="BD892" s="1640"/>
      <c r="BE892" s="1644"/>
      <c r="BF892" s="1640"/>
      <c r="BG892" s="1640"/>
      <c r="BH892" s="1640"/>
      <c r="BI892" s="1641"/>
      <c r="BJ892" s="1640"/>
      <c r="BK892" s="1640"/>
      <c r="BL892" s="1640"/>
      <c r="BM892" s="1641"/>
      <c r="BN892" s="1640"/>
      <c r="BO892" s="1640"/>
      <c r="BP892" s="1640"/>
      <c r="BQ892" s="1641"/>
      <c r="BR892" s="1640"/>
      <c r="BS892" s="1640"/>
      <c r="BT892" s="1640"/>
      <c r="BU892" s="1641"/>
      <c r="BV892" s="1640"/>
      <c r="BW892" s="1640"/>
      <c r="BX892" s="1640"/>
      <c r="BY892" s="1641"/>
      <c r="BZ892" s="1640"/>
      <c r="CA892" s="1640"/>
      <c r="CB892" s="1640"/>
      <c r="CC892" s="1641"/>
      <c r="CD892" s="1640"/>
      <c r="CE892" s="1640"/>
      <c r="CF892" s="1640"/>
      <c r="CG892" s="1642"/>
      <c r="CH892" s="1641">
        <f t="shared" si="582"/>
        <v>0</v>
      </c>
      <c r="CI892" s="1641">
        <f t="shared" si="582"/>
        <v>0</v>
      </c>
      <c r="CJ892" s="1641">
        <f t="shared" si="582"/>
        <v>0</v>
      </c>
      <c r="CK892" s="1641">
        <f t="shared" si="575"/>
        <v>0</v>
      </c>
      <c r="CL892" s="1889">
        <v>0</v>
      </c>
      <c r="CM892" s="1889">
        <v>0</v>
      </c>
      <c r="CN892" s="1889">
        <v>0</v>
      </c>
      <c r="CO892" s="1889">
        <v>0</v>
      </c>
      <c r="CP892" s="1641"/>
      <c r="CQ892" s="1640"/>
      <c r="CR892" s="1640"/>
      <c r="CS892" s="1640"/>
    </row>
    <row r="893" spans="1:107" ht="15" thickBot="1" x14ac:dyDescent="0.2">
      <c r="A893" s="1541" t="s">
        <v>86</v>
      </c>
      <c r="B893" s="1523" t="s">
        <v>79</v>
      </c>
      <c r="C893" s="1523" t="s">
        <v>80</v>
      </c>
      <c r="D893" s="1523" t="s">
        <v>125</v>
      </c>
      <c r="E893" s="1523" t="s">
        <v>216</v>
      </c>
      <c r="F893" s="1523"/>
      <c r="G893" s="1667">
        <v>222</v>
      </c>
      <c r="H893" s="1502">
        <f>22-22</f>
        <v>0</v>
      </c>
      <c r="I893" s="1502"/>
      <c r="J893" s="1630"/>
      <c r="K893" s="1630"/>
      <c r="L893" s="1631"/>
      <c r="M893" s="1631"/>
      <c r="N893" s="1631"/>
      <c r="O893" s="1631"/>
      <c r="P893" s="1631"/>
      <c r="Q893" s="1631"/>
      <c r="R893" s="1631"/>
      <c r="S893" s="1631"/>
      <c r="T893" s="1632"/>
      <c r="U893" s="1633"/>
      <c r="V893" s="1633"/>
      <c r="W893" s="1634"/>
      <c r="X893" s="1634"/>
      <c r="Y893" s="1634"/>
      <c r="Z893" s="1635"/>
      <c r="AA893" s="1634">
        <f t="shared" si="562"/>
        <v>0</v>
      </c>
      <c r="AB893" s="1634"/>
      <c r="AC893" s="1508">
        <f t="shared" si="594"/>
        <v>0</v>
      </c>
      <c r="AD893" s="1509">
        <f t="shared" si="595"/>
        <v>0</v>
      </c>
      <c r="AE893" s="1509">
        <f t="shared" si="596"/>
        <v>0</v>
      </c>
      <c r="AF893" s="1509">
        <f t="shared" si="596"/>
        <v>0</v>
      </c>
      <c r="AG893" s="1509">
        <f t="shared" si="596"/>
        <v>0</v>
      </c>
      <c r="AH893" s="1490">
        <f t="shared" si="571"/>
        <v>0</v>
      </c>
      <c r="AI893" s="1636">
        <f t="shared" si="597"/>
        <v>0</v>
      </c>
      <c r="AJ893" s="1636">
        <f t="shared" si="598"/>
        <v>0</v>
      </c>
      <c r="AK893" s="1636">
        <f t="shared" si="599"/>
        <v>0</v>
      </c>
      <c r="AL893" s="1636">
        <f t="shared" si="593"/>
        <v>0</v>
      </c>
      <c r="AM893" s="1636">
        <f t="shared" si="593"/>
        <v>0</v>
      </c>
      <c r="AN893" s="1637"/>
      <c r="AO893" s="1722">
        <v>0</v>
      </c>
      <c r="AP893" s="1638"/>
      <c r="AQ893" s="1638"/>
      <c r="AR893" s="1638"/>
      <c r="AS893" s="1963">
        <v>0</v>
      </c>
      <c r="AT893" s="1638"/>
      <c r="AU893" s="1638"/>
      <c r="AV893" s="1638"/>
      <c r="AW893" s="1639"/>
      <c r="AX893" s="1640"/>
      <c r="AY893" s="1640"/>
      <c r="AZ893" s="1640"/>
      <c r="BA893" s="1641"/>
      <c r="BB893" s="1640"/>
      <c r="BC893" s="1640"/>
      <c r="BD893" s="1640"/>
      <c r="BE893" s="1644"/>
      <c r="BF893" s="1640"/>
      <c r="BG893" s="1640"/>
      <c r="BH893" s="1640"/>
      <c r="BI893" s="1641"/>
      <c r="BJ893" s="1640"/>
      <c r="BK893" s="1640"/>
      <c r="BL893" s="1640"/>
      <c r="BM893" s="1641"/>
      <c r="BN893" s="1640"/>
      <c r="BO893" s="1640"/>
      <c r="BP893" s="1640"/>
      <c r="BQ893" s="1641"/>
      <c r="BR893" s="1640"/>
      <c r="BS893" s="1640"/>
      <c r="BT893" s="1640"/>
      <c r="BU893" s="1641"/>
      <c r="BV893" s="1640"/>
      <c r="BW893" s="1640"/>
      <c r="BX893" s="1640"/>
      <c r="BY893" s="1641"/>
      <c r="BZ893" s="1640"/>
      <c r="CA893" s="1640"/>
      <c r="CB893" s="1640"/>
      <c r="CC893" s="1641"/>
      <c r="CD893" s="1640"/>
      <c r="CE893" s="1640"/>
      <c r="CF893" s="1640"/>
      <c r="CG893" s="1642"/>
      <c r="CH893" s="1641">
        <f t="shared" si="582"/>
        <v>0</v>
      </c>
      <c r="CI893" s="1641">
        <f t="shared" si="582"/>
        <v>0</v>
      </c>
      <c r="CJ893" s="1641">
        <f t="shared" si="582"/>
        <v>0</v>
      </c>
      <c r="CK893" s="1641">
        <f t="shared" si="575"/>
        <v>0</v>
      </c>
      <c r="CL893" s="1889">
        <v>0</v>
      </c>
      <c r="CM893" s="1889">
        <v>0</v>
      </c>
      <c r="CN893" s="1889">
        <v>0</v>
      </c>
      <c r="CO893" s="1889">
        <v>0</v>
      </c>
      <c r="CP893" s="1641"/>
      <c r="CQ893" s="1640"/>
      <c r="CR893" s="1640"/>
      <c r="CS893" s="1640"/>
    </row>
    <row r="894" spans="1:107" ht="15" thickBot="1" x14ac:dyDescent="0.2">
      <c r="A894" s="1541" t="s">
        <v>87</v>
      </c>
      <c r="B894" s="1523" t="s">
        <v>79</v>
      </c>
      <c r="C894" s="1523" t="s">
        <v>80</v>
      </c>
      <c r="D894" s="1523" t="s">
        <v>125</v>
      </c>
      <c r="E894" s="1523" t="s">
        <v>216</v>
      </c>
      <c r="F894" s="1523"/>
      <c r="G894" s="1667">
        <v>223</v>
      </c>
      <c r="H894" s="1502"/>
      <c r="I894" s="1502"/>
      <c r="J894" s="1630"/>
      <c r="K894" s="1630"/>
      <c r="L894" s="1631"/>
      <c r="M894" s="1631"/>
      <c r="N894" s="1631"/>
      <c r="O894" s="1631"/>
      <c r="P894" s="1631"/>
      <c r="Q894" s="1631"/>
      <c r="R894" s="1631"/>
      <c r="S894" s="1631"/>
      <c r="T894" s="1632"/>
      <c r="U894" s="1633"/>
      <c r="V894" s="1633"/>
      <c r="W894" s="1634"/>
      <c r="X894" s="1634"/>
      <c r="Y894" s="1634"/>
      <c r="Z894" s="1635"/>
      <c r="AA894" s="1634">
        <f t="shared" si="562"/>
        <v>0</v>
      </c>
      <c r="AB894" s="1634"/>
      <c r="AC894" s="1508">
        <f t="shared" si="594"/>
        <v>0</v>
      </c>
      <c r="AD894" s="1509">
        <f t="shared" si="595"/>
        <v>0</v>
      </c>
      <c r="AE894" s="1509">
        <f t="shared" si="596"/>
        <v>0</v>
      </c>
      <c r="AF894" s="1509">
        <f t="shared" si="596"/>
        <v>0</v>
      </c>
      <c r="AG894" s="1509">
        <f t="shared" si="596"/>
        <v>0</v>
      </c>
      <c r="AH894" s="1490">
        <f t="shared" si="571"/>
        <v>0</v>
      </c>
      <c r="AI894" s="1636">
        <f t="shared" si="597"/>
        <v>0</v>
      </c>
      <c r="AJ894" s="1636">
        <f t="shared" si="598"/>
        <v>0</v>
      </c>
      <c r="AK894" s="1636">
        <f t="shared" si="599"/>
        <v>0</v>
      </c>
      <c r="AL894" s="1636">
        <f t="shared" si="593"/>
        <v>0</v>
      </c>
      <c r="AM894" s="1636">
        <f t="shared" si="593"/>
        <v>0</v>
      </c>
      <c r="AN894" s="1637"/>
      <c r="AO894" s="1722">
        <v>0</v>
      </c>
      <c r="AP894" s="1638"/>
      <c r="AQ894" s="1638"/>
      <c r="AR894" s="1638"/>
      <c r="AS894" s="1963">
        <v>0</v>
      </c>
      <c r="AT894" s="1638"/>
      <c r="AU894" s="1638"/>
      <c r="AV894" s="1638"/>
      <c r="AW894" s="1639"/>
      <c r="AX894" s="1640"/>
      <c r="AY894" s="1640"/>
      <c r="AZ894" s="1640"/>
      <c r="BA894" s="1641"/>
      <c r="BB894" s="1640"/>
      <c r="BC894" s="1640"/>
      <c r="BD894" s="1640"/>
      <c r="BE894" s="1644"/>
      <c r="BF894" s="1640"/>
      <c r="BG894" s="1640"/>
      <c r="BH894" s="1640"/>
      <c r="BI894" s="1641"/>
      <c r="BJ894" s="1640"/>
      <c r="BK894" s="1640"/>
      <c r="BL894" s="1640"/>
      <c r="BM894" s="1641"/>
      <c r="BN894" s="1640"/>
      <c r="BO894" s="1640"/>
      <c r="BP894" s="1640"/>
      <c r="BQ894" s="1641"/>
      <c r="BR894" s="1640"/>
      <c r="BS894" s="1640"/>
      <c r="BT894" s="1640"/>
      <c r="BU894" s="1641"/>
      <c r="BV894" s="1640"/>
      <c r="BW894" s="1640"/>
      <c r="BX894" s="1640"/>
      <c r="BY894" s="1641"/>
      <c r="BZ894" s="1640"/>
      <c r="CA894" s="1640"/>
      <c r="CB894" s="1640"/>
      <c r="CC894" s="1641"/>
      <c r="CD894" s="1640"/>
      <c r="CE894" s="1640"/>
      <c r="CF894" s="1640"/>
      <c r="CG894" s="1642"/>
      <c r="CH894" s="1641">
        <f t="shared" si="582"/>
        <v>0</v>
      </c>
      <c r="CI894" s="1641">
        <f t="shared" si="582"/>
        <v>0</v>
      </c>
      <c r="CJ894" s="1641">
        <f t="shared" si="582"/>
        <v>0</v>
      </c>
      <c r="CK894" s="1641">
        <f t="shared" si="575"/>
        <v>0</v>
      </c>
      <c r="CL894" s="1889">
        <v>0</v>
      </c>
      <c r="CM894" s="1889">
        <v>0</v>
      </c>
      <c r="CN894" s="1889">
        <v>0</v>
      </c>
      <c r="CO894" s="1889">
        <v>0</v>
      </c>
      <c r="CP894" s="1641"/>
      <c r="CQ894" s="1640"/>
      <c r="CR894" s="1640"/>
      <c r="CS894" s="1640"/>
    </row>
    <row r="895" spans="1:107" ht="15" thickBot="1" x14ac:dyDescent="0.2">
      <c r="A895" s="1541" t="s">
        <v>134</v>
      </c>
      <c r="B895" s="1523" t="s">
        <v>79</v>
      </c>
      <c r="C895" s="1523" t="s">
        <v>80</v>
      </c>
      <c r="D895" s="1523" t="s">
        <v>125</v>
      </c>
      <c r="E895" s="1523" t="s">
        <v>216</v>
      </c>
      <c r="F895" s="1523"/>
      <c r="G895" s="1667">
        <v>224</v>
      </c>
      <c r="H895" s="1502">
        <f>420+300+74-58.954</f>
        <v>735.04600000000005</v>
      </c>
      <c r="I895" s="1502"/>
      <c r="J895" s="1630"/>
      <c r="K895" s="1630"/>
      <c r="L895" s="1631"/>
      <c r="M895" s="1631"/>
      <c r="N895" s="1631"/>
      <c r="O895" s="1631"/>
      <c r="P895" s="1631"/>
      <c r="Q895" s="1631"/>
      <c r="R895" s="1631"/>
      <c r="S895" s="1631"/>
      <c r="T895" s="1632"/>
      <c r="U895" s="1633"/>
      <c r="V895" s="1633"/>
      <c r="W895" s="1634"/>
      <c r="X895" s="1634"/>
      <c r="Y895" s="1634"/>
      <c r="Z895" s="1635"/>
      <c r="AA895" s="1634">
        <f>AB895-Z895</f>
        <v>0</v>
      </c>
      <c r="AB895" s="1634"/>
      <c r="AC895" s="1508">
        <f t="shared" si="594"/>
        <v>735.04600000000005</v>
      </c>
      <c r="AD895" s="1509">
        <f t="shared" si="595"/>
        <v>0</v>
      </c>
      <c r="AE895" s="1509">
        <f t="shared" si="596"/>
        <v>0</v>
      </c>
      <c r="AF895" s="1509">
        <f t="shared" si="596"/>
        <v>0</v>
      </c>
      <c r="AG895" s="1509">
        <f t="shared" si="596"/>
        <v>0</v>
      </c>
      <c r="AH895" s="1490">
        <f t="shared" si="571"/>
        <v>0</v>
      </c>
      <c r="AI895" s="1636">
        <f t="shared" si="597"/>
        <v>0</v>
      </c>
      <c r="AJ895" s="1636">
        <f t="shared" si="598"/>
        <v>0</v>
      </c>
      <c r="AK895" s="1636">
        <f t="shared" si="599"/>
        <v>0</v>
      </c>
      <c r="AL895" s="1636">
        <f t="shared" si="593"/>
        <v>0</v>
      </c>
      <c r="AM895" s="1636">
        <f t="shared" si="593"/>
        <v>0</v>
      </c>
      <c r="AN895" s="1637"/>
      <c r="AO895" s="1722">
        <v>35</v>
      </c>
      <c r="AP895" s="1638"/>
      <c r="AQ895" s="1638"/>
      <c r="AR895" s="1638"/>
      <c r="AS895" s="1963">
        <v>35</v>
      </c>
      <c r="AT895" s="1638"/>
      <c r="AU895" s="1638"/>
      <c r="AV895" s="1638"/>
      <c r="AW895" s="1639">
        <v>300</v>
      </c>
      <c r="AX895" s="1640"/>
      <c r="AY895" s="1640"/>
      <c r="AZ895" s="1640"/>
      <c r="BA895" s="1641"/>
      <c r="BB895" s="1640"/>
      <c r="BC895" s="1640"/>
      <c r="BD895" s="1640"/>
      <c r="BE895" s="1644"/>
      <c r="BF895" s="1640"/>
      <c r="BG895" s="1640"/>
      <c r="BH895" s="1640"/>
      <c r="BI895" s="1641"/>
      <c r="BJ895" s="1640"/>
      <c r="BK895" s="1640"/>
      <c r="BL895" s="1640"/>
      <c r="BM895" s="1641"/>
      <c r="BN895" s="1640"/>
      <c r="BO895" s="1640"/>
      <c r="BP895" s="1640"/>
      <c r="BQ895" s="1641">
        <f>50+200</f>
        <v>250</v>
      </c>
      <c r="BR895" s="1640"/>
      <c r="BS895" s="1640"/>
      <c r="BT895" s="1640"/>
      <c r="BU895" s="1641"/>
      <c r="BV895" s="1640"/>
      <c r="BW895" s="1640"/>
      <c r="BX895" s="1640"/>
      <c r="BY895" s="1641"/>
      <c r="BZ895" s="1640"/>
      <c r="CA895" s="1640"/>
      <c r="CB895" s="1640"/>
      <c r="CC895" s="1641"/>
      <c r="CD895" s="1640"/>
      <c r="CE895" s="1640"/>
      <c r="CF895" s="1640"/>
      <c r="CG895" s="1642"/>
      <c r="CH895" s="1641">
        <f t="shared" si="582"/>
        <v>115.04600000000001</v>
      </c>
      <c r="CI895" s="1641">
        <f t="shared" si="582"/>
        <v>0</v>
      </c>
      <c r="CJ895" s="1641">
        <f t="shared" si="582"/>
        <v>0</v>
      </c>
      <c r="CK895" s="1641">
        <f t="shared" si="575"/>
        <v>0</v>
      </c>
      <c r="CL895" s="1889">
        <v>0</v>
      </c>
      <c r="CM895" s="1889">
        <v>0</v>
      </c>
      <c r="CN895" s="1889">
        <v>0</v>
      </c>
      <c r="CO895" s="1889">
        <v>0</v>
      </c>
      <c r="CP895" s="1641">
        <v>115.04600000000001</v>
      </c>
      <c r="CQ895" s="1640"/>
      <c r="CR895" s="1640"/>
      <c r="CS895" s="1640"/>
    </row>
    <row r="896" spans="1:107" ht="15" thickBot="1" x14ac:dyDescent="0.2">
      <c r="A896" s="1541" t="s">
        <v>90</v>
      </c>
      <c r="B896" s="1523" t="s">
        <v>79</v>
      </c>
      <c r="C896" s="1523" t="s">
        <v>80</v>
      </c>
      <c r="D896" s="1523" t="s">
        <v>125</v>
      </c>
      <c r="E896" s="1523" t="s">
        <v>216</v>
      </c>
      <c r="F896" s="1523"/>
      <c r="G896" s="1667">
        <v>225</v>
      </c>
      <c r="H896" s="1502">
        <v>0</v>
      </c>
      <c r="I896" s="1502"/>
      <c r="J896" s="1630"/>
      <c r="K896" s="1630"/>
      <c r="L896" s="1631"/>
      <c r="M896" s="1631"/>
      <c r="N896" s="1631"/>
      <c r="O896" s="1631"/>
      <c r="P896" s="1631"/>
      <c r="Q896" s="1631"/>
      <c r="R896" s="1631"/>
      <c r="S896" s="1631"/>
      <c r="T896" s="1632"/>
      <c r="U896" s="1633">
        <v>1710.7570000000001</v>
      </c>
      <c r="V896" s="1633"/>
      <c r="W896" s="1634"/>
      <c r="X896" s="1634"/>
      <c r="Y896" s="1634"/>
      <c r="Z896" s="1635"/>
      <c r="AA896" s="1634">
        <f>AB896-Z896</f>
        <v>0</v>
      </c>
      <c r="AB896" s="1634"/>
      <c r="AC896" s="1508">
        <f t="shared" si="594"/>
        <v>0</v>
      </c>
      <c r="AD896" s="1509">
        <f t="shared" si="595"/>
        <v>0</v>
      </c>
      <c r="AE896" s="1509">
        <f t="shared" si="596"/>
        <v>0</v>
      </c>
      <c r="AF896" s="1509">
        <f t="shared" si="596"/>
        <v>0</v>
      </c>
      <c r="AG896" s="1509">
        <f t="shared" si="596"/>
        <v>0</v>
      </c>
      <c r="AH896" s="1490">
        <f t="shared" si="571"/>
        <v>0</v>
      </c>
      <c r="AI896" s="1636">
        <f t="shared" si="597"/>
        <v>0</v>
      </c>
      <c r="AJ896" s="1636">
        <f t="shared" si="598"/>
        <v>0</v>
      </c>
      <c r="AK896" s="1636">
        <f t="shared" si="599"/>
        <v>0</v>
      </c>
      <c r="AL896" s="1636">
        <f t="shared" si="593"/>
        <v>0</v>
      </c>
      <c r="AM896" s="1636">
        <f t="shared" si="593"/>
        <v>0</v>
      </c>
      <c r="AN896" s="1637"/>
      <c r="AO896" s="1723"/>
      <c r="AP896" s="1638"/>
      <c r="AQ896" s="1638"/>
      <c r="AR896" s="1638"/>
      <c r="AS896" s="1639"/>
      <c r="AT896" s="1638"/>
      <c r="AU896" s="1638"/>
      <c r="AV896" s="1638"/>
      <c r="AW896" s="1639"/>
      <c r="AX896" s="1640"/>
      <c r="AY896" s="1640"/>
      <c r="AZ896" s="1640"/>
      <c r="BA896" s="1641"/>
      <c r="BB896" s="1640"/>
      <c r="BC896" s="1640"/>
      <c r="BD896" s="1640"/>
      <c r="BE896" s="1644"/>
      <c r="BF896" s="1640"/>
      <c r="BG896" s="1640"/>
      <c r="BH896" s="1640"/>
      <c r="BI896" s="1641"/>
      <c r="BJ896" s="1640"/>
      <c r="BK896" s="1640"/>
      <c r="BL896" s="1640"/>
      <c r="BM896" s="1641"/>
      <c r="BN896" s="1640"/>
      <c r="BO896" s="1640"/>
      <c r="BP896" s="1640"/>
      <c r="BQ896" s="1641"/>
      <c r="BR896" s="1640"/>
      <c r="BS896" s="1640"/>
      <c r="BT896" s="1640"/>
      <c r="BU896" s="1641"/>
      <c r="BV896" s="1640"/>
      <c r="BW896" s="1640"/>
      <c r="BX896" s="1640"/>
      <c r="BY896" s="1641"/>
      <c r="BZ896" s="1640"/>
      <c r="CA896" s="1640"/>
      <c r="CB896" s="1640"/>
      <c r="CC896" s="1641"/>
      <c r="CD896" s="1640"/>
      <c r="CE896" s="1640"/>
      <c r="CF896" s="1640"/>
      <c r="CG896" s="1642"/>
      <c r="CH896" s="1641">
        <f t="shared" si="582"/>
        <v>0</v>
      </c>
      <c r="CI896" s="1641">
        <f t="shared" si="582"/>
        <v>0</v>
      </c>
      <c r="CJ896" s="1641">
        <f t="shared" si="582"/>
        <v>0</v>
      </c>
      <c r="CK896" s="1641">
        <f t="shared" si="575"/>
        <v>0</v>
      </c>
      <c r="CL896" s="1889">
        <v>0</v>
      </c>
      <c r="CM896" s="1889">
        <v>0</v>
      </c>
      <c r="CN896" s="1889">
        <v>0</v>
      </c>
      <c r="CO896" s="1889">
        <v>0</v>
      </c>
      <c r="CP896" s="1641"/>
      <c r="CQ896" s="1640"/>
      <c r="CR896" s="1640"/>
      <c r="CS896" s="1640"/>
    </row>
    <row r="897" spans="1:107" ht="15" thickBot="1" x14ac:dyDescent="0.2">
      <c r="A897" s="1541" t="s">
        <v>91</v>
      </c>
      <c r="B897" s="1523" t="s">
        <v>79</v>
      </c>
      <c r="C897" s="1523" t="s">
        <v>80</v>
      </c>
      <c r="D897" s="1523" t="s">
        <v>125</v>
      </c>
      <c r="E897" s="1523" t="s">
        <v>216</v>
      </c>
      <c r="F897" s="1523"/>
      <c r="G897" s="1667">
        <v>226</v>
      </c>
      <c r="H897" s="1502">
        <f>165-145</f>
        <v>20</v>
      </c>
      <c r="I897" s="1502">
        <f>6972+8600+1424.1-350+300+1089.243+318+1000+200-U897+T897+1000</f>
        <v>32464.1</v>
      </c>
      <c r="J897" s="1630"/>
      <c r="K897" s="1630">
        <f>1710.757-U896</f>
        <v>0</v>
      </c>
      <c r="L897" s="1631"/>
      <c r="M897" s="1631"/>
      <c r="N897" s="1631"/>
      <c r="O897" s="1631"/>
      <c r="P897" s="1631"/>
      <c r="Q897" s="1631"/>
      <c r="R897" s="1631"/>
      <c r="S897" s="1631"/>
      <c r="T897" s="1632">
        <f>1000+12000</f>
        <v>13000</v>
      </c>
      <c r="U897" s="1633">
        <v>1089.2429999999999</v>
      </c>
      <c r="V897" s="1633"/>
      <c r="W897" s="1634"/>
      <c r="X897" s="1634"/>
      <c r="Y897" s="1634"/>
      <c r="Z897" s="1635"/>
      <c r="AA897" s="1634">
        <f t="shared" ref="AA897:AA918" si="600">AB897-Z897</f>
        <v>0</v>
      </c>
      <c r="AB897" s="1634"/>
      <c r="AC897" s="1508">
        <f t="shared" si="594"/>
        <v>19.999999999999986</v>
      </c>
      <c r="AD897" s="1509">
        <f t="shared" si="595"/>
        <v>32464.1</v>
      </c>
      <c r="AE897" s="1509">
        <f t="shared" si="596"/>
        <v>32464.1</v>
      </c>
      <c r="AF897" s="1509">
        <f t="shared" si="596"/>
        <v>0</v>
      </c>
      <c r="AG897" s="1509">
        <f t="shared" si="596"/>
        <v>0</v>
      </c>
      <c r="AH897" s="1490">
        <f t="shared" si="571"/>
        <v>0</v>
      </c>
      <c r="AI897" s="1636">
        <f t="shared" si="597"/>
        <v>0</v>
      </c>
      <c r="AJ897" s="1636">
        <f t="shared" si="598"/>
        <v>0</v>
      </c>
      <c r="AK897" s="1636">
        <f t="shared" si="599"/>
        <v>0</v>
      </c>
      <c r="AL897" s="1636">
        <f t="shared" si="593"/>
        <v>0</v>
      </c>
      <c r="AM897" s="1636">
        <f t="shared" si="593"/>
        <v>0</v>
      </c>
      <c r="AN897" s="1637"/>
      <c r="AO897" s="1723"/>
      <c r="AP897" s="1638"/>
      <c r="AQ897" s="1638"/>
      <c r="AR897" s="1638"/>
      <c r="AS897" s="1639"/>
      <c r="AT897" s="1638"/>
      <c r="AU897" s="1638"/>
      <c r="AV897" s="1638"/>
      <c r="AW897" s="1639"/>
      <c r="AX897" s="1640">
        <f>1518.2+500</f>
        <v>2018.2</v>
      </c>
      <c r="AY897" s="1640"/>
      <c r="AZ897" s="1640"/>
      <c r="BA897" s="1641"/>
      <c r="BB897" s="1640">
        <f>220+1200</f>
        <v>1420</v>
      </c>
      <c r="BC897" s="1640"/>
      <c r="BD897" s="1640"/>
      <c r="BE897" s="1644"/>
      <c r="BF897" s="1640">
        <f>1424.1+1000</f>
        <v>2424.1</v>
      </c>
      <c r="BG897" s="1640"/>
      <c r="BH897" s="1640"/>
      <c r="BI897" s="1641"/>
      <c r="BJ897" s="1640"/>
      <c r="BK897" s="1640"/>
      <c r="BL897" s="1640"/>
      <c r="BM897" s="1641">
        <v>100</v>
      </c>
      <c r="BN897" s="1640">
        <f>2000+2000</f>
        <v>4000</v>
      </c>
      <c r="BO897" s="1640"/>
      <c r="BP897" s="1640"/>
      <c r="BQ897" s="1641">
        <v>35.045999999999999</v>
      </c>
      <c r="BR897" s="1640">
        <f>5000+635</f>
        <v>5635</v>
      </c>
      <c r="BS897" s="1640"/>
      <c r="BT897" s="1640"/>
      <c r="BU897" s="1641"/>
      <c r="BV897" s="1640">
        <v>3070</v>
      </c>
      <c r="BW897" s="1640"/>
      <c r="BX897" s="1640"/>
      <c r="BY897" s="1641"/>
      <c r="BZ897" s="1640">
        <v>896.8</v>
      </c>
      <c r="CA897" s="1640"/>
      <c r="CB897" s="1640"/>
      <c r="CC897" s="1641"/>
      <c r="CD897" s="1640"/>
      <c r="CE897" s="1640"/>
      <c r="CF897" s="1640"/>
      <c r="CG897" s="1642"/>
      <c r="CH897" s="1641">
        <f t="shared" si="582"/>
        <v>-115.04600000000001</v>
      </c>
      <c r="CI897" s="1641">
        <f t="shared" si="582"/>
        <v>13000</v>
      </c>
      <c r="CJ897" s="1641">
        <f t="shared" si="582"/>
        <v>0</v>
      </c>
      <c r="CK897" s="1641">
        <f t="shared" si="575"/>
        <v>0</v>
      </c>
      <c r="CL897" s="1889">
        <v>0</v>
      </c>
      <c r="CM897" s="1890">
        <v>12000</v>
      </c>
      <c r="CN897" s="1889">
        <v>0</v>
      </c>
      <c r="CO897" s="1889">
        <v>0</v>
      </c>
      <c r="CP897" s="1641">
        <v>-115.04600000000001</v>
      </c>
      <c r="CQ897" s="1640">
        <f>1000</f>
        <v>1000</v>
      </c>
      <c r="CR897" s="1640"/>
      <c r="CS897" s="1640"/>
    </row>
    <row r="898" spans="1:107" ht="15" thickBot="1" x14ac:dyDescent="0.2">
      <c r="A898" s="1541" t="s">
        <v>94</v>
      </c>
      <c r="B898" s="1523" t="s">
        <v>79</v>
      </c>
      <c r="C898" s="1523" t="s">
        <v>80</v>
      </c>
      <c r="D898" s="1523" t="s">
        <v>125</v>
      </c>
      <c r="E898" s="1523" t="s">
        <v>216</v>
      </c>
      <c r="F898" s="1523"/>
      <c r="G898" s="1667">
        <v>290</v>
      </c>
      <c r="H898" s="1502">
        <f>4.1-0.7</f>
        <v>3.3999999999999995</v>
      </c>
      <c r="I898" s="1502"/>
      <c r="J898" s="1630"/>
      <c r="K898" s="1630"/>
      <c r="L898" s="1631"/>
      <c r="M898" s="1631"/>
      <c r="N898" s="1631"/>
      <c r="O898" s="1631"/>
      <c r="P898" s="1631"/>
      <c r="Q898" s="1631"/>
      <c r="R898" s="1631"/>
      <c r="S898" s="1631"/>
      <c r="T898" s="1632"/>
      <c r="U898" s="1633"/>
      <c r="V898" s="1633"/>
      <c r="W898" s="1634"/>
      <c r="X898" s="1634"/>
      <c r="Y898" s="1634"/>
      <c r="Z898" s="1635"/>
      <c r="AA898" s="1634">
        <f t="shared" si="600"/>
        <v>0</v>
      </c>
      <c r="AB898" s="1634"/>
      <c r="AC898" s="1508">
        <f t="shared" si="594"/>
        <v>3.4000000000000004</v>
      </c>
      <c r="AD898" s="1509">
        <f t="shared" si="595"/>
        <v>0</v>
      </c>
      <c r="AE898" s="1509">
        <f t="shared" si="596"/>
        <v>0</v>
      </c>
      <c r="AF898" s="1509">
        <f t="shared" si="596"/>
        <v>0</v>
      </c>
      <c r="AG898" s="1509">
        <f t="shared" si="596"/>
        <v>0</v>
      </c>
      <c r="AH898" s="1490">
        <f t="shared" si="571"/>
        <v>0</v>
      </c>
      <c r="AI898" s="1636">
        <f t="shared" si="597"/>
        <v>0</v>
      </c>
      <c r="AJ898" s="1636">
        <f t="shared" si="598"/>
        <v>0</v>
      </c>
      <c r="AK898" s="1636">
        <f t="shared" si="599"/>
        <v>0</v>
      </c>
      <c r="AL898" s="1636">
        <f t="shared" si="593"/>
        <v>0</v>
      </c>
      <c r="AM898" s="1636">
        <f t="shared" si="593"/>
        <v>0</v>
      </c>
      <c r="AN898" s="1637"/>
      <c r="AO898" s="1722">
        <v>0.3</v>
      </c>
      <c r="AP898" s="1638"/>
      <c r="AQ898" s="1638"/>
      <c r="AR898" s="1638"/>
      <c r="AS898" s="1639"/>
      <c r="AT898" s="1638"/>
      <c r="AU898" s="1638"/>
      <c r="AV898" s="1638"/>
      <c r="AW898" s="1639"/>
      <c r="AX898" s="1640"/>
      <c r="AY898" s="1640"/>
      <c r="AZ898" s="1640"/>
      <c r="BA898" s="1641"/>
      <c r="BB898" s="1640"/>
      <c r="BC898" s="1640"/>
      <c r="BD898" s="1640"/>
      <c r="BE898" s="1644">
        <v>1.1000000000000001</v>
      </c>
      <c r="BF898" s="1640"/>
      <c r="BG898" s="1640"/>
      <c r="BH898" s="1640"/>
      <c r="BI898" s="1641"/>
      <c r="BJ898" s="1640"/>
      <c r="BK898" s="1640"/>
      <c r="BL898" s="1640"/>
      <c r="BM898" s="1641"/>
      <c r="BN898" s="1640"/>
      <c r="BO898" s="1640"/>
      <c r="BP898" s="1640"/>
      <c r="BQ898" s="1641"/>
      <c r="BR898" s="1640"/>
      <c r="BS898" s="1640"/>
      <c r="BT898" s="1640"/>
      <c r="BU898" s="1641">
        <v>2</v>
      </c>
      <c r="BV898" s="1640"/>
      <c r="BW898" s="1640"/>
      <c r="BX898" s="1640"/>
      <c r="BY898" s="1641"/>
      <c r="BZ898" s="1640"/>
      <c r="CA898" s="1640"/>
      <c r="CB898" s="1640"/>
      <c r="CC898" s="1641"/>
      <c r="CD898" s="1640"/>
      <c r="CE898" s="1640"/>
      <c r="CF898" s="1640"/>
      <c r="CG898" s="1642"/>
      <c r="CH898" s="1641">
        <f t="shared" si="582"/>
        <v>0</v>
      </c>
      <c r="CI898" s="1641">
        <f t="shared" si="582"/>
        <v>0</v>
      </c>
      <c r="CJ898" s="1641">
        <f t="shared" si="582"/>
        <v>0</v>
      </c>
      <c r="CK898" s="1641">
        <f t="shared" si="575"/>
        <v>0</v>
      </c>
      <c r="CL898" s="1889">
        <v>0</v>
      </c>
      <c r="CM898" s="1889">
        <v>0</v>
      </c>
      <c r="CN898" s="1889">
        <v>0</v>
      </c>
      <c r="CO898" s="1889">
        <v>0</v>
      </c>
      <c r="CP898" s="1641"/>
      <c r="CQ898" s="1640"/>
      <c r="CR898" s="1640"/>
      <c r="CS898" s="1640"/>
    </row>
    <row r="899" spans="1:107" ht="15" thickBot="1" x14ac:dyDescent="0.2">
      <c r="A899" s="1541" t="s">
        <v>94</v>
      </c>
      <c r="B899" s="1523" t="s">
        <v>79</v>
      </c>
      <c r="C899" s="1523" t="s">
        <v>80</v>
      </c>
      <c r="D899" s="1523" t="s">
        <v>125</v>
      </c>
      <c r="E899" s="1523" t="s">
        <v>216</v>
      </c>
      <c r="F899" s="1523"/>
      <c r="G899" s="1667" t="s">
        <v>95</v>
      </c>
      <c r="H899" s="1502"/>
      <c r="I899" s="1502"/>
      <c r="J899" s="1630"/>
      <c r="K899" s="1630"/>
      <c r="L899" s="1631"/>
      <c r="M899" s="1631"/>
      <c r="N899" s="1631"/>
      <c r="O899" s="1631"/>
      <c r="P899" s="1631"/>
      <c r="Q899" s="1631"/>
      <c r="R899" s="1631"/>
      <c r="S899" s="1631"/>
      <c r="T899" s="1632"/>
      <c r="U899" s="1633"/>
      <c r="V899" s="1633"/>
      <c r="W899" s="1634"/>
      <c r="X899" s="1634"/>
      <c r="Y899" s="1634"/>
      <c r="Z899" s="1635"/>
      <c r="AA899" s="1634">
        <f t="shared" si="600"/>
        <v>0</v>
      </c>
      <c r="AB899" s="1634"/>
      <c r="AC899" s="1508">
        <f t="shared" si="594"/>
        <v>0</v>
      </c>
      <c r="AD899" s="1509">
        <f t="shared" si="595"/>
        <v>0</v>
      </c>
      <c r="AE899" s="1509">
        <f t="shared" si="596"/>
        <v>0</v>
      </c>
      <c r="AF899" s="1509">
        <f t="shared" si="596"/>
        <v>0</v>
      </c>
      <c r="AG899" s="1509">
        <f t="shared" si="596"/>
        <v>0</v>
      </c>
      <c r="AH899" s="1490">
        <f t="shared" si="571"/>
        <v>0</v>
      </c>
      <c r="AI899" s="1636">
        <f t="shared" si="597"/>
        <v>0</v>
      </c>
      <c r="AJ899" s="1636">
        <f t="shared" si="598"/>
        <v>0</v>
      </c>
      <c r="AK899" s="1636">
        <f t="shared" si="599"/>
        <v>0</v>
      </c>
      <c r="AL899" s="1636">
        <f t="shared" si="593"/>
        <v>0</v>
      </c>
      <c r="AM899" s="1636">
        <f t="shared" si="593"/>
        <v>0</v>
      </c>
      <c r="AN899" s="1637"/>
      <c r="AO899" s="1722">
        <v>0</v>
      </c>
      <c r="AP899" s="1638"/>
      <c r="AQ899" s="1638"/>
      <c r="AR899" s="1638"/>
      <c r="AS899" s="1639"/>
      <c r="AT899" s="1638"/>
      <c r="AU899" s="1638"/>
      <c r="AV899" s="1638"/>
      <c r="AW899" s="1639"/>
      <c r="AX899" s="1640"/>
      <c r="AY899" s="1640"/>
      <c r="AZ899" s="1640"/>
      <c r="BA899" s="1641"/>
      <c r="BB899" s="1640"/>
      <c r="BC899" s="1640"/>
      <c r="BD899" s="1640"/>
      <c r="BE899" s="1644"/>
      <c r="BF899" s="1640"/>
      <c r="BG899" s="1640"/>
      <c r="BH899" s="1640"/>
      <c r="BI899" s="1641"/>
      <c r="BJ899" s="1640"/>
      <c r="BK899" s="1640"/>
      <c r="BL899" s="1640"/>
      <c r="BM899" s="1641"/>
      <c r="BN899" s="1640"/>
      <c r="BO899" s="1640"/>
      <c r="BP899" s="1640"/>
      <c r="BQ899" s="1641"/>
      <c r="BR899" s="1640"/>
      <c r="BS899" s="1640"/>
      <c r="BT899" s="1640"/>
      <c r="BU899" s="1641"/>
      <c r="BV899" s="1640"/>
      <c r="BW899" s="1640"/>
      <c r="BX899" s="1640"/>
      <c r="BY899" s="1641"/>
      <c r="BZ899" s="1640"/>
      <c r="CA899" s="1640"/>
      <c r="CB899" s="1640"/>
      <c r="CC899" s="1641"/>
      <c r="CD899" s="1640"/>
      <c r="CE899" s="1640"/>
      <c r="CF899" s="1640"/>
      <c r="CG899" s="1642"/>
      <c r="CH899" s="1641">
        <f t="shared" si="582"/>
        <v>0</v>
      </c>
      <c r="CI899" s="1641">
        <f t="shared" si="582"/>
        <v>0</v>
      </c>
      <c r="CJ899" s="1641">
        <f t="shared" si="582"/>
        <v>0</v>
      </c>
      <c r="CK899" s="1641">
        <f t="shared" si="575"/>
        <v>0</v>
      </c>
      <c r="CL899" s="1889">
        <v>0</v>
      </c>
      <c r="CM899" s="1889">
        <v>0</v>
      </c>
      <c r="CN899" s="1889">
        <v>0</v>
      </c>
      <c r="CO899" s="1889">
        <v>0</v>
      </c>
      <c r="CP899" s="1641"/>
      <c r="CQ899" s="1640"/>
      <c r="CR899" s="1640"/>
      <c r="CS899" s="1640"/>
    </row>
    <row r="900" spans="1:107" ht="15" thickBot="1" x14ac:dyDescent="0.2">
      <c r="A900" s="1541" t="s">
        <v>96</v>
      </c>
      <c r="B900" s="1523" t="s">
        <v>79</v>
      </c>
      <c r="C900" s="1523" t="s">
        <v>80</v>
      </c>
      <c r="D900" s="1523" t="s">
        <v>125</v>
      </c>
      <c r="E900" s="1523" t="s">
        <v>216</v>
      </c>
      <c r="F900" s="1523"/>
      <c r="G900" s="1667">
        <v>310</v>
      </c>
      <c r="H900" s="1646"/>
      <c r="I900" s="1502"/>
      <c r="J900" s="1630"/>
      <c r="K900" s="1630"/>
      <c r="L900" s="1631"/>
      <c r="M900" s="1631"/>
      <c r="N900" s="1631"/>
      <c r="O900" s="1631"/>
      <c r="P900" s="1631"/>
      <c r="Q900" s="1631"/>
      <c r="R900" s="1631"/>
      <c r="S900" s="1631"/>
      <c r="T900" s="1632"/>
      <c r="U900" s="1633"/>
      <c r="V900" s="1633"/>
      <c r="W900" s="1634"/>
      <c r="X900" s="1634"/>
      <c r="Y900" s="1634"/>
      <c r="Z900" s="1635"/>
      <c r="AA900" s="1634">
        <f t="shared" si="600"/>
        <v>0</v>
      </c>
      <c r="AB900" s="1634"/>
      <c r="AC900" s="1508">
        <f t="shared" si="594"/>
        <v>0</v>
      </c>
      <c r="AD900" s="1509">
        <f t="shared" si="595"/>
        <v>0</v>
      </c>
      <c r="AE900" s="1509">
        <f t="shared" si="596"/>
        <v>0</v>
      </c>
      <c r="AF900" s="1509">
        <f t="shared" si="596"/>
        <v>0</v>
      </c>
      <c r="AG900" s="1509">
        <f t="shared" si="596"/>
        <v>0</v>
      </c>
      <c r="AH900" s="1490">
        <f t="shared" si="571"/>
        <v>0</v>
      </c>
      <c r="AI900" s="1636">
        <f t="shared" si="597"/>
        <v>0</v>
      </c>
      <c r="AJ900" s="1636">
        <f t="shared" si="598"/>
        <v>0</v>
      </c>
      <c r="AK900" s="1636">
        <f t="shared" si="599"/>
        <v>0</v>
      </c>
      <c r="AL900" s="1636">
        <f t="shared" si="593"/>
        <v>0</v>
      </c>
      <c r="AM900" s="1636">
        <f t="shared" si="593"/>
        <v>0</v>
      </c>
      <c r="AN900" s="1637"/>
      <c r="AO900" s="1723"/>
      <c r="AP900" s="1638"/>
      <c r="AQ900" s="1638"/>
      <c r="AR900" s="1638"/>
      <c r="AS900" s="1639"/>
      <c r="AT900" s="1638"/>
      <c r="AU900" s="1638"/>
      <c r="AV900" s="1638"/>
      <c r="AW900" s="1639"/>
      <c r="AX900" s="1640"/>
      <c r="AY900" s="1640"/>
      <c r="AZ900" s="1640"/>
      <c r="BA900" s="1641"/>
      <c r="BB900" s="1640"/>
      <c r="BC900" s="1640"/>
      <c r="BD900" s="1640"/>
      <c r="BE900" s="1644"/>
      <c r="BF900" s="1640"/>
      <c r="BG900" s="1640"/>
      <c r="BH900" s="1640"/>
      <c r="BI900" s="1641"/>
      <c r="BJ900" s="1640"/>
      <c r="BK900" s="1640"/>
      <c r="BL900" s="1640"/>
      <c r="BM900" s="1641"/>
      <c r="BN900" s="1640"/>
      <c r="BO900" s="1640"/>
      <c r="BP900" s="1640"/>
      <c r="BQ900" s="1641"/>
      <c r="BR900" s="1640"/>
      <c r="BS900" s="1640"/>
      <c r="BT900" s="1640"/>
      <c r="BU900" s="1641"/>
      <c r="BV900" s="1640"/>
      <c r="BW900" s="1640"/>
      <c r="BX900" s="1640"/>
      <c r="BY900" s="1641"/>
      <c r="BZ900" s="1640"/>
      <c r="CA900" s="1640"/>
      <c r="CB900" s="1640"/>
      <c r="CC900" s="1641"/>
      <c r="CD900" s="1640"/>
      <c r="CE900" s="1640"/>
      <c r="CF900" s="1640"/>
      <c r="CG900" s="1642"/>
      <c r="CH900" s="1641">
        <f t="shared" si="582"/>
        <v>0</v>
      </c>
      <c r="CI900" s="1641">
        <f t="shared" si="582"/>
        <v>0</v>
      </c>
      <c r="CJ900" s="1641">
        <f t="shared" si="582"/>
        <v>0</v>
      </c>
      <c r="CK900" s="1641">
        <f t="shared" si="575"/>
        <v>0</v>
      </c>
      <c r="CL900" s="1889">
        <v>0</v>
      </c>
      <c r="CM900" s="1889">
        <v>0</v>
      </c>
      <c r="CN900" s="1889">
        <v>0</v>
      </c>
      <c r="CO900" s="1889">
        <v>0</v>
      </c>
      <c r="CP900" s="1641"/>
      <c r="CQ900" s="1640"/>
      <c r="CR900" s="1640"/>
      <c r="CS900" s="1640"/>
    </row>
    <row r="901" spans="1:107" ht="15" thickBot="1" x14ac:dyDescent="0.2">
      <c r="A901" s="1541" t="s">
        <v>97</v>
      </c>
      <c r="B901" s="1523" t="s">
        <v>79</v>
      </c>
      <c r="C901" s="1523" t="s">
        <v>80</v>
      </c>
      <c r="D901" s="1523" t="s">
        <v>125</v>
      </c>
      <c r="E901" s="1523" t="s">
        <v>216</v>
      </c>
      <c r="F901" s="1523"/>
      <c r="G901" s="1667">
        <v>340</v>
      </c>
      <c r="H901" s="1502">
        <f>69+49-113.2</f>
        <v>4.7999999999999972</v>
      </c>
      <c r="I901" s="1502"/>
      <c r="J901" s="1630"/>
      <c r="K901" s="1630"/>
      <c r="L901" s="1631"/>
      <c r="M901" s="1631"/>
      <c r="N901" s="1631"/>
      <c r="O901" s="1631"/>
      <c r="P901" s="1631"/>
      <c r="Q901" s="1631"/>
      <c r="R901" s="1631"/>
      <c r="S901" s="1631"/>
      <c r="T901" s="1632"/>
      <c r="U901" s="1633"/>
      <c r="V901" s="1633"/>
      <c r="W901" s="1634"/>
      <c r="X901" s="1634"/>
      <c r="Y901" s="1634"/>
      <c r="Z901" s="1635"/>
      <c r="AA901" s="1634">
        <f t="shared" si="600"/>
        <v>0</v>
      </c>
      <c r="AB901" s="1634"/>
      <c r="AC901" s="1508">
        <f t="shared" si="594"/>
        <v>4.8</v>
      </c>
      <c r="AD901" s="1509">
        <f t="shared" si="595"/>
        <v>0</v>
      </c>
      <c r="AE901" s="1509">
        <f t="shared" si="596"/>
        <v>0</v>
      </c>
      <c r="AF901" s="1509">
        <f t="shared" si="596"/>
        <v>0</v>
      </c>
      <c r="AG901" s="1509">
        <f t="shared" si="596"/>
        <v>0</v>
      </c>
      <c r="AH901" s="1490">
        <f t="shared" si="571"/>
        <v>0</v>
      </c>
      <c r="AI901" s="1636">
        <f t="shared" si="597"/>
        <v>0</v>
      </c>
      <c r="AJ901" s="1636">
        <f t="shared" si="598"/>
        <v>0</v>
      </c>
      <c r="AK901" s="1636">
        <f t="shared" si="599"/>
        <v>0</v>
      </c>
      <c r="AL901" s="1636">
        <f t="shared" si="593"/>
        <v>0</v>
      </c>
      <c r="AM901" s="1636">
        <f t="shared" si="593"/>
        <v>0</v>
      </c>
      <c r="AN901" s="1637"/>
      <c r="AO901" s="1722">
        <v>4.8</v>
      </c>
      <c r="AP901" s="1638"/>
      <c r="AQ901" s="1638"/>
      <c r="AR901" s="1638"/>
      <c r="AS901" s="1639"/>
      <c r="AT901" s="1638"/>
      <c r="AU901" s="1638"/>
      <c r="AV901" s="1638"/>
      <c r="AW901" s="1639"/>
      <c r="AX901" s="1640"/>
      <c r="AY901" s="1640"/>
      <c r="AZ901" s="1640"/>
      <c r="BA901" s="1641"/>
      <c r="BB901" s="1640"/>
      <c r="BC901" s="1640"/>
      <c r="BD901" s="1640"/>
      <c r="BE901" s="1644"/>
      <c r="BF901" s="1640"/>
      <c r="BG901" s="1640"/>
      <c r="BH901" s="1640"/>
      <c r="BI901" s="1641"/>
      <c r="BJ901" s="1640"/>
      <c r="BK901" s="1640"/>
      <c r="BL901" s="1640"/>
      <c r="BM901" s="1641"/>
      <c r="BN901" s="1640"/>
      <c r="BO901" s="1640"/>
      <c r="BP901" s="1640"/>
      <c r="BQ901" s="1641"/>
      <c r="BR901" s="1640"/>
      <c r="BS901" s="1640"/>
      <c r="BT901" s="1640"/>
      <c r="BU901" s="1641"/>
      <c r="BV901" s="1640"/>
      <c r="BW901" s="1640"/>
      <c r="BX901" s="1640"/>
      <c r="BY901" s="1641"/>
      <c r="BZ901" s="1640"/>
      <c r="CA901" s="1640"/>
      <c r="CB901" s="1640"/>
      <c r="CC901" s="1641"/>
      <c r="CD901" s="1640"/>
      <c r="CE901" s="1640"/>
      <c r="CF901" s="1640"/>
      <c r="CG901" s="1642"/>
      <c r="CH901" s="1641">
        <f t="shared" si="582"/>
        <v>0</v>
      </c>
      <c r="CI901" s="1641">
        <f t="shared" si="582"/>
        <v>0</v>
      </c>
      <c r="CJ901" s="1641">
        <f t="shared" si="582"/>
        <v>0</v>
      </c>
      <c r="CK901" s="1641">
        <f t="shared" si="575"/>
        <v>0</v>
      </c>
      <c r="CL901" s="1889">
        <v>0</v>
      </c>
      <c r="CM901" s="1889">
        <v>0</v>
      </c>
      <c r="CN901" s="1889">
        <v>0</v>
      </c>
      <c r="CO901" s="1889">
        <v>0</v>
      </c>
      <c r="CP901" s="1641"/>
      <c r="CQ901" s="1640"/>
      <c r="CR901" s="1640"/>
      <c r="CS901" s="1640"/>
    </row>
    <row r="902" spans="1:107" ht="15" thickBot="1" x14ac:dyDescent="0.2">
      <c r="A902" s="1528" t="s">
        <v>767</v>
      </c>
      <c r="B902" s="1530" t="s">
        <v>79</v>
      </c>
      <c r="C902" s="1530" t="s">
        <v>80</v>
      </c>
      <c r="D902" s="1530" t="s">
        <v>125</v>
      </c>
      <c r="E902" s="1530" t="s">
        <v>216</v>
      </c>
      <c r="F902" s="1530">
        <v>612</v>
      </c>
      <c r="G902" s="1687" t="s">
        <v>766</v>
      </c>
      <c r="H902" s="1647">
        <f>I888</f>
        <v>32464.1</v>
      </c>
      <c r="I902" s="1645"/>
      <c r="J902" s="1630"/>
      <c r="K902" s="1630"/>
      <c r="L902" s="1631"/>
      <c r="M902" s="1631"/>
      <c r="N902" s="1631"/>
      <c r="O902" s="1631"/>
      <c r="P902" s="1631"/>
      <c r="Q902" s="1631"/>
      <c r="R902" s="1631"/>
      <c r="S902" s="1631"/>
      <c r="T902" s="1632"/>
      <c r="U902" s="1633"/>
      <c r="V902" s="1633"/>
      <c r="W902" s="1634"/>
      <c r="X902" s="1634"/>
      <c r="Y902" s="1634"/>
      <c r="Z902" s="1635"/>
      <c r="AA902" s="1634">
        <f t="shared" si="600"/>
        <v>0</v>
      </c>
      <c r="AB902" s="1634"/>
      <c r="AC902" s="1508"/>
      <c r="AD902" s="1509"/>
      <c r="AE902" s="1509"/>
      <c r="AF902" s="1509"/>
      <c r="AG902" s="1509"/>
      <c r="AH902" s="1490">
        <f t="shared" si="571"/>
        <v>0</v>
      </c>
      <c r="AI902" s="1636"/>
      <c r="AJ902" s="1636"/>
      <c r="AK902" s="1636"/>
      <c r="AL902" s="1636">
        <f t="shared" si="593"/>
        <v>0</v>
      </c>
      <c r="AM902" s="1636">
        <f t="shared" si="593"/>
        <v>0</v>
      </c>
      <c r="AN902" s="1712"/>
      <c r="AO902" s="1713"/>
      <c r="AP902" s="1638"/>
      <c r="AQ902" s="1638"/>
      <c r="AR902" s="1638"/>
      <c r="AS902" s="1639"/>
      <c r="AT902" s="1638"/>
      <c r="AU902" s="1638"/>
      <c r="AV902" s="1638"/>
      <c r="AW902" s="1639"/>
      <c r="AX902" s="1640"/>
      <c r="AY902" s="1640"/>
      <c r="AZ902" s="1640"/>
      <c r="BA902" s="1641"/>
      <c r="BB902" s="1640"/>
      <c r="BC902" s="1640"/>
      <c r="BD902" s="1640"/>
      <c r="BE902" s="1644"/>
      <c r="BF902" s="1640"/>
      <c r="BG902" s="1640"/>
      <c r="BH902" s="1640"/>
      <c r="BI902" s="1641"/>
      <c r="BJ902" s="1640"/>
      <c r="BK902" s="1640"/>
      <c r="BL902" s="1640"/>
      <c r="BM902" s="1641"/>
      <c r="BN902" s="1640"/>
      <c r="BO902" s="1640"/>
      <c r="BP902" s="1640"/>
      <c r="BQ902" s="1641"/>
      <c r="BR902" s="1640"/>
      <c r="BS902" s="1640"/>
      <c r="BT902" s="1640"/>
      <c r="BU902" s="1641"/>
      <c r="BV902" s="1640"/>
      <c r="BW902" s="1640"/>
      <c r="BX902" s="1640"/>
      <c r="BY902" s="1641"/>
      <c r="BZ902" s="1640"/>
      <c r="CA902" s="1640"/>
      <c r="CB902" s="1640"/>
      <c r="CC902" s="1641"/>
      <c r="CD902" s="1640"/>
      <c r="CE902" s="1640"/>
      <c r="CF902" s="1640"/>
      <c r="CG902" s="1642"/>
      <c r="CH902" s="1641">
        <f t="shared" si="582"/>
        <v>0</v>
      </c>
      <c r="CI902" s="1641">
        <f t="shared" si="582"/>
        <v>0</v>
      </c>
      <c r="CJ902" s="1641">
        <f t="shared" si="582"/>
        <v>0</v>
      </c>
      <c r="CK902" s="1641">
        <f t="shared" si="575"/>
        <v>0</v>
      </c>
      <c r="CL902" s="1898"/>
      <c r="CM902" s="1898"/>
      <c r="CN902" s="1889">
        <v>0</v>
      </c>
      <c r="CO902" s="1889">
        <v>0</v>
      </c>
      <c r="CP902" s="1641"/>
      <c r="CQ902" s="1640"/>
      <c r="CR902" s="1640"/>
      <c r="CS902" s="1640"/>
    </row>
    <row r="903" spans="1:107" s="1997" customFormat="1" ht="27" thickBot="1" x14ac:dyDescent="0.2">
      <c r="A903" s="1873" t="s">
        <v>1300</v>
      </c>
      <c r="B903" s="1941" t="s">
        <v>79</v>
      </c>
      <c r="C903" s="1941" t="s">
        <v>80</v>
      </c>
      <c r="D903" s="1941" t="s">
        <v>125</v>
      </c>
      <c r="E903" s="1941" t="s">
        <v>216</v>
      </c>
      <c r="F903" s="1941">
        <v>600</v>
      </c>
      <c r="G903" s="1874"/>
      <c r="H903" s="1606">
        <f>H904+H918</f>
        <v>67549.587000000014</v>
      </c>
      <c r="I903" s="1606">
        <f>I904+I918</f>
        <v>1442.46</v>
      </c>
      <c r="J903" s="1606">
        <f>J904+J918</f>
        <v>400</v>
      </c>
      <c r="K903" s="1606">
        <f t="shared" ref="K903:CF903" si="601">K904+K918</f>
        <v>389.24299999999999</v>
      </c>
      <c r="L903" s="1607"/>
      <c r="M903" s="1607"/>
      <c r="N903" s="1607"/>
      <c r="O903" s="1607"/>
      <c r="P903" s="1607"/>
      <c r="Q903" s="1607"/>
      <c r="R903" s="1607"/>
      <c r="S903" s="1607"/>
      <c r="T903" s="1608"/>
      <c r="U903" s="1609"/>
      <c r="V903" s="1609"/>
      <c r="W903" s="1610"/>
      <c r="X903" s="1610"/>
      <c r="Y903" s="1610"/>
      <c r="Z903" s="1611"/>
      <c r="AA903" s="1634">
        <f t="shared" si="600"/>
        <v>0</v>
      </c>
      <c r="AB903" s="1610"/>
      <c r="AC903" s="1612">
        <f t="shared" si="601"/>
        <v>66107.126999999993</v>
      </c>
      <c r="AD903" s="1612">
        <f t="shared" si="601"/>
        <v>2231.703</v>
      </c>
      <c r="AE903" s="1612">
        <f t="shared" si="601"/>
        <v>1442.46</v>
      </c>
      <c r="AF903" s="1612">
        <f t="shared" si="601"/>
        <v>400</v>
      </c>
      <c r="AG903" s="1612">
        <f t="shared" si="601"/>
        <v>389.24299999999999</v>
      </c>
      <c r="AH903" s="1490">
        <f t="shared" si="571"/>
        <v>2536.8739999999998</v>
      </c>
      <c r="AI903" s="1613">
        <f t="shared" si="601"/>
        <v>0</v>
      </c>
      <c r="AJ903" s="1613">
        <f t="shared" si="601"/>
        <v>0</v>
      </c>
      <c r="AK903" s="1613">
        <f t="shared" si="601"/>
        <v>0</v>
      </c>
      <c r="AL903" s="1636">
        <f t="shared" si="593"/>
        <v>0</v>
      </c>
      <c r="AM903" s="1613">
        <f t="shared" si="601"/>
        <v>0</v>
      </c>
      <c r="AN903" s="1614"/>
      <c r="AO903" s="1606">
        <f t="shared" si="601"/>
        <v>7538.3</v>
      </c>
      <c r="AP903" s="1606">
        <f t="shared" si="601"/>
        <v>0</v>
      </c>
      <c r="AQ903" s="1606">
        <f t="shared" si="601"/>
        <v>0</v>
      </c>
      <c r="AR903" s="1606">
        <f t="shared" si="601"/>
        <v>0</v>
      </c>
      <c r="AS903" s="1611">
        <f t="shared" si="601"/>
        <v>5071.9000000000005</v>
      </c>
      <c r="AT903" s="1606">
        <f t="shared" si="601"/>
        <v>0</v>
      </c>
      <c r="AU903" s="1606">
        <f t="shared" si="601"/>
        <v>0</v>
      </c>
      <c r="AV903" s="1606">
        <f t="shared" si="601"/>
        <v>0</v>
      </c>
      <c r="AW903" s="1611">
        <f t="shared" si="601"/>
        <v>5041.6000000000004</v>
      </c>
      <c r="AX903" s="1606">
        <f t="shared" si="601"/>
        <v>0</v>
      </c>
      <c r="AY903" s="1606">
        <f t="shared" si="601"/>
        <v>0</v>
      </c>
      <c r="AZ903" s="1606">
        <f t="shared" si="601"/>
        <v>0</v>
      </c>
      <c r="BA903" s="1614">
        <f t="shared" si="601"/>
        <v>5041.6000000000004</v>
      </c>
      <c r="BB903" s="1606">
        <f t="shared" si="601"/>
        <v>0</v>
      </c>
      <c r="BC903" s="1606">
        <f t="shared" si="601"/>
        <v>0</v>
      </c>
      <c r="BD903" s="1606">
        <f t="shared" si="601"/>
        <v>0</v>
      </c>
      <c r="BE903" s="1615">
        <f t="shared" si="601"/>
        <v>12212.800000000001</v>
      </c>
      <c r="BF903" s="1606">
        <f t="shared" si="601"/>
        <v>0</v>
      </c>
      <c r="BG903" s="1606">
        <f t="shared" si="601"/>
        <v>0</v>
      </c>
      <c r="BH903" s="1606">
        <f t="shared" si="601"/>
        <v>389.24299999999999</v>
      </c>
      <c r="BI903" s="1614">
        <f t="shared" si="601"/>
        <v>-397.07299999999998</v>
      </c>
      <c r="BJ903" s="1606">
        <f t="shared" si="601"/>
        <v>0</v>
      </c>
      <c r="BK903" s="1606">
        <f t="shared" si="601"/>
        <v>0</v>
      </c>
      <c r="BL903" s="1606">
        <f t="shared" si="601"/>
        <v>0</v>
      </c>
      <c r="BM903" s="1614">
        <f t="shared" si="601"/>
        <v>5041.6000000000004</v>
      </c>
      <c r="BN903" s="1606">
        <f t="shared" si="601"/>
        <v>0</v>
      </c>
      <c r="BO903" s="1606">
        <f t="shared" si="601"/>
        <v>0</v>
      </c>
      <c r="BP903" s="1606">
        <f t="shared" si="601"/>
        <v>0</v>
      </c>
      <c r="BQ903" s="1614">
        <f t="shared" si="601"/>
        <v>5135.9460000000008</v>
      </c>
      <c r="BR903" s="1606">
        <f t="shared" si="601"/>
        <v>0</v>
      </c>
      <c r="BS903" s="1606">
        <f t="shared" si="601"/>
        <v>0</v>
      </c>
      <c r="BT903" s="1606">
        <f t="shared" si="601"/>
        <v>0</v>
      </c>
      <c r="BU903" s="1614">
        <f t="shared" si="601"/>
        <v>5218.6000000000004</v>
      </c>
      <c r="BV903" s="1606">
        <f t="shared" si="601"/>
        <v>0</v>
      </c>
      <c r="BW903" s="1606">
        <f t="shared" si="601"/>
        <v>400</v>
      </c>
      <c r="BX903" s="1606">
        <f t="shared" si="601"/>
        <v>0</v>
      </c>
      <c r="BY903" s="1614">
        <f t="shared" si="601"/>
        <v>4782.3</v>
      </c>
      <c r="BZ903" s="1606">
        <f t="shared" si="601"/>
        <v>1259.76</v>
      </c>
      <c r="CA903" s="1606">
        <f t="shared" si="601"/>
        <v>0</v>
      </c>
      <c r="CB903" s="1606">
        <f t="shared" si="601"/>
        <v>0</v>
      </c>
      <c r="CC903" s="1614">
        <f t="shared" si="601"/>
        <v>8882.6799999999985</v>
      </c>
      <c r="CD903" s="1606">
        <f t="shared" si="601"/>
        <v>0</v>
      </c>
      <c r="CE903" s="1606">
        <f t="shared" si="601"/>
        <v>0</v>
      </c>
      <c r="CF903" s="1606">
        <f t="shared" si="601"/>
        <v>0</v>
      </c>
      <c r="CG903" s="1616"/>
      <c r="CH903" s="1641">
        <f t="shared" si="582"/>
        <v>2536.8739999999998</v>
      </c>
      <c r="CI903" s="1641">
        <f t="shared" si="582"/>
        <v>182.7</v>
      </c>
      <c r="CJ903" s="1641">
        <f t="shared" si="582"/>
        <v>0</v>
      </c>
      <c r="CK903" s="1641">
        <f t="shared" si="575"/>
        <v>0</v>
      </c>
      <c r="CL903" s="1942">
        <v>2536.8739999999998</v>
      </c>
      <c r="CM903" s="1943">
        <v>0</v>
      </c>
      <c r="CN903" s="1889">
        <v>0</v>
      </c>
      <c r="CO903" s="1943">
        <v>0</v>
      </c>
      <c r="CP903" s="1614">
        <f>CP904+CP918</f>
        <v>0</v>
      </c>
      <c r="CQ903" s="1606">
        <f>CQ904+CQ918</f>
        <v>182.7</v>
      </c>
      <c r="CR903" s="1606">
        <f>CR904+CR918</f>
        <v>0</v>
      </c>
      <c r="CS903" s="1606">
        <f>CS904+CS918</f>
        <v>0</v>
      </c>
      <c r="CT903" s="1996"/>
      <c r="CU903" s="1996"/>
      <c r="CV903" s="1996"/>
      <c r="CW903" s="1996"/>
      <c r="CY903" s="1996"/>
    </row>
    <row r="904" spans="1:107" ht="53" thickBot="1" x14ac:dyDescent="0.2">
      <c r="A904" s="1748" t="s">
        <v>1135</v>
      </c>
      <c r="B904" s="1749" t="s">
        <v>79</v>
      </c>
      <c r="C904" s="1749" t="s">
        <v>80</v>
      </c>
      <c r="D904" s="1749" t="s">
        <v>125</v>
      </c>
      <c r="E904" s="1749" t="s">
        <v>216</v>
      </c>
      <c r="F904" s="1749" t="s">
        <v>765</v>
      </c>
      <c r="G904" s="1600" t="s">
        <v>766</v>
      </c>
      <c r="H904" s="1531">
        <f>H905+H906+H907+H908+H909+H910+H911+H912+H913+H914+H915+H916+H917</f>
        <v>66107.127000000008</v>
      </c>
      <c r="I904" s="1531">
        <f>I905+I906+I907+I908+I909+I910+I911+I912+I913+I914+I915+I916+I917</f>
        <v>1442.46</v>
      </c>
      <c r="J904" s="1531">
        <f>J905+J906+J907+J908+J909+J910+J911+J912+J913+J914+J915+J916+J917</f>
        <v>400</v>
      </c>
      <c r="K904" s="1531">
        <f t="shared" ref="K904:CF904" si="602">K905+K906+K907+K908+K909+K910+K911+K912+K913+K914+K915+K916+K917</f>
        <v>389.24299999999999</v>
      </c>
      <c r="L904" s="1601"/>
      <c r="M904" s="1601"/>
      <c r="N904" s="1601"/>
      <c r="O904" s="1601"/>
      <c r="P904" s="1601"/>
      <c r="Q904" s="1601"/>
      <c r="R904" s="1601"/>
      <c r="S904" s="1601"/>
      <c r="T904" s="1602"/>
      <c r="U904" s="1533"/>
      <c r="V904" s="1533"/>
      <c r="W904" s="1534"/>
      <c r="X904" s="1534"/>
      <c r="Y904" s="1534"/>
      <c r="Z904" s="1535"/>
      <c r="AA904" s="1634">
        <f t="shared" si="600"/>
        <v>0</v>
      </c>
      <c r="AB904" s="1534"/>
      <c r="AC904" s="1603">
        <f t="shared" si="602"/>
        <v>66107.126999999993</v>
      </c>
      <c r="AD904" s="1603">
        <f t="shared" si="602"/>
        <v>2231.703</v>
      </c>
      <c r="AE904" s="1603">
        <f t="shared" si="602"/>
        <v>1442.46</v>
      </c>
      <c r="AF904" s="1603">
        <f t="shared" si="602"/>
        <v>400</v>
      </c>
      <c r="AG904" s="1603">
        <f t="shared" si="602"/>
        <v>389.24299999999999</v>
      </c>
      <c r="AH904" s="1490">
        <f t="shared" si="571"/>
        <v>2536.8739999999998</v>
      </c>
      <c r="AI904" s="1592">
        <f t="shared" si="602"/>
        <v>0</v>
      </c>
      <c r="AJ904" s="1592">
        <f t="shared" si="602"/>
        <v>0</v>
      </c>
      <c r="AK904" s="1592">
        <f t="shared" si="602"/>
        <v>0</v>
      </c>
      <c r="AL904" s="1636">
        <f t="shared" si="593"/>
        <v>0</v>
      </c>
      <c r="AM904" s="1592">
        <f t="shared" si="602"/>
        <v>0</v>
      </c>
      <c r="AN904" s="1717"/>
      <c r="AO904" s="1718">
        <f t="shared" si="602"/>
        <v>7538.3</v>
      </c>
      <c r="AP904" s="1517">
        <f t="shared" si="602"/>
        <v>0</v>
      </c>
      <c r="AQ904" s="1517">
        <f t="shared" si="602"/>
        <v>0</v>
      </c>
      <c r="AR904" s="1517">
        <f t="shared" si="602"/>
        <v>0</v>
      </c>
      <c r="AS904" s="1590">
        <f t="shared" si="602"/>
        <v>5071.9000000000005</v>
      </c>
      <c r="AT904" s="1531">
        <f t="shared" si="602"/>
        <v>0</v>
      </c>
      <c r="AU904" s="1531">
        <f t="shared" si="602"/>
        <v>0</v>
      </c>
      <c r="AV904" s="1531">
        <f t="shared" si="602"/>
        <v>0</v>
      </c>
      <c r="AW904" s="1535">
        <f t="shared" si="602"/>
        <v>5041.6000000000004</v>
      </c>
      <c r="AX904" s="1531">
        <f t="shared" si="602"/>
        <v>0</v>
      </c>
      <c r="AY904" s="1531">
        <f t="shared" si="602"/>
        <v>0</v>
      </c>
      <c r="AZ904" s="1531">
        <f t="shared" si="602"/>
        <v>0</v>
      </c>
      <c r="BA904" s="1538">
        <f t="shared" si="602"/>
        <v>5041.6000000000004</v>
      </c>
      <c r="BB904" s="1531">
        <f t="shared" si="602"/>
        <v>0</v>
      </c>
      <c r="BC904" s="1531">
        <f t="shared" si="602"/>
        <v>0</v>
      </c>
      <c r="BD904" s="1531">
        <f t="shared" si="602"/>
        <v>0</v>
      </c>
      <c r="BE904" s="1539">
        <f t="shared" si="602"/>
        <v>12212.800000000001</v>
      </c>
      <c r="BF904" s="1531">
        <f t="shared" si="602"/>
        <v>0</v>
      </c>
      <c r="BG904" s="1531">
        <f t="shared" si="602"/>
        <v>0</v>
      </c>
      <c r="BH904" s="1531">
        <f t="shared" si="602"/>
        <v>389.24299999999999</v>
      </c>
      <c r="BI904" s="1538">
        <f t="shared" si="602"/>
        <v>-397.07299999999998</v>
      </c>
      <c r="BJ904" s="1531">
        <f t="shared" si="602"/>
        <v>0</v>
      </c>
      <c r="BK904" s="1531">
        <f t="shared" si="602"/>
        <v>0</v>
      </c>
      <c r="BL904" s="1531">
        <f t="shared" si="602"/>
        <v>0</v>
      </c>
      <c r="BM904" s="1538">
        <f t="shared" si="602"/>
        <v>5041.6000000000004</v>
      </c>
      <c r="BN904" s="1531">
        <f t="shared" si="602"/>
        <v>0</v>
      </c>
      <c r="BO904" s="1531">
        <f t="shared" si="602"/>
        <v>0</v>
      </c>
      <c r="BP904" s="1531">
        <f t="shared" si="602"/>
        <v>0</v>
      </c>
      <c r="BQ904" s="1538">
        <f t="shared" si="602"/>
        <v>5135.9460000000008</v>
      </c>
      <c r="BR904" s="1531">
        <f t="shared" si="602"/>
        <v>0</v>
      </c>
      <c r="BS904" s="1531">
        <f t="shared" si="602"/>
        <v>0</v>
      </c>
      <c r="BT904" s="1531">
        <f t="shared" si="602"/>
        <v>0</v>
      </c>
      <c r="BU904" s="1538">
        <f t="shared" si="602"/>
        <v>5218.6000000000004</v>
      </c>
      <c r="BV904" s="1531">
        <f t="shared" si="602"/>
        <v>0</v>
      </c>
      <c r="BW904" s="1531">
        <f t="shared" si="602"/>
        <v>400</v>
      </c>
      <c r="BX904" s="1531">
        <f t="shared" si="602"/>
        <v>0</v>
      </c>
      <c r="BY904" s="1538">
        <f t="shared" si="602"/>
        <v>4782.3</v>
      </c>
      <c r="BZ904" s="1531">
        <f t="shared" si="602"/>
        <v>1259.76</v>
      </c>
      <c r="CA904" s="1531">
        <f t="shared" si="602"/>
        <v>0</v>
      </c>
      <c r="CB904" s="1531">
        <f t="shared" si="602"/>
        <v>0</v>
      </c>
      <c r="CC904" s="1538">
        <f t="shared" si="602"/>
        <v>8882.6799999999985</v>
      </c>
      <c r="CD904" s="1531">
        <f t="shared" si="602"/>
        <v>0</v>
      </c>
      <c r="CE904" s="1531">
        <f t="shared" si="602"/>
        <v>0</v>
      </c>
      <c r="CF904" s="1531">
        <f t="shared" si="602"/>
        <v>0</v>
      </c>
      <c r="CG904" s="1705"/>
      <c r="CH904" s="1641">
        <f t="shared" si="582"/>
        <v>2536.8739999999998</v>
      </c>
      <c r="CI904" s="1641">
        <f t="shared" si="582"/>
        <v>182.7</v>
      </c>
      <c r="CJ904" s="1641">
        <f t="shared" si="582"/>
        <v>0</v>
      </c>
      <c r="CK904" s="1641">
        <f t="shared" si="575"/>
        <v>0</v>
      </c>
      <c r="CL904" s="1901">
        <v>2536.8739999999998</v>
      </c>
      <c r="CM904" s="1902">
        <v>0</v>
      </c>
      <c r="CN904" s="1889">
        <v>0</v>
      </c>
      <c r="CO904" s="1902">
        <v>0</v>
      </c>
      <c r="CP904" s="1538">
        <f>CP905+CP906+CP907+CP908+CP909+CP910+CP911+CP912+CP913+CP914+CP915+CP916+CP917</f>
        <v>0</v>
      </c>
      <c r="CQ904" s="1531">
        <f>CQ905+CQ906+CQ907+CQ908+CQ909+CQ910+CQ911+CQ912+CQ913+CQ914+CQ915+CQ916+CQ917</f>
        <v>182.7</v>
      </c>
      <c r="CR904" s="1531">
        <f>CR905+CR906+CR907+CR908+CR909+CR910+CR911+CR912+CR913+CR914+CR915+CR916+CR917</f>
        <v>0</v>
      </c>
      <c r="CS904" s="1531">
        <f>CS905+CS906+CS907+CS908+CS909+CS910+CS911+CS912+CS913+CS914+CS915+CS916+CS917</f>
        <v>0</v>
      </c>
    </row>
    <row r="905" spans="1:107" ht="15" thickBot="1" x14ac:dyDescent="0.2">
      <c r="A905" s="1541" t="s">
        <v>78</v>
      </c>
      <c r="B905" s="1523" t="s">
        <v>79</v>
      </c>
      <c r="C905" s="1523" t="s">
        <v>80</v>
      </c>
      <c r="D905" s="1523" t="s">
        <v>125</v>
      </c>
      <c r="E905" s="1523" t="s">
        <v>216</v>
      </c>
      <c r="F905" s="1523"/>
      <c r="G905" s="1667">
        <v>211</v>
      </c>
      <c r="H905" s="1502">
        <f>46466.6+1536</f>
        <v>48002.6</v>
      </c>
      <c r="I905" s="1645"/>
      <c r="J905" s="1630"/>
      <c r="K905" s="1502"/>
      <c r="L905" s="1503"/>
      <c r="M905" s="1503"/>
      <c r="N905" s="1503"/>
      <c r="O905" s="1503"/>
      <c r="P905" s="1503"/>
      <c r="Q905" s="1503"/>
      <c r="R905" s="1503"/>
      <c r="S905" s="1503"/>
      <c r="T905" s="1504"/>
      <c r="U905" s="1505"/>
      <c r="V905" s="1505"/>
      <c r="W905" s="1634">
        <f>H905/12</f>
        <v>4000.2166666666667</v>
      </c>
      <c r="X905" s="1634">
        <f>AO905</f>
        <v>3872.2</v>
      </c>
      <c r="Y905" s="1634">
        <f>CC905</f>
        <v>6928.8799999999992</v>
      </c>
      <c r="Z905" s="1635">
        <v>4528.78</v>
      </c>
      <c r="AA905" s="1634">
        <f t="shared" si="600"/>
        <v>-4528.78</v>
      </c>
      <c r="AB905" s="1511">
        <f>AI905</f>
        <v>0</v>
      </c>
      <c r="AC905" s="1508">
        <f t="shared" ref="AC905:AC917" si="603">AO905+AS905+AW905+BA905+BE905+BI905+BM905+BQ905+BU905+BY905+CC905+CH905</f>
        <v>48002.599999999991</v>
      </c>
      <c r="AD905" s="1509">
        <f t="shared" ref="AD905:AD917" si="604">AE905+AF905+AG905</f>
        <v>0</v>
      </c>
      <c r="AE905" s="1509">
        <f t="shared" ref="AE905:AG917" si="605">AP905+AT905+AX905+BB905+BF905+BJ905+BN905+BR905+BV905+BZ905+CD905+CI905</f>
        <v>0</v>
      </c>
      <c r="AF905" s="1509">
        <f t="shared" si="605"/>
        <v>0</v>
      </c>
      <c r="AG905" s="1509">
        <f t="shared" si="605"/>
        <v>0</v>
      </c>
      <c r="AH905" s="1490">
        <f t="shared" si="571"/>
        <v>1071.52</v>
      </c>
      <c r="AI905" s="1636">
        <f t="shared" ref="AI905:AI917" si="606">H905-AC905</f>
        <v>0</v>
      </c>
      <c r="AJ905" s="1636">
        <f t="shared" ref="AJ905:AJ917" si="607">AK905+AL905+AM905</f>
        <v>0</v>
      </c>
      <c r="AK905" s="1636">
        <f t="shared" ref="AK905:AK917" si="608">I905-AE905</f>
        <v>0</v>
      </c>
      <c r="AL905" s="1636">
        <f t="shared" si="593"/>
        <v>0</v>
      </c>
      <c r="AM905" s="1636">
        <f t="shared" si="593"/>
        <v>0</v>
      </c>
      <c r="AN905" s="1637">
        <f>AI905/4</f>
        <v>0</v>
      </c>
      <c r="AO905" s="1722">
        <v>3872.2</v>
      </c>
      <c r="AP905" s="1640"/>
      <c r="AQ905" s="1638"/>
      <c r="AR905" s="1638"/>
      <c r="AS905" s="1963">
        <v>3872.2</v>
      </c>
      <c r="AT905" s="1638"/>
      <c r="AU905" s="1638"/>
      <c r="AV905" s="1638"/>
      <c r="AW905" s="1722">
        <v>3872.2</v>
      </c>
      <c r="AX905" s="1640"/>
      <c r="AY905" s="1640"/>
      <c r="AZ905" s="1640"/>
      <c r="BA905" s="1964">
        <v>3872.2</v>
      </c>
      <c r="BB905" s="1640"/>
      <c r="BC905" s="1640"/>
      <c r="BD905" s="1640"/>
      <c r="BE905" s="1644">
        <f>1536+3872.2*2</f>
        <v>9280.4</v>
      </c>
      <c r="BF905" s="1640"/>
      <c r="BG905" s="1640"/>
      <c r="BH905" s="1640"/>
      <c r="BI905" s="1641">
        <v>0</v>
      </c>
      <c r="BJ905" s="1640"/>
      <c r="BK905" s="1640"/>
      <c r="BL905" s="1640"/>
      <c r="BM905" s="1641">
        <v>3872.2</v>
      </c>
      <c r="BN905" s="1640"/>
      <c r="BO905" s="1640"/>
      <c r="BP905" s="1640"/>
      <c r="BQ905" s="1641">
        <v>3872.2</v>
      </c>
      <c r="BR905" s="1640"/>
      <c r="BS905" s="1640"/>
      <c r="BT905" s="1640"/>
      <c r="BU905" s="1641">
        <v>3872.2</v>
      </c>
      <c r="BV905" s="1640"/>
      <c r="BW905" s="1640"/>
      <c r="BX905" s="1640"/>
      <c r="BY905" s="1641">
        <f>2310.9+1305.5</f>
        <v>3616.4</v>
      </c>
      <c r="BZ905" s="1640"/>
      <c r="CA905" s="1640"/>
      <c r="CB905" s="1640"/>
      <c r="CC905" s="1641">
        <f>2400.1+4528.78</f>
        <v>6928.8799999999992</v>
      </c>
      <c r="CD905" s="1640"/>
      <c r="CE905" s="1640"/>
      <c r="CF905" s="1640"/>
      <c r="CG905" s="1512"/>
      <c r="CH905" s="1641">
        <f t="shared" si="582"/>
        <v>1071.52</v>
      </c>
      <c r="CI905" s="1641">
        <f t="shared" si="582"/>
        <v>0</v>
      </c>
      <c r="CJ905" s="1641">
        <f t="shared" si="582"/>
        <v>0</v>
      </c>
      <c r="CK905" s="1641">
        <f t="shared" si="575"/>
        <v>0</v>
      </c>
      <c r="CL905" s="1890">
        <v>1071.52</v>
      </c>
      <c r="CM905" s="1889">
        <v>0</v>
      </c>
      <c r="CN905" s="1889">
        <v>0</v>
      </c>
      <c r="CO905" s="1889">
        <v>0</v>
      </c>
      <c r="CP905" s="1641"/>
      <c r="CQ905" s="1640"/>
      <c r="CR905" s="1640"/>
      <c r="CS905" s="1640"/>
      <c r="CX905" s="1558">
        <f>H905/12*10-AC905</f>
        <v>-8000.433333333327</v>
      </c>
      <c r="CY905" s="1558">
        <f>AI905/3</f>
        <v>0</v>
      </c>
      <c r="CZ905" s="1558">
        <f>H905/12</f>
        <v>4000.2166666666667</v>
      </c>
      <c r="DA905" s="1559"/>
      <c r="DB905" s="1559"/>
      <c r="DC905" s="1559"/>
    </row>
    <row r="906" spans="1:107" ht="15" thickBot="1" x14ac:dyDescent="0.2">
      <c r="A906" s="1541" t="s">
        <v>103</v>
      </c>
      <c r="B906" s="1523" t="s">
        <v>79</v>
      </c>
      <c r="C906" s="1523" t="s">
        <v>80</v>
      </c>
      <c r="D906" s="1523" t="s">
        <v>125</v>
      </c>
      <c r="E906" s="1523" t="s">
        <v>216</v>
      </c>
      <c r="F906" s="1523"/>
      <c r="G906" s="1667">
        <v>212</v>
      </c>
      <c r="H906" s="1517"/>
      <c r="I906" s="1645">
        <v>14.7</v>
      </c>
      <c r="J906" s="1630"/>
      <c r="K906" s="1517">
        <v>26</v>
      </c>
      <c r="L906" s="1518"/>
      <c r="M906" s="1518"/>
      <c r="N906" s="1518"/>
      <c r="O906" s="1518"/>
      <c r="P906" s="1518"/>
      <c r="Q906" s="1518"/>
      <c r="R906" s="1518"/>
      <c r="S906" s="1518"/>
      <c r="T906" s="1776"/>
      <c r="U906" s="1588"/>
      <c r="V906" s="1588"/>
      <c r="W906" s="1634"/>
      <c r="X906" s="1634"/>
      <c r="Y906" s="1634">
        <f>CC906</f>
        <v>0</v>
      </c>
      <c r="Z906" s="1635">
        <f>AI906-X906</f>
        <v>0</v>
      </c>
      <c r="AA906" s="1634">
        <f t="shared" si="600"/>
        <v>0</v>
      </c>
      <c r="AB906" s="1511"/>
      <c r="AC906" s="1508">
        <f t="shared" si="603"/>
        <v>0</v>
      </c>
      <c r="AD906" s="1509">
        <f t="shared" si="604"/>
        <v>40.700000000000003</v>
      </c>
      <c r="AE906" s="1509">
        <f t="shared" si="605"/>
        <v>14.7</v>
      </c>
      <c r="AF906" s="1509">
        <f t="shared" si="605"/>
        <v>0</v>
      </c>
      <c r="AG906" s="1509">
        <f t="shared" si="605"/>
        <v>26</v>
      </c>
      <c r="AH906" s="1490">
        <f t="shared" si="571"/>
        <v>0</v>
      </c>
      <c r="AI906" s="1636">
        <f t="shared" si="606"/>
        <v>0</v>
      </c>
      <c r="AJ906" s="1636">
        <f t="shared" si="607"/>
        <v>0</v>
      </c>
      <c r="AK906" s="1636">
        <f t="shared" si="608"/>
        <v>0</v>
      </c>
      <c r="AL906" s="1636">
        <f t="shared" si="593"/>
        <v>0</v>
      </c>
      <c r="AM906" s="1636">
        <f t="shared" si="593"/>
        <v>0</v>
      </c>
      <c r="AN906" s="1637"/>
      <c r="AO906" s="1722">
        <v>0</v>
      </c>
      <c r="AP906" s="1638"/>
      <c r="AQ906" s="1638"/>
      <c r="AR906" s="1638"/>
      <c r="AS906" s="1963">
        <v>0</v>
      </c>
      <c r="AT906" s="1638"/>
      <c r="AU906" s="1638"/>
      <c r="AV906" s="1638"/>
      <c r="AW906" s="1722">
        <v>0</v>
      </c>
      <c r="AX906" s="1640"/>
      <c r="AY906" s="1640"/>
      <c r="AZ906" s="1640"/>
      <c r="BA906" s="1964">
        <v>0</v>
      </c>
      <c r="BB906" s="1640"/>
      <c r="BC906" s="1640"/>
      <c r="BD906" s="1640"/>
      <c r="BE906" s="1644"/>
      <c r="BF906" s="1640"/>
      <c r="BG906" s="1640"/>
      <c r="BH906" s="1517">
        <v>26</v>
      </c>
      <c r="BI906" s="1641"/>
      <c r="BJ906" s="1640"/>
      <c r="BK906" s="1640"/>
      <c r="BL906" s="1640"/>
      <c r="BM906" s="1641"/>
      <c r="BN906" s="1640"/>
      <c r="BO906" s="1640"/>
      <c r="BP906" s="1640"/>
      <c r="BQ906" s="1641"/>
      <c r="BR906" s="1640"/>
      <c r="BS906" s="1640"/>
      <c r="BT906" s="1640"/>
      <c r="BU906" s="1641"/>
      <c r="BV906" s="1640"/>
      <c r="BW906" s="1640"/>
      <c r="BX906" s="1640"/>
      <c r="BY906" s="1641"/>
      <c r="BZ906" s="1645">
        <v>14.7</v>
      </c>
      <c r="CA906" s="1640"/>
      <c r="CB906" s="1640"/>
      <c r="CC906" s="1641"/>
      <c r="CD906" s="1640"/>
      <c r="CE906" s="1640"/>
      <c r="CF906" s="1640"/>
      <c r="CG906" s="1719"/>
      <c r="CH906" s="1641">
        <f t="shared" si="582"/>
        <v>0</v>
      </c>
      <c r="CI906" s="1641">
        <f t="shared" si="582"/>
        <v>0</v>
      </c>
      <c r="CJ906" s="1641">
        <f t="shared" si="582"/>
        <v>0</v>
      </c>
      <c r="CK906" s="1641">
        <f t="shared" si="575"/>
        <v>0</v>
      </c>
      <c r="CL906" s="1889">
        <v>0</v>
      </c>
      <c r="CM906" s="1889">
        <v>0</v>
      </c>
      <c r="CN906" s="1889">
        <v>0</v>
      </c>
      <c r="CO906" s="1889">
        <v>0</v>
      </c>
      <c r="CP906" s="1641"/>
      <c r="CQ906" s="1640"/>
      <c r="CR906" s="1640"/>
      <c r="CS906" s="1640"/>
      <c r="CX906" s="1558"/>
      <c r="CY906" s="1558"/>
      <c r="CZ906" s="1558"/>
      <c r="DA906" s="1559"/>
      <c r="DB906" s="1559"/>
      <c r="DC906" s="1559"/>
    </row>
    <row r="907" spans="1:107" ht="15" thickBot="1" x14ac:dyDescent="0.2">
      <c r="A907" s="1541" t="s">
        <v>84</v>
      </c>
      <c r="B907" s="1523" t="s">
        <v>79</v>
      </c>
      <c r="C907" s="1523" t="s">
        <v>80</v>
      </c>
      <c r="D907" s="1523" t="s">
        <v>125</v>
      </c>
      <c r="E907" s="1523" t="s">
        <v>216</v>
      </c>
      <c r="F907" s="1523"/>
      <c r="G907" s="1667">
        <v>213</v>
      </c>
      <c r="H907" s="1502">
        <f>14032.9+464</f>
        <v>14496.9</v>
      </c>
      <c r="I907" s="1645"/>
      <c r="J907" s="1630"/>
      <c r="K907" s="1502"/>
      <c r="L907" s="1503"/>
      <c r="M907" s="1503"/>
      <c r="N907" s="1503"/>
      <c r="O907" s="1503"/>
      <c r="P907" s="1503"/>
      <c r="Q907" s="1503"/>
      <c r="R907" s="1503"/>
      <c r="S907" s="1503"/>
      <c r="T907" s="1504"/>
      <c r="U907" s="1505"/>
      <c r="V907" s="1505"/>
      <c r="W907" s="1634">
        <f>H907/12</f>
        <v>1208.075</v>
      </c>
      <c r="X907" s="1634">
        <f>AO907</f>
        <v>1169.4000000000001</v>
      </c>
      <c r="Y907" s="1634">
        <f>CC907</f>
        <v>1953.8</v>
      </c>
      <c r="Z907" s="1635">
        <v>1953.8</v>
      </c>
      <c r="AA907" s="1634">
        <f t="shared" si="600"/>
        <v>-1953.8</v>
      </c>
      <c r="AB907" s="1511">
        <f>AI907</f>
        <v>0</v>
      </c>
      <c r="AC907" s="1508">
        <f t="shared" si="603"/>
        <v>14496.9</v>
      </c>
      <c r="AD907" s="1509">
        <f t="shared" si="604"/>
        <v>0</v>
      </c>
      <c r="AE907" s="1509">
        <f t="shared" si="605"/>
        <v>0</v>
      </c>
      <c r="AF907" s="1509">
        <f t="shared" si="605"/>
        <v>0</v>
      </c>
      <c r="AG907" s="1509">
        <f t="shared" si="605"/>
        <v>0</v>
      </c>
      <c r="AH907" s="1490">
        <f t="shared" si="571"/>
        <v>462.3</v>
      </c>
      <c r="AI907" s="1636">
        <f t="shared" si="606"/>
        <v>0</v>
      </c>
      <c r="AJ907" s="1636">
        <f t="shared" si="607"/>
        <v>0</v>
      </c>
      <c r="AK907" s="1636">
        <f t="shared" si="608"/>
        <v>0</v>
      </c>
      <c r="AL907" s="1636">
        <f t="shared" si="593"/>
        <v>0</v>
      </c>
      <c r="AM907" s="1636">
        <f t="shared" si="593"/>
        <v>0</v>
      </c>
      <c r="AN907" s="1637">
        <f>AI907/4</f>
        <v>0</v>
      </c>
      <c r="AO907" s="1722">
        <v>1169.4000000000001</v>
      </c>
      <c r="AP907" s="1638"/>
      <c r="AQ907" s="1638"/>
      <c r="AR907" s="1638"/>
      <c r="AS907" s="1963">
        <v>1169.4000000000001</v>
      </c>
      <c r="AT907" s="1638"/>
      <c r="AU907" s="1638"/>
      <c r="AV907" s="1638"/>
      <c r="AW907" s="1722">
        <v>1169.4000000000001</v>
      </c>
      <c r="AX907" s="1640"/>
      <c r="AY907" s="1640"/>
      <c r="AZ907" s="1640"/>
      <c r="BA907" s="1964">
        <v>1169.4000000000001</v>
      </c>
      <c r="BB907" s="1640"/>
      <c r="BC907" s="1640"/>
      <c r="BD907" s="1640"/>
      <c r="BE907" s="1644">
        <f>464+1169.4*2</f>
        <v>2802.8</v>
      </c>
      <c r="BF907" s="1640"/>
      <c r="BG907" s="1640"/>
      <c r="BH907" s="1502"/>
      <c r="BI907" s="1641">
        <v>0</v>
      </c>
      <c r="BJ907" s="1640"/>
      <c r="BK907" s="1640"/>
      <c r="BL907" s="1640"/>
      <c r="BM907" s="1641">
        <v>1169.4000000000001</v>
      </c>
      <c r="BN907" s="1640"/>
      <c r="BO907" s="1640"/>
      <c r="BP907" s="1640"/>
      <c r="BQ907" s="1641">
        <v>1169.4000000000001</v>
      </c>
      <c r="BR907" s="1640"/>
      <c r="BS907" s="1640"/>
      <c r="BT907" s="1640"/>
      <c r="BU907" s="1641">
        <v>1169.4000000000001</v>
      </c>
      <c r="BV907" s="1640"/>
      <c r="BW907" s="1640"/>
      <c r="BX907" s="1640"/>
      <c r="BY907" s="1641">
        <v>1092.2</v>
      </c>
      <c r="BZ907" s="1645"/>
      <c r="CA907" s="1640"/>
      <c r="CB907" s="1640"/>
      <c r="CC907" s="1641">
        <v>1953.8</v>
      </c>
      <c r="CD907" s="1640"/>
      <c r="CE907" s="1640"/>
      <c r="CF907" s="1640"/>
      <c r="CG907" s="1512"/>
      <c r="CH907" s="1641">
        <f t="shared" si="582"/>
        <v>462.3</v>
      </c>
      <c r="CI907" s="1641">
        <f t="shared" si="582"/>
        <v>0</v>
      </c>
      <c r="CJ907" s="1641">
        <f t="shared" si="582"/>
        <v>0</v>
      </c>
      <c r="CK907" s="1641">
        <f t="shared" si="575"/>
        <v>0</v>
      </c>
      <c r="CL907" s="1889">
        <v>462.3</v>
      </c>
      <c r="CM907" s="1889">
        <v>0</v>
      </c>
      <c r="CN907" s="1889">
        <v>0</v>
      </c>
      <c r="CO907" s="1889">
        <v>0</v>
      </c>
      <c r="CP907" s="1641"/>
      <c r="CQ907" s="1640"/>
      <c r="CR907" s="1640"/>
      <c r="CS907" s="1640"/>
      <c r="CX907" s="1558">
        <f>H907/12*10-AC907</f>
        <v>-2416.1499999999996</v>
      </c>
      <c r="CY907" s="1558">
        <f>AI907/3</f>
        <v>0</v>
      </c>
      <c r="CZ907" s="1558">
        <f>H907/12</f>
        <v>1208.075</v>
      </c>
      <c r="DA907" s="1559"/>
      <c r="DB907" s="1559"/>
      <c r="DC907" s="1559"/>
    </row>
    <row r="908" spans="1:107" ht="15" thickBot="1" x14ac:dyDescent="0.2">
      <c r="A908" s="1541" t="s">
        <v>85</v>
      </c>
      <c r="B908" s="1523" t="s">
        <v>79</v>
      </c>
      <c r="C908" s="1523" t="s">
        <v>80</v>
      </c>
      <c r="D908" s="1523" t="s">
        <v>125</v>
      </c>
      <c r="E908" s="1523" t="s">
        <v>216</v>
      </c>
      <c r="F908" s="1523"/>
      <c r="G908" s="1667">
        <v>221</v>
      </c>
      <c r="H908" s="1502"/>
      <c r="I908" s="1645"/>
      <c r="J908" s="1630"/>
      <c r="K908" s="1502"/>
      <c r="L908" s="1503"/>
      <c r="M908" s="1503"/>
      <c r="N908" s="1503"/>
      <c r="O908" s="1503"/>
      <c r="P908" s="1503"/>
      <c r="Q908" s="1503"/>
      <c r="R908" s="1503"/>
      <c r="S908" s="1503"/>
      <c r="T908" s="1504"/>
      <c r="U908" s="1505"/>
      <c r="V908" s="1505"/>
      <c r="W908" s="1506"/>
      <c r="X908" s="1506"/>
      <c r="Y908" s="1506"/>
      <c r="Z908" s="1507"/>
      <c r="AA908" s="1634">
        <f t="shared" si="600"/>
        <v>0</v>
      </c>
      <c r="AB908" s="1506"/>
      <c r="AC908" s="1508">
        <f t="shared" si="603"/>
        <v>0</v>
      </c>
      <c r="AD908" s="1509">
        <f t="shared" si="604"/>
        <v>0</v>
      </c>
      <c r="AE908" s="1509">
        <f t="shared" si="605"/>
        <v>0</v>
      </c>
      <c r="AF908" s="1509">
        <f t="shared" si="605"/>
        <v>0</v>
      </c>
      <c r="AG908" s="1509">
        <f t="shared" si="605"/>
        <v>0</v>
      </c>
      <c r="AH908" s="1490">
        <f t="shared" si="571"/>
        <v>0</v>
      </c>
      <c r="AI908" s="1636">
        <f t="shared" si="606"/>
        <v>0</v>
      </c>
      <c r="AJ908" s="1636">
        <f t="shared" si="607"/>
        <v>0</v>
      </c>
      <c r="AK908" s="1636">
        <f t="shared" si="608"/>
        <v>0</v>
      </c>
      <c r="AL908" s="1636">
        <f t="shared" si="593"/>
        <v>0</v>
      </c>
      <c r="AM908" s="1636">
        <f t="shared" si="593"/>
        <v>0</v>
      </c>
      <c r="AN908" s="1637"/>
      <c r="AO908" s="1722">
        <v>0</v>
      </c>
      <c r="AP908" s="1638"/>
      <c r="AQ908" s="1638"/>
      <c r="AR908" s="1638"/>
      <c r="AS908" s="1963">
        <v>0</v>
      </c>
      <c r="AT908" s="1638"/>
      <c r="AU908" s="1638"/>
      <c r="AV908" s="1638"/>
      <c r="AW908" s="1639"/>
      <c r="AX908" s="1640"/>
      <c r="AY908" s="1640"/>
      <c r="AZ908" s="1640"/>
      <c r="BA908" s="1641"/>
      <c r="BB908" s="1640"/>
      <c r="BC908" s="1640"/>
      <c r="BD908" s="1640"/>
      <c r="BE908" s="1644"/>
      <c r="BF908" s="1640"/>
      <c r="BG908" s="1640"/>
      <c r="BH908" s="1502"/>
      <c r="BI908" s="1641"/>
      <c r="BJ908" s="1640"/>
      <c r="BK908" s="1640"/>
      <c r="BL908" s="1640"/>
      <c r="BM908" s="1641"/>
      <c r="BN908" s="1640"/>
      <c r="BO908" s="1640"/>
      <c r="BP908" s="1640"/>
      <c r="BQ908" s="1641"/>
      <c r="BR908" s="1640"/>
      <c r="BS908" s="1640"/>
      <c r="BT908" s="1640"/>
      <c r="BU908" s="1641"/>
      <c r="BV908" s="1640"/>
      <c r="BW908" s="1640"/>
      <c r="BX908" s="1640"/>
      <c r="BY908" s="1641"/>
      <c r="BZ908" s="1645"/>
      <c r="CA908" s="1640"/>
      <c r="CB908" s="1640"/>
      <c r="CC908" s="1641"/>
      <c r="CD908" s="1640"/>
      <c r="CE908" s="1640"/>
      <c r="CF908" s="1640"/>
      <c r="CG908" s="1512"/>
      <c r="CH908" s="1641">
        <f t="shared" si="582"/>
        <v>0</v>
      </c>
      <c r="CI908" s="1641">
        <f t="shared" si="582"/>
        <v>0</v>
      </c>
      <c r="CJ908" s="1641">
        <f t="shared" si="582"/>
        <v>0</v>
      </c>
      <c r="CK908" s="1641">
        <f t="shared" si="575"/>
        <v>0</v>
      </c>
      <c r="CL908" s="1889">
        <v>0</v>
      </c>
      <c r="CM908" s="1889">
        <v>0</v>
      </c>
      <c r="CN908" s="1889">
        <v>0</v>
      </c>
      <c r="CO908" s="1889">
        <v>0</v>
      </c>
      <c r="CP908" s="1641"/>
      <c r="CQ908" s="1640"/>
      <c r="CR908" s="1640"/>
      <c r="CS908" s="1640"/>
    </row>
    <row r="909" spans="1:107" ht="15" thickBot="1" x14ac:dyDescent="0.2">
      <c r="A909" s="1541" t="s">
        <v>86</v>
      </c>
      <c r="B909" s="1523" t="s">
        <v>79</v>
      </c>
      <c r="C909" s="1523" t="s">
        <v>80</v>
      </c>
      <c r="D909" s="1523" t="s">
        <v>125</v>
      </c>
      <c r="E909" s="1523" t="s">
        <v>216</v>
      </c>
      <c r="F909" s="1523"/>
      <c r="G909" s="1667">
        <v>222</v>
      </c>
      <c r="H909" s="1502"/>
      <c r="I909" s="1645">
        <v>555</v>
      </c>
      <c r="J909" s="1630"/>
      <c r="K909" s="1502">
        <v>170</v>
      </c>
      <c r="L909" s="1503"/>
      <c r="M909" s="1503"/>
      <c r="N909" s="1503"/>
      <c r="O909" s="1503"/>
      <c r="P909" s="1503"/>
      <c r="Q909" s="1503"/>
      <c r="R909" s="1503"/>
      <c r="S909" s="1503"/>
      <c r="T909" s="1504"/>
      <c r="U909" s="1505"/>
      <c r="V909" s="1505"/>
      <c r="W909" s="1506"/>
      <c r="X909" s="1506"/>
      <c r="Y909" s="1506"/>
      <c r="Z909" s="1507"/>
      <c r="AA909" s="1634">
        <f t="shared" si="600"/>
        <v>0</v>
      </c>
      <c r="AB909" s="1506"/>
      <c r="AC909" s="1508">
        <f t="shared" si="603"/>
        <v>0</v>
      </c>
      <c r="AD909" s="1509">
        <f t="shared" si="604"/>
        <v>725</v>
      </c>
      <c r="AE909" s="1509">
        <f t="shared" si="605"/>
        <v>555</v>
      </c>
      <c r="AF909" s="1509">
        <f t="shared" si="605"/>
        <v>0</v>
      </c>
      <c r="AG909" s="1509">
        <f t="shared" si="605"/>
        <v>170</v>
      </c>
      <c r="AH909" s="1490">
        <f t="shared" si="571"/>
        <v>0</v>
      </c>
      <c r="AI909" s="1636">
        <f t="shared" si="606"/>
        <v>0</v>
      </c>
      <c r="AJ909" s="1636">
        <f t="shared" si="607"/>
        <v>0</v>
      </c>
      <c r="AK909" s="1636">
        <f t="shared" si="608"/>
        <v>0</v>
      </c>
      <c r="AL909" s="1636">
        <f t="shared" si="593"/>
        <v>0</v>
      </c>
      <c r="AM909" s="1636">
        <f t="shared" si="593"/>
        <v>0</v>
      </c>
      <c r="AN909" s="1637"/>
      <c r="AO909" s="1722">
        <v>0</v>
      </c>
      <c r="AP909" s="1502"/>
      <c r="AQ909" s="1638"/>
      <c r="AR909" s="1638"/>
      <c r="AS909" s="1963">
        <v>0</v>
      </c>
      <c r="AT909" s="1638"/>
      <c r="AU909" s="1638"/>
      <c r="AV909" s="1638"/>
      <c r="AW909" s="1639"/>
      <c r="AX909" s="1640"/>
      <c r="AY909" s="1640"/>
      <c r="AZ909" s="1640"/>
      <c r="BA909" s="1641"/>
      <c r="BB909" s="1640"/>
      <c r="BC909" s="1640"/>
      <c r="BD909" s="1640"/>
      <c r="BE909" s="1644"/>
      <c r="BF909" s="1640"/>
      <c r="BG909" s="1640"/>
      <c r="BH909" s="1502">
        <v>170</v>
      </c>
      <c r="BI909" s="1641"/>
      <c r="BJ909" s="1640"/>
      <c r="BK909" s="1640"/>
      <c r="BL909" s="1640"/>
      <c r="BM909" s="1641"/>
      <c r="BN909" s="1640"/>
      <c r="BO909" s="1640"/>
      <c r="BP909" s="1640"/>
      <c r="BQ909" s="1641"/>
      <c r="BR909" s="1640"/>
      <c r="BS909" s="1640"/>
      <c r="BT909" s="1640"/>
      <c r="BU909" s="1641"/>
      <c r="BV909" s="1640"/>
      <c r="BW909" s="1640"/>
      <c r="BX909" s="1640"/>
      <c r="BY909" s="1641"/>
      <c r="BZ909" s="1645">
        <v>555</v>
      </c>
      <c r="CA909" s="1640"/>
      <c r="CB909" s="1640"/>
      <c r="CC909" s="1641"/>
      <c r="CD909" s="1640"/>
      <c r="CE909" s="1640"/>
      <c r="CF909" s="1640"/>
      <c r="CG909" s="1512"/>
      <c r="CH909" s="1641">
        <f t="shared" si="582"/>
        <v>0</v>
      </c>
      <c r="CI909" s="1641">
        <f t="shared" si="582"/>
        <v>0</v>
      </c>
      <c r="CJ909" s="1641">
        <f t="shared" si="582"/>
        <v>0</v>
      </c>
      <c r="CK909" s="1641">
        <f t="shared" si="575"/>
        <v>0</v>
      </c>
      <c r="CL909" s="1889">
        <v>0</v>
      </c>
      <c r="CM909" s="1889">
        <v>0</v>
      </c>
      <c r="CN909" s="1889">
        <v>0</v>
      </c>
      <c r="CO909" s="1889">
        <v>0</v>
      </c>
      <c r="CP909" s="1641"/>
      <c r="CQ909" s="1640"/>
      <c r="CR909" s="1640"/>
      <c r="CS909" s="1640"/>
    </row>
    <row r="910" spans="1:107" ht="15" customHeight="1" thickBot="1" x14ac:dyDescent="0.2">
      <c r="A910" s="1541" t="s">
        <v>87</v>
      </c>
      <c r="B910" s="1523" t="s">
        <v>79</v>
      </c>
      <c r="C910" s="1523" t="s">
        <v>80</v>
      </c>
      <c r="D910" s="1523" t="s">
        <v>125</v>
      </c>
      <c r="E910" s="1523" t="s">
        <v>216</v>
      </c>
      <c r="F910" s="1523"/>
      <c r="G910" s="1667">
        <v>223</v>
      </c>
      <c r="H910" s="1502">
        <v>363.3</v>
      </c>
      <c r="I910" s="1645"/>
      <c r="J910" s="1630"/>
      <c r="K910" s="1502"/>
      <c r="L910" s="1503"/>
      <c r="M910" s="1503"/>
      <c r="N910" s="1503"/>
      <c r="O910" s="1503"/>
      <c r="P910" s="1503"/>
      <c r="Q910" s="1503"/>
      <c r="R910" s="1503"/>
      <c r="S910" s="1503"/>
      <c r="T910" s="1504"/>
      <c r="U910" s="1505"/>
      <c r="V910" s="1505"/>
      <c r="W910" s="1634"/>
      <c r="X910" s="1634"/>
      <c r="Y910" s="1634"/>
      <c r="Z910" s="1635"/>
      <c r="AA910" s="1634">
        <f t="shared" si="600"/>
        <v>0</v>
      </c>
      <c r="AB910" s="1634"/>
      <c r="AC910" s="1508">
        <f t="shared" si="603"/>
        <v>363.3</v>
      </c>
      <c r="AD910" s="1509">
        <f t="shared" si="604"/>
        <v>0</v>
      </c>
      <c r="AE910" s="1509">
        <f t="shared" si="605"/>
        <v>0</v>
      </c>
      <c r="AF910" s="1509">
        <f t="shared" si="605"/>
        <v>0</v>
      </c>
      <c r="AG910" s="1509">
        <f t="shared" si="605"/>
        <v>0</v>
      </c>
      <c r="AH910" s="1490">
        <f t="shared" si="571"/>
        <v>16.8</v>
      </c>
      <c r="AI910" s="1636">
        <f t="shared" si="606"/>
        <v>0</v>
      </c>
      <c r="AJ910" s="1636">
        <f t="shared" si="607"/>
        <v>0</v>
      </c>
      <c r="AK910" s="1636">
        <f t="shared" si="608"/>
        <v>0</v>
      </c>
      <c r="AL910" s="1636">
        <f t="shared" si="593"/>
        <v>0</v>
      </c>
      <c r="AM910" s="1636">
        <f t="shared" si="593"/>
        <v>0</v>
      </c>
      <c r="AN910" s="1637"/>
      <c r="AO910" s="1722">
        <v>30.3</v>
      </c>
      <c r="AP910" s="1502"/>
      <c r="AQ910" s="1638"/>
      <c r="AR910" s="1638"/>
      <c r="AS910" s="1963">
        <v>30.3</v>
      </c>
      <c r="AT910" s="1638"/>
      <c r="AU910" s="1638"/>
      <c r="AV910" s="1638"/>
      <c r="AW910" s="1639"/>
      <c r="AX910" s="1640"/>
      <c r="AY910" s="1640"/>
      <c r="AZ910" s="1640"/>
      <c r="BA910" s="1641"/>
      <c r="BB910" s="1640"/>
      <c r="BC910" s="1640"/>
      <c r="BD910" s="1640"/>
      <c r="BE910" s="1644">
        <v>68.599999999999994</v>
      </c>
      <c r="BF910" s="1640"/>
      <c r="BG910" s="1640"/>
      <c r="BH910" s="1502"/>
      <c r="BI910" s="1641">
        <v>34.299999999999997</v>
      </c>
      <c r="BJ910" s="1640"/>
      <c r="BK910" s="1640"/>
      <c r="BL910" s="1640"/>
      <c r="BM910" s="1641"/>
      <c r="BN910" s="1640"/>
      <c r="BO910" s="1640"/>
      <c r="BP910" s="1640"/>
      <c r="BQ910" s="1641">
        <v>34.299999999999997</v>
      </c>
      <c r="BR910" s="1640"/>
      <c r="BS910" s="1640"/>
      <c r="BT910" s="1640"/>
      <c r="BU910" s="1641">
        <v>75</v>
      </c>
      <c r="BV910" s="1640"/>
      <c r="BW910" s="1640"/>
      <c r="BX910" s="1640"/>
      <c r="BY910" s="1641">
        <v>73.7</v>
      </c>
      <c r="BZ910" s="1645"/>
      <c r="CA910" s="1640"/>
      <c r="CB910" s="1640"/>
      <c r="CC910" s="1641"/>
      <c r="CD910" s="1640"/>
      <c r="CE910" s="1640"/>
      <c r="CF910" s="1640"/>
      <c r="CG910" s="1512"/>
      <c r="CH910" s="1641">
        <f t="shared" si="582"/>
        <v>16.8</v>
      </c>
      <c r="CI910" s="1641">
        <f t="shared" si="582"/>
        <v>0</v>
      </c>
      <c r="CJ910" s="1641">
        <f t="shared" si="582"/>
        <v>0</v>
      </c>
      <c r="CK910" s="1641">
        <f t="shared" si="575"/>
        <v>0</v>
      </c>
      <c r="CL910" s="1889">
        <v>16.8</v>
      </c>
      <c r="CM910" s="1889">
        <v>0</v>
      </c>
      <c r="CN910" s="1889">
        <v>0</v>
      </c>
      <c r="CO910" s="1889">
        <v>0</v>
      </c>
      <c r="CP910" s="1641"/>
      <c r="CQ910" s="1640"/>
      <c r="CR910" s="1640"/>
      <c r="CS910" s="1640"/>
    </row>
    <row r="911" spans="1:107" ht="15" thickBot="1" x14ac:dyDescent="0.2">
      <c r="A911" s="1541" t="s">
        <v>134</v>
      </c>
      <c r="B911" s="1523" t="s">
        <v>79</v>
      </c>
      <c r="C911" s="1523" t="s">
        <v>80</v>
      </c>
      <c r="D911" s="1523" t="s">
        <v>125</v>
      </c>
      <c r="E911" s="1523" t="s">
        <v>216</v>
      </c>
      <c r="F911" s="1523"/>
      <c r="G911" s="1667">
        <v>224</v>
      </c>
      <c r="H911" s="1502"/>
      <c r="I911" s="1645"/>
      <c r="J911" s="1630"/>
      <c r="K911" s="1502"/>
      <c r="L911" s="1503"/>
      <c r="M911" s="1503"/>
      <c r="N911" s="1503"/>
      <c r="O911" s="1503"/>
      <c r="P911" s="1503"/>
      <c r="Q911" s="1503"/>
      <c r="R911" s="1503"/>
      <c r="S911" s="1503"/>
      <c r="T911" s="1504"/>
      <c r="U911" s="1505"/>
      <c r="V911" s="1505"/>
      <c r="W911" s="1506"/>
      <c r="X911" s="1506"/>
      <c r="Y911" s="1506"/>
      <c r="Z911" s="1507"/>
      <c r="AA911" s="1634">
        <f t="shared" si="600"/>
        <v>0</v>
      </c>
      <c r="AB911" s="1506"/>
      <c r="AC911" s="1508">
        <f t="shared" si="603"/>
        <v>0</v>
      </c>
      <c r="AD911" s="1509">
        <f t="shared" si="604"/>
        <v>0</v>
      </c>
      <c r="AE911" s="1509">
        <f t="shared" si="605"/>
        <v>0</v>
      </c>
      <c r="AF911" s="1509">
        <f t="shared" si="605"/>
        <v>0</v>
      </c>
      <c r="AG911" s="1509">
        <f t="shared" si="605"/>
        <v>0</v>
      </c>
      <c r="AH911" s="1490">
        <f t="shared" si="571"/>
        <v>0</v>
      </c>
      <c r="AI911" s="1636">
        <f t="shared" si="606"/>
        <v>0</v>
      </c>
      <c r="AJ911" s="1636">
        <f t="shared" si="607"/>
        <v>0</v>
      </c>
      <c r="AK911" s="1636">
        <f t="shared" si="608"/>
        <v>0</v>
      </c>
      <c r="AL911" s="1636">
        <f t="shared" si="593"/>
        <v>0</v>
      </c>
      <c r="AM911" s="1636">
        <f t="shared" si="593"/>
        <v>0</v>
      </c>
      <c r="AN911" s="1637"/>
      <c r="AO911" s="1722">
        <v>0</v>
      </c>
      <c r="AP911" s="1502"/>
      <c r="AQ911" s="1638"/>
      <c r="AR911" s="1638"/>
      <c r="AS911" s="1963">
        <v>0</v>
      </c>
      <c r="AT911" s="1638"/>
      <c r="AU911" s="1638"/>
      <c r="AV911" s="1638"/>
      <c r="AW911" s="1639"/>
      <c r="AX911" s="1640"/>
      <c r="AY911" s="1640"/>
      <c r="AZ911" s="1640"/>
      <c r="BA911" s="1641"/>
      <c r="BB911" s="1640"/>
      <c r="BC911" s="1640"/>
      <c r="BD911" s="1640"/>
      <c r="BE911" s="1644"/>
      <c r="BF911" s="1640"/>
      <c r="BG911" s="1640"/>
      <c r="BH911" s="1502"/>
      <c r="BI911" s="1641"/>
      <c r="BJ911" s="1640"/>
      <c r="BK911" s="1640"/>
      <c r="BL911" s="1640"/>
      <c r="BM911" s="1641"/>
      <c r="BN911" s="1640"/>
      <c r="BO911" s="1640"/>
      <c r="BP911" s="1640"/>
      <c r="BQ911" s="1641"/>
      <c r="BR911" s="1640"/>
      <c r="BS911" s="1640"/>
      <c r="BT911" s="1640"/>
      <c r="BU911" s="1641"/>
      <c r="BV911" s="1640"/>
      <c r="BW911" s="1640"/>
      <c r="BX911" s="1640"/>
      <c r="BY911" s="1641"/>
      <c r="BZ911" s="1645"/>
      <c r="CA911" s="1640"/>
      <c r="CB911" s="1640"/>
      <c r="CC911" s="1641"/>
      <c r="CD911" s="1640"/>
      <c r="CE911" s="1640"/>
      <c r="CF911" s="1640"/>
      <c r="CG911" s="1512"/>
      <c r="CH911" s="1641">
        <f t="shared" si="582"/>
        <v>0</v>
      </c>
      <c r="CI911" s="1641">
        <f t="shared" si="582"/>
        <v>0</v>
      </c>
      <c r="CJ911" s="1641">
        <f t="shared" si="582"/>
        <v>0</v>
      </c>
      <c r="CK911" s="1641">
        <f t="shared" si="575"/>
        <v>0</v>
      </c>
      <c r="CL911" s="1889">
        <v>0</v>
      </c>
      <c r="CM911" s="1889">
        <v>0</v>
      </c>
      <c r="CN911" s="1889">
        <v>0</v>
      </c>
      <c r="CO911" s="1889">
        <v>0</v>
      </c>
      <c r="CP911" s="1641"/>
      <c r="CQ911" s="1640"/>
      <c r="CR911" s="1640"/>
      <c r="CS911" s="1640"/>
    </row>
    <row r="912" spans="1:107" ht="15" thickBot="1" x14ac:dyDescent="0.2">
      <c r="A912" s="1541" t="s">
        <v>90</v>
      </c>
      <c r="B912" s="1523" t="s">
        <v>79</v>
      </c>
      <c r="C912" s="1523" t="s">
        <v>80</v>
      </c>
      <c r="D912" s="1523" t="s">
        <v>125</v>
      </c>
      <c r="E912" s="1523" t="s">
        <v>216</v>
      </c>
      <c r="F912" s="1523"/>
      <c r="G912" s="1667">
        <v>225</v>
      </c>
      <c r="H912" s="1502">
        <f>10.7+25</f>
        <v>35.700000000000003</v>
      </c>
      <c r="I912" s="1645"/>
      <c r="J912" s="1630">
        <f>150-V912</f>
        <v>0</v>
      </c>
      <c r="K912" s="1502"/>
      <c r="L912" s="1503"/>
      <c r="M912" s="1503"/>
      <c r="N912" s="1503"/>
      <c r="O912" s="1503"/>
      <c r="P912" s="1503"/>
      <c r="Q912" s="1503"/>
      <c r="R912" s="1503"/>
      <c r="S912" s="1503"/>
      <c r="T912" s="1504"/>
      <c r="U912" s="1505"/>
      <c r="V912" s="1505">
        <v>150</v>
      </c>
      <c r="W912" s="1506"/>
      <c r="X912" s="1506"/>
      <c r="Y912" s="1506"/>
      <c r="Z912" s="1507"/>
      <c r="AA912" s="1634">
        <f t="shared" si="600"/>
        <v>0</v>
      </c>
      <c r="AB912" s="1506"/>
      <c r="AC912" s="1508">
        <f t="shared" si="603"/>
        <v>35.700000000000003</v>
      </c>
      <c r="AD912" s="1509">
        <f t="shared" si="604"/>
        <v>0</v>
      </c>
      <c r="AE912" s="1509">
        <f t="shared" si="605"/>
        <v>0</v>
      </c>
      <c r="AF912" s="1509">
        <f t="shared" si="605"/>
        <v>0</v>
      </c>
      <c r="AG912" s="1509">
        <f t="shared" si="605"/>
        <v>0</v>
      </c>
      <c r="AH912" s="1490">
        <f t="shared" si="571"/>
        <v>10.7</v>
      </c>
      <c r="AI912" s="1636">
        <f t="shared" si="606"/>
        <v>0</v>
      </c>
      <c r="AJ912" s="1636">
        <f t="shared" si="607"/>
        <v>0</v>
      </c>
      <c r="AK912" s="1636">
        <f t="shared" si="608"/>
        <v>0</v>
      </c>
      <c r="AL912" s="1636">
        <f t="shared" si="593"/>
        <v>0</v>
      </c>
      <c r="AM912" s="1636">
        <f t="shared" si="593"/>
        <v>0</v>
      </c>
      <c r="AN912" s="1637"/>
      <c r="AO912" s="1723"/>
      <c r="AP912" s="1502"/>
      <c r="AQ912" s="1638"/>
      <c r="AR912" s="1638"/>
      <c r="AS912" s="1639"/>
      <c r="AT912" s="1638"/>
      <c r="AU912" s="1638"/>
      <c r="AV912" s="1638"/>
      <c r="AW912" s="1639"/>
      <c r="AX912" s="1640"/>
      <c r="AY912" s="1640"/>
      <c r="AZ912" s="1640"/>
      <c r="BA912" s="1641"/>
      <c r="BB912" s="1640"/>
      <c r="BC912" s="1640"/>
      <c r="BD912" s="1640"/>
      <c r="BE912" s="1644"/>
      <c r="BF912" s="1640"/>
      <c r="BG912" s="1640"/>
      <c r="BH912" s="1502"/>
      <c r="BI912" s="1641"/>
      <c r="BJ912" s="1640"/>
      <c r="BK912" s="1640"/>
      <c r="BL912" s="1640"/>
      <c r="BM912" s="1641"/>
      <c r="BN912" s="1640"/>
      <c r="BO912" s="1640"/>
      <c r="BP912" s="1640"/>
      <c r="BQ912" s="1641">
        <v>25</v>
      </c>
      <c r="BR912" s="1640"/>
      <c r="BS912" s="1640"/>
      <c r="BT912" s="1640"/>
      <c r="BU912" s="1641"/>
      <c r="BV912" s="1640"/>
      <c r="BW912" s="1640"/>
      <c r="BX912" s="1640"/>
      <c r="BY912" s="1641"/>
      <c r="BZ912" s="1645"/>
      <c r="CA912" s="1640"/>
      <c r="CB912" s="1640"/>
      <c r="CC912" s="1641"/>
      <c r="CD912" s="1640"/>
      <c r="CE912" s="1640"/>
      <c r="CF912" s="1640"/>
      <c r="CG912" s="1512"/>
      <c r="CH912" s="1641">
        <f t="shared" si="582"/>
        <v>10.7</v>
      </c>
      <c r="CI912" s="1641">
        <f t="shared" si="582"/>
        <v>0</v>
      </c>
      <c r="CJ912" s="1641">
        <f t="shared" si="582"/>
        <v>0</v>
      </c>
      <c r="CK912" s="1641">
        <f t="shared" si="575"/>
        <v>0</v>
      </c>
      <c r="CL912" s="1889">
        <v>10.7</v>
      </c>
      <c r="CM912" s="1889">
        <v>0</v>
      </c>
      <c r="CN912" s="1889">
        <v>0</v>
      </c>
      <c r="CO912" s="1889">
        <v>0</v>
      </c>
      <c r="CP912" s="1641"/>
      <c r="CQ912" s="1640"/>
      <c r="CR912" s="1640"/>
      <c r="CS912" s="1640"/>
    </row>
    <row r="913" spans="1:107" ht="15" thickBot="1" x14ac:dyDescent="0.2">
      <c r="A913" s="1541" t="s">
        <v>91</v>
      </c>
      <c r="B913" s="1523" t="s">
        <v>79</v>
      </c>
      <c r="C913" s="1523" t="s">
        <v>80</v>
      </c>
      <c r="D913" s="1523" t="s">
        <v>125</v>
      </c>
      <c r="E913" s="1523" t="s">
        <v>216</v>
      </c>
      <c r="F913" s="1523"/>
      <c r="G913" s="1667">
        <v>226</v>
      </c>
      <c r="H913" s="1502">
        <f>35+8+1594.8+892.1-431.373-U913</f>
        <v>2098.527</v>
      </c>
      <c r="I913" s="1645">
        <f>690.06+182.7</f>
        <v>872.76</v>
      </c>
      <c r="J913" s="1630">
        <v>400</v>
      </c>
      <c r="K913" s="1502">
        <v>193.24299999999999</v>
      </c>
      <c r="L913" s="1503"/>
      <c r="M913" s="1503"/>
      <c r="N913" s="1503"/>
      <c r="O913" s="1503"/>
      <c r="P913" s="1503"/>
      <c r="Q913" s="1503"/>
      <c r="R913" s="1503"/>
      <c r="S913" s="1503"/>
      <c r="T913" s="1504"/>
      <c r="U913" s="1505"/>
      <c r="V913" s="1505"/>
      <c r="W913" s="1506"/>
      <c r="X913" s="1506"/>
      <c r="Y913" s="1506"/>
      <c r="Z913" s="1507"/>
      <c r="AA913" s="1634">
        <f t="shared" si="600"/>
        <v>0</v>
      </c>
      <c r="AB913" s="1506"/>
      <c r="AC913" s="1508">
        <f t="shared" si="603"/>
        <v>2098.527</v>
      </c>
      <c r="AD913" s="1509">
        <f t="shared" si="604"/>
        <v>1466.0029999999999</v>
      </c>
      <c r="AE913" s="1509">
        <f t="shared" si="605"/>
        <v>872.76</v>
      </c>
      <c r="AF913" s="1509">
        <f t="shared" si="605"/>
        <v>400</v>
      </c>
      <c r="AG913" s="1509">
        <f t="shared" si="605"/>
        <v>193.24299999999999</v>
      </c>
      <c r="AH913" s="1490">
        <f t="shared" si="571"/>
        <v>102.754</v>
      </c>
      <c r="AI913" s="1636">
        <f t="shared" si="606"/>
        <v>0</v>
      </c>
      <c r="AJ913" s="1636">
        <f t="shared" si="607"/>
        <v>0</v>
      </c>
      <c r="AK913" s="1636">
        <f t="shared" si="608"/>
        <v>0</v>
      </c>
      <c r="AL913" s="1636">
        <f t="shared" si="593"/>
        <v>0</v>
      </c>
      <c r="AM913" s="1636">
        <f t="shared" si="593"/>
        <v>0</v>
      </c>
      <c r="AN913" s="1637"/>
      <c r="AO913" s="1723">
        <f>892.1+1500</f>
        <v>2392.1</v>
      </c>
      <c r="AP913" s="1502"/>
      <c r="AQ913" s="1638"/>
      <c r="AR913" s="1638"/>
      <c r="AS913" s="1639"/>
      <c r="AT913" s="1638"/>
      <c r="AU913" s="1638"/>
      <c r="AV913" s="1638"/>
      <c r="AW913" s="1639"/>
      <c r="AX913" s="1640"/>
      <c r="AY913" s="1640"/>
      <c r="AZ913" s="1640"/>
      <c r="BA913" s="1641"/>
      <c r="BB913" s="1640"/>
      <c r="BC913" s="1640"/>
      <c r="BD913" s="1640"/>
      <c r="BE913" s="1644"/>
      <c r="BF913" s="1640"/>
      <c r="BG913" s="1640"/>
      <c r="BH913" s="1502">
        <v>193.24299999999999</v>
      </c>
      <c r="BI913" s="1641">
        <v>-431.37299999999999</v>
      </c>
      <c r="BJ913" s="1640"/>
      <c r="BK913" s="1640"/>
      <c r="BL913" s="1640"/>
      <c r="BM913" s="1641"/>
      <c r="BN913" s="1640"/>
      <c r="BO913" s="1640"/>
      <c r="BP913" s="1640"/>
      <c r="BQ913" s="1641">
        <v>35.045999999999999</v>
      </c>
      <c r="BR913" s="1640"/>
      <c r="BS913" s="1640"/>
      <c r="BT913" s="1640"/>
      <c r="BU913" s="1641"/>
      <c r="BV913" s="1640"/>
      <c r="BW913" s="1640">
        <v>400</v>
      </c>
      <c r="BX913" s="1640"/>
      <c r="BY913" s="1641"/>
      <c r="BZ913" s="1645">
        <v>690.06</v>
      </c>
      <c r="CA913" s="1640"/>
      <c r="CB913" s="1640"/>
      <c r="CC913" s="1641"/>
      <c r="CD913" s="1640"/>
      <c r="CE913" s="1640"/>
      <c r="CF913" s="1640"/>
      <c r="CG913" s="1512"/>
      <c r="CH913" s="1641">
        <f t="shared" si="582"/>
        <v>102.754</v>
      </c>
      <c r="CI913" s="1641">
        <f t="shared" si="582"/>
        <v>182.7</v>
      </c>
      <c r="CJ913" s="1641">
        <f t="shared" si="582"/>
        <v>0</v>
      </c>
      <c r="CK913" s="1641">
        <f t="shared" si="575"/>
        <v>0</v>
      </c>
      <c r="CL913" s="1889">
        <v>102.754</v>
      </c>
      <c r="CM913" s="1889">
        <v>0</v>
      </c>
      <c r="CN913" s="1889">
        <v>0</v>
      </c>
      <c r="CO913" s="1889">
        <v>0</v>
      </c>
      <c r="CP913" s="1641"/>
      <c r="CQ913" s="1640">
        <v>182.7</v>
      </c>
      <c r="CR913" s="1640"/>
      <c r="CS913" s="1640"/>
    </row>
    <row r="914" spans="1:107" ht="15" thickBot="1" x14ac:dyDescent="0.2">
      <c r="A914" s="1541" t="s">
        <v>94</v>
      </c>
      <c r="B914" s="1523" t="s">
        <v>79</v>
      </c>
      <c r="C914" s="1523" t="s">
        <v>80</v>
      </c>
      <c r="D914" s="1523" t="s">
        <v>125</v>
      </c>
      <c r="E914" s="1523" t="s">
        <v>216</v>
      </c>
      <c r="F914" s="1523"/>
      <c r="G914" s="1667">
        <v>290</v>
      </c>
      <c r="H914" s="1502">
        <v>243.8</v>
      </c>
      <c r="I914" s="1645"/>
      <c r="J914" s="1630"/>
      <c r="K914" s="1502"/>
      <c r="L914" s="1503"/>
      <c r="M914" s="1503"/>
      <c r="N914" s="1503"/>
      <c r="O914" s="1503"/>
      <c r="P914" s="1503"/>
      <c r="Q914" s="1503"/>
      <c r="R914" s="1503"/>
      <c r="S914" s="1503"/>
      <c r="T914" s="1504"/>
      <c r="U914" s="1505"/>
      <c r="V914" s="1505"/>
      <c r="W914" s="1506"/>
      <c r="X914" s="1506"/>
      <c r="Y914" s="1506"/>
      <c r="Z914" s="1507"/>
      <c r="AA914" s="1634">
        <f t="shared" si="600"/>
        <v>0</v>
      </c>
      <c r="AB914" s="1506"/>
      <c r="AC914" s="1508">
        <f t="shared" si="603"/>
        <v>243.8</v>
      </c>
      <c r="AD914" s="1509">
        <f t="shared" si="604"/>
        <v>0</v>
      </c>
      <c r="AE914" s="1509">
        <f t="shared" si="605"/>
        <v>0</v>
      </c>
      <c r="AF914" s="1509">
        <f t="shared" si="605"/>
        <v>0</v>
      </c>
      <c r="AG914" s="1509">
        <f t="shared" si="605"/>
        <v>0</v>
      </c>
      <c r="AH914" s="1490">
        <f t="shared" si="571"/>
        <v>60.5</v>
      </c>
      <c r="AI914" s="1636">
        <f t="shared" si="606"/>
        <v>0</v>
      </c>
      <c r="AJ914" s="1636">
        <f t="shared" si="607"/>
        <v>0</v>
      </c>
      <c r="AK914" s="1636">
        <f t="shared" si="608"/>
        <v>0</v>
      </c>
      <c r="AL914" s="1636">
        <f t="shared" si="593"/>
        <v>0</v>
      </c>
      <c r="AM914" s="1636">
        <f t="shared" si="593"/>
        <v>0</v>
      </c>
      <c r="AN914" s="1637"/>
      <c r="AO914" s="1722">
        <v>20.3</v>
      </c>
      <c r="AP914" s="1502"/>
      <c r="AQ914" s="1638"/>
      <c r="AR914" s="1638"/>
      <c r="AS914" s="1639"/>
      <c r="AT914" s="1638"/>
      <c r="AU914" s="1638"/>
      <c r="AV914" s="1638"/>
      <c r="AW914" s="1639"/>
      <c r="AX914" s="1640"/>
      <c r="AY914" s="1640"/>
      <c r="AZ914" s="1640"/>
      <c r="BA914" s="1641"/>
      <c r="BB914" s="1640"/>
      <c r="BC914" s="1640"/>
      <c r="BD914" s="1640"/>
      <c r="BE914" s="1644">
        <v>61</v>
      </c>
      <c r="BF914" s="1640"/>
      <c r="BG914" s="1640"/>
      <c r="BH914" s="1640"/>
      <c r="BI914" s="1641"/>
      <c r="BJ914" s="1640"/>
      <c r="BK914" s="1640"/>
      <c r="BL914" s="1640"/>
      <c r="BM914" s="1641"/>
      <c r="BN914" s="1640"/>
      <c r="BO914" s="1640"/>
      <c r="BP914" s="1640"/>
      <c r="BQ914" s="1641"/>
      <c r="BR914" s="1640"/>
      <c r="BS914" s="1640"/>
      <c r="BT914" s="1640"/>
      <c r="BU914" s="1641">
        <v>102</v>
      </c>
      <c r="BV914" s="1640"/>
      <c r="BW914" s="1640"/>
      <c r="BX914" s="1640"/>
      <c r="BY914" s="1641"/>
      <c r="BZ914" s="1640"/>
      <c r="CA914" s="1640"/>
      <c r="CB914" s="1640"/>
      <c r="CC914" s="1641"/>
      <c r="CD914" s="1640"/>
      <c r="CE914" s="1640"/>
      <c r="CF914" s="1640"/>
      <c r="CG914" s="1512"/>
      <c r="CH914" s="1641">
        <f t="shared" si="582"/>
        <v>60.5</v>
      </c>
      <c r="CI914" s="1641">
        <f t="shared" si="582"/>
        <v>0</v>
      </c>
      <c r="CJ914" s="1641">
        <f t="shared" si="582"/>
        <v>0</v>
      </c>
      <c r="CK914" s="1641">
        <f t="shared" si="575"/>
        <v>0</v>
      </c>
      <c r="CL914" s="1889">
        <v>60.5</v>
      </c>
      <c r="CM914" s="1889">
        <v>0</v>
      </c>
      <c r="CN914" s="1889">
        <v>0</v>
      </c>
      <c r="CO914" s="1889">
        <v>0</v>
      </c>
      <c r="CP914" s="1641"/>
      <c r="CQ914" s="1640"/>
      <c r="CR914" s="1640"/>
      <c r="CS914" s="1640"/>
    </row>
    <row r="915" spans="1:107" ht="15" thickBot="1" x14ac:dyDescent="0.2">
      <c r="A915" s="1541" t="s">
        <v>94</v>
      </c>
      <c r="B915" s="1523" t="s">
        <v>79</v>
      </c>
      <c r="C915" s="1523" t="s">
        <v>80</v>
      </c>
      <c r="D915" s="1523" t="s">
        <v>125</v>
      </c>
      <c r="E915" s="1523" t="s">
        <v>216</v>
      </c>
      <c r="F915" s="1523"/>
      <c r="G915" s="1667" t="s">
        <v>95</v>
      </c>
      <c r="H915" s="1502"/>
      <c r="I915" s="1645"/>
      <c r="J915" s="1630"/>
      <c r="K915" s="1502"/>
      <c r="L915" s="1503"/>
      <c r="M915" s="1503"/>
      <c r="N915" s="1503"/>
      <c r="O915" s="1503"/>
      <c r="P915" s="1503"/>
      <c r="Q915" s="1503"/>
      <c r="R915" s="1503"/>
      <c r="S915" s="1503"/>
      <c r="T915" s="1504"/>
      <c r="U915" s="1505"/>
      <c r="V915" s="1505"/>
      <c r="W915" s="1506"/>
      <c r="X915" s="1506"/>
      <c r="Y915" s="1506"/>
      <c r="Z915" s="1507"/>
      <c r="AA915" s="1634">
        <f t="shared" si="600"/>
        <v>0</v>
      </c>
      <c r="AB915" s="1506"/>
      <c r="AC915" s="1508">
        <f t="shared" si="603"/>
        <v>0</v>
      </c>
      <c r="AD915" s="1509">
        <f t="shared" si="604"/>
        <v>0</v>
      </c>
      <c r="AE915" s="1509">
        <f t="shared" si="605"/>
        <v>0</v>
      </c>
      <c r="AF915" s="1509">
        <f t="shared" si="605"/>
        <v>0</v>
      </c>
      <c r="AG915" s="1509">
        <f t="shared" si="605"/>
        <v>0</v>
      </c>
      <c r="AH915" s="1490">
        <f t="shared" si="571"/>
        <v>0</v>
      </c>
      <c r="AI915" s="1636">
        <f t="shared" si="606"/>
        <v>0</v>
      </c>
      <c r="AJ915" s="1636">
        <f t="shared" si="607"/>
        <v>0</v>
      </c>
      <c r="AK915" s="1636">
        <f t="shared" si="608"/>
        <v>0</v>
      </c>
      <c r="AL915" s="1636">
        <f t="shared" si="593"/>
        <v>0</v>
      </c>
      <c r="AM915" s="1636">
        <f t="shared" si="593"/>
        <v>0</v>
      </c>
      <c r="AN915" s="1637"/>
      <c r="AO915" s="1722">
        <v>0</v>
      </c>
      <c r="AP915" s="1502"/>
      <c r="AQ915" s="1638"/>
      <c r="AR915" s="1638"/>
      <c r="AS915" s="1639"/>
      <c r="AT915" s="1638"/>
      <c r="AU915" s="1638"/>
      <c r="AV915" s="1638"/>
      <c r="AW915" s="1639"/>
      <c r="AX915" s="1640"/>
      <c r="AY915" s="1640"/>
      <c r="AZ915" s="1640"/>
      <c r="BA915" s="1641"/>
      <c r="BB915" s="1640"/>
      <c r="BC915" s="1640"/>
      <c r="BD915" s="1640"/>
      <c r="BE915" s="1644"/>
      <c r="BF915" s="1640"/>
      <c r="BG915" s="1640"/>
      <c r="BH915" s="1640"/>
      <c r="BI915" s="1641"/>
      <c r="BJ915" s="1640"/>
      <c r="BK915" s="1640"/>
      <c r="BL915" s="1640"/>
      <c r="BM915" s="1641"/>
      <c r="BN915" s="1640"/>
      <c r="BO915" s="1640"/>
      <c r="BP915" s="1640"/>
      <c r="BQ915" s="1641"/>
      <c r="BR915" s="1640"/>
      <c r="BS915" s="1640"/>
      <c r="BT915" s="1640"/>
      <c r="BU915" s="1641"/>
      <c r="BV915" s="1640"/>
      <c r="BW915" s="1640"/>
      <c r="BX915" s="1640"/>
      <c r="BY915" s="1641"/>
      <c r="BZ915" s="1640"/>
      <c r="CA915" s="1640"/>
      <c r="CB915" s="1640"/>
      <c r="CC915" s="1641"/>
      <c r="CD915" s="1640"/>
      <c r="CE915" s="1640"/>
      <c r="CF915" s="1640"/>
      <c r="CG915" s="1512"/>
      <c r="CH915" s="1641">
        <f t="shared" si="582"/>
        <v>0</v>
      </c>
      <c r="CI915" s="1641">
        <f t="shared" si="582"/>
        <v>0</v>
      </c>
      <c r="CJ915" s="1641">
        <f t="shared" si="582"/>
        <v>0</v>
      </c>
      <c r="CK915" s="1641">
        <f t="shared" si="575"/>
        <v>0</v>
      </c>
      <c r="CL915" s="1889">
        <v>0</v>
      </c>
      <c r="CM915" s="1889">
        <v>0</v>
      </c>
      <c r="CN915" s="1889">
        <v>0</v>
      </c>
      <c r="CO915" s="1889">
        <v>0</v>
      </c>
      <c r="CP915" s="1641"/>
      <c r="CQ915" s="1640"/>
      <c r="CR915" s="1640"/>
      <c r="CS915" s="1640"/>
    </row>
    <row r="916" spans="1:107" ht="15" thickBot="1" x14ac:dyDescent="0.2">
      <c r="A916" s="1541" t="s">
        <v>96</v>
      </c>
      <c r="B916" s="1523" t="s">
        <v>79</v>
      </c>
      <c r="C916" s="1523" t="s">
        <v>80</v>
      </c>
      <c r="D916" s="1523" t="s">
        <v>125</v>
      </c>
      <c r="E916" s="1523" t="s">
        <v>216</v>
      </c>
      <c r="F916" s="1523"/>
      <c r="G916" s="1667">
        <v>310</v>
      </c>
      <c r="H916" s="1646"/>
      <c r="I916" s="1645">
        <f>3925-U916</f>
        <v>0</v>
      </c>
      <c r="J916" s="1630"/>
      <c r="K916" s="1502"/>
      <c r="L916" s="1503"/>
      <c r="M916" s="1503"/>
      <c r="N916" s="1503"/>
      <c r="O916" s="1503"/>
      <c r="P916" s="1503"/>
      <c r="Q916" s="1503"/>
      <c r="R916" s="1503"/>
      <c r="S916" s="1503"/>
      <c r="T916" s="1504"/>
      <c r="U916" s="1505">
        <v>3925</v>
      </c>
      <c r="V916" s="1505"/>
      <c r="W916" s="1506"/>
      <c r="X916" s="1506"/>
      <c r="Y916" s="1506"/>
      <c r="Z916" s="1507"/>
      <c r="AA916" s="1634">
        <f t="shared" si="600"/>
        <v>0</v>
      </c>
      <c r="AB916" s="1506"/>
      <c r="AC916" s="1508">
        <f t="shared" si="603"/>
        <v>0</v>
      </c>
      <c r="AD916" s="1509">
        <f t="shared" si="604"/>
        <v>0</v>
      </c>
      <c r="AE916" s="1509">
        <f t="shared" si="605"/>
        <v>0</v>
      </c>
      <c r="AF916" s="1509">
        <f t="shared" si="605"/>
        <v>0</v>
      </c>
      <c r="AG916" s="1509">
        <f t="shared" si="605"/>
        <v>0</v>
      </c>
      <c r="AH916" s="1490">
        <f t="shared" si="571"/>
        <v>0</v>
      </c>
      <c r="AI916" s="1636">
        <f t="shared" si="606"/>
        <v>0</v>
      </c>
      <c r="AJ916" s="1636">
        <f t="shared" si="607"/>
        <v>0</v>
      </c>
      <c r="AK916" s="1636">
        <f t="shared" si="608"/>
        <v>0</v>
      </c>
      <c r="AL916" s="1636">
        <f t="shared" si="593"/>
        <v>0</v>
      </c>
      <c r="AM916" s="1636">
        <f t="shared" si="593"/>
        <v>0</v>
      </c>
      <c r="AN916" s="1637"/>
      <c r="AO916" s="1723"/>
      <c r="AP916" s="1502"/>
      <c r="AQ916" s="1638"/>
      <c r="AR916" s="1638"/>
      <c r="AS916" s="1639"/>
      <c r="AT916" s="1638"/>
      <c r="AU916" s="1638"/>
      <c r="AV916" s="1638"/>
      <c r="AW916" s="1639"/>
      <c r="AX916" s="1640"/>
      <c r="AY916" s="1640"/>
      <c r="AZ916" s="1640"/>
      <c r="BA916" s="1641"/>
      <c r="BB916" s="1640"/>
      <c r="BC916" s="1640"/>
      <c r="BD916" s="1640"/>
      <c r="BE916" s="1644"/>
      <c r="BF916" s="1640"/>
      <c r="BG916" s="1640"/>
      <c r="BH916" s="1640"/>
      <c r="BI916" s="1641"/>
      <c r="BJ916" s="1640"/>
      <c r="BK916" s="1640"/>
      <c r="BL916" s="1640"/>
      <c r="BM916" s="1641"/>
      <c r="BN916" s="1640"/>
      <c r="BO916" s="1640"/>
      <c r="BP916" s="1640"/>
      <c r="BQ916" s="1641"/>
      <c r="BR916" s="1640"/>
      <c r="BS916" s="1640"/>
      <c r="BT916" s="1640"/>
      <c r="BU916" s="1641"/>
      <c r="BV916" s="1640"/>
      <c r="BW916" s="1640"/>
      <c r="BX916" s="1640"/>
      <c r="BY916" s="1641"/>
      <c r="BZ916" s="1640"/>
      <c r="CA916" s="1640"/>
      <c r="CB916" s="1640"/>
      <c r="CC916" s="1641"/>
      <c r="CD916" s="1640"/>
      <c r="CE916" s="1640"/>
      <c r="CF916" s="1640"/>
      <c r="CG916" s="1512"/>
      <c r="CH916" s="1641">
        <f t="shared" si="582"/>
        <v>0</v>
      </c>
      <c r="CI916" s="1641">
        <f t="shared" si="582"/>
        <v>0</v>
      </c>
      <c r="CJ916" s="1641">
        <f t="shared" si="582"/>
        <v>0</v>
      </c>
      <c r="CK916" s="1641">
        <f t="shared" si="575"/>
        <v>0</v>
      </c>
      <c r="CL916" s="1889">
        <v>0</v>
      </c>
      <c r="CM916" s="1889">
        <v>0</v>
      </c>
      <c r="CN916" s="1889">
        <v>0</v>
      </c>
      <c r="CO916" s="1889">
        <v>0</v>
      </c>
      <c r="CP916" s="1641"/>
      <c r="CQ916" s="1640"/>
      <c r="CR916" s="1640"/>
      <c r="CS916" s="1640"/>
    </row>
    <row r="917" spans="1:107" ht="15" thickBot="1" x14ac:dyDescent="0.2">
      <c r="A917" s="1541" t="s">
        <v>97</v>
      </c>
      <c r="B917" s="1523" t="s">
        <v>79</v>
      </c>
      <c r="C917" s="1523" t="s">
        <v>80</v>
      </c>
      <c r="D917" s="1523" t="s">
        <v>125</v>
      </c>
      <c r="E917" s="1523" t="s">
        <v>216</v>
      </c>
      <c r="F917" s="1523"/>
      <c r="G917" s="1667">
        <v>340</v>
      </c>
      <c r="H917" s="1502">
        <v>866.3</v>
      </c>
      <c r="I917" s="1645"/>
      <c r="J917" s="1630"/>
      <c r="K917" s="1502"/>
      <c r="L917" s="1503"/>
      <c r="M917" s="1503"/>
      <c r="N917" s="1503"/>
      <c r="O917" s="1503"/>
      <c r="P917" s="1503"/>
      <c r="Q917" s="1503"/>
      <c r="R917" s="1503"/>
      <c r="S917" s="1503"/>
      <c r="T917" s="1504"/>
      <c r="U917" s="1505"/>
      <c r="V917" s="1505"/>
      <c r="W917" s="1506"/>
      <c r="X917" s="1506"/>
      <c r="Y917" s="1506"/>
      <c r="Z917" s="1507"/>
      <c r="AA917" s="1634">
        <f t="shared" si="600"/>
        <v>0</v>
      </c>
      <c r="AB917" s="1506"/>
      <c r="AC917" s="1508">
        <f t="shared" si="603"/>
        <v>866.3</v>
      </c>
      <c r="AD917" s="1509">
        <f t="shared" si="604"/>
        <v>0</v>
      </c>
      <c r="AE917" s="1509">
        <f t="shared" si="605"/>
        <v>0</v>
      </c>
      <c r="AF917" s="1509">
        <f t="shared" si="605"/>
        <v>0</v>
      </c>
      <c r="AG917" s="1509">
        <f t="shared" si="605"/>
        <v>0</v>
      </c>
      <c r="AH917" s="1490">
        <f t="shared" si="571"/>
        <v>812.3</v>
      </c>
      <c r="AI917" s="1636">
        <f t="shared" si="606"/>
        <v>0</v>
      </c>
      <c r="AJ917" s="1636">
        <f t="shared" si="607"/>
        <v>0</v>
      </c>
      <c r="AK917" s="1636">
        <f t="shared" si="608"/>
        <v>0</v>
      </c>
      <c r="AL917" s="1636">
        <f t="shared" si="593"/>
        <v>0</v>
      </c>
      <c r="AM917" s="1636">
        <f t="shared" si="593"/>
        <v>0</v>
      </c>
      <c r="AN917" s="1637"/>
      <c r="AO917" s="1722">
        <v>54</v>
      </c>
      <c r="AP917" s="1502"/>
      <c r="AQ917" s="1638"/>
      <c r="AR917" s="1638"/>
      <c r="AS917" s="1639"/>
      <c r="AT917" s="1638"/>
      <c r="AU917" s="1638"/>
      <c r="AV917" s="1638"/>
      <c r="AW917" s="1639"/>
      <c r="AX917" s="1640"/>
      <c r="AY917" s="1640"/>
      <c r="AZ917" s="1640"/>
      <c r="BA917" s="1641"/>
      <c r="BB917" s="1640"/>
      <c r="BC917" s="1640"/>
      <c r="BD917" s="1640"/>
      <c r="BE917" s="1644"/>
      <c r="BF917" s="1640"/>
      <c r="BG917" s="1640"/>
      <c r="BH917" s="1640"/>
      <c r="BI917" s="1641"/>
      <c r="BJ917" s="1640"/>
      <c r="BK917" s="1640"/>
      <c r="BL917" s="1640"/>
      <c r="BM917" s="1641"/>
      <c r="BN917" s="1640"/>
      <c r="BO917" s="1640"/>
      <c r="BP917" s="1640"/>
      <c r="BQ917" s="1641"/>
      <c r="BR917" s="1640"/>
      <c r="BS917" s="1640"/>
      <c r="BT917" s="1640"/>
      <c r="BU917" s="1641"/>
      <c r="BV917" s="1640"/>
      <c r="BW917" s="1640"/>
      <c r="BX917" s="1640"/>
      <c r="BY917" s="1641"/>
      <c r="BZ917" s="1640"/>
      <c r="CA917" s="1640"/>
      <c r="CB917" s="1640"/>
      <c r="CC917" s="1641"/>
      <c r="CD917" s="1640"/>
      <c r="CE917" s="1640"/>
      <c r="CF917" s="1640"/>
      <c r="CG917" s="1512"/>
      <c r="CH917" s="1641">
        <f t="shared" si="582"/>
        <v>812.3</v>
      </c>
      <c r="CI917" s="1641">
        <f t="shared" si="582"/>
        <v>0</v>
      </c>
      <c r="CJ917" s="1641">
        <f t="shared" si="582"/>
        <v>0</v>
      </c>
      <c r="CK917" s="1641">
        <f t="shared" si="575"/>
        <v>0</v>
      </c>
      <c r="CL917" s="1889">
        <v>812.3</v>
      </c>
      <c r="CM917" s="1889">
        <v>0</v>
      </c>
      <c r="CN917" s="1889">
        <v>0</v>
      </c>
      <c r="CO917" s="1889">
        <v>0</v>
      </c>
      <c r="CP917" s="1641"/>
      <c r="CQ917" s="1640"/>
      <c r="CR917" s="1640"/>
      <c r="CS917" s="1640"/>
    </row>
    <row r="918" spans="1:107" ht="15" thickBot="1" x14ac:dyDescent="0.2">
      <c r="A918" s="1528" t="s">
        <v>767</v>
      </c>
      <c r="B918" s="1530" t="s">
        <v>79</v>
      </c>
      <c r="C918" s="1530" t="s">
        <v>80</v>
      </c>
      <c r="D918" s="1530" t="s">
        <v>125</v>
      </c>
      <c r="E918" s="1530" t="s">
        <v>216</v>
      </c>
      <c r="F918" s="1530">
        <v>612</v>
      </c>
      <c r="G918" s="1687" t="s">
        <v>766</v>
      </c>
      <c r="H918" s="1647">
        <f>I904</f>
        <v>1442.46</v>
      </c>
      <c r="I918" s="1645"/>
      <c r="J918" s="1630"/>
      <c r="K918" s="1630"/>
      <c r="L918" s="1631"/>
      <c r="M918" s="1631"/>
      <c r="N918" s="1631"/>
      <c r="O918" s="1631"/>
      <c r="P918" s="1631"/>
      <c r="Q918" s="1631"/>
      <c r="R918" s="1631"/>
      <c r="S918" s="1631"/>
      <c r="T918" s="1632"/>
      <c r="U918" s="1633"/>
      <c r="V918" s="1633"/>
      <c r="W918" s="1634"/>
      <c r="X918" s="1634"/>
      <c r="Y918" s="1634"/>
      <c r="Z918" s="1635"/>
      <c r="AA918" s="1634">
        <f t="shared" si="600"/>
        <v>0</v>
      </c>
      <c r="AB918" s="1634"/>
      <c r="AC918" s="1508"/>
      <c r="AD918" s="1509"/>
      <c r="AE918" s="1509"/>
      <c r="AF918" s="1509"/>
      <c r="AG918" s="1509"/>
      <c r="AH918" s="1490">
        <f t="shared" ref="AH918:AH982" si="609">CG918+CL918</f>
        <v>0</v>
      </c>
      <c r="AI918" s="1636"/>
      <c r="AJ918" s="1636"/>
      <c r="AK918" s="1636"/>
      <c r="AL918" s="1636">
        <f t="shared" si="593"/>
        <v>0</v>
      </c>
      <c r="AM918" s="1636"/>
      <c r="AN918" s="1712"/>
      <c r="AO918" s="1998"/>
      <c r="AP918" s="1638"/>
      <c r="AQ918" s="1638"/>
      <c r="AR918" s="1638"/>
      <c r="AS918" s="1639"/>
      <c r="AT918" s="1638"/>
      <c r="AU918" s="1638"/>
      <c r="AV918" s="1638"/>
      <c r="AW918" s="1639"/>
      <c r="AX918" s="1640"/>
      <c r="AY918" s="1640"/>
      <c r="AZ918" s="1640"/>
      <c r="BA918" s="1641"/>
      <c r="BB918" s="1640"/>
      <c r="BC918" s="1640"/>
      <c r="BD918" s="1640"/>
      <c r="BE918" s="1644"/>
      <c r="BF918" s="1640"/>
      <c r="BG918" s="1640"/>
      <c r="BH918" s="1640"/>
      <c r="BI918" s="1641"/>
      <c r="BJ918" s="1640"/>
      <c r="BK918" s="1640"/>
      <c r="BL918" s="1640"/>
      <c r="BM918" s="1641"/>
      <c r="BN918" s="1640"/>
      <c r="BO918" s="1640"/>
      <c r="BP918" s="1640"/>
      <c r="BQ918" s="1641"/>
      <c r="BR918" s="1640"/>
      <c r="BS918" s="1640"/>
      <c r="BT918" s="1640"/>
      <c r="BU918" s="1641"/>
      <c r="BV918" s="1640"/>
      <c r="BW918" s="1640"/>
      <c r="BX918" s="1640"/>
      <c r="BY918" s="1641"/>
      <c r="BZ918" s="1640"/>
      <c r="CA918" s="1640"/>
      <c r="CB918" s="1640"/>
      <c r="CC918" s="1641"/>
      <c r="CD918" s="1640"/>
      <c r="CE918" s="1640"/>
      <c r="CF918" s="1640"/>
      <c r="CG918" s="1642"/>
      <c r="CH918" s="1641">
        <f t="shared" si="582"/>
        <v>0</v>
      </c>
      <c r="CI918" s="1641">
        <f t="shared" si="582"/>
        <v>0</v>
      </c>
      <c r="CJ918" s="1641">
        <f t="shared" si="582"/>
        <v>0</v>
      </c>
      <c r="CK918" s="1641">
        <f t="shared" si="575"/>
        <v>0</v>
      </c>
      <c r="CL918" s="1898"/>
      <c r="CM918" s="1898"/>
      <c r="CN918" s="1889">
        <v>0</v>
      </c>
      <c r="CO918" s="1898"/>
      <c r="CP918" s="1641"/>
      <c r="CQ918" s="1640"/>
      <c r="CR918" s="1640"/>
      <c r="CS918" s="1640"/>
    </row>
    <row r="919" spans="1:107" s="1886" customFormat="1" ht="27" thickBot="1" x14ac:dyDescent="0.2">
      <c r="A919" s="1873" t="s">
        <v>1301</v>
      </c>
      <c r="B919" s="1941" t="s">
        <v>79</v>
      </c>
      <c r="C919" s="1941" t="s">
        <v>80</v>
      </c>
      <c r="D919" s="1941" t="s">
        <v>125</v>
      </c>
      <c r="E919" s="1941" t="s">
        <v>216</v>
      </c>
      <c r="F919" s="1941">
        <v>600</v>
      </c>
      <c r="G919" s="1874"/>
      <c r="H919" s="1606">
        <f>H920+H934</f>
        <v>7819.4999999999991</v>
      </c>
      <c r="I919" s="1606">
        <f>I920+I934</f>
        <v>400</v>
      </c>
      <c r="J919" s="1606">
        <f>J920+J934</f>
        <v>0</v>
      </c>
      <c r="K919" s="1606">
        <f t="shared" ref="K919:CF919" si="610">K920+K934</f>
        <v>200</v>
      </c>
      <c r="L919" s="1607"/>
      <c r="M919" s="1607"/>
      <c r="N919" s="1607"/>
      <c r="O919" s="1607"/>
      <c r="P919" s="1607"/>
      <c r="Q919" s="1607"/>
      <c r="R919" s="1607"/>
      <c r="S919" s="1607"/>
      <c r="T919" s="1608"/>
      <c r="U919" s="1609"/>
      <c r="V919" s="1609"/>
      <c r="W919" s="1610"/>
      <c r="X919" s="1610"/>
      <c r="Y919" s="1610"/>
      <c r="Z919" s="1611"/>
      <c r="AA919" s="1634">
        <f>AB919-Z919</f>
        <v>0</v>
      </c>
      <c r="AB919" s="1610"/>
      <c r="AC919" s="1612">
        <f t="shared" si="610"/>
        <v>7419.5000000000009</v>
      </c>
      <c r="AD919" s="1612">
        <f t="shared" si="610"/>
        <v>600</v>
      </c>
      <c r="AE919" s="1612">
        <f t="shared" si="610"/>
        <v>400</v>
      </c>
      <c r="AF919" s="1612">
        <f t="shared" si="610"/>
        <v>0</v>
      </c>
      <c r="AG919" s="1612">
        <f t="shared" si="610"/>
        <v>200</v>
      </c>
      <c r="AH919" s="1490">
        <f t="shared" si="609"/>
        <v>291.66199999999998</v>
      </c>
      <c r="AI919" s="1613">
        <f t="shared" si="610"/>
        <v>0</v>
      </c>
      <c r="AJ919" s="1613">
        <f t="shared" si="610"/>
        <v>0</v>
      </c>
      <c r="AK919" s="1613">
        <f t="shared" si="610"/>
        <v>0</v>
      </c>
      <c r="AL919" s="1636">
        <f t="shared" si="593"/>
        <v>0</v>
      </c>
      <c r="AM919" s="1613">
        <f t="shared" si="610"/>
        <v>0</v>
      </c>
      <c r="AN919" s="1614"/>
      <c r="AO919" s="1606">
        <f t="shared" si="610"/>
        <v>595</v>
      </c>
      <c r="AP919" s="1606">
        <f t="shared" si="610"/>
        <v>0</v>
      </c>
      <c r="AQ919" s="1606">
        <f t="shared" si="610"/>
        <v>0</v>
      </c>
      <c r="AR919" s="1606">
        <f t="shared" si="610"/>
        <v>0</v>
      </c>
      <c r="AS919" s="1611">
        <f t="shared" si="610"/>
        <v>592.79999999999995</v>
      </c>
      <c r="AT919" s="1606">
        <f t="shared" si="610"/>
        <v>0</v>
      </c>
      <c r="AU919" s="1606">
        <f t="shared" si="610"/>
        <v>0</v>
      </c>
      <c r="AV919" s="1606">
        <f t="shared" si="610"/>
        <v>0</v>
      </c>
      <c r="AW919" s="1611">
        <f t="shared" si="610"/>
        <v>560.9</v>
      </c>
      <c r="AX919" s="1606">
        <f t="shared" si="610"/>
        <v>0</v>
      </c>
      <c r="AY919" s="1606">
        <f t="shared" si="610"/>
        <v>0</v>
      </c>
      <c r="AZ919" s="1606">
        <f t="shared" si="610"/>
        <v>0</v>
      </c>
      <c r="BA919" s="1614">
        <f t="shared" si="610"/>
        <v>560.9</v>
      </c>
      <c r="BB919" s="1606">
        <f t="shared" si="610"/>
        <v>0</v>
      </c>
      <c r="BC919" s="1606">
        <f t="shared" si="610"/>
        <v>0</v>
      </c>
      <c r="BD919" s="1606">
        <f t="shared" si="610"/>
        <v>0</v>
      </c>
      <c r="BE919" s="1615">
        <f t="shared" si="610"/>
        <v>571.79999999999995</v>
      </c>
      <c r="BF919" s="1606">
        <f t="shared" si="610"/>
        <v>0</v>
      </c>
      <c r="BG919" s="1606">
        <f t="shared" si="610"/>
        <v>0</v>
      </c>
      <c r="BH919" s="1606">
        <f t="shared" si="610"/>
        <v>0</v>
      </c>
      <c r="BI919" s="1614">
        <f t="shared" si="610"/>
        <v>190.35</v>
      </c>
      <c r="BJ919" s="1606">
        <f t="shared" si="610"/>
        <v>0</v>
      </c>
      <c r="BK919" s="1606">
        <f t="shared" si="610"/>
        <v>0</v>
      </c>
      <c r="BL919" s="1606">
        <f t="shared" si="610"/>
        <v>0</v>
      </c>
      <c r="BM919" s="1614">
        <f t="shared" si="610"/>
        <v>1614.55</v>
      </c>
      <c r="BN919" s="1606">
        <f t="shared" si="610"/>
        <v>200</v>
      </c>
      <c r="BO919" s="1606">
        <f t="shared" si="610"/>
        <v>0</v>
      </c>
      <c r="BP919" s="1606">
        <f t="shared" si="610"/>
        <v>0</v>
      </c>
      <c r="BQ919" s="1614">
        <f t="shared" si="610"/>
        <v>1204.048</v>
      </c>
      <c r="BR919" s="1606">
        <f t="shared" si="610"/>
        <v>0</v>
      </c>
      <c r="BS919" s="1606">
        <f t="shared" si="610"/>
        <v>0</v>
      </c>
      <c r="BT919" s="1606">
        <f t="shared" si="610"/>
        <v>0</v>
      </c>
      <c r="BU919" s="1614">
        <f t="shared" si="610"/>
        <v>505.90000000000003</v>
      </c>
      <c r="BV919" s="1606">
        <f t="shared" si="610"/>
        <v>0</v>
      </c>
      <c r="BW919" s="1606">
        <f t="shared" si="610"/>
        <v>0</v>
      </c>
      <c r="BX919" s="1606">
        <f t="shared" si="610"/>
        <v>110</v>
      </c>
      <c r="BY919" s="1614">
        <f t="shared" si="610"/>
        <v>69.290000000000006</v>
      </c>
      <c r="BZ919" s="1606">
        <f t="shared" si="610"/>
        <v>0</v>
      </c>
      <c r="CA919" s="1606">
        <f t="shared" si="610"/>
        <v>0</v>
      </c>
      <c r="CB919" s="1606">
        <f t="shared" si="610"/>
        <v>0</v>
      </c>
      <c r="CC919" s="1614">
        <f t="shared" si="610"/>
        <v>662.3</v>
      </c>
      <c r="CD919" s="1606">
        <f t="shared" si="610"/>
        <v>0</v>
      </c>
      <c r="CE919" s="1606">
        <f t="shared" si="610"/>
        <v>0</v>
      </c>
      <c r="CF919" s="1606">
        <f t="shared" si="610"/>
        <v>0</v>
      </c>
      <c r="CG919" s="1616"/>
      <c r="CH919" s="1641">
        <f t="shared" si="582"/>
        <v>291.66199999999998</v>
      </c>
      <c r="CI919" s="1641">
        <f t="shared" si="582"/>
        <v>200</v>
      </c>
      <c r="CJ919" s="1641">
        <f t="shared" si="582"/>
        <v>0</v>
      </c>
      <c r="CK919" s="1641">
        <f t="shared" si="575"/>
        <v>90</v>
      </c>
      <c r="CL919" s="1943">
        <v>291.66199999999998</v>
      </c>
      <c r="CM919" s="1943">
        <v>200</v>
      </c>
      <c r="CN919" s="1889">
        <v>0</v>
      </c>
      <c r="CO919" s="1943">
        <v>90</v>
      </c>
      <c r="CP919" s="1614">
        <f>CP920+CP934</f>
        <v>0</v>
      </c>
      <c r="CQ919" s="1606">
        <f>CQ920+CQ934</f>
        <v>0</v>
      </c>
      <c r="CR919" s="1606">
        <f>CR920+CR934</f>
        <v>0</v>
      </c>
      <c r="CS919" s="1606">
        <f>CS920+CS934</f>
        <v>0</v>
      </c>
      <c r="CT919" s="1885"/>
      <c r="CU919" s="1885"/>
      <c r="CV919" s="1885"/>
      <c r="CW919" s="1885"/>
      <c r="CY919" s="1885"/>
    </row>
    <row r="920" spans="1:107" ht="53" thickBot="1" x14ac:dyDescent="0.2">
      <c r="A920" s="1748" t="s">
        <v>1135</v>
      </c>
      <c r="B920" s="1749" t="s">
        <v>79</v>
      </c>
      <c r="C920" s="1749" t="s">
        <v>80</v>
      </c>
      <c r="D920" s="1749" t="s">
        <v>125</v>
      </c>
      <c r="E920" s="1749" t="s">
        <v>216</v>
      </c>
      <c r="F920" s="1749" t="s">
        <v>765</v>
      </c>
      <c r="G920" s="1600" t="s">
        <v>766</v>
      </c>
      <c r="H920" s="1531">
        <f>H921+H922+H923+H924+H925+H926+H927+H928+H929+H930+H931+H932+H933</f>
        <v>7419.4999999999991</v>
      </c>
      <c r="I920" s="1531">
        <f>I921+I922+I923+I924+I925+I926+I927+I928+I929+I930+I931+I932+I933</f>
        <v>400</v>
      </c>
      <c r="J920" s="1531">
        <f>J921+J922+J923+J924+J925+J926+J927+J928+J929+J930+J931+J932+J933</f>
        <v>0</v>
      </c>
      <c r="K920" s="1531">
        <f t="shared" ref="K920:CF920" si="611">K921+K922+K923+K924+K925+K926+K927+K928+K929+K930+K931+K932+K933</f>
        <v>200</v>
      </c>
      <c r="L920" s="1601"/>
      <c r="M920" s="1601"/>
      <c r="N920" s="1601"/>
      <c r="O920" s="1601"/>
      <c r="P920" s="1601"/>
      <c r="Q920" s="1601"/>
      <c r="R920" s="1601"/>
      <c r="S920" s="1601"/>
      <c r="T920" s="1602"/>
      <c r="U920" s="1533"/>
      <c r="V920" s="1533"/>
      <c r="W920" s="1534"/>
      <c r="X920" s="1534"/>
      <c r="Y920" s="1534"/>
      <c r="Z920" s="1535"/>
      <c r="AA920" s="1634">
        <f t="shared" ref="AA920:AA938" si="612">AB920-Z920</f>
        <v>0</v>
      </c>
      <c r="AB920" s="1534"/>
      <c r="AC920" s="1603">
        <f t="shared" si="611"/>
        <v>7419.5000000000009</v>
      </c>
      <c r="AD920" s="1603">
        <f t="shared" si="611"/>
        <v>600</v>
      </c>
      <c r="AE920" s="1603">
        <f t="shared" si="611"/>
        <v>400</v>
      </c>
      <c r="AF920" s="1603">
        <f t="shared" si="611"/>
        <v>0</v>
      </c>
      <c r="AG920" s="1603">
        <f t="shared" si="611"/>
        <v>200</v>
      </c>
      <c r="AH920" s="1490">
        <f t="shared" si="609"/>
        <v>291.66199999999998</v>
      </c>
      <c r="AI920" s="1592">
        <f t="shared" si="611"/>
        <v>0</v>
      </c>
      <c r="AJ920" s="1592">
        <f t="shared" si="611"/>
        <v>0</v>
      </c>
      <c r="AK920" s="1592">
        <f t="shared" si="611"/>
        <v>0</v>
      </c>
      <c r="AL920" s="1636">
        <f t="shared" si="593"/>
        <v>0</v>
      </c>
      <c r="AM920" s="1592">
        <f t="shared" si="611"/>
        <v>0</v>
      </c>
      <c r="AN920" s="1706"/>
      <c r="AO920" s="1707">
        <f t="shared" si="611"/>
        <v>595</v>
      </c>
      <c r="AP920" s="1531">
        <f t="shared" si="611"/>
        <v>0</v>
      </c>
      <c r="AQ920" s="1531">
        <f t="shared" si="611"/>
        <v>0</v>
      </c>
      <c r="AR920" s="1531">
        <f t="shared" si="611"/>
        <v>0</v>
      </c>
      <c r="AS920" s="1535">
        <f t="shared" si="611"/>
        <v>592.79999999999995</v>
      </c>
      <c r="AT920" s="1531">
        <f t="shared" si="611"/>
        <v>0</v>
      </c>
      <c r="AU920" s="1531">
        <f t="shared" si="611"/>
        <v>0</v>
      </c>
      <c r="AV920" s="1531">
        <f t="shared" si="611"/>
        <v>0</v>
      </c>
      <c r="AW920" s="1535">
        <f t="shared" si="611"/>
        <v>560.9</v>
      </c>
      <c r="AX920" s="1531">
        <f t="shared" si="611"/>
        <v>0</v>
      </c>
      <c r="AY920" s="1531">
        <f t="shared" si="611"/>
        <v>0</v>
      </c>
      <c r="AZ920" s="1531">
        <f t="shared" si="611"/>
        <v>0</v>
      </c>
      <c r="BA920" s="1538">
        <f t="shared" si="611"/>
        <v>560.9</v>
      </c>
      <c r="BB920" s="1531">
        <f t="shared" si="611"/>
        <v>0</v>
      </c>
      <c r="BC920" s="1531">
        <f t="shared" si="611"/>
        <v>0</v>
      </c>
      <c r="BD920" s="1531">
        <f t="shared" si="611"/>
        <v>0</v>
      </c>
      <c r="BE920" s="1539">
        <f t="shared" si="611"/>
        <v>571.79999999999995</v>
      </c>
      <c r="BF920" s="1531">
        <f t="shared" si="611"/>
        <v>0</v>
      </c>
      <c r="BG920" s="1531">
        <f t="shared" si="611"/>
        <v>0</v>
      </c>
      <c r="BH920" s="1531">
        <f t="shared" si="611"/>
        <v>0</v>
      </c>
      <c r="BI920" s="1538">
        <f t="shared" si="611"/>
        <v>190.35</v>
      </c>
      <c r="BJ920" s="1531">
        <f t="shared" si="611"/>
        <v>0</v>
      </c>
      <c r="BK920" s="1531">
        <f t="shared" si="611"/>
        <v>0</v>
      </c>
      <c r="BL920" s="1531">
        <f t="shared" si="611"/>
        <v>0</v>
      </c>
      <c r="BM920" s="1538">
        <f t="shared" si="611"/>
        <v>1614.55</v>
      </c>
      <c r="BN920" s="1531">
        <f t="shared" si="611"/>
        <v>200</v>
      </c>
      <c r="BO920" s="1531">
        <f t="shared" si="611"/>
        <v>0</v>
      </c>
      <c r="BP920" s="1531">
        <f t="shared" si="611"/>
        <v>0</v>
      </c>
      <c r="BQ920" s="1538">
        <f t="shared" si="611"/>
        <v>1204.048</v>
      </c>
      <c r="BR920" s="1531">
        <f t="shared" si="611"/>
        <v>0</v>
      </c>
      <c r="BS920" s="1531">
        <f t="shared" si="611"/>
        <v>0</v>
      </c>
      <c r="BT920" s="1531">
        <f t="shared" si="611"/>
        <v>0</v>
      </c>
      <c r="BU920" s="1538">
        <f t="shared" si="611"/>
        <v>505.90000000000003</v>
      </c>
      <c r="BV920" s="1531">
        <f t="shared" si="611"/>
        <v>0</v>
      </c>
      <c r="BW920" s="1531">
        <f t="shared" si="611"/>
        <v>0</v>
      </c>
      <c r="BX920" s="1531">
        <f t="shared" si="611"/>
        <v>110</v>
      </c>
      <c r="BY920" s="1538">
        <f t="shared" si="611"/>
        <v>69.290000000000006</v>
      </c>
      <c r="BZ920" s="1531">
        <f t="shared" si="611"/>
        <v>0</v>
      </c>
      <c r="CA920" s="1531">
        <f t="shared" si="611"/>
        <v>0</v>
      </c>
      <c r="CB920" s="1531">
        <f t="shared" si="611"/>
        <v>0</v>
      </c>
      <c r="CC920" s="1538">
        <f t="shared" si="611"/>
        <v>662.3</v>
      </c>
      <c r="CD920" s="1531">
        <f t="shared" si="611"/>
        <v>0</v>
      </c>
      <c r="CE920" s="1531">
        <f t="shared" si="611"/>
        <v>0</v>
      </c>
      <c r="CF920" s="1531">
        <f t="shared" si="611"/>
        <v>0</v>
      </c>
      <c r="CG920" s="1705"/>
      <c r="CH920" s="1641">
        <f t="shared" si="582"/>
        <v>291.66199999999998</v>
      </c>
      <c r="CI920" s="1641">
        <f t="shared" si="582"/>
        <v>200</v>
      </c>
      <c r="CJ920" s="1641">
        <f t="shared" si="582"/>
        <v>0</v>
      </c>
      <c r="CK920" s="1641">
        <f t="shared" si="582"/>
        <v>90</v>
      </c>
      <c r="CL920" s="1902">
        <v>291.66199999999998</v>
      </c>
      <c r="CM920" s="1902">
        <v>200</v>
      </c>
      <c r="CN920" s="1889">
        <v>0</v>
      </c>
      <c r="CO920" s="1902">
        <v>90</v>
      </c>
      <c r="CP920" s="1538">
        <f>CP921+CP922+CP923+CP924+CP925+CP926+CP927+CP928+CP929+CP930+CP931+CP932+CP933</f>
        <v>0</v>
      </c>
      <c r="CQ920" s="1531">
        <f>CQ921+CQ922+CQ923+CQ924+CQ925+CQ926+CQ927+CQ928+CQ929+CQ930+CQ931+CQ932+CQ933</f>
        <v>0</v>
      </c>
      <c r="CR920" s="1531">
        <f>CR921+CR922+CR923+CR924+CR925+CR926+CR927+CR928+CR929+CR930+CR931+CR932+CR933</f>
        <v>0</v>
      </c>
      <c r="CS920" s="1531">
        <f>CS921+CS922+CS923+CS924+CS925+CS926+CS927+CS928+CS929+CS930+CS931+CS932+CS933</f>
        <v>0</v>
      </c>
    </row>
    <row r="921" spans="1:107" ht="15" thickBot="1" x14ac:dyDescent="0.2">
      <c r="A921" s="1541" t="s">
        <v>78</v>
      </c>
      <c r="B921" s="1523" t="s">
        <v>79</v>
      </c>
      <c r="C921" s="1523" t="s">
        <v>80</v>
      </c>
      <c r="D921" s="1523" t="s">
        <v>125</v>
      </c>
      <c r="E921" s="1523" t="s">
        <v>216</v>
      </c>
      <c r="F921" s="1523"/>
      <c r="G921" s="1667">
        <v>211</v>
      </c>
      <c r="H921" s="1502">
        <v>5169.2</v>
      </c>
      <c r="I921" s="1645"/>
      <c r="J921" s="1630"/>
      <c r="K921" s="1630"/>
      <c r="L921" s="1631"/>
      <c r="M921" s="1631"/>
      <c r="N921" s="1631"/>
      <c r="O921" s="1631"/>
      <c r="P921" s="1631"/>
      <c r="Q921" s="1631"/>
      <c r="R921" s="1631"/>
      <c r="S921" s="1631"/>
      <c r="T921" s="1632"/>
      <c r="U921" s="1633"/>
      <c r="V921" s="1633"/>
      <c r="W921" s="1634"/>
      <c r="X921" s="1634"/>
      <c r="Y921" s="1634"/>
      <c r="Z921" s="1635">
        <v>329.1</v>
      </c>
      <c r="AA921" s="1634">
        <f t="shared" si="612"/>
        <v>-329.1</v>
      </c>
      <c r="AB921" s="1511">
        <f>AI921</f>
        <v>0</v>
      </c>
      <c r="AC921" s="1508">
        <f t="shared" ref="AC921:AC933" si="613">AO921+AS921+AW921+BA921+BE921+BI921+BM921+BQ921+BU921+BY921+CC921+CH921</f>
        <v>5169.2000000000007</v>
      </c>
      <c r="AD921" s="1509">
        <f t="shared" ref="AD921:AD933" si="614">AE921+AF921+AG921</f>
        <v>0</v>
      </c>
      <c r="AE921" s="1509">
        <f t="shared" ref="AE921:AG933" si="615">AP921+AT921+AX921+BB921+BF921+BJ921+BN921+BR921+BV921+BZ921+CD921+CI921</f>
        <v>0</v>
      </c>
      <c r="AF921" s="1509">
        <f t="shared" si="615"/>
        <v>0</v>
      </c>
      <c r="AG921" s="1509">
        <f t="shared" si="615"/>
        <v>0</v>
      </c>
      <c r="AH921" s="1490">
        <f t="shared" si="609"/>
        <v>77.81</v>
      </c>
      <c r="AI921" s="1636">
        <f t="shared" ref="AI921:AI933" si="616">H921-AC921</f>
        <v>0</v>
      </c>
      <c r="AJ921" s="1636">
        <f t="shared" ref="AJ921:AJ933" si="617">AK921+AL921+AM921</f>
        <v>0</v>
      </c>
      <c r="AK921" s="1636">
        <f t="shared" ref="AK921:AK933" si="618">I921-AE921</f>
        <v>0</v>
      </c>
      <c r="AL921" s="1636">
        <f t="shared" si="593"/>
        <v>0</v>
      </c>
      <c r="AM921" s="1636">
        <f t="shared" si="593"/>
        <v>0</v>
      </c>
      <c r="AN921" s="1637">
        <f>AI921/4</f>
        <v>0</v>
      </c>
      <c r="AO921" s="1722">
        <v>430.8</v>
      </c>
      <c r="AP921" s="1638"/>
      <c r="AQ921" s="1638"/>
      <c r="AR921" s="1638"/>
      <c r="AS921" s="1963">
        <v>430.8</v>
      </c>
      <c r="AT921" s="1638"/>
      <c r="AU921" s="1638"/>
      <c r="AV921" s="1638"/>
      <c r="AW921" s="1722">
        <v>430.8</v>
      </c>
      <c r="AX921" s="1640"/>
      <c r="AY921" s="1640"/>
      <c r="AZ921" s="1640"/>
      <c r="BA921" s="1964">
        <v>430.8</v>
      </c>
      <c r="BB921" s="1640"/>
      <c r="BC921" s="1640"/>
      <c r="BD921" s="1640"/>
      <c r="BE921" s="1964">
        <v>430.8</v>
      </c>
      <c r="BF921" s="1640"/>
      <c r="BG921" s="1640"/>
      <c r="BH921" s="1640"/>
      <c r="BI921" s="1641">
        <f>138.15</f>
        <v>138.15</v>
      </c>
      <c r="BJ921" s="1640"/>
      <c r="BK921" s="1640"/>
      <c r="BL921" s="1640"/>
      <c r="BM921" s="1641">
        <f>292.65+861.6</f>
        <v>1154.25</v>
      </c>
      <c r="BN921" s="1640"/>
      <c r="BO921" s="1640"/>
      <c r="BP921" s="1640"/>
      <c r="BQ921" s="1641">
        <f>430.8*2</f>
        <v>861.6</v>
      </c>
      <c r="BR921" s="1640"/>
      <c r="BS921" s="1640"/>
      <c r="BT921" s="1640"/>
      <c r="BU921" s="1641">
        <v>215.3</v>
      </c>
      <c r="BV921" s="1640"/>
      <c r="BW921" s="1640"/>
      <c r="BX921" s="1640"/>
      <c r="BY921" s="1641">
        <v>64.59</v>
      </c>
      <c r="BZ921" s="1640"/>
      <c r="CA921" s="1640"/>
      <c r="CB921" s="1640"/>
      <c r="CC921" s="1641">
        <f>174.4+329.1</f>
        <v>503.5</v>
      </c>
      <c r="CD921" s="1640"/>
      <c r="CE921" s="1640"/>
      <c r="CF921" s="1640"/>
      <c r="CG921" s="1642"/>
      <c r="CH921" s="1641">
        <f t="shared" ref="CH921:CK933" si="619">CL921+CP921</f>
        <v>77.81</v>
      </c>
      <c r="CI921" s="1641">
        <f t="shared" si="619"/>
        <v>0</v>
      </c>
      <c r="CJ921" s="1641">
        <f t="shared" si="619"/>
        <v>0</v>
      </c>
      <c r="CK921" s="1641">
        <f t="shared" si="619"/>
        <v>0</v>
      </c>
      <c r="CL921" s="1889">
        <v>77.81</v>
      </c>
      <c r="CM921" s="1889">
        <v>0</v>
      </c>
      <c r="CN921" s="1889">
        <v>0</v>
      </c>
      <c r="CO921" s="1889">
        <v>0</v>
      </c>
      <c r="CP921" s="1641"/>
      <c r="CQ921" s="1640"/>
      <c r="CR921" s="1640"/>
      <c r="CS921" s="1640"/>
      <c r="CX921" s="1558">
        <f>H921/12*10-AC921</f>
        <v>-861.53333333333467</v>
      </c>
      <c r="CY921" s="1558">
        <f>AI921/3</f>
        <v>0</v>
      </c>
      <c r="CZ921" s="1558">
        <f>H921/12</f>
        <v>430.76666666666665</v>
      </c>
      <c r="DA921" s="1559"/>
      <c r="DB921" s="1559"/>
      <c r="DC921" s="1559"/>
    </row>
    <row r="922" spans="1:107" ht="15" thickBot="1" x14ac:dyDescent="0.2">
      <c r="A922" s="1541" t="s">
        <v>103</v>
      </c>
      <c r="B922" s="1523" t="s">
        <v>79</v>
      </c>
      <c r="C922" s="1523" t="s">
        <v>80</v>
      </c>
      <c r="D922" s="1523" t="s">
        <v>125</v>
      </c>
      <c r="E922" s="1523" t="s">
        <v>216</v>
      </c>
      <c r="F922" s="1523"/>
      <c r="G922" s="1667">
        <v>212</v>
      </c>
      <c r="H922" s="1517"/>
      <c r="I922" s="1645"/>
      <c r="J922" s="1630"/>
      <c r="K922" s="1630"/>
      <c r="L922" s="1631"/>
      <c r="M922" s="1631"/>
      <c r="N922" s="1631"/>
      <c r="O922" s="1631"/>
      <c r="P922" s="1631"/>
      <c r="Q922" s="1631"/>
      <c r="R922" s="1631"/>
      <c r="S922" s="1631"/>
      <c r="T922" s="1632"/>
      <c r="U922" s="1633"/>
      <c r="V922" s="1633"/>
      <c r="W922" s="1634"/>
      <c r="X922" s="1634"/>
      <c r="Y922" s="1634"/>
      <c r="Z922" s="1635"/>
      <c r="AA922" s="1634">
        <f t="shared" si="612"/>
        <v>0</v>
      </c>
      <c r="AB922" s="1511"/>
      <c r="AC922" s="1508">
        <f t="shared" si="613"/>
        <v>0</v>
      </c>
      <c r="AD922" s="1509">
        <f t="shared" si="614"/>
        <v>0</v>
      </c>
      <c r="AE922" s="1509">
        <f t="shared" si="615"/>
        <v>0</v>
      </c>
      <c r="AF922" s="1509">
        <f t="shared" si="615"/>
        <v>0</v>
      </c>
      <c r="AG922" s="1509">
        <f t="shared" si="615"/>
        <v>0</v>
      </c>
      <c r="AH922" s="1490">
        <f t="shared" si="609"/>
        <v>0</v>
      </c>
      <c r="AI922" s="1636">
        <f t="shared" si="616"/>
        <v>0</v>
      </c>
      <c r="AJ922" s="1636">
        <f t="shared" si="617"/>
        <v>0</v>
      </c>
      <c r="AK922" s="1636">
        <f t="shared" si="618"/>
        <v>0</v>
      </c>
      <c r="AL922" s="1636">
        <f t="shared" si="593"/>
        <v>0</v>
      </c>
      <c r="AM922" s="1636">
        <f t="shared" si="593"/>
        <v>0</v>
      </c>
      <c r="AN922" s="1637"/>
      <c r="AO922" s="1722">
        <v>0</v>
      </c>
      <c r="AP922" s="1638"/>
      <c r="AQ922" s="1638"/>
      <c r="AR922" s="1638"/>
      <c r="AS922" s="1963">
        <v>0</v>
      </c>
      <c r="AT922" s="1638"/>
      <c r="AU922" s="1638"/>
      <c r="AV922" s="1638"/>
      <c r="AW922" s="1722">
        <v>0</v>
      </c>
      <c r="AX922" s="1640"/>
      <c r="AY922" s="1640"/>
      <c r="AZ922" s="1640"/>
      <c r="BA922" s="1964">
        <v>0</v>
      </c>
      <c r="BB922" s="1640"/>
      <c r="BC922" s="1640"/>
      <c r="BD922" s="1640"/>
      <c r="BE922" s="1964">
        <v>0</v>
      </c>
      <c r="BF922" s="1640"/>
      <c r="BG922" s="1640"/>
      <c r="BH922" s="1640"/>
      <c r="BI922" s="1641"/>
      <c r="BJ922" s="1640"/>
      <c r="BK922" s="1640"/>
      <c r="BL922" s="1640"/>
      <c r="BM922" s="1641"/>
      <c r="BN922" s="1640"/>
      <c r="BO922" s="1640"/>
      <c r="BP922" s="1640"/>
      <c r="BQ922" s="1641"/>
      <c r="BR922" s="1640"/>
      <c r="BS922" s="1640"/>
      <c r="BT922" s="1640"/>
      <c r="BU922" s="1641"/>
      <c r="BV922" s="1640"/>
      <c r="BW922" s="1640"/>
      <c r="BX922" s="1640"/>
      <c r="BY922" s="1641"/>
      <c r="BZ922" s="1640"/>
      <c r="CA922" s="1640"/>
      <c r="CB922" s="1640"/>
      <c r="CC922" s="1641"/>
      <c r="CD922" s="1640"/>
      <c r="CE922" s="1640"/>
      <c r="CF922" s="1640"/>
      <c r="CG922" s="1642"/>
      <c r="CH922" s="1641">
        <f t="shared" si="619"/>
        <v>0</v>
      </c>
      <c r="CI922" s="1641">
        <f t="shared" si="619"/>
        <v>0</v>
      </c>
      <c r="CJ922" s="1641">
        <f t="shared" si="619"/>
        <v>0</v>
      </c>
      <c r="CK922" s="1641">
        <f t="shared" si="619"/>
        <v>0</v>
      </c>
      <c r="CL922" s="1889">
        <v>0</v>
      </c>
      <c r="CM922" s="1889">
        <v>0</v>
      </c>
      <c r="CN922" s="1889">
        <v>0</v>
      </c>
      <c r="CO922" s="1889">
        <v>0</v>
      </c>
      <c r="CP922" s="1641"/>
      <c r="CQ922" s="1640"/>
      <c r="CR922" s="1640"/>
      <c r="CS922" s="1640"/>
      <c r="CX922" s="1558"/>
      <c r="CY922" s="1558"/>
      <c r="CZ922" s="1558"/>
      <c r="DA922" s="1559"/>
      <c r="DB922" s="1559"/>
      <c r="DC922" s="1559"/>
    </row>
    <row r="923" spans="1:107" ht="15" thickBot="1" x14ac:dyDescent="0.2">
      <c r="A923" s="1541" t="s">
        <v>84</v>
      </c>
      <c r="B923" s="1523" t="s">
        <v>79</v>
      </c>
      <c r="C923" s="1523" t="s">
        <v>80</v>
      </c>
      <c r="D923" s="1523" t="s">
        <v>125</v>
      </c>
      <c r="E923" s="1523" t="s">
        <v>216</v>
      </c>
      <c r="F923" s="1523"/>
      <c r="G923" s="1667">
        <v>213</v>
      </c>
      <c r="H923" s="1851">
        <v>1561.1</v>
      </c>
      <c r="I923" s="1645"/>
      <c r="J923" s="1630"/>
      <c r="K923" s="1630"/>
      <c r="L923" s="1631"/>
      <c r="M923" s="1631"/>
      <c r="N923" s="1631"/>
      <c r="O923" s="1631"/>
      <c r="P923" s="1631"/>
      <c r="Q923" s="1631"/>
      <c r="R923" s="1631"/>
      <c r="S923" s="1631"/>
      <c r="T923" s="1632"/>
      <c r="U923" s="1633"/>
      <c r="V923" s="1633"/>
      <c r="W923" s="1634"/>
      <c r="X923" s="1634"/>
      <c r="Y923" s="1634"/>
      <c r="Z923" s="1635">
        <v>158.80000000000001</v>
      </c>
      <c r="AA923" s="1634">
        <f t="shared" si="612"/>
        <v>-158.80000000000001</v>
      </c>
      <c r="AB923" s="1511">
        <f>AI923</f>
        <v>0</v>
      </c>
      <c r="AC923" s="1508">
        <f t="shared" si="613"/>
        <v>1561.1</v>
      </c>
      <c r="AD923" s="1509">
        <f t="shared" si="614"/>
        <v>0</v>
      </c>
      <c r="AE923" s="1509">
        <f t="shared" si="615"/>
        <v>0</v>
      </c>
      <c r="AF923" s="1509">
        <f t="shared" si="615"/>
        <v>0</v>
      </c>
      <c r="AG923" s="1509">
        <f t="shared" si="615"/>
        <v>0</v>
      </c>
      <c r="AH923" s="1490">
        <f t="shared" si="609"/>
        <v>36.299999999999997</v>
      </c>
      <c r="AI923" s="1636">
        <f t="shared" si="616"/>
        <v>0</v>
      </c>
      <c r="AJ923" s="1636">
        <f t="shared" si="617"/>
        <v>0</v>
      </c>
      <c r="AK923" s="1636">
        <f t="shared" si="618"/>
        <v>0</v>
      </c>
      <c r="AL923" s="1636">
        <f t="shared" si="593"/>
        <v>0</v>
      </c>
      <c r="AM923" s="1636">
        <f t="shared" si="593"/>
        <v>0</v>
      </c>
      <c r="AN923" s="1637">
        <f>AI923/4</f>
        <v>0</v>
      </c>
      <c r="AO923" s="1722">
        <v>130.1</v>
      </c>
      <c r="AP923" s="1638"/>
      <c r="AQ923" s="1638"/>
      <c r="AR923" s="1638"/>
      <c r="AS923" s="1963">
        <v>130.1</v>
      </c>
      <c r="AT923" s="1638"/>
      <c r="AU923" s="1638"/>
      <c r="AV923" s="1638"/>
      <c r="AW923" s="1722">
        <v>130.1</v>
      </c>
      <c r="AX923" s="1640"/>
      <c r="AY923" s="1640"/>
      <c r="AZ923" s="1640"/>
      <c r="BA923" s="1964">
        <v>130.1</v>
      </c>
      <c r="BB923" s="1640"/>
      <c r="BC923" s="1640"/>
      <c r="BD923" s="1640"/>
      <c r="BE923" s="1964">
        <v>130.1</v>
      </c>
      <c r="BF923" s="1640"/>
      <c r="BG923" s="1640"/>
      <c r="BH923" s="1640"/>
      <c r="BI923" s="1641"/>
      <c r="BJ923" s="1640"/>
      <c r="BK923" s="1640"/>
      <c r="BL923" s="1640"/>
      <c r="BM923" s="1641">
        <f>130.1+260.2</f>
        <v>390.29999999999995</v>
      </c>
      <c r="BN923" s="1640"/>
      <c r="BO923" s="1640"/>
      <c r="BP923" s="1640"/>
      <c r="BQ923" s="1641">
        <f>130.1*2</f>
        <v>260.2</v>
      </c>
      <c r="BR923" s="1640"/>
      <c r="BS923" s="1640"/>
      <c r="BT923" s="1640"/>
      <c r="BU923" s="1641">
        <v>65</v>
      </c>
      <c r="BV923" s="1640"/>
      <c r="BW923" s="1640"/>
      <c r="BX923" s="1640"/>
      <c r="BY923" s="1641"/>
      <c r="BZ923" s="1640"/>
      <c r="CA923" s="1640"/>
      <c r="CB923" s="1640"/>
      <c r="CC923" s="1641">
        <v>158.80000000000001</v>
      </c>
      <c r="CD923" s="1640"/>
      <c r="CE923" s="1640"/>
      <c r="CF923" s="1640"/>
      <c r="CG923" s="1642"/>
      <c r="CH923" s="1641">
        <f t="shared" si="619"/>
        <v>36.299999999999997</v>
      </c>
      <c r="CI923" s="1641">
        <f t="shared" si="619"/>
        <v>0</v>
      </c>
      <c r="CJ923" s="1641">
        <f t="shared" si="619"/>
        <v>0</v>
      </c>
      <c r="CK923" s="1641">
        <f t="shared" si="619"/>
        <v>0</v>
      </c>
      <c r="CL923" s="1889">
        <v>36.299999999999997</v>
      </c>
      <c r="CM923" s="1889">
        <v>0</v>
      </c>
      <c r="CN923" s="1889">
        <v>0</v>
      </c>
      <c r="CO923" s="1889">
        <v>0</v>
      </c>
      <c r="CP923" s="1641"/>
      <c r="CQ923" s="1640"/>
      <c r="CR923" s="1640"/>
      <c r="CS923" s="1640"/>
      <c r="CX923" s="1558">
        <f>H923/12*10-AC923</f>
        <v>-260.18333333333317</v>
      </c>
      <c r="CY923" s="1558">
        <f>AI923/3</f>
        <v>0</v>
      </c>
      <c r="CZ923" s="1558">
        <f>H923/12</f>
        <v>130.09166666666667</v>
      </c>
      <c r="DA923" s="1559"/>
      <c r="DB923" s="1559"/>
      <c r="DC923" s="1559"/>
    </row>
    <row r="924" spans="1:107" ht="15" thickBot="1" x14ac:dyDescent="0.2">
      <c r="A924" s="1541" t="s">
        <v>85</v>
      </c>
      <c r="B924" s="1523" t="s">
        <v>79</v>
      </c>
      <c r="C924" s="1523" t="s">
        <v>80</v>
      </c>
      <c r="D924" s="1523" t="s">
        <v>125</v>
      </c>
      <c r="E924" s="1523" t="s">
        <v>216</v>
      </c>
      <c r="F924" s="1523"/>
      <c r="G924" s="1667">
        <v>221</v>
      </c>
      <c r="H924" s="1851"/>
      <c r="I924" s="1645"/>
      <c r="J924" s="1630"/>
      <c r="K924" s="1630"/>
      <c r="L924" s="1631"/>
      <c r="M924" s="1631"/>
      <c r="N924" s="1631"/>
      <c r="O924" s="1631"/>
      <c r="P924" s="1631"/>
      <c r="Q924" s="1631"/>
      <c r="R924" s="1631"/>
      <c r="S924" s="1631"/>
      <c r="T924" s="1632"/>
      <c r="U924" s="1633"/>
      <c r="V924" s="1633"/>
      <c r="W924" s="1634"/>
      <c r="X924" s="1634"/>
      <c r="Y924" s="1634"/>
      <c r="Z924" s="1635"/>
      <c r="AA924" s="1634">
        <f t="shared" si="612"/>
        <v>0</v>
      </c>
      <c r="AB924" s="1634"/>
      <c r="AC924" s="1508">
        <f t="shared" si="613"/>
        <v>0</v>
      </c>
      <c r="AD924" s="1509">
        <f t="shared" si="614"/>
        <v>0</v>
      </c>
      <c r="AE924" s="1509">
        <f t="shared" si="615"/>
        <v>0</v>
      </c>
      <c r="AF924" s="1509">
        <f t="shared" si="615"/>
        <v>0</v>
      </c>
      <c r="AG924" s="1509">
        <f t="shared" si="615"/>
        <v>0</v>
      </c>
      <c r="AH924" s="1490">
        <f t="shared" si="609"/>
        <v>0</v>
      </c>
      <c r="AI924" s="1636">
        <f t="shared" si="616"/>
        <v>0</v>
      </c>
      <c r="AJ924" s="1636">
        <f t="shared" si="617"/>
        <v>0</v>
      </c>
      <c r="AK924" s="1636">
        <f t="shared" si="618"/>
        <v>0</v>
      </c>
      <c r="AL924" s="1636">
        <f t="shared" si="593"/>
        <v>0</v>
      </c>
      <c r="AM924" s="1636">
        <f t="shared" si="593"/>
        <v>0</v>
      </c>
      <c r="AN924" s="1637"/>
      <c r="AO924" s="1722">
        <v>0</v>
      </c>
      <c r="AP924" s="1638"/>
      <c r="AQ924" s="1638"/>
      <c r="AR924" s="1638"/>
      <c r="AS924" s="1963">
        <v>0</v>
      </c>
      <c r="AT924" s="1638"/>
      <c r="AU924" s="1638"/>
      <c r="AV924" s="1638"/>
      <c r="AW924" s="1639"/>
      <c r="AX924" s="1640"/>
      <c r="AY924" s="1640"/>
      <c r="AZ924" s="1640"/>
      <c r="BA924" s="1641"/>
      <c r="BB924" s="1640"/>
      <c r="BC924" s="1640"/>
      <c r="BD924" s="1640"/>
      <c r="BE924" s="1644"/>
      <c r="BF924" s="1640"/>
      <c r="BG924" s="1640"/>
      <c r="BH924" s="1640"/>
      <c r="BI924" s="1641"/>
      <c r="BJ924" s="1640"/>
      <c r="BK924" s="1640"/>
      <c r="BL924" s="1640"/>
      <c r="BM924" s="1641"/>
      <c r="BN924" s="1640"/>
      <c r="BO924" s="1640"/>
      <c r="BP924" s="1640"/>
      <c r="BQ924" s="1641"/>
      <c r="BR924" s="1640"/>
      <c r="BS924" s="1640"/>
      <c r="BT924" s="1640"/>
      <c r="BU924" s="1641"/>
      <c r="BV924" s="1640"/>
      <c r="BW924" s="1640"/>
      <c r="BX924" s="1640"/>
      <c r="BY924" s="1641"/>
      <c r="BZ924" s="1640"/>
      <c r="CA924" s="1640"/>
      <c r="CB924" s="1640"/>
      <c r="CC924" s="1641"/>
      <c r="CD924" s="1640"/>
      <c r="CE924" s="1640"/>
      <c r="CF924" s="1640"/>
      <c r="CG924" s="1642"/>
      <c r="CH924" s="1641">
        <f t="shared" si="619"/>
        <v>0</v>
      </c>
      <c r="CI924" s="1641">
        <f t="shared" si="619"/>
        <v>0</v>
      </c>
      <c r="CJ924" s="1641">
        <f t="shared" si="619"/>
        <v>0</v>
      </c>
      <c r="CK924" s="1641">
        <f t="shared" si="619"/>
        <v>0</v>
      </c>
      <c r="CL924" s="1889">
        <v>0</v>
      </c>
      <c r="CM924" s="1889">
        <v>0</v>
      </c>
      <c r="CN924" s="1889">
        <v>0</v>
      </c>
      <c r="CO924" s="1889">
        <v>0</v>
      </c>
      <c r="CP924" s="1641"/>
      <c r="CQ924" s="1640"/>
      <c r="CR924" s="1640"/>
      <c r="CS924" s="1640"/>
    </row>
    <row r="925" spans="1:107" ht="15" thickBot="1" x14ac:dyDescent="0.2">
      <c r="A925" s="1541" t="s">
        <v>86</v>
      </c>
      <c r="B925" s="1523" t="s">
        <v>79</v>
      </c>
      <c r="C925" s="1523" t="s">
        <v>80</v>
      </c>
      <c r="D925" s="1523" t="s">
        <v>125</v>
      </c>
      <c r="E925" s="1523" t="s">
        <v>216</v>
      </c>
      <c r="F925" s="1523"/>
      <c r="G925" s="1667">
        <v>222</v>
      </c>
      <c r="H925" s="1851"/>
      <c r="I925" s="1645"/>
      <c r="J925" s="1630"/>
      <c r="K925" s="1630"/>
      <c r="L925" s="1631"/>
      <c r="M925" s="1631"/>
      <c r="N925" s="1631"/>
      <c r="O925" s="1631"/>
      <c r="P925" s="1631"/>
      <c r="Q925" s="1631"/>
      <c r="R925" s="1631"/>
      <c r="S925" s="1631"/>
      <c r="T925" s="1632"/>
      <c r="U925" s="1633"/>
      <c r="V925" s="1633"/>
      <c r="W925" s="1634"/>
      <c r="X925" s="1634"/>
      <c r="Y925" s="1634"/>
      <c r="Z925" s="1635"/>
      <c r="AA925" s="1634">
        <f t="shared" si="612"/>
        <v>0</v>
      </c>
      <c r="AB925" s="1634"/>
      <c r="AC925" s="1508">
        <f t="shared" si="613"/>
        <v>0</v>
      </c>
      <c r="AD925" s="1509">
        <f t="shared" si="614"/>
        <v>0</v>
      </c>
      <c r="AE925" s="1509">
        <f t="shared" si="615"/>
        <v>0</v>
      </c>
      <c r="AF925" s="1509">
        <f t="shared" si="615"/>
        <v>0</v>
      </c>
      <c r="AG925" s="1509">
        <f t="shared" si="615"/>
        <v>0</v>
      </c>
      <c r="AH925" s="1490">
        <f t="shared" si="609"/>
        <v>0</v>
      </c>
      <c r="AI925" s="1636">
        <f t="shared" si="616"/>
        <v>0</v>
      </c>
      <c r="AJ925" s="1636">
        <f t="shared" si="617"/>
        <v>0</v>
      </c>
      <c r="AK925" s="1636">
        <f t="shared" si="618"/>
        <v>0</v>
      </c>
      <c r="AL925" s="1636">
        <f t="shared" si="593"/>
        <v>0</v>
      </c>
      <c r="AM925" s="1636">
        <f t="shared" si="593"/>
        <v>0</v>
      </c>
      <c r="AN925" s="1637"/>
      <c r="AO925" s="1722">
        <v>0</v>
      </c>
      <c r="AP925" s="1638"/>
      <c r="AQ925" s="1638"/>
      <c r="AR925" s="1638"/>
      <c r="AS925" s="1963">
        <v>0</v>
      </c>
      <c r="AT925" s="1638"/>
      <c r="AU925" s="1638"/>
      <c r="AV925" s="1638"/>
      <c r="AW925" s="1639"/>
      <c r="AX925" s="1640"/>
      <c r="AY925" s="1640"/>
      <c r="AZ925" s="1640"/>
      <c r="BA925" s="1641"/>
      <c r="BB925" s="1640"/>
      <c r="BC925" s="1640"/>
      <c r="BD925" s="1640"/>
      <c r="BE925" s="1644"/>
      <c r="BF925" s="1640"/>
      <c r="BG925" s="1640"/>
      <c r="BH925" s="1640"/>
      <c r="BI925" s="1641"/>
      <c r="BJ925" s="1640"/>
      <c r="BK925" s="1640"/>
      <c r="BL925" s="1640"/>
      <c r="BM925" s="1641"/>
      <c r="BN925" s="1640"/>
      <c r="BO925" s="1640"/>
      <c r="BP925" s="1640"/>
      <c r="BQ925" s="1641"/>
      <c r="BR925" s="1640"/>
      <c r="BS925" s="1640"/>
      <c r="BT925" s="1640"/>
      <c r="BU925" s="1641"/>
      <c r="BV925" s="1640"/>
      <c r="BW925" s="1640"/>
      <c r="BX925" s="1640"/>
      <c r="BY925" s="1641"/>
      <c r="BZ925" s="1640"/>
      <c r="CA925" s="1640"/>
      <c r="CB925" s="1640"/>
      <c r="CC925" s="1641"/>
      <c r="CD925" s="1640"/>
      <c r="CE925" s="1640"/>
      <c r="CF925" s="1640"/>
      <c r="CG925" s="1642"/>
      <c r="CH925" s="1641">
        <f t="shared" si="619"/>
        <v>0</v>
      </c>
      <c r="CI925" s="1641">
        <f t="shared" si="619"/>
        <v>0</v>
      </c>
      <c r="CJ925" s="1641">
        <f t="shared" si="619"/>
        <v>0</v>
      </c>
      <c r="CK925" s="1641">
        <f t="shared" si="619"/>
        <v>0</v>
      </c>
      <c r="CL925" s="1889">
        <v>0</v>
      </c>
      <c r="CM925" s="1889">
        <v>0</v>
      </c>
      <c r="CN925" s="1889">
        <v>0</v>
      </c>
      <c r="CO925" s="1889">
        <v>0</v>
      </c>
      <c r="CP925" s="1641"/>
      <c r="CQ925" s="1640"/>
      <c r="CR925" s="1640"/>
      <c r="CS925" s="1640"/>
    </row>
    <row r="926" spans="1:107" ht="15" thickBot="1" x14ac:dyDescent="0.2">
      <c r="A926" s="1541" t="s">
        <v>87</v>
      </c>
      <c r="B926" s="1523" t="s">
        <v>79</v>
      </c>
      <c r="C926" s="1523" t="s">
        <v>80</v>
      </c>
      <c r="D926" s="1523" t="s">
        <v>125</v>
      </c>
      <c r="E926" s="1523" t="s">
        <v>216</v>
      </c>
      <c r="F926" s="1523"/>
      <c r="G926" s="1667">
        <v>223</v>
      </c>
      <c r="H926" s="1851">
        <v>23.2</v>
      </c>
      <c r="I926" s="1645"/>
      <c r="J926" s="1630"/>
      <c r="K926" s="1630"/>
      <c r="L926" s="1631"/>
      <c r="M926" s="1631"/>
      <c r="N926" s="1631"/>
      <c r="O926" s="1631"/>
      <c r="P926" s="1631"/>
      <c r="Q926" s="1631"/>
      <c r="R926" s="1631"/>
      <c r="S926" s="1631"/>
      <c r="T926" s="1632"/>
      <c r="U926" s="1633"/>
      <c r="V926" s="1633"/>
      <c r="W926" s="1634"/>
      <c r="X926" s="1634"/>
      <c r="Y926" s="1634"/>
      <c r="Z926" s="1635"/>
      <c r="AA926" s="1634">
        <f t="shared" si="612"/>
        <v>0</v>
      </c>
      <c r="AB926" s="1891"/>
      <c r="AC926" s="1508">
        <f t="shared" si="613"/>
        <v>23.2</v>
      </c>
      <c r="AD926" s="1509">
        <f t="shared" si="614"/>
        <v>0</v>
      </c>
      <c r="AE926" s="1509">
        <f t="shared" si="615"/>
        <v>0</v>
      </c>
      <c r="AF926" s="1509">
        <f t="shared" si="615"/>
        <v>0</v>
      </c>
      <c r="AG926" s="1509">
        <f t="shared" si="615"/>
        <v>0</v>
      </c>
      <c r="AH926" s="1490">
        <f t="shared" si="609"/>
        <v>1.1000000000000001</v>
      </c>
      <c r="AI926" s="1636">
        <f t="shared" si="616"/>
        <v>0</v>
      </c>
      <c r="AJ926" s="1636">
        <f t="shared" si="617"/>
        <v>0</v>
      </c>
      <c r="AK926" s="1636">
        <f t="shared" si="618"/>
        <v>0</v>
      </c>
      <c r="AL926" s="1636">
        <f t="shared" si="593"/>
        <v>0</v>
      </c>
      <c r="AM926" s="1636">
        <f t="shared" si="593"/>
        <v>0</v>
      </c>
      <c r="AN926" s="1637"/>
      <c r="AO926" s="1722">
        <v>1.9</v>
      </c>
      <c r="AP926" s="1638"/>
      <c r="AQ926" s="1638"/>
      <c r="AR926" s="1638"/>
      <c r="AS926" s="1963">
        <v>1.9</v>
      </c>
      <c r="AT926" s="1638"/>
      <c r="AU926" s="1638"/>
      <c r="AV926" s="1638"/>
      <c r="AW926" s="1639"/>
      <c r="AX926" s="1640"/>
      <c r="AY926" s="1640"/>
      <c r="AZ926" s="1640"/>
      <c r="BA926" s="1641"/>
      <c r="BB926" s="1640"/>
      <c r="BC926" s="1640"/>
      <c r="BD926" s="1640"/>
      <c r="BE926" s="1644">
        <v>4.4000000000000004</v>
      </c>
      <c r="BF926" s="1640"/>
      <c r="BG926" s="1640"/>
      <c r="BH926" s="1640"/>
      <c r="BI926" s="1641">
        <v>2.2000000000000002</v>
      </c>
      <c r="BJ926" s="1640"/>
      <c r="BK926" s="1640"/>
      <c r="BL926" s="1640"/>
      <c r="BM926" s="1641"/>
      <c r="BN926" s="1640"/>
      <c r="BO926" s="1640"/>
      <c r="BP926" s="1640"/>
      <c r="BQ926" s="1641">
        <v>2.2000000000000002</v>
      </c>
      <c r="BR926" s="1640"/>
      <c r="BS926" s="1640"/>
      <c r="BT926" s="1640"/>
      <c r="BU926" s="1641">
        <v>4.8</v>
      </c>
      <c r="BV926" s="1640"/>
      <c r="BW926" s="1640"/>
      <c r="BX926" s="1640"/>
      <c r="BY926" s="1641">
        <v>4.7</v>
      </c>
      <c r="BZ926" s="1640"/>
      <c r="CA926" s="1640"/>
      <c r="CB926" s="1640"/>
      <c r="CC926" s="1641"/>
      <c r="CD926" s="1640"/>
      <c r="CE926" s="1640"/>
      <c r="CF926" s="1640"/>
      <c r="CG926" s="1642"/>
      <c r="CH926" s="1641">
        <f t="shared" si="619"/>
        <v>1.1000000000000001</v>
      </c>
      <c r="CI926" s="1641">
        <f t="shared" si="619"/>
        <v>0</v>
      </c>
      <c r="CJ926" s="1641">
        <f t="shared" si="619"/>
        <v>0</v>
      </c>
      <c r="CK926" s="1641">
        <f t="shared" si="619"/>
        <v>0</v>
      </c>
      <c r="CL926" s="1889">
        <v>1.1000000000000001</v>
      </c>
      <c r="CM926" s="1889">
        <v>0</v>
      </c>
      <c r="CN926" s="1889">
        <v>0</v>
      </c>
      <c r="CO926" s="1889">
        <v>0</v>
      </c>
      <c r="CP926" s="1641"/>
      <c r="CQ926" s="1640"/>
      <c r="CR926" s="1640"/>
      <c r="CS926" s="1640"/>
    </row>
    <row r="927" spans="1:107" ht="15" customHeight="1" thickBot="1" x14ac:dyDescent="0.2">
      <c r="A927" s="1541" t="s">
        <v>134</v>
      </c>
      <c r="B927" s="1523" t="s">
        <v>79</v>
      </c>
      <c r="C927" s="1523" t="s">
        <v>80</v>
      </c>
      <c r="D927" s="1523" t="s">
        <v>125</v>
      </c>
      <c r="E927" s="1523" t="s">
        <v>216</v>
      </c>
      <c r="F927" s="1523"/>
      <c r="G927" s="1667">
        <v>224</v>
      </c>
      <c r="H927" s="1851">
        <f>360</f>
        <v>360</v>
      </c>
      <c r="I927" s="1645"/>
      <c r="J927" s="1630"/>
      <c r="K927" s="1630"/>
      <c r="L927" s="1631"/>
      <c r="M927" s="1631"/>
      <c r="N927" s="1631"/>
      <c r="O927" s="1631"/>
      <c r="P927" s="1631"/>
      <c r="Q927" s="1631"/>
      <c r="R927" s="1631"/>
      <c r="S927" s="1631"/>
      <c r="T927" s="1632"/>
      <c r="U927" s="1633"/>
      <c r="V927" s="1633"/>
      <c r="W927" s="1634"/>
      <c r="X927" s="1634"/>
      <c r="Y927" s="1634"/>
      <c r="Z927" s="1635"/>
      <c r="AA927" s="1634">
        <f t="shared" si="612"/>
        <v>0</v>
      </c>
      <c r="AB927" s="1634"/>
      <c r="AC927" s="1508">
        <f t="shared" si="613"/>
        <v>360</v>
      </c>
      <c r="AD927" s="1509">
        <f t="shared" si="614"/>
        <v>0</v>
      </c>
      <c r="AE927" s="1509">
        <f t="shared" si="615"/>
        <v>0</v>
      </c>
      <c r="AF927" s="1509">
        <f t="shared" si="615"/>
        <v>0</v>
      </c>
      <c r="AG927" s="1509">
        <f t="shared" si="615"/>
        <v>0</v>
      </c>
      <c r="AH927" s="1490">
        <f t="shared" si="609"/>
        <v>90</v>
      </c>
      <c r="AI927" s="1636">
        <f t="shared" si="616"/>
        <v>0</v>
      </c>
      <c r="AJ927" s="1636">
        <f t="shared" si="617"/>
        <v>0</v>
      </c>
      <c r="AK927" s="1636">
        <f t="shared" si="618"/>
        <v>0</v>
      </c>
      <c r="AL927" s="1636">
        <f t="shared" si="593"/>
        <v>0</v>
      </c>
      <c r="AM927" s="1636">
        <f t="shared" si="593"/>
        <v>0</v>
      </c>
      <c r="AN927" s="1637"/>
      <c r="AO927" s="1722">
        <v>30</v>
      </c>
      <c r="AP927" s="1638"/>
      <c r="AQ927" s="1638"/>
      <c r="AR927" s="1638"/>
      <c r="AS927" s="1963">
        <v>30</v>
      </c>
      <c r="AT927" s="1638"/>
      <c r="AU927" s="1638"/>
      <c r="AV927" s="1638"/>
      <c r="AW927" s="1639"/>
      <c r="AX927" s="1640"/>
      <c r="AY927" s="1640"/>
      <c r="AZ927" s="1640"/>
      <c r="BA927" s="1641"/>
      <c r="BB927" s="1640"/>
      <c r="BC927" s="1640"/>
      <c r="BD927" s="1640"/>
      <c r="BE927" s="1644"/>
      <c r="BF927" s="1640"/>
      <c r="BG927" s="1640"/>
      <c r="BH927" s="1640"/>
      <c r="BI927" s="1641"/>
      <c r="BJ927" s="1640"/>
      <c r="BK927" s="1640"/>
      <c r="BL927" s="1640"/>
      <c r="BM927" s="1641"/>
      <c r="BN927" s="1640"/>
      <c r="BO927" s="1640"/>
      <c r="BP927" s="1640"/>
      <c r="BQ927" s="1641"/>
      <c r="BR927" s="1640"/>
      <c r="BS927" s="1640"/>
      <c r="BT927" s="1640"/>
      <c r="BU927" s="1641">
        <f>60+150</f>
        <v>210</v>
      </c>
      <c r="BV927" s="1640"/>
      <c r="BW927" s="1640"/>
      <c r="BX927" s="1640"/>
      <c r="BY927" s="1641"/>
      <c r="BZ927" s="1640"/>
      <c r="CA927" s="1640"/>
      <c r="CB927" s="1640"/>
      <c r="CC927" s="1641"/>
      <c r="CD927" s="1640"/>
      <c r="CE927" s="1640"/>
      <c r="CF927" s="1640"/>
      <c r="CG927" s="1642"/>
      <c r="CH927" s="1641">
        <f t="shared" si="619"/>
        <v>90</v>
      </c>
      <c r="CI927" s="1641">
        <f t="shared" si="619"/>
        <v>0</v>
      </c>
      <c r="CJ927" s="1641">
        <f t="shared" si="619"/>
        <v>0</v>
      </c>
      <c r="CK927" s="1641">
        <f t="shared" si="619"/>
        <v>0</v>
      </c>
      <c r="CL927" s="1889">
        <v>90</v>
      </c>
      <c r="CM927" s="1889">
        <v>0</v>
      </c>
      <c r="CN927" s="1889">
        <v>0</v>
      </c>
      <c r="CO927" s="1889">
        <v>0</v>
      </c>
      <c r="CP927" s="1641"/>
      <c r="CQ927" s="1640"/>
      <c r="CR927" s="1640"/>
      <c r="CS927" s="1640"/>
    </row>
    <row r="928" spans="1:107" ht="15" thickBot="1" x14ac:dyDescent="0.2">
      <c r="A928" s="1541" t="s">
        <v>90</v>
      </c>
      <c r="B928" s="1523" t="s">
        <v>79</v>
      </c>
      <c r="C928" s="1523" t="s">
        <v>80</v>
      </c>
      <c r="D928" s="1523" t="s">
        <v>125</v>
      </c>
      <c r="E928" s="1523" t="s">
        <v>216</v>
      </c>
      <c r="F928" s="1523"/>
      <c r="G928" s="1667">
        <v>225</v>
      </c>
      <c r="H928" s="1851">
        <f>45</f>
        <v>45</v>
      </c>
      <c r="I928" s="1645"/>
      <c r="J928" s="1630"/>
      <c r="K928" s="1630"/>
      <c r="L928" s="1631"/>
      <c r="M928" s="1631"/>
      <c r="N928" s="1631"/>
      <c r="O928" s="1631"/>
      <c r="P928" s="1631"/>
      <c r="Q928" s="1631"/>
      <c r="R928" s="1631"/>
      <c r="S928" s="1631"/>
      <c r="T928" s="1632"/>
      <c r="U928" s="1633"/>
      <c r="V928" s="1633"/>
      <c r="W928" s="1634"/>
      <c r="X928" s="1634"/>
      <c r="Y928" s="1634"/>
      <c r="Z928" s="1635"/>
      <c r="AA928" s="1634">
        <f t="shared" si="612"/>
        <v>0</v>
      </c>
      <c r="AB928" s="1634"/>
      <c r="AC928" s="1508">
        <f t="shared" si="613"/>
        <v>45</v>
      </c>
      <c r="AD928" s="1509">
        <f t="shared" si="614"/>
        <v>0</v>
      </c>
      <c r="AE928" s="1509">
        <f t="shared" si="615"/>
        <v>0</v>
      </c>
      <c r="AF928" s="1509">
        <f t="shared" si="615"/>
        <v>0</v>
      </c>
      <c r="AG928" s="1509">
        <f t="shared" si="615"/>
        <v>0</v>
      </c>
      <c r="AH928" s="1490">
        <f t="shared" si="609"/>
        <v>0</v>
      </c>
      <c r="AI928" s="1636">
        <f t="shared" si="616"/>
        <v>0</v>
      </c>
      <c r="AJ928" s="1636">
        <f t="shared" si="617"/>
        <v>0</v>
      </c>
      <c r="AK928" s="1636">
        <f t="shared" si="618"/>
        <v>0</v>
      </c>
      <c r="AL928" s="1636">
        <f t="shared" si="593"/>
        <v>0</v>
      </c>
      <c r="AM928" s="1636">
        <f t="shared" si="593"/>
        <v>0</v>
      </c>
      <c r="AN928" s="1637"/>
      <c r="AO928" s="1723"/>
      <c r="AP928" s="1638"/>
      <c r="AQ928" s="1638"/>
      <c r="AR928" s="1638"/>
      <c r="AS928" s="1639"/>
      <c r="AT928" s="1638"/>
      <c r="AU928" s="1638"/>
      <c r="AV928" s="1638"/>
      <c r="AW928" s="1639"/>
      <c r="AX928" s="1640"/>
      <c r="AY928" s="1640"/>
      <c r="AZ928" s="1640"/>
      <c r="BA928" s="1641"/>
      <c r="BB928" s="1640"/>
      <c r="BC928" s="1640"/>
      <c r="BD928" s="1640"/>
      <c r="BE928" s="1644"/>
      <c r="BF928" s="1640"/>
      <c r="BG928" s="1640"/>
      <c r="BH928" s="1640"/>
      <c r="BI928" s="1641"/>
      <c r="BJ928" s="1640"/>
      <c r="BK928" s="1640"/>
      <c r="BL928" s="1640"/>
      <c r="BM928" s="1641"/>
      <c r="BN928" s="1640"/>
      <c r="BO928" s="1640"/>
      <c r="BP928" s="1640"/>
      <c r="BQ928" s="1641">
        <f>45.048-0.048</f>
        <v>45</v>
      </c>
      <c r="BR928" s="1640"/>
      <c r="BS928" s="1640"/>
      <c r="BT928" s="1640"/>
      <c r="BU928" s="1641"/>
      <c r="BV928" s="1640"/>
      <c r="BW928" s="1640"/>
      <c r="BX928" s="1640"/>
      <c r="BY928" s="1641"/>
      <c r="BZ928" s="1640"/>
      <c r="CA928" s="1640"/>
      <c r="CB928" s="1640"/>
      <c r="CC928" s="1641"/>
      <c r="CD928" s="1640"/>
      <c r="CE928" s="1640"/>
      <c r="CF928" s="1640"/>
      <c r="CG928" s="1642"/>
      <c r="CH928" s="1641">
        <f t="shared" si="619"/>
        <v>0</v>
      </c>
      <c r="CI928" s="1641">
        <f t="shared" si="619"/>
        <v>0</v>
      </c>
      <c r="CJ928" s="1641">
        <f t="shared" si="619"/>
        <v>0</v>
      </c>
      <c r="CK928" s="1641">
        <f t="shared" si="619"/>
        <v>0</v>
      </c>
      <c r="CL928" s="1889">
        <v>0</v>
      </c>
      <c r="CM928" s="1889">
        <v>0</v>
      </c>
      <c r="CN928" s="1889">
        <v>0</v>
      </c>
      <c r="CO928" s="1889">
        <v>0</v>
      </c>
      <c r="CP928" s="1641"/>
      <c r="CQ928" s="1640"/>
      <c r="CR928" s="1640"/>
      <c r="CS928" s="1640"/>
    </row>
    <row r="929" spans="1:103" ht="15" thickBot="1" x14ac:dyDescent="0.2">
      <c r="A929" s="1541" t="s">
        <v>91</v>
      </c>
      <c r="B929" s="1523" t="s">
        <v>79</v>
      </c>
      <c r="C929" s="1523" t="s">
        <v>80</v>
      </c>
      <c r="D929" s="1523" t="s">
        <v>125</v>
      </c>
      <c r="E929" s="1523" t="s">
        <v>216</v>
      </c>
      <c r="F929" s="1523"/>
      <c r="G929" s="1667">
        <v>226</v>
      </c>
      <c r="H929" s="1851">
        <f>35</f>
        <v>35</v>
      </c>
      <c r="I929" s="1645"/>
      <c r="J929" s="1630"/>
      <c r="K929" s="1630">
        <f>110+50</f>
        <v>160</v>
      </c>
      <c r="L929" s="1631"/>
      <c r="M929" s="1631"/>
      <c r="N929" s="1631"/>
      <c r="O929" s="1631"/>
      <c r="P929" s="1631"/>
      <c r="Q929" s="1631"/>
      <c r="R929" s="1631"/>
      <c r="S929" s="1631"/>
      <c r="T929" s="1632"/>
      <c r="U929" s="1633"/>
      <c r="V929" s="1633"/>
      <c r="W929" s="1634"/>
      <c r="X929" s="1634"/>
      <c r="Y929" s="1634"/>
      <c r="Z929" s="1635"/>
      <c r="AA929" s="1634">
        <f t="shared" si="612"/>
        <v>0</v>
      </c>
      <c r="AB929" s="1634"/>
      <c r="AC929" s="1508">
        <f t="shared" si="613"/>
        <v>35</v>
      </c>
      <c r="AD929" s="1509">
        <f t="shared" si="614"/>
        <v>160</v>
      </c>
      <c r="AE929" s="1509">
        <f t="shared" si="615"/>
        <v>0</v>
      </c>
      <c r="AF929" s="1509">
        <f t="shared" si="615"/>
        <v>0</v>
      </c>
      <c r="AG929" s="1509">
        <f t="shared" si="615"/>
        <v>160</v>
      </c>
      <c r="AH929" s="1490">
        <f t="shared" si="609"/>
        <v>0</v>
      </c>
      <c r="AI929" s="1636">
        <f t="shared" si="616"/>
        <v>0</v>
      </c>
      <c r="AJ929" s="1636">
        <f t="shared" si="617"/>
        <v>0</v>
      </c>
      <c r="AK929" s="1636">
        <f t="shared" si="618"/>
        <v>0</v>
      </c>
      <c r="AL929" s="1636">
        <f t="shared" si="593"/>
        <v>0</v>
      </c>
      <c r="AM929" s="1636">
        <f t="shared" si="593"/>
        <v>0</v>
      </c>
      <c r="AN929" s="1637"/>
      <c r="AO929" s="1723"/>
      <c r="AP929" s="1638"/>
      <c r="AQ929" s="1638"/>
      <c r="AR929" s="1638"/>
      <c r="AS929" s="1639"/>
      <c r="AT929" s="1638"/>
      <c r="AU929" s="1638"/>
      <c r="AV929" s="1638"/>
      <c r="AW929" s="1639"/>
      <c r="AX929" s="1640"/>
      <c r="AY929" s="1640"/>
      <c r="AZ929" s="1640"/>
      <c r="BA929" s="1641"/>
      <c r="BB929" s="1640"/>
      <c r="BC929" s="1640"/>
      <c r="BD929" s="1640"/>
      <c r="BE929" s="1644"/>
      <c r="BF929" s="1640"/>
      <c r="BG929" s="1640"/>
      <c r="BH929" s="1640"/>
      <c r="BI929" s="1641"/>
      <c r="BJ929" s="1640"/>
      <c r="BK929" s="1640"/>
      <c r="BL929" s="1640"/>
      <c r="BM929" s="1641"/>
      <c r="BN929" s="1640"/>
      <c r="BO929" s="1640"/>
      <c r="BP929" s="1640"/>
      <c r="BQ929" s="1641">
        <v>35</v>
      </c>
      <c r="BR929" s="1640"/>
      <c r="BS929" s="1640"/>
      <c r="BT929" s="1640"/>
      <c r="BU929" s="1641"/>
      <c r="BV929" s="1640"/>
      <c r="BW929" s="1640"/>
      <c r="BX929" s="1640">
        <v>110</v>
      </c>
      <c r="BY929" s="1641"/>
      <c r="BZ929" s="1640"/>
      <c r="CA929" s="1640"/>
      <c r="CB929" s="1640"/>
      <c r="CC929" s="1641"/>
      <c r="CD929" s="1640"/>
      <c r="CE929" s="1640"/>
      <c r="CF929" s="1640"/>
      <c r="CG929" s="1642"/>
      <c r="CH929" s="1641">
        <f t="shared" si="619"/>
        <v>0</v>
      </c>
      <c r="CI929" s="1641">
        <f t="shared" si="619"/>
        <v>0</v>
      </c>
      <c r="CJ929" s="1641">
        <f t="shared" si="619"/>
        <v>0</v>
      </c>
      <c r="CK929" s="1641">
        <f t="shared" si="619"/>
        <v>50</v>
      </c>
      <c r="CL929" s="1889">
        <v>0</v>
      </c>
      <c r="CM929" s="1889">
        <v>0</v>
      </c>
      <c r="CN929" s="1889">
        <v>0</v>
      </c>
      <c r="CO929" s="1889">
        <v>50</v>
      </c>
      <c r="CP929" s="1641"/>
      <c r="CQ929" s="1640"/>
      <c r="CR929" s="1640"/>
      <c r="CS929" s="1640"/>
    </row>
    <row r="930" spans="1:103" ht="15" thickBot="1" x14ac:dyDescent="0.2">
      <c r="A930" s="1541" t="s">
        <v>94</v>
      </c>
      <c r="B930" s="1523" t="s">
        <v>79</v>
      </c>
      <c r="C930" s="1523" t="s">
        <v>80</v>
      </c>
      <c r="D930" s="1523" t="s">
        <v>125</v>
      </c>
      <c r="E930" s="1523" t="s">
        <v>216</v>
      </c>
      <c r="F930" s="1523"/>
      <c r="G930" s="1667">
        <v>290</v>
      </c>
      <c r="H930" s="1851">
        <v>26</v>
      </c>
      <c r="I930" s="1645"/>
      <c r="J930" s="1630"/>
      <c r="K930" s="1630"/>
      <c r="L930" s="1631"/>
      <c r="M930" s="1631"/>
      <c r="N930" s="1631"/>
      <c r="O930" s="1631"/>
      <c r="P930" s="1631"/>
      <c r="Q930" s="1631"/>
      <c r="R930" s="1631"/>
      <c r="S930" s="1631"/>
      <c r="T930" s="1632"/>
      <c r="U930" s="1633"/>
      <c r="V930" s="1633"/>
      <c r="W930" s="1634"/>
      <c r="X930" s="1634"/>
      <c r="Y930" s="1634"/>
      <c r="Z930" s="1635"/>
      <c r="AA930" s="1634">
        <f t="shared" si="612"/>
        <v>0</v>
      </c>
      <c r="AB930" s="1634"/>
      <c r="AC930" s="1508">
        <f t="shared" si="613"/>
        <v>26</v>
      </c>
      <c r="AD930" s="1509">
        <f t="shared" si="614"/>
        <v>0</v>
      </c>
      <c r="AE930" s="1509">
        <f t="shared" si="615"/>
        <v>0</v>
      </c>
      <c r="AF930" s="1509">
        <f t="shared" si="615"/>
        <v>0</v>
      </c>
      <c r="AG930" s="1509">
        <f t="shared" si="615"/>
        <v>0</v>
      </c>
      <c r="AH930" s="1490">
        <f t="shared" si="609"/>
        <v>6.5</v>
      </c>
      <c r="AI930" s="1636">
        <f t="shared" si="616"/>
        <v>0</v>
      </c>
      <c r="AJ930" s="1636">
        <f t="shared" si="617"/>
        <v>0</v>
      </c>
      <c r="AK930" s="1636">
        <f t="shared" si="618"/>
        <v>0</v>
      </c>
      <c r="AL930" s="1636">
        <f t="shared" si="593"/>
        <v>0</v>
      </c>
      <c r="AM930" s="1636">
        <f t="shared" si="593"/>
        <v>0</v>
      </c>
      <c r="AN930" s="1637"/>
      <c r="AO930" s="1722">
        <v>2.2000000000000002</v>
      </c>
      <c r="AP930" s="1638"/>
      <c r="AQ930" s="1638"/>
      <c r="AR930" s="1638"/>
      <c r="AS930" s="1639"/>
      <c r="AT930" s="1638"/>
      <c r="AU930" s="1638"/>
      <c r="AV930" s="1638"/>
      <c r="AW930" s="1639"/>
      <c r="AX930" s="1640"/>
      <c r="AY930" s="1640"/>
      <c r="AZ930" s="1640"/>
      <c r="BA930" s="1641"/>
      <c r="BB930" s="1640"/>
      <c r="BC930" s="1640"/>
      <c r="BD930" s="1640"/>
      <c r="BE930" s="1644">
        <v>6.5</v>
      </c>
      <c r="BF930" s="1640"/>
      <c r="BG930" s="1640"/>
      <c r="BH930" s="1640"/>
      <c r="BI930" s="1641"/>
      <c r="BJ930" s="1640"/>
      <c r="BK930" s="1640"/>
      <c r="BL930" s="1640"/>
      <c r="BM930" s="1641"/>
      <c r="BN930" s="1640"/>
      <c r="BO930" s="1640"/>
      <c r="BP930" s="1640"/>
      <c r="BQ930" s="1641"/>
      <c r="BR930" s="1640"/>
      <c r="BS930" s="1640"/>
      <c r="BT930" s="1640"/>
      <c r="BU930" s="1641">
        <v>10.8</v>
      </c>
      <c r="BV930" s="1640"/>
      <c r="BW930" s="1640"/>
      <c r="BX930" s="1640"/>
      <c r="BY930" s="1641"/>
      <c r="BZ930" s="1640"/>
      <c r="CA930" s="1640"/>
      <c r="CB930" s="1640"/>
      <c r="CC930" s="1641"/>
      <c r="CD930" s="1640"/>
      <c r="CE930" s="1640"/>
      <c r="CF930" s="1640"/>
      <c r="CG930" s="1642"/>
      <c r="CH930" s="1641">
        <f t="shared" si="619"/>
        <v>6.5</v>
      </c>
      <c r="CI930" s="1641">
        <f t="shared" si="619"/>
        <v>0</v>
      </c>
      <c r="CJ930" s="1641">
        <f t="shared" si="619"/>
        <v>0</v>
      </c>
      <c r="CK930" s="1641">
        <f t="shared" si="619"/>
        <v>0</v>
      </c>
      <c r="CL930" s="1889">
        <v>6.5</v>
      </c>
      <c r="CM930" s="1889">
        <v>0</v>
      </c>
      <c r="CN930" s="1889">
        <v>0</v>
      </c>
      <c r="CO930" s="1889">
        <v>0</v>
      </c>
      <c r="CP930" s="1641"/>
      <c r="CQ930" s="1640"/>
      <c r="CR930" s="1640"/>
      <c r="CS930" s="1640"/>
    </row>
    <row r="931" spans="1:103" ht="15" thickBot="1" x14ac:dyDescent="0.2">
      <c r="A931" s="1541" t="s">
        <v>94</v>
      </c>
      <c r="B931" s="1523" t="s">
        <v>79</v>
      </c>
      <c r="C931" s="1523" t="s">
        <v>80</v>
      </c>
      <c r="D931" s="1523" t="s">
        <v>125</v>
      </c>
      <c r="E931" s="1523" t="s">
        <v>216</v>
      </c>
      <c r="F931" s="1523"/>
      <c r="G931" s="1667" t="s">
        <v>95</v>
      </c>
      <c r="H931" s="1851"/>
      <c r="I931" s="1645"/>
      <c r="J931" s="1630"/>
      <c r="K931" s="1630"/>
      <c r="L931" s="1631"/>
      <c r="M931" s="1631"/>
      <c r="N931" s="1631"/>
      <c r="O931" s="1631"/>
      <c r="P931" s="1631"/>
      <c r="Q931" s="1631"/>
      <c r="R931" s="1631"/>
      <c r="S931" s="1631"/>
      <c r="T931" s="1632"/>
      <c r="U931" s="1633"/>
      <c r="V931" s="1633"/>
      <c r="W931" s="1634"/>
      <c r="X931" s="1634"/>
      <c r="Y931" s="1634"/>
      <c r="Z931" s="1635"/>
      <c r="AA931" s="1634">
        <f t="shared" si="612"/>
        <v>0</v>
      </c>
      <c r="AB931" s="1634"/>
      <c r="AC931" s="1508">
        <f t="shared" si="613"/>
        <v>0</v>
      </c>
      <c r="AD931" s="1509">
        <f t="shared" si="614"/>
        <v>0</v>
      </c>
      <c r="AE931" s="1509">
        <f t="shared" si="615"/>
        <v>0</v>
      </c>
      <c r="AF931" s="1509">
        <f t="shared" si="615"/>
        <v>0</v>
      </c>
      <c r="AG931" s="1509">
        <f t="shared" si="615"/>
        <v>0</v>
      </c>
      <c r="AH931" s="1490">
        <f t="shared" si="609"/>
        <v>0</v>
      </c>
      <c r="AI931" s="1636">
        <f t="shared" si="616"/>
        <v>0</v>
      </c>
      <c r="AJ931" s="1636">
        <f t="shared" si="617"/>
        <v>0</v>
      </c>
      <c r="AK931" s="1636">
        <f t="shared" si="618"/>
        <v>0</v>
      </c>
      <c r="AL931" s="1636">
        <f t="shared" si="593"/>
        <v>0</v>
      </c>
      <c r="AM931" s="1636">
        <f t="shared" si="593"/>
        <v>0</v>
      </c>
      <c r="AN931" s="1637"/>
      <c r="AO931" s="1722">
        <v>0</v>
      </c>
      <c r="AP931" s="1638"/>
      <c r="AQ931" s="1638"/>
      <c r="AR931" s="1638"/>
      <c r="AS931" s="1639"/>
      <c r="AT931" s="1638"/>
      <c r="AU931" s="1638"/>
      <c r="AV931" s="1638"/>
      <c r="AW931" s="1639"/>
      <c r="AX931" s="1640"/>
      <c r="AY931" s="1640"/>
      <c r="AZ931" s="1640"/>
      <c r="BA931" s="1641"/>
      <c r="BB931" s="1640"/>
      <c r="BC931" s="1640"/>
      <c r="BD931" s="1640"/>
      <c r="BE931" s="1644"/>
      <c r="BF931" s="1640"/>
      <c r="BG931" s="1640"/>
      <c r="BH931" s="1640"/>
      <c r="BI931" s="1641"/>
      <c r="BJ931" s="1640"/>
      <c r="BK931" s="1640"/>
      <c r="BL931" s="1640"/>
      <c r="BM931" s="1641"/>
      <c r="BN931" s="1640"/>
      <c r="BO931" s="1640"/>
      <c r="BP931" s="1640"/>
      <c r="BQ931" s="1641"/>
      <c r="BR931" s="1640"/>
      <c r="BS931" s="1640"/>
      <c r="BT931" s="1640"/>
      <c r="BU931" s="1641"/>
      <c r="BV931" s="1640"/>
      <c r="BW931" s="1640"/>
      <c r="BX931" s="1640"/>
      <c r="BY931" s="1641"/>
      <c r="BZ931" s="1640"/>
      <c r="CA931" s="1640"/>
      <c r="CB931" s="1640"/>
      <c r="CC931" s="1641"/>
      <c r="CD931" s="1640"/>
      <c r="CE931" s="1640"/>
      <c r="CF931" s="1640"/>
      <c r="CG931" s="1642"/>
      <c r="CH931" s="1641">
        <f t="shared" si="619"/>
        <v>0</v>
      </c>
      <c r="CI931" s="1641">
        <f t="shared" si="619"/>
        <v>0</v>
      </c>
      <c r="CJ931" s="1641">
        <f t="shared" si="619"/>
        <v>0</v>
      </c>
      <c r="CK931" s="1641">
        <f t="shared" si="619"/>
        <v>0</v>
      </c>
      <c r="CL931" s="1889">
        <v>0</v>
      </c>
      <c r="CM931" s="1889">
        <v>0</v>
      </c>
      <c r="CN931" s="1889">
        <v>0</v>
      </c>
      <c r="CO931" s="1889">
        <v>0</v>
      </c>
      <c r="CP931" s="1641"/>
      <c r="CQ931" s="1640"/>
      <c r="CR931" s="1640"/>
      <c r="CS931" s="1640"/>
    </row>
    <row r="932" spans="1:103" ht="15" thickBot="1" x14ac:dyDescent="0.2">
      <c r="A932" s="1541" t="s">
        <v>96</v>
      </c>
      <c r="B932" s="1523" t="s">
        <v>79</v>
      </c>
      <c r="C932" s="1523" t="s">
        <v>80</v>
      </c>
      <c r="D932" s="1523" t="s">
        <v>125</v>
      </c>
      <c r="E932" s="1523" t="s">
        <v>216</v>
      </c>
      <c r="F932" s="1523"/>
      <c r="G932" s="1667">
        <v>310</v>
      </c>
      <c r="H932" s="1851">
        <v>200</v>
      </c>
      <c r="I932" s="1645">
        <f>1400-700-300</f>
        <v>400</v>
      </c>
      <c r="J932" s="1630"/>
      <c r="K932" s="1630">
        <f>310-110-U932</f>
        <v>40</v>
      </c>
      <c r="L932" s="1631"/>
      <c r="M932" s="1631"/>
      <c r="N932" s="1631"/>
      <c r="O932" s="1631"/>
      <c r="P932" s="1631"/>
      <c r="Q932" s="1631"/>
      <c r="R932" s="1631"/>
      <c r="S932" s="1631"/>
      <c r="T932" s="1632"/>
      <c r="U932" s="1633">
        <v>160</v>
      </c>
      <c r="V932" s="1633"/>
      <c r="W932" s="1634"/>
      <c r="X932" s="1634"/>
      <c r="Y932" s="1634"/>
      <c r="Z932" s="1635"/>
      <c r="AA932" s="1634">
        <f t="shared" si="612"/>
        <v>0</v>
      </c>
      <c r="AB932" s="1634"/>
      <c r="AC932" s="1508">
        <f t="shared" si="613"/>
        <v>200</v>
      </c>
      <c r="AD932" s="1509">
        <f t="shared" si="614"/>
        <v>440</v>
      </c>
      <c r="AE932" s="1509">
        <f t="shared" si="615"/>
        <v>400</v>
      </c>
      <c r="AF932" s="1509">
        <f t="shared" si="615"/>
        <v>0</v>
      </c>
      <c r="AG932" s="1509">
        <f t="shared" si="615"/>
        <v>40</v>
      </c>
      <c r="AH932" s="1490">
        <f t="shared" si="609"/>
        <v>79.951999999999998</v>
      </c>
      <c r="AI932" s="1636">
        <f t="shared" si="616"/>
        <v>0</v>
      </c>
      <c r="AJ932" s="1636">
        <f t="shared" si="617"/>
        <v>0</v>
      </c>
      <c r="AK932" s="1636">
        <f t="shared" si="618"/>
        <v>0</v>
      </c>
      <c r="AL932" s="1636">
        <f t="shared" si="593"/>
        <v>0</v>
      </c>
      <c r="AM932" s="1636">
        <f t="shared" si="593"/>
        <v>0</v>
      </c>
      <c r="AN932" s="1637"/>
      <c r="AO932" s="1723"/>
      <c r="AP932" s="1638"/>
      <c r="AQ932" s="1638"/>
      <c r="AR932" s="1638"/>
      <c r="AS932" s="1639"/>
      <c r="AT932" s="1638"/>
      <c r="AU932" s="1638"/>
      <c r="AV932" s="1638"/>
      <c r="AW932" s="1639"/>
      <c r="AX932" s="1640"/>
      <c r="AY932" s="1640"/>
      <c r="AZ932" s="1640"/>
      <c r="BA932" s="1641"/>
      <c r="BB932" s="1640"/>
      <c r="BC932" s="1640"/>
      <c r="BD932" s="1640"/>
      <c r="BE932" s="1644"/>
      <c r="BF932" s="1640"/>
      <c r="BG932" s="1640"/>
      <c r="BH932" s="1640"/>
      <c r="BI932" s="1641">
        <v>50</v>
      </c>
      <c r="BJ932" s="1640"/>
      <c r="BK932" s="1640"/>
      <c r="BL932" s="1640"/>
      <c r="BM932" s="1641">
        <v>70</v>
      </c>
      <c r="BN932" s="1640">
        <v>200</v>
      </c>
      <c r="BO932" s="1640"/>
      <c r="BP932" s="1640"/>
      <c r="BQ932" s="1641">
        <v>4.8000000000000001E-2</v>
      </c>
      <c r="BR932" s="1640"/>
      <c r="BS932" s="1640"/>
      <c r="BT932" s="1640"/>
      <c r="BU932" s="1641"/>
      <c r="BV932" s="1640"/>
      <c r="BW932" s="1640"/>
      <c r="BX932" s="1640"/>
      <c r="BY932" s="1641"/>
      <c r="BZ932" s="1640"/>
      <c r="CA932" s="1640"/>
      <c r="CB932" s="1640"/>
      <c r="CC932" s="1641"/>
      <c r="CD932" s="1640"/>
      <c r="CE932" s="1640"/>
      <c r="CF932" s="1640"/>
      <c r="CG932" s="1642"/>
      <c r="CH932" s="1641">
        <f t="shared" si="619"/>
        <v>79.951999999999998</v>
      </c>
      <c r="CI932" s="1641">
        <f t="shared" si="619"/>
        <v>200</v>
      </c>
      <c r="CJ932" s="1641">
        <f t="shared" si="619"/>
        <v>0</v>
      </c>
      <c r="CK932" s="1641">
        <f t="shared" si="619"/>
        <v>40</v>
      </c>
      <c r="CL932" s="1889">
        <v>79.951999999999998</v>
      </c>
      <c r="CM932" s="1889">
        <v>200</v>
      </c>
      <c r="CN932" s="1889">
        <v>0</v>
      </c>
      <c r="CO932" s="1889">
        <v>40</v>
      </c>
      <c r="CP932" s="1641"/>
      <c r="CQ932" s="1640"/>
      <c r="CR932" s="1640"/>
      <c r="CS932" s="1640"/>
    </row>
    <row r="933" spans="1:103" ht="15" thickBot="1" x14ac:dyDescent="0.2">
      <c r="A933" s="1541" t="s">
        <v>97</v>
      </c>
      <c r="B933" s="1523" t="s">
        <v>79</v>
      </c>
      <c r="C933" s="1523" t="s">
        <v>80</v>
      </c>
      <c r="D933" s="1523" t="s">
        <v>125</v>
      </c>
      <c r="E933" s="1523" t="s">
        <v>216</v>
      </c>
      <c r="F933" s="1523"/>
      <c r="G933" s="1667">
        <v>340</v>
      </c>
      <c r="H933" s="1851"/>
      <c r="I933" s="1645"/>
      <c r="J933" s="1630"/>
      <c r="K933" s="1630"/>
      <c r="L933" s="1631"/>
      <c r="M933" s="1631"/>
      <c r="N933" s="1631"/>
      <c r="O933" s="1631"/>
      <c r="P933" s="1631"/>
      <c r="Q933" s="1631"/>
      <c r="R933" s="1631"/>
      <c r="S933" s="1631"/>
      <c r="T933" s="1632"/>
      <c r="U933" s="1633"/>
      <c r="V933" s="1633"/>
      <c r="W933" s="1634"/>
      <c r="X933" s="1634"/>
      <c r="Y933" s="1634"/>
      <c r="Z933" s="1635"/>
      <c r="AA933" s="1634">
        <f t="shared" si="612"/>
        <v>0</v>
      </c>
      <c r="AB933" s="1634"/>
      <c r="AC933" s="1508">
        <f t="shared" si="613"/>
        <v>0</v>
      </c>
      <c r="AD933" s="1509">
        <f t="shared" si="614"/>
        <v>0</v>
      </c>
      <c r="AE933" s="1509">
        <f t="shared" si="615"/>
        <v>0</v>
      </c>
      <c r="AF933" s="1509">
        <f t="shared" si="615"/>
        <v>0</v>
      </c>
      <c r="AG933" s="1509">
        <f t="shared" si="615"/>
        <v>0</v>
      </c>
      <c r="AH933" s="1490">
        <f t="shared" si="609"/>
        <v>0</v>
      </c>
      <c r="AI933" s="1636">
        <f t="shared" si="616"/>
        <v>0</v>
      </c>
      <c r="AJ933" s="1636">
        <f t="shared" si="617"/>
        <v>0</v>
      </c>
      <c r="AK933" s="1636">
        <f t="shared" si="618"/>
        <v>0</v>
      </c>
      <c r="AL933" s="1636">
        <f t="shared" si="593"/>
        <v>0</v>
      </c>
      <c r="AM933" s="1636">
        <f t="shared" si="593"/>
        <v>0</v>
      </c>
      <c r="AN933" s="1637"/>
      <c r="AO933" s="1722">
        <v>0</v>
      </c>
      <c r="AP933" s="1638"/>
      <c r="AQ933" s="1638"/>
      <c r="AR933" s="1638"/>
      <c r="AS933" s="1639"/>
      <c r="AT933" s="1638"/>
      <c r="AU933" s="1638"/>
      <c r="AV933" s="1638"/>
      <c r="AW933" s="1639"/>
      <c r="AX933" s="1640"/>
      <c r="AY933" s="1640"/>
      <c r="AZ933" s="1640"/>
      <c r="BA933" s="1641"/>
      <c r="BB933" s="1640"/>
      <c r="BC933" s="1640"/>
      <c r="BD933" s="1640"/>
      <c r="BE933" s="1644"/>
      <c r="BF933" s="1640"/>
      <c r="BG933" s="1640"/>
      <c r="BH933" s="1640"/>
      <c r="BI933" s="1641"/>
      <c r="BJ933" s="1640"/>
      <c r="BK933" s="1640"/>
      <c r="BL933" s="1640"/>
      <c r="BM933" s="1641"/>
      <c r="BN933" s="1640"/>
      <c r="BO933" s="1640"/>
      <c r="BP933" s="1640"/>
      <c r="BQ933" s="1641"/>
      <c r="BR933" s="1640"/>
      <c r="BS933" s="1640"/>
      <c r="BT933" s="1640"/>
      <c r="BU933" s="1641"/>
      <c r="BV933" s="1640"/>
      <c r="BW933" s="1640"/>
      <c r="BX933" s="1640"/>
      <c r="BY933" s="1641"/>
      <c r="BZ933" s="1640"/>
      <c r="CA933" s="1640"/>
      <c r="CB933" s="1640"/>
      <c r="CC933" s="1641"/>
      <c r="CD933" s="1640"/>
      <c r="CE933" s="1640"/>
      <c r="CF933" s="1640"/>
      <c r="CG933" s="1642"/>
      <c r="CH933" s="1641">
        <f t="shared" si="619"/>
        <v>0</v>
      </c>
      <c r="CI933" s="1641">
        <f t="shared" si="619"/>
        <v>0</v>
      </c>
      <c r="CJ933" s="1641">
        <f t="shared" si="619"/>
        <v>0</v>
      </c>
      <c r="CK933" s="1641">
        <f t="shared" si="619"/>
        <v>0</v>
      </c>
      <c r="CL933" s="1889">
        <v>0</v>
      </c>
      <c r="CM933" s="1889">
        <v>0</v>
      </c>
      <c r="CN933" s="1889">
        <v>0</v>
      </c>
      <c r="CO933" s="1889">
        <v>0</v>
      </c>
      <c r="CP933" s="1641"/>
      <c r="CQ933" s="1640"/>
      <c r="CR933" s="1640"/>
      <c r="CS933" s="1640"/>
    </row>
    <row r="934" spans="1:103" ht="14" x14ac:dyDescent="0.15">
      <c r="A934" s="1528" t="s">
        <v>767</v>
      </c>
      <c r="B934" s="1530" t="s">
        <v>79</v>
      </c>
      <c r="C934" s="1530" t="s">
        <v>80</v>
      </c>
      <c r="D934" s="1530" t="s">
        <v>125</v>
      </c>
      <c r="E934" s="1530" t="s">
        <v>216</v>
      </c>
      <c r="F934" s="1530">
        <v>612</v>
      </c>
      <c r="G934" s="1687" t="s">
        <v>766</v>
      </c>
      <c r="H934" s="1647">
        <f>I920</f>
        <v>400</v>
      </c>
      <c r="I934" s="1645"/>
      <c r="J934" s="1630"/>
      <c r="K934" s="1630"/>
      <c r="L934" s="1631"/>
      <c r="M934" s="1631"/>
      <c r="N934" s="1631"/>
      <c r="O934" s="1631"/>
      <c r="P934" s="1631"/>
      <c r="Q934" s="1631"/>
      <c r="R934" s="1631"/>
      <c r="S934" s="1631"/>
      <c r="T934" s="1632"/>
      <c r="U934" s="1633"/>
      <c r="V934" s="1633"/>
      <c r="W934" s="1634"/>
      <c r="X934" s="1634"/>
      <c r="Y934" s="1634"/>
      <c r="Z934" s="1635"/>
      <c r="AA934" s="1634">
        <f t="shared" si="612"/>
        <v>0</v>
      </c>
      <c r="AB934" s="1634"/>
      <c r="AC934" s="1508"/>
      <c r="AD934" s="1509"/>
      <c r="AE934" s="1509"/>
      <c r="AF934" s="1509"/>
      <c r="AG934" s="1509"/>
      <c r="AH934" s="1490">
        <f t="shared" si="609"/>
        <v>0</v>
      </c>
      <c r="AI934" s="1636"/>
      <c r="AJ934" s="1636"/>
      <c r="AK934" s="1636"/>
      <c r="AL934" s="1636"/>
      <c r="AM934" s="1636"/>
      <c r="AN934" s="1712"/>
      <c r="AO934" s="1713"/>
      <c r="AP934" s="1638"/>
      <c r="AQ934" s="1638"/>
      <c r="AR934" s="1638"/>
      <c r="AS934" s="1639"/>
      <c r="AT934" s="1638"/>
      <c r="AU934" s="1638"/>
      <c r="AV934" s="1638"/>
      <c r="AW934" s="1639"/>
      <c r="AX934" s="1640"/>
      <c r="AY934" s="1640"/>
      <c r="AZ934" s="1640"/>
      <c r="BA934" s="1641"/>
      <c r="BB934" s="1640"/>
      <c r="BC934" s="1640"/>
      <c r="BD934" s="1640"/>
      <c r="BE934" s="1644"/>
      <c r="BF934" s="1640"/>
      <c r="BG934" s="1640"/>
      <c r="BH934" s="1640"/>
      <c r="BI934" s="1641"/>
      <c r="BJ934" s="1640"/>
      <c r="BK934" s="1640"/>
      <c r="BL934" s="1640"/>
      <c r="BM934" s="1641"/>
      <c r="BN934" s="1640"/>
      <c r="BO934" s="1640"/>
      <c r="BP934" s="1640"/>
      <c r="BQ934" s="1641"/>
      <c r="BR934" s="1640"/>
      <c r="BS934" s="1640"/>
      <c r="BT934" s="1640"/>
      <c r="BU934" s="1641"/>
      <c r="BV934" s="1640"/>
      <c r="BW934" s="1640"/>
      <c r="BX934" s="1640"/>
      <c r="BY934" s="1641"/>
      <c r="BZ934" s="1640"/>
      <c r="CA934" s="1640"/>
      <c r="CB934" s="1640"/>
      <c r="CC934" s="1641"/>
      <c r="CD934" s="1640"/>
      <c r="CE934" s="1640"/>
      <c r="CF934" s="1640"/>
      <c r="CG934" s="1642"/>
      <c r="CH934" s="1641"/>
      <c r="CI934" s="1640"/>
      <c r="CJ934" s="1640"/>
      <c r="CK934" s="1640"/>
    </row>
    <row r="935" spans="1:103" s="1480" customFormat="1" ht="42" x14ac:dyDescent="0.15">
      <c r="A935" s="1999" t="s">
        <v>1180</v>
      </c>
      <c r="B935" s="1674" t="s">
        <v>79</v>
      </c>
      <c r="C935" s="1674" t="s">
        <v>80</v>
      </c>
      <c r="D935" s="1674" t="s">
        <v>125</v>
      </c>
      <c r="E935" s="1674" t="s">
        <v>784</v>
      </c>
      <c r="F935" s="1676"/>
      <c r="G935" s="1676"/>
      <c r="H935" s="1677">
        <f>H936</f>
        <v>9097.5</v>
      </c>
      <c r="I935" s="1677">
        <f t="shared" ref="I935:CK937" si="620">I936</f>
        <v>0</v>
      </c>
      <c r="J935" s="1677">
        <f t="shared" si="620"/>
        <v>0</v>
      </c>
      <c r="K935" s="1677">
        <f t="shared" si="620"/>
        <v>0</v>
      </c>
      <c r="L935" s="1678"/>
      <c r="M935" s="1678"/>
      <c r="N935" s="1678"/>
      <c r="O935" s="1678"/>
      <c r="P935" s="1678"/>
      <c r="Q935" s="1678"/>
      <c r="R935" s="1678"/>
      <c r="S935" s="1678"/>
      <c r="T935" s="1679"/>
      <c r="U935" s="1680"/>
      <c r="V935" s="1680"/>
      <c r="W935" s="2000"/>
      <c r="X935" s="2000"/>
      <c r="Y935" s="2000"/>
      <c r="Z935" s="1682"/>
      <c r="AA935" s="1634">
        <f t="shared" si="612"/>
        <v>0</v>
      </c>
      <c r="AB935" s="2000"/>
      <c r="AC935" s="2000">
        <f t="shared" si="620"/>
        <v>9097.5</v>
      </c>
      <c r="AD935" s="2000">
        <f t="shared" si="620"/>
        <v>0</v>
      </c>
      <c r="AE935" s="2000">
        <f t="shared" si="620"/>
        <v>0</v>
      </c>
      <c r="AF935" s="2000">
        <f t="shared" si="620"/>
        <v>0</v>
      </c>
      <c r="AG935" s="2000">
        <f t="shared" si="620"/>
        <v>0</v>
      </c>
      <c r="AH935" s="1490">
        <f t="shared" si="609"/>
        <v>0</v>
      </c>
      <c r="AI935" s="2000">
        <f t="shared" si="620"/>
        <v>0</v>
      </c>
      <c r="AJ935" s="2000">
        <f t="shared" si="620"/>
        <v>0</v>
      </c>
      <c r="AK935" s="2000">
        <f t="shared" si="620"/>
        <v>0</v>
      </c>
      <c r="AL935" s="2000">
        <f t="shared" si="620"/>
        <v>0</v>
      </c>
      <c r="AM935" s="2000">
        <f t="shared" si="620"/>
        <v>0</v>
      </c>
      <c r="AN935" s="1681"/>
      <c r="AO935" s="2000">
        <f t="shared" si="620"/>
        <v>758.1</v>
      </c>
      <c r="AP935" s="2000">
        <f t="shared" si="620"/>
        <v>0</v>
      </c>
      <c r="AQ935" s="2000">
        <f t="shared" si="620"/>
        <v>0</v>
      </c>
      <c r="AR935" s="2000">
        <f t="shared" si="620"/>
        <v>0</v>
      </c>
      <c r="AS935" s="1682">
        <f t="shared" si="620"/>
        <v>758.1</v>
      </c>
      <c r="AT935" s="2000">
        <f t="shared" si="620"/>
        <v>0</v>
      </c>
      <c r="AU935" s="2000">
        <f t="shared" si="620"/>
        <v>0</v>
      </c>
      <c r="AV935" s="2000">
        <f t="shared" si="620"/>
        <v>0</v>
      </c>
      <c r="AW935" s="2000">
        <f t="shared" si="620"/>
        <v>700</v>
      </c>
      <c r="AX935" s="2000">
        <f t="shared" si="620"/>
        <v>0</v>
      </c>
      <c r="AY935" s="2000">
        <f t="shared" si="620"/>
        <v>0</v>
      </c>
      <c r="AZ935" s="2000">
        <f t="shared" si="620"/>
        <v>0</v>
      </c>
      <c r="BA935" s="1681">
        <f t="shared" si="620"/>
        <v>700</v>
      </c>
      <c r="BB935" s="2000">
        <f t="shared" si="620"/>
        <v>0</v>
      </c>
      <c r="BC935" s="2000">
        <f t="shared" si="620"/>
        <v>0</v>
      </c>
      <c r="BD935" s="2000">
        <f t="shared" si="620"/>
        <v>0</v>
      </c>
      <c r="BE935" s="1681">
        <f t="shared" si="620"/>
        <v>700</v>
      </c>
      <c r="BF935" s="2000">
        <f t="shared" si="620"/>
        <v>0</v>
      </c>
      <c r="BG935" s="2000">
        <f t="shared" si="620"/>
        <v>0</v>
      </c>
      <c r="BH935" s="2000">
        <f t="shared" si="620"/>
        <v>0</v>
      </c>
      <c r="BI935" s="1681">
        <f t="shared" si="620"/>
        <v>700</v>
      </c>
      <c r="BJ935" s="2000">
        <f t="shared" si="620"/>
        <v>0</v>
      </c>
      <c r="BK935" s="2000">
        <f t="shared" si="620"/>
        <v>0</v>
      </c>
      <c r="BL935" s="2000">
        <f t="shared" si="620"/>
        <v>0</v>
      </c>
      <c r="BM935" s="1681">
        <f t="shared" si="620"/>
        <v>700</v>
      </c>
      <c r="BN935" s="2000">
        <f t="shared" si="620"/>
        <v>0</v>
      </c>
      <c r="BO935" s="2000">
        <f t="shared" si="620"/>
        <v>0</v>
      </c>
      <c r="BP935" s="2000">
        <f t="shared" si="620"/>
        <v>0</v>
      </c>
      <c r="BQ935" s="1681">
        <f t="shared" si="620"/>
        <v>1000</v>
      </c>
      <c r="BR935" s="2000">
        <f t="shared" si="620"/>
        <v>0</v>
      </c>
      <c r="BS935" s="2000">
        <f t="shared" si="620"/>
        <v>0</v>
      </c>
      <c r="BT935" s="2000">
        <f t="shared" si="620"/>
        <v>0</v>
      </c>
      <c r="BU935" s="1681">
        <f t="shared" si="620"/>
        <v>758</v>
      </c>
      <c r="BV935" s="2000">
        <f t="shared" si="620"/>
        <v>0</v>
      </c>
      <c r="BW935" s="2000">
        <f t="shared" si="620"/>
        <v>0</v>
      </c>
      <c r="BX935" s="2000">
        <f t="shared" si="620"/>
        <v>0</v>
      </c>
      <c r="BY935" s="1681">
        <f t="shared" si="620"/>
        <v>758</v>
      </c>
      <c r="BZ935" s="2000">
        <f t="shared" si="620"/>
        <v>0</v>
      </c>
      <c r="CA935" s="2000">
        <f t="shared" si="620"/>
        <v>0</v>
      </c>
      <c r="CB935" s="2000">
        <f t="shared" si="620"/>
        <v>0</v>
      </c>
      <c r="CC935" s="1681">
        <f t="shared" si="620"/>
        <v>807.20000000000016</v>
      </c>
      <c r="CD935" s="2000">
        <f t="shared" si="620"/>
        <v>0</v>
      </c>
      <c r="CE935" s="2000">
        <f t="shared" si="620"/>
        <v>0</v>
      </c>
      <c r="CF935" s="2000">
        <f t="shared" si="620"/>
        <v>0</v>
      </c>
      <c r="CG935" s="2001"/>
      <c r="CH935" s="1681">
        <f t="shared" si="620"/>
        <v>758.10000000000014</v>
      </c>
      <c r="CI935" s="2000">
        <f t="shared" si="620"/>
        <v>0</v>
      </c>
      <c r="CJ935" s="2000">
        <f t="shared" si="620"/>
        <v>0</v>
      </c>
      <c r="CK935" s="2000">
        <f t="shared" si="620"/>
        <v>0</v>
      </c>
      <c r="CL935" s="1481"/>
      <c r="CM935" s="1481"/>
      <c r="CN935" s="1481"/>
      <c r="CO935" s="1481"/>
      <c r="CP935" s="1481"/>
      <c r="CQ935" s="1481"/>
      <c r="CR935" s="1481"/>
      <c r="CS935" s="1481"/>
      <c r="CT935" s="1481"/>
      <c r="CU935" s="1481"/>
      <c r="CV935" s="1481"/>
      <c r="CW935" s="1481"/>
      <c r="CY935" s="1481"/>
    </row>
    <row r="936" spans="1:103" s="1480" customFormat="1" ht="56" x14ac:dyDescent="0.15">
      <c r="A936" s="1794" t="s">
        <v>1181</v>
      </c>
      <c r="B936" s="1675" t="s">
        <v>79</v>
      </c>
      <c r="C936" s="1675" t="s">
        <v>80</v>
      </c>
      <c r="D936" s="1675" t="s">
        <v>125</v>
      </c>
      <c r="E936" s="1675" t="s">
        <v>784</v>
      </c>
      <c r="F936" s="2002"/>
      <c r="G936" s="2002"/>
      <c r="H936" s="2003">
        <f>H937</f>
        <v>9097.5</v>
      </c>
      <c r="I936" s="2003">
        <f t="shared" si="620"/>
        <v>0</v>
      </c>
      <c r="J936" s="2003">
        <f t="shared" si="620"/>
        <v>0</v>
      </c>
      <c r="K936" s="2003">
        <f t="shared" si="620"/>
        <v>0</v>
      </c>
      <c r="L936" s="2004"/>
      <c r="M936" s="2004"/>
      <c r="N936" s="2004"/>
      <c r="O936" s="2004"/>
      <c r="P936" s="2004"/>
      <c r="Q936" s="2004"/>
      <c r="R936" s="2004"/>
      <c r="S936" s="2004"/>
      <c r="T936" s="2005"/>
      <c r="U936" s="2006"/>
      <c r="V936" s="2006"/>
      <c r="W936" s="2007"/>
      <c r="X936" s="2007"/>
      <c r="Y936" s="2007"/>
      <c r="Z936" s="2008"/>
      <c r="AA936" s="1634">
        <f t="shared" si="612"/>
        <v>0</v>
      </c>
      <c r="AB936" s="2007"/>
      <c r="AC936" s="2007">
        <f t="shared" si="620"/>
        <v>9097.5</v>
      </c>
      <c r="AD936" s="2007">
        <f t="shared" si="620"/>
        <v>0</v>
      </c>
      <c r="AE936" s="2007">
        <f t="shared" si="620"/>
        <v>0</v>
      </c>
      <c r="AF936" s="2007">
        <f t="shared" si="620"/>
        <v>0</v>
      </c>
      <c r="AG936" s="2007">
        <f t="shared" si="620"/>
        <v>0</v>
      </c>
      <c r="AH936" s="1490">
        <f t="shared" si="609"/>
        <v>0</v>
      </c>
      <c r="AI936" s="2007">
        <f t="shared" si="620"/>
        <v>0</v>
      </c>
      <c r="AJ936" s="2007">
        <f t="shared" si="620"/>
        <v>0</v>
      </c>
      <c r="AK936" s="2007">
        <f t="shared" si="620"/>
        <v>0</v>
      </c>
      <c r="AL936" s="2007">
        <f t="shared" si="620"/>
        <v>0</v>
      </c>
      <c r="AM936" s="2007">
        <f t="shared" si="620"/>
        <v>0</v>
      </c>
      <c r="AN936" s="2009"/>
      <c r="AO936" s="2007">
        <f t="shared" si="620"/>
        <v>758.1</v>
      </c>
      <c r="AP936" s="2007">
        <f t="shared" si="620"/>
        <v>0</v>
      </c>
      <c r="AQ936" s="2007">
        <f t="shared" si="620"/>
        <v>0</v>
      </c>
      <c r="AR936" s="2007">
        <f t="shared" si="620"/>
        <v>0</v>
      </c>
      <c r="AS936" s="2008">
        <f t="shared" si="620"/>
        <v>758.1</v>
      </c>
      <c r="AT936" s="2007">
        <f t="shared" si="620"/>
        <v>0</v>
      </c>
      <c r="AU936" s="2007">
        <f t="shared" si="620"/>
        <v>0</v>
      </c>
      <c r="AV936" s="2007">
        <f t="shared" si="620"/>
        <v>0</v>
      </c>
      <c r="AW936" s="2007">
        <f t="shared" si="620"/>
        <v>700</v>
      </c>
      <c r="AX936" s="2007">
        <f t="shared" si="620"/>
        <v>0</v>
      </c>
      <c r="AY936" s="2007">
        <f t="shared" si="620"/>
        <v>0</v>
      </c>
      <c r="AZ936" s="2007">
        <f t="shared" si="620"/>
        <v>0</v>
      </c>
      <c r="BA936" s="2009">
        <f t="shared" si="620"/>
        <v>700</v>
      </c>
      <c r="BB936" s="2007">
        <f t="shared" si="620"/>
        <v>0</v>
      </c>
      <c r="BC936" s="2007">
        <f t="shared" si="620"/>
        <v>0</v>
      </c>
      <c r="BD936" s="2007">
        <f t="shared" si="620"/>
        <v>0</v>
      </c>
      <c r="BE936" s="2009">
        <f t="shared" si="620"/>
        <v>700</v>
      </c>
      <c r="BF936" s="2007">
        <f t="shared" si="620"/>
        <v>0</v>
      </c>
      <c r="BG936" s="2007">
        <f t="shared" si="620"/>
        <v>0</v>
      </c>
      <c r="BH936" s="2007">
        <f t="shared" si="620"/>
        <v>0</v>
      </c>
      <c r="BI936" s="2009">
        <f t="shared" si="620"/>
        <v>700</v>
      </c>
      <c r="BJ936" s="2007">
        <f t="shared" si="620"/>
        <v>0</v>
      </c>
      <c r="BK936" s="2007">
        <f t="shared" si="620"/>
        <v>0</v>
      </c>
      <c r="BL936" s="2007">
        <f t="shared" si="620"/>
        <v>0</v>
      </c>
      <c r="BM936" s="2009">
        <f t="shared" si="620"/>
        <v>700</v>
      </c>
      <c r="BN936" s="2007">
        <f t="shared" si="620"/>
        <v>0</v>
      </c>
      <c r="BO936" s="2007">
        <f t="shared" si="620"/>
        <v>0</v>
      </c>
      <c r="BP936" s="2007">
        <f t="shared" si="620"/>
        <v>0</v>
      </c>
      <c r="BQ936" s="2009">
        <f t="shared" si="620"/>
        <v>1000</v>
      </c>
      <c r="BR936" s="2007">
        <f t="shared" si="620"/>
        <v>0</v>
      </c>
      <c r="BS936" s="2007">
        <f t="shared" si="620"/>
        <v>0</v>
      </c>
      <c r="BT936" s="2007">
        <f t="shared" si="620"/>
        <v>0</v>
      </c>
      <c r="BU936" s="2009">
        <f t="shared" si="620"/>
        <v>758</v>
      </c>
      <c r="BV936" s="2007">
        <f t="shared" si="620"/>
        <v>0</v>
      </c>
      <c r="BW936" s="2007">
        <f t="shared" si="620"/>
        <v>0</v>
      </c>
      <c r="BX936" s="2007">
        <f t="shared" si="620"/>
        <v>0</v>
      </c>
      <c r="BY936" s="2009">
        <f t="shared" si="620"/>
        <v>758</v>
      </c>
      <c r="BZ936" s="2007">
        <f t="shared" si="620"/>
        <v>0</v>
      </c>
      <c r="CA936" s="2007">
        <f t="shared" si="620"/>
        <v>0</v>
      </c>
      <c r="CB936" s="2007">
        <f t="shared" si="620"/>
        <v>0</v>
      </c>
      <c r="CC936" s="2009">
        <f t="shared" si="620"/>
        <v>807.20000000000016</v>
      </c>
      <c r="CD936" s="2007">
        <f t="shared" si="620"/>
        <v>0</v>
      </c>
      <c r="CE936" s="2007">
        <f t="shared" si="620"/>
        <v>0</v>
      </c>
      <c r="CF936" s="2007">
        <f t="shared" si="620"/>
        <v>0</v>
      </c>
      <c r="CG936" s="2010"/>
      <c r="CH936" s="2009">
        <f t="shared" si="620"/>
        <v>758.10000000000014</v>
      </c>
      <c r="CI936" s="2007">
        <f t="shared" si="620"/>
        <v>0</v>
      </c>
      <c r="CJ936" s="2007">
        <f t="shared" si="620"/>
        <v>0</v>
      </c>
      <c r="CK936" s="2007">
        <f t="shared" si="620"/>
        <v>0</v>
      </c>
      <c r="CL936" s="1481"/>
      <c r="CM936" s="1481"/>
      <c r="CN936" s="1481"/>
      <c r="CO936" s="1481"/>
      <c r="CP936" s="1481"/>
      <c r="CQ936" s="1481"/>
      <c r="CR936" s="1481"/>
      <c r="CS936" s="1481"/>
      <c r="CT936" s="1481"/>
      <c r="CU936" s="1481"/>
      <c r="CV936" s="1481"/>
      <c r="CW936" s="1481"/>
      <c r="CY936" s="1481"/>
    </row>
    <row r="937" spans="1:103" s="1480" customFormat="1" ht="42" x14ac:dyDescent="0.15">
      <c r="A937" s="2011" t="s">
        <v>1110</v>
      </c>
      <c r="B937" s="1675" t="s">
        <v>79</v>
      </c>
      <c r="C937" s="1675" t="s">
        <v>80</v>
      </c>
      <c r="D937" s="1675" t="s">
        <v>125</v>
      </c>
      <c r="E937" s="1675" t="s">
        <v>784</v>
      </c>
      <c r="F937" s="2002"/>
      <c r="G937" s="2002"/>
      <c r="H937" s="2003">
        <f>H938</f>
        <v>9097.5</v>
      </c>
      <c r="I937" s="2003">
        <f t="shared" si="620"/>
        <v>0</v>
      </c>
      <c r="J937" s="2003">
        <f t="shared" si="620"/>
        <v>0</v>
      </c>
      <c r="K937" s="2003">
        <f t="shared" si="620"/>
        <v>0</v>
      </c>
      <c r="L937" s="2004"/>
      <c r="M937" s="2004"/>
      <c r="N937" s="2004"/>
      <c r="O937" s="2004"/>
      <c r="P937" s="2004"/>
      <c r="Q937" s="2004"/>
      <c r="R937" s="2004"/>
      <c r="S937" s="2004"/>
      <c r="T937" s="2005"/>
      <c r="U937" s="2006"/>
      <c r="V937" s="2006"/>
      <c r="W937" s="2007"/>
      <c r="X937" s="2007"/>
      <c r="Y937" s="2007"/>
      <c r="Z937" s="2008"/>
      <c r="AA937" s="1634">
        <f t="shared" si="612"/>
        <v>0</v>
      </c>
      <c r="AB937" s="2007"/>
      <c r="AC937" s="2007">
        <f t="shared" si="620"/>
        <v>9097.5</v>
      </c>
      <c r="AD937" s="2007">
        <f t="shared" si="620"/>
        <v>0</v>
      </c>
      <c r="AE937" s="2007">
        <f t="shared" si="620"/>
        <v>0</v>
      </c>
      <c r="AF937" s="2007">
        <f t="shared" si="620"/>
        <v>0</v>
      </c>
      <c r="AG937" s="2007">
        <f t="shared" si="620"/>
        <v>0</v>
      </c>
      <c r="AH937" s="1490">
        <f t="shared" si="609"/>
        <v>0</v>
      </c>
      <c r="AI937" s="2007">
        <f t="shared" si="620"/>
        <v>0</v>
      </c>
      <c r="AJ937" s="2007">
        <f t="shared" si="620"/>
        <v>0</v>
      </c>
      <c r="AK937" s="2007">
        <f t="shared" si="620"/>
        <v>0</v>
      </c>
      <c r="AL937" s="2007">
        <f t="shared" si="620"/>
        <v>0</v>
      </c>
      <c r="AM937" s="2007">
        <f t="shared" si="620"/>
        <v>0</v>
      </c>
      <c r="AN937" s="2009"/>
      <c r="AO937" s="2007">
        <f t="shared" si="620"/>
        <v>758.1</v>
      </c>
      <c r="AP937" s="2007">
        <f t="shared" si="620"/>
        <v>0</v>
      </c>
      <c r="AQ937" s="2007">
        <f t="shared" si="620"/>
        <v>0</v>
      </c>
      <c r="AR937" s="2007">
        <f t="shared" si="620"/>
        <v>0</v>
      </c>
      <c r="AS937" s="2008">
        <f t="shared" si="620"/>
        <v>758.1</v>
      </c>
      <c r="AT937" s="2007">
        <f t="shared" si="620"/>
        <v>0</v>
      </c>
      <c r="AU937" s="2007">
        <f t="shared" si="620"/>
        <v>0</v>
      </c>
      <c r="AV937" s="2007">
        <f t="shared" si="620"/>
        <v>0</v>
      </c>
      <c r="AW937" s="2007">
        <f t="shared" si="620"/>
        <v>700</v>
      </c>
      <c r="AX937" s="2007">
        <f t="shared" si="620"/>
        <v>0</v>
      </c>
      <c r="AY937" s="2007">
        <f t="shared" si="620"/>
        <v>0</v>
      </c>
      <c r="AZ937" s="2007">
        <f t="shared" si="620"/>
        <v>0</v>
      </c>
      <c r="BA937" s="2009">
        <f t="shared" si="620"/>
        <v>700</v>
      </c>
      <c r="BB937" s="2007">
        <f t="shared" si="620"/>
        <v>0</v>
      </c>
      <c r="BC937" s="2007">
        <f t="shared" si="620"/>
        <v>0</v>
      </c>
      <c r="BD937" s="2007">
        <f t="shared" si="620"/>
        <v>0</v>
      </c>
      <c r="BE937" s="2009">
        <f t="shared" si="620"/>
        <v>700</v>
      </c>
      <c r="BF937" s="2007">
        <f t="shared" si="620"/>
        <v>0</v>
      </c>
      <c r="BG937" s="2007">
        <f t="shared" si="620"/>
        <v>0</v>
      </c>
      <c r="BH937" s="2007">
        <f t="shared" si="620"/>
        <v>0</v>
      </c>
      <c r="BI937" s="2009">
        <f t="shared" si="620"/>
        <v>700</v>
      </c>
      <c r="BJ937" s="2007">
        <f t="shared" si="620"/>
        <v>0</v>
      </c>
      <c r="BK937" s="2007">
        <f t="shared" si="620"/>
        <v>0</v>
      </c>
      <c r="BL937" s="2007">
        <f t="shared" si="620"/>
        <v>0</v>
      </c>
      <c r="BM937" s="2009">
        <f t="shared" si="620"/>
        <v>700</v>
      </c>
      <c r="BN937" s="2007">
        <f t="shared" si="620"/>
        <v>0</v>
      </c>
      <c r="BO937" s="2007">
        <f t="shared" si="620"/>
        <v>0</v>
      </c>
      <c r="BP937" s="2007">
        <f t="shared" si="620"/>
        <v>0</v>
      </c>
      <c r="BQ937" s="2009">
        <f t="shared" si="620"/>
        <v>1000</v>
      </c>
      <c r="BR937" s="2007">
        <f t="shared" si="620"/>
        <v>0</v>
      </c>
      <c r="BS937" s="2007">
        <f t="shared" si="620"/>
        <v>0</v>
      </c>
      <c r="BT937" s="2007">
        <f t="shared" si="620"/>
        <v>0</v>
      </c>
      <c r="BU937" s="2009">
        <f t="shared" si="620"/>
        <v>758</v>
      </c>
      <c r="BV937" s="2007">
        <f t="shared" si="620"/>
        <v>0</v>
      </c>
      <c r="BW937" s="2007">
        <f t="shared" si="620"/>
        <v>0</v>
      </c>
      <c r="BX937" s="2007">
        <f t="shared" si="620"/>
        <v>0</v>
      </c>
      <c r="BY937" s="2009">
        <f t="shared" si="620"/>
        <v>758</v>
      </c>
      <c r="BZ937" s="2007">
        <f t="shared" si="620"/>
        <v>0</v>
      </c>
      <c r="CA937" s="2007">
        <f t="shared" si="620"/>
        <v>0</v>
      </c>
      <c r="CB937" s="2007">
        <f t="shared" si="620"/>
        <v>0</v>
      </c>
      <c r="CC937" s="2009">
        <f t="shared" si="620"/>
        <v>807.20000000000016</v>
      </c>
      <c r="CD937" s="2007">
        <f t="shared" si="620"/>
        <v>0</v>
      </c>
      <c r="CE937" s="2007">
        <f t="shared" si="620"/>
        <v>0</v>
      </c>
      <c r="CF937" s="2007">
        <f t="shared" si="620"/>
        <v>0</v>
      </c>
      <c r="CG937" s="2010"/>
      <c r="CH937" s="2009">
        <f t="shared" si="620"/>
        <v>758.10000000000014</v>
      </c>
      <c r="CI937" s="2007">
        <f t="shared" si="620"/>
        <v>0</v>
      </c>
      <c r="CJ937" s="2007">
        <f t="shared" si="620"/>
        <v>0</v>
      </c>
      <c r="CK937" s="2007">
        <f t="shared" si="620"/>
        <v>0</v>
      </c>
      <c r="CL937" s="1481"/>
      <c r="CM937" s="1481"/>
      <c r="CN937" s="1481"/>
      <c r="CO937" s="1481"/>
      <c r="CP937" s="1481"/>
      <c r="CQ937" s="1481"/>
      <c r="CR937" s="1481"/>
      <c r="CS937" s="1481"/>
      <c r="CT937" s="1481"/>
      <c r="CU937" s="1481"/>
      <c r="CV937" s="1481"/>
      <c r="CW937" s="1481"/>
      <c r="CY937" s="1481"/>
    </row>
    <row r="938" spans="1:103" s="1480" customFormat="1" ht="42" x14ac:dyDescent="0.15">
      <c r="A938" s="1546" t="s">
        <v>1094</v>
      </c>
      <c r="B938" s="1675" t="s">
        <v>79</v>
      </c>
      <c r="C938" s="1675" t="s">
        <v>80</v>
      </c>
      <c r="D938" s="1675" t="s">
        <v>125</v>
      </c>
      <c r="E938" s="1675" t="s">
        <v>784</v>
      </c>
      <c r="F938" s="2002" t="s">
        <v>267</v>
      </c>
      <c r="G938" s="2002"/>
      <c r="H938" s="2003">
        <f>H939+H940+H941+H942+H943+H944+H945+H946+H947+H948</f>
        <v>9097.5</v>
      </c>
      <c r="I938" s="2003">
        <f t="shared" ref="I938:CK938" si="621">I939+I940+I941+I942+I943+I944+I945+I946+I947+I948</f>
        <v>0</v>
      </c>
      <c r="J938" s="2003">
        <f t="shared" si="621"/>
        <v>0</v>
      </c>
      <c r="K938" s="2003">
        <f t="shared" si="621"/>
        <v>0</v>
      </c>
      <c r="L938" s="2004"/>
      <c r="M938" s="2004"/>
      <c r="N938" s="2004"/>
      <c r="O938" s="2004"/>
      <c r="P938" s="2004"/>
      <c r="Q938" s="2004"/>
      <c r="R938" s="2004"/>
      <c r="S938" s="2004"/>
      <c r="T938" s="2005"/>
      <c r="U938" s="2006"/>
      <c r="V938" s="2006"/>
      <c r="W938" s="2007"/>
      <c r="X938" s="2007"/>
      <c r="Y938" s="2007"/>
      <c r="Z938" s="2008"/>
      <c r="AA938" s="1634">
        <f t="shared" si="612"/>
        <v>0</v>
      </c>
      <c r="AB938" s="2007"/>
      <c r="AC938" s="2007">
        <f t="shared" si="621"/>
        <v>9097.5</v>
      </c>
      <c r="AD938" s="2007">
        <f t="shared" si="621"/>
        <v>0</v>
      </c>
      <c r="AE938" s="2012">
        <f t="shared" si="621"/>
        <v>0</v>
      </c>
      <c r="AF938" s="2012">
        <f t="shared" si="621"/>
        <v>0</v>
      </c>
      <c r="AG938" s="2007">
        <f t="shared" si="621"/>
        <v>0</v>
      </c>
      <c r="AH938" s="1490">
        <f t="shared" si="609"/>
        <v>0</v>
      </c>
      <c r="AI938" s="2007">
        <f t="shared" si="621"/>
        <v>0</v>
      </c>
      <c r="AJ938" s="2007">
        <f t="shared" si="621"/>
        <v>0</v>
      </c>
      <c r="AK938" s="2007">
        <f t="shared" si="621"/>
        <v>0</v>
      </c>
      <c r="AL938" s="2007">
        <f t="shared" si="621"/>
        <v>0</v>
      </c>
      <c r="AM938" s="2007">
        <f t="shared" si="621"/>
        <v>0</v>
      </c>
      <c r="AN938" s="2009"/>
      <c r="AO938" s="2007">
        <f t="shared" si="621"/>
        <v>758.1</v>
      </c>
      <c r="AP938" s="2007">
        <f t="shared" si="621"/>
        <v>0</v>
      </c>
      <c r="AQ938" s="2007">
        <f t="shared" si="621"/>
        <v>0</v>
      </c>
      <c r="AR938" s="2007">
        <f t="shared" si="621"/>
        <v>0</v>
      </c>
      <c r="AS938" s="2008">
        <f t="shared" si="621"/>
        <v>758.1</v>
      </c>
      <c r="AT938" s="2007">
        <f t="shared" si="621"/>
        <v>0</v>
      </c>
      <c r="AU938" s="2007">
        <f t="shared" si="621"/>
        <v>0</v>
      </c>
      <c r="AV938" s="2007">
        <f t="shared" si="621"/>
        <v>0</v>
      </c>
      <c r="AW938" s="2007">
        <f t="shared" si="621"/>
        <v>700</v>
      </c>
      <c r="AX938" s="2007">
        <f t="shared" si="621"/>
        <v>0</v>
      </c>
      <c r="AY938" s="2007">
        <f t="shared" si="621"/>
        <v>0</v>
      </c>
      <c r="AZ938" s="2007">
        <f t="shared" si="621"/>
        <v>0</v>
      </c>
      <c r="BA938" s="2009">
        <f t="shared" si="621"/>
        <v>700</v>
      </c>
      <c r="BB938" s="2007">
        <f t="shared" si="621"/>
        <v>0</v>
      </c>
      <c r="BC938" s="2007">
        <f t="shared" si="621"/>
        <v>0</v>
      </c>
      <c r="BD938" s="2007">
        <f t="shared" si="621"/>
        <v>0</v>
      </c>
      <c r="BE938" s="2009">
        <f t="shared" si="621"/>
        <v>700</v>
      </c>
      <c r="BF938" s="2007">
        <f t="shared" si="621"/>
        <v>0</v>
      </c>
      <c r="BG938" s="2007">
        <f t="shared" si="621"/>
        <v>0</v>
      </c>
      <c r="BH938" s="2007">
        <f t="shared" si="621"/>
        <v>0</v>
      </c>
      <c r="BI938" s="2009">
        <f t="shared" si="621"/>
        <v>700</v>
      </c>
      <c r="BJ938" s="2007">
        <f t="shared" si="621"/>
        <v>0</v>
      </c>
      <c r="BK938" s="2007">
        <f t="shared" si="621"/>
        <v>0</v>
      </c>
      <c r="BL938" s="2007">
        <f t="shared" si="621"/>
        <v>0</v>
      </c>
      <c r="BM938" s="2013">
        <f t="shared" si="621"/>
        <v>700</v>
      </c>
      <c r="BN938" s="2012">
        <f t="shared" si="621"/>
        <v>0</v>
      </c>
      <c r="BO938" s="2007">
        <f t="shared" si="621"/>
        <v>0</v>
      </c>
      <c r="BP938" s="2007">
        <f t="shared" si="621"/>
        <v>0</v>
      </c>
      <c r="BQ938" s="2009">
        <f t="shared" si="621"/>
        <v>1000</v>
      </c>
      <c r="BR938" s="2007">
        <f t="shared" si="621"/>
        <v>0</v>
      </c>
      <c r="BS938" s="2007">
        <f t="shared" si="621"/>
        <v>0</v>
      </c>
      <c r="BT938" s="2007">
        <f t="shared" si="621"/>
        <v>0</v>
      </c>
      <c r="BU938" s="2009">
        <f t="shared" si="621"/>
        <v>758</v>
      </c>
      <c r="BV938" s="2007">
        <f t="shared" si="621"/>
        <v>0</v>
      </c>
      <c r="BW938" s="2007">
        <f t="shared" si="621"/>
        <v>0</v>
      </c>
      <c r="BX938" s="2007">
        <f t="shared" si="621"/>
        <v>0</v>
      </c>
      <c r="BY938" s="2009">
        <f t="shared" si="621"/>
        <v>758</v>
      </c>
      <c r="BZ938" s="2007">
        <f t="shared" si="621"/>
        <v>0</v>
      </c>
      <c r="CA938" s="2007">
        <f t="shared" si="621"/>
        <v>0</v>
      </c>
      <c r="CB938" s="2007">
        <f t="shared" si="621"/>
        <v>0</v>
      </c>
      <c r="CC938" s="2013">
        <f t="shared" si="621"/>
        <v>807.20000000000016</v>
      </c>
      <c r="CD938" s="2007">
        <f t="shared" si="621"/>
        <v>0</v>
      </c>
      <c r="CE938" s="2007">
        <f t="shared" si="621"/>
        <v>0</v>
      </c>
      <c r="CF938" s="2007">
        <f t="shared" si="621"/>
        <v>0</v>
      </c>
      <c r="CG938" s="2010"/>
      <c r="CH938" s="2013">
        <f t="shared" si="621"/>
        <v>758.10000000000014</v>
      </c>
      <c r="CI938" s="2007">
        <f t="shared" si="621"/>
        <v>0</v>
      </c>
      <c r="CJ938" s="2007">
        <f t="shared" si="621"/>
        <v>0</v>
      </c>
      <c r="CK938" s="2007">
        <f t="shared" si="621"/>
        <v>0</v>
      </c>
      <c r="CL938" s="1481"/>
      <c r="CM938" s="1481"/>
      <c r="CN938" s="1481"/>
      <c r="CO938" s="1481"/>
      <c r="CP938" s="1481"/>
      <c r="CQ938" s="1481"/>
      <c r="CR938" s="1481"/>
      <c r="CS938" s="1481"/>
      <c r="CT938" s="1481"/>
      <c r="CU938" s="1481"/>
      <c r="CV938" s="1481"/>
      <c r="CW938" s="1481"/>
      <c r="CY938" s="1481"/>
    </row>
    <row r="939" spans="1:103" s="1480" customFormat="1" ht="14" x14ac:dyDescent="0.15">
      <c r="A939" s="2014" t="s">
        <v>181</v>
      </c>
      <c r="B939" s="1675" t="s">
        <v>79</v>
      </c>
      <c r="C939" s="1675" t="s">
        <v>80</v>
      </c>
      <c r="D939" s="1675" t="s">
        <v>125</v>
      </c>
      <c r="E939" s="1675" t="s">
        <v>784</v>
      </c>
      <c r="F939" s="2002" t="s">
        <v>267</v>
      </c>
      <c r="G939" s="2002" t="s">
        <v>184</v>
      </c>
      <c r="H939" s="2003">
        <v>4076.1</v>
      </c>
      <c r="I939" s="1645"/>
      <c r="J939" s="1630"/>
      <c r="K939" s="1630"/>
      <c r="L939" s="1631"/>
      <c r="M939" s="1631"/>
      <c r="N939" s="1631"/>
      <c r="O939" s="1631"/>
      <c r="P939" s="1631"/>
      <c r="Q939" s="1631"/>
      <c r="R939" s="1631"/>
      <c r="S939" s="1631"/>
      <c r="T939" s="1632"/>
      <c r="U939" s="1633"/>
      <c r="V939" s="1633"/>
      <c r="W939" s="1891"/>
      <c r="X939" s="1891"/>
      <c r="Y939" s="1891"/>
      <c r="Z939" s="2015">
        <f t="shared" ref="Z939:Z948" si="622">H939/12*11-AC939</f>
        <v>-339.67499999999973</v>
      </c>
      <c r="AA939" s="1891"/>
      <c r="AB939" s="1891"/>
      <c r="AC939" s="1891">
        <f t="shared" ref="AC939:AC948" si="623">AO939+AS939+AW939+BA939+BE939+BI939+BM939+BQ939+BU939+BY939+CC939+CH939</f>
        <v>4076.1</v>
      </c>
      <c r="AD939" s="1891"/>
      <c r="AE939" s="2016"/>
      <c r="AF939" s="1893"/>
      <c r="AG939" s="1892"/>
      <c r="AH939" s="1490">
        <f t="shared" si="609"/>
        <v>0</v>
      </c>
      <c r="AI939" s="1891">
        <f t="shared" ref="AI939:AI948" si="624">H939-AC939</f>
        <v>0</v>
      </c>
      <c r="AJ939" s="1891">
        <f>AK939+AL939+AM939</f>
        <v>0</v>
      </c>
      <c r="AK939" s="1891">
        <f t="shared" ref="AK939:AM948" si="625">I939-AE939</f>
        <v>0</v>
      </c>
      <c r="AL939" s="1891">
        <f t="shared" si="625"/>
        <v>0</v>
      </c>
      <c r="AM939" s="1891">
        <f t="shared" si="625"/>
        <v>0</v>
      </c>
      <c r="AN939" s="1637"/>
      <c r="AO939" s="1891">
        <v>339.6</v>
      </c>
      <c r="AP939" s="1894"/>
      <c r="AQ939" s="1894"/>
      <c r="AR939" s="1894"/>
      <c r="AS939" s="1639">
        <v>339.6</v>
      </c>
      <c r="AT939" s="1894"/>
      <c r="AU939" s="1894"/>
      <c r="AV939" s="1894"/>
      <c r="AW939" s="2017">
        <v>311</v>
      </c>
      <c r="AX939" s="1895"/>
      <c r="AY939" s="1895"/>
      <c r="AZ939" s="1895"/>
      <c r="BA939" s="2018">
        <v>311</v>
      </c>
      <c r="BB939" s="1895"/>
      <c r="BC939" s="1895"/>
      <c r="BD939" s="1895"/>
      <c r="BE939" s="2018">
        <v>311</v>
      </c>
      <c r="BF939" s="1895"/>
      <c r="BG939" s="1895"/>
      <c r="BH939" s="1895"/>
      <c r="BI939" s="2018">
        <v>311</v>
      </c>
      <c r="BJ939" s="1895"/>
      <c r="BK939" s="1895"/>
      <c r="BL939" s="2019"/>
      <c r="BM939" s="2018">
        <v>324.39999999999998</v>
      </c>
      <c r="BN939" s="2020"/>
      <c r="BO939" s="1895"/>
      <c r="BP939" s="1895"/>
      <c r="BQ939" s="1641">
        <f>300+283</f>
        <v>583</v>
      </c>
      <c r="BR939" s="1895"/>
      <c r="BS939" s="1895"/>
      <c r="BT939" s="1895"/>
      <c r="BU939" s="2021">
        <v>339.3</v>
      </c>
      <c r="BV939" s="1895"/>
      <c r="BW939" s="1895"/>
      <c r="BX939" s="1895"/>
      <c r="BY939" s="2021">
        <v>339.3</v>
      </c>
      <c r="BZ939" s="1895"/>
      <c r="CA939" s="1895"/>
      <c r="CB939" s="2019"/>
      <c r="CC939" s="2022">
        <v>227.2</v>
      </c>
      <c r="CD939" s="1895"/>
      <c r="CE939" s="1895"/>
      <c r="CF939" s="1895"/>
      <c r="CG939" s="1896"/>
      <c r="CH939" s="1801">
        <v>339.7</v>
      </c>
      <c r="CI939" s="1895"/>
      <c r="CJ939" s="1895"/>
      <c r="CK939" s="1895"/>
      <c r="CL939" s="1481"/>
      <c r="CM939" s="1481"/>
      <c r="CN939" s="1481"/>
      <c r="CO939" s="1481"/>
      <c r="CP939" s="1481"/>
      <c r="CQ939" s="1481"/>
      <c r="CR939" s="1481"/>
      <c r="CS939" s="1481"/>
      <c r="CT939" s="1481"/>
      <c r="CU939" s="1481"/>
      <c r="CV939" s="1481"/>
      <c r="CW939" s="1481"/>
      <c r="CY939" s="1481"/>
    </row>
    <row r="940" spans="1:103" s="1480" customFormat="1" ht="14" x14ac:dyDescent="0.15">
      <c r="A940" s="2014" t="s">
        <v>185</v>
      </c>
      <c r="B940" s="1675" t="s">
        <v>79</v>
      </c>
      <c r="C940" s="1675" t="s">
        <v>80</v>
      </c>
      <c r="D940" s="1675" t="s">
        <v>125</v>
      </c>
      <c r="E940" s="1675" t="s">
        <v>784</v>
      </c>
      <c r="F940" s="2002" t="s">
        <v>267</v>
      </c>
      <c r="G940" s="2002" t="s">
        <v>184</v>
      </c>
      <c r="H940" s="2003">
        <v>842.1</v>
      </c>
      <c r="I940" s="1645"/>
      <c r="J940" s="1630"/>
      <c r="K940" s="1630"/>
      <c r="L940" s="1631"/>
      <c r="M940" s="1631"/>
      <c r="N940" s="1631"/>
      <c r="O940" s="1631"/>
      <c r="P940" s="1631"/>
      <c r="Q940" s="1631"/>
      <c r="R940" s="1631"/>
      <c r="S940" s="1631"/>
      <c r="T940" s="1632"/>
      <c r="U940" s="1633"/>
      <c r="V940" s="1633"/>
      <c r="W940" s="1891"/>
      <c r="X940" s="1891"/>
      <c r="Y940" s="1891"/>
      <c r="Z940" s="2015">
        <f t="shared" si="622"/>
        <v>-70.175000000000182</v>
      </c>
      <c r="AA940" s="1891"/>
      <c r="AB940" s="1891"/>
      <c r="AC940" s="1891">
        <f t="shared" si="623"/>
        <v>842.10000000000014</v>
      </c>
      <c r="AD940" s="1891"/>
      <c r="AE940" s="2016"/>
      <c r="AF940" s="1893"/>
      <c r="AG940" s="1892"/>
      <c r="AH940" s="1490">
        <f t="shared" si="609"/>
        <v>0</v>
      </c>
      <c r="AI940" s="1891">
        <f t="shared" si="624"/>
        <v>0</v>
      </c>
      <c r="AJ940" s="1891">
        <f t="shared" ref="AJ940:AJ948" si="626">AK940+AL940+AM940</f>
        <v>0</v>
      </c>
      <c r="AK940" s="1891">
        <f t="shared" si="625"/>
        <v>0</v>
      </c>
      <c r="AL940" s="1891">
        <f t="shared" si="625"/>
        <v>0</v>
      </c>
      <c r="AM940" s="1891">
        <f t="shared" si="625"/>
        <v>0</v>
      </c>
      <c r="AN940" s="1637"/>
      <c r="AO940" s="1891">
        <v>70.2</v>
      </c>
      <c r="AP940" s="1894"/>
      <c r="AQ940" s="1894"/>
      <c r="AR940" s="1894"/>
      <c r="AS940" s="1639">
        <v>70.099999999999994</v>
      </c>
      <c r="AT940" s="1894"/>
      <c r="AU940" s="1894"/>
      <c r="AV940" s="1894"/>
      <c r="AW940" s="2017">
        <v>68</v>
      </c>
      <c r="AX940" s="1895"/>
      <c r="AY940" s="1895"/>
      <c r="AZ940" s="1895"/>
      <c r="BA940" s="2018">
        <v>68</v>
      </c>
      <c r="BB940" s="1895"/>
      <c r="BC940" s="1895"/>
      <c r="BD940" s="1895"/>
      <c r="BE940" s="2018">
        <v>68</v>
      </c>
      <c r="BF940" s="1895"/>
      <c r="BG940" s="1895"/>
      <c r="BH940" s="1895"/>
      <c r="BI940" s="2018">
        <v>68</v>
      </c>
      <c r="BJ940" s="1895"/>
      <c r="BK940" s="1895"/>
      <c r="BL940" s="2019"/>
      <c r="BM940" s="2018">
        <v>52</v>
      </c>
      <c r="BN940" s="2020"/>
      <c r="BO940" s="1895"/>
      <c r="BP940" s="1895"/>
      <c r="BQ940" s="2023">
        <v>69.900000000000006</v>
      </c>
      <c r="BR940" s="1895"/>
      <c r="BS940" s="1895"/>
      <c r="BT940" s="1895"/>
      <c r="BU940" s="2021">
        <v>70.2</v>
      </c>
      <c r="BV940" s="1895"/>
      <c r="BW940" s="1895"/>
      <c r="BX940" s="1895"/>
      <c r="BY940" s="2021">
        <v>70.2</v>
      </c>
      <c r="BZ940" s="1895"/>
      <c r="CA940" s="1895"/>
      <c r="CB940" s="2019"/>
      <c r="CC940" s="2022">
        <v>97.3</v>
      </c>
      <c r="CD940" s="1895"/>
      <c r="CE940" s="1895"/>
      <c r="CF940" s="1895"/>
      <c r="CG940" s="1896"/>
      <c r="CH940" s="1801">
        <v>70.2</v>
      </c>
      <c r="CI940" s="1895"/>
      <c r="CJ940" s="1895"/>
      <c r="CK940" s="1895"/>
      <c r="CL940" s="1481"/>
      <c r="CM940" s="1481"/>
      <c r="CN940" s="1481"/>
      <c r="CO940" s="1481"/>
      <c r="CP940" s="1481"/>
      <c r="CQ940" s="1481"/>
      <c r="CR940" s="1481"/>
      <c r="CS940" s="1481"/>
      <c r="CT940" s="1481"/>
      <c r="CU940" s="1481"/>
      <c r="CV940" s="1481"/>
      <c r="CW940" s="1481"/>
      <c r="CY940" s="1481"/>
    </row>
    <row r="941" spans="1:103" s="1480" customFormat="1" ht="14" x14ac:dyDescent="0.15">
      <c r="A941" s="2014" t="s">
        <v>186</v>
      </c>
      <c r="B941" s="1675" t="s">
        <v>79</v>
      </c>
      <c r="C941" s="1675" t="s">
        <v>80</v>
      </c>
      <c r="D941" s="1675" t="s">
        <v>125</v>
      </c>
      <c r="E941" s="1675" t="s">
        <v>784</v>
      </c>
      <c r="F941" s="2002" t="s">
        <v>267</v>
      </c>
      <c r="G941" s="2002" t="s">
        <v>184</v>
      </c>
      <c r="H941" s="2003">
        <f>608-36.24</f>
        <v>571.76</v>
      </c>
      <c r="I941" s="1645"/>
      <c r="J941" s="1630"/>
      <c r="K941" s="1630"/>
      <c r="L941" s="1631"/>
      <c r="M941" s="1631"/>
      <c r="N941" s="1631"/>
      <c r="O941" s="1631"/>
      <c r="P941" s="1631"/>
      <c r="Q941" s="1631"/>
      <c r="R941" s="1631"/>
      <c r="S941" s="1631"/>
      <c r="T941" s="1632"/>
      <c r="U941" s="1633"/>
      <c r="V941" s="1633"/>
      <c r="W941" s="1891"/>
      <c r="X941" s="1891"/>
      <c r="Y941" s="1891"/>
      <c r="Z941" s="2015">
        <f t="shared" si="622"/>
        <v>-47.646666666666647</v>
      </c>
      <c r="AA941" s="1891"/>
      <c r="AB941" s="1891"/>
      <c r="AC941" s="1891">
        <f t="shared" si="623"/>
        <v>571.76</v>
      </c>
      <c r="AD941" s="1891"/>
      <c r="AE941" s="2016"/>
      <c r="AF941" s="1893"/>
      <c r="AG941" s="1892"/>
      <c r="AH941" s="1490">
        <f t="shared" si="609"/>
        <v>0</v>
      </c>
      <c r="AI941" s="1891">
        <f t="shared" si="624"/>
        <v>0</v>
      </c>
      <c r="AJ941" s="1891">
        <f t="shared" si="626"/>
        <v>0</v>
      </c>
      <c r="AK941" s="1891">
        <f t="shared" si="625"/>
        <v>0</v>
      </c>
      <c r="AL941" s="1891">
        <f t="shared" si="625"/>
        <v>0</v>
      </c>
      <c r="AM941" s="1891">
        <f t="shared" si="625"/>
        <v>0</v>
      </c>
      <c r="AN941" s="1637"/>
      <c r="AO941" s="1891">
        <v>50.7</v>
      </c>
      <c r="AP941" s="1894"/>
      <c r="AQ941" s="1894"/>
      <c r="AR941" s="1894"/>
      <c r="AS941" s="1639">
        <v>47.6</v>
      </c>
      <c r="AT941" s="1894"/>
      <c r="AU941" s="1894"/>
      <c r="AV941" s="1894"/>
      <c r="AW941" s="2017">
        <v>27</v>
      </c>
      <c r="AX941" s="1895"/>
      <c r="AY941" s="1895"/>
      <c r="AZ941" s="1895"/>
      <c r="BA941" s="2018">
        <v>27</v>
      </c>
      <c r="BB941" s="1895"/>
      <c r="BC941" s="1895"/>
      <c r="BD941" s="1895"/>
      <c r="BE941" s="2018">
        <v>27</v>
      </c>
      <c r="BF941" s="1895"/>
      <c r="BG941" s="1895"/>
      <c r="BH941" s="1895"/>
      <c r="BI941" s="2018">
        <v>27</v>
      </c>
      <c r="BJ941" s="1895"/>
      <c r="BK941" s="1895"/>
      <c r="BL941" s="2019"/>
      <c r="BM941" s="2018">
        <v>109</v>
      </c>
      <c r="BN941" s="2020"/>
      <c r="BO941" s="1895"/>
      <c r="BP941" s="1895"/>
      <c r="BQ941" s="2023">
        <v>47.5</v>
      </c>
      <c r="BR941" s="1895"/>
      <c r="BS941" s="1895"/>
      <c r="BT941" s="1895"/>
      <c r="BU941" s="2021">
        <v>47.7</v>
      </c>
      <c r="BV941" s="1895"/>
      <c r="BW941" s="1895"/>
      <c r="BX941" s="1895"/>
      <c r="BY941" s="2021">
        <v>47.7</v>
      </c>
      <c r="BZ941" s="1895"/>
      <c r="CA941" s="1895"/>
      <c r="CB941" s="2019"/>
      <c r="CC941" s="2022">
        <v>66</v>
      </c>
      <c r="CD941" s="1895"/>
      <c r="CE941" s="1895"/>
      <c r="CF941" s="1895"/>
      <c r="CG941" s="1896"/>
      <c r="CH941" s="1801">
        <v>47.56</v>
      </c>
      <c r="CI941" s="1895"/>
      <c r="CJ941" s="1895"/>
      <c r="CK941" s="1895"/>
      <c r="CL941" s="1481"/>
      <c r="CM941" s="1481"/>
      <c r="CN941" s="1481"/>
      <c r="CO941" s="1481"/>
      <c r="CP941" s="1481"/>
      <c r="CQ941" s="1481"/>
      <c r="CR941" s="1481"/>
      <c r="CS941" s="1481"/>
      <c r="CT941" s="1481"/>
      <c r="CU941" s="1481"/>
      <c r="CV941" s="1481"/>
      <c r="CW941" s="1481"/>
      <c r="CY941" s="1481"/>
    </row>
    <row r="942" spans="1:103" s="1480" customFormat="1" ht="14" x14ac:dyDescent="0.15">
      <c r="A942" s="2014" t="s">
        <v>187</v>
      </c>
      <c r="B942" s="1675" t="s">
        <v>79</v>
      </c>
      <c r="C942" s="1675" t="s">
        <v>80</v>
      </c>
      <c r="D942" s="1675" t="s">
        <v>125</v>
      </c>
      <c r="E942" s="1675" t="s">
        <v>784</v>
      </c>
      <c r="F942" s="2002" t="s">
        <v>267</v>
      </c>
      <c r="G942" s="2002" t="s">
        <v>184</v>
      </c>
      <c r="H942" s="2003">
        <v>474.8</v>
      </c>
      <c r="I942" s="1645"/>
      <c r="J942" s="1630"/>
      <c r="K942" s="1630"/>
      <c r="L942" s="1631"/>
      <c r="M942" s="1631"/>
      <c r="N942" s="1631"/>
      <c r="O942" s="1631"/>
      <c r="P942" s="1631"/>
      <c r="Q942" s="1631"/>
      <c r="R942" s="1631"/>
      <c r="S942" s="1631"/>
      <c r="T942" s="1632"/>
      <c r="U942" s="1633"/>
      <c r="V942" s="1633"/>
      <c r="W942" s="1891"/>
      <c r="X942" s="1891"/>
      <c r="Y942" s="1891"/>
      <c r="Z942" s="2015">
        <f t="shared" si="622"/>
        <v>-39.56666666666672</v>
      </c>
      <c r="AA942" s="1891"/>
      <c r="AB942" s="1891"/>
      <c r="AC942" s="1891">
        <f t="shared" si="623"/>
        <v>474.80000000000007</v>
      </c>
      <c r="AD942" s="1891"/>
      <c r="AE942" s="2016"/>
      <c r="AF942" s="1893"/>
      <c r="AG942" s="1892"/>
      <c r="AH942" s="1490">
        <f t="shared" si="609"/>
        <v>0</v>
      </c>
      <c r="AI942" s="1891">
        <f t="shared" si="624"/>
        <v>0</v>
      </c>
      <c r="AJ942" s="1891">
        <f t="shared" si="626"/>
        <v>0</v>
      </c>
      <c r="AK942" s="1891">
        <f t="shared" si="625"/>
        <v>0</v>
      </c>
      <c r="AL942" s="1891">
        <f t="shared" si="625"/>
        <v>0</v>
      </c>
      <c r="AM942" s="1891">
        <f t="shared" si="625"/>
        <v>0</v>
      </c>
      <c r="AN942" s="1637"/>
      <c r="AO942" s="1891">
        <v>39.6</v>
      </c>
      <c r="AP942" s="1894"/>
      <c r="AQ942" s="1894"/>
      <c r="AR942" s="1894"/>
      <c r="AS942" s="1639">
        <v>39.6</v>
      </c>
      <c r="AT942" s="1894"/>
      <c r="AU942" s="1894"/>
      <c r="AV942" s="1894"/>
      <c r="AW942" s="2017">
        <v>40</v>
      </c>
      <c r="AX942" s="1895"/>
      <c r="AY942" s="1895"/>
      <c r="AZ942" s="1895"/>
      <c r="BA942" s="2018">
        <v>40</v>
      </c>
      <c r="BB942" s="1895"/>
      <c r="BC942" s="1895"/>
      <c r="BD942" s="1895"/>
      <c r="BE942" s="2018">
        <v>40</v>
      </c>
      <c r="BF942" s="1895"/>
      <c r="BG942" s="1895"/>
      <c r="BH942" s="1895"/>
      <c r="BI942" s="2018">
        <v>40</v>
      </c>
      <c r="BJ942" s="1895"/>
      <c r="BK942" s="1895"/>
      <c r="BL942" s="2019"/>
      <c r="BM942" s="2018">
        <v>22.6</v>
      </c>
      <c r="BN942" s="2020"/>
      <c r="BO942" s="1895"/>
      <c r="BP942" s="1895"/>
      <c r="BQ942" s="2023">
        <v>39.4</v>
      </c>
      <c r="BR942" s="1895"/>
      <c r="BS942" s="1895"/>
      <c r="BT942" s="1895"/>
      <c r="BU942" s="2021">
        <v>39.6</v>
      </c>
      <c r="BV942" s="1895"/>
      <c r="BW942" s="1895"/>
      <c r="BX942" s="1895"/>
      <c r="BY942" s="2021">
        <v>39.6</v>
      </c>
      <c r="BZ942" s="1895"/>
      <c r="CA942" s="1895"/>
      <c r="CB942" s="2019"/>
      <c r="CC942" s="2022">
        <v>54.8</v>
      </c>
      <c r="CD942" s="1895"/>
      <c r="CE942" s="1895"/>
      <c r="CF942" s="1895"/>
      <c r="CG942" s="1896"/>
      <c r="CH942" s="1801">
        <v>39.6</v>
      </c>
      <c r="CI942" s="1895"/>
      <c r="CJ942" s="1895"/>
      <c r="CK942" s="1895"/>
      <c r="CL942" s="1481"/>
      <c r="CM942" s="1481"/>
      <c r="CN942" s="1481"/>
      <c r="CO942" s="1481"/>
      <c r="CP942" s="1481"/>
      <c r="CQ942" s="1481"/>
      <c r="CR942" s="1481"/>
      <c r="CS942" s="1481"/>
      <c r="CT942" s="1481"/>
      <c r="CU942" s="1481"/>
      <c r="CV942" s="1481"/>
      <c r="CW942" s="1481"/>
      <c r="CY942" s="1481"/>
    </row>
    <row r="943" spans="1:103" s="1480" customFormat="1" ht="14" x14ac:dyDescent="0.15">
      <c r="A943" s="2014" t="s">
        <v>1182</v>
      </c>
      <c r="B943" s="1675" t="s">
        <v>79</v>
      </c>
      <c r="C943" s="1675" t="s">
        <v>80</v>
      </c>
      <c r="D943" s="1675" t="s">
        <v>125</v>
      </c>
      <c r="E943" s="1675" t="s">
        <v>784</v>
      </c>
      <c r="F943" s="2002" t="s">
        <v>267</v>
      </c>
      <c r="G943" s="2002" t="s">
        <v>184</v>
      </c>
      <c r="H943" s="2003">
        <v>327.60000000000002</v>
      </c>
      <c r="I943" s="1645"/>
      <c r="J943" s="1630"/>
      <c r="K943" s="1630"/>
      <c r="L943" s="1631"/>
      <c r="M943" s="1631"/>
      <c r="N943" s="1631"/>
      <c r="O943" s="1631"/>
      <c r="P943" s="1631"/>
      <c r="Q943" s="1631"/>
      <c r="R943" s="1631"/>
      <c r="S943" s="1631"/>
      <c r="T943" s="1632"/>
      <c r="U943" s="1633"/>
      <c r="V943" s="1633"/>
      <c r="W943" s="1891"/>
      <c r="X943" s="1891"/>
      <c r="Y943" s="1891"/>
      <c r="Z943" s="2015">
        <f t="shared" si="622"/>
        <v>-27.299999999999955</v>
      </c>
      <c r="AA943" s="1891"/>
      <c r="AB943" s="1891"/>
      <c r="AC943" s="1891">
        <f t="shared" si="623"/>
        <v>327.59999999999997</v>
      </c>
      <c r="AD943" s="1891"/>
      <c r="AE943" s="2016"/>
      <c r="AF943" s="1893"/>
      <c r="AG943" s="1892"/>
      <c r="AH943" s="1490">
        <f t="shared" si="609"/>
        <v>0</v>
      </c>
      <c r="AI943" s="1891">
        <f t="shared" si="624"/>
        <v>0</v>
      </c>
      <c r="AJ943" s="1891">
        <f t="shared" si="626"/>
        <v>0</v>
      </c>
      <c r="AK943" s="1891">
        <f t="shared" si="625"/>
        <v>0</v>
      </c>
      <c r="AL943" s="1891">
        <f t="shared" si="625"/>
        <v>0</v>
      </c>
      <c r="AM943" s="1891">
        <f t="shared" si="625"/>
        <v>0</v>
      </c>
      <c r="AN943" s="1637"/>
      <c r="AO943" s="1891">
        <v>27.3</v>
      </c>
      <c r="AP943" s="1894"/>
      <c r="AQ943" s="1894"/>
      <c r="AR943" s="1894"/>
      <c r="AS943" s="1639">
        <v>27.3</v>
      </c>
      <c r="AT943" s="1894"/>
      <c r="AU943" s="1894"/>
      <c r="AV943" s="1894"/>
      <c r="AW943" s="2017">
        <v>27</v>
      </c>
      <c r="AX943" s="1895"/>
      <c r="AY943" s="1895"/>
      <c r="AZ943" s="1895"/>
      <c r="BA943" s="2018">
        <v>27</v>
      </c>
      <c r="BB943" s="1895"/>
      <c r="BC943" s="1895"/>
      <c r="BD943" s="1895"/>
      <c r="BE943" s="2018">
        <v>27</v>
      </c>
      <c r="BF943" s="1895"/>
      <c r="BG943" s="1895"/>
      <c r="BH943" s="1895"/>
      <c r="BI943" s="2018">
        <v>27</v>
      </c>
      <c r="BJ943" s="1895"/>
      <c r="BK943" s="1895"/>
      <c r="BL943" s="2019"/>
      <c r="BM943" s="2018">
        <v>18</v>
      </c>
      <c r="BN943" s="2020"/>
      <c r="BO943" s="1895"/>
      <c r="BP943" s="1895"/>
      <c r="BQ943" s="2023">
        <v>27.2</v>
      </c>
      <c r="BR943" s="1895"/>
      <c r="BS943" s="1895"/>
      <c r="BT943" s="1895"/>
      <c r="BU943" s="2021">
        <v>27.3</v>
      </c>
      <c r="BV943" s="1895"/>
      <c r="BW943" s="1895"/>
      <c r="BX943" s="1895"/>
      <c r="BY943" s="2021">
        <v>27.3</v>
      </c>
      <c r="BZ943" s="1895"/>
      <c r="CA943" s="1895"/>
      <c r="CB943" s="2019"/>
      <c r="CC943" s="2022">
        <v>37.9</v>
      </c>
      <c r="CD943" s="1895"/>
      <c r="CE943" s="1895"/>
      <c r="CF943" s="1895"/>
      <c r="CG943" s="1896"/>
      <c r="CH943" s="1801">
        <v>27.3</v>
      </c>
      <c r="CI943" s="1895"/>
      <c r="CJ943" s="1895"/>
      <c r="CK943" s="1895"/>
      <c r="CL943" s="1481"/>
      <c r="CM943" s="1481"/>
      <c r="CN943" s="1481"/>
      <c r="CO943" s="1481"/>
      <c r="CP943" s="1481"/>
      <c r="CQ943" s="1481"/>
      <c r="CR943" s="1481"/>
      <c r="CS943" s="1481"/>
      <c r="CT943" s="1481"/>
      <c r="CU943" s="1481"/>
      <c r="CV943" s="1481"/>
      <c r="CW943" s="1481"/>
      <c r="CY943" s="1481"/>
    </row>
    <row r="944" spans="1:103" s="23" customFormat="1" ht="14" x14ac:dyDescent="0.15">
      <c r="A944" s="2014" t="s">
        <v>189</v>
      </c>
      <c r="B944" s="1675" t="s">
        <v>79</v>
      </c>
      <c r="C944" s="1675" t="s">
        <v>80</v>
      </c>
      <c r="D944" s="1675" t="s">
        <v>125</v>
      </c>
      <c r="E944" s="1675" t="s">
        <v>784</v>
      </c>
      <c r="F944" s="2002" t="s">
        <v>267</v>
      </c>
      <c r="G944" s="2002" t="s">
        <v>184</v>
      </c>
      <c r="H944" s="2003">
        <v>306.89999999999998</v>
      </c>
      <c r="I944" s="1645"/>
      <c r="J944" s="1630"/>
      <c r="K944" s="1630"/>
      <c r="L944" s="1631"/>
      <c r="M944" s="1631"/>
      <c r="N944" s="1631"/>
      <c r="O944" s="1631"/>
      <c r="P944" s="1631"/>
      <c r="Q944" s="1631"/>
      <c r="R944" s="1631"/>
      <c r="S944" s="1631"/>
      <c r="T944" s="1632"/>
      <c r="U944" s="1633"/>
      <c r="V944" s="1633"/>
      <c r="W944" s="1630"/>
      <c r="X944" s="1630"/>
      <c r="Y944" s="1630"/>
      <c r="Z944" s="2015">
        <f t="shared" si="622"/>
        <v>-25.574999999999989</v>
      </c>
      <c r="AA944" s="1630"/>
      <c r="AB944" s="1630"/>
      <c r="AC944" s="1630">
        <f t="shared" si="623"/>
        <v>306.89999999999998</v>
      </c>
      <c r="AD944" s="1630"/>
      <c r="AE944" s="2016"/>
      <c r="AF944" s="1994"/>
      <c r="AG944" s="1990"/>
      <c r="AH944" s="1490">
        <f t="shared" si="609"/>
        <v>0</v>
      </c>
      <c r="AI944" s="1630">
        <f t="shared" si="624"/>
        <v>0</v>
      </c>
      <c r="AJ944" s="1630">
        <f t="shared" si="626"/>
        <v>0</v>
      </c>
      <c r="AK944" s="1630">
        <f t="shared" si="625"/>
        <v>0</v>
      </c>
      <c r="AL944" s="1891">
        <f t="shared" si="625"/>
        <v>0</v>
      </c>
      <c r="AM944" s="1630">
        <f t="shared" si="625"/>
        <v>0</v>
      </c>
      <c r="AN944" s="1637"/>
      <c r="AO944" s="1630">
        <v>25.5</v>
      </c>
      <c r="AP944" s="1638"/>
      <c r="AQ944" s="1638"/>
      <c r="AR944" s="1638"/>
      <c r="AS944" s="1639">
        <v>25.6</v>
      </c>
      <c r="AT944" s="1638"/>
      <c r="AU944" s="1638"/>
      <c r="AV944" s="1638"/>
      <c r="AW944" s="2024">
        <v>26</v>
      </c>
      <c r="AX944" s="1640"/>
      <c r="AY944" s="1640"/>
      <c r="AZ944" s="1640"/>
      <c r="BA944" s="2018">
        <v>26</v>
      </c>
      <c r="BB944" s="1640"/>
      <c r="BC944" s="1640"/>
      <c r="BD944" s="1640"/>
      <c r="BE944" s="2018">
        <v>26</v>
      </c>
      <c r="BF944" s="1640"/>
      <c r="BG944" s="1640"/>
      <c r="BH944" s="1640"/>
      <c r="BI944" s="2018">
        <v>26</v>
      </c>
      <c r="BJ944" s="1640"/>
      <c r="BK944" s="1640"/>
      <c r="BL944" s="1904"/>
      <c r="BM944" s="2018">
        <v>14</v>
      </c>
      <c r="BN944" s="2025"/>
      <c r="BO944" s="1640"/>
      <c r="BP944" s="1640"/>
      <c r="BQ944" s="2023">
        <v>25.5</v>
      </c>
      <c r="BR944" s="1640"/>
      <c r="BS944" s="1640"/>
      <c r="BT944" s="1640"/>
      <c r="BU944" s="2021">
        <v>25.6</v>
      </c>
      <c r="BV944" s="1640"/>
      <c r="BW944" s="1640"/>
      <c r="BX944" s="1640"/>
      <c r="BY944" s="2021">
        <v>25.6</v>
      </c>
      <c r="BZ944" s="1640"/>
      <c r="CA944" s="1640"/>
      <c r="CB944" s="1904"/>
      <c r="CC944" s="2022">
        <v>35.5</v>
      </c>
      <c r="CD944" s="1640"/>
      <c r="CE944" s="1640"/>
      <c r="CF944" s="1640"/>
      <c r="CG944" s="1642"/>
      <c r="CH944" s="1801">
        <v>25.6</v>
      </c>
      <c r="CI944" s="1640"/>
      <c r="CJ944" s="1640"/>
      <c r="CK944" s="1640"/>
      <c r="CL944" s="1993"/>
      <c r="CM944" s="1993"/>
      <c r="CN944" s="1993"/>
      <c r="CO944" s="1993"/>
      <c r="CP944" s="1993"/>
      <c r="CQ944" s="1993"/>
      <c r="CR944" s="1993"/>
      <c r="CS944" s="1993"/>
      <c r="CT944" s="1993"/>
      <c r="CU944" s="1993"/>
      <c r="CV944" s="1993"/>
      <c r="CW944" s="1993"/>
      <c r="CY944" s="1993"/>
    </row>
    <row r="945" spans="1:103" s="1480" customFormat="1" ht="14" x14ac:dyDescent="0.15">
      <c r="A945" s="2014" t="s">
        <v>190</v>
      </c>
      <c r="B945" s="1675" t="s">
        <v>79</v>
      </c>
      <c r="C945" s="1675" t="s">
        <v>80</v>
      </c>
      <c r="D945" s="1675" t="s">
        <v>125</v>
      </c>
      <c r="E945" s="1675" t="s">
        <v>784</v>
      </c>
      <c r="F945" s="2002" t="s">
        <v>267</v>
      </c>
      <c r="G945" s="2002" t="s">
        <v>184</v>
      </c>
      <c r="H945" s="2003">
        <v>849</v>
      </c>
      <c r="I945" s="1645"/>
      <c r="J945" s="1630"/>
      <c r="K945" s="1630"/>
      <c r="L945" s="1631"/>
      <c r="M945" s="1631"/>
      <c r="N945" s="1631"/>
      <c r="O945" s="1631"/>
      <c r="P945" s="1631"/>
      <c r="Q945" s="1631"/>
      <c r="R945" s="1631"/>
      <c r="S945" s="1631"/>
      <c r="T945" s="1632"/>
      <c r="U945" s="1633"/>
      <c r="V945" s="1633"/>
      <c r="W945" s="1891"/>
      <c r="X945" s="1891"/>
      <c r="Y945" s="1891"/>
      <c r="Z945" s="2015">
        <f t="shared" si="622"/>
        <v>-70.75</v>
      </c>
      <c r="AA945" s="1891"/>
      <c r="AB945" s="1891"/>
      <c r="AC945" s="1891">
        <f t="shared" si="623"/>
        <v>849</v>
      </c>
      <c r="AD945" s="1891"/>
      <c r="AE945" s="2016"/>
      <c r="AF945" s="1893"/>
      <c r="AG945" s="1892"/>
      <c r="AH945" s="1490">
        <f t="shared" si="609"/>
        <v>0</v>
      </c>
      <c r="AI945" s="1891">
        <f t="shared" si="624"/>
        <v>0</v>
      </c>
      <c r="AJ945" s="1891">
        <f t="shared" si="626"/>
        <v>0</v>
      </c>
      <c r="AK945" s="1891">
        <f t="shared" si="625"/>
        <v>0</v>
      </c>
      <c r="AL945" s="1891">
        <f t="shared" si="625"/>
        <v>0</v>
      </c>
      <c r="AM945" s="1891">
        <f t="shared" si="625"/>
        <v>0</v>
      </c>
      <c r="AN945" s="1637"/>
      <c r="AO945" s="1891">
        <v>70.7</v>
      </c>
      <c r="AP945" s="1894"/>
      <c r="AQ945" s="1894"/>
      <c r="AR945" s="1894"/>
      <c r="AS945" s="1639">
        <v>70.8</v>
      </c>
      <c r="AT945" s="1894"/>
      <c r="AU945" s="1894"/>
      <c r="AV945" s="1894"/>
      <c r="AW945" s="2017">
        <v>70</v>
      </c>
      <c r="AX945" s="1895"/>
      <c r="AY945" s="1895"/>
      <c r="AZ945" s="1895"/>
      <c r="BA945" s="2018">
        <v>70</v>
      </c>
      <c r="BB945" s="1895"/>
      <c r="BC945" s="1895"/>
      <c r="BD945" s="1895"/>
      <c r="BE945" s="2018">
        <v>70</v>
      </c>
      <c r="BF945" s="1895"/>
      <c r="BG945" s="1895"/>
      <c r="BH945" s="1895"/>
      <c r="BI945" s="2018">
        <v>70</v>
      </c>
      <c r="BJ945" s="1895"/>
      <c r="BK945" s="1895"/>
      <c r="BL945" s="2019"/>
      <c r="BM945" s="2018">
        <v>46.6</v>
      </c>
      <c r="BN945" s="2020"/>
      <c r="BO945" s="1895"/>
      <c r="BP945" s="1895"/>
      <c r="BQ945" s="2023">
        <v>70.5</v>
      </c>
      <c r="BR945" s="1895"/>
      <c r="BS945" s="1895"/>
      <c r="BT945" s="1895"/>
      <c r="BU945" s="2021">
        <v>70.8</v>
      </c>
      <c r="BV945" s="1895"/>
      <c r="BW945" s="1895"/>
      <c r="BX945" s="1895"/>
      <c r="BY945" s="2021">
        <v>70.8</v>
      </c>
      <c r="BZ945" s="1895"/>
      <c r="CA945" s="1895"/>
      <c r="CB945" s="2019"/>
      <c r="CC945" s="2022">
        <v>98.1</v>
      </c>
      <c r="CD945" s="1895"/>
      <c r="CE945" s="1895"/>
      <c r="CF945" s="1895"/>
      <c r="CG945" s="1896"/>
      <c r="CH945" s="1801">
        <v>70.7</v>
      </c>
      <c r="CI945" s="1895"/>
      <c r="CJ945" s="1895"/>
      <c r="CK945" s="1895"/>
      <c r="CL945" s="1481"/>
      <c r="CM945" s="1481"/>
      <c r="CN945" s="1481"/>
      <c r="CO945" s="1481"/>
      <c r="CP945" s="1481"/>
      <c r="CQ945" s="1481"/>
      <c r="CR945" s="1481"/>
      <c r="CS945" s="1481"/>
      <c r="CT945" s="1481"/>
      <c r="CU945" s="1481"/>
      <c r="CV945" s="1481"/>
      <c r="CW945" s="1481"/>
      <c r="CY945" s="1481"/>
    </row>
    <row r="946" spans="1:103" s="1480" customFormat="1" ht="14" x14ac:dyDescent="0.15">
      <c r="A946" s="2014" t="s">
        <v>191</v>
      </c>
      <c r="B946" s="1675" t="s">
        <v>79</v>
      </c>
      <c r="C946" s="1675" t="s">
        <v>80</v>
      </c>
      <c r="D946" s="1675" t="s">
        <v>125</v>
      </c>
      <c r="E946" s="1675" t="s">
        <v>784</v>
      </c>
      <c r="F946" s="2002" t="s">
        <v>267</v>
      </c>
      <c r="G946" s="2002" t="s">
        <v>184</v>
      </c>
      <c r="H946" s="2003">
        <v>953.9</v>
      </c>
      <c r="I946" s="1645"/>
      <c r="J946" s="1630"/>
      <c r="K946" s="1630"/>
      <c r="L946" s="1631"/>
      <c r="M946" s="1631"/>
      <c r="N946" s="1631"/>
      <c r="O946" s="1631"/>
      <c r="P946" s="1631"/>
      <c r="Q946" s="1631"/>
      <c r="R946" s="1631"/>
      <c r="S946" s="1631"/>
      <c r="T946" s="1632"/>
      <c r="U946" s="1633"/>
      <c r="V946" s="1633"/>
      <c r="W946" s="1891"/>
      <c r="X946" s="1891"/>
      <c r="Y946" s="1891"/>
      <c r="Z946" s="2015">
        <f t="shared" si="622"/>
        <v>-79.491666666666788</v>
      </c>
      <c r="AA946" s="1891"/>
      <c r="AB946" s="1891"/>
      <c r="AC946" s="1891">
        <f t="shared" si="623"/>
        <v>953.90000000000009</v>
      </c>
      <c r="AD946" s="1891"/>
      <c r="AE946" s="2016"/>
      <c r="AF946" s="1893"/>
      <c r="AG946" s="1892"/>
      <c r="AH946" s="1490">
        <f t="shared" si="609"/>
        <v>0</v>
      </c>
      <c r="AI946" s="1891">
        <f t="shared" si="624"/>
        <v>0</v>
      </c>
      <c r="AJ946" s="1891">
        <f t="shared" si="626"/>
        <v>0</v>
      </c>
      <c r="AK946" s="1891">
        <f t="shared" si="625"/>
        <v>0</v>
      </c>
      <c r="AL946" s="1891">
        <f t="shared" si="625"/>
        <v>0</v>
      </c>
      <c r="AM946" s="1891">
        <f t="shared" si="625"/>
        <v>0</v>
      </c>
      <c r="AN946" s="1637"/>
      <c r="AO946" s="1891">
        <v>79.5</v>
      </c>
      <c r="AP946" s="1894"/>
      <c r="AQ946" s="1894"/>
      <c r="AR946" s="1894"/>
      <c r="AS946" s="1639">
        <v>79.5</v>
      </c>
      <c r="AT946" s="1894"/>
      <c r="AU946" s="1894"/>
      <c r="AV946" s="1894"/>
      <c r="AW946" s="2017">
        <v>79</v>
      </c>
      <c r="AX946" s="1895"/>
      <c r="AY946" s="1895"/>
      <c r="AZ946" s="1895"/>
      <c r="BA946" s="2018">
        <v>79</v>
      </c>
      <c r="BB946" s="1895"/>
      <c r="BC946" s="1895"/>
      <c r="BD946" s="1895"/>
      <c r="BE946" s="2018">
        <v>79</v>
      </c>
      <c r="BF946" s="1895"/>
      <c r="BG946" s="1895"/>
      <c r="BH946" s="1895"/>
      <c r="BI946" s="2018">
        <v>79</v>
      </c>
      <c r="BJ946" s="1895"/>
      <c r="BK946" s="1895"/>
      <c r="BL946" s="2019"/>
      <c r="BM946" s="2018">
        <v>51</v>
      </c>
      <c r="BN946" s="2020"/>
      <c r="BO946" s="1895"/>
      <c r="BP946" s="1895"/>
      <c r="BQ946" s="2023">
        <v>79.2</v>
      </c>
      <c r="BR946" s="1895"/>
      <c r="BS946" s="1895"/>
      <c r="BT946" s="1895"/>
      <c r="BU946" s="2021">
        <v>79.5</v>
      </c>
      <c r="BV946" s="1895"/>
      <c r="BW946" s="1895"/>
      <c r="BX946" s="1895"/>
      <c r="BY946" s="2021">
        <v>79.5</v>
      </c>
      <c r="BZ946" s="1895"/>
      <c r="CA946" s="1895"/>
      <c r="CB946" s="2019"/>
      <c r="CC946" s="2022">
        <v>110.2</v>
      </c>
      <c r="CD946" s="1895"/>
      <c r="CE946" s="1895"/>
      <c r="CF946" s="1895"/>
      <c r="CG946" s="1896"/>
      <c r="CH946" s="1801">
        <v>79.5</v>
      </c>
      <c r="CI946" s="1895"/>
      <c r="CJ946" s="1895"/>
      <c r="CK946" s="1895"/>
      <c r="CL946" s="1481"/>
      <c r="CM946" s="1481"/>
      <c r="CN946" s="1481"/>
      <c r="CO946" s="1481"/>
      <c r="CP946" s="1481"/>
      <c r="CQ946" s="1481"/>
      <c r="CR946" s="1481"/>
      <c r="CS946" s="1481"/>
      <c r="CT946" s="1481"/>
      <c r="CU946" s="1481"/>
      <c r="CV946" s="1481"/>
      <c r="CW946" s="1481"/>
      <c r="CY946" s="1481"/>
    </row>
    <row r="947" spans="1:103" s="1480" customFormat="1" ht="14" x14ac:dyDescent="0.15">
      <c r="A947" s="2014" t="s">
        <v>1183</v>
      </c>
      <c r="B947" s="1675" t="s">
        <v>79</v>
      </c>
      <c r="C947" s="1675" t="s">
        <v>80</v>
      </c>
      <c r="D947" s="1675" t="s">
        <v>125</v>
      </c>
      <c r="E947" s="1675" t="s">
        <v>784</v>
      </c>
      <c r="F947" s="2002" t="s">
        <v>267</v>
      </c>
      <c r="G947" s="2002" t="s">
        <v>184</v>
      </c>
      <c r="H947" s="2003">
        <v>311.89999999999998</v>
      </c>
      <c r="I947" s="1645"/>
      <c r="J947" s="1630"/>
      <c r="K947" s="1630"/>
      <c r="L947" s="1631"/>
      <c r="M947" s="1631"/>
      <c r="N947" s="1631"/>
      <c r="O947" s="1631"/>
      <c r="P947" s="1631"/>
      <c r="Q947" s="1631"/>
      <c r="R947" s="1631"/>
      <c r="S947" s="1631"/>
      <c r="T947" s="1632"/>
      <c r="U947" s="1633"/>
      <c r="V947" s="1633"/>
      <c r="W947" s="1891"/>
      <c r="X947" s="1891"/>
      <c r="Y947" s="1891"/>
      <c r="Z947" s="2015">
        <f t="shared" si="622"/>
        <v>-25.991666666666674</v>
      </c>
      <c r="AA947" s="1891"/>
      <c r="AB947" s="1891"/>
      <c r="AC947" s="1891">
        <f t="shared" si="623"/>
        <v>311.89999999999998</v>
      </c>
      <c r="AD947" s="1891"/>
      <c r="AE947" s="2016"/>
      <c r="AF947" s="1893"/>
      <c r="AG947" s="1892"/>
      <c r="AH947" s="1490">
        <f t="shared" si="609"/>
        <v>0</v>
      </c>
      <c r="AI947" s="1891">
        <f t="shared" si="624"/>
        <v>0</v>
      </c>
      <c r="AJ947" s="1891">
        <f t="shared" si="626"/>
        <v>0</v>
      </c>
      <c r="AK947" s="1891">
        <f t="shared" si="625"/>
        <v>0</v>
      </c>
      <c r="AL947" s="1891">
        <f t="shared" si="625"/>
        <v>0</v>
      </c>
      <c r="AM947" s="1891">
        <f t="shared" si="625"/>
        <v>0</v>
      </c>
      <c r="AN947" s="1637"/>
      <c r="AO947" s="1891">
        <v>26</v>
      </c>
      <c r="AP947" s="1894"/>
      <c r="AQ947" s="1894"/>
      <c r="AR947" s="1894"/>
      <c r="AS947" s="1639">
        <v>26</v>
      </c>
      <c r="AT947" s="1894"/>
      <c r="AU947" s="1894"/>
      <c r="AV947" s="1894"/>
      <c r="AW947" s="2017">
        <v>26</v>
      </c>
      <c r="AX947" s="1895"/>
      <c r="AY947" s="1895"/>
      <c r="AZ947" s="1895"/>
      <c r="BA947" s="2018">
        <v>26</v>
      </c>
      <c r="BB947" s="1895"/>
      <c r="BC947" s="1895"/>
      <c r="BD947" s="1895"/>
      <c r="BE947" s="2018">
        <v>26</v>
      </c>
      <c r="BF947" s="1895"/>
      <c r="BG947" s="1895"/>
      <c r="BH947" s="1895"/>
      <c r="BI947" s="2018">
        <v>26</v>
      </c>
      <c r="BJ947" s="1895"/>
      <c r="BK947" s="1895"/>
      <c r="BL947" s="2019"/>
      <c r="BM947" s="2018">
        <v>16</v>
      </c>
      <c r="BN947" s="2020"/>
      <c r="BO947" s="1895"/>
      <c r="BP947" s="1895"/>
      <c r="BQ947" s="2023">
        <v>25.9</v>
      </c>
      <c r="BR947" s="1895"/>
      <c r="BS947" s="1895"/>
      <c r="BT947" s="1895"/>
      <c r="BU947" s="2021">
        <v>26</v>
      </c>
      <c r="BV947" s="1895"/>
      <c r="BW947" s="1895"/>
      <c r="BX947" s="1895"/>
      <c r="BY947" s="2021">
        <v>26</v>
      </c>
      <c r="BZ947" s="1895"/>
      <c r="CA947" s="1895"/>
      <c r="CB947" s="2019"/>
      <c r="CC947" s="2022">
        <v>36</v>
      </c>
      <c r="CD947" s="1895"/>
      <c r="CE947" s="1895"/>
      <c r="CF947" s="1895"/>
      <c r="CG947" s="1896"/>
      <c r="CH947" s="1801">
        <v>26</v>
      </c>
      <c r="CI947" s="1895"/>
      <c r="CJ947" s="1895"/>
      <c r="CK947" s="1895"/>
      <c r="CL947" s="1481"/>
      <c r="CM947" s="1481"/>
      <c r="CN947" s="1481"/>
      <c r="CO947" s="1481"/>
      <c r="CP947" s="1481"/>
      <c r="CQ947" s="1481"/>
      <c r="CR947" s="1481"/>
      <c r="CS947" s="1481"/>
      <c r="CT947" s="1481"/>
      <c r="CU947" s="1481"/>
      <c r="CV947" s="1481"/>
      <c r="CW947" s="1481"/>
      <c r="CY947" s="1481"/>
    </row>
    <row r="948" spans="1:103" s="1480" customFormat="1" ht="14" x14ac:dyDescent="0.15">
      <c r="A948" s="2014" t="s">
        <v>193</v>
      </c>
      <c r="B948" s="1675" t="s">
        <v>79</v>
      </c>
      <c r="C948" s="1675" t="s">
        <v>80</v>
      </c>
      <c r="D948" s="1675" t="s">
        <v>125</v>
      </c>
      <c r="E948" s="1675" t="s">
        <v>784</v>
      </c>
      <c r="F948" s="2002" t="s">
        <v>267</v>
      </c>
      <c r="G948" s="2002" t="s">
        <v>184</v>
      </c>
      <c r="H948" s="2003">
        <f>347.2+36.24</f>
        <v>383.44</v>
      </c>
      <c r="I948" s="1645"/>
      <c r="J948" s="1630"/>
      <c r="K948" s="1630"/>
      <c r="L948" s="1631"/>
      <c r="M948" s="1631"/>
      <c r="N948" s="1631"/>
      <c r="O948" s="1631"/>
      <c r="P948" s="1631"/>
      <c r="Q948" s="1631"/>
      <c r="R948" s="1631"/>
      <c r="S948" s="1631"/>
      <c r="T948" s="1632"/>
      <c r="U948" s="1633"/>
      <c r="V948" s="1633"/>
      <c r="W948" s="1891"/>
      <c r="X948" s="1891"/>
      <c r="Y948" s="1891"/>
      <c r="Z948" s="2015">
        <f t="shared" si="622"/>
        <v>-31.953333333333319</v>
      </c>
      <c r="AA948" s="1891"/>
      <c r="AB948" s="1891"/>
      <c r="AC948" s="1891">
        <f t="shared" si="623"/>
        <v>383.44</v>
      </c>
      <c r="AD948" s="1891"/>
      <c r="AE948" s="2016"/>
      <c r="AF948" s="1893"/>
      <c r="AG948" s="1892"/>
      <c r="AH948" s="1490">
        <f t="shared" si="609"/>
        <v>0</v>
      </c>
      <c r="AI948" s="1891">
        <f t="shared" si="624"/>
        <v>0</v>
      </c>
      <c r="AJ948" s="1891">
        <f t="shared" si="626"/>
        <v>0</v>
      </c>
      <c r="AK948" s="1891">
        <f t="shared" si="625"/>
        <v>0</v>
      </c>
      <c r="AL948" s="1891">
        <f t="shared" si="625"/>
        <v>0</v>
      </c>
      <c r="AM948" s="1891">
        <f t="shared" si="625"/>
        <v>0</v>
      </c>
      <c r="AN948" s="1637"/>
      <c r="AO948" s="1891">
        <v>29</v>
      </c>
      <c r="AP948" s="1894"/>
      <c r="AQ948" s="1894"/>
      <c r="AR948" s="1894"/>
      <c r="AS948" s="1639">
        <v>32</v>
      </c>
      <c r="AT948" s="1894"/>
      <c r="AU948" s="1894"/>
      <c r="AV948" s="1894"/>
      <c r="AW948" s="2017">
        <v>26</v>
      </c>
      <c r="AX948" s="1895"/>
      <c r="AY948" s="1895"/>
      <c r="AZ948" s="1895"/>
      <c r="BA948" s="2018">
        <v>26</v>
      </c>
      <c r="BB948" s="1895"/>
      <c r="BC948" s="1895"/>
      <c r="BD948" s="1895"/>
      <c r="BE948" s="2018">
        <v>26</v>
      </c>
      <c r="BF948" s="1895"/>
      <c r="BG948" s="1895"/>
      <c r="BH948" s="1895"/>
      <c r="BI948" s="2018">
        <v>26</v>
      </c>
      <c r="BJ948" s="1895"/>
      <c r="BK948" s="1895"/>
      <c r="BL948" s="2019"/>
      <c r="BM948" s="2018">
        <v>46.4</v>
      </c>
      <c r="BN948" s="2020"/>
      <c r="BO948" s="1895"/>
      <c r="BP948" s="1895"/>
      <c r="BQ948" s="2023">
        <v>31.9</v>
      </c>
      <c r="BR948" s="1895"/>
      <c r="BS948" s="1895"/>
      <c r="BT948" s="1895"/>
      <c r="BU948" s="2021">
        <v>32</v>
      </c>
      <c r="BV948" s="1895"/>
      <c r="BW948" s="1895"/>
      <c r="BX948" s="1895"/>
      <c r="BY948" s="2021">
        <v>32</v>
      </c>
      <c r="BZ948" s="1895"/>
      <c r="CA948" s="1895"/>
      <c r="CB948" s="2019"/>
      <c r="CC948" s="2022">
        <v>44.2</v>
      </c>
      <c r="CD948" s="1895"/>
      <c r="CE948" s="1895"/>
      <c r="CF948" s="1895"/>
      <c r="CG948" s="1896"/>
      <c r="CH948" s="1801">
        <v>31.94</v>
      </c>
      <c r="CI948" s="1895"/>
      <c r="CJ948" s="1895"/>
      <c r="CK948" s="1895"/>
      <c r="CL948" s="1481"/>
      <c r="CM948" s="1481"/>
      <c r="CN948" s="1481"/>
      <c r="CO948" s="1481"/>
      <c r="CP948" s="1481"/>
      <c r="CQ948" s="1481"/>
      <c r="CR948" s="1481"/>
      <c r="CS948" s="1481"/>
      <c r="CT948" s="1481"/>
      <c r="CU948" s="1481"/>
      <c r="CV948" s="1481"/>
      <c r="CW948" s="1481"/>
      <c r="CY948" s="1481"/>
    </row>
    <row r="949" spans="1:103" s="2032" customFormat="1" ht="42" x14ac:dyDescent="0.15">
      <c r="A949" s="2011" t="s">
        <v>1111</v>
      </c>
      <c r="B949" s="1674" t="s">
        <v>79</v>
      </c>
      <c r="C949" s="1674" t="s">
        <v>80</v>
      </c>
      <c r="D949" s="1674" t="s">
        <v>125</v>
      </c>
      <c r="E949" s="1674" t="s">
        <v>1302</v>
      </c>
      <c r="F949" s="1676"/>
      <c r="G949" s="1676"/>
      <c r="H949" s="1677">
        <f>H950</f>
        <v>28000</v>
      </c>
      <c r="I949" s="1677">
        <f t="shared" ref="I949:CM949" si="627">I950</f>
        <v>0</v>
      </c>
      <c r="J949" s="1677">
        <f t="shared" si="627"/>
        <v>0</v>
      </c>
      <c r="K949" s="1677">
        <f>K950</f>
        <v>28000</v>
      </c>
      <c r="L949" s="1678"/>
      <c r="M949" s="1678"/>
      <c r="N949" s="1678"/>
      <c r="O949" s="1678"/>
      <c r="P949" s="1678"/>
      <c r="Q949" s="1678"/>
      <c r="R949" s="1678"/>
      <c r="S949" s="1678"/>
      <c r="T949" s="1679"/>
      <c r="U949" s="1680"/>
      <c r="V949" s="1680"/>
      <c r="W949" s="2026"/>
      <c r="X949" s="2026"/>
      <c r="Y949" s="2026"/>
      <c r="Z949" s="1682"/>
      <c r="AA949" s="2026"/>
      <c r="AB949" s="2026"/>
      <c r="AC949" s="1677">
        <f t="shared" si="627"/>
        <v>0</v>
      </c>
      <c r="AD949" s="1677">
        <f t="shared" si="627"/>
        <v>27000</v>
      </c>
      <c r="AE949" s="2027">
        <f t="shared" si="627"/>
        <v>0</v>
      </c>
      <c r="AF949" s="2027">
        <f t="shared" si="627"/>
        <v>0</v>
      </c>
      <c r="AG949" s="1677">
        <f t="shared" si="627"/>
        <v>27000</v>
      </c>
      <c r="AH949" s="1490">
        <f t="shared" si="609"/>
        <v>0</v>
      </c>
      <c r="AI949" s="1677"/>
      <c r="AJ949" s="1677">
        <f t="shared" si="627"/>
        <v>1000</v>
      </c>
      <c r="AK949" s="1677">
        <f t="shared" si="627"/>
        <v>0</v>
      </c>
      <c r="AL949" s="1677">
        <f t="shared" si="627"/>
        <v>0</v>
      </c>
      <c r="AM949" s="1677">
        <f t="shared" si="627"/>
        <v>1000</v>
      </c>
      <c r="AN949" s="1681"/>
      <c r="AO949" s="1677">
        <f t="shared" si="627"/>
        <v>0</v>
      </c>
      <c r="AP949" s="1677">
        <f t="shared" si="627"/>
        <v>0</v>
      </c>
      <c r="AQ949" s="1677">
        <f t="shared" si="627"/>
        <v>0</v>
      </c>
      <c r="AR949" s="1677">
        <f t="shared" si="627"/>
        <v>0</v>
      </c>
      <c r="AS949" s="1682">
        <f t="shared" si="627"/>
        <v>0</v>
      </c>
      <c r="AT949" s="1677">
        <f t="shared" si="627"/>
        <v>0</v>
      </c>
      <c r="AU949" s="1677">
        <f t="shared" si="627"/>
        <v>0</v>
      </c>
      <c r="AV949" s="1677">
        <f t="shared" si="627"/>
        <v>0</v>
      </c>
      <c r="AW949" s="1677">
        <f t="shared" si="627"/>
        <v>0</v>
      </c>
      <c r="AX949" s="1677">
        <f t="shared" si="627"/>
        <v>0</v>
      </c>
      <c r="AY949" s="1677">
        <f t="shared" si="627"/>
        <v>0</v>
      </c>
      <c r="AZ949" s="1677">
        <f t="shared" si="627"/>
        <v>0</v>
      </c>
      <c r="BA949" s="1681">
        <f t="shared" si="627"/>
        <v>1240</v>
      </c>
      <c r="BB949" s="1677">
        <f t="shared" si="627"/>
        <v>0</v>
      </c>
      <c r="BC949" s="1677">
        <f t="shared" si="627"/>
        <v>0</v>
      </c>
      <c r="BD949" s="1677">
        <f t="shared" si="627"/>
        <v>1240</v>
      </c>
      <c r="BE949" s="1681">
        <f t="shared" si="627"/>
        <v>2797.4</v>
      </c>
      <c r="BF949" s="1677">
        <f t="shared" si="627"/>
        <v>0</v>
      </c>
      <c r="BG949" s="1677">
        <f t="shared" si="627"/>
        <v>0</v>
      </c>
      <c r="BH949" s="1677">
        <f t="shared" si="627"/>
        <v>2689.2429999999999</v>
      </c>
      <c r="BI949" s="1681">
        <f t="shared" si="627"/>
        <v>3333.3</v>
      </c>
      <c r="BJ949" s="1677">
        <f t="shared" si="627"/>
        <v>0</v>
      </c>
      <c r="BK949" s="1677">
        <f t="shared" si="627"/>
        <v>0</v>
      </c>
      <c r="BL949" s="1677">
        <f t="shared" si="627"/>
        <v>3333.3</v>
      </c>
      <c r="BM949" s="2028">
        <f t="shared" si="627"/>
        <v>0</v>
      </c>
      <c r="BN949" s="2027">
        <f t="shared" si="627"/>
        <v>0</v>
      </c>
      <c r="BO949" s="1677">
        <f t="shared" si="627"/>
        <v>0</v>
      </c>
      <c r="BP949" s="1677">
        <f t="shared" si="627"/>
        <v>8066.7</v>
      </c>
      <c r="BQ949" s="1681">
        <f t="shared" si="627"/>
        <v>0</v>
      </c>
      <c r="BR949" s="1677">
        <f t="shared" si="627"/>
        <v>0</v>
      </c>
      <c r="BS949" s="1677">
        <f t="shared" si="627"/>
        <v>0</v>
      </c>
      <c r="BT949" s="1677">
        <f t="shared" si="627"/>
        <v>300</v>
      </c>
      <c r="BU949" s="1681">
        <f t="shared" si="627"/>
        <v>0</v>
      </c>
      <c r="BV949" s="1677">
        <f t="shared" si="627"/>
        <v>0</v>
      </c>
      <c r="BW949" s="1677">
        <f t="shared" si="627"/>
        <v>0</v>
      </c>
      <c r="BX949" s="1677">
        <f t="shared" si="627"/>
        <v>5818.1570000000002</v>
      </c>
      <c r="BY949" s="1681">
        <f t="shared" si="627"/>
        <v>0</v>
      </c>
      <c r="BZ949" s="1677"/>
      <c r="CA949" s="1677">
        <f t="shared" si="627"/>
        <v>0</v>
      </c>
      <c r="CB949" s="1677">
        <f t="shared" si="627"/>
        <v>1000</v>
      </c>
      <c r="CC949" s="2028">
        <f t="shared" si="627"/>
        <v>0</v>
      </c>
      <c r="CD949" s="1677">
        <f t="shared" si="627"/>
        <v>0</v>
      </c>
      <c r="CE949" s="1677">
        <f t="shared" si="627"/>
        <v>0</v>
      </c>
      <c r="CF949" s="1677">
        <f t="shared" si="627"/>
        <v>0</v>
      </c>
      <c r="CG949" s="2029"/>
      <c r="CH949" s="2028">
        <f t="shared" si="627"/>
        <v>0</v>
      </c>
      <c r="CI949" s="1677">
        <f t="shared" si="627"/>
        <v>0</v>
      </c>
      <c r="CJ949" s="1677">
        <f t="shared" si="627"/>
        <v>0</v>
      </c>
      <c r="CK949" s="1677">
        <f t="shared" si="627"/>
        <v>4552.6000000000004</v>
      </c>
      <c r="CL949" s="2030"/>
      <c r="CM949" s="2030">
        <f t="shared" si="627"/>
        <v>0</v>
      </c>
      <c r="CN949" s="2030">
        <f>CN950</f>
        <v>0</v>
      </c>
      <c r="CO949" s="2031"/>
      <c r="CP949" s="2031"/>
      <c r="CQ949" s="2031"/>
      <c r="CR949" s="2031"/>
      <c r="CS949" s="2031"/>
      <c r="CT949" s="2031"/>
      <c r="CU949" s="2031"/>
      <c r="CV949" s="2031"/>
      <c r="CW949" s="2031"/>
      <c r="CY949" s="2033"/>
    </row>
    <row r="950" spans="1:103" s="2046" customFormat="1" ht="62" customHeight="1" x14ac:dyDescent="0.15">
      <c r="A950" s="2034" t="s">
        <v>1094</v>
      </c>
      <c r="B950" s="2035" t="s">
        <v>79</v>
      </c>
      <c r="C950" s="2035" t="s">
        <v>80</v>
      </c>
      <c r="D950" s="2035" t="s">
        <v>125</v>
      </c>
      <c r="E950" s="2036" t="s">
        <v>1302</v>
      </c>
      <c r="F950" s="2037" t="s">
        <v>768</v>
      </c>
      <c r="G950" s="2037" t="s">
        <v>766</v>
      </c>
      <c r="H950" s="1681">
        <f>40000-8252+8252-12000+5000-5000</f>
        <v>28000</v>
      </c>
      <c r="I950" s="1644"/>
      <c r="J950" s="1644"/>
      <c r="K950" s="2038">
        <f>H950</f>
        <v>28000</v>
      </c>
      <c r="L950" s="2039"/>
      <c r="M950" s="2039"/>
      <c r="N950" s="2039"/>
      <c r="O950" s="2039"/>
      <c r="P950" s="2039"/>
      <c r="Q950" s="2039"/>
      <c r="R950" s="2039"/>
      <c r="S950" s="2039"/>
      <c r="T950" s="2040"/>
      <c r="U950" s="2040">
        <v>300</v>
      </c>
      <c r="V950" s="2040"/>
      <c r="W950" s="2040"/>
      <c r="X950" s="2040"/>
      <c r="Y950" s="2040"/>
      <c r="Z950" s="2040"/>
      <c r="AA950" s="2040"/>
      <c r="AB950" s="2040"/>
      <c r="AC950" s="1637"/>
      <c r="AD950" s="2041">
        <f>AE950+AF950+AG950</f>
        <v>27000</v>
      </c>
      <c r="AE950" s="1771">
        <f>AP950+AT950+AX950+BB950+BF950+BJ950+BN950+BR950+BV950+BZ950+CD950+CI950</f>
        <v>0</v>
      </c>
      <c r="AF950" s="1771">
        <f>AQ950+AU950+AY950+BC950+BG950+BK950+BO950+BS950+BW950+CA950+CE950+CJ950</f>
        <v>0</v>
      </c>
      <c r="AG950" s="1637">
        <f>AR950+AV950+AZ950+BD950+BH950+BL950+BP950+BT950+BX950+CB950+CF950+CK950</f>
        <v>27000</v>
      </c>
      <c r="AH950" s="1492">
        <f t="shared" si="609"/>
        <v>0</v>
      </c>
      <c r="AI950" s="2042"/>
      <c r="AJ950" s="1637">
        <f>AK950+AL950+AM950</f>
        <v>1000</v>
      </c>
      <c r="AK950" s="1637">
        <f>I950-AE950</f>
        <v>0</v>
      </c>
      <c r="AL950" s="1637">
        <f>J950-AF950</f>
        <v>0</v>
      </c>
      <c r="AM950" s="1637">
        <f>K950-AG950</f>
        <v>1000</v>
      </c>
      <c r="AN950" s="2043"/>
      <c r="AO950" s="1427"/>
      <c r="AP950" s="2044"/>
      <c r="AQ950" s="2044"/>
      <c r="AR950" s="1644">
        <f>AR225+AR226+AR227+AR228+AR229+AR230+AR231+AR232+AR233+AR234+AR235+AR236+AR237+AR18+AR19+AR20+AR21+AR22+AR23+AR24+AR25+AR26+AR27+AR28++AR29+AR30</f>
        <v>0</v>
      </c>
      <c r="AS950" s="1644"/>
      <c r="AT950" s="2044"/>
      <c r="AU950" s="2044"/>
      <c r="AV950" s="1644">
        <f>AV225+AV226+AV227+AV228+AV229+AV230+AV231+AV232+AV233+AV234+AV235+AV236+AV237+AV18+AV19+AV20+AV21+AV22+AV23+AV24+AV25+AV26+AV27+AV28++AV29+AV30</f>
        <v>0</v>
      </c>
      <c r="AW950" s="1644"/>
      <c r="AX950" s="1644"/>
      <c r="AY950" s="1644"/>
      <c r="AZ950" s="1644">
        <f>AZ225+AZ226+AZ227+AZ228+AZ229+AZ230+AZ231+AZ232+AZ233+AZ234+AZ235+AZ236+AZ237+AZ18+AZ19+AZ20+AZ21+AZ22+AZ23+AZ24+AZ25+AZ26+AZ27+AZ28++AZ29+AZ30</f>
        <v>0</v>
      </c>
      <c r="BA950" s="1644">
        <v>1240</v>
      </c>
      <c r="BB950" s="1644"/>
      <c r="BC950" s="1644"/>
      <c r="BD950" s="1644">
        <f>BD225+BD226+BD227+BD228+BD229+BD230+BD231+BD232+BD233+BD234+BD235+BD236+BD237+BD18+BD19+BD20+BD21+BD22+BD23+BD24+BD25+BD26+BD27+BD28++BD29+BD30</f>
        <v>1240</v>
      </c>
      <c r="BE950" s="1644">
        <f>497.4+2300</f>
        <v>2797.4</v>
      </c>
      <c r="BF950" s="1644"/>
      <c r="BG950" s="1644"/>
      <c r="BH950" s="1644">
        <f>BH225+BH226+BH227+BH228+BH229+BH230+BH231+BH232+BH233+BH234+BH235+BH236+BH237+BH18+BH19+BH20+BH21+BH22+BH23+BH24+BH25+BH26+BH27+BH28++BH29+BH30</f>
        <v>2689.2429999999999</v>
      </c>
      <c r="BI950" s="1644">
        <v>3333.3</v>
      </c>
      <c r="BJ950" s="1644"/>
      <c r="BK950" s="1644"/>
      <c r="BL950" s="1644">
        <f>BL225+BL226+BL227+BL228+BL229+BL230+BL231+BL232+BL233+BL234+BL235+BL236+BL237+BL18+BL19+BL20+BL21+BL22+BL23+BL24+BL25+BL26+BL27+BL28++BL29+BL30</f>
        <v>3333.3</v>
      </c>
      <c r="BM950" s="1644"/>
      <c r="BN950" s="1644"/>
      <c r="BO950" s="1644"/>
      <c r="BP950" s="1644">
        <f>BP225+BP226+BP227+BP228+BP229+BP230+BP231+BP232+BP233+BP234+BP235+BP236+BP237+BP18+BP19+BP20+BP21+BP22+BP23+BP24+BP25+BP26+BP27+BP28++BP29+BP30</f>
        <v>8066.7</v>
      </c>
      <c r="BQ950" s="1644"/>
      <c r="BR950" s="1644"/>
      <c r="BS950" s="1644"/>
      <c r="BT950" s="1644">
        <f>BT225+BT226+BT227+BT228+BT229+BT230+BT231+BT232+BT233+BT234+BT235+BT236+BT237+BT18+BT19+BT20+BT21+BT22+BT23+BT24+BT25+BT26+BT27+BT28++BT29+BT30</f>
        <v>300</v>
      </c>
      <c r="BU950" s="1644"/>
      <c r="BV950" s="1644"/>
      <c r="BW950" s="1644"/>
      <c r="BX950" s="1644">
        <f>BX225+BX226+BX227+BX228+BX229+BX230+BX231+BX232+BX233+BX234+BX235+BX236+BX237+BX18+BX19+BX20+BX21+BX22+BX23+BX24+BX25+BX26+BX27+BX28++BX29+BX30</f>
        <v>5818.1570000000002</v>
      </c>
      <c r="BY950" s="1644"/>
      <c r="BZ950" s="1644"/>
      <c r="CA950" s="1644"/>
      <c r="CB950" s="1644">
        <f>CB225+CB226+CB227+CB228+CB229+CB230+CB231+CB232+CB233+CB234+CB235+CB236+CB237+CB18+CB19+CB20+CB21+CB22+CB23+CB24+CB25+CB26+CB27+CB28++CB29+CB30</f>
        <v>1000</v>
      </c>
      <c r="CC950" s="1644"/>
      <c r="CD950" s="1644"/>
      <c r="CE950" s="1644"/>
      <c r="CF950" s="1644">
        <f>CF225+CF226+CF227+CF228+CF229+CF230+CF231+CF232+CF233+CF234+CF235+CF236+CF237+CF18+CF19+CF20+CF21+CF22+CF23+CF24+CF25+CF26+CF27+CF28++CF29+CF30</f>
        <v>0</v>
      </c>
      <c r="CG950" s="2045"/>
      <c r="CH950" s="1644"/>
      <c r="CI950" s="1644"/>
      <c r="CJ950" s="1644"/>
      <c r="CK950" s="1644">
        <f>CK225+CK226+CK227+CK228+CK229+CK230+CK231+CK232+CK233+CK234+CK235+CK236+CK237+CK18+CK19+CK20+CK21+CK22+CK23+CK24+CK25+CK26+CK27+CK28++CK29+CK30</f>
        <v>4552.6000000000004</v>
      </c>
      <c r="CL950" s="1427"/>
      <c r="CM950" s="1427"/>
      <c r="CN950" s="1427"/>
      <c r="CO950" s="1427"/>
      <c r="CP950" s="1427"/>
      <c r="CQ950" s="1427"/>
      <c r="CR950" s="1427"/>
      <c r="CS950" s="1427"/>
      <c r="CT950" s="1427"/>
      <c r="CU950" s="1427"/>
      <c r="CV950" s="1427"/>
      <c r="CW950" s="1427"/>
      <c r="CY950" s="1427"/>
    </row>
    <row r="951" spans="1:103" s="2050" customFormat="1" ht="28" x14ac:dyDescent="0.15">
      <c r="A951" s="1673" t="s">
        <v>1112</v>
      </c>
      <c r="B951" s="1674" t="s">
        <v>79</v>
      </c>
      <c r="C951" s="1674" t="s">
        <v>80</v>
      </c>
      <c r="D951" s="1674" t="s">
        <v>110</v>
      </c>
      <c r="E951" s="1674"/>
      <c r="F951" s="1674"/>
      <c r="G951" s="1482"/>
      <c r="H951" s="1484">
        <f t="shared" ref="H951:K952" si="628">H952</f>
        <v>30141.571</v>
      </c>
      <c r="I951" s="1484">
        <f t="shared" si="628"/>
        <v>0</v>
      </c>
      <c r="J951" s="1484">
        <f t="shared" si="628"/>
        <v>149.6</v>
      </c>
      <c r="K951" s="1484">
        <f t="shared" si="628"/>
        <v>0</v>
      </c>
      <c r="L951" s="1485"/>
      <c r="M951" s="1485"/>
      <c r="N951" s="1485"/>
      <c r="O951" s="1485"/>
      <c r="P951" s="1485"/>
      <c r="Q951" s="1485"/>
      <c r="R951" s="1485"/>
      <c r="S951" s="1485"/>
      <c r="T951" s="1486"/>
      <c r="U951" s="1487"/>
      <c r="V951" s="1487"/>
      <c r="W951" s="1488"/>
      <c r="X951" s="1488"/>
      <c r="Y951" s="1488"/>
      <c r="Z951" s="1489"/>
      <c r="AA951" s="1488"/>
      <c r="AB951" s="1488"/>
      <c r="AC951" s="2047">
        <f t="shared" ref="AC951:AG952" si="629">AC952</f>
        <v>29644.66</v>
      </c>
      <c r="AD951" s="2047">
        <f t="shared" si="629"/>
        <v>149.6</v>
      </c>
      <c r="AE951" s="2047">
        <f t="shared" si="629"/>
        <v>0</v>
      </c>
      <c r="AF951" s="2047">
        <f t="shared" si="629"/>
        <v>149.6</v>
      </c>
      <c r="AG951" s="2047">
        <f t="shared" si="629"/>
        <v>0</v>
      </c>
      <c r="AH951" s="1490">
        <f t="shared" si="609"/>
        <v>0</v>
      </c>
      <c r="AI951" s="2047">
        <f t="shared" ref="AI951:AM952" si="630">AI952</f>
        <v>4.9999999999999432</v>
      </c>
      <c r="AJ951" s="2047">
        <f t="shared" si="630"/>
        <v>0</v>
      </c>
      <c r="AK951" s="2047">
        <f t="shared" si="630"/>
        <v>0</v>
      </c>
      <c r="AL951" s="2047">
        <f t="shared" si="630"/>
        <v>0</v>
      </c>
      <c r="AM951" s="2047">
        <f t="shared" si="630"/>
        <v>0</v>
      </c>
      <c r="AN951" s="1492"/>
      <c r="AO951" s="2047">
        <f t="shared" ref="AO951:AX952" si="631">AO952</f>
        <v>2281.3519999999999</v>
      </c>
      <c r="AP951" s="2047">
        <f t="shared" si="631"/>
        <v>0</v>
      </c>
      <c r="AQ951" s="2047">
        <f t="shared" si="631"/>
        <v>149.6</v>
      </c>
      <c r="AR951" s="2047">
        <f t="shared" si="631"/>
        <v>0</v>
      </c>
      <c r="AS951" s="1489">
        <f t="shared" si="631"/>
        <v>2003.1999999999998</v>
      </c>
      <c r="AT951" s="2047">
        <f t="shared" si="631"/>
        <v>0</v>
      </c>
      <c r="AU951" s="2047">
        <f t="shared" si="631"/>
        <v>0</v>
      </c>
      <c r="AV951" s="2047">
        <f t="shared" si="631"/>
        <v>0</v>
      </c>
      <c r="AW951" s="1489">
        <f t="shared" si="631"/>
        <v>2584.3000000000002</v>
      </c>
      <c r="AX951" s="2047">
        <f t="shared" si="631"/>
        <v>0</v>
      </c>
      <c r="AY951" s="2047">
        <f t="shared" ref="AY951:BH952" si="632">AY952</f>
        <v>0</v>
      </c>
      <c r="AZ951" s="2047">
        <f t="shared" si="632"/>
        <v>0</v>
      </c>
      <c r="BA951" s="1492">
        <f t="shared" si="632"/>
        <v>2682.05</v>
      </c>
      <c r="BB951" s="2047">
        <f t="shared" si="632"/>
        <v>0</v>
      </c>
      <c r="BC951" s="2047">
        <f t="shared" si="632"/>
        <v>0</v>
      </c>
      <c r="BD951" s="2047">
        <f t="shared" si="632"/>
        <v>0</v>
      </c>
      <c r="BE951" s="1492">
        <f t="shared" si="632"/>
        <v>2224.6390000000001</v>
      </c>
      <c r="BF951" s="2047">
        <f t="shared" si="632"/>
        <v>0</v>
      </c>
      <c r="BG951" s="2047">
        <f t="shared" si="632"/>
        <v>0</v>
      </c>
      <c r="BH951" s="2047">
        <f t="shared" si="632"/>
        <v>0</v>
      </c>
      <c r="BI951" s="1492">
        <f t="shared" ref="BI951:BR952" si="633">BI952</f>
        <v>1065.8999999999999</v>
      </c>
      <c r="BJ951" s="2047">
        <f t="shared" si="633"/>
        <v>0</v>
      </c>
      <c r="BK951" s="2047">
        <f t="shared" si="633"/>
        <v>0</v>
      </c>
      <c r="BL951" s="2047">
        <f t="shared" si="633"/>
        <v>0</v>
      </c>
      <c r="BM951" s="1492">
        <f t="shared" si="633"/>
        <v>4903.4699999999993</v>
      </c>
      <c r="BN951" s="2047">
        <f t="shared" si="633"/>
        <v>0</v>
      </c>
      <c r="BO951" s="2047">
        <f t="shared" si="633"/>
        <v>0</v>
      </c>
      <c r="BP951" s="2047">
        <f t="shared" si="633"/>
        <v>0</v>
      </c>
      <c r="BQ951" s="1492">
        <f t="shared" si="633"/>
        <v>2744.9</v>
      </c>
      <c r="BR951" s="2047">
        <f t="shared" si="633"/>
        <v>0</v>
      </c>
      <c r="BS951" s="2047">
        <f t="shared" ref="BS951:CB952" si="634">BS952</f>
        <v>0</v>
      </c>
      <c r="BT951" s="2047">
        <f t="shared" si="634"/>
        <v>0</v>
      </c>
      <c r="BU951" s="1492">
        <f t="shared" si="634"/>
        <v>539.5</v>
      </c>
      <c r="BV951" s="2047">
        <f t="shared" si="634"/>
        <v>0</v>
      </c>
      <c r="BW951" s="2047">
        <f t="shared" si="634"/>
        <v>0</v>
      </c>
      <c r="BX951" s="2047">
        <f t="shared" si="634"/>
        <v>0</v>
      </c>
      <c r="BY951" s="1492">
        <f t="shared" si="634"/>
        <v>2957.7</v>
      </c>
      <c r="BZ951" s="2047">
        <f t="shared" si="634"/>
        <v>0</v>
      </c>
      <c r="CA951" s="2047">
        <f t="shared" si="634"/>
        <v>0</v>
      </c>
      <c r="CB951" s="2047">
        <f t="shared" si="634"/>
        <v>0</v>
      </c>
      <c r="CC951" s="1492">
        <f t="shared" ref="CC951:CF952" si="635">CC952</f>
        <v>2507.8199999999997</v>
      </c>
      <c r="CD951" s="2047">
        <f t="shared" si="635"/>
        <v>0</v>
      </c>
      <c r="CE951" s="2047">
        <f t="shared" si="635"/>
        <v>0</v>
      </c>
      <c r="CF951" s="2047">
        <f t="shared" si="635"/>
        <v>0</v>
      </c>
      <c r="CG951" s="2048"/>
      <c r="CH951" s="1492">
        <f t="shared" ref="CH951:CK952" si="636">CH952</f>
        <v>3140.3489999999997</v>
      </c>
      <c r="CI951" s="2047">
        <f t="shared" si="636"/>
        <v>0</v>
      </c>
      <c r="CJ951" s="2047">
        <f t="shared" si="636"/>
        <v>0</v>
      </c>
      <c r="CK951" s="2047">
        <f t="shared" si="636"/>
        <v>0</v>
      </c>
      <c r="CL951" s="2049"/>
      <c r="CM951" s="2049"/>
      <c r="CN951" s="2049"/>
      <c r="CO951" s="2049"/>
      <c r="CP951" s="2049"/>
      <c r="CQ951" s="2049"/>
      <c r="CR951" s="2049"/>
      <c r="CS951" s="2049"/>
      <c r="CT951" s="2049"/>
      <c r="CU951" s="2049"/>
      <c r="CV951" s="2049"/>
      <c r="CW951" s="2049"/>
      <c r="CY951" s="2049"/>
    </row>
    <row r="952" spans="1:103" s="2050" customFormat="1" ht="56" x14ac:dyDescent="0.15">
      <c r="A952" s="1673" t="s">
        <v>1184</v>
      </c>
      <c r="B952" s="1482" t="s">
        <v>79</v>
      </c>
      <c r="C952" s="1482" t="s">
        <v>80</v>
      </c>
      <c r="D952" s="1482" t="s">
        <v>110</v>
      </c>
      <c r="E952" s="1482" t="s">
        <v>81</v>
      </c>
      <c r="F952" s="1482"/>
      <c r="G952" s="1482"/>
      <c r="H952" s="1484">
        <f t="shared" si="628"/>
        <v>30141.571</v>
      </c>
      <c r="I952" s="1484">
        <f t="shared" si="628"/>
        <v>0</v>
      </c>
      <c r="J952" s="1484">
        <f t="shared" si="628"/>
        <v>149.6</v>
      </c>
      <c r="K952" s="1484">
        <f t="shared" si="628"/>
        <v>0</v>
      </c>
      <c r="L952" s="1485"/>
      <c r="M952" s="1485"/>
      <c r="N952" s="1485"/>
      <c r="O952" s="1485"/>
      <c r="P952" s="1485"/>
      <c r="Q952" s="1485"/>
      <c r="R952" s="1485"/>
      <c r="S952" s="1485"/>
      <c r="T952" s="1486"/>
      <c r="U952" s="1487"/>
      <c r="V952" s="1487"/>
      <c r="W952" s="1488"/>
      <c r="X952" s="1488"/>
      <c r="Y952" s="1488"/>
      <c r="Z952" s="1489"/>
      <c r="AA952" s="1488"/>
      <c r="AB952" s="1488"/>
      <c r="AC952" s="2047">
        <f t="shared" si="629"/>
        <v>29644.66</v>
      </c>
      <c r="AD952" s="2047">
        <f t="shared" si="629"/>
        <v>149.6</v>
      </c>
      <c r="AE952" s="2047">
        <f t="shared" si="629"/>
        <v>0</v>
      </c>
      <c r="AF952" s="2047">
        <f t="shared" si="629"/>
        <v>149.6</v>
      </c>
      <c r="AG952" s="2047">
        <f t="shared" si="629"/>
        <v>0</v>
      </c>
      <c r="AH952" s="1490">
        <f t="shared" si="609"/>
        <v>0</v>
      </c>
      <c r="AI952" s="2047">
        <f t="shared" si="630"/>
        <v>4.9999999999999432</v>
      </c>
      <c r="AJ952" s="2047">
        <f t="shared" si="630"/>
        <v>0</v>
      </c>
      <c r="AK952" s="2047">
        <f t="shared" si="630"/>
        <v>0</v>
      </c>
      <c r="AL952" s="2047">
        <f t="shared" si="630"/>
        <v>0</v>
      </c>
      <c r="AM952" s="2047">
        <f t="shared" si="630"/>
        <v>0</v>
      </c>
      <c r="AN952" s="1492"/>
      <c r="AO952" s="2047">
        <f t="shared" si="631"/>
        <v>2281.3519999999999</v>
      </c>
      <c r="AP952" s="2047">
        <f t="shared" si="631"/>
        <v>0</v>
      </c>
      <c r="AQ952" s="2047">
        <f t="shared" si="631"/>
        <v>149.6</v>
      </c>
      <c r="AR952" s="2047">
        <f t="shared" si="631"/>
        <v>0</v>
      </c>
      <c r="AS952" s="1489">
        <f t="shared" si="631"/>
        <v>2003.1999999999998</v>
      </c>
      <c r="AT952" s="2047">
        <f t="shared" si="631"/>
        <v>0</v>
      </c>
      <c r="AU952" s="2047">
        <f t="shared" si="631"/>
        <v>0</v>
      </c>
      <c r="AV952" s="2047">
        <f t="shared" si="631"/>
        <v>0</v>
      </c>
      <c r="AW952" s="1489">
        <f t="shared" si="631"/>
        <v>2584.3000000000002</v>
      </c>
      <c r="AX952" s="2047">
        <f t="shared" si="631"/>
        <v>0</v>
      </c>
      <c r="AY952" s="2047">
        <f t="shared" si="632"/>
        <v>0</v>
      </c>
      <c r="AZ952" s="2047">
        <f t="shared" si="632"/>
        <v>0</v>
      </c>
      <c r="BA952" s="1492">
        <f t="shared" si="632"/>
        <v>2682.05</v>
      </c>
      <c r="BB952" s="2047">
        <f t="shared" si="632"/>
        <v>0</v>
      </c>
      <c r="BC952" s="2047">
        <f t="shared" si="632"/>
        <v>0</v>
      </c>
      <c r="BD952" s="2047">
        <f t="shared" si="632"/>
        <v>0</v>
      </c>
      <c r="BE952" s="1492">
        <f t="shared" si="632"/>
        <v>2224.6390000000001</v>
      </c>
      <c r="BF952" s="2047">
        <f t="shared" si="632"/>
        <v>0</v>
      </c>
      <c r="BG952" s="2047">
        <f t="shared" si="632"/>
        <v>0</v>
      </c>
      <c r="BH952" s="2047">
        <f t="shared" si="632"/>
        <v>0</v>
      </c>
      <c r="BI952" s="1492">
        <f t="shared" si="633"/>
        <v>1065.8999999999999</v>
      </c>
      <c r="BJ952" s="2047">
        <f t="shared" si="633"/>
        <v>0</v>
      </c>
      <c r="BK952" s="2047">
        <f t="shared" si="633"/>
        <v>0</v>
      </c>
      <c r="BL952" s="2047">
        <f t="shared" si="633"/>
        <v>0</v>
      </c>
      <c r="BM952" s="1492">
        <f t="shared" si="633"/>
        <v>4903.4699999999993</v>
      </c>
      <c r="BN952" s="2047">
        <f t="shared" si="633"/>
        <v>0</v>
      </c>
      <c r="BO952" s="2047">
        <f t="shared" si="633"/>
        <v>0</v>
      </c>
      <c r="BP952" s="2047">
        <f t="shared" si="633"/>
        <v>0</v>
      </c>
      <c r="BQ952" s="1492">
        <f t="shared" si="633"/>
        <v>2744.9</v>
      </c>
      <c r="BR952" s="2047">
        <f t="shared" si="633"/>
        <v>0</v>
      </c>
      <c r="BS952" s="2047">
        <f t="shared" si="634"/>
        <v>0</v>
      </c>
      <c r="BT952" s="2047">
        <f t="shared" si="634"/>
        <v>0</v>
      </c>
      <c r="BU952" s="1492">
        <f t="shared" si="634"/>
        <v>539.5</v>
      </c>
      <c r="BV952" s="2047">
        <f t="shared" si="634"/>
        <v>0</v>
      </c>
      <c r="BW952" s="2047">
        <f t="shared" si="634"/>
        <v>0</v>
      </c>
      <c r="BX952" s="2047">
        <f t="shared" si="634"/>
        <v>0</v>
      </c>
      <c r="BY952" s="1492">
        <f t="shared" si="634"/>
        <v>2957.7</v>
      </c>
      <c r="BZ952" s="2047">
        <f t="shared" si="634"/>
        <v>0</v>
      </c>
      <c r="CA952" s="2047">
        <f t="shared" si="634"/>
        <v>0</v>
      </c>
      <c r="CB952" s="2047">
        <f t="shared" si="634"/>
        <v>0</v>
      </c>
      <c r="CC952" s="1492">
        <f t="shared" si="635"/>
        <v>2507.8199999999997</v>
      </c>
      <c r="CD952" s="2047">
        <f t="shared" si="635"/>
        <v>0</v>
      </c>
      <c r="CE952" s="2047">
        <f t="shared" si="635"/>
        <v>0</v>
      </c>
      <c r="CF952" s="2047">
        <f t="shared" si="635"/>
        <v>0</v>
      </c>
      <c r="CG952" s="2048"/>
      <c r="CH952" s="1492">
        <f t="shared" si="636"/>
        <v>3140.3489999999997</v>
      </c>
      <c r="CI952" s="2047">
        <f t="shared" si="636"/>
        <v>0</v>
      </c>
      <c r="CJ952" s="2047">
        <f t="shared" si="636"/>
        <v>0</v>
      </c>
      <c r="CK952" s="2047">
        <f t="shared" si="636"/>
        <v>0</v>
      </c>
      <c r="CL952" s="2049"/>
      <c r="CM952" s="2049"/>
      <c r="CN952" s="2049"/>
      <c r="CO952" s="2049"/>
      <c r="CP952" s="2049"/>
      <c r="CQ952" s="2049"/>
      <c r="CR952" s="2049"/>
      <c r="CS952" s="2049"/>
      <c r="CT952" s="2049"/>
      <c r="CU952" s="2049"/>
      <c r="CV952" s="2049"/>
      <c r="CW952" s="2049"/>
      <c r="CY952" s="2049"/>
    </row>
    <row r="953" spans="1:103" s="2050" customFormat="1" ht="14" x14ac:dyDescent="0.15">
      <c r="A953" s="1794" t="s">
        <v>1113</v>
      </c>
      <c r="B953" s="2051" t="s">
        <v>79</v>
      </c>
      <c r="C953" s="2051" t="s">
        <v>80</v>
      </c>
      <c r="D953" s="1499" t="s">
        <v>110</v>
      </c>
      <c r="E953" s="1499" t="s">
        <v>81</v>
      </c>
      <c r="F953" s="1499">
        <f>'[7]Роспись 2014по БП'!F1841</f>
        <v>0</v>
      </c>
      <c r="G953" s="1499">
        <f>'[7]Роспись 2014по БП'!G1841</f>
        <v>0</v>
      </c>
      <c r="H953" s="1548">
        <f>H954+H955+H956</f>
        <v>30141.571</v>
      </c>
      <c r="I953" s="1548">
        <f>I954+I955+I956</f>
        <v>0</v>
      </c>
      <c r="J953" s="1548">
        <f>J954+J955+J956</f>
        <v>149.6</v>
      </c>
      <c r="K953" s="1548">
        <f>K954+K955+K956</f>
        <v>0</v>
      </c>
      <c r="L953" s="1549"/>
      <c r="M953" s="1549"/>
      <c r="N953" s="1549"/>
      <c r="O953" s="1549"/>
      <c r="P953" s="1549"/>
      <c r="Q953" s="1549"/>
      <c r="R953" s="1549"/>
      <c r="S953" s="1549"/>
      <c r="T953" s="1550"/>
      <c r="U953" s="1551"/>
      <c r="V953" s="1551"/>
      <c r="W953" s="1552"/>
      <c r="X953" s="1552"/>
      <c r="Y953" s="1552"/>
      <c r="Z953" s="1553"/>
      <c r="AA953" s="1552"/>
      <c r="AB953" s="1552"/>
      <c r="AC953" s="1548">
        <f>AC954+AC955+AC956</f>
        <v>29644.66</v>
      </c>
      <c r="AD953" s="1548">
        <f>AD954+AD955+AD956</f>
        <v>149.6</v>
      </c>
      <c r="AE953" s="1548">
        <f>AE954+AE955+AE956</f>
        <v>0</v>
      </c>
      <c r="AF953" s="1548">
        <f>AF954+AF955+AF956</f>
        <v>149.6</v>
      </c>
      <c r="AG953" s="1548">
        <f>AG954+AG955+AG956</f>
        <v>0</v>
      </c>
      <c r="AH953" s="1490">
        <f t="shared" si="609"/>
        <v>0</v>
      </c>
      <c r="AI953" s="1548">
        <f>AI954+AI955+AI956</f>
        <v>4.9999999999999432</v>
      </c>
      <c r="AJ953" s="1548">
        <f>AJ954+AJ955+AJ956</f>
        <v>0</v>
      </c>
      <c r="AK953" s="1548">
        <f>AK954+AK955+AK956</f>
        <v>0</v>
      </c>
      <c r="AL953" s="1548">
        <f>AL954+AL955+AL956</f>
        <v>0</v>
      </c>
      <c r="AM953" s="1548">
        <f>AM954+AM955+AM956</f>
        <v>0</v>
      </c>
      <c r="AN953" s="1556"/>
      <c r="AO953" s="1548">
        <f>AO954+AO955+AO956</f>
        <v>2281.3519999999999</v>
      </c>
      <c r="AP953" s="1548">
        <f t="shared" ref="AP953:CK953" si="637">AP954+AP955+AP956</f>
        <v>0</v>
      </c>
      <c r="AQ953" s="1548">
        <f t="shared" si="637"/>
        <v>149.6</v>
      </c>
      <c r="AR953" s="1548">
        <f t="shared" si="637"/>
        <v>0</v>
      </c>
      <c r="AS953" s="1553">
        <f t="shared" si="637"/>
        <v>2003.1999999999998</v>
      </c>
      <c r="AT953" s="1548">
        <f t="shared" si="637"/>
        <v>0</v>
      </c>
      <c r="AU953" s="1548">
        <f t="shared" si="637"/>
        <v>0</v>
      </c>
      <c r="AV953" s="1548">
        <f t="shared" si="637"/>
        <v>0</v>
      </c>
      <c r="AW953" s="1553">
        <f t="shared" si="637"/>
        <v>2584.3000000000002</v>
      </c>
      <c r="AX953" s="1548">
        <f t="shared" si="637"/>
        <v>0</v>
      </c>
      <c r="AY953" s="1548">
        <f t="shared" si="637"/>
        <v>0</v>
      </c>
      <c r="AZ953" s="1548">
        <f t="shared" si="637"/>
        <v>0</v>
      </c>
      <c r="BA953" s="1556">
        <f t="shared" si="637"/>
        <v>2682.05</v>
      </c>
      <c r="BB953" s="1548">
        <f t="shared" si="637"/>
        <v>0</v>
      </c>
      <c r="BC953" s="1548">
        <f t="shared" si="637"/>
        <v>0</v>
      </c>
      <c r="BD953" s="1548">
        <f t="shared" si="637"/>
        <v>0</v>
      </c>
      <c r="BE953" s="1556">
        <f t="shared" si="637"/>
        <v>2224.6390000000001</v>
      </c>
      <c r="BF953" s="1548">
        <f t="shared" si="637"/>
        <v>0</v>
      </c>
      <c r="BG953" s="1548">
        <f t="shared" si="637"/>
        <v>0</v>
      </c>
      <c r="BH953" s="1548">
        <f t="shared" si="637"/>
        <v>0</v>
      </c>
      <c r="BI953" s="1556">
        <f t="shared" si="637"/>
        <v>1065.8999999999999</v>
      </c>
      <c r="BJ953" s="1548">
        <f t="shared" si="637"/>
        <v>0</v>
      </c>
      <c r="BK953" s="1548">
        <f t="shared" si="637"/>
        <v>0</v>
      </c>
      <c r="BL953" s="1548">
        <f t="shared" si="637"/>
        <v>0</v>
      </c>
      <c r="BM953" s="1556">
        <f t="shared" si="637"/>
        <v>4903.4699999999993</v>
      </c>
      <c r="BN953" s="1548">
        <f t="shared" si="637"/>
        <v>0</v>
      </c>
      <c r="BO953" s="1548">
        <f t="shared" si="637"/>
        <v>0</v>
      </c>
      <c r="BP953" s="1548">
        <f t="shared" si="637"/>
        <v>0</v>
      </c>
      <c r="BQ953" s="1556">
        <f t="shared" si="637"/>
        <v>2744.9</v>
      </c>
      <c r="BR953" s="1548">
        <f t="shared" si="637"/>
        <v>0</v>
      </c>
      <c r="BS953" s="1548">
        <f t="shared" si="637"/>
        <v>0</v>
      </c>
      <c r="BT953" s="1548">
        <f t="shared" si="637"/>
        <v>0</v>
      </c>
      <c r="BU953" s="1556">
        <f t="shared" si="637"/>
        <v>539.5</v>
      </c>
      <c r="BV953" s="1548">
        <f t="shared" si="637"/>
        <v>0</v>
      </c>
      <c r="BW953" s="1548">
        <f t="shared" si="637"/>
        <v>0</v>
      </c>
      <c r="BX953" s="1548">
        <f t="shared" si="637"/>
        <v>0</v>
      </c>
      <c r="BY953" s="1556">
        <f t="shared" si="637"/>
        <v>2957.7</v>
      </c>
      <c r="BZ953" s="1548">
        <f t="shared" si="637"/>
        <v>0</v>
      </c>
      <c r="CA953" s="1548">
        <f t="shared" si="637"/>
        <v>0</v>
      </c>
      <c r="CB953" s="1548">
        <f t="shared" si="637"/>
        <v>0</v>
      </c>
      <c r="CC953" s="1556">
        <f t="shared" si="637"/>
        <v>2507.8199999999997</v>
      </c>
      <c r="CD953" s="1548">
        <f t="shared" si="637"/>
        <v>0</v>
      </c>
      <c r="CE953" s="1548">
        <f t="shared" si="637"/>
        <v>0</v>
      </c>
      <c r="CF953" s="1548">
        <f t="shared" si="637"/>
        <v>0</v>
      </c>
      <c r="CG953" s="2052"/>
      <c r="CH953" s="1556">
        <f t="shared" si="637"/>
        <v>3140.3489999999997</v>
      </c>
      <c r="CI953" s="1548">
        <f t="shared" si="637"/>
        <v>0</v>
      </c>
      <c r="CJ953" s="1548">
        <f t="shared" si="637"/>
        <v>0</v>
      </c>
      <c r="CK953" s="1548">
        <f t="shared" si="637"/>
        <v>0</v>
      </c>
      <c r="CL953" s="2049"/>
      <c r="CM953" s="2049"/>
      <c r="CN953" s="2049"/>
      <c r="CO953" s="2049"/>
      <c r="CP953" s="2049"/>
      <c r="CQ953" s="2049"/>
      <c r="CR953" s="2049"/>
      <c r="CS953" s="2049"/>
      <c r="CT953" s="2049"/>
      <c r="CU953" s="2049"/>
      <c r="CV953" s="2049"/>
      <c r="CW953" s="2049"/>
      <c r="CY953" s="2049"/>
    </row>
    <row r="954" spans="1:103" s="2050" customFormat="1" ht="84" x14ac:dyDescent="0.15">
      <c r="A954" s="1794" t="s">
        <v>1139</v>
      </c>
      <c r="B954" s="2051" t="s">
        <v>79</v>
      </c>
      <c r="C954" s="2051" t="s">
        <v>80</v>
      </c>
      <c r="D954" s="1499" t="s">
        <v>110</v>
      </c>
      <c r="E954" s="1499" t="s">
        <v>81</v>
      </c>
      <c r="F954" s="1499" t="s">
        <v>1259</v>
      </c>
      <c r="G954" s="1499"/>
      <c r="H954" s="1548">
        <f>H958+H959+H960+H961+H962+H967</f>
        <v>25085.751</v>
      </c>
      <c r="I954" s="1548">
        <f>I958+I959+I960+I961+I962</f>
        <v>0</v>
      </c>
      <c r="J954" s="1548">
        <f>J958+J959+J960+J961+J962</f>
        <v>0</v>
      </c>
      <c r="K954" s="1548">
        <f>K958+K959+K960+K961+K962</f>
        <v>0</v>
      </c>
      <c r="L954" s="1549"/>
      <c r="M954" s="1549"/>
      <c r="N954" s="1549"/>
      <c r="O954" s="1549"/>
      <c r="P954" s="1549"/>
      <c r="Q954" s="1549"/>
      <c r="R954" s="1549"/>
      <c r="S954" s="1549"/>
      <c r="T954" s="1550"/>
      <c r="U954" s="1551"/>
      <c r="V954" s="1551"/>
      <c r="W954" s="1552"/>
      <c r="X954" s="1552"/>
      <c r="Y954" s="1552"/>
      <c r="Z954" s="1553"/>
      <c r="AA954" s="1552"/>
      <c r="AB954" s="1552"/>
      <c r="AC954" s="2053">
        <f>AC958+AC959+AC960+AC961+AC962</f>
        <v>24593.84</v>
      </c>
      <c r="AD954" s="2053">
        <f>AD958+AD959+AD960+AD961+AD962</f>
        <v>0</v>
      </c>
      <c r="AE954" s="2053">
        <f>AE958+AE959+AE960+AE961+AE962</f>
        <v>0</v>
      </c>
      <c r="AF954" s="2053">
        <f>AF958+AF959+AF960+AF961+AF962</f>
        <v>0</v>
      </c>
      <c r="AG954" s="2053">
        <f>AG958+AG959+AG960+AG961+AG962</f>
        <v>0</v>
      </c>
      <c r="AH954" s="1490">
        <f t="shared" si="609"/>
        <v>0</v>
      </c>
      <c r="AI954" s="2053">
        <f>AI958+AI959+AI960+AI961+AI962</f>
        <v>0</v>
      </c>
      <c r="AJ954" s="2053">
        <f>AJ958+AJ959+AJ960+AJ961+AJ962</f>
        <v>0</v>
      </c>
      <c r="AK954" s="2053">
        <f>AK958+AK959+AK960+AK961+AK962</f>
        <v>0</v>
      </c>
      <c r="AL954" s="2053">
        <f>AL958+AL959+AL960+AL961+AL962</f>
        <v>0</v>
      </c>
      <c r="AM954" s="2053">
        <f>AM958+AM959+AM960+AM961+AM962</f>
        <v>0</v>
      </c>
      <c r="AN954" s="1556"/>
      <c r="AO954" s="2053">
        <f>AO958+AO959+AO960+AO961+AO962</f>
        <v>2077.752</v>
      </c>
      <c r="AP954" s="2053">
        <f t="shared" ref="AP954:CK954" si="638">AP958+AP959+AP960+AP961+AP962</f>
        <v>0</v>
      </c>
      <c r="AQ954" s="2053">
        <f t="shared" si="638"/>
        <v>0</v>
      </c>
      <c r="AR954" s="2053">
        <f t="shared" si="638"/>
        <v>0</v>
      </c>
      <c r="AS954" s="1553">
        <f t="shared" si="638"/>
        <v>1974.6</v>
      </c>
      <c r="AT954" s="2053">
        <f t="shared" si="638"/>
        <v>0</v>
      </c>
      <c r="AU954" s="2053">
        <f t="shared" si="638"/>
        <v>0</v>
      </c>
      <c r="AV954" s="2053">
        <f t="shared" si="638"/>
        <v>0</v>
      </c>
      <c r="AW954" s="1553">
        <f t="shared" si="638"/>
        <v>2204.9</v>
      </c>
      <c r="AX954" s="2053">
        <f t="shared" si="638"/>
        <v>0</v>
      </c>
      <c r="AY954" s="2053">
        <f t="shared" si="638"/>
        <v>0</v>
      </c>
      <c r="AZ954" s="2053">
        <f t="shared" si="638"/>
        <v>0</v>
      </c>
      <c r="BA954" s="1556">
        <f t="shared" si="638"/>
        <v>1965.6299999999999</v>
      </c>
      <c r="BB954" s="2053">
        <f t="shared" si="638"/>
        <v>0</v>
      </c>
      <c r="BC954" s="2053">
        <f t="shared" si="638"/>
        <v>0</v>
      </c>
      <c r="BD954" s="2053">
        <f t="shared" si="638"/>
        <v>0</v>
      </c>
      <c r="BE954" s="1556">
        <f>BE958+BE959+BE960+BE961+BE962</f>
        <v>1990.319</v>
      </c>
      <c r="BF954" s="2053">
        <f t="shared" si="638"/>
        <v>0</v>
      </c>
      <c r="BG954" s="2053">
        <f t="shared" si="638"/>
        <v>0</v>
      </c>
      <c r="BH954" s="2053">
        <f t="shared" si="638"/>
        <v>0</v>
      </c>
      <c r="BI954" s="1556">
        <f t="shared" si="638"/>
        <v>1007.3</v>
      </c>
      <c r="BJ954" s="2053">
        <f t="shared" si="638"/>
        <v>0</v>
      </c>
      <c r="BK954" s="2053">
        <f t="shared" si="638"/>
        <v>0</v>
      </c>
      <c r="BL954" s="2053">
        <f t="shared" si="638"/>
        <v>0</v>
      </c>
      <c r="BM954" s="1556">
        <f t="shared" si="638"/>
        <v>4388.4699999999993</v>
      </c>
      <c r="BN954" s="2053">
        <f t="shared" si="638"/>
        <v>0</v>
      </c>
      <c r="BO954" s="2053">
        <f t="shared" si="638"/>
        <v>0</v>
      </c>
      <c r="BP954" s="2053">
        <f t="shared" si="638"/>
        <v>0</v>
      </c>
      <c r="BQ954" s="1556">
        <f t="shared" si="638"/>
        <v>2167.8000000000002</v>
      </c>
      <c r="BR954" s="2053">
        <f t="shared" si="638"/>
        <v>0</v>
      </c>
      <c r="BS954" s="2053">
        <f t="shared" si="638"/>
        <v>0</v>
      </c>
      <c r="BT954" s="2053">
        <f t="shared" si="638"/>
        <v>0</v>
      </c>
      <c r="BU954" s="1556">
        <f t="shared" si="638"/>
        <v>125</v>
      </c>
      <c r="BV954" s="2053">
        <f t="shared" si="638"/>
        <v>0</v>
      </c>
      <c r="BW954" s="2053">
        <f t="shared" si="638"/>
        <v>0</v>
      </c>
      <c r="BX954" s="2053">
        <f t="shared" si="638"/>
        <v>0</v>
      </c>
      <c r="BY954" s="1556">
        <f t="shared" si="638"/>
        <v>2840.5</v>
      </c>
      <c r="BZ954" s="2053">
        <f t="shared" si="638"/>
        <v>0</v>
      </c>
      <c r="CA954" s="2053">
        <f t="shared" si="638"/>
        <v>0</v>
      </c>
      <c r="CB954" s="2053">
        <f t="shared" si="638"/>
        <v>0</v>
      </c>
      <c r="CC954" s="1556">
        <f t="shared" si="638"/>
        <v>2128.8199999999997</v>
      </c>
      <c r="CD954" s="2053">
        <f t="shared" si="638"/>
        <v>0</v>
      </c>
      <c r="CE954" s="2053">
        <f t="shared" si="638"/>
        <v>0</v>
      </c>
      <c r="CF954" s="2053">
        <f t="shared" si="638"/>
        <v>0</v>
      </c>
      <c r="CG954" s="2054"/>
      <c r="CH954" s="1556">
        <f t="shared" si="638"/>
        <v>1722.7489999999998</v>
      </c>
      <c r="CI954" s="2053">
        <f t="shared" si="638"/>
        <v>0</v>
      </c>
      <c r="CJ954" s="2053">
        <f t="shared" si="638"/>
        <v>0</v>
      </c>
      <c r="CK954" s="2053">
        <f t="shared" si="638"/>
        <v>0</v>
      </c>
      <c r="CL954" s="2049"/>
      <c r="CM954" s="2049"/>
      <c r="CN954" s="2049"/>
      <c r="CO954" s="2049"/>
      <c r="CP954" s="2049"/>
      <c r="CQ954" s="2049"/>
      <c r="CR954" s="2049"/>
      <c r="CS954" s="2049"/>
      <c r="CT954" s="2049"/>
      <c r="CU954" s="2049"/>
      <c r="CV954" s="2049"/>
      <c r="CW954" s="2049"/>
      <c r="CY954" s="2049"/>
    </row>
    <row r="955" spans="1:103" s="2056" customFormat="1" ht="28" x14ac:dyDescent="0.15">
      <c r="A955" s="1794" t="s">
        <v>1099</v>
      </c>
      <c r="B955" s="2051" t="s">
        <v>79</v>
      </c>
      <c r="C955" s="2051" t="s">
        <v>80</v>
      </c>
      <c r="D955" s="1499" t="s">
        <v>110</v>
      </c>
      <c r="E955" s="1499" t="s">
        <v>81</v>
      </c>
      <c r="F955" s="1499" t="s">
        <v>1260</v>
      </c>
      <c r="G955" s="1499"/>
      <c r="H955" s="1548">
        <f>H963+H964+H965+H966+H968+H969</f>
        <v>4558.0200000000004</v>
      </c>
      <c r="I955" s="1548">
        <f>I963+I964+I965+I966+I968+I969</f>
        <v>0</v>
      </c>
      <c r="J955" s="1548">
        <f>J963+J964+J965+J966+J968+J969</f>
        <v>149.6</v>
      </c>
      <c r="K955" s="1548">
        <f>K963+K964+K965+K966+AD971</f>
        <v>0</v>
      </c>
      <c r="L955" s="1549"/>
      <c r="M955" s="1549"/>
      <c r="N955" s="1549"/>
      <c r="O955" s="1549"/>
      <c r="P955" s="1549"/>
      <c r="Q955" s="1549"/>
      <c r="R955" s="1549"/>
      <c r="S955" s="1549"/>
      <c r="T955" s="1550"/>
      <c r="U955" s="1551"/>
      <c r="V955" s="1551"/>
      <c r="W955" s="1552"/>
      <c r="X955" s="1552"/>
      <c r="Y955" s="1552"/>
      <c r="Z955" s="1553"/>
      <c r="AA955" s="1552"/>
      <c r="AB955" s="1552"/>
      <c r="AC955" s="2053">
        <f>AC963+AC964+AC965+AC966+AC968+AC969</f>
        <v>4558.0199999999995</v>
      </c>
      <c r="AD955" s="2053">
        <f>AD963+AD964+AD965+AD966+AD968+AD969</f>
        <v>149.6</v>
      </c>
      <c r="AE955" s="2053">
        <f>AE963+AE964+AE965+AE966+AE968+AE969</f>
        <v>0</v>
      </c>
      <c r="AF955" s="2053">
        <f>AF963+AF964+AF965+AF966+AF968+AF969</f>
        <v>149.6</v>
      </c>
      <c r="AG955" s="2053">
        <f>AG963+AG964+AG965+AG966+AG968+AG969</f>
        <v>0</v>
      </c>
      <c r="AH955" s="1490">
        <f t="shared" si="609"/>
        <v>0</v>
      </c>
      <c r="AI955" s="2053">
        <f>AI963+AI964+AI965+AI966+AI968+AI969</f>
        <v>0</v>
      </c>
      <c r="AJ955" s="2053">
        <f>AJ963+AJ964+AJ965+AJ966+AJ968+AJ969</f>
        <v>0</v>
      </c>
      <c r="AK955" s="2053">
        <f>AK963+AK964+AK965+AK966+AK968+AK969</f>
        <v>0</v>
      </c>
      <c r="AL955" s="2053">
        <f>AL963+AL964+AL965+AL966+AL968+AL969</f>
        <v>0</v>
      </c>
      <c r="AM955" s="2053">
        <f>AM963+AM964+AM965+AM966+AM968+AM969</f>
        <v>0</v>
      </c>
      <c r="AN955" s="1556"/>
      <c r="AO955" s="2053">
        <f>AO963+AO964+AO965+AO966+AO968+AO969</f>
        <v>148.9</v>
      </c>
      <c r="AP955" s="2053">
        <f t="shared" ref="AP955:CK955" si="639">AP963+AP964+AP965+AP966+AP968+AP969</f>
        <v>0</v>
      </c>
      <c r="AQ955" s="2053">
        <f t="shared" si="639"/>
        <v>149.6</v>
      </c>
      <c r="AR955" s="2053">
        <f t="shared" si="639"/>
        <v>0</v>
      </c>
      <c r="AS955" s="1553">
        <f t="shared" si="639"/>
        <v>28.6</v>
      </c>
      <c r="AT955" s="2053">
        <f t="shared" si="639"/>
        <v>0</v>
      </c>
      <c r="AU955" s="2053">
        <f t="shared" si="639"/>
        <v>0</v>
      </c>
      <c r="AV955" s="2053">
        <f t="shared" si="639"/>
        <v>0</v>
      </c>
      <c r="AW955" s="1553">
        <f t="shared" si="639"/>
        <v>269.89999999999998</v>
      </c>
      <c r="AX955" s="2053">
        <f t="shared" si="639"/>
        <v>0</v>
      </c>
      <c r="AY955" s="2053">
        <f t="shared" si="639"/>
        <v>0</v>
      </c>
      <c r="AZ955" s="2053">
        <f t="shared" si="639"/>
        <v>0</v>
      </c>
      <c r="BA955" s="1556">
        <f t="shared" si="639"/>
        <v>716.42000000000007</v>
      </c>
      <c r="BB955" s="2053">
        <f t="shared" si="639"/>
        <v>0</v>
      </c>
      <c r="BC955" s="2053">
        <f t="shared" si="639"/>
        <v>0</v>
      </c>
      <c r="BD955" s="2053">
        <f t="shared" si="639"/>
        <v>0</v>
      </c>
      <c r="BE955" s="1556">
        <f>BE963+BE964+BE965+BE962+BE968+BE969</f>
        <v>139.52000000000001</v>
      </c>
      <c r="BF955" s="2053">
        <f t="shared" si="639"/>
        <v>0</v>
      </c>
      <c r="BG955" s="2053">
        <f t="shared" si="639"/>
        <v>0</v>
      </c>
      <c r="BH955" s="2053">
        <f t="shared" si="639"/>
        <v>0</v>
      </c>
      <c r="BI955" s="1556">
        <f t="shared" si="639"/>
        <v>58.6</v>
      </c>
      <c r="BJ955" s="2053">
        <f t="shared" si="639"/>
        <v>0</v>
      </c>
      <c r="BK955" s="2053">
        <f t="shared" si="639"/>
        <v>0</v>
      </c>
      <c r="BL955" s="2053">
        <f t="shared" si="639"/>
        <v>0</v>
      </c>
      <c r="BM955" s="1556">
        <f t="shared" si="639"/>
        <v>515</v>
      </c>
      <c r="BN955" s="2053">
        <f t="shared" si="639"/>
        <v>0</v>
      </c>
      <c r="BO955" s="2053">
        <f t="shared" si="639"/>
        <v>0</v>
      </c>
      <c r="BP955" s="2053">
        <f t="shared" si="639"/>
        <v>0</v>
      </c>
      <c r="BQ955" s="1556">
        <f t="shared" si="639"/>
        <v>577.1</v>
      </c>
      <c r="BR955" s="2053">
        <f t="shared" si="639"/>
        <v>0</v>
      </c>
      <c r="BS955" s="2053">
        <f t="shared" si="639"/>
        <v>0</v>
      </c>
      <c r="BT955" s="2053">
        <f t="shared" si="639"/>
        <v>0</v>
      </c>
      <c r="BU955" s="1556">
        <f t="shared" si="639"/>
        <v>180.7</v>
      </c>
      <c r="BV955" s="2053">
        <f t="shared" si="639"/>
        <v>0</v>
      </c>
      <c r="BW955" s="2053">
        <f t="shared" si="639"/>
        <v>0</v>
      </c>
      <c r="BX955" s="2053">
        <f t="shared" si="639"/>
        <v>0</v>
      </c>
      <c r="BY955" s="1556">
        <f t="shared" si="639"/>
        <v>117.2</v>
      </c>
      <c r="BZ955" s="2053">
        <f t="shared" si="639"/>
        <v>0</v>
      </c>
      <c r="CA955" s="2053">
        <f t="shared" si="639"/>
        <v>0</v>
      </c>
      <c r="CB955" s="2053">
        <f t="shared" si="639"/>
        <v>0</v>
      </c>
      <c r="CC955" s="1556">
        <f t="shared" si="639"/>
        <v>379</v>
      </c>
      <c r="CD955" s="2053">
        <f t="shared" si="639"/>
        <v>0</v>
      </c>
      <c r="CE955" s="2053">
        <f t="shared" si="639"/>
        <v>0</v>
      </c>
      <c r="CF955" s="2053">
        <f t="shared" si="639"/>
        <v>0</v>
      </c>
      <c r="CG955" s="2054"/>
      <c r="CH955" s="1556">
        <f t="shared" si="639"/>
        <v>1417.6</v>
      </c>
      <c r="CI955" s="2053">
        <f t="shared" si="639"/>
        <v>0</v>
      </c>
      <c r="CJ955" s="2053">
        <f t="shared" si="639"/>
        <v>0</v>
      </c>
      <c r="CK955" s="2053">
        <f t="shared" si="639"/>
        <v>0</v>
      </c>
      <c r="CL955" s="2055"/>
      <c r="CM955" s="2055"/>
      <c r="CN955" s="2055"/>
      <c r="CO955" s="2055"/>
      <c r="CP955" s="2055"/>
      <c r="CQ955" s="2055"/>
      <c r="CR955" s="2055"/>
      <c r="CS955" s="2055"/>
      <c r="CT955" s="2055"/>
      <c r="CU955" s="2055"/>
      <c r="CV955" s="2055"/>
      <c r="CW955" s="2055"/>
      <c r="CY955" s="2055"/>
    </row>
    <row r="956" spans="1:103" s="2056" customFormat="1" ht="15" customHeight="1" x14ac:dyDescent="0.15">
      <c r="A956" s="1794" t="s">
        <v>1114</v>
      </c>
      <c r="B956" s="2051" t="s">
        <v>79</v>
      </c>
      <c r="C956" s="2051" t="s">
        <v>80</v>
      </c>
      <c r="D956" s="1499" t="s">
        <v>110</v>
      </c>
      <c r="E956" s="1499" t="s">
        <v>81</v>
      </c>
      <c r="F956" s="1499" t="s">
        <v>1261</v>
      </c>
      <c r="G956" s="1499"/>
      <c r="H956" s="1548">
        <f>H970+H971</f>
        <v>497.79999999999995</v>
      </c>
      <c r="I956" s="1548">
        <f>I970+I971</f>
        <v>0</v>
      </c>
      <c r="J956" s="1548">
        <f>J970+J971</f>
        <v>0</v>
      </c>
      <c r="K956" s="1548">
        <f>K970+K971</f>
        <v>0</v>
      </c>
      <c r="L956" s="1549"/>
      <c r="M956" s="1549"/>
      <c r="N956" s="1549"/>
      <c r="O956" s="1549"/>
      <c r="P956" s="1549"/>
      <c r="Q956" s="1549"/>
      <c r="R956" s="1549"/>
      <c r="S956" s="1549"/>
      <c r="T956" s="1550"/>
      <c r="U956" s="1551">
        <f>U970+U971</f>
        <v>0</v>
      </c>
      <c r="V956" s="1551"/>
      <c r="W956" s="2053"/>
      <c r="X956" s="2053"/>
      <c r="Y956" s="2053"/>
      <c r="Z956" s="1553"/>
      <c r="AA956" s="2053"/>
      <c r="AB956" s="2053"/>
      <c r="AC956" s="2053">
        <f>AC970+AC971</f>
        <v>492.8</v>
      </c>
      <c r="AD956" s="2053">
        <f>AD970+AD971</f>
        <v>0</v>
      </c>
      <c r="AE956" s="2053">
        <f>AE970+AE971</f>
        <v>0</v>
      </c>
      <c r="AF956" s="2053">
        <f>AF970+AF971</f>
        <v>0</v>
      </c>
      <c r="AG956" s="2053">
        <f>AG970+AG971</f>
        <v>0</v>
      </c>
      <c r="AH956" s="1490">
        <f t="shared" si="609"/>
        <v>0</v>
      </c>
      <c r="AI956" s="2053">
        <f>AI970+AI971</f>
        <v>4.9999999999999432</v>
      </c>
      <c r="AJ956" s="2053">
        <f>AJ970+AJ971</f>
        <v>0</v>
      </c>
      <c r="AK956" s="2053">
        <f>AK970+AK971</f>
        <v>0</v>
      </c>
      <c r="AL956" s="2053">
        <f>AL970+AL971</f>
        <v>0</v>
      </c>
      <c r="AM956" s="2053">
        <f>AM970+AM971</f>
        <v>0</v>
      </c>
      <c r="AN956" s="1556"/>
      <c r="AO956" s="2053">
        <f>AO970+AO971</f>
        <v>54.7</v>
      </c>
      <c r="AP956" s="2053">
        <f t="shared" ref="AP956:CK956" si="640">AP970+AP971</f>
        <v>0</v>
      </c>
      <c r="AQ956" s="2053">
        <f t="shared" si="640"/>
        <v>0</v>
      </c>
      <c r="AR956" s="2053">
        <f t="shared" si="640"/>
        <v>0</v>
      </c>
      <c r="AS956" s="1553">
        <f t="shared" si="640"/>
        <v>0</v>
      </c>
      <c r="AT956" s="2053">
        <f t="shared" si="640"/>
        <v>0</v>
      </c>
      <c r="AU956" s="2053">
        <f t="shared" si="640"/>
        <v>0</v>
      </c>
      <c r="AV956" s="2053">
        <f t="shared" si="640"/>
        <v>0</v>
      </c>
      <c r="AW956" s="1553">
        <f t="shared" si="640"/>
        <v>109.5</v>
      </c>
      <c r="AX956" s="2053">
        <f t="shared" si="640"/>
        <v>0</v>
      </c>
      <c r="AY956" s="2053">
        <f t="shared" si="640"/>
        <v>0</v>
      </c>
      <c r="AZ956" s="2053">
        <f t="shared" si="640"/>
        <v>0</v>
      </c>
      <c r="BA956" s="1556">
        <f t="shared" si="640"/>
        <v>0</v>
      </c>
      <c r="BB956" s="2053">
        <f t="shared" si="640"/>
        <v>0</v>
      </c>
      <c r="BC956" s="2053">
        <f t="shared" si="640"/>
        <v>0</v>
      </c>
      <c r="BD956" s="2053">
        <f t="shared" si="640"/>
        <v>0</v>
      </c>
      <c r="BE956" s="1556">
        <f t="shared" si="640"/>
        <v>94.800000000000011</v>
      </c>
      <c r="BF956" s="2053">
        <f t="shared" si="640"/>
        <v>0</v>
      </c>
      <c r="BG956" s="2053">
        <f t="shared" si="640"/>
        <v>0</v>
      </c>
      <c r="BH956" s="2053">
        <f t="shared" si="640"/>
        <v>0</v>
      </c>
      <c r="BI956" s="1556">
        <f t="shared" si="640"/>
        <v>0</v>
      </c>
      <c r="BJ956" s="2053">
        <f t="shared" si="640"/>
        <v>0</v>
      </c>
      <c r="BK956" s="2053">
        <f t="shared" si="640"/>
        <v>0</v>
      </c>
      <c r="BL956" s="2053">
        <f t="shared" si="640"/>
        <v>0</v>
      </c>
      <c r="BM956" s="1556">
        <f t="shared" si="640"/>
        <v>0</v>
      </c>
      <c r="BN956" s="2053">
        <f t="shared" si="640"/>
        <v>0</v>
      </c>
      <c r="BO956" s="2053">
        <f t="shared" si="640"/>
        <v>0</v>
      </c>
      <c r="BP956" s="2053">
        <f t="shared" si="640"/>
        <v>0</v>
      </c>
      <c r="BQ956" s="1556">
        <f t="shared" si="640"/>
        <v>0</v>
      </c>
      <c r="BR956" s="2053">
        <f t="shared" si="640"/>
        <v>0</v>
      </c>
      <c r="BS956" s="2053">
        <f t="shared" si="640"/>
        <v>0</v>
      </c>
      <c r="BT956" s="2053">
        <f t="shared" si="640"/>
        <v>0</v>
      </c>
      <c r="BU956" s="1556">
        <f t="shared" si="640"/>
        <v>233.79999999999998</v>
      </c>
      <c r="BV956" s="2053">
        <f t="shared" si="640"/>
        <v>0</v>
      </c>
      <c r="BW956" s="2053">
        <f t="shared" si="640"/>
        <v>0</v>
      </c>
      <c r="BX956" s="2053">
        <f t="shared" si="640"/>
        <v>0</v>
      </c>
      <c r="BY956" s="1556">
        <f t="shared" si="640"/>
        <v>0</v>
      </c>
      <c r="BZ956" s="2053">
        <f t="shared" si="640"/>
        <v>0</v>
      </c>
      <c r="CA956" s="2053">
        <f t="shared" si="640"/>
        <v>0</v>
      </c>
      <c r="CB956" s="2053">
        <f t="shared" si="640"/>
        <v>0</v>
      </c>
      <c r="CC956" s="1556">
        <f t="shared" si="640"/>
        <v>0</v>
      </c>
      <c r="CD956" s="2053">
        <f t="shared" si="640"/>
        <v>0</v>
      </c>
      <c r="CE956" s="2053">
        <f t="shared" si="640"/>
        <v>0</v>
      </c>
      <c r="CF956" s="2053">
        <f t="shared" si="640"/>
        <v>0</v>
      </c>
      <c r="CG956" s="2054"/>
      <c r="CH956" s="1556">
        <f t="shared" si="640"/>
        <v>0</v>
      </c>
      <c r="CI956" s="2053">
        <f t="shared" si="640"/>
        <v>0</v>
      </c>
      <c r="CJ956" s="2053">
        <f t="shared" si="640"/>
        <v>0</v>
      </c>
      <c r="CK956" s="2053">
        <f t="shared" si="640"/>
        <v>0</v>
      </c>
      <c r="CL956" s="2055"/>
      <c r="CM956" s="2055"/>
      <c r="CN956" s="2055"/>
      <c r="CO956" s="2055"/>
      <c r="CP956" s="2055"/>
      <c r="CQ956" s="2055"/>
      <c r="CR956" s="2055"/>
      <c r="CS956" s="2055"/>
      <c r="CT956" s="2055"/>
      <c r="CU956" s="2055"/>
      <c r="CV956" s="2055"/>
      <c r="CW956" s="2055"/>
      <c r="CY956" s="2055"/>
    </row>
    <row r="957" spans="1:103" s="2056" customFormat="1" ht="14" x14ac:dyDescent="0.15">
      <c r="A957" s="1688"/>
      <c r="B957" s="1572"/>
      <c r="C957" s="1572"/>
      <c r="D957" s="1572"/>
      <c r="E957" s="1572"/>
      <c r="F957" s="1572"/>
      <c r="G957" s="2057"/>
      <c r="H957" s="1851"/>
      <c r="I957" s="1645"/>
      <c r="J957" s="1630"/>
      <c r="K957" s="1630"/>
      <c r="L957" s="1631"/>
      <c r="M957" s="1631"/>
      <c r="N957" s="1631"/>
      <c r="O957" s="1631"/>
      <c r="P957" s="1631"/>
      <c r="Q957" s="1631"/>
      <c r="R957" s="1631"/>
      <c r="S957" s="1631"/>
      <c r="T957" s="1632"/>
      <c r="U957" s="1633"/>
      <c r="V957" s="1633"/>
      <c r="W957" s="1634"/>
      <c r="X957" s="1634"/>
      <c r="Y957" s="1634"/>
      <c r="Z957" s="1635"/>
      <c r="AA957" s="1634"/>
      <c r="AB957" s="1634"/>
      <c r="AC957" s="1508"/>
      <c r="AD957" s="1509"/>
      <c r="AE957" s="1509"/>
      <c r="AF957" s="1509"/>
      <c r="AG957" s="1509"/>
      <c r="AH957" s="1490">
        <f t="shared" si="609"/>
        <v>0</v>
      </c>
      <c r="AI957" s="1636"/>
      <c r="AJ957" s="1636"/>
      <c r="AK957" s="1636"/>
      <c r="AL957" s="1636"/>
      <c r="AM957" s="1636"/>
      <c r="AN957" s="1637"/>
      <c r="AO957" s="2058"/>
      <c r="AP957" s="2059"/>
      <c r="AQ957" s="2059"/>
      <c r="AR957" s="2059"/>
      <c r="AS957" s="1639"/>
      <c r="AT957" s="2059"/>
      <c r="AU957" s="2059"/>
      <c r="AV957" s="2059"/>
      <c r="AW957" s="1639"/>
      <c r="AX957" s="2060"/>
      <c r="AY957" s="2060"/>
      <c r="AZ957" s="2060"/>
      <c r="BA957" s="1641"/>
      <c r="BB957" s="2060"/>
      <c r="BC957" s="2060"/>
      <c r="BD957" s="2060"/>
      <c r="BE957" s="1644"/>
      <c r="BF957" s="2060"/>
      <c r="BG957" s="2060"/>
      <c r="BH957" s="2060"/>
      <c r="BI957" s="1641"/>
      <c r="BJ957" s="2060"/>
      <c r="BK957" s="2060"/>
      <c r="BL957" s="2060"/>
      <c r="BM957" s="1641"/>
      <c r="BN957" s="2060"/>
      <c r="BO957" s="2060"/>
      <c r="BP957" s="2060"/>
      <c r="BQ957" s="1641"/>
      <c r="BR957" s="2060"/>
      <c r="BS957" s="2060"/>
      <c r="BT957" s="2060"/>
      <c r="BU957" s="1641"/>
      <c r="BV957" s="2060"/>
      <c r="BW957" s="2060"/>
      <c r="BX957" s="2060"/>
      <c r="BY957" s="1641"/>
      <c r="BZ957" s="2060"/>
      <c r="CA957" s="2060"/>
      <c r="CB957" s="2060"/>
      <c r="CC957" s="1641"/>
      <c r="CD957" s="2060"/>
      <c r="CE957" s="2060"/>
      <c r="CF957" s="2060"/>
      <c r="CG957" s="2061"/>
      <c r="CH957" s="1641"/>
      <c r="CI957" s="2060"/>
      <c r="CJ957" s="2060"/>
      <c r="CK957" s="2060"/>
      <c r="CL957" s="2055"/>
      <c r="CM957" s="2055"/>
      <c r="CN957" s="2055"/>
      <c r="CO957" s="2055"/>
      <c r="CP957" s="2055"/>
      <c r="CQ957" s="2055"/>
      <c r="CR957" s="2055"/>
      <c r="CS957" s="2055"/>
      <c r="CT957" s="2055"/>
      <c r="CU957" s="2055"/>
      <c r="CV957" s="2055"/>
      <c r="CW957" s="2055"/>
      <c r="CY957" s="2055"/>
    </row>
    <row r="958" spans="1:103" s="2056" customFormat="1" ht="14" x14ac:dyDescent="0.15">
      <c r="A958" s="1541" t="s">
        <v>78</v>
      </c>
      <c r="B958" s="1523" t="s">
        <v>79</v>
      </c>
      <c r="C958" s="1523" t="s">
        <v>80</v>
      </c>
      <c r="D958" s="1523" t="s">
        <v>110</v>
      </c>
      <c r="E958" s="1523" t="s">
        <v>81</v>
      </c>
      <c r="F958" s="1523" t="s">
        <v>1262</v>
      </c>
      <c r="G958" s="1523">
        <v>211</v>
      </c>
      <c r="H958" s="1548">
        <f>18192+400+170.23-491.911+62.58+50</f>
        <v>18382.899000000001</v>
      </c>
      <c r="I958" s="1548"/>
      <c r="J958" s="1630"/>
      <c r="K958" s="1630"/>
      <c r="L958" s="1631"/>
      <c r="M958" s="1631"/>
      <c r="N958" s="1631"/>
      <c r="O958" s="1631"/>
      <c r="P958" s="1631"/>
      <c r="Q958" s="1631"/>
      <c r="R958" s="1631"/>
      <c r="S958" s="1631"/>
      <c r="T958" s="1632"/>
      <c r="U958" s="1633"/>
      <c r="V958" s="1633"/>
      <c r="W958" s="1634"/>
      <c r="X958" s="1634"/>
      <c r="Y958" s="1634"/>
      <c r="Z958" s="1635"/>
      <c r="AA958" s="1634"/>
      <c r="AB958" s="1634"/>
      <c r="AC958" s="1508">
        <f t="shared" ref="AC958:AC971" si="641">AO958+AS958+AW958+BA958+BE958+BI958+BM958+BQ958+BU958+BY958+CC958+CH958</f>
        <v>18382.899000000001</v>
      </c>
      <c r="AD958" s="1509">
        <f t="shared" ref="AD958:AD969" si="642">AE958+AF958+AG958</f>
        <v>0</v>
      </c>
      <c r="AE958" s="1509">
        <f t="shared" ref="AE958:AG971" si="643">AP958+AT958+AX958+BB958+BF958+BJ958+BN958+BR958+BV958+BZ958+CD958+CI958</f>
        <v>0</v>
      </c>
      <c r="AF958" s="1509">
        <f t="shared" si="643"/>
        <v>0</v>
      </c>
      <c r="AG958" s="1509">
        <f t="shared" si="643"/>
        <v>0</v>
      </c>
      <c r="AH958" s="1490">
        <f t="shared" si="609"/>
        <v>0</v>
      </c>
      <c r="AI958" s="1636">
        <f t="shared" ref="AI958:AI971" si="644">H958-AC958</f>
        <v>0</v>
      </c>
      <c r="AJ958" s="1636">
        <f t="shared" ref="AJ958:AJ969" si="645">AK958+AL958+AM958</f>
        <v>0</v>
      </c>
      <c r="AK958" s="1636">
        <f t="shared" ref="AK958:AM961" si="646">I958-AE958</f>
        <v>0</v>
      </c>
      <c r="AL958" s="1636">
        <f t="shared" si="646"/>
        <v>0</v>
      </c>
      <c r="AM958" s="1636">
        <f t="shared" si="646"/>
        <v>0</v>
      </c>
      <c r="AN958" s="1637"/>
      <c r="AO958" s="2058">
        <v>1516</v>
      </c>
      <c r="AP958" s="2059"/>
      <c r="AQ958" s="2059"/>
      <c r="AR958" s="2059"/>
      <c r="AS958" s="1639">
        <v>1516</v>
      </c>
      <c r="AT958" s="2059"/>
      <c r="AU958" s="2059"/>
      <c r="AV958" s="2059"/>
      <c r="AW958" s="1639">
        <f>1516+181</f>
        <v>1697</v>
      </c>
      <c r="AX958" s="2060"/>
      <c r="AY958" s="2060"/>
      <c r="AZ958" s="2060"/>
      <c r="BA958" s="1641">
        <v>1335</v>
      </c>
      <c r="BB958" s="2060"/>
      <c r="BC958" s="2060"/>
      <c r="BD958" s="2060"/>
      <c r="BE958" s="1644">
        <v>1516</v>
      </c>
      <c r="BF958" s="2060"/>
      <c r="BG958" s="2060"/>
      <c r="BH958" s="2060"/>
      <c r="BI958" s="1641">
        <f>1006.4</f>
        <v>1006.4</v>
      </c>
      <c r="BJ958" s="2060"/>
      <c r="BK958" s="2060"/>
      <c r="BL958" s="2060"/>
      <c r="BM958" s="1641">
        <f>909.6+2151</f>
        <v>3060.6</v>
      </c>
      <c r="BN958" s="2060"/>
      <c r="BO958" s="2060"/>
      <c r="BP958" s="2060"/>
      <c r="BQ958" s="1641">
        <v>1516</v>
      </c>
      <c r="BR958" s="2060"/>
      <c r="BS958" s="2060"/>
      <c r="BT958" s="2060"/>
      <c r="BU958" s="1641"/>
      <c r="BV958" s="2060"/>
      <c r="BW958" s="2060"/>
      <c r="BX958" s="2060"/>
      <c r="BY958" s="1641">
        <f>831+1381</f>
        <v>2212</v>
      </c>
      <c r="BZ958" s="2060"/>
      <c r="CA958" s="2060"/>
      <c r="CB958" s="2060"/>
      <c r="CC958" s="1641">
        <v>1516</v>
      </c>
      <c r="CD958" s="2060"/>
      <c r="CE958" s="2060"/>
      <c r="CF958" s="2060"/>
      <c r="CG958" s="2061"/>
      <c r="CH958" s="1641">
        <f>62.58+1379.319+50</f>
        <v>1491.8989999999999</v>
      </c>
      <c r="CI958" s="2060"/>
      <c r="CJ958" s="2060"/>
      <c r="CK958" s="2060"/>
      <c r="CL958" s="2055"/>
      <c r="CM958" s="2055"/>
      <c r="CN958" s="2055"/>
      <c r="CO958" s="2055"/>
      <c r="CP958" s="2055"/>
      <c r="CQ958" s="2055"/>
      <c r="CR958" s="2055"/>
      <c r="CS958" s="2055"/>
      <c r="CT958" s="2055"/>
      <c r="CU958" s="2055"/>
      <c r="CV958" s="2055"/>
      <c r="CW958" s="2055"/>
      <c r="CX958" s="1558">
        <f>H958/12</f>
        <v>1531.9082500000002</v>
      </c>
      <c r="CY958" s="2055"/>
    </row>
    <row r="959" spans="1:103" s="2056" customFormat="1" ht="14" x14ac:dyDescent="0.15">
      <c r="A959" s="1541" t="s">
        <v>84</v>
      </c>
      <c r="B959" s="1523" t="s">
        <v>79</v>
      </c>
      <c r="C959" s="1523" t="s">
        <v>80</v>
      </c>
      <c r="D959" s="1523" t="s">
        <v>110</v>
      </c>
      <c r="E959" s="1523" t="s">
        <v>81</v>
      </c>
      <c r="F959" s="1523" t="s">
        <v>1262</v>
      </c>
      <c r="G959" s="1523">
        <v>213</v>
      </c>
      <c r="H959" s="1548">
        <f>5494-400</f>
        <v>5094</v>
      </c>
      <c r="I959" s="1548"/>
      <c r="J959" s="1630"/>
      <c r="K959" s="1630"/>
      <c r="L959" s="1631"/>
      <c r="M959" s="1631"/>
      <c r="N959" s="1631"/>
      <c r="O959" s="1631"/>
      <c r="P959" s="1631"/>
      <c r="Q959" s="1631"/>
      <c r="R959" s="1631"/>
      <c r="S959" s="1631"/>
      <c r="T959" s="1632"/>
      <c r="U959" s="1633"/>
      <c r="V959" s="1633"/>
      <c r="W959" s="1634"/>
      <c r="X959" s="1634"/>
      <c r="Y959" s="1634"/>
      <c r="Z959" s="1635"/>
      <c r="AA959" s="1634"/>
      <c r="AB959" s="1634"/>
      <c r="AC959" s="1508">
        <f t="shared" si="641"/>
        <v>5094.0000000000009</v>
      </c>
      <c r="AD959" s="1509">
        <f>AE959+AF959+AG959</f>
        <v>0</v>
      </c>
      <c r="AE959" s="1509">
        <f t="shared" si="643"/>
        <v>0</v>
      </c>
      <c r="AF959" s="1509">
        <f t="shared" si="643"/>
        <v>0</v>
      </c>
      <c r="AG959" s="1509">
        <f t="shared" si="643"/>
        <v>0</v>
      </c>
      <c r="AH959" s="1490">
        <f t="shared" si="609"/>
        <v>0</v>
      </c>
      <c r="AI959" s="1636">
        <f t="shared" si="644"/>
        <v>0</v>
      </c>
      <c r="AJ959" s="1636">
        <f>AK959+AL959+AM959</f>
        <v>0</v>
      </c>
      <c r="AK959" s="1636">
        <f t="shared" si="646"/>
        <v>0</v>
      </c>
      <c r="AL959" s="1636">
        <f t="shared" si="646"/>
        <v>0</v>
      </c>
      <c r="AM959" s="1636">
        <f t="shared" si="646"/>
        <v>0</v>
      </c>
      <c r="AN959" s="1637"/>
      <c r="AO959" s="2058">
        <v>457.8</v>
      </c>
      <c r="AP959" s="2059"/>
      <c r="AQ959" s="2059"/>
      <c r="AR959" s="2059"/>
      <c r="AS959" s="1639">
        <v>457.8</v>
      </c>
      <c r="AT959" s="2059"/>
      <c r="AU959" s="2059"/>
      <c r="AV959" s="2059"/>
      <c r="AW959" s="1639">
        <v>457.9</v>
      </c>
      <c r="AX959" s="2060"/>
      <c r="AY959" s="2060"/>
      <c r="AZ959" s="2060"/>
      <c r="BA959" s="1641">
        <v>457.83</v>
      </c>
      <c r="BB959" s="2060"/>
      <c r="BC959" s="2060"/>
      <c r="BD959" s="2060"/>
      <c r="BE959" s="1644">
        <v>457.8</v>
      </c>
      <c r="BF959" s="2060"/>
      <c r="BG959" s="2060"/>
      <c r="BH959" s="2060"/>
      <c r="BI959" s="1641"/>
      <c r="BJ959" s="2060"/>
      <c r="BK959" s="2060"/>
      <c r="BL959" s="2060"/>
      <c r="BM959" s="1641">
        <f>578.7+649.17</f>
        <v>1227.8699999999999</v>
      </c>
      <c r="BN959" s="2060"/>
      <c r="BO959" s="2060"/>
      <c r="BP959" s="2060"/>
      <c r="BQ959" s="1641">
        <v>457.8</v>
      </c>
      <c r="BR959" s="2060"/>
      <c r="BS959" s="2060"/>
      <c r="BT959" s="2060"/>
      <c r="BU959" s="1641"/>
      <c r="BV959" s="2060"/>
      <c r="BW959" s="2060"/>
      <c r="BX959" s="2060"/>
      <c r="BY959" s="1641">
        <f>145.7+457.8</f>
        <v>603.5</v>
      </c>
      <c r="BZ959" s="2060"/>
      <c r="CA959" s="2060"/>
      <c r="CB959" s="2060"/>
      <c r="CC959" s="1641">
        <v>457.85</v>
      </c>
      <c r="CD959" s="2060"/>
      <c r="CE959" s="2060"/>
      <c r="CF959" s="2060"/>
      <c r="CG959" s="2061"/>
      <c r="CH959" s="1641">
        <v>57.85</v>
      </c>
      <c r="CI959" s="2060"/>
      <c r="CJ959" s="2060"/>
      <c r="CK959" s="2060"/>
      <c r="CL959" s="2055"/>
      <c r="CM959" s="2055"/>
      <c r="CN959" s="2055"/>
      <c r="CO959" s="2055"/>
      <c r="CP959" s="2055"/>
      <c r="CQ959" s="2055"/>
      <c r="CR959" s="2055"/>
      <c r="CS959" s="2055"/>
      <c r="CT959" s="2055"/>
      <c r="CU959" s="2055"/>
      <c r="CV959" s="2055"/>
      <c r="CW959" s="2055"/>
      <c r="CX959" s="1558">
        <f>H959/12</f>
        <v>424.5</v>
      </c>
      <c r="CY959" s="2055"/>
    </row>
    <row r="960" spans="1:103" s="2056" customFormat="1" ht="14" x14ac:dyDescent="0.15">
      <c r="A960" s="1541" t="s">
        <v>83</v>
      </c>
      <c r="B960" s="1523" t="s">
        <v>79</v>
      </c>
      <c r="C960" s="1523" t="s">
        <v>80</v>
      </c>
      <c r="D960" s="1523" t="s">
        <v>110</v>
      </c>
      <c r="E960" s="1523" t="s">
        <v>81</v>
      </c>
      <c r="F960" s="1523" t="s">
        <v>1263</v>
      </c>
      <c r="G960" s="1523">
        <v>212</v>
      </c>
      <c r="H960" s="1548">
        <f>10+25</f>
        <v>35</v>
      </c>
      <c r="I960" s="1548"/>
      <c r="J960" s="1630"/>
      <c r="K960" s="1630"/>
      <c r="L960" s="1631"/>
      <c r="M960" s="1631"/>
      <c r="N960" s="1631"/>
      <c r="O960" s="1631"/>
      <c r="P960" s="1631"/>
      <c r="Q960" s="1631"/>
      <c r="R960" s="1631"/>
      <c r="S960" s="1631"/>
      <c r="T960" s="1632"/>
      <c r="U960" s="1633"/>
      <c r="V960" s="1633"/>
      <c r="W960" s="1634"/>
      <c r="X960" s="1634"/>
      <c r="Y960" s="1634"/>
      <c r="Z960" s="1635"/>
      <c r="AA960" s="1634"/>
      <c r="AB960" s="1634"/>
      <c r="AC960" s="1508">
        <f t="shared" si="641"/>
        <v>35</v>
      </c>
      <c r="AD960" s="1509">
        <f t="shared" si="642"/>
        <v>0</v>
      </c>
      <c r="AE960" s="1509">
        <f t="shared" si="643"/>
        <v>0</v>
      </c>
      <c r="AF960" s="1509">
        <f t="shared" si="643"/>
        <v>0</v>
      </c>
      <c r="AG960" s="1509">
        <f t="shared" si="643"/>
        <v>0</v>
      </c>
      <c r="AH960" s="1490">
        <f t="shared" si="609"/>
        <v>0</v>
      </c>
      <c r="AI960" s="1636">
        <f t="shared" si="644"/>
        <v>0</v>
      </c>
      <c r="AJ960" s="1636">
        <f t="shared" si="645"/>
        <v>0</v>
      </c>
      <c r="AK960" s="1636">
        <f t="shared" si="646"/>
        <v>0</v>
      </c>
      <c r="AL960" s="1636">
        <f t="shared" si="646"/>
        <v>0</v>
      </c>
      <c r="AM960" s="1636">
        <f t="shared" si="646"/>
        <v>0</v>
      </c>
      <c r="AN960" s="1637"/>
      <c r="AO960" s="2058">
        <v>0.83</v>
      </c>
      <c r="AP960" s="2059"/>
      <c r="AQ960" s="2059"/>
      <c r="AR960" s="2059"/>
      <c r="AS960" s="1639">
        <v>0.8</v>
      </c>
      <c r="AT960" s="2059"/>
      <c r="AU960" s="2059"/>
      <c r="AV960" s="2059"/>
      <c r="AW960" s="1639">
        <v>0.9</v>
      </c>
      <c r="AX960" s="2060"/>
      <c r="AY960" s="2060"/>
      <c r="AZ960" s="2060"/>
      <c r="BA960" s="1641">
        <v>0.8</v>
      </c>
      <c r="BB960" s="2060"/>
      <c r="BC960" s="2060"/>
      <c r="BD960" s="2060"/>
      <c r="BE960" s="1644">
        <v>0.8</v>
      </c>
      <c r="BF960" s="2060"/>
      <c r="BG960" s="2060"/>
      <c r="BH960" s="2060"/>
      <c r="BI960" s="1641">
        <v>0.9</v>
      </c>
      <c r="BJ960" s="2060"/>
      <c r="BK960" s="2060"/>
      <c r="BL960" s="2060"/>
      <c r="BM960" s="1641"/>
      <c r="BN960" s="2060"/>
      <c r="BO960" s="2060"/>
      <c r="BP960" s="2060"/>
      <c r="BQ960" s="1641"/>
      <c r="BR960" s="2060"/>
      <c r="BS960" s="2060"/>
      <c r="BT960" s="2060"/>
      <c r="BU960" s="1641">
        <v>25</v>
      </c>
      <c r="BV960" s="2060"/>
      <c r="BW960" s="2060"/>
      <c r="BX960" s="2060"/>
      <c r="BY960" s="1641"/>
      <c r="BZ960" s="2060"/>
      <c r="CA960" s="2060"/>
      <c r="CB960" s="2060"/>
      <c r="CC960" s="1641">
        <v>4.97</v>
      </c>
      <c r="CD960" s="2060"/>
      <c r="CE960" s="2060"/>
      <c r="CF960" s="2060"/>
      <c r="CG960" s="2061"/>
      <c r="CH960" s="1641"/>
      <c r="CI960" s="2060"/>
      <c r="CJ960" s="2060"/>
      <c r="CK960" s="2060"/>
      <c r="CL960" s="2055"/>
      <c r="CM960" s="2055"/>
      <c r="CN960" s="2055"/>
      <c r="CO960" s="2055"/>
      <c r="CP960" s="2055"/>
      <c r="CQ960" s="2055"/>
      <c r="CR960" s="2055"/>
      <c r="CS960" s="2055"/>
      <c r="CT960" s="2055"/>
      <c r="CU960" s="2055"/>
      <c r="CV960" s="2055"/>
      <c r="CW960" s="2055"/>
      <c r="CX960" s="1558">
        <f>H960/12</f>
        <v>2.9166666666666665</v>
      </c>
      <c r="CY960" s="2055"/>
    </row>
    <row r="961" spans="1:103" s="2056" customFormat="1" ht="14" x14ac:dyDescent="0.15">
      <c r="A961" s="1541" t="s">
        <v>86</v>
      </c>
      <c r="B961" s="1523" t="s">
        <v>79</v>
      </c>
      <c r="C961" s="1523" t="s">
        <v>80</v>
      </c>
      <c r="D961" s="1523" t="s">
        <v>110</v>
      </c>
      <c r="E961" s="1523" t="s">
        <v>81</v>
      </c>
      <c r="F961" s="1523" t="s">
        <v>1263</v>
      </c>
      <c r="G961" s="1523">
        <v>222</v>
      </c>
      <c r="H961" s="1548">
        <f>353+13.052-5.301+300</f>
        <v>660.75099999999998</v>
      </c>
      <c r="I961" s="1548"/>
      <c r="J961" s="1630"/>
      <c r="K961" s="1630"/>
      <c r="L961" s="1631"/>
      <c r="M961" s="1631"/>
      <c r="N961" s="1631"/>
      <c r="O961" s="1631"/>
      <c r="P961" s="1631"/>
      <c r="Q961" s="1631"/>
      <c r="R961" s="1631"/>
      <c r="S961" s="1631"/>
      <c r="T961" s="1632"/>
      <c r="U961" s="1633"/>
      <c r="V961" s="1633"/>
      <c r="W961" s="1634"/>
      <c r="X961" s="1634"/>
      <c r="Y961" s="1634"/>
      <c r="Z961" s="1635"/>
      <c r="AA961" s="1634"/>
      <c r="AB961" s="1634"/>
      <c r="AC961" s="1508">
        <f t="shared" si="641"/>
        <v>660.75099999999998</v>
      </c>
      <c r="AD961" s="1509">
        <f t="shared" si="642"/>
        <v>0</v>
      </c>
      <c r="AE961" s="1509">
        <f t="shared" si="643"/>
        <v>0</v>
      </c>
      <c r="AF961" s="1509">
        <f t="shared" si="643"/>
        <v>0</v>
      </c>
      <c r="AG961" s="1509">
        <f t="shared" si="643"/>
        <v>0</v>
      </c>
      <c r="AH961" s="1490">
        <f t="shared" si="609"/>
        <v>0</v>
      </c>
      <c r="AI961" s="1636">
        <f t="shared" si="644"/>
        <v>0</v>
      </c>
      <c r="AJ961" s="1636">
        <f t="shared" si="645"/>
        <v>0</v>
      </c>
      <c r="AK961" s="1636">
        <f t="shared" si="646"/>
        <v>0</v>
      </c>
      <c r="AL961" s="1636">
        <f t="shared" si="646"/>
        <v>0</v>
      </c>
      <c r="AM961" s="1636">
        <f t="shared" si="646"/>
        <v>0</v>
      </c>
      <c r="AN961" s="1637"/>
      <c r="AO961" s="2058">
        <f>29.4+13.052</f>
        <v>42.451999999999998</v>
      </c>
      <c r="AP961" s="2059"/>
      <c r="AQ961" s="2059"/>
      <c r="AR961" s="2059"/>
      <c r="AS961" s="1639"/>
      <c r="AT961" s="2059"/>
      <c r="AU961" s="2059"/>
      <c r="AV961" s="2059"/>
      <c r="AW961" s="1639">
        <v>49.1</v>
      </c>
      <c r="AX961" s="2060"/>
      <c r="AY961" s="2060"/>
      <c r="AZ961" s="2060"/>
      <c r="BA961" s="1641">
        <v>130</v>
      </c>
      <c r="BB961" s="2060"/>
      <c r="BC961" s="2060"/>
      <c r="BD961" s="2060"/>
      <c r="BE961" s="1644">
        <f>-5.301+30.5</f>
        <v>25.198999999999998</v>
      </c>
      <c r="BF961" s="2060"/>
      <c r="BG961" s="2060"/>
      <c r="BH961" s="2060"/>
      <c r="BI961" s="1641"/>
      <c r="BJ961" s="2060"/>
      <c r="BK961" s="2060"/>
      <c r="BL961" s="2060"/>
      <c r="BM961" s="1641">
        <v>50</v>
      </c>
      <c r="BN961" s="2060"/>
      <c r="BO961" s="2060"/>
      <c r="BP961" s="2060"/>
      <c r="BQ961" s="1641">
        <v>64</v>
      </c>
      <c r="BR961" s="2060"/>
      <c r="BS961" s="2060"/>
      <c r="BT961" s="2060"/>
      <c r="BU961" s="1641">
        <v>100</v>
      </c>
      <c r="BV961" s="2060"/>
      <c r="BW961" s="2060"/>
      <c r="BX961" s="2060"/>
      <c r="BY961" s="1641"/>
      <c r="BZ961" s="2060"/>
      <c r="CA961" s="2060"/>
      <c r="CB961" s="2060"/>
      <c r="CC961" s="1641">
        <v>100</v>
      </c>
      <c r="CD961" s="2060"/>
      <c r="CE961" s="2060"/>
      <c r="CF961" s="2060"/>
      <c r="CG961" s="2061"/>
      <c r="CH961" s="1641">
        <f>50+50</f>
        <v>100</v>
      </c>
      <c r="CI961" s="2060"/>
      <c r="CJ961" s="2060"/>
      <c r="CK961" s="2060"/>
      <c r="CL961" s="2055"/>
      <c r="CM961" s="2055"/>
      <c r="CN961" s="2055"/>
      <c r="CO961" s="2055"/>
      <c r="CP961" s="2055"/>
      <c r="CQ961" s="2055"/>
      <c r="CR961" s="2055"/>
      <c r="CS961" s="2055"/>
      <c r="CT961" s="2055"/>
      <c r="CU961" s="2055"/>
      <c r="CV961" s="2055"/>
      <c r="CW961" s="2055"/>
      <c r="CX961" s="1559"/>
      <c r="CY961" s="2055"/>
    </row>
    <row r="962" spans="1:103" s="2056" customFormat="1" ht="14" x14ac:dyDescent="0.15">
      <c r="A962" s="1541" t="s">
        <v>91</v>
      </c>
      <c r="B962" s="1523" t="s">
        <v>79</v>
      </c>
      <c r="C962" s="1523" t="s">
        <v>80</v>
      </c>
      <c r="D962" s="1523" t="s">
        <v>110</v>
      </c>
      <c r="E962" s="1523" t="s">
        <v>81</v>
      </c>
      <c r="F962" s="1523" t="s">
        <v>1263</v>
      </c>
      <c r="G962" s="1523" t="s">
        <v>198</v>
      </c>
      <c r="H962" s="1548">
        <f>750+60.67-300-9.48+200-245-30-5</f>
        <v>421.18999999999994</v>
      </c>
      <c r="I962" s="1548"/>
      <c r="J962" s="1630"/>
      <c r="K962" s="1630"/>
      <c r="L962" s="1631"/>
      <c r="M962" s="1631"/>
      <c r="N962" s="1631"/>
      <c r="O962" s="1631"/>
      <c r="P962" s="1631"/>
      <c r="Q962" s="1631"/>
      <c r="R962" s="1631"/>
      <c r="S962" s="1631"/>
      <c r="T962" s="1632"/>
      <c r="U962" s="1633"/>
      <c r="V962" s="1633"/>
      <c r="W962" s="1634"/>
      <c r="X962" s="1634"/>
      <c r="Y962" s="1634"/>
      <c r="Z962" s="1635"/>
      <c r="AA962" s="1634"/>
      <c r="AB962" s="1634"/>
      <c r="AC962" s="1508">
        <f t="shared" si="641"/>
        <v>421.19</v>
      </c>
      <c r="AD962" s="1509">
        <f>AE962+AF962+AG962</f>
        <v>0</v>
      </c>
      <c r="AE962" s="1509">
        <f t="shared" si="643"/>
        <v>0</v>
      </c>
      <c r="AF962" s="1509">
        <f t="shared" si="643"/>
        <v>0</v>
      </c>
      <c r="AG962" s="1509">
        <f t="shared" si="643"/>
        <v>0</v>
      </c>
      <c r="AH962" s="1490">
        <f t="shared" si="609"/>
        <v>0</v>
      </c>
      <c r="AI962" s="1636">
        <f t="shared" si="644"/>
        <v>0</v>
      </c>
      <c r="AJ962" s="1636"/>
      <c r="AK962" s="1636"/>
      <c r="AL962" s="1636">
        <f>J962-AF962</f>
        <v>0</v>
      </c>
      <c r="AM962" s="1636"/>
      <c r="AN962" s="1637"/>
      <c r="AO962" s="2058">
        <f>60.67</f>
        <v>60.67</v>
      </c>
      <c r="AP962" s="2059"/>
      <c r="AQ962" s="2059"/>
      <c r="AR962" s="2059"/>
      <c r="AS962" s="1639"/>
      <c r="AT962" s="2059"/>
      <c r="AU962" s="2059"/>
      <c r="AV962" s="2059"/>
      <c r="AW962" s="1639"/>
      <c r="AX962" s="2060"/>
      <c r="AY962" s="2060"/>
      <c r="AZ962" s="2060"/>
      <c r="BA962" s="1641">
        <v>42</v>
      </c>
      <c r="BB962" s="2060"/>
      <c r="BC962" s="2060"/>
      <c r="BD962" s="2060"/>
      <c r="BE962" s="1644">
        <v>-9.48</v>
      </c>
      <c r="BF962" s="2060"/>
      <c r="BG962" s="2060"/>
      <c r="BH962" s="2060"/>
      <c r="BI962" s="1641"/>
      <c r="BJ962" s="2060"/>
      <c r="BK962" s="2060"/>
      <c r="BL962" s="2060"/>
      <c r="BM962" s="1641">
        <v>50</v>
      </c>
      <c r="BN962" s="2060"/>
      <c r="BO962" s="2060"/>
      <c r="BP962" s="2060"/>
      <c r="BQ962" s="1641">
        <v>130</v>
      </c>
      <c r="BR962" s="2060"/>
      <c r="BS962" s="2060"/>
      <c r="BT962" s="2060"/>
      <c r="BU962" s="1641"/>
      <c r="BV962" s="2060"/>
      <c r="BW962" s="2060"/>
      <c r="BX962" s="2060"/>
      <c r="BY962" s="1905">
        <v>25</v>
      </c>
      <c r="BZ962" s="2060"/>
      <c r="CA962" s="2060"/>
      <c r="CB962" s="2060"/>
      <c r="CC962" s="1641">
        <v>50</v>
      </c>
      <c r="CD962" s="2060"/>
      <c r="CE962" s="2060"/>
      <c r="CF962" s="2060"/>
      <c r="CG962" s="2061"/>
      <c r="CH962" s="1641">
        <f>15.5+57.5</f>
        <v>73</v>
      </c>
      <c r="CI962" s="2060"/>
      <c r="CJ962" s="2060"/>
      <c r="CK962" s="2060"/>
      <c r="CL962" s="2055"/>
      <c r="CM962" s="2055"/>
      <c r="CN962" s="2055"/>
      <c r="CO962" s="2055"/>
      <c r="CP962" s="2055"/>
      <c r="CQ962" s="2055"/>
      <c r="CR962" s="2055"/>
      <c r="CS962" s="2055"/>
      <c r="CT962" s="2055"/>
      <c r="CU962" s="2055"/>
      <c r="CV962" s="2055"/>
      <c r="CW962" s="2055"/>
      <c r="CY962" s="2055"/>
    </row>
    <row r="963" spans="1:103" s="2056" customFormat="1" ht="14" x14ac:dyDescent="0.15">
      <c r="A963" s="1541" t="s">
        <v>85</v>
      </c>
      <c r="B963" s="1523" t="s">
        <v>79</v>
      </c>
      <c r="C963" s="1523" t="s">
        <v>80</v>
      </c>
      <c r="D963" s="1523" t="s">
        <v>110</v>
      </c>
      <c r="E963" s="1523" t="s">
        <v>81</v>
      </c>
      <c r="F963" s="1523" t="s">
        <v>1247</v>
      </c>
      <c r="G963" s="1523">
        <v>221</v>
      </c>
      <c r="H963" s="1548">
        <f>633-70-U963+53.3</f>
        <v>516.29999999999995</v>
      </c>
      <c r="I963" s="1548"/>
      <c r="J963" s="1630"/>
      <c r="K963" s="1630"/>
      <c r="L963" s="1631"/>
      <c r="M963" s="1631"/>
      <c r="N963" s="1631"/>
      <c r="O963" s="1631"/>
      <c r="P963" s="1631"/>
      <c r="Q963" s="1631"/>
      <c r="R963" s="1631"/>
      <c r="S963" s="1631"/>
      <c r="T963" s="1632"/>
      <c r="U963" s="1633">
        <v>100</v>
      </c>
      <c r="V963" s="1633"/>
      <c r="W963" s="1634"/>
      <c r="X963" s="1634"/>
      <c r="Y963" s="1634"/>
      <c r="Z963" s="1635"/>
      <c r="AA963" s="1634"/>
      <c r="AB963" s="1634"/>
      <c r="AC963" s="1508">
        <f t="shared" si="641"/>
        <v>516.29999999999995</v>
      </c>
      <c r="AD963" s="1509">
        <f>AE963+AF963+AG963</f>
        <v>0</v>
      </c>
      <c r="AE963" s="1508">
        <f t="shared" si="643"/>
        <v>0</v>
      </c>
      <c r="AF963" s="1509">
        <f t="shared" si="643"/>
        <v>0</v>
      </c>
      <c r="AG963" s="1509">
        <f t="shared" si="643"/>
        <v>0</v>
      </c>
      <c r="AH963" s="1490">
        <f t="shared" si="609"/>
        <v>0</v>
      </c>
      <c r="AI963" s="1636">
        <f t="shared" si="644"/>
        <v>0</v>
      </c>
      <c r="AJ963" s="1636">
        <f>AK963+AL963+AM963</f>
        <v>0</v>
      </c>
      <c r="AK963" s="1636">
        <f>I963-AE963</f>
        <v>0</v>
      </c>
      <c r="AL963" s="1636">
        <f>J963-AF963</f>
        <v>0</v>
      </c>
      <c r="AM963" s="1636">
        <f>K963-AG963</f>
        <v>0</v>
      </c>
      <c r="AN963" s="1637"/>
      <c r="AO963" s="2058">
        <v>52.7</v>
      </c>
      <c r="AP963" s="2059"/>
      <c r="AQ963" s="2059"/>
      <c r="AR963" s="2059"/>
      <c r="AS963" s="1639"/>
      <c r="AT963" s="2059"/>
      <c r="AU963" s="2059"/>
      <c r="AV963" s="2059"/>
      <c r="AW963" s="1639">
        <v>105.6</v>
      </c>
      <c r="AX963" s="2060"/>
      <c r="AY963" s="2060"/>
      <c r="AZ963" s="2060"/>
      <c r="BA963" s="1641"/>
      <c r="BB963" s="2060"/>
      <c r="BC963" s="2060"/>
      <c r="BD963" s="2060"/>
      <c r="BE963" s="1644">
        <v>52.7</v>
      </c>
      <c r="BF963" s="2060"/>
      <c r="BG963" s="2060"/>
      <c r="BH963" s="2060"/>
      <c r="BI963" s="1641"/>
      <c r="BJ963" s="2060"/>
      <c r="BK963" s="2060"/>
      <c r="BL963" s="2060"/>
      <c r="BM963" s="1641">
        <v>20</v>
      </c>
      <c r="BN963" s="2060"/>
      <c r="BO963" s="2060"/>
      <c r="BP963" s="2060"/>
      <c r="BQ963" s="1641">
        <v>70</v>
      </c>
      <c r="BR963" s="2060"/>
      <c r="BS963" s="2060"/>
      <c r="BT963" s="2060"/>
      <c r="BU963" s="1641">
        <v>30</v>
      </c>
      <c r="BV963" s="2060"/>
      <c r="BW963" s="2060"/>
      <c r="BX963" s="2060"/>
      <c r="BY963" s="1905">
        <f>30+30</f>
        <v>60</v>
      </c>
      <c r="BZ963" s="2060"/>
      <c r="CA963" s="2060"/>
      <c r="CB963" s="2060"/>
      <c r="CC963" s="1641">
        <v>40</v>
      </c>
      <c r="CD963" s="2060"/>
      <c r="CE963" s="2060"/>
      <c r="CF963" s="2060"/>
      <c r="CG963" s="2061"/>
      <c r="CH963" s="1641">
        <f>40+45.3</f>
        <v>85.3</v>
      </c>
      <c r="CI963" s="2060"/>
      <c r="CJ963" s="2060"/>
      <c r="CK963" s="2060"/>
      <c r="CL963" s="2055"/>
      <c r="CM963" s="2055"/>
      <c r="CN963" s="2055"/>
      <c r="CO963" s="2055"/>
      <c r="CP963" s="2055"/>
      <c r="CQ963" s="2055"/>
      <c r="CR963" s="2055"/>
      <c r="CS963" s="2055"/>
      <c r="CT963" s="2055"/>
      <c r="CU963" s="2055"/>
      <c r="CV963" s="2055"/>
      <c r="CW963" s="2055"/>
      <c r="CY963" s="2055"/>
    </row>
    <row r="964" spans="1:103" s="2056" customFormat="1" ht="14" x14ac:dyDescent="0.15">
      <c r="A964" s="1541" t="s">
        <v>87</v>
      </c>
      <c r="B964" s="1523" t="s">
        <v>79</v>
      </c>
      <c r="C964" s="1523" t="s">
        <v>80</v>
      </c>
      <c r="D964" s="1523" t="s">
        <v>110</v>
      </c>
      <c r="E964" s="1523" t="s">
        <v>81</v>
      </c>
      <c r="F964" s="1523" t="s">
        <v>1247</v>
      </c>
      <c r="G964" s="1523">
        <v>223</v>
      </c>
      <c r="H964" s="1548">
        <f>343-62.58</f>
        <v>280.42</v>
      </c>
      <c r="I964" s="1548"/>
      <c r="J964" s="1630"/>
      <c r="K964" s="1630"/>
      <c r="L964" s="1631"/>
      <c r="M964" s="1631"/>
      <c r="N964" s="1631"/>
      <c r="O964" s="1631"/>
      <c r="P964" s="1631"/>
      <c r="Q964" s="1631"/>
      <c r="R964" s="1631"/>
      <c r="S964" s="1631"/>
      <c r="T964" s="1632"/>
      <c r="U964" s="1633"/>
      <c r="V964" s="1633"/>
      <c r="W964" s="1634"/>
      <c r="X964" s="1634"/>
      <c r="Y964" s="1634"/>
      <c r="Z964" s="1635"/>
      <c r="AA964" s="1634"/>
      <c r="AB964" s="1634"/>
      <c r="AC964" s="1508">
        <f t="shared" si="641"/>
        <v>280.41999999999996</v>
      </c>
      <c r="AD964" s="1509">
        <f t="shared" si="642"/>
        <v>0</v>
      </c>
      <c r="AE964" s="1509">
        <f t="shared" si="643"/>
        <v>0</v>
      </c>
      <c r="AF964" s="1509">
        <f t="shared" si="643"/>
        <v>0</v>
      </c>
      <c r="AG964" s="1509">
        <f t="shared" si="643"/>
        <v>0</v>
      </c>
      <c r="AH964" s="1490">
        <f t="shared" si="609"/>
        <v>0</v>
      </c>
      <c r="AI964" s="1636">
        <f t="shared" si="644"/>
        <v>0</v>
      </c>
      <c r="AJ964" s="1636">
        <f t="shared" si="645"/>
        <v>0</v>
      </c>
      <c r="AK964" s="1636">
        <f>I964-AE964</f>
        <v>0</v>
      </c>
      <c r="AL964" s="1636">
        <f>J964-AF964</f>
        <v>0</v>
      </c>
      <c r="AM964" s="1636">
        <f>K964-AG964</f>
        <v>0</v>
      </c>
      <c r="AN964" s="1637"/>
      <c r="AO964" s="2058">
        <v>28.5</v>
      </c>
      <c r="AP964" s="2059"/>
      <c r="AQ964" s="2059"/>
      <c r="AR964" s="2059"/>
      <c r="AS964" s="1639">
        <v>28.6</v>
      </c>
      <c r="AT964" s="2059"/>
      <c r="AU964" s="2059"/>
      <c r="AV964" s="2059"/>
      <c r="AW964" s="1639">
        <v>28.7</v>
      </c>
      <c r="AX964" s="2060"/>
      <c r="AY964" s="2060"/>
      <c r="AZ964" s="2060"/>
      <c r="BA964" s="1641">
        <v>57.12</v>
      </c>
      <c r="BB964" s="2060"/>
      <c r="BC964" s="2060"/>
      <c r="BD964" s="2060"/>
      <c r="BE964" s="1644">
        <v>28.6</v>
      </c>
      <c r="BF964" s="2060"/>
      <c r="BG964" s="2060"/>
      <c r="BH964" s="2060"/>
      <c r="BI964" s="1641">
        <v>28.6</v>
      </c>
      <c r="BJ964" s="2060"/>
      <c r="BK964" s="2060"/>
      <c r="BL964" s="2060"/>
      <c r="BM964" s="1641"/>
      <c r="BN964" s="2060"/>
      <c r="BO964" s="2060"/>
      <c r="BP964" s="2060"/>
      <c r="BQ964" s="1641">
        <v>57.1</v>
      </c>
      <c r="BR964" s="2060"/>
      <c r="BS964" s="2060"/>
      <c r="BT964" s="2060"/>
      <c r="BU964" s="1641"/>
      <c r="BV964" s="2060"/>
      <c r="BW964" s="2060"/>
      <c r="BX964" s="2060"/>
      <c r="BY964" s="1641">
        <f>28.61+28.59</f>
        <v>57.2</v>
      </c>
      <c r="BZ964" s="2060"/>
      <c r="CA964" s="2060"/>
      <c r="CB964" s="2060"/>
      <c r="CC964" s="1641"/>
      <c r="CD964" s="2060"/>
      <c r="CE964" s="2060"/>
      <c r="CF964" s="2060"/>
      <c r="CG964" s="2061"/>
      <c r="CH964" s="1641">
        <f>28.58-62.58</f>
        <v>-34</v>
      </c>
      <c r="CI964" s="2060"/>
      <c r="CJ964" s="2060"/>
      <c r="CK964" s="2060"/>
      <c r="CL964" s="2055"/>
      <c r="CM964" s="2055"/>
      <c r="CN964" s="2055"/>
      <c r="CO964" s="2055"/>
      <c r="CP964" s="2055"/>
      <c r="CQ964" s="2055"/>
      <c r="CR964" s="2055"/>
      <c r="CS964" s="2055"/>
      <c r="CT964" s="2055"/>
      <c r="CU964" s="2055"/>
      <c r="CV964" s="2055"/>
      <c r="CW964" s="2055"/>
      <c r="CY964" s="2055"/>
    </row>
    <row r="965" spans="1:103" s="2056" customFormat="1" ht="15" customHeight="1" x14ac:dyDescent="0.15">
      <c r="A965" s="1541" t="s">
        <v>90</v>
      </c>
      <c r="B965" s="1523" t="s">
        <v>79</v>
      </c>
      <c r="C965" s="1523" t="s">
        <v>80</v>
      </c>
      <c r="D965" s="1523" t="s">
        <v>110</v>
      </c>
      <c r="E965" s="1523" t="s">
        <v>81</v>
      </c>
      <c r="F965" s="1523" t="s">
        <v>1247</v>
      </c>
      <c r="G965" s="1523">
        <v>225</v>
      </c>
      <c r="H965" s="1548">
        <f>50+70+130+80</f>
        <v>330</v>
      </c>
      <c r="I965" s="1548"/>
      <c r="J965" s="1630">
        <v>149.6</v>
      </c>
      <c r="K965" s="1630"/>
      <c r="L965" s="1631"/>
      <c r="M965" s="1631"/>
      <c r="N965" s="1631"/>
      <c r="O965" s="1631"/>
      <c r="P965" s="1631"/>
      <c r="Q965" s="1631"/>
      <c r="R965" s="1631"/>
      <c r="S965" s="1631"/>
      <c r="T965" s="1632"/>
      <c r="U965" s="1633"/>
      <c r="V965" s="1633"/>
      <c r="W965" s="1634"/>
      <c r="X965" s="1634"/>
      <c r="Y965" s="1634"/>
      <c r="Z965" s="1635"/>
      <c r="AA965" s="1634"/>
      <c r="AB965" s="1634"/>
      <c r="AC965" s="1508">
        <f t="shared" si="641"/>
        <v>330</v>
      </c>
      <c r="AD965" s="1509">
        <f t="shared" si="642"/>
        <v>149.6</v>
      </c>
      <c r="AE965" s="1509">
        <f t="shared" si="643"/>
        <v>0</v>
      </c>
      <c r="AF965" s="1509">
        <f t="shared" si="643"/>
        <v>149.6</v>
      </c>
      <c r="AG965" s="1509">
        <f t="shared" si="643"/>
        <v>0</v>
      </c>
      <c r="AH965" s="1490">
        <f t="shared" si="609"/>
        <v>0</v>
      </c>
      <c r="AI965" s="1636">
        <f t="shared" si="644"/>
        <v>0</v>
      </c>
      <c r="AJ965" s="1636">
        <f t="shared" si="645"/>
        <v>0</v>
      </c>
      <c r="AK965" s="1636">
        <f>I965-AE965</f>
        <v>0</v>
      </c>
      <c r="AL965" s="1636">
        <f>J965-AF965</f>
        <v>0</v>
      </c>
      <c r="AM965" s="1636">
        <f>K965-AG965</f>
        <v>0</v>
      </c>
      <c r="AN965" s="1637"/>
      <c r="AO965" s="2058"/>
      <c r="AP965" s="2059"/>
      <c r="AQ965" s="2059">
        <v>149.6</v>
      </c>
      <c r="AR965" s="2059"/>
      <c r="AS965" s="1639"/>
      <c r="AT965" s="2059"/>
      <c r="AU965" s="2059"/>
      <c r="AV965" s="2059"/>
      <c r="AW965" s="1639"/>
      <c r="AX965" s="2060"/>
      <c r="AY965" s="2060"/>
      <c r="AZ965" s="2060"/>
      <c r="BA965" s="1641">
        <v>20</v>
      </c>
      <c r="BB965" s="2060"/>
      <c r="BC965" s="2060"/>
      <c r="BD965" s="2060"/>
      <c r="BE965" s="1644"/>
      <c r="BF965" s="2060"/>
      <c r="BG965" s="2060"/>
      <c r="BH965" s="2060"/>
      <c r="BI965" s="1641">
        <v>15</v>
      </c>
      <c r="BJ965" s="2060"/>
      <c r="BK965" s="2060"/>
      <c r="BL965" s="2060"/>
      <c r="BM965" s="1641">
        <f>45+30</f>
        <v>75</v>
      </c>
      <c r="BN965" s="2060"/>
      <c r="BO965" s="2060"/>
      <c r="BP965" s="2060"/>
      <c r="BQ965" s="1641"/>
      <c r="BR965" s="2060"/>
      <c r="BS965" s="2060"/>
      <c r="BT965" s="2060"/>
      <c r="BU965" s="1641"/>
      <c r="BV965" s="2060"/>
      <c r="BW965" s="2060"/>
      <c r="BX965" s="2060"/>
      <c r="BY965" s="1641"/>
      <c r="BZ965" s="2060"/>
      <c r="CA965" s="2060"/>
      <c r="CB965" s="2060"/>
      <c r="CC965" s="1641">
        <f>10+111</f>
        <v>121</v>
      </c>
      <c r="CD965" s="2060"/>
      <c r="CE965" s="2060"/>
      <c r="CF965" s="2060"/>
      <c r="CG965" s="2061"/>
      <c r="CH965" s="1641">
        <f>20+79</f>
        <v>99</v>
      </c>
      <c r="CI965" s="2060"/>
      <c r="CJ965" s="2060"/>
      <c r="CK965" s="2060"/>
      <c r="CL965" s="2055"/>
      <c r="CM965" s="2055"/>
      <c r="CN965" s="2055"/>
      <c r="CO965" s="2055"/>
      <c r="CP965" s="2055"/>
      <c r="CQ965" s="2055"/>
      <c r="CR965" s="2055"/>
      <c r="CS965" s="2055"/>
      <c r="CT965" s="2055"/>
      <c r="CU965" s="2055"/>
      <c r="CV965" s="2055"/>
      <c r="CW965" s="2055"/>
      <c r="CY965" s="2055"/>
    </row>
    <row r="966" spans="1:103" s="2056" customFormat="1" ht="14" x14ac:dyDescent="0.15">
      <c r="A966" s="1541" t="s">
        <v>91</v>
      </c>
      <c r="B966" s="1523" t="s">
        <v>79</v>
      </c>
      <c r="C966" s="1523" t="s">
        <v>80</v>
      </c>
      <c r="D966" s="1523" t="s">
        <v>110</v>
      </c>
      <c r="E966" s="1523" t="s">
        <v>81</v>
      </c>
      <c r="F966" s="1523" t="s">
        <v>1247</v>
      </c>
      <c r="G966" s="1523">
        <v>226</v>
      </c>
      <c r="H966" s="1548">
        <f>300+300+782-25</f>
        <v>1357</v>
      </c>
      <c r="I966" s="1548"/>
      <c r="J966" s="1630"/>
      <c r="K966" s="1630"/>
      <c r="L966" s="1631"/>
      <c r="M966" s="1631"/>
      <c r="N966" s="1631"/>
      <c r="O966" s="1631"/>
      <c r="P966" s="1631"/>
      <c r="Q966" s="1631"/>
      <c r="R966" s="1631"/>
      <c r="S966" s="1631"/>
      <c r="T966" s="1632"/>
      <c r="U966" s="1633"/>
      <c r="V966" s="1633"/>
      <c r="W966" s="1634"/>
      <c r="X966" s="1634"/>
      <c r="Y966" s="1634"/>
      <c r="Z966" s="1635"/>
      <c r="AA966" s="1634"/>
      <c r="AB966" s="1634"/>
      <c r="AC966" s="1508">
        <f t="shared" si="641"/>
        <v>1357</v>
      </c>
      <c r="AD966" s="1509">
        <f t="shared" si="642"/>
        <v>0</v>
      </c>
      <c r="AE966" s="1509">
        <f t="shared" si="643"/>
        <v>0</v>
      </c>
      <c r="AF966" s="1509">
        <f t="shared" si="643"/>
        <v>0</v>
      </c>
      <c r="AG966" s="1509">
        <f t="shared" si="643"/>
        <v>0</v>
      </c>
      <c r="AH966" s="1490">
        <f t="shared" si="609"/>
        <v>0</v>
      </c>
      <c r="AI966" s="1636">
        <f t="shared" si="644"/>
        <v>0</v>
      </c>
      <c r="AJ966" s="1636">
        <f t="shared" si="645"/>
        <v>0</v>
      </c>
      <c r="AK966" s="1636">
        <f>I966-AE966</f>
        <v>0</v>
      </c>
      <c r="AL966" s="1636">
        <f>J966-AF966</f>
        <v>0</v>
      </c>
      <c r="AM966" s="1636">
        <f>K966-AG966</f>
        <v>0</v>
      </c>
      <c r="AN966" s="1637"/>
      <c r="AO966" s="2058"/>
      <c r="AP966" s="2059"/>
      <c r="AQ966" s="2059"/>
      <c r="AR966" s="2059"/>
      <c r="AS966" s="1639"/>
      <c r="AT966" s="2059"/>
      <c r="AU966" s="2059"/>
      <c r="AV966" s="2059"/>
      <c r="AW966" s="1639"/>
      <c r="AX966" s="2060"/>
      <c r="AY966" s="2060"/>
      <c r="AZ966" s="2060"/>
      <c r="BA966" s="1641">
        <v>180</v>
      </c>
      <c r="BB966" s="2060"/>
      <c r="BC966" s="2060"/>
      <c r="BD966" s="2060"/>
      <c r="BE966" s="2062">
        <v>0</v>
      </c>
      <c r="BF966" s="2060"/>
      <c r="BG966" s="2060"/>
      <c r="BH966" s="2060"/>
      <c r="BI966" s="1641"/>
      <c r="BJ966" s="2060"/>
      <c r="BK966" s="2060"/>
      <c r="BL966" s="2060"/>
      <c r="BM966" s="1641">
        <f>50+370</f>
        <v>420</v>
      </c>
      <c r="BN966" s="2060"/>
      <c r="BO966" s="2060"/>
      <c r="BP966" s="2060"/>
      <c r="BQ966" s="1641"/>
      <c r="BR966" s="2060"/>
      <c r="BS966" s="2060"/>
      <c r="BT966" s="2060"/>
      <c r="BU966" s="1641">
        <f>100+50.7</f>
        <v>150.69999999999999</v>
      </c>
      <c r="BV966" s="2060"/>
      <c r="BW966" s="2060"/>
      <c r="BX966" s="2060"/>
      <c r="BY966" s="1641"/>
      <c r="BZ966" s="2060"/>
      <c r="CA966" s="2060"/>
      <c r="CB966" s="2060"/>
      <c r="CC966" s="1641">
        <f>150+38+30</f>
        <v>218</v>
      </c>
      <c r="CD966" s="2060"/>
      <c r="CE966" s="2060"/>
      <c r="CF966" s="2060"/>
      <c r="CG966" s="2061"/>
      <c r="CH966" s="1641">
        <f>60+50+278.3</f>
        <v>388.3</v>
      </c>
      <c r="CI966" s="2060"/>
      <c r="CJ966" s="2060"/>
      <c r="CK966" s="2060"/>
      <c r="CL966" s="2055"/>
      <c r="CM966" s="2055"/>
      <c r="CN966" s="2055"/>
      <c r="CO966" s="2055"/>
      <c r="CP966" s="2055"/>
      <c r="CQ966" s="2055"/>
      <c r="CR966" s="2055"/>
      <c r="CS966" s="2055"/>
      <c r="CT966" s="2055"/>
      <c r="CU966" s="2055"/>
      <c r="CV966" s="2055"/>
      <c r="CW966" s="2055"/>
      <c r="CY966" s="2055"/>
    </row>
    <row r="967" spans="1:103" s="2056" customFormat="1" ht="14" x14ac:dyDescent="0.15">
      <c r="A967" s="1541" t="s">
        <v>1303</v>
      </c>
      <c r="B967" s="1523" t="s">
        <v>79</v>
      </c>
      <c r="C967" s="1523" t="s">
        <v>80</v>
      </c>
      <c r="D967" s="1523" t="s">
        <v>110</v>
      </c>
      <c r="E967" s="1523" t="s">
        <v>81</v>
      </c>
      <c r="F967" s="1523" t="s">
        <v>1263</v>
      </c>
      <c r="G967" s="1523" t="s">
        <v>93</v>
      </c>
      <c r="H967" s="1548">
        <f>491.911</f>
        <v>491.911</v>
      </c>
      <c r="I967" s="1548"/>
      <c r="J967" s="1630"/>
      <c r="K967" s="1630"/>
      <c r="L967" s="1631"/>
      <c r="M967" s="1631"/>
      <c r="N967" s="1631"/>
      <c r="O967" s="1631"/>
      <c r="P967" s="1631"/>
      <c r="Q967" s="1631"/>
      <c r="R967" s="1631"/>
      <c r="S967" s="1631"/>
      <c r="T967" s="1632"/>
      <c r="U967" s="1633"/>
      <c r="V967" s="1633"/>
      <c r="W967" s="1634"/>
      <c r="X967" s="1634"/>
      <c r="Y967" s="1634"/>
      <c r="Z967" s="1635"/>
      <c r="AA967" s="1634"/>
      <c r="AB967" s="1634">
        <f>AC967+AC970+AC971</f>
        <v>984.71100000000001</v>
      </c>
      <c r="AC967" s="1508">
        <f t="shared" si="641"/>
        <v>491.911</v>
      </c>
      <c r="AD967" s="1509"/>
      <c r="AE967" s="1509"/>
      <c r="AF967" s="1509"/>
      <c r="AG967" s="1509"/>
      <c r="AH967" s="1490"/>
      <c r="AI967" s="1636">
        <f t="shared" si="644"/>
        <v>0</v>
      </c>
      <c r="AJ967" s="1636"/>
      <c r="AK967" s="1636"/>
      <c r="AL967" s="1636"/>
      <c r="AM967" s="1636"/>
      <c r="AN967" s="1637"/>
      <c r="AO967" s="2058"/>
      <c r="AP967" s="2059"/>
      <c r="AQ967" s="2059"/>
      <c r="AR967" s="2059"/>
      <c r="AS967" s="1639"/>
      <c r="AT967" s="2059"/>
      <c r="AU967" s="2059"/>
      <c r="AV967" s="2059"/>
      <c r="AW967" s="1639"/>
      <c r="AX967" s="2060"/>
      <c r="AY967" s="2060"/>
      <c r="AZ967" s="2060"/>
      <c r="BA967" s="1641"/>
      <c r="BB967" s="2060"/>
      <c r="BC967" s="2060"/>
      <c r="BD967" s="2060"/>
      <c r="BE967" s="2062"/>
      <c r="BF967" s="2060"/>
      <c r="BG967" s="2060"/>
      <c r="BH967" s="2060"/>
      <c r="BI967" s="1641"/>
      <c r="BJ967" s="2060"/>
      <c r="BK967" s="2060"/>
      <c r="BL967" s="2060"/>
      <c r="BM967" s="1641"/>
      <c r="BN967" s="2060"/>
      <c r="BO967" s="2060"/>
      <c r="BP967" s="2060"/>
      <c r="BQ967" s="1641"/>
      <c r="BR967" s="2060"/>
      <c r="BS967" s="2060"/>
      <c r="BT967" s="2060"/>
      <c r="BU967" s="1641"/>
      <c r="BV967" s="2060"/>
      <c r="BW967" s="2060"/>
      <c r="BX967" s="2060"/>
      <c r="BY967" s="1641"/>
      <c r="BZ967" s="2060"/>
      <c r="CA967" s="2060"/>
      <c r="CB967" s="2060"/>
      <c r="CC967" s="1641"/>
      <c r="CD967" s="2060"/>
      <c r="CE967" s="2060"/>
      <c r="CF967" s="2060"/>
      <c r="CG967" s="2061"/>
      <c r="CH967" s="1641">
        <f>491.911</f>
        <v>491.911</v>
      </c>
      <c r="CI967" s="2060"/>
      <c r="CJ967" s="2060"/>
      <c r="CK967" s="2060"/>
      <c r="CL967" s="2055"/>
      <c r="CM967" s="2055"/>
      <c r="CN967" s="2055"/>
      <c r="CO967" s="2055"/>
      <c r="CP967" s="2055"/>
      <c r="CQ967" s="2055"/>
      <c r="CR967" s="2055"/>
      <c r="CS967" s="2055"/>
      <c r="CT967" s="2055"/>
      <c r="CU967" s="2055"/>
      <c r="CV967" s="2055"/>
      <c r="CW967" s="2055"/>
      <c r="CY967" s="2055"/>
    </row>
    <row r="968" spans="1:103" s="2056" customFormat="1" ht="14" x14ac:dyDescent="0.15">
      <c r="A968" s="1541" t="s">
        <v>96</v>
      </c>
      <c r="B968" s="1523" t="s">
        <v>79</v>
      </c>
      <c r="C968" s="1523" t="s">
        <v>80</v>
      </c>
      <c r="D968" s="1523" t="s">
        <v>110</v>
      </c>
      <c r="E968" s="1523" t="s">
        <v>81</v>
      </c>
      <c r="F968" s="1523" t="s">
        <v>1247</v>
      </c>
      <c r="G968" s="1523">
        <v>310</v>
      </c>
      <c r="H968" s="1548">
        <f>300+500-U968+200+209.98+30-50</f>
        <v>1025.3799999999999</v>
      </c>
      <c r="I968" s="1548"/>
      <c r="J968" s="1630"/>
      <c r="K968" s="1630"/>
      <c r="L968" s="1631"/>
      <c r="M968" s="1631"/>
      <c r="N968" s="1631"/>
      <c r="O968" s="1631"/>
      <c r="P968" s="1631"/>
      <c r="Q968" s="1631"/>
      <c r="R968" s="1631"/>
      <c r="S968" s="1631"/>
      <c r="T968" s="1632"/>
      <c r="U968" s="1633">
        <v>164.6</v>
      </c>
      <c r="V968" s="1633"/>
      <c r="W968" s="1634"/>
      <c r="X968" s="1634"/>
      <c r="Y968" s="1634"/>
      <c r="Z968" s="1635"/>
      <c r="AA968" s="1634"/>
      <c r="AB968" s="1634"/>
      <c r="AC968" s="1508">
        <f t="shared" si="641"/>
        <v>1025.3799999999999</v>
      </c>
      <c r="AD968" s="1509">
        <f t="shared" si="642"/>
        <v>0</v>
      </c>
      <c r="AE968" s="1509">
        <f t="shared" si="643"/>
        <v>0</v>
      </c>
      <c r="AF968" s="1509">
        <f t="shared" si="643"/>
        <v>0</v>
      </c>
      <c r="AG968" s="1509">
        <f t="shared" si="643"/>
        <v>0</v>
      </c>
      <c r="AH968" s="1490">
        <f t="shared" si="609"/>
        <v>0</v>
      </c>
      <c r="AI968" s="1636">
        <f t="shared" si="644"/>
        <v>0</v>
      </c>
      <c r="AJ968" s="1636">
        <f t="shared" si="645"/>
        <v>0</v>
      </c>
      <c r="AK968" s="1636">
        <f t="shared" ref="AK968:AM983" si="647">I968-AE968</f>
        <v>0</v>
      </c>
      <c r="AL968" s="1636">
        <f t="shared" si="647"/>
        <v>0</v>
      </c>
      <c r="AM968" s="1636">
        <f t="shared" si="647"/>
        <v>0</v>
      </c>
      <c r="AN968" s="1637"/>
      <c r="AO968" s="2058"/>
      <c r="AP968" s="2059"/>
      <c r="AQ968" s="2059"/>
      <c r="AR968" s="2059"/>
      <c r="AS968" s="1639"/>
      <c r="AT968" s="2059"/>
      <c r="AU968" s="2059"/>
      <c r="AV968" s="2059"/>
      <c r="AW968" s="1639"/>
      <c r="AX968" s="2060"/>
      <c r="AY968" s="2060"/>
      <c r="AZ968" s="2060"/>
      <c r="BA968" s="1641">
        <v>17.3</v>
      </c>
      <c r="BB968" s="2060"/>
      <c r="BC968" s="2060"/>
      <c r="BD968" s="2060"/>
      <c r="BE968" s="1644"/>
      <c r="BF968" s="2060"/>
      <c r="BG968" s="2060"/>
      <c r="BH968" s="2060"/>
      <c r="BI968" s="1641">
        <v>15</v>
      </c>
      <c r="BJ968" s="2060"/>
      <c r="BK968" s="2060"/>
      <c r="BL968" s="2060"/>
      <c r="BM968" s="1641"/>
      <c r="BN968" s="2060"/>
      <c r="BO968" s="2060"/>
      <c r="BP968" s="2060"/>
      <c r="BQ968" s="1641">
        <v>400</v>
      </c>
      <c r="BR968" s="2060"/>
      <c r="BS968" s="2060"/>
      <c r="BT968" s="2060"/>
      <c r="BU968" s="1641"/>
      <c r="BV968" s="2060"/>
      <c r="BW968" s="2060"/>
      <c r="BX968" s="2060"/>
      <c r="BY968" s="1641"/>
      <c r="BZ968" s="2060"/>
      <c r="CA968" s="2060"/>
      <c r="CB968" s="2060"/>
      <c r="CC968" s="1641"/>
      <c r="CD968" s="2060"/>
      <c r="CE968" s="2060"/>
      <c r="CF968" s="2060"/>
      <c r="CG968" s="2061"/>
      <c r="CH968" s="1641">
        <f>160+433.08</f>
        <v>593.07999999999993</v>
      </c>
      <c r="CI968" s="2060"/>
      <c r="CJ968" s="2060"/>
      <c r="CK968" s="2060"/>
      <c r="CL968" s="2055"/>
      <c r="CM968" s="2055"/>
      <c r="CN968" s="2055"/>
      <c r="CO968" s="2055"/>
      <c r="CP968" s="2055"/>
      <c r="CQ968" s="2055"/>
      <c r="CR968" s="2055"/>
      <c r="CS968" s="2055"/>
      <c r="CT968" s="2055"/>
      <c r="CU968" s="2055"/>
      <c r="CV968" s="2055"/>
      <c r="CW968" s="2055"/>
      <c r="CY968" s="2055"/>
    </row>
    <row r="969" spans="1:103" s="2056" customFormat="1" ht="14" x14ac:dyDescent="0.15">
      <c r="A969" s="1541" t="s">
        <v>97</v>
      </c>
      <c r="B969" s="1523" t="s">
        <v>79</v>
      </c>
      <c r="C969" s="1523" t="s">
        <v>80</v>
      </c>
      <c r="D969" s="1523" t="s">
        <v>110</v>
      </c>
      <c r="E969" s="1523" t="s">
        <v>81</v>
      </c>
      <c r="F969" s="1523" t="s">
        <v>1247</v>
      </c>
      <c r="G969" s="1523">
        <v>340</v>
      </c>
      <c r="H969" s="1548">
        <f>387+426+270-U969+65.92</f>
        <v>1048.92</v>
      </c>
      <c r="I969" s="1548"/>
      <c r="J969" s="1630"/>
      <c r="K969" s="1630"/>
      <c r="L969" s="1631"/>
      <c r="M969" s="1631"/>
      <c r="N969" s="1631"/>
      <c r="O969" s="1631"/>
      <c r="P969" s="1631"/>
      <c r="Q969" s="1631"/>
      <c r="R969" s="1631"/>
      <c r="S969" s="1631"/>
      <c r="T969" s="1632"/>
      <c r="U969" s="1633">
        <v>100</v>
      </c>
      <c r="V969" s="1633"/>
      <c r="W969" s="1634"/>
      <c r="X969" s="1634"/>
      <c r="Y969" s="1634"/>
      <c r="Z969" s="1635"/>
      <c r="AA969" s="1634"/>
      <c r="AB969" s="1634"/>
      <c r="AC969" s="1508">
        <f t="shared" si="641"/>
        <v>1048.92</v>
      </c>
      <c r="AD969" s="1509">
        <f t="shared" si="642"/>
        <v>0</v>
      </c>
      <c r="AE969" s="1509">
        <f t="shared" si="643"/>
        <v>0</v>
      </c>
      <c r="AF969" s="1509">
        <f t="shared" si="643"/>
        <v>0</v>
      </c>
      <c r="AG969" s="1509">
        <f t="shared" si="643"/>
        <v>0</v>
      </c>
      <c r="AH969" s="1490">
        <f t="shared" si="609"/>
        <v>0</v>
      </c>
      <c r="AI969" s="1636">
        <f t="shared" si="644"/>
        <v>0</v>
      </c>
      <c r="AJ969" s="1636">
        <f t="shared" si="645"/>
        <v>0</v>
      </c>
      <c r="AK969" s="1636">
        <f t="shared" si="647"/>
        <v>0</v>
      </c>
      <c r="AL969" s="1636">
        <f t="shared" si="647"/>
        <v>0</v>
      </c>
      <c r="AM969" s="1636">
        <f t="shared" si="647"/>
        <v>0</v>
      </c>
      <c r="AN969" s="1637"/>
      <c r="AO969" s="2058">
        <v>67.7</v>
      </c>
      <c r="AP969" s="2059"/>
      <c r="AQ969" s="2059"/>
      <c r="AR969" s="2059"/>
      <c r="AS969" s="1639"/>
      <c r="AT969" s="2059"/>
      <c r="AU969" s="2059"/>
      <c r="AV969" s="2059"/>
      <c r="AW969" s="1639">
        <v>135.6</v>
      </c>
      <c r="AX969" s="2060"/>
      <c r="AY969" s="2060"/>
      <c r="AZ969" s="2060"/>
      <c r="BA969" s="1641">
        <v>442</v>
      </c>
      <c r="BB969" s="2060"/>
      <c r="BC969" s="2060"/>
      <c r="BD969" s="2060"/>
      <c r="BE969" s="1644">
        <v>67.7</v>
      </c>
      <c r="BF969" s="2060"/>
      <c r="BG969" s="2060"/>
      <c r="BH969" s="2060"/>
      <c r="BI969" s="1641"/>
      <c r="BJ969" s="2060"/>
      <c r="BK969" s="2060"/>
      <c r="BL969" s="2060"/>
      <c r="BM969" s="1641"/>
      <c r="BN969" s="2060"/>
      <c r="BO969" s="2060"/>
      <c r="BP969" s="2060"/>
      <c r="BQ969" s="1641">
        <v>50</v>
      </c>
      <c r="BR969" s="2060"/>
      <c r="BS969" s="2060"/>
      <c r="BT969" s="2060"/>
      <c r="BU969" s="1641"/>
      <c r="BV969" s="2060"/>
      <c r="BW969" s="2060"/>
      <c r="BX969" s="2060"/>
      <c r="BY969" s="1641"/>
      <c r="BZ969" s="2060"/>
      <c r="CA969" s="2060"/>
      <c r="CB969" s="2060"/>
      <c r="CC969" s="1641"/>
      <c r="CD969" s="2060"/>
      <c r="CE969" s="2060"/>
      <c r="CF969" s="2060"/>
      <c r="CG969" s="2061"/>
      <c r="CH969" s="1641">
        <f>24.5+261.42</f>
        <v>285.92</v>
      </c>
      <c r="CI969" s="2060"/>
      <c r="CJ969" s="2060"/>
      <c r="CK969" s="2060"/>
      <c r="CL969" s="2055"/>
      <c r="CM969" s="2055"/>
      <c r="CN969" s="2055"/>
      <c r="CO969" s="2055"/>
      <c r="CP969" s="2055"/>
      <c r="CQ969" s="2055"/>
      <c r="CR969" s="2055"/>
      <c r="CS969" s="2055"/>
      <c r="CT969" s="2055"/>
      <c r="CU969" s="2055"/>
      <c r="CV969" s="2055"/>
      <c r="CW969" s="2055"/>
      <c r="CY969" s="2055"/>
    </row>
    <row r="970" spans="1:103" s="2056" customFormat="1" ht="14" x14ac:dyDescent="0.15">
      <c r="A970" s="1541" t="s">
        <v>94</v>
      </c>
      <c r="B970" s="1523" t="s">
        <v>79</v>
      </c>
      <c r="C970" s="1523" t="s">
        <v>80</v>
      </c>
      <c r="D970" s="1523" t="s">
        <v>110</v>
      </c>
      <c r="E970" s="1523" t="s">
        <v>81</v>
      </c>
      <c r="F970" s="1523" t="s">
        <v>1304</v>
      </c>
      <c r="G970" s="1523">
        <v>290</v>
      </c>
      <c r="H970" s="1548">
        <f>499.7-124.9+5</f>
        <v>379.79999999999995</v>
      </c>
      <c r="I970" s="1548"/>
      <c r="J970" s="1630"/>
      <c r="K970" s="1630"/>
      <c r="L970" s="1631"/>
      <c r="M970" s="1631"/>
      <c r="N970" s="1631"/>
      <c r="O970" s="1631"/>
      <c r="P970" s="1631"/>
      <c r="Q970" s="1631"/>
      <c r="R970" s="1631"/>
      <c r="S970" s="1631"/>
      <c r="T970" s="1632"/>
      <c r="U970" s="1633"/>
      <c r="V970" s="1633"/>
      <c r="W970" s="1634"/>
      <c r="X970" s="1634"/>
      <c r="Y970" s="1634"/>
      <c r="Z970" s="1635"/>
      <c r="AA970" s="1634"/>
      <c r="AB970" s="1634"/>
      <c r="AC970" s="1508">
        <f t="shared" si="641"/>
        <v>374.8</v>
      </c>
      <c r="AD970" s="1509">
        <f>AE970+AF970+AG970</f>
        <v>0</v>
      </c>
      <c r="AE970" s="1509">
        <f t="shared" si="643"/>
        <v>0</v>
      </c>
      <c r="AF970" s="1509">
        <f t="shared" si="643"/>
        <v>0</v>
      </c>
      <c r="AG970" s="1509">
        <f t="shared" si="643"/>
        <v>0</v>
      </c>
      <c r="AH970" s="1490">
        <f t="shared" si="609"/>
        <v>0</v>
      </c>
      <c r="AI970" s="1636">
        <f t="shared" si="644"/>
        <v>4.9999999999999432</v>
      </c>
      <c r="AJ970" s="1636">
        <f>AK970+AL970+AM970</f>
        <v>0</v>
      </c>
      <c r="AK970" s="1636">
        <f t="shared" si="647"/>
        <v>0</v>
      </c>
      <c r="AL970" s="1636">
        <f t="shared" si="647"/>
        <v>0</v>
      </c>
      <c r="AM970" s="1636">
        <f t="shared" si="647"/>
        <v>0</v>
      </c>
      <c r="AN970" s="1637"/>
      <c r="AO970" s="2058">
        <v>41.6</v>
      </c>
      <c r="AP970" s="2059"/>
      <c r="AQ970" s="2059"/>
      <c r="AR970" s="2059"/>
      <c r="AS970" s="1639"/>
      <c r="AT970" s="2059"/>
      <c r="AU970" s="2059"/>
      <c r="AV970" s="2059"/>
      <c r="AW970" s="1639">
        <v>83.3</v>
      </c>
      <c r="AX970" s="2060"/>
      <c r="AY970" s="2060"/>
      <c r="AZ970" s="2060"/>
      <c r="BA970" s="1641"/>
      <c r="BB970" s="2060"/>
      <c r="BC970" s="2060"/>
      <c r="BD970" s="2060"/>
      <c r="BE970" s="1644">
        <v>41.7</v>
      </c>
      <c r="BF970" s="2060"/>
      <c r="BG970" s="2060"/>
      <c r="BH970" s="2060"/>
      <c r="BI970" s="1641"/>
      <c r="BJ970" s="2060"/>
      <c r="BK970" s="2060"/>
      <c r="BL970" s="2060"/>
      <c r="BM970" s="1641"/>
      <c r="BN970" s="2060"/>
      <c r="BO970" s="2060"/>
      <c r="BP970" s="2060"/>
      <c r="BQ970" s="1641"/>
      <c r="BR970" s="2060"/>
      <c r="BS970" s="2060"/>
      <c r="BT970" s="2060"/>
      <c r="BU970" s="1641">
        <v>208.2</v>
      </c>
      <c r="BV970" s="2060"/>
      <c r="BW970" s="2060"/>
      <c r="BX970" s="2060"/>
      <c r="BY970" s="1641"/>
      <c r="BZ970" s="2060"/>
      <c r="CA970" s="2060"/>
      <c r="CB970" s="2060"/>
      <c r="CC970" s="1641"/>
      <c r="CD970" s="2060"/>
      <c r="CE970" s="2060"/>
      <c r="CF970" s="2060"/>
      <c r="CG970" s="2061"/>
      <c r="CH970" s="1641"/>
      <c r="CI970" s="2060"/>
      <c r="CJ970" s="2060"/>
      <c r="CK970" s="2060"/>
      <c r="CL970" s="2055"/>
      <c r="CM970" s="2055"/>
      <c r="CN970" s="2055"/>
      <c r="CO970" s="2055"/>
      <c r="CP970" s="2055"/>
      <c r="CQ970" s="2055"/>
      <c r="CR970" s="2055"/>
      <c r="CS970" s="2055"/>
      <c r="CT970" s="2055"/>
      <c r="CU970" s="2055"/>
      <c r="CV970" s="2055"/>
      <c r="CW970" s="2055"/>
      <c r="CY970" s="2055"/>
    </row>
    <row r="971" spans="1:103" s="2056" customFormat="1" ht="14" x14ac:dyDescent="0.15">
      <c r="A971" s="1541" t="s">
        <v>94</v>
      </c>
      <c r="B971" s="1523" t="s">
        <v>79</v>
      </c>
      <c r="C971" s="1523" t="s">
        <v>80</v>
      </c>
      <c r="D971" s="1523" t="s">
        <v>110</v>
      </c>
      <c r="E971" s="1523" t="s">
        <v>81</v>
      </c>
      <c r="F971" s="1523" t="s">
        <v>1305</v>
      </c>
      <c r="G971" s="1523">
        <v>290</v>
      </c>
      <c r="H971" s="1548">
        <f>157.3-39.3</f>
        <v>118.00000000000001</v>
      </c>
      <c r="I971" s="1548"/>
      <c r="J971" s="1630"/>
      <c r="K971" s="1630"/>
      <c r="L971" s="1631"/>
      <c r="M971" s="1631"/>
      <c r="N971" s="1631"/>
      <c r="O971" s="1631"/>
      <c r="P971" s="1631"/>
      <c r="Q971" s="1631"/>
      <c r="R971" s="1631"/>
      <c r="S971" s="1631"/>
      <c r="T971" s="1632"/>
      <c r="U971" s="1633"/>
      <c r="V971" s="1633"/>
      <c r="W971" s="1634"/>
      <c r="X971" s="1634"/>
      <c r="Y971" s="1634"/>
      <c r="Z971" s="1635"/>
      <c r="AA971" s="1634"/>
      <c r="AB971" s="1634"/>
      <c r="AC971" s="1508">
        <f t="shared" si="641"/>
        <v>118</v>
      </c>
      <c r="AD971" s="1509">
        <f>AE971+AF971+AG971</f>
        <v>0</v>
      </c>
      <c r="AE971" s="1509">
        <f t="shared" si="643"/>
        <v>0</v>
      </c>
      <c r="AF971" s="1509">
        <f t="shared" si="643"/>
        <v>0</v>
      </c>
      <c r="AG971" s="1509">
        <f t="shared" si="643"/>
        <v>0</v>
      </c>
      <c r="AH971" s="1490">
        <f t="shared" si="609"/>
        <v>0</v>
      </c>
      <c r="AI971" s="1636">
        <f t="shared" si="644"/>
        <v>0</v>
      </c>
      <c r="AJ971" s="1636">
        <f>AK971+AL971+AM971</f>
        <v>0</v>
      </c>
      <c r="AK971" s="1636">
        <f t="shared" si="647"/>
        <v>0</v>
      </c>
      <c r="AL971" s="1636">
        <f t="shared" si="647"/>
        <v>0</v>
      </c>
      <c r="AM971" s="1636">
        <f t="shared" si="647"/>
        <v>0</v>
      </c>
      <c r="AN971" s="1637"/>
      <c r="AO971" s="2058">
        <v>13.1</v>
      </c>
      <c r="AP971" s="2059"/>
      <c r="AQ971" s="2059"/>
      <c r="AR971" s="2059"/>
      <c r="AS971" s="1639"/>
      <c r="AT971" s="2059"/>
      <c r="AU971" s="2059"/>
      <c r="AV971" s="2059"/>
      <c r="AW971" s="1639">
        <v>26.2</v>
      </c>
      <c r="AX971" s="2060"/>
      <c r="AY971" s="2060"/>
      <c r="AZ971" s="2060"/>
      <c r="BA971" s="1641"/>
      <c r="BB971" s="2060"/>
      <c r="BC971" s="2060"/>
      <c r="BD971" s="2060"/>
      <c r="BE971" s="1644">
        <f>40+13.1</f>
        <v>53.1</v>
      </c>
      <c r="BF971" s="2060"/>
      <c r="BG971" s="2060"/>
      <c r="BH971" s="2060"/>
      <c r="BI971" s="1641"/>
      <c r="BJ971" s="2060"/>
      <c r="BK971" s="2060"/>
      <c r="BL971" s="2060"/>
      <c r="BM971" s="1641"/>
      <c r="BN971" s="2060"/>
      <c r="BO971" s="2060"/>
      <c r="BP971" s="2060"/>
      <c r="BQ971" s="1641"/>
      <c r="BR971" s="2060"/>
      <c r="BS971" s="2060"/>
      <c r="BT971" s="2060"/>
      <c r="BU971" s="1641">
        <v>25.6</v>
      </c>
      <c r="BV971" s="2060"/>
      <c r="BW971" s="2060"/>
      <c r="BX971" s="2060"/>
      <c r="BY971" s="1641"/>
      <c r="BZ971" s="2060"/>
      <c r="CA971" s="2060"/>
      <c r="CB971" s="2060"/>
      <c r="CC971" s="1641"/>
      <c r="CD971" s="2060"/>
      <c r="CE971" s="2060"/>
      <c r="CF971" s="2060"/>
      <c r="CG971" s="2061"/>
      <c r="CH971" s="1641"/>
      <c r="CI971" s="2060"/>
      <c r="CJ971" s="2060"/>
      <c r="CK971" s="2060"/>
      <c r="CL971" s="2055"/>
      <c r="CM971" s="2055"/>
      <c r="CN971" s="2055"/>
      <c r="CO971" s="2055"/>
      <c r="CP971" s="2055"/>
      <c r="CQ971" s="2055"/>
      <c r="CR971" s="2055"/>
      <c r="CS971" s="2055"/>
      <c r="CT971" s="2055"/>
      <c r="CU971" s="2055"/>
      <c r="CV971" s="2055"/>
      <c r="CW971" s="2055"/>
      <c r="CY971" s="2055"/>
    </row>
    <row r="972" spans="1:103" s="1919" customFormat="1" ht="14" x14ac:dyDescent="0.15">
      <c r="A972" s="1794" t="s">
        <v>1116</v>
      </c>
      <c r="B972" s="2051" t="s">
        <v>79</v>
      </c>
      <c r="C972" s="2051">
        <v>10</v>
      </c>
      <c r="D972" s="1499"/>
      <c r="E972" s="1499"/>
      <c r="F972" s="1499"/>
      <c r="G972" s="1499"/>
      <c r="H972" s="1548">
        <f>H973</f>
        <v>367.6</v>
      </c>
      <c r="I972" s="1548">
        <f t="shared" ref="I972:CK976" si="648">I973</f>
        <v>0</v>
      </c>
      <c r="J972" s="1548"/>
      <c r="K972" s="1548">
        <f t="shared" si="648"/>
        <v>0</v>
      </c>
      <c r="L972" s="1549"/>
      <c r="M972" s="1549"/>
      <c r="N972" s="1549"/>
      <c r="O972" s="1549"/>
      <c r="P972" s="1549"/>
      <c r="Q972" s="1549"/>
      <c r="R972" s="1549"/>
      <c r="S972" s="1549"/>
      <c r="T972" s="2063"/>
      <c r="U972" s="1551"/>
      <c r="V972" s="1551"/>
      <c r="W972" s="2063"/>
      <c r="X972" s="2063"/>
      <c r="Y972" s="2063"/>
      <c r="Z972" s="1553"/>
      <c r="AA972" s="2063"/>
      <c r="AB972" s="2063"/>
      <c r="AC972" s="2063">
        <f t="shared" si="648"/>
        <v>367.59999999999997</v>
      </c>
      <c r="AD972" s="2063">
        <f t="shared" si="648"/>
        <v>0</v>
      </c>
      <c r="AE972" s="2063">
        <f t="shared" si="648"/>
        <v>0</v>
      </c>
      <c r="AF972" s="2063">
        <f t="shared" si="648"/>
        <v>0</v>
      </c>
      <c r="AG972" s="2063">
        <f t="shared" si="648"/>
        <v>0</v>
      </c>
      <c r="AH972" s="1490">
        <f t="shared" si="609"/>
        <v>0</v>
      </c>
      <c r="AI972" s="2063">
        <f t="shared" si="648"/>
        <v>0</v>
      </c>
      <c r="AJ972" s="2063">
        <f t="shared" si="648"/>
        <v>0</v>
      </c>
      <c r="AK972" s="2063">
        <f t="shared" si="648"/>
        <v>0</v>
      </c>
      <c r="AL972" s="1920">
        <f t="shared" si="647"/>
        <v>0</v>
      </c>
      <c r="AM972" s="2063">
        <f t="shared" si="648"/>
        <v>0</v>
      </c>
      <c r="AN972" s="2063"/>
      <c r="AO972" s="2063">
        <f t="shared" si="648"/>
        <v>18.3</v>
      </c>
      <c r="AP972" s="2063">
        <f t="shared" si="648"/>
        <v>0</v>
      </c>
      <c r="AQ972" s="2063">
        <f t="shared" si="648"/>
        <v>0</v>
      </c>
      <c r="AR972" s="2063">
        <f t="shared" si="648"/>
        <v>0</v>
      </c>
      <c r="AS972" s="1553">
        <f t="shared" si="648"/>
        <v>23.47</v>
      </c>
      <c r="AT972" s="2063">
        <f t="shared" si="648"/>
        <v>0</v>
      </c>
      <c r="AU972" s="2063">
        <f t="shared" si="648"/>
        <v>0</v>
      </c>
      <c r="AV972" s="2063">
        <f t="shared" si="648"/>
        <v>0</v>
      </c>
      <c r="AW972" s="2063">
        <f t="shared" si="648"/>
        <v>23.5</v>
      </c>
      <c r="AX972" s="2063">
        <f t="shared" si="648"/>
        <v>0</v>
      </c>
      <c r="AY972" s="2063">
        <f t="shared" si="648"/>
        <v>0</v>
      </c>
      <c r="AZ972" s="2063">
        <f t="shared" si="648"/>
        <v>0</v>
      </c>
      <c r="BA972" s="1556">
        <f t="shared" si="648"/>
        <v>8.1</v>
      </c>
      <c r="BB972" s="2063">
        <f t="shared" si="648"/>
        <v>0</v>
      </c>
      <c r="BC972" s="2063">
        <f t="shared" si="648"/>
        <v>0</v>
      </c>
      <c r="BD972" s="2063">
        <f t="shared" si="648"/>
        <v>0</v>
      </c>
      <c r="BE972" s="1556">
        <f t="shared" si="648"/>
        <v>58.3</v>
      </c>
      <c r="BF972" s="2063">
        <f t="shared" si="648"/>
        <v>0</v>
      </c>
      <c r="BG972" s="2063">
        <f t="shared" si="648"/>
        <v>0</v>
      </c>
      <c r="BH972" s="2063">
        <f t="shared" si="648"/>
        <v>0</v>
      </c>
      <c r="BI972" s="1556">
        <f t="shared" si="648"/>
        <v>76.3</v>
      </c>
      <c r="BJ972" s="2063">
        <f t="shared" si="648"/>
        <v>0</v>
      </c>
      <c r="BK972" s="2063">
        <f t="shared" si="648"/>
        <v>0</v>
      </c>
      <c r="BL972" s="2063">
        <f t="shared" si="648"/>
        <v>0</v>
      </c>
      <c r="BM972" s="1556">
        <f t="shared" si="648"/>
        <v>0</v>
      </c>
      <c r="BN972" s="2063">
        <f t="shared" si="648"/>
        <v>0</v>
      </c>
      <c r="BO972" s="2063">
        <f t="shared" si="648"/>
        <v>0</v>
      </c>
      <c r="BP972" s="2063">
        <f t="shared" si="648"/>
        <v>0</v>
      </c>
      <c r="BQ972" s="1556">
        <f t="shared" si="648"/>
        <v>0</v>
      </c>
      <c r="BR972" s="2063">
        <f t="shared" si="648"/>
        <v>0</v>
      </c>
      <c r="BS972" s="2063">
        <f t="shared" si="648"/>
        <v>0</v>
      </c>
      <c r="BT972" s="2063">
        <f t="shared" si="648"/>
        <v>0</v>
      </c>
      <c r="BU972" s="1556">
        <f t="shared" si="648"/>
        <v>20</v>
      </c>
      <c r="BV972" s="2063">
        <f t="shared" si="648"/>
        <v>0</v>
      </c>
      <c r="BW972" s="2063">
        <f t="shared" si="648"/>
        <v>0</v>
      </c>
      <c r="BX972" s="2063">
        <f t="shared" si="648"/>
        <v>0</v>
      </c>
      <c r="BY972" s="1556">
        <f t="shared" si="648"/>
        <v>40.799999999999997</v>
      </c>
      <c r="BZ972" s="2063">
        <f t="shared" si="648"/>
        <v>0</v>
      </c>
      <c r="CA972" s="2063">
        <f t="shared" si="648"/>
        <v>0</v>
      </c>
      <c r="CB972" s="2063">
        <f t="shared" si="648"/>
        <v>0</v>
      </c>
      <c r="CC972" s="2063">
        <f t="shared" si="648"/>
        <v>0</v>
      </c>
      <c r="CD972" s="2063">
        <f t="shared" si="648"/>
        <v>0</v>
      </c>
      <c r="CE972" s="2063">
        <f t="shared" si="648"/>
        <v>0</v>
      </c>
      <c r="CF972" s="2063">
        <f t="shared" si="648"/>
        <v>0</v>
      </c>
      <c r="CG972" s="2064"/>
      <c r="CH972" s="1556">
        <f t="shared" si="648"/>
        <v>98.83</v>
      </c>
      <c r="CI972" s="2063">
        <f t="shared" si="648"/>
        <v>0</v>
      </c>
      <c r="CJ972" s="2063">
        <f t="shared" si="648"/>
        <v>0</v>
      </c>
      <c r="CK972" s="2063">
        <f t="shared" si="648"/>
        <v>0</v>
      </c>
      <c r="CL972" s="1918"/>
      <c r="CM972" s="1918"/>
      <c r="CN972" s="1918"/>
      <c r="CO972" s="1918"/>
      <c r="CP972" s="1918"/>
      <c r="CQ972" s="1918"/>
      <c r="CR972" s="1918"/>
      <c r="CS972" s="1918"/>
      <c r="CT972" s="1918"/>
      <c r="CU972" s="1918"/>
      <c r="CV972" s="1918"/>
      <c r="CW972" s="1918"/>
      <c r="CY972" s="1918"/>
    </row>
    <row r="973" spans="1:103" ht="14" x14ac:dyDescent="0.15">
      <c r="A973" s="1794" t="s">
        <v>1117</v>
      </c>
      <c r="B973" s="1499" t="s">
        <v>79</v>
      </c>
      <c r="C973" s="2051">
        <v>10</v>
      </c>
      <c r="D973" s="1499" t="s">
        <v>110</v>
      </c>
      <c r="E973" s="1499"/>
      <c r="F973" s="1499"/>
      <c r="G973" s="1499"/>
      <c r="H973" s="1548">
        <f>H974</f>
        <v>367.6</v>
      </c>
      <c r="I973" s="1548">
        <f t="shared" si="648"/>
        <v>0</v>
      </c>
      <c r="J973" s="1548"/>
      <c r="K973" s="1548">
        <f t="shared" si="648"/>
        <v>0</v>
      </c>
      <c r="L973" s="1549"/>
      <c r="M973" s="1549"/>
      <c r="N973" s="1549"/>
      <c r="O973" s="1549"/>
      <c r="P973" s="1549"/>
      <c r="Q973" s="1549"/>
      <c r="R973" s="1549"/>
      <c r="S973" s="1549"/>
      <c r="T973" s="1550"/>
      <c r="U973" s="1551"/>
      <c r="V973" s="1551"/>
      <c r="W973" s="1552"/>
      <c r="X973" s="1552"/>
      <c r="Y973" s="1552"/>
      <c r="Z973" s="1553"/>
      <c r="AA973" s="1552"/>
      <c r="AB973" s="1552"/>
      <c r="AC973" s="1554">
        <f t="shared" si="648"/>
        <v>367.59999999999997</v>
      </c>
      <c r="AD973" s="1554">
        <f t="shared" si="648"/>
        <v>0</v>
      </c>
      <c r="AE973" s="1554">
        <f t="shared" si="648"/>
        <v>0</v>
      </c>
      <c r="AF973" s="1554">
        <f t="shared" si="648"/>
        <v>0</v>
      </c>
      <c r="AG973" s="1554">
        <f t="shared" si="648"/>
        <v>0</v>
      </c>
      <c r="AH973" s="1490">
        <f t="shared" si="609"/>
        <v>0</v>
      </c>
      <c r="AI973" s="1555">
        <f t="shared" si="648"/>
        <v>0</v>
      </c>
      <c r="AJ973" s="1555">
        <f t="shared" si="648"/>
        <v>0</v>
      </c>
      <c r="AK973" s="1555">
        <f t="shared" si="648"/>
        <v>0</v>
      </c>
      <c r="AL973" s="1636">
        <f t="shared" si="647"/>
        <v>0</v>
      </c>
      <c r="AM973" s="1555">
        <f t="shared" si="648"/>
        <v>0</v>
      </c>
      <c r="AN973" s="1556"/>
      <c r="AO973" s="1548">
        <f t="shared" si="648"/>
        <v>18.3</v>
      </c>
      <c r="AP973" s="1548">
        <f t="shared" si="648"/>
        <v>0</v>
      </c>
      <c r="AQ973" s="1548">
        <f t="shared" si="648"/>
        <v>0</v>
      </c>
      <c r="AR973" s="1548">
        <f t="shared" si="648"/>
        <v>0</v>
      </c>
      <c r="AS973" s="1553">
        <f t="shared" si="648"/>
        <v>23.47</v>
      </c>
      <c r="AT973" s="1548">
        <f t="shared" si="648"/>
        <v>0</v>
      </c>
      <c r="AU973" s="1548">
        <f t="shared" si="648"/>
        <v>0</v>
      </c>
      <c r="AV973" s="1548">
        <f t="shared" si="648"/>
        <v>0</v>
      </c>
      <c r="AW973" s="1553">
        <f t="shared" si="648"/>
        <v>23.5</v>
      </c>
      <c r="AX973" s="1548">
        <f t="shared" si="648"/>
        <v>0</v>
      </c>
      <c r="AY973" s="1548">
        <f t="shared" si="648"/>
        <v>0</v>
      </c>
      <c r="AZ973" s="1548">
        <f t="shared" si="648"/>
        <v>0</v>
      </c>
      <c r="BA973" s="1556">
        <f t="shared" si="648"/>
        <v>8.1</v>
      </c>
      <c r="BB973" s="1548">
        <f t="shared" si="648"/>
        <v>0</v>
      </c>
      <c r="BC973" s="1548">
        <f t="shared" si="648"/>
        <v>0</v>
      </c>
      <c r="BD973" s="1548">
        <f t="shared" si="648"/>
        <v>0</v>
      </c>
      <c r="BE973" s="1556">
        <f t="shared" si="648"/>
        <v>58.3</v>
      </c>
      <c r="BF973" s="1548">
        <f t="shared" si="648"/>
        <v>0</v>
      </c>
      <c r="BG973" s="1548">
        <f t="shared" si="648"/>
        <v>0</v>
      </c>
      <c r="BH973" s="1548">
        <f t="shared" si="648"/>
        <v>0</v>
      </c>
      <c r="BI973" s="1556">
        <f t="shared" si="648"/>
        <v>76.3</v>
      </c>
      <c r="BJ973" s="1548">
        <f t="shared" si="648"/>
        <v>0</v>
      </c>
      <c r="BK973" s="1548">
        <f t="shared" si="648"/>
        <v>0</v>
      </c>
      <c r="BL973" s="1548">
        <f t="shared" si="648"/>
        <v>0</v>
      </c>
      <c r="BM973" s="1556">
        <f t="shared" si="648"/>
        <v>0</v>
      </c>
      <c r="BN973" s="1548">
        <f t="shared" si="648"/>
        <v>0</v>
      </c>
      <c r="BO973" s="1548">
        <f t="shared" si="648"/>
        <v>0</v>
      </c>
      <c r="BP973" s="1548">
        <f t="shared" si="648"/>
        <v>0</v>
      </c>
      <c r="BQ973" s="1556">
        <f t="shared" si="648"/>
        <v>0</v>
      </c>
      <c r="BR973" s="1548">
        <f t="shared" si="648"/>
        <v>0</v>
      </c>
      <c r="BS973" s="1548">
        <f t="shared" si="648"/>
        <v>0</v>
      </c>
      <c r="BT973" s="1548">
        <f t="shared" si="648"/>
        <v>0</v>
      </c>
      <c r="BU973" s="1556">
        <f t="shared" si="648"/>
        <v>20</v>
      </c>
      <c r="BV973" s="1548">
        <f t="shared" si="648"/>
        <v>0</v>
      </c>
      <c r="BW973" s="1548">
        <f t="shared" si="648"/>
        <v>0</v>
      </c>
      <c r="BX973" s="1548">
        <f t="shared" si="648"/>
        <v>0</v>
      </c>
      <c r="BY973" s="1556">
        <f t="shared" si="648"/>
        <v>40.799999999999997</v>
      </c>
      <c r="BZ973" s="1548">
        <f t="shared" si="648"/>
        <v>0</v>
      </c>
      <c r="CA973" s="1548">
        <f t="shared" si="648"/>
        <v>0</v>
      </c>
      <c r="CB973" s="1548">
        <f t="shared" si="648"/>
        <v>0</v>
      </c>
      <c r="CC973" s="1556">
        <f t="shared" si="648"/>
        <v>0</v>
      </c>
      <c r="CD973" s="1548">
        <f t="shared" si="648"/>
        <v>0</v>
      </c>
      <c r="CE973" s="1548">
        <f t="shared" si="648"/>
        <v>0</v>
      </c>
      <c r="CF973" s="1548">
        <f t="shared" si="648"/>
        <v>0</v>
      </c>
      <c r="CG973" s="2052"/>
      <c r="CH973" s="1556">
        <f t="shared" si="648"/>
        <v>98.83</v>
      </c>
      <c r="CI973" s="1548">
        <f t="shared" si="648"/>
        <v>0</v>
      </c>
      <c r="CJ973" s="1548">
        <f t="shared" si="648"/>
        <v>0</v>
      </c>
      <c r="CK973" s="1548">
        <f t="shared" si="648"/>
        <v>0</v>
      </c>
    </row>
    <row r="974" spans="1:103" ht="28" x14ac:dyDescent="0.15">
      <c r="A974" s="1794" t="s">
        <v>1118</v>
      </c>
      <c r="B974" s="2051" t="s">
        <v>79</v>
      </c>
      <c r="C974" s="2051">
        <v>10</v>
      </c>
      <c r="D974" s="1499" t="s">
        <v>110</v>
      </c>
      <c r="E974" s="1499" t="s">
        <v>1306</v>
      </c>
      <c r="F974" s="1499"/>
      <c r="G974" s="1499"/>
      <c r="H974" s="1548">
        <f>H975</f>
        <v>367.6</v>
      </c>
      <c r="I974" s="1548">
        <f t="shared" si="648"/>
        <v>0</v>
      </c>
      <c r="J974" s="1548"/>
      <c r="K974" s="1548">
        <f t="shared" si="648"/>
        <v>0</v>
      </c>
      <c r="L974" s="1549"/>
      <c r="M974" s="1549"/>
      <c r="N974" s="1549"/>
      <c r="O974" s="1549"/>
      <c r="P974" s="1549"/>
      <c r="Q974" s="1549"/>
      <c r="R974" s="1549"/>
      <c r="S974" s="1549"/>
      <c r="T974" s="1550"/>
      <c r="U974" s="1551"/>
      <c r="V974" s="1551"/>
      <c r="W974" s="1552"/>
      <c r="X974" s="1552"/>
      <c r="Y974" s="1552"/>
      <c r="Z974" s="1553"/>
      <c r="AA974" s="1552"/>
      <c r="AB974" s="1552"/>
      <c r="AC974" s="1554">
        <f t="shared" si="648"/>
        <v>367.59999999999997</v>
      </c>
      <c r="AD974" s="1554">
        <f t="shared" si="648"/>
        <v>0</v>
      </c>
      <c r="AE974" s="1554">
        <f t="shared" si="648"/>
        <v>0</v>
      </c>
      <c r="AF974" s="1554">
        <f t="shared" si="648"/>
        <v>0</v>
      </c>
      <c r="AG974" s="1554">
        <f t="shared" si="648"/>
        <v>0</v>
      </c>
      <c r="AH974" s="1490">
        <f t="shared" si="609"/>
        <v>0</v>
      </c>
      <c r="AI974" s="1555">
        <f t="shared" si="648"/>
        <v>0</v>
      </c>
      <c r="AJ974" s="1555">
        <f t="shared" si="648"/>
        <v>0</v>
      </c>
      <c r="AK974" s="1555">
        <f t="shared" si="648"/>
        <v>0</v>
      </c>
      <c r="AL974" s="1636">
        <f t="shared" si="647"/>
        <v>0</v>
      </c>
      <c r="AM974" s="1555">
        <f t="shared" si="648"/>
        <v>0</v>
      </c>
      <c r="AN974" s="1556"/>
      <c r="AO974" s="1548">
        <f t="shared" si="648"/>
        <v>18.3</v>
      </c>
      <c r="AP974" s="1548">
        <f t="shared" si="648"/>
        <v>0</v>
      </c>
      <c r="AQ974" s="1548">
        <f t="shared" si="648"/>
        <v>0</v>
      </c>
      <c r="AR974" s="1548">
        <f t="shared" si="648"/>
        <v>0</v>
      </c>
      <c r="AS974" s="1553">
        <f t="shared" si="648"/>
        <v>23.47</v>
      </c>
      <c r="AT974" s="1548">
        <f t="shared" si="648"/>
        <v>0</v>
      </c>
      <c r="AU974" s="1548">
        <f t="shared" si="648"/>
        <v>0</v>
      </c>
      <c r="AV974" s="1548">
        <f t="shared" si="648"/>
        <v>0</v>
      </c>
      <c r="AW974" s="1553">
        <f t="shared" si="648"/>
        <v>23.5</v>
      </c>
      <c r="AX974" s="1548">
        <f t="shared" si="648"/>
        <v>0</v>
      </c>
      <c r="AY974" s="1548">
        <f t="shared" si="648"/>
        <v>0</v>
      </c>
      <c r="AZ974" s="1548">
        <f t="shared" si="648"/>
        <v>0</v>
      </c>
      <c r="BA974" s="1556">
        <f t="shared" si="648"/>
        <v>8.1</v>
      </c>
      <c r="BB974" s="1548">
        <f t="shared" si="648"/>
        <v>0</v>
      </c>
      <c r="BC974" s="1548">
        <f t="shared" si="648"/>
        <v>0</v>
      </c>
      <c r="BD974" s="1548">
        <f t="shared" si="648"/>
        <v>0</v>
      </c>
      <c r="BE974" s="1556">
        <f t="shared" si="648"/>
        <v>58.3</v>
      </c>
      <c r="BF974" s="1548">
        <f t="shared" si="648"/>
        <v>0</v>
      </c>
      <c r="BG974" s="1548">
        <f t="shared" si="648"/>
        <v>0</v>
      </c>
      <c r="BH974" s="1548">
        <f t="shared" si="648"/>
        <v>0</v>
      </c>
      <c r="BI974" s="1556">
        <f t="shared" si="648"/>
        <v>76.3</v>
      </c>
      <c r="BJ974" s="1548">
        <f t="shared" si="648"/>
        <v>0</v>
      </c>
      <c r="BK974" s="1548">
        <f t="shared" si="648"/>
        <v>0</v>
      </c>
      <c r="BL974" s="1548">
        <f t="shared" si="648"/>
        <v>0</v>
      </c>
      <c r="BM974" s="1556">
        <f t="shared" si="648"/>
        <v>0</v>
      </c>
      <c r="BN974" s="1548">
        <f t="shared" si="648"/>
        <v>0</v>
      </c>
      <c r="BO974" s="1548">
        <f t="shared" si="648"/>
        <v>0</v>
      </c>
      <c r="BP974" s="1548">
        <f t="shared" si="648"/>
        <v>0</v>
      </c>
      <c r="BQ974" s="1556">
        <f t="shared" si="648"/>
        <v>0</v>
      </c>
      <c r="BR974" s="1548">
        <f t="shared" si="648"/>
        <v>0</v>
      </c>
      <c r="BS974" s="1548">
        <f t="shared" si="648"/>
        <v>0</v>
      </c>
      <c r="BT974" s="1548">
        <f t="shared" si="648"/>
        <v>0</v>
      </c>
      <c r="BU974" s="1556">
        <f t="shared" si="648"/>
        <v>20</v>
      </c>
      <c r="BV974" s="1548">
        <f t="shared" si="648"/>
        <v>0</v>
      </c>
      <c r="BW974" s="1548">
        <f t="shared" si="648"/>
        <v>0</v>
      </c>
      <c r="BX974" s="1548">
        <f t="shared" si="648"/>
        <v>0</v>
      </c>
      <c r="BY974" s="1556">
        <f t="shared" si="648"/>
        <v>40.799999999999997</v>
      </c>
      <c r="BZ974" s="1548">
        <f t="shared" si="648"/>
        <v>0</v>
      </c>
      <c r="CA974" s="1548">
        <f t="shared" si="648"/>
        <v>0</v>
      </c>
      <c r="CB974" s="1548">
        <f t="shared" si="648"/>
        <v>0</v>
      </c>
      <c r="CC974" s="1556">
        <f t="shared" si="648"/>
        <v>0</v>
      </c>
      <c r="CD974" s="1548">
        <f t="shared" si="648"/>
        <v>0</v>
      </c>
      <c r="CE974" s="1548">
        <f t="shared" si="648"/>
        <v>0</v>
      </c>
      <c r="CF974" s="1548">
        <f t="shared" si="648"/>
        <v>0</v>
      </c>
      <c r="CG974" s="2052"/>
      <c r="CH974" s="1556">
        <f t="shared" si="648"/>
        <v>98.83</v>
      </c>
      <c r="CI974" s="1548">
        <f t="shared" si="648"/>
        <v>0</v>
      </c>
      <c r="CJ974" s="1548">
        <f t="shared" si="648"/>
        <v>0</v>
      </c>
      <c r="CK974" s="1548">
        <f t="shared" si="648"/>
        <v>0</v>
      </c>
    </row>
    <row r="975" spans="1:103" ht="56" x14ac:dyDescent="0.15">
      <c r="A975" s="1794" t="s">
        <v>1185</v>
      </c>
      <c r="B975" s="1499" t="s">
        <v>79</v>
      </c>
      <c r="C975" s="2051">
        <v>10</v>
      </c>
      <c r="D975" s="1499" t="s">
        <v>110</v>
      </c>
      <c r="E975" s="1499" t="s">
        <v>1307</v>
      </c>
      <c r="F975" s="1499"/>
      <c r="G975" s="1499"/>
      <c r="H975" s="1548">
        <f>H976</f>
        <v>367.6</v>
      </c>
      <c r="I975" s="1548">
        <f t="shared" si="648"/>
        <v>0</v>
      </c>
      <c r="J975" s="1548"/>
      <c r="K975" s="1548">
        <f t="shared" si="648"/>
        <v>0</v>
      </c>
      <c r="L975" s="1549"/>
      <c r="M975" s="1549"/>
      <c r="N975" s="1549"/>
      <c r="O975" s="1549"/>
      <c r="P975" s="1549"/>
      <c r="Q975" s="1549"/>
      <c r="R975" s="1549"/>
      <c r="S975" s="1549"/>
      <c r="T975" s="1550"/>
      <c r="U975" s="1551"/>
      <c r="V975" s="1551"/>
      <c r="W975" s="1552"/>
      <c r="X975" s="1552"/>
      <c r="Y975" s="1552"/>
      <c r="Z975" s="1553"/>
      <c r="AA975" s="1552"/>
      <c r="AB975" s="1552"/>
      <c r="AC975" s="1554">
        <f t="shared" si="648"/>
        <v>367.59999999999997</v>
      </c>
      <c r="AD975" s="1554">
        <f t="shared" si="648"/>
        <v>0</v>
      </c>
      <c r="AE975" s="1554">
        <f t="shared" si="648"/>
        <v>0</v>
      </c>
      <c r="AF975" s="1554">
        <f t="shared" si="648"/>
        <v>0</v>
      </c>
      <c r="AG975" s="1554">
        <f t="shared" si="648"/>
        <v>0</v>
      </c>
      <c r="AH975" s="1490">
        <f t="shared" si="609"/>
        <v>0</v>
      </c>
      <c r="AI975" s="1555">
        <f t="shared" si="648"/>
        <v>0</v>
      </c>
      <c r="AJ975" s="1555">
        <f t="shared" si="648"/>
        <v>0</v>
      </c>
      <c r="AK975" s="1555">
        <f t="shared" si="648"/>
        <v>0</v>
      </c>
      <c r="AL975" s="1636">
        <f t="shared" si="647"/>
        <v>0</v>
      </c>
      <c r="AM975" s="1555">
        <f t="shared" si="648"/>
        <v>0</v>
      </c>
      <c r="AN975" s="1556"/>
      <c r="AO975" s="1548">
        <f t="shared" si="648"/>
        <v>18.3</v>
      </c>
      <c r="AP975" s="1548">
        <f t="shared" si="648"/>
        <v>0</v>
      </c>
      <c r="AQ975" s="1548">
        <f t="shared" si="648"/>
        <v>0</v>
      </c>
      <c r="AR975" s="1548">
        <f t="shared" si="648"/>
        <v>0</v>
      </c>
      <c r="AS975" s="1553">
        <f t="shared" si="648"/>
        <v>23.47</v>
      </c>
      <c r="AT975" s="1548">
        <f t="shared" si="648"/>
        <v>0</v>
      </c>
      <c r="AU975" s="1548">
        <f t="shared" si="648"/>
        <v>0</v>
      </c>
      <c r="AV975" s="1548">
        <f t="shared" si="648"/>
        <v>0</v>
      </c>
      <c r="AW975" s="1553">
        <f t="shared" si="648"/>
        <v>23.5</v>
      </c>
      <c r="AX975" s="1548">
        <f t="shared" si="648"/>
        <v>0</v>
      </c>
      <c r="AY975" s="1548">
        <f t="shared" si="648"/>
        <v>0</v>
      </c>
      <c r="AZ975" s="1548">
        <f t="shared" si="648"/>
        <v>0</v>
      </c>
      <c r="BA975" s="1556">
        <f t="shared" si="648"/>
        <v>8.1</v>
      </c>
      <c r="BB975" s="1548">
        <f t="shared" si="648"/>
        <v>0</v>
      </c>
      <c r="BC975" s="1548">
        <f t="shared" si="648"/>
        <v>0</v>
      </c>
      <c r="BD975" s="1548">
        <f t="shared" si="648"/>
        <v>0</v>
      </c>
      <c r="BE975" s="1556">
        <f t="shared" si="648"/>
        <v>58.3</v>
      </c>
      <c r="BF975" s="1548">
        <f t="shared" si="648"/>
        <v>0</v>
      </c>
      <c r="BG975" s="1548">
        <f t="shared" si="648"/>
        <v>0</v>
      </c>
      <c r="BH975" s="1548">
        <f t="shared" si="648"/>
        <v>0</v>
      </c>
      <c r="BI975" s="1556">
        <f t="shared" si="648"/>
        <v>76.3</v>
      </c>
      <c r="BJ975" s="1548">
        <f t="shared" si="648"/>
        <v>0</v>
      </c>
      <c r="BK975" s="1548">
        <f t="shared" si="648"/>
        <v>0</v>
      </c>
      <c r="BL975" s="1548">
        <f t="shared" si="648"/>
        <v>0</v>
      </c>
      <c r="BM975" s="1556">
        <f t="shared" si="648"/>
        <v>0</v>
      </c>
      <c r="BN975" s="1548">
        <f t="shared" si="648"/>
        <v>0</v>
      </c>
      <c r="BO975" s="1548">
        <f t="shared" si="648"/>
        <v>0</v>
      </c>
      <c r="BP975" s="1548">
        <f t="shared" si="648"/>
        <v>0</v>
      </c>
      <c r="BQ975" s="1556">
        <f t="shared" si="648"/>
        <v>0</v>
      </c>
      <c r="BR975" s="1548">
        <f t="shared" si="648"/>
        <v>0</v>
      </c>
      <c r="BS975" s="1548">
        <f t="shared" si="648"/>
        <v>0</v>
      </c>
      <c r="BT975" s="1548">
        <f t="shared" si="648"/>
        <v>0</v>
      </c>
      <c r="BU975" s="1556">
        <f t="shared" si="648"/>
        <v>20</v>
      </c>
      <c r="BV975" s="1548">
        <f t="shared" si="648"/>
        <v>0</v>
      </c>
      <c r="BW975" s="1548">
        <f t="shared" si="648"/>
        <v>0</v>
      </c>
      <c r="BX975" s="1548">
        <f t="shared" si="648"/>
        <v>0</v>
      </c>
      <c r="BY975" s="1556">
        <f t="shared" si="648"/>
        <v>40.799999999999997</v>
      </c>
      <c r="BZ975" s="1548">
        <f t="shared" si="648"/>
        <v>0</v>
      </c>
      <c r="CA975" s="1548">
        <f t="shared" si="648"/>
        <v>0</v>
      </c>
      <c r="CB975" s="1548">
        <f t="shared" si="648"/>
        <v>0</v>
      </c>
      <c r="CC975" s="1556">
        <f t="shared" si="648"/>
        <v>0</v>
      </c>
      <c r="CD975" s="1548">
        <f t="shared" si="648"/>
        <v>0</v>
      </c>
      <c r="CE975" s="1548">
        <f t="shared" si="648"/>
        <v>0</v>
      </c>
      <c r="CF975" s="1548">
        <f t="shared" si="648"/>
        <v>0</v>
      </c>
      <c r="CG975" s="2052"/>
      <c r="CH975" s="1556">
        <f t="shared" si="648"/>
        <v>98.83</v>
      </c>
      <c r="CI975" s="1548">
        <f t="shared" si="648"/>
        <v>0</v>
      </c>
      <c r="CJ975" s="1548">
        <f t="shared" si="648"/>
        <v>0</v>
      </c>
      <c r="CK975" s="1548">
        <f t="shared" si="648"/>
        <v>0</v>
      </c>
    </row>
    <row r="976" spans="1:103" ht="28" x14ac:dyDescent="0.15">
      <c r="A976" s="1794" t="s">
        <v>1186</v>
      </c>
      <c r="B976" s="2051" t="s">
        <v>79</v>
      </c>
      <c r="C976" s="2051">
        <v>10</v>
      </c>
      <c r="D976" s="1499" t="s">
        <v>110</v>
      </c>
      <c r="E976" s="1499" t="s">
        <v>1308</v>
      </c>
      <c r="F976" s="1499"/>
      <c r="G976" s="1499"/>
      <c r="H976" s="1548">
        <f>H977</f>
        <v>367.6</v>
      </c>
      <c r="I976" s="1548">
        <f t="shared" si="648"/>
        <v>0</v>
      </c>
      <c r="J976" s="1548"/>
      <c r="K976" s="1548">
        <f t="shared" si="648"/>
        <v>0</v>
      </c>
      <c r="L976" s="1549"/>
      <c r="M976" s="1549"/>
      <c r="N976" s="1549"/>
      <c r="O976" s="1549"/>
      <c r="P976" s="1549"/>
      <c r="Q976" s="1549"/>
      <c r="R976" s="1549"/>
      <c r="S976" s="1549"/>
      <c r="T976" s="1550"/>
      <c r="U976" s="1551"/>
      <c r="V976" s="1551"/>
      <c r="W976" s="1552"/>
      <c r="X976" s="1552"/>
      <c r="Y976" s="1552"/>
      <c r="Z976" s="1553"/>
      <c r="AA976" s="1552"/>
      <c r="AB976" s="1552"/>
      <c r="AC976" s="1554">
        <f t="shared" si="648"/>
        <v>367.59999999999997</v>
      </c>
      <c r="AD976" s="1554">
        <f t="shared" si="648"/>
        <v>0</v>
      </c>
      <c r="AE976" s="1554">
        <f t="shared" si="648"/>
        <v>0</v>
      </c>
      <c r="AF976" s="1554">
        <f t="shared" si="648"/>
        <v>0</v>
      </c>
      <c r="AG976" s="1554">
        <f t="shared" si="648"/>
        <v>0</v>
      </c>
      <c r="AH976" s="1490">
        <f t="shared" si="609"/>
        <v>0</v>
      </c>
      <c r="AI976" s="1555">
        <f t="shared" si="648"/>
        <v>0</v>
      </c>
      <c r="AJ976" s="1555">
        <f t="shared" si="648"/>
        <v>0</v>
      </c>
      <c r="AK976" s="1555">
        <f t="shared" si="648"/>
        <v>0</v>
      </c>
      <c r="AL976" s="1636">
        <f t="shared" si="647"/>
        <v>0</v>
      </c>
      <c r="AM976" s="1555">
        <f t="shared" si="648"/>
        <v>0</v>
      </c>
      <c r="AN976" s="1556"/>
      <c r="AO976" s="1548">
        <f t="shared" si="648"/>
        <v>18.3</v>
      </c>
      <c r="AP976" s="1548">
        <f t="shared" si="648"/>
        <v>0</v>
      </c>
      <c r="AQ976" s="1548">
        <f t="shared" si="648"/>
        <v>0</v>
      </c>
      <c r="AR976" s="1548">
        <f t="shared" si="648"/>
        <v>0</v>
      </c>
      <c r="AS976" s="1553">
        <f t="shared" si="648"/>
        <v>23.47</v>
      </c>
      <c r="AT976" s="1548">
        <f t="shared" si="648"/>
        <v>0</v>
      </c>
      <c r="AU976" s="1548">
        <f t="shared" si="648"/>
        <v>0</v>
      </c>
      <c r="AV976" s="1548">
        <f t="shared" si="648"/>
        <v>0</v>
      </c>
      <c r="AW976" s="1553">
        <f t="shared" ref="AW976:CK976" si="649">AW977</f>
        <v>23.5</v>
      </c>
      <c r="AX976" s="1548">
        <f t="shared" si="649"/>
        <v>0</v>
      </c>
      <c r="AY976" s="1548">
        <f t="shared" si="649"/>
        <v>0</v>
      </c>
      <c r="AZ976" s="1548">
        <f t="shared" si="649"/>
        <v>0</v>
      </c>
      <c r="BA976" s="1556">
        <f t="shared" si="649"/>
        <v>8.1</v>
      </c>
      <c r="BB976" s="1548">
        <f t="shared" si="649"/>
        <v>0</v>
      </c>
      <c r="BC976" s="1548">
        <f t="shared" si="649"/>
        <v>0</v>
      </c>
      <c r="BD976" s="1548">
        <f t="shared" si="649"/>
        <v>0</v>
      </c>
      <c r="BE976" s="1556">
        <f t="shared" si="649"/>
        <v>58.3</v>
      </c>
      <c r="BF976" s="1548">
        <f t="shared" si="649"/>
        <v>0</v>
      </c>
      <c r="BG976" s="1548">
        <f t="shared" si="649"/>
        <v>0</v>
      </c>
      <c r="BH976" s="1548">
        <f t="shared" si="649"/>
        <v>0</v>
      </c>
      <c r="BI976" s="1556">
        <f t="shared" si="649"/>
        <v>76.3</v>
      </c>
      <c r="BJ976" s="1548">
        <f t="shared" si="649"/>
        <v>0</v>
      </c>
      <c r="BK976" s="1548">
        <f t="shared" si="649"/>
        <v>0</v>
      </c>
      <c r="BL976" s="1548">
        <f t="shared" si="649"/>
        <v>0</v>
      </c>
      <c r="BM976" s="1556">
        <f t="shared" si="649"/>
        <v>0</v>
      </c>
      <c r="BN976" s="1548">
        <f t="shared" si="649"/>
        <v>0</v>
      </c>
      <c r="BO976" s="1548">
        <f t="shared" si="649"/>
        <v>0</v>
      </c>
      <c r="BP976" s="1548">
        <f t="shared" si="649"/>
        <v>0</v>
      </c>
      <c r="BQ976" s="1556">
        <f t="shared" si="649"/>
        <v>0</v>
      </c>
      <c r="BR976" s="1548">
        <f t="shared" si="649"/>
        <v>0</v>
      </c>
      <c r="BS976" s="1548">
        <f t="shared" si="649"/>
        <v>0</v>
      </c>
      <c r="BT976" s="1548">
        <f t="shared" si="649"/>
        <v>0</v>
      </c>
      <c r="BU976" s="1556">
        <f t="shared" si="649"/>
        <v>20</v>
      </c>
      <c r="BV976" s="1548">
        <f t="shared" si="649"/>
        <v>0</v>
      </c>
      <c r="BW976" s="1548">
        <f t="shared" si="649"/>
        <v>0</v>
      </c>
      <c r="BX976" s="1548">
        <f t="shared" si="649"/>
        <v>0</v>
      </c>
      <c r="BY976" s="1556">
        <f t="shared" si="649"/>
        <v>40.799999999999997</v>
      </c>
      <c r="BZ976" s="1548">
        <f t="shared" si="649"/>
        <v>0</v>
      </c>
      <c r="CA976" s="1548">
        <f t="shared" si="649"/>
        <v>0</v>
      </c>
      <c r="CB976" s="1548">
        <f t="shared" si="649"/>
        <v>0</v>
      </c>
      <c r="CC976" s="1556">
        <f t="shared" si="649"/>
        <v>0</v>
      </c>
      <c r="CD976" s="1548">
        <f t="shared" si="649"/>
        <v>0</v>
      </c>
      <c r="CE976" s="1548">
        <f t="shared" si="649"/>
        <v>0</v>
      </c>
      <c r="CF976" s="1548">
        <f t="shared" si="649"/>
        <v>0</v>
      </c>
      <c r="CG976" s="2052"/>
      <c r="CH976" s="1556">
        <f t="shared" si="649"/>
        <v>98.83</v>
      </c>
      <c r="CI976" s="1548">
        <f t="shared" si="649"/>
        <v>0</v>
      </c>
      <c r="CJ976" s="1548">
        <f t="shared" si="649"/>
        <v>0</v>
      </c>
      <c r="CK976" s="1548">
        <f t="shared" si="649"/>
        <v>0</v>
      </c>
    </row>
    <row r="977" spans="1:103" ht="14" x14ac:dyDescent="0.15">
      <c r="A977" s="1794" t="s">
        <v>1187</v>
      </c>
      <c r="B977" s="1499" t="s">
        <v>79</v>
      </c>
      <c r="C977" s="2051">
        <v>10</v>
      </c>
      <c r="D977" s="1499" t="s">
        <v>110</v>
      </c>
      <c r="E977" s="1499" t="s">
        <v>1308</v>
      </c>
      <c r="F977" s="1499" t="s">
        <v>1309</v>
      </c>
      <c r="G977" s="1499" t="s">
        <v>93</v>
      </c>
      <c r="H977" s="1548">
        <f>220+58+89.6</f>
        <v>367.6</v>
      </c>
      <c r="I977" s="1471"/>
      <c r="J977" s="1471"/>
      <c r="K977" s="1471"/>
      <c r="L977" s="1518"/>
      <c r="M977" s="1518"/>
      <c r="N977" s="1518"/>
      <c r="O977" s="1518"/>
      <c r="P977" s="1518"/>
      <c r="Q977" s="1518"/>
      <c r="R977" s="1518"/>
      <c r="S977" s="1518"/>
      <c r="T977" s="1776"/>
      <c r="U977" s="1588"/>
      <c r="V977" s="1588"/>
      <c r="W977" s="1589"/>
      <c r="X977" s="1589"/>
      <c r="Y977" s="1589"/>
      <c r="Z977" s="1590"/>
      <c r="AA977" s="1589"/>
      <c r="AB977" s="1589"/>
      <c r="AC977" s="1508">
        <f t="shared" ref="AC977:AC985" si="650">AO977+AS977+AW977+BA977+BE977+BI977+BM977+BQ977+BU977+BY977+CC977+CH977</f>
        <v>367.59999999999997</v>
      </c>
      <c r="AD977" s="1509">
        <f>AE977+AF977+AG977</f>
        <v>0</v>
      </c>
      <c r="AE977" s="1509">
        <f t="shared" ref="AE977:AG979" si="651">AP977+AT977+AX977+BB977+BF977+BJ977+BN977+BR977+BV977+BZ977+CD977+CI977</f>
        <v>0</v>
      </c>
      <c r="AF977" s="1509">
        <f t="shared" si="651"/>
        <v>0</v>
      </c>
      <c r="AG977" s="1509">
        <f t="shared" si="651"/>
        <v>0</v>
      </c>
      <c r="AH977" s="1490">
        <f t="shared" si="609"/>
        <v>0</v>
      </c>
      <c r="AI977" s="1636">
        <f t="shared" ref="AI977:AI991" si="652">H977-AC977</f>
        <v>0</v>
      </c>
      <c r="AJ977" s="1636">
        <f>AK977+AL977+AM977</f>
        <v>0</v>
      </c>
      <c r="AK977" s="1636">
        <f>I977-AE977</f>
        <v>0</v>
      </c>
      <c r="AL977" s="1636">
        <f t="shared" si="647"/>
        <v>0</v>
      </c>
      <c r="AM977" s="1636">
        <f>K977-AG977</f>
        <v>0</v>
      </c>
      <c r="AN977" s="1637"/>
      <c r="AO977" s="1471">
        <v>18.3</v>
      </c>
      <c r="AP977" s="1471"/>
      <c r="AQ977" s="1471"/>
      <c r="AR977" s="1471"/>
      <c r="AS977" s="1476">
        <v>23.47</v>
      </c>
      <c r="AT977" s="1471"/>
      <c r="AU977" s="1471"/>
      <c r="AV977" s="1471"/>
      <c r="AW977" s="1476">
        <v>23.5</v>
      </c>
      <c r="AX977" s="1471"/>
      <c r="AY977" s="1471"/>
      <c r="AZ977" s="1471"/>
      <c r="BA977" s="1477">
        <v>8.1</v>
      </c>
      <c r="BB977" s="1471"/>
      <c r="BC977" s="1471"/>
      <c r="BD977" s="1471"/>
      <c r="BE977" s="1477">
        <f>18.3+40</f>
        <v>58.3</v>
      </c>
      <c r="BF977" s="1471"/>
      <c r="BG977" s="1471"/>
      <c r="BH977" s="1471"/>
      <c r="BI977" s="1477">
        <f>58+18.3</f>
        <v>76.3</v>
      </c>
      <c r="BJ977" s="1471"/>
      <c r="BK977" s="1471"/>
      <c r="BL977" s="1471"/>
      <c r="BM977" s="1477"/>
      <c r="BN977" s="1471"/>
      <c r="BO977" s="1471"/>
      <c r="BP977" s="1471"/>
      <c r="BQ977" s="1477"/>
      <c r="BR977" s="1471"/>
      <c r="BS977" s="1471"/>
      <c r="BT977" s="1471"/>
      <c r="BU977" s="1477">
        <v>20</v>
      </c>
      <c r="BV977" s="1471"/>
      <c r="BW977" s="1471"/>
      <c r="BX977" s="1471"/>
      <c r="BY977" s="1477">
        <v>40.799999999999997</v>
      </c>
      <c r="BZ977" s="1471"/>
      <c r="CA977" s="1471"/>
      <c r="CB977" s="1471"/>
      <c r="CC977" s="1477"/>
      <c r="CD977" s="1471"/>
      <c r="CE977" s="1471"/>
      <c r="CF977" s="1471"/>
      <c r="CG977" s="1719"/>
      <c r="CH977" s="1477">
        <v>98.83</v>
      </c>
      <c r="CI977" s="1471"/>
      <c r="CJ977" s="1471"/>
      <c r="CK977" s="1471"/>
    </row>
    <row r="978" spans="1:103" s="2070" customFormat="1" ht="48" x14ac:dyDescent="0.15">
      <c r="A978" s="2065" t="s">
        <v>1188</v>
      </c>
      <c r="B978" s="2066" t="s">
        <v>79</v>
      </c>
      <c r="C978" s="2066" t="s">
        <v>125</v>
      </c>
      <c r="D978" s="2066" t="s">
        <v>249</v>
      </c>
      <c r="E978" s="2066" t="s">
        <v>1310</v>
      </c>
      <c r="F978" s="2066" t="s">
        <v>768</v>
      </c>
      <c r="G978" s="2066" t="s">
        <v>766</v>
      </c>
      <c r="H978" s="1550">
        <f>90-27</f>
        <v>63</v>
      </c>
      <c r="I978" s="1473"/>
      <c r="J978" s="1473"/>
      <c r="K978" s="1473"/>
      <c r="L978" s="1518"/>
      <c r="M978" s="1518"/>
      <c r="N978" s="1518"/>
      <c r="O978" s="1518"/>
      <c r="P978" s="1518"/>
      <c r="Q978" s="1518"/>
      <c r="R978" s="1518"/>
      <c r="S978" s="1518"/>
      <c r="T978" s="1776"/>
      <c r="U978" s="1776">
        <v>27</v>
      </c>
      <c r="V978" s="1776"/>
      <c r="W978" s="1776"/>
      <c r="X978" s="1776"/>
      <c r="Y978" s="1776"/>
      <c r="Z978" s="1776"/>
      <c r="AA978" s="1776"/>
      <c r="AB978" s="1776"/>
      <c r="AC978" s="1632">
        <f t="shared" si="650"/>
        <v>63</v>
      </c>
      <c r="AD978" s="2067">
        <f>AE978+AF978+AG978</f>
        <v>0</v>
      </c>
      <c r="AE978" s="2067">
        <f t="shared" si="651"/>
        <v>0</v>
      </c>
      <c r="AF978" s="2067">
        <f t="shared" si="651"/>
        <v>0</v>
      </c>
      <c r="AG978" s="2067">
        <f t="shared" si="651"/>
        <v>0</v>
      </c>
      <c r="AH978" s="1486">
        <f t="shared" si="609"/>
        <v>0</v>
      </c>
      <c r="AI978" s="1632">
        <f t="shared" si="652"/>
        <v>0</v>
      </c>
      <c r="AJ978" s="1632">
        <f>AK978+AL978+AM978</f>
        <v>0</v>
      </c>
      <c r="AK978" s="1632">
        <f>I978-AE978</f>
        <v>0</v>
      </c>
      <c r="AL978" s="1632">
        <f t="shared" si="647"/>
        <v>0</v>
      </c>
      <c r="AM978" s="1632">
        <f>K978-AG978</f>
        <v>0</v>
      </c>
      <c r="AN978" s="1632"/>
      <c r="AO978" s="1473"/>
      <c r="AP978" s="1473"/>
      <c r="AQ978" s="1473"/>
      <c r="AR978" s="1473"/>
      <c r="AS978" s="1473"/>
      <c r="AT978" s="1473"/>
      <c r="AU978" s="1473"/>
      <c r="AV978" s="1473"/>
      <c r="AW978" s="1473"/>
      <c r="AX978" s="1473"/>
      <c r="AY978" s="1473"/>
      <c r="AZ978" s="1473"/>
      <c r="BA978" s="1473"/>
      <c r="BB978" s="1473"/>
      <c r="BC978" s="1473"/>
      <c r="BD978" s="1473"/>
      <c r="BE978" s="1473"/>
      <c r="BF978" s="1473"/>
      <c r="BG978" s="1473"/>
      <c r="BH978" s="1473"/>
      <c r="BI978" s="1473"/>
      <c r="BJ978" s="1473"/>
      <c r="BK978" s="1473"/>
      <c r="BL978" s="1473"/>
      <c r="BM978" s="1473">
        <v>45</v>
      </c>
      <c r="BN978" s="1473"/>
      <c r="BO978" s="1473"/>
      <c r="BP978" s="1473"/>
      <c r="BQ978" s="1473"/>
      <c r="BR978" s="1473"/>
      <c r="BS978" s="1473"/>
      <c r="BT978" s="1473"/>
      <c r="BU978" s="1473">
        <v>15</v>
      </c>
      <c r="BV978" s="1473"/>
      <c r="BW978" s="1473"/>
      <c r="BX978" s="1473"/>
      <c r="BY978" s="1473">
        <v>3</v>
      </c>
      <c r="BZ978" s="1473"/>
      <c r="CA978" s="1473"/>
      <c r="CB978" s="1473"/>
      <c r="CC978" s="1473"/>
      <c r="CD978" s="1473"/>
      <c r="CE978" s="1473"/>
      <c r="CF978" s="1473"/>
      <c r="CG978" s="2068"/>
      <c r="CH978" s="1473"/>
      <c r="CI978" s="1473"/>
      <c r="CJ978" s="1473"/>
      <c r="CK978" s="1473"/>
      <c r="CL978" s="2069"/>
      <c r="CM978" s="2069"/>
      <c r="CN978" s="2069"/>
      <c r="CO978" s="2069"/>
      <c r="CP978" s="2069"/>
      <c r="CQ978" s="2069"/>
      <c r="CR978" s="2069"/>
      <c r="CS978" s="2069"/>
      <c r="CT978" s="2069"/>
      <c r="CU978" s="2069"/>
      <c r="CV978" s="2069"/>
      <c r="CW978" s="2069"/>
      <c r="CY978" s="2069"/>
    </row>
    <row r="979" spans="1:103" s="2070" customFormat="1" ht="48" x14ac:dyDescent="0.15">
      <c r="A979" s="2065" t="s">
        <v>1189</v>
      </c>
      <c r="B979" s="2071" t="s">
        <v>79</v>
      </c>
      <c r="C979" s="2071" t="s">
        <v>125</v>
      </c>
      <c r="D979" s="2071" t="s">
        <v>249</v>
      </c>
      <c r="E979" s="2071" t="s">
        <v>1311</v>
      </c>
      <c r="F979" s="2071" t="s">
        <v>768</v>
      </c>
      <c r="G979" s="2071" t="s">
        <v>766</v>
      </c>
      <c r="H979" s="1550">
        <v>270</v>
      </c>
      <c r="I979" s="1473"/>
      <c r="J979" s="1473"/>
      <c r="K979" s="1473"/>
      <c r="L979" s="1518"/>
      <c r="M979" s="1518"/>
      <c r="N979" s="1518"/>
      <c r="O979" s="1518"/>
      <c r="P979" s="1518"/>
      <c r="Q979" s="1518"/>
      <c r="R979" s="1518"/>
      <c r="S979" s="1518"/>
      <c r="T979" s="1776"/>
      <c r="U979" s="1776"/>
      <c r="V979" s="1776"/>
      <c r="W979" s="1776"/>
      <c r="X979" s="1776"/>
      <c r="Y979" s="1776"/>
      <c r="Z979" s="1776"/>
      <c r="AA979" s="1776"/>
      <c r="AB979" s="1776"/>
      <c r="AC979" s="1632">
        <f t="shared" si="650"/>
        <v>270</v>
      </c>
      <c r="AD979" s="2067">
        <f>AE979+AF979+AG979</f>
        <v>0</v>
      </c>
      <c r="AE979" s="2067">
        <f t="shared" si="651"/>
        <v>0</v>
      </c>
      <c r="AF979" s="2067">
        <f t="shared" si="651"/>
        <v>0</v>
      </c>
      <c r="AG979" s="2067">
        <f t="shared" si="651"/>
        <v>0</v>
      </c>
      <c r="AH979" s="1486">
        <f t="shared" si="609"/>
        <v>0</v>
      </c>
      <c r="AI979" s="1632">
        <f t="shared" si="652"/>
        <v>0</v>
      </c>
      <c r="AJ979" s="1632">
        <f>AK979+AL979+AM979</f>
        <v>0</v>
      </c>
      <c r="AK979" s="1632">
        <f>I979-AE979</f>
        <v>0</v>
      </c>
      <c r="AL979" s="1632">
        <f t="shared" si="647"/>
        <v>0</v>
      </c>
      <c r="AM979" s="1632">
        <f>K979-AG979</f>
        <v>0</v>
      </c>
      <c r="AN979" s="1632"/>
      <c r="AO979" s="1473"/>
      <c r="AP979" s="1473"/>
      <c r="AQ979" s="1473"/>
      <c r="AR979" s="1473"/>
      <c r="AS979" s="1473"/>
      <c r="AT979" s="1473"/>
      <c r="AU979" s="1473"/>
      <c r="AV979" s="1473"/>
      <c r="AW979" s="1473">
        <v>270</v>
      </c>
      <c r="AX979" s="1473"/>
      <c r="AY979" s="1473"/>
      <c r="AZ979" s="1473"/>
      <c r="BA979" s="1473"/>
      <c r="BB979" s="1473"/>
      <c r="BC979" s="1473"/>
      <c r="BD979" s="1473"/>
      <c r="BE979" s="1473"/>
      <c r="BF979" s="1473"/>
      <c r="BG979" s="1473"/>
      <c r="BH979" s="1473"/>
      <c r="BI979" s="1473"/>
      <c r="BJ979" s="1473"/>
      <c r="BK979" s="1473"/>
      <c r="BL979" s="1473"/>
      <c r="BM979" s="1473"/>
      <c r="BN979" s="1473"/>
      <c r="BO979" s="1473"/>
      <c r="BP979" s="1473"/>
      <c r="BQ979" s="1473"/>
      <c r="BR979" s="1473"/>
      <c r="BS979" s="1473"/>
      <c r="BT979" s="1473"/>
      <c r="BU979" s="1473"/>
      <c r="BV979" s="1473"/>
      <c r="BW979" s="1473"/>
      <c r="BX979" s="1473"/>
      <c r="BY979" s="1473"/>
      <c r="BZ979" s="1473"/>
      <c r="CA979" s="1473"/>
      <c r="CB979" s="1473"/>
      <c r="CC979" s="1473"/>
      <c r="CD979" s="1473"/>
      <c r="CE979" s="1473"/>
      <c r="CF979" s="1473"/>
      <c r="CG979" s="2068"/>
      <c r="CH979" s="1473"/>
      <c r="CI979" s="1473"/>
      <c r="CJ979" s="1473"/>
      <c r="CK979" s="1473"/>
      <c r="CL979" s="2069"/>
      <c r="CM979" s="2069"/>
      <c r="CN979" s="2069"/>
      <c r="CO979" s="2069"/>
      <c r="CP979" s="2069"/>
      <c r="CQ979" s="2069"/>
      <c r="CR979" s="2069"/>
      <c r="CS979" s="2069"/>
      <c r="CT979" s="2069"/>
      <c r="CU979" s="2069"/>
      <c r="CV979" s="2069"/>
      <c r="CW979" s="2069"/>
      <c r="CY979" s="2069"/>
    </row>
    <row r="980" spans="1:103" s="1559" customFormat="1" ht="96" customHeight="1" x14ac:dyDescent="0.15">
      <c r="A980" s="2165" t="s">
        <v>1190</v>
      </c>
      <c r="B980" s="1499" t="s">
        <v>79</v>
      </c>
      <c r="C980" s="1499" t="s">
        <v>80</v>
      </c>
      <c r="D980" s="1499" t="s">
        <v>125</v>
      </c>
      <c r="E980" s="2073" t="s">
        <v>1312</v>
      </c>
      <c r="F980" s="2074" t="s">
        <v>1313</v>
      </c>
      <c r="G980" s="2073" t="s">
        <v>1256</v>
      </c>
      <c r="H980" s="2075">
        <v>2900</v>
      </c>
      <c r="I980" s="1471"/>
      <c r="J980" s="1471"/>
      <c r="K980" s="1471"/>
      <c r="L980" s="1518"/>
      <c r="M980" s="1518"/>
      <c r="N980" s="1518"/>
      <c r="O980" s="1518"/>
      <c r="P980" s="1518"/>
      <c r="Q980" s="1518"/>
      <c r="R980" s="1518"/>
      <c r="S980" s="1518"/>
      <c r="T980" s="1776"/>
      <c r="U980" s="1588"/>
      <c r="V980" s="1588"/>
      <c r="W980" s="1589"/>
      <c r="X980" s="1589"/>
      <c r="Y980" s="1589"/>
      <c r="Z980" s="1590"/>
      <c r="AA980" s="1589"/>
      <c r="AB980" s="1589"/>
      <c r="AC980" s="1637">
        <f t="shared" si="650"/>
        <v>2900</v>
      </c>
      <c r="AD980" s="2076"/>
      <c r="AE980" s="2076"/>
      <c r="AF980" s="2076"/>
      <c r="AG980" s="2076"/>
      <c r="AH980" s="1490">
        <f t="shared" si="609"/>
        <v>0</v>
      </c>
      <c r="AI980" s="1637">
        <f t="shared" si="652"/>
        <v>0</v>
      </c>
      <c r="AJ980" s="2077"/>
      <c r="AK980" s="2077"/>
      <c r="AL980" s="1636">
        <f t="shared" si="647"/>
        <v>0</v>
      </c>
      <c r="AM980" s="2077"/>
      <c r="AN980" s="2077"/>
      <c r="AO980" s="1477"/>
      <c r="AP980" s="1477"/>
      <c r="AQ980" s="1477"/>
      <c r="AR980" s="1477"/>
      <c r="AS980" s="1476"/>
      <c r="AT980" s="1477"/>
      <c r="AU980" s="1477"/>
      <c r="AV980" s="1477"/>
      <c r="AW980" s="1477"/>
      <c r="AX980" s="1477"/>
      <c r="AY980" s="1477"/>
      <c r="AZ980" s="1477"/>
      <c r="BA980" s="1477"/>
      <c r="BB980" s="1477"/>
      <c r="BC980" s="1477"/>
      <c r="BD980" s="1477"/>
      <c r="BE980" s="1477"/>
      <c r="BF980" s="1477"/>
      <c r="BG980" s="1477"/>
      <c r="BH980" s="1477"/>
      <c r="BI980" s="1477"/>
      <c r="BJ980" s="1477"/>
      <c r="BK980" s="1477"/>
      <c r="BL980" s="1477"/>
      <c r="BM980" s="2078">
        <v>2900</v>
      </c>
      <c r="BN980" s="1477"/>
      <c r="BO980" s="1477"/>
      <c r="BP980" s="1477"/>
      <c r="BQ980" s="1477"/>
      <c r="BR980" s="1477"/>
      <c r="BS980" s="1477"/>
      <c r="BT980" s="1477"/>
      <c r="BU980" s="1477"/>
      <c r="BV980" s="1477"/>
      <c r="BW980" s="1477"/>
      <c r="BX980" s="1477"/>
      <c r="BY980" s="1477"/>
      <c r="BZ980" s="1477"/>
      <c r="CA980" s="1477"/>
      <c r="CB980" s="1477"/>
      <c r="CC980" s="1477"/>
      <c r="CD980" s="1477"/>
      <c r="CE980" s="1477"/>
      <c r="CF980" s="1477"/>
      <c r="CG980" s="1593"/>
      <c r="CH980" s="1477"/>
      <c r="CI980" s="1477"/>
      <c r="CJ980" s="1477"/>
      <c r="CK980" s="1477"/>
      <c r="CL980" s="1558"/>
      <c r="CM980" s="1558"/>
      <c r="CN980" s="1558"/>
      <c r="CO980" s="1558"/>
      <c r="CP980" s="1558"/>
      <c r="CQ980" s="1558"/>
      <c r="CR980" s="1558"/>
      <c r="CS980" s="1558"/>
      <c r="CT980" s="1558"/>
      <c r="CU980" s="1558"/>
      <c r="CV980" s="1558"/>
      <c r="CW980" s="1558"/>
      <c r="CY980" s="1558"/>
    </row>
    <row r="981" spans="1:103" s="1559" customFormat="1" ht="88.5" customHeight="1" x14ac:dyDescent="0.15">
      <c r="A981" s="2166" t="s">
        <v>1192</v>
      </c>
      <c r="B981" s="1499" t="s">
        <v>79</v>
      </c>
      <c r="C981" s="1499" t="s">
        <v>80</v>
      </c>
      <c r="D981" s="1499" t="s">
        <v>125</v>
      </c>
      <c r="E981" s="2073" t="s">
        <v>1314</v>
      </c>
      <c r="F981" s="2074" t="s">
        <v>1315</v>
      </c>
      <c r="G981" s="2073" t="s">
        <v>1256</v>
      </c>
      <c r="H981" s="2079">
        <v>1050</v>
      </c>
      <c r="I981" s="2080"/>
      <c r="J981" s="2080"/>
      <c r="K981" s="2080"/>
      <c r="L981" s="1833"/>
      <c r="M981" s="1833"/>
      <c r="N981" s="1833"/>
      <c r="O981" s="1833"/>
      <c r="P981" s="1833"/>
      <c r="Q981" s="1833"/>
      <c r="R981" s="1833"/>
      <c r="S981" s="1833"/>
      <c r="T981" s="1834"/>
      <c r="U981" s="1835"/>
      <c r="V981" s="1835"/>
      <c r="W981" s="1836"/>
      <c r="X981" s="1836"/>
      <c r="Y981" s="1836"/>
      <c r="Z981" s="1837"/>
      <c r="AA981" s="1836"/>
      <c r="AB981" s="1836"/>
      <c r="AC981" s="1815">
        <f t="shared" si="650"/>
        <v>1050</v>
      </c>
      <c r="AD981" s="2081"/>
      <c r="AE981" s="2081"/>
      <c r="AF981" s="2081"/>
      <c r="AG981" s="2081"/>
      <c r="AH981" s="1490">
        <f t="shared" si="609"/>
        <v>0</v>
      </c>
      <c r="AI981" s="1815">
        <f t="shared" si="652"/>
        <v>0</v>
      </c>
      <c r="AJ981" s="2082"/>
      <c r="AK981" s="2082"/>
      <c r="AL981" s="1636">
        <f t="shared" si="647"/>
        <v>0</v>
      </c>
      <c r="AM981" s="2082"/>
      <c r="AN981" s="2082"/>
      <c r="AO981" s="2083"/>
      <c r="AP981" s="2083"/>
      <c r="AQ981" s="2083"/>
      <c r="AR981" s="2083"/>
      <c r="AS981" s="2084"/>
      <c r="AT981" s="2083"/>
      <c r="AU981" s="2083"/>
      <c r="AV981" s="2083"/>
      <c r="AW981" s="2083"/>
      <c r="AX981" s="2083"/>
      <c r="AY981" s="2083"/>
      <c r="AZ981" s="2083"/>
      <c r="BA981" s="2083"/>
      <c r="BB981" s="2083"/>
      <c r="BC981" s="2083"/>
      <c r="BD981" s="2083"/>
      <c r="BE981" s="2083"/>
      <c r="BF981" s="2083"/>
      <c r="BG981" s="2083"/>
      <c r="BH981" s="2083"/>
      <c r="BI981" s="2083"/>
      <c r="BJ981" s="2083"/>
      <c r="BK981" s="2083"/>
      <c r="BL981" s="2083"/>
      <c r="BM981" s="2085">
        <v>1050</v>
      </c>
      <c r="BN981" s="2083"/>
      <c r="BO981" s="2083"/>
      <c r="BP981" s="2083"/>
      <c r="BQ981" s="2083"/>
      <c r="BR981" s="2083"/>
      <c r="BS981" s="2083"/>
      <c r="BT981" s="2083"/>
      <c r="BU981" s="2083"/>
      <c r="BV981" s="2083"/>
      <c r="BW981" s="2083"/>
      <c r="BX981" s="2083"/>
      <c r="BY981" s="2083"/>
      <c r="BZ981" s="2083"/>
      <c r="CA981" s="2083"/>
      <c r="CB981" s="2083"/>
      <c r="CC981" s="2083"/>
      <c r="CD981" s="2083"/>
      <c r="CE981" s="2083"/>
      <c r="CF981" s="2083"/>
      <c r="CG981" s="2086"/>
      <c r="CH981" s="2083"/>
      <c r="CI981" s="2083"/>
      <c r="CJ981" s="2083"/>
      <c r="CK981" s="2083"/>
      <c r="CL981" s="1558"/>
      <c r="CM981" s="1558"/>
      <c r="CN981" s="1558"/>
      <c r="CO981" s="1558"/>
      <c r="CP981" s="1558"/>
      <c r="CQ981" s="1558"/>
      <c r="CR981" s="1558"/>
      <c r="CS981" s="1558"/>
      <c r="CT981" s="1558"/>
      <c r="CU981" s="1558"/>
      <c r="CV981" s="1558"/>
      <c r="CW981" s="1558"/>
      <c r="CY981" s="1558"/>
    </row>
    <row r="982" spans="1:103" s="2070" customFormat="1" ht="36" x14ac:dyDescent="0.15">
      <c r="A982" s="2087" t="s">
        <v>1194</v>
      </c>
      <c r="B982" s="2088" t="s">
        <v>79</v>
      </c>
      <c r="C982" s="2088" t="s">
        <v>125</v>
      </c>
      <c r="D982" s="2088">
        <v>13</v>
      </c>
      <c r="E982" s="2089">
        <v>5240300</v>
      </c>
      <c r="F982" s="2089">
        <v>612</v>
      </c>
      <c r="G982" s="2089">
        <v>241</v>
      </c>
      <c r="H982" s="2090">
        <v>120</v>
      </c>
      <c r="I982" s="1473"/>
      <c r="J982" s="1473"/>
      <c r="K982" s="1473"/>
      <c r="L982" s="1833"/>
      <c r="M982" s="1833"/>
      <c r="N982" s="1833"/>
      <c r="O982" s="1833"/>
      <c r="P982" s="1833"/>
      <c r="Q982" s="1833"/>
      <c r="R982" s="1833"/>
      <c r="S982" s="1833"/>
      <c r="T982" s="1834"/>
      <c r="U982" s="1834"/>
      <c r="V982" s="1834"/>
      <c r="W982" s="1834"/>
      <c r="X982" s="1834"/>
      <c r="Y982" s="1834"/>
      <c r="Z982" s="1834"/>
      <c r="AA982" s="1834"/>
      <c r="AB982" s="1834"/>
      <c r="AC982" s="2091">
        <f t="shared" si="650"/>
        <v>120</v>
      </c>
      <c r="AD982" s="2092"/>
      <c r="AE982" s="2092"/>
      <c r="AF982" s="2092"/>
      <c r="AG982" s="2092"/>
      <c r="AH982" s="1486">
        <f t="shared" si="609"/>
        <v>0</v>
      </c>
      <c r="AI982" s="2091">
        <f t="shared" si="652"/>
        <v>0</v>
      </c>
      <c r="AJ982" s="2093"/>
      <c r="AK982" s="2093"/>
      <c r="AL982" s="1632">
        <f t="shared" si="647"/>
        <v>0</v>
      </c>
      <c r="AM982" s="2093"/>
      <c r="AN982" s="2093"/>
      <c r="AO982" s="1473"/>
      <c r="AP982" s="1473"/>
      <c r="AQ982" s="1473"/>
      <c r="AR982" s="1473"/>
      <c r="AS982" s="1473"/>
      <c r="AT982" s="1473"/>
      <c r="AU982" s="1473"/>
      <c r="AV982" s="1473"/>
      <c r="AW982" s="1473"/>
      <c r="AX982" s="1473"/>
      <c r="AY982" s="1473"/>
      <c r="AZ982" s="1473"/>
      <c r="BA982" s="2094">
        <v>120</v>
      </c>
      <c r="BB982" s="1473"/>
      <c r="BC982" s="1473"/>
      <c r="BD982" s="1473"/>
      <c r="BE982" s="1473"/>
      <c r="BF982" s="1473"/>
      <c r="BG982" s="1473"/>
      <c r="BH982" s="1473"/>
      <c r="BI982" s="1473"/>
      <c r="BJ982" s="1473"/>
      <c r="BK982" s="1473"/>
      <c r="BL982" s="1473"/>
      <c r="BM982" s="1473"/>
      <c r="BN982" s="1473"/>
      <c r="BO982" s="1473"/>
      <c r="BP982" s="1473"/>
      <c r="BQ982" s="1473"/>
      <c r="BR982" s="1473"/>
      <c r="BS982" s="1473"/>
      <c r="BT982" s="1473"/>
      <c r="BU982" s="1473"/>
      <c r="BV982" s="1473"/>
      <c r="BW982" s="1473"/>
      <c r="BX982" s="1473"/>
      <c r="BY982" s="1473"/>
      <c r="BZ982" s="1473"/>
      <c r="CA982" s="1473"/>
      <c r="CB982" s="1473"/>
      <c r="CC982" s="1473"/>
      <c r="CD982" s="1473"/>
      <c r="CE982" s="1473"/>
      <c r="CF982" s="1473"/>
      <c r="CG982" s="2095"/>
      <c r="CH982" s="1473"/>
      <c r="CI982" s="1473"/>
      <c r="CJ982" s="1473"/>
      <c r="CK982" s="1473"/>
      <c r="CL982" s="2069"/>
      <c r="CM982" s="2069"/>
      <c r="CN982" s="2069"/>
      <c r="CO982" s="2069"/>
      <c r="CP982" s="2069"/>
      <c r="CQ982" s="2069"/>
      <c r="CR982" s="2069"/>
      <c r="CS982" s="2069"/>
      <c r="CT982" s="2069"/>
      <c r="CU982" s="2069"/>
      <c r="CV982" s="2069"/>
      <c r="CW982" s="2069"/>
      <c r="CY982" s="2069"/>
    </row>
    <row r="983" spans="1:103" s="2070" customFormat="1" ht="36" customHeight="1" x14ac:dyDescent="0.15">
      <c r="A983" s="2993" t="s">
        <v>1316</v>
      </c>
      <c r="B983" s="2071" t="s">
        <v>79</v>
      </c>
      <c r="C983" s="2096" t="s">
        <v>196</v>
      </c>
      <c r="D983" s="2096" t="s">
        <v>935</v>
      </c>
      <c r="E983" s="2097" t="s">
        <v>1317</v>
      </c>
      <c r="F983" s="2098">
        <v>612</v>
      </c>
      <c r="G983" s="2098">
        <v>241</v>
      </c>
      <c r="H983" s="2090">
        <v>8811.48</v>
      </c>
      <c r="I983" s="1473"/>
      <c r="J983" s="1473"/>
      <c r="K983" s="1473"/>
      <c r="L983" s="1833"/>
      <c r="M983" s="1833"/>
      <c r="N983" s="1833"/>
      <c r="O983" s="1833"/>
      <c r="P983" s="1833"/>
      <c r="Q983" s="1833"/>
      <c r="R983" s="1833"/>
      <c r="S983" s="1833"/>
      <c r="T983" s="1834"/>
      <c r="U983" s="1834"/>
      <c r="V983" s="1834"/>
      <c r="W983" s="1834"/>
      <c r="X983" s="1834"/>
      <c r="Y983" s="1834"/>
      <c r="Z983" s="1834"/>
      <c r="AA983" s="1834"/>
      <c r="AB983" s="1834"/>
      <c r="AC983" s="2091">
        <f t="shared" si="650"/>
        <v>8811.48</v>
      </c>
      <c r="AD983" s="2092"/>
      <c r="AE983" s="2092"/>
      <c r="AF983" s="2092"/>
      <c r="AG983" s="2092"/>
      <c r="AH983" s="1486">
        <f t="shared" ref="AH983:AH992" si="653">CG983+CL983</f>
        <v>0</v>
      </c>
      <c r="AI983" s="2091">
        <f t="shared" si="652"/>
        <v>0</v>
      </c>
      <c r="AJ983" s="2093"/>
      <c r="AK983" s="2093"/>
      <c r="AL983" s="1632">
        <f t="shared" si="647"/>
        <v>0</v>
      </c>
      <c r="AM983" s="2093"/>
      <c r="AN983" s="2093"/>
      <c r="AO983" s="1473"/>
      <c r="AP983" s="1473"/>
      <c r="AQ983" s="1473"/>
      <c r="AR983" s="1473"/>
      <c r="AS983" s="1473"/>
      <c r="AT983" s="1473"/>
      <c r="AU983" s="1473"/>
      <c r="AV983" s="1473"/>
      <c r="AW983" s="1473"/>
      <c r="AX983" s="1473"/>
      <c r="AY983" s="1473"/>
      <c r="AZ983" s="1473"/>
      <c r="BA983" s="2094"/>
      <c r="BB983" s="1473"/>
      <c r="BC983" s="1473"/>
      <c r="BD983" s="1473"/>
      <c r="BE983" s="1473"/>
      <c r="BF983" s="1473"/>
      <c r="BG983" s="1473"/>
      <c r="BH983" s="1473"/>
      <c r="BI983" s="1473"/>
      <c r="BJ983" s="1473"/>
      <c r="BK983" s="1473"/>
      <c r="BL983" s="1473"/>
      <c r="BM983" s="1473"/>
      <c r="BN983" s="1473"/>
      <c r="BO983" s="1473"/>
      <c r="BP983" s="1473"/>
      <c r="BQ983" s="1473">
        <v>8811.48</v>
      </c>
      <c r="BR983" s="1473"/>
      <c r="BS983" s="1473"/>
      <c r="BT983" s="1473"/>
      <c r="BU983" s="1473"/>
      <c r="BV983" s="1473"/>
      <c r="BW983" s="1473"/>
      <c r="BX983" s="1473"/>
      <c r="BY983" s="1473"/>
      <c r="BZ983" s="1473"/>
      <c r="CA983" s="1473"/>
      <c r="CB983" s="1473"/>
      <c r="CC983" s="1473"/>
      <c r="CD983" s="1473"/>
      <c r="CE983" s="1473"/>
      <c r="CF983" s="1473"/>
      <c r="CG983" s="2095"/>
      <c r="CH983" s="1473"/>
      <c r="CI983" s="1473"/>
      <c r="CJ983" s="1473"/>
      <c r="CK983" s="1473"/>
      <c r="CL983" s="2069"/>
      <c r="CM983" s="2069"/>
      <c r="CN983" s="2069"/>
      <c r="CO983" s="2069"/>
      <c r="CP983" s="2069"/>
      <c r="CQ983" s="2069"/>
      <c r="CR983" s="2069"/>
      <c r="CS983" s="2069"/>
      <c r="CT983" s="2069"/>
      <c r="CU983" s="2069"/>
      <c r="CV983" s="2069"/>
      <c r="CW983" s="2069"/>
      <c r="CY983" s="2069"/>
    </row>
    <row r="984" spans="1:103" s="2070" customFormat="1" ht="16" x14ac:dyDescent="0.15">
      <c r="A984" s="2994"/>
      <c r="B984" s="2066" t="s">
        <v>79</v>
      </c>
      <c r="C984" s="2088" t="s">
        <v>196</v>
      </c>
      <c r="D984" s="2088" t="s">
        <v>935</v>
      </c>
      <c r="E984" s="2089" t="s">
        <v>1318</v>
      </c>
      <c r="F984" s="2099" t="s">
        <v>1319</v>
      </c>
      <c r="G984" s="2089">
        <v>241</v>
      </c>
      <c r="H984" s="2100">
        <v>8811.48</v>
      </c>
      <c r="I984" s="1473" t="s">
        <v>1320</v>
      </c>
      <c r="J984" s="1473"/>
      <c r="K984" s="1473"/>
      <c r="L984" s="1833"/>
      <c r="M984" s="1833"/>
      <c r="N984" s="1833"/>
      <c r="O984" s="1833"/>
      <c r="P984" s="1833"/>
      <c r="Q984" s="1833"/>
      <c r="R984" s="1833"/>
      <c r="S984" s="1833"/>
      <c r="T984" s="1834"/>
      <c r="U984" s="1834"/>
      <c r="V984" s="1834"/>
      <c r="W984" s="1834"/>
      <c r="X984" s="1834"/>
      <c r="Y984" s="1834"/>
      <c r="Z984" s="1834"/>
      <c r="AA984" s="1834"/>
      <c r="AB984" s="1834"/>
      <c r="AC984" s="2091">
        <f t="shared" si="650"/>
        <v>8811.48</v>
      </c>
      <c r="AD984" s="2092"/>
      <c r="AE984" s="2092"/>
      <c r="AF984" s="2092"/>
      <c r="AG984" s="2092"/>
      <c r="AH984" s="1486">
        <f t="shared" si="653"/>
        <v>0</v>
      </c>
      <c r="AI984" s="2091">
        <f t="shared" si="652"/>
        <v>0</v>
      </c>
      <c r="AJ984" s="2093"/>
      <c r="AK984" s="2093"/>
      <c r="AL984" s="1632"/>
      <c r="AM984" s="2093"/>
      <c r="AN984" s="2093"/>
      <c r="AO984" s="1473"/>
      <c r="AP984" s="1473"/>
      <c r="AQ984" s="1473"/>
      <c r="AR984" s="1473"/>
      <c r="AS984" s="1473"/>
      <c r="AT984" s="1473"/>
      <c r="AU984" s="1473"/>
      <c r="AV984" s="1473"/>
      <c r="AW984" s="1473"/>
      <c r="AX984" s="1473"/>
      <c r="AY984" s="1473"/>
      <c r="AZ984" s="1473"/>
      <c r="BA984" s="2094"/>
      <c r="BB984" s="1473"/>
      <c r="BC984" s="1473"/>
      <c r="BD984" s="1473"/>
      <c r="BE984" s="1473"/>
      <c r="BF984" s="1473"/>
      <c r="BG984" s="1473"/>
      <c r="BH984" s="1473"/>
      <c r="BI984" s="1473"/>
      <c r="BJ984" s="1473"/>
      <c r="BK984" s="1473"/>
      <c r="BL984" s="1473"/>
      <c r="BM984" s="1473"/>
      <c r="BN984" s="1473"/>
      <c r="BO984" s="1473"/>
      <c r="BP984" s="1473"/>
      <c r="BQ984" s="1473"/>
      <c r="BR984" s="1473"/>
      <c r="BS984" s="1473"/>
      <c r="BT984" s="1473"/>
      <c r="BU984" s="1473"/>
      <c r="BV984" s="1473"/>
      <c r="BW984" s="1473"/>
      <c r="BX984" s="1473"/>
      <c r="BY984" s="1473">
        <v>8811.48</v>
      </c>
      <c r="BZ984" s="1473"/>
      <c r="CA984" s="1473"/>
      <c r="CB984" s="1473"/>
      <c r="CC984" s="1473"/>
      <c r="CD984" s="1473"/>
      <c r="CE984" s="1473"/>
      <c r="CF984" s="1473"/>
      <c r="CG984" s="2095"/>
      <c r="CH984" s="1473"/>
      <c r="CI984" s="1473"/>
      <c r="CJ984" s="1473"/>
      <c r="CK984" s="1473"/>
      <c r="CL984" s="2069"/>
      <c r="CM984" s="2069"/>
      <c r="CN984" s="2069"/>
      <c r="CO984" s="2069"/>
      <c r="CP984" s="2069"/>
      <c r="CQ984" s="2069"/>
      <c r="CR984" s="2069"/>
      <c r="CS984" s="2069"/>
      <c r="CT984" s="2069"/>
      <c r="CU984" s="2069"/>
      <c r="CV984" s="2069"/>
      <c r="CW984" s="2069"/>
      <c r="CY984" s="2069"/>
    </row>
    <row r="985" spans="1:103" s="2070" customFormat="1" ht="91.5" customHeight="1" x14ac:dyDescent="0.15">
      <c r="A985" s="2065" t="s">
        <v>1321</v>
      </c>
      <c r="B985" s="2101" t="s">
        <v>79</v>
      </c>
      <c r="C985" s="2101" t="s">
        <v>125</v>
      </c>
      <c r="D985" s="2101">
        <v>13</v>
      </c>
      <c r="E985" s="2101" t="s">
        <v>1322</v>
      </c>
      <c r="F985" s="2102" t="s">
        <v>768</v>
      </c>
      <c r="G985" s="2103" t="s">
        <v>766</v>
      </c>
      <c r="H985" s="2090">
        <v>1000</v>
      </c>
      <c r="I985" s="1473"/>
      <c r="J985" s="1473"/>
      <c r="K985" s="1473"/>
      <c r="L985" s="1472"/>
      <c r="M985" s="1472"/>
      <c r="N985" s="1472"/>
      <c r="O985" s="1472"/>
      <c r="P985" s="1472"/>
      <c r="Q985" s="1472"/>
      <c r="R985" s="1472"/>
      <c r="S985" s="1472"/>
      <c r="T985" s="1473"/>
      <c r="U985" s="1473"/>
      <c r="V985" s="1473"/>
      <c r="W985" s="1473"/>
      <c r="X985" s="1473"/>
      <c r="Y985" s="1473"/>
      <c r="Z985" s="1473"/>
      <c r="AA985" s="1473"/>
      <c r="AB985" s="1473"/>
      <c r="AC985" s="2093">
        <f t="shared" si="650"/>
        <v>1000</v>
      </c>
      <c r="AD985" s="2092"/>
      <c r="AE985" s="2092"/>
      <c r="AF985" s="2092"/>
      <c r="AG985" s="2092"/>
      <c r="AH985" s="1486">
        <f t="shared" si="653"/>
        <v>0</v>
      </c>
      <c r="AI985" s="2093">
        <f t="shared" si="652"/>
        <v>0</v>
      </c>
      <c r="AJ985" s="2093"/>
      <c r="AK985" s="2093"/>
      <c r="AL985" s="1632">
        <f>J985-AF985</f>
        <v>0</v>
      </c>
      <c r="AM985" s="2093"/>
      <c r="AN985" s="2093"/>
      <c r="AO985" s="1473"/>
      <c r="AP985" s="1473"/>
      <c r="AQ985" s="1473"/>
      <c r="AR985" s="1473"/>
      <c r="AS985" s="1473"/>
      <c r="AT985" s="1473"/>
      <c r="AU985" s="1473"/>
      <c r="AV985" s="1473"/>
      <c r="AW985" s="1473"/>
      <c r="AX985" s="1473"/>
      <c r="AY985" s="1473"/>
      <c r="AZ985" s="1473"/>
      <c r="BA985" s="2094"/>
      <c r="BB985" s="1473"/>
      <c r="BC985" s="1473"/>
      <c r="BD985" s="1473"/>
      <c r="BE985" s="1473"/>
      <c r="BF985" s="1473"/>
      <c r="BG985" s="1473"/>
      <c r="BH985" s="1473"/>
      <c r="BI985" s="1473"/>
      <c r="BJ985" s="1473"/>
      <c r="BK985" s="1473"/>
      <c r="BL985" s="1473"/>
      <c r="BM985" s="1473"/>
      <c r="BN985" s="1473"/>
      <c r="BO985" s="1473"/>
      <c r="BP985" s="1473"/>
      <c r="BQ985" s="1473"/>
      <c r="BR985" s="1473"/>
      <c r="BS985" s="1473"/>
      <c r="BT985" s="1473"/>
      <c r="BU985" s="1473"/>
      <c r="BV985" s="1473"/>
      <c r="BW985" s="1473"/>
      <c r="BX985" s="1473"/>
      <c r="BY985" s="1473"/>
      <c r="BZ985" s="1473"/>
      <c r="CA985" s="1473"/>
      <c r="CB985" s="1473"/>
      <c r="CC985" s="1473"/>
      <c r="CD985" s="1473"/>
      <c r="CE985" s="1473"/>
      <c r="CF985" s="1473"/>
      <c r="CG985" s="2104"/>
      <c r="CH985" s="1473">
        <v>1000</v>
      </c>
      <c r="CI985" s="1473"/>
      <c r="CJ985" s="1473"/>
      <c r="CK985" s="1473"/>
      <c r="CL985" s="2069"/>
      <c r="CM985" s="2069"/>
      <c r="CN985" s="2069"/>
      <c r="CO985" s="2069"/>
      <c r="CP985" s="2069"/>
      <c r="CQ985" s="2069"/>
      <c r="CR985" s="2069"/>
      <c r="CS985" s="2069"/>
      <c r="CT985" s="2069"/>
      <c r="CU985" s="2069"/>
      <c r="CV985" s="2069"/>
      <c r="CW985" s="2069"/>
      <c r="CY985" s="2069"/>
    </row>
    <row r="986" spans="1:103" ht="70.5" customHeight="1" x14ac:dyDescent="0.15">
      <c r="A986" s="3006" t="s">
        <v>1323</v>
      </c>
      <c r="B986" s="2985" t="s">
        <v>79</v>
      </c>
      <c r="C986" s="2985" t="s">
        <v>80</v>
      </c>
      <c r="D986" s="2985" t="s">
        <v>125</v>
      </c>
      <c r="E986" s="2985" t="s">
        <v>1324</v>
      </c>
      <c r="F986" s="2105" t="s">
        <v>1325</v>
      </c>
      <c r="G986" s="2106" t="s">
        <v>1256</v>
      </c>
      <c r="H986" s="2107">
        <v>3968</v>
      </c>
      <c r="I986" s="1471"/>
      <c r="J986" s="1471"/>
      <c r="K986" s="1471"/>
      <c r="L986" s="1472"/>
      <c r="M986" s="1472"/>
      <c r="N986" s="1472"/>
      <c r="O986" s="1472"/>
      <c r="P986" s="1472"/>
      <c r="Q986" s="1472"/>
      <c r="R986" s="1472"/>
      <c r="S986" s="1472"/>
      <c r="T986" s="1473"/>
      <c r="U986" s="1474"/>
      <c r="V986" s="1474"/>
      <c r="W986" s="2108"/>
      <c r="X986" s="2108"/>
      <c r="Y986" s="2108"/>
      <c r="Z986" s="1476"/>
      <c r="AA986" s="2108"/>
      <c r="AB986" s="2108"/>
      <c r="AC986" s="2109">
        <f>AH986</f>
        <v>3968</v>
      </c>
      <c r="AD986" s="2110"/>
      <c r="AE986" s="2110"/>
      <c r="AF986" s="2110"/>
      <c r="AG986" s="2110"/>
      <c r="AH986" s="1490">
        <f t="shared" si="653"/>
        <v>3968</v>
      </c>
      <c r="AI986" s="2111">
        <f t="shared" si="652"/>
        <v>0</v>
      </c>
      <c r="AJ986" s="2111"/>
      <c r="AK986" s="2111"/>
      <c r="AL986" s="2111"/>
      <c r="AM986" s="2111"/>
      <c r="AN986" s="2077"/>
      <c r="AO986" s="1471"/>
      <c r="AP986" s="1471"/>
      <c r="AQ986" s="1471"/>
      <c r="AR986" s="1471"/>
      <c r="AS986" s="1476"/>
      <c r="AT986" s="1471"/>
      <c r="AU986" s="1471"/>
      <c r="AV986" s="1471"/>
      <c r="AW986" s="1476"/>
      <c r="AX986" s="1471"/>
      <c r="AY986" s="1471"/>
      <c r="AZ986" s="1471"/>
      <c r="BA986" s="1934"/>
      <c r="BB986" s="1471"/>
      <c r="BC986" s="1471"/>
      <c r="BD986" s="1471"/>
      <c r="BE986" s="1477"/>
      <c r="BF986" s="1471"/>
      <c r="BG986" s="1471"/>
      <c r="BH986" s="1471"/>
      <c r="BI986" s="1477"/>
      <c r="BJ986" s="1471"/>
      <c r="BK986" s="1471"/>
      <c r="BL986" s="1471"/>
      <c r="BM986" s="1477"/>
      <c r="BN986" s="1471"/>
      <c r="BO986" s="1471"/>
      <c r="BP986" s="1471"/>
      <c r="BQ986" s="1477"/>
      <c r="BR986" s="1471"/>
      <c r="BS986" s="1471"/>
      <c r="BT986" s="1471"/>
      <c r="BU986" s="1477"/>
      <c r="BV986" s="1471"/>
      <c r="BW986" s="1471"/>
      <c r="BX986" s="1471"/>
      <c r="BY986" s="1477"/>
      <c r="BZ986" s="1471"/>
      <c r="CA986" s="1471"/>
      <c r="CB986" s="1471"/>
      <c r="CC986" s="1477"/>
      <c r="CD986" s="1471"/>
      <c r="CE986" s="1471"/>
      <c r="CF986" s="1471"/>
      <c r="CG986" s="2112">
        <v>3968</v>
      </c>
      <c r="CH986" s="1477"/>
      <c r="CI986" s="1471"/>
      <c r="CJ986" s="1471"/>
      <c r="CK986" s="1471"/>
    </row>
    <row r="987" spans="1:103" s="1559" customFormat="1" ht="42" customHeight="1" x14ac:dyDescent="0.15">
      <c r="A987" s="3007"/>
      <c r="B987" s="2986"/>
      <c r="C987" s="2986"/>
      <c r="D987" s="2986"/>
      <c r="E987" s="2986"/>
      <c r="F987" s="2113" t="s">
        <v>1326</v>
      </c>
      <c r="G987" s="2114" t="s">
        <v>766</v>
      </c>
      <c r="H987" s="2115">
        <v>128.715</v>
      </c>
      <c r="I987" s="1477"/>
      <c r="J987" s="1477"/>
      <c r="K987" s="1477"/>
      <c r="L987" s="1472"/>
      <c r="M987" s="1472"/>
      <c r="N987" s="1472"/>
      <c r="O987" s="1472"/>
      <c r="P987" s="1472"/>
      <c r="Q987" s="1472"/>
      <c r="R987" s="1472"/>
      <c r="S987" s="1472"/>
      <c r="T987" s="1477"/>
      <c r="U987" s="1477"/>
      <c r="V987" s="1477"/>
      <c r="W987" s="1477"/>
      <c r="X987" s="1477"/>
      <c r="Y987" s="1477"/>
      <c r="Z987" s="1477"/>
      <c r="AA987" s="1477"/>
      <c r="AB987" s="1477"/>
      <c r="AC987" s="2077">
        <f t="shared" ref="AC987:AC992" si="654">AH987</f>
        <v>128.715</v>
      </c>
      <c r="AD987" s="2076"/>
      <c r="AE987" s="2076"/>
      <c r="AF987" s="2076"/>
      <c r="AG987" s="2076"/>
      <c r="AH987" s="1492">
        <f t="shared" si="653"/>
        <v>128.715</v>
      </c>
      <c r="AI987" s="2077">
        <f t="shared" si="652"/>
        <v>0</v>
      </c>
      <c r="AJ987" s="2077"/>
      <c r="AK987" s="2077"/>
      <c r="AL987" s="2077"/>
      <c r="AM987" s="2077"/>
      <c r="AN987" s="2077"/>
      <c r="AO987" s="1477"/>
      <c r="AP987" s="1477"/>
      <c r="AQ987" s="1477"/>
      <c r="AR987" s="1477"/>
      <c r="AS987" s="1477"/>
      <c r="AT987" s="1477"/>
      <c r="AU987" s="1477"/>
      <c r="AV987" s="1477"/>
      <c r="AW987" s="1477"/>
      <c r="AX987" s="1477"/>
      <c r="AY987" s="1477"/>
      <c r="AZ987" s="1477"/>
      <c r="BA987" s="1934"/>
      <c r="BB987" s="1477"/>
      <c r="BC987" s="1477"/>
      <c r="BD987" s="1477"/>
      <c r="BE987" s="1477"/>
      <c r="BF987" s="1477"/>
      <c r="BG987" s="1477"/>
      <c r="BH987" s="1477"/>
      <c r="BI987" s="1477"/>
      <c r="BJ987" s="1477"/>
      <c r="BK987" s="1477"/>
      <c r="BL987" s="1477"/>
      <c r="BM987" s="1477"/>
      <c r="BN987" s="1477"/>
      <c r="BO987" s="1477"/>
      <c r="BP987" s="1477"/>
      <c r="BQ987" s="1477"/>
      <c r="BR987" s="1477"/>
      <c r="BS987" s="1477"/>
      <c r="BT987" s="1477"/>
      <c r="BU987" s="1477"/>
      <c r="BV987" s="1477"/>
      <c r="BW987" s="1477"/>
      <c r="BX987" s="1477"/>
      <c r="BY987" s="1477"/>
      <c r="BZ987" s="1477"/>
      <c r="CA987" s="1477"/>
      <c r="CB987" s="1477"/>
      <c r="CC987" s="1477"/>
      <c r="CD987" s="1477"/>
      <c r="CE987" s="1477"/>
      <c r="CF987" s="1477"/>
      <c r="CG987" s="2116">
        <v>128.715</v>
      </c>
      <c r="CH987" s="1477"/>
      <c r="CI987" s="1477"/>
      <c r="CJ987" s="1477"/>
      <c r="CK987" s="1477"/>
      <c r="CL987" s="1558"/>
      <c r="CM987" s="1558"/>
      <c r="CN987" s="1558"/>
      <c r="CO987" s="1558"/>
      <c r="CP987" s="1558"/>
      <c r="CQ987" s="1558"/>
      <c r="CR987" s="1558"/>
      <c r="CS987" s="1558"/>
      <c r="CT987" s="1558"/>
      <c r="CU987" s="1558"/>
      <c r="CV987" s="1558"/>
      <c r="CW987" s="1558"/>
      <c r="CY987" s="1558"/>
    </row>
    <row r="988" spans="1:103" ht="60" x14ac:dyDescent="0.15">
      <c r="A988" s="2117" t="s">
        <v>1327</v>
      </c>
      <c r="B988" s="2985" t="s">
        <v>79</v>
      </c>
      <c r="C988" s="2985" t="s">
        <v>80</v>
      </c>
      <c r="D988" s="2985" t="s">
        <v>125</v>
      </c>
      <c r="E988" s="2118" t="s">
        <v>1328</v>
      </c>
      <c r="F988" s="2105" t="s">
        <v>1329</v>
      </c>
      <c r="G988" s="2106" t="s">
        <v>1256</v>
      </c>
      <c r="H988" s="2107">
        <v>16700</v>
      </c>
      <c r="I988" s="1471"/>
      <c r="J988" s="1471"/>
      <c r="K988" s="1471"/>
      <c r="L988" s="1472"/>
      <c r="M988" s="1472"/>
      <c r="N988" s="1472"/>
      <c r="O988" s="1472"/>
      <c r="P988" s="1472"/>
      <c r="Q988" s="1472"/>
      <c r="R988" s="1472"/>
      <c r="S988" s="1472"/>
      <c r="T988" s="1473"/>
      <c r="U988" s="1474"/>
      <c r="V988" s="1474"/>
      <c r="W988" s="2108"/>
      <c r="X988" s="2108"/>
      <c r="Y988" s="2108"/>
      <c r="Z988" s="1476"/>
      <c r="AA988" s="2108"/>
      <c r="AB988" s="2108"/>
      <c r="AC988" s="2109">
        <f t="shared" si="654"/>
        <v>16700</v>
      </c>
      <c r="AD988" s="2110"/>
      <c r="AE988" s="2110"/>
      <c r="AF988" s="2110"/>
      <c r="AG988" s="2110"/>
      <c r="AH988" s="1490">
        <f t="shared" si="653"/>
        <v>16700</v>
      </c>
      <c r="AI988" s="2111">
        <f t="shared" si="652"/>
        <v>0</v>
      </c>
      <c r="AJ988" s="2111"/>
      <c r="AK988" s="2111"/>
      <c r="AL988" s="2111"/>
      <c r="AM988" s="2111"/>
      <c r="AN988" s="2077"/>
      <c r="AO988" s="1471"/>
      <c r="AP988" s="1471"/>
      <c r="AQ988" s="1471"/>
      <c r="AR988" s="1471"/>
      <c r="AS988" s="1476"/>
      <c r="AT988" s="1471"/>
      <c r="AU988" s="1471"/>
      <c r="AV988" s="1471"/>
      <c r="AW988" s="1476"/>
      <c r="AX988" s="1471"/>
      <c r="AY988" s="1471"/>
      <c r="AZ988" s="1471"/>
      <c r="BA988" s="1934"/>
      <c r="BB988" s="1471"/>
      <c r="BC988" s="1471"/>
      <c r="BD988" s="1471"/>
      <c r="BE988" s="1477"/>
      <c r="BF988" s="1471"/>
      <c r="BG988" s="1471"/>
      <c r="BH988" s="1471"/>
      <c r="BI988" s="1477"/>
      <c r="BJ988" s="1471"/>
      <c r="BK988" s="1471"/>
      <c r="BL988" s="1471"/>
      <c r="BM988" s="1477"/>
      <c r="BN988" s="1471"/>
      <c r="BO988" s="1471"/>
      <c r="BP988" s="1471"/>
      <c r="BQ988" s="1477"/>
      <c r="BR988" s="1471"/>
      <c r="BS988" s="1471"/>
      <c r="BT988" s="1471"/>
      <c r="BU988" s="1477"/>
      <c r="BV988" s="1471"/>
      <c r="BW988" s="1471"/>
      <c r="BX988" s="1471"/>
      <c r="BY988" s="1477"/>
      <c r="BZ988" s="1471"/>
      <c r="CA988" s="1471"/>
      <c r="CB988" s="1471"/>
      <c r="CC988" s="1477"/>
      <c r="CD988" s="1471"/>
      <c r="CE988" s="1471"/>
      <c r="CF988" s="1471"/>
      <c r="CG988" s="2112">
        <v>16700</v>
      </c>
      <c r="CH988" s="1477"/>
      <c r="CI988" s="1471"/>
      <c r="CJ988" s="1471"/>
      <c r="CK988" s="1471"/>
    </row>
    <row r="989" spans="1:103" s="1559" customFormat="1" ht="86" x14ac:dyDescent="0.15">
      <c r="A989" s="2119" t="s">
        <v>1330</v>
      </c>
      <c r="B989" s="2986"/>
      <c r="C989" s="2986"/>
      <c r="D989" s="2986"/>
      <c r="E989" s="2120" t="s">
        <v>1331</v>
      </c>
      <c r="F989" s="2113" t="s">
        <v>1332</v>
      </c>
      <c r="G989" s="2114" t="s">
        <v>766</v>
      </c>
      <c r="H989" s="2115">
        <v>3300</v>
      </c>
      <c r="I989" s="1477"/>
      <c r="J989" s="1477"/>
      <c r="K989" s="1477"/>
      <c r="L989" s="1472"/>
      <c r="M989" s="1472"/>
      <c r="N989" s="1472"/>
      <c r="O989" s="1472"/>
      <c r="P989" s="1472"/>
      <c r="Q989" s="1472"/>
      <c r="R989" s="1472"/>
      <c r="S989" s="1472"/>
      <c r="T989" s="1477"/>
      <c r="U989" s="1477"/>
      <c r="V989" s="1477"/>
      <c r="W989" s="1477"/>
      <c r="X989" s="1477"/>
      <c r="Y989" s="1477"/>
      <c r="Z989" s="1477"/>
      <c r="AA989" s="1477"/>
      <c r="AB989" s="1477"/>
      <c r="AC989" s="2077">
        <f t="shared" si="654"/>
        <v>3300</v>
      </c>
      <c r="AD989" s="2076"/>
      <c r="AE989" s="2076"/>
      <c r="AF989" s="2076"/>
      <c r="AG989" s="2076"/>
      <c r="AH989" s="1492">
        <f t="shared" si="653"/>
        <v>3300</v>
      </c>
      <c r="AI989" s="2077">
        <f t="shared" si="652"/>
        <v>0</v>
      </c>
      <c r="AJ989" s="2077"/>
      <c r="AK989" s="2077"/>
      <c r="AL989" s="2077"/>
      <c r="AM989" s="2077"/>
      <c r="AN989" s="2077"/>
      <c r="AO989" s="1477"/>
      <c r="AP989" s="1477"/>
      <c r="AQ989" s="1477"/>
      <c r="AR989" s="1477"/>
      <c r="AS989" s="1477"/>
      <c r="AT989" s="1477"/>
      <c r="AU989" s="1477"/>
      <c r="AV989" s="1477"/>
      <c r="AW989" s="1477"/>
      <c r="AX989" s="1477"/>
      <c r="AY989" s="1477"/>
      <c r="AZ989" s="1477"/>
      <c r="BA989" s="1934"/>
      <c r="BB989" s="1477"/>
      <c r="BC989" s="1477"/>
      <c r="BD989" s="1477"/>
      <c r="BE989" s="1477"/>
      <c r="BF989" s="1477"/>
      <c r="BG989" s="1477"/>
      <c r="BH989" s="1477"/>
      <c r="BI989" s="1477"/>
      <c r="BJ989" s="1477"/>
      <c r="BK989" s="1477"/>
      <c r="BL989" s="1477"/>
      <c r="BM989" s="1477"/>
      <c r="BN989" s="1477"/>
      <c r="BO989" s="1477"/>
      <c r="BP989" s="1477"/>
      <c r="BQ989" s="1477"/>
      <c r="BR989" s="1477"/>
      <c r="BS989" s="1477"/>
      <c r="BT989" s="1477"/>
      <c r="BU989" s="1477"/>
      <c r="BV989" s="1477"/>
      <c r="BW989" s="1477"/>
      <c r="BX989" s="1477"/>
      <c r="BY989" s="1477"/>
      <c r="BZ989" s="1477"/>
      <c r="CA989" s="1477"/>
      <c r="CB989" s="1477"/>
      <c r="CC989" s="1477"/>
      <c r="CD989" s="1477"/>
      <c r="CE989" s="1477"/>
      <c r="CF989" s="1477"/>
      <c r="CG989" s="2116">
        <v>3300</v>
      </c>
      <c r="CH989" s="1477"/>
      <c r="CI989" s="1477"/>
      <c r="CJ989" s="1477"/>
      <c r="CK989" s="1477"/>
      <c r="CL989" s="1558"/>
      <c r="CM989" s="1558"/>
      <c r="CN989" s="1558"/>
      <c r="CO989" s="1558"/>
      <c r="CP989" s="1558"/>
      <c r="CQ989" s="1558"/>
      <c r="CR989" s="1558"/>
      <c r="CS989" s="1558"/>
      <c r="CT989" s="1558"/>
      <c r="CU989" s="1558"/>
      <c r="CV989" s="1558"/>
      <c r="CW989" s="1558"/>
      <c r="CY989" s="1558"/>
    </row>
    <row r="990" spans="1:103" ht="16" x14ac:dyDescent="0.15">
      <c r="A990" s="2988" t="s">
        <v>1333</v>
      </c>
      <c r="B990" s="2985" t="s">
        <v>79</v>
      </c>
      <c r="C990" s="2985" t="s">
        <v>80</v>
      </c>
      <c r="D990" s="2985" t="s">
        <v>125</v>
      </c>
      <c r="E990" s="2985" t="s">
        <v>1334</v>
      </c>
      <c r="F990" s="2105" t="s">
        <v>1335</v>
      </c>
      <c r="G990" s="2106" t="s">
        <v>1256</v>
      </c>
      <c r="H990" s="2107">
        <v>10152.7541</v>
      </c>
      <c r="I990" s="1471"/>
      <c r="J990" s="1471"/>
      <c r="K990" s="1471"/>
      <c r="L990" s="1472"/>
      <c r="M990" s="1472"/>
      <c r="N990" s="1472"/>
      <c r="O990" s="1472"/>
      <c r="P990" s="1472"/>
      <c r="Q990" s="1472"/>
      <c r="R990" s="1472"/>
      <c r="S990" s="1472"/>
      <c r="T990" s="1473"/>
      <c r="U990" s="1474"/>
      <c r="V990" s="1474"/>
      <c r="W990" s="2108"/>
      <c r="X990" s="2108"/>
      <c r="Y990" s="2108"/>
      <c r="Z990" s="1476"/>
      <c r="AA990" s="2108"/>
      <c r="AB990" s="2108"/>
      <c r="AC990" s="2109">
        <f t="shared" si="654"/>
        <v>10152.7541</v>
      </c>
      <c r="AD990" s="2110"/>
      <c r="AE990" s="2110"/>
      <c r="AF990" s="2110"/>
      <c r="AG990" s="2110"/>
      <c r="AH990" s="1490">
        <f t="shared" si="653"/>
        <v>10152.7541</v>
      </c>
      <c r="AI990" s="2111">
        <f t="shared" si="652"/>
        <v>0</v>
      </c>
      <c r="AJ990" s="2111"/>
      <c r="AK990" s="2111"/>
      <c r="AL990" s="2111"/>
      <c r="AM990" s="2111"/>
      <c r="AN990" s="2077"/>
      <c r="AO990" s="1471"/>
      <c r="AP990" s="1471"/>
      <c r="AQ990" s="1471"/>
      <c r="AR990" s="1471"/>
      <c r="AS990" s="1476"/>
      <c r="AT990" s="1471"/>
      <c r="AU990" s="1471"/>
      <c r="AV990" s="1471"/>
      <c r="AW990" s="1476"/>
      <c r="AX990" s="1471"/>
      <c r="AY990" s="1471"/>
      <c r="AZ990" s="1471"/>
      <c r="BA990" s="1934"/>
      <c r="BB990" s="1471"/>
      <c r="BC990" s="1471"/>
      <c r="BD990" s="1471"/>
      <c r="BE990" s="1477"/>
      <c r="BF990" s="1471"/>
      <c r="BG990" s="1471"/>
      <c r="BH990" s="1471"/>
      <c r="BI990" s="1477"/>
      <c r="BJ990" s="1471"/>
      <c r="BK990" s="1471"/>
      <c r="BL990" s="1471"/>
      <c r="BM990" s="1477"/>
      <c r="BN990" s="1471"/>
      <c r="BO990" s="1471"/>
      <c r="BP990" s="1471"/>
      <c r="BQ990" s="1477"/>
      <c r="BR990" s="1471"/>
      <c r="BS990" s="1471"/>
      <c r="BT990" s="1471"/>
      <c r="BU990" s="1477"/>
      <c r="BV990" s="1471"/>
      <c r="BW990" s="1471"/>
      <c r="BX990" s="1471"/>
      <c r="BY990" s="1477"/>
      <c r="BZ990" s="1471"/>
      <c r="CA990" s="1471"/>
      <c r="CB990" s="1471"/>
      <c r="CC990" s="1477"/>
      <c r="CD990" s="1471"/>
      <c r="CE990" s="1471"/>
      <c r="CF990" s="1471"/>
      <c r="CG990" s="2112">
        <v>10152.7541</v>
      </c>
      <c r="CH990" s="1477"/>
      <c r="CI990" s="1471"/>
      <c r="CJ990" s="1471"/>
      <c r="CK990" s="1471"/>
    </row>
    <row r="991" spans="1:103" s="1559" customFormat="1" ht="71.25" customHeight="1" x14ac:dyDescent="0.15">
      <c r="A991" s="2989"/>
      <c r="B991" s="2986"/>
      <c r="C991" s="2986"/>
      <c r="D991" s="2986"/>
      <c r="E991" s="2986"/>
      <c r="F991" s="2113" t="s">
        <v>1336</v>
      </c>
      <c r="G991" s="2114" t="s">
        <v>766</v>
      </c>
      <c r="H991" s="2115">
        <v>9247.2458999999999</v>
      </c>
      <c r="I991" s="1477"/>
      <c r="J991" s="1477"/>
      <c r="K991" s="1477"/>
      <c r="L991" s="1472"/>
      <c r="M991" s="1472"/>
      <c r="N991" s="1472"/>
      <c r="O991" s="1472"/>
      <c r="P991" s="1472"/>
      <c r="Q991" s="1472"/>
      <c r="R991" s="1472"/>
      <c r="S991" s="1472"/>
      <c r="T991" s="1477"/>
      <c r="U991" s="1477"/>
      <c r="V991" s="1477"/>
      <c r="W991" s="1477"/>
      <c r="X991" s="1477"/>
      <c r="Y991" s="1477"/>
      <c r="Z991" s="1477"/>
      <c r="AA991" s="1477"/>
      <c r="AB991" s="1477"/>
      <c r="AC991" s="2077">
        <f t="shared" si="654"/>
        <v>9247.2458999999999</v>
      </c>
      <c r="AD991" s="2076"/>
      <c r="AE991" s="2076"/>
      <c r="AF991" s="2076"/>
      <c r="AG991" s="2076"/>
      <c r="AH991" s="1492">
        <f t="shared" si="653"/>
        <v>9247.2458999999999</v>
      </c>
      <c r="AI991" s="2077">
        <f t="shared" si="652"/>
        <v>0</v>
      </c>
      <c r="AJ991" s="2077"/>
      <c r="AK991" s="2077"/>
      <c r="AL991" s="2077"/>
      <c r="AM991" s="2077"/>
      <c r="AN991" s="2077"/>
      <c r="AO991" s="1477"/>
      <c r="AP991" s="1477"/>
      <c r="AQ991" s="1477"/>
      <c r="AR991" s="1477"/>
      <c r="AS991" s="1477"/>
      <c r="AT991" s="1477"/>
      <c r="AU991" s="1477"/>
      <c r="AV991" s="1477"/>
      <c r="AW991" s="1477"/>
      <c r="AX991" s="1477"/>
      <c r="AY991" s="1477"/>
      <c r="AZ991" s="1477"/>
      <c r="BA991" s="1934"/>
      <c r="BB991" s="1477"/>
      <c r="BC991" s="1477"/>
      <c r="BD991" s="1477"/>
      <c r="BE991" s="1477"/>
      <c r="BF991" s="1477"/>
      <c r="BG991" s="1477"/>
      <c r="BH991" s="1477"/>
      <c r="BI991" s="1477"/>
      <c r="BJ991" s="1477"/>
      <c r="BK991" s="1477"/>
      <c r="BL991" s="1477"/>
      <c r="BM991" s="1477"/>
      <c r="BN991" s="1477"/>
      <c r="BO991" s="1477"/>
      <c r="BP991" s="1477"/>
      <c r="BQ991" s="1477"/>
      <c r="BR991" s="1477"/>
      <c r="BS991" s="1477"/>
      <c r="BT991" s="1477"/>
      <c r="BU991" s="1477"/>
      <c r="BV991" s="1477"/>
      <c r="BW991" s="1477"/>
      <c r="BX991" s="1477"/>
      <c r="BY991" s="1477"/>
      <c r="BZ991" s="1477"/>
      <c r="CA991" s="1477"/>
      <c r="CB991" s="1477"/>
      <c r="CC991" s="1477"/>
      <c r="CD991" s="1477"/>
      <c r="CE991" s="1477"/>
      <c r="CF991" s="1477"/>
      <c r="CG991" s="2116">
        <f>3900+5347.2459</f>
        <v>9247.2458999999999</v>
      </c>
      <c r="CH991" s="1477"/>
      <c r="CI991" s="1477"/>
      <c r="CJ991" s="1477"/>
      <c r="CK991" s="1477"/>
      <c r="CL991" s="1558"/>
      <c r="CM991" s="1558"/>
      <c r="CN991" s="1558"/>
      <c r="CO991" s="1558"/>
      <c r="CP991" s="1558"/>
      <c r="CQ991" s="1558"/>
      <c r="CR991" s="1558"/>
      <c r="CS991" s="1558"/>
      <c r="CT991" s="1558"/>
      <c r="CU991" s="1558"/>
      <c r="CV991" s="1558"/>
      <c r="CW991" s="1558"/>
      <c r="CY991" s="1558"/>
    </row>
    <row r="992" spans="1:103" s="1480" customFormat="1" ht="72" x14ac:dyDescent="0.15">
      <c r="A992" s="2072" t="s">
        <v>1337</v>
      </c>
      <c r="B992" s="2118" t="s">
        <v>79</v>
      </c>
      <c r="C992" s="2118" t="s">
        <v>80</v>
      </c>
      <c r="D992" s="2118" t="s">
        <v>125</v>
      </c>
      <c r="E992" s="2118" t="s">
        <v>1282</v>
      </c>
      <c r="F992" s="2121" t="s">
        <v>765</v>
      </c>
      <c r="G992" s="2106" t="s">
        <v>766</v>
      </c>
      <c r="H992" s="2107">
        <v>100</v>
      </c>
      <c r="I992" s="1471"/>
      <c r="J992" s="1471" t="s">
        <v>1338</v>
      </c>
      <c r="K992" s="1471"/>
      <c r="L992" s="1472"/>
      <c r="M992" s="1472"/>
      <c r="N992" s="1472"/>
      <c r="O992" s="1472"/>
      <c r="P992" s="1472"/>
      <c r="Q992" s="1472"/>
      <c r="R992" s="1472"/>
      <c r="S992" s="1472"/>
      <c r="T992" s="1475"/>
      <c r="U992" s="1475"/>
      <c r="V992" s="1475"/>
      <c r="W992" s="1475"/>
      <c r="X992" s="1475"/>
      <c r="Y992" s="1475"/>
      <c r="Z992" s="1475"/>
      <c r="AA992" s="1475"/>
      <c r="AB992" s="1475"/>
      <c r="AC992" s="2122">
        <f t="shared" si="654"/>
        <v>100</v>
      </c>
      <c r="AD992" s="2123"/>
      <c r="AE992" s="2123"/>
      <c r="AF992" s="2123"/>
      <c r="AG992" s="2123"/>
      <c r="AH992" s="2124">
        <f t="shared" si="653"/>
        <v>100</v>
      </c>
      <c r="AI992" s="2122"/>
      <c r="AJ992" s="2122"/>
      <c r="AK992" s="2122"/>
      <c r="AL992" s="2122"/>
      <c r="AM992" s="2122"/>
      <c r="AN992" s="2122"/>
      <c r="AO992" s="1475"/>
      <c r="AP992" s="1475"/>
      <c r="AQ992" s="1475"/>
      <c r="AR992" s="1475"/>
      <c r="AS992" s="1476"/>
      <c r="AT992" s="1475"/>
      <c r="AU992" s="1475"/>
      <c r="AV992" s="1475"/>
      <c r="AW992" s="1475"/>
      <c r="AX992" s="1475"/>
      <c r="AY992" s="1475"/>
      <c r="AZ992" s="1475"/>
      <c r="BA992" s="1934"/>
      <c r="BB992" s="1475"/>
      <c r="BC992" s="1475"/>
      <c r="BD992" s="1475"/>
      <c r="BE992" s="1477"/>
      <c r="BF992" s="1475"/>
      <c r="BG992" s="1475"/>
      <c r="BH992" s="1475"/>
      <c r="BI992" s="1477"/>
      <c r="BJ992" s="1475"/>
      <c r="BK992" s="1475"/>
      <c r="BL992" s="1475"/>
      <c r="BM992" s="1477"/>
      <c r="BN992" s="1475"/>
      <c r="BO992" s="1475"/>
      <c r="BP992" s="1475"/>
      <c r="BQ992" s="1477"/>
      <c r="BR992" s="1475"/>
      <c r="BS992" s="1475"/>
      <c r="BT992" s="1475"/>
      <c r="BU992" s="1477"/>
      <c r="BV992" s="1475"/>
      <c r="BW992" s="1475"/>
      <c r="BX992" s="1475"/>
      <c r="BY992" s="1477"/>
      <c r="BZ992" s="1475"/>
      <c r="CA992" s="1475"/>
      <c r="CB992" s="1475"/>
      <c r="CC992" s="1475"/>
      <c r="CD992" s="1475"/>
      <c r="CE992" s="1475"/>
      <c r="CF992" s="1475"/>
      <c r="CG992" s="1475">
        <v>100</v>
      </c>
      <c r="CH992" s="1475"/>
      <c r="CI992" s="1475"/>
      <c r="CJ992" s="1475"/>
      <c r="CK992" s="1475"/>
      <c r="CL992" s="2125"/>
      <c r="CM992" s="2125"/>
      <c r="CN992" s="2125"/>
      <c r="CO992" s="1481"/>
      <c r="CP992" s="1481"/>
      <c r="CQ992" s="1481"/>
      <c r="CR992" s="1481"/>
      <c r="CS992" s="1481"/>
      <c r="CT992" s="1481"/>
      <c r="CU992" s="1481"/>
      <c r="CV992" s="1481"/>
      <c r="CW992" s="1481"/>
      <c r="CY992" s="1481"/>
    </row>
    <row r="993" spans="1:89" ht="16" x14ac:dyDescent="0.15">
      <c r="A993" s="2126"/>
      <c r="B993" s="2127"/>
      <c r="C993" s="2127"/>
      <c r="D993" s="2127"/>
      <c r="E993" s="2127"/>
      <c r="F993" s="2128"/>
      <c r="G993" s="2129"/>
      <c r="H993" s="2130"/>
      <c r="I993" s="2131"/>
      <c r="J993" s="2131"/>
      <c r="K993" s="2131"/>
      <c r="L993" s="2132"/>
      <c r="M993" s="2132"/>
      <c r="N993" s="2132"/>
      <c r="O993" s="2132"/>
      <c r="P993" s="2132"/>
      <c r="Q993" s="2132"/>
      <c r="R993" s="2132"/>
      <c r="S993" s="2132"/>
      <c r="T993" s="2133"/>
      <c r="U993" s="2134"/>
      <c r="V993" s="2134"/>
      <c r="W993" s="2135"/>
      <c r="X993" s="2135"/>
      <c r="Y993" s="2135"/>
      <c r="Z993" s="2136"/>
      <c r="AA993" s="2135"/>
      <c r="AB993" s="2135"/>
      <c r="AC993" s="2137"/>
      <c r="AD993" s="2138"/>
      <c r="AE993" s="2138"/>
      <c r="AF993" s="2138"/>
      <c r="AG993" s="2138"/>
      <c r="AH993" s="2138"/>
      <c r="AI993" s="2139"/>
      <c r="AJ993" s="2139"/>
      <c r="AK993" s="2139"/>
      <c r="AL993" s="2139"/>
      <c r="AM993" s="2139"/>
      <c r="AN993" s="2043"/>
      <c r="AO993" s="2131"/>
      <c r="AP993" s="2131"/>
      <c r="AQ993" s="2131"/>
      <c r="AR993" s="2131"/>
      <c r="AS993" s="2136"/>
      <c r="AT993" s="2131"/>
      <c r="AU993" s="2131"/>
      <c r="AV993" s="2131"/>
      <c r="AW993" s="2136"/>
      <c r="AX993" s="2131"/>
      <c r="AY993" s="2131"/>
      <c r="AZ993" s="2131"/>
      <c r="BA993" s="1597"/>
      <c r="BB993" s="2131"/>
      <c r="BC993" s="2131"/>
      <c r="BD993" s="2131"/>
      <c r="BE993" s="2140"/>
      <c r="BF993" s="2131"/>
      <c r="BG993" s="2131"/>
      <c r="BH993" s="2131"/>
      <c r="BI993" s="2140"/>
      <c r="BJ993" s="2131"/>
      <c r="BK993" s="2131"/>
      <c r="BL993" s="2131"/>
      <c r="BM993" s="2140"/>
      <c r="BN993" s="2131"/>
      <c r="BO993" s="2131"/>
      <c r="BP993" s="2131"/>
      <c r="BQ993" s="2140"/>
      <c r="BR993" s="2131"/>
      <c r="BS993" s="2131"/>
      <c r="BT993" s="2131"/>
      <c r="BU993" s="2140"/>
      <c r="BV993" s="2131"/>
      <c r="BW993" s="2131"/>
      <c r="BX993" s="2131"/>
      <c r="BY993" s="2140"/>
      <c r="BZ993" s="2131"/>
      <c r="CA993" s="2131"/>
      <c r="CB993" s="2131"/>
      <c r="CC993" s="2140"/>
      <c r="CD993" s="2131"/>
      <c r="CE993" s="2131"/>
      <c r="CF993" s="2131"/>
      <c r="CG993" s="2141"/>
      <c r="CH993" s="2140"/>
      <c r="CI993" s="2131"/>
      <c r="CJ993" s="2131"/>
      <c r="CK993" s="2131"/>
    </row>
    <row r="994" spans="1:89" ht="16" x14ac:dyDescent="0.15">
      <c r="A994" s="2126"/>
      <c r="B994" s="2127"/>
      <c r="C994" s="2127"/>
      <c r="D994" s="2127"/>
      <c r="E994" s="2127"/>
      <c r="F994" s="2128"/>
      <c r="G994" s="2129"/>
      <c r="H994" s="2130">
        <f>H953+H239</f>
        <v>34229.070999999996</v>
      </c>
      <c r="I994" s="2131">
        <f>H985+H984+H983+H982+H979+H978</f>
        <v>19075.96</v>
      </c>
      <c r="J994" s="2131"/>
      <c r="K994" s="2131"/>
      <c r="L994" s="2132"/>
      <c r="M994" s="2132"/>
      <c r="N994" s="2132"/>
      <c r="O994" s="2132"/>
      <c r="P994" s="2132"/>
      <c r="Q994" s="2132"/>
      <c r="R994" s="2132"/>
      <c r="S994" s="2132"/>
      <c r="T994" s="2133"/>
      <c r="U994" s="2134"/>
      <c r="V994" s="2134"/>
      <c r="W994" s="2135"/>
      <c r="X994" s="2135"/>
      <c r="Y994" s="2135"/>
      <c r="Z994" s="2136"/>
      <c r="AA994" s="2135"/>
      <c r="AB994" s="2135"/>
      <c r="AC994" s="2137"/>
      <c r="AD994" s="2138"/>
      <c r="AE994" s="2138"/>
      <c r="AF994" s="2138"/>
      <c r="AG994" s="2138"/>
      <c r="AH994" s="2138"/>
      <c r="AI994" s="2139"/>
      <c r="AJ994" s="2139"/>
      <c r="AK994" s="2139"/>
      <c r="AL994" s="2139"/>
      <c r="AM994" s="2139"/>
      <c r="AN994" s="2043"/>
      <c r="AO994" s="2131"/>
      <c r="AP994" s="2131"/>
      <c r="AQ994" s="2131"/>
      <c r="AR994" s="2131"/>
      <c r="AS994" s="2136"/>
      <c r="AT994" s="2131"/>
      <c r="AU994" s="2131"/>
      <c r="AV994" s="2131"/>
      <c r="AW994" s="2136"/>
      <c r="AX994" s="2131"/>
      <c r="AY994" s="2131"/>
      <c r="AZ994" s="2131"/>
      <c r="BA994" s="1597"/>
      <c r="BB994" s="2131"/>
      <c r="BC994" s="2131"/>
      <c r="BD994" s="2131"/>
      <c r="BE994" s="2140"/>
      <c r="BF994" s="2131"/>
      <c r="BG994" s="2131"/>
      <c r="BH994" s="2131"/>
      <c r="BI994" s="2140"/>
      <c r="BJ994" s="2131"/>
      <c r="BK994" s="2131"/>
      <c r="BL994" s="2131"/>
      <c r="BM994" s="2140"/>
      <c r="BN994" s="2131"/>
      <c r="BO994" s="2131"/>
      <c r="BP994" s="2131"/>
      <c r="BQ994" s="2140"/>
      <c r="BR994" s="2131"/>
      <c r="BS994" s="2131"/>
      <c r="BT994" s="2131"/>
      <c r="BU994" s="2140"/>
      <c r="BV994" s="2131"/>
      <c r="BW994" s="2131"/>
      <c r="BX994" s="2131"/>
      <c r="BY994" s="2140"/>
      <c r="BZ994" s="2131"/>
      <c r="CA994" s="2131"/>
      <c r="CB994" s="2131"/>
      <c r="CC994" s="2140"/>
      <c r="CD994" s="2131"/>
      <c r="CE994" s="2131"/>
      <c r="CF994" s="2131"/>
      <c r="CG994" s="2141"/>
      <c r="CH994" s="2140"/>
      <c r="CI994" s="2131"/>
      <c r="CJ994" s="2131"/>
      <c r="CK994" s="2131"/>
    </row>
    <row r="995" spans="1:89" ht="16" x14ac:dyDescent="0.15">
      <c r="A995" s="2126"/>
      <c r="B995" s="2127"/>
      <c r="C995" s="2127"/>
      <c r="D995" s="2127"/>
      <c r="E995" s="2127"/>
      <c r="F995" s="2128"/>
      <c r="G995" s="2129"/>
      <c r="H995" s="2130">
        <f>H958+H243</f>
        <v>20737.699000000001</v>
      </c>
      <c r="I995" s="2131"/>
      <c r="J995" s="2131"/>
      <c r="K995" s="2131"/>
      <c r="L995" s="2132"/>
      <c r="M995" s="2132"/>
      <c r="N995" s="2132"/>
      <c r="O995" s="2132"/>
      <c r="P995" s="2132"/>
      <c r="Q995" s="2132"/>
      <c r="R995" s="2132"/>
      <c r="S995" s="2132"/>
      <c r="T995" s="2133"/>
      <c r="U995" s="2134"/>
      <c r="V995" s="2134"/>
      <c r="W995" s="2135"/>
      <c r="X995" s="2135"/>
      <c r="Y995" s="2135"/>
      <c r="Z995" s="2136"/>
      <c r="AA995" s="2135"/>
      <c r="AB995" s="2135"/>
      <c r="AC995" s="2137"/>
      <c r="AD995" s="2138"/>
      <c r="AE995" s="2138"/>
      <c r="AF995" s="2138"/>
      <c r="AG995" s="2138"/>
      <c r="AH995" s="2138"/>
      <c r="AI995" s="2139"/>
      <c r="AJ995" s="2139"/>
      <c r="AK995" s="2139"/>
      <c r="AL995" s="2139"/>
      <c r="AM995" s="2139"/>
      <c r="AN995" s="2043"/>
      <c r="AO995" s="2131"/>
      <c r="AP995" s="2131"/>
      <c r="AQ995" s="2131"/>
      <c r="AR995" s="2131"/>
      <c r="AS995" s="2136"/>
      <c r="AT995" s="2131"/>
      <c r="AU995" s="2131"/>
      <c r="AV995" s="2131"/>
      <c r="AW995" s="2136"/>
      <c r="AX995" s="2131"/>
      <c r="AY995" s="2131"/>
      <c r="AZ995" s="2131"/>
      <c r="BA995" s="1597"/>
      <c r="BB995" s="2131"/>
      <c r="BC995" s="2131"/>
      <c r="BD995" s="2131"/>
      <c r="BE995" s="2140"/>
      <c r="BF995" s="2131"/>
      <c r="BG995" s="2131"/>
      <c r="BH995" s="2131"/>
      <c r="BI995" s="2140"/>
      <c r="BJ995" s="2131"/>
      <c r="BK995" s="2131"/>
      <c r="BL995" s="2131"/>
      <c r="BM995" s="2140"/>
      <c r="BN995" s="2131"/>
      <c r="BO995" s="2131"/>
      <c r="BP995" s="2131"/>
      <c r="BQ995" s="2140"/>
      <c r="BR995" s="2131"/>
      <c r="BS995" s="2131"/>
      <c r="BT995" s="2131"/>
      <c r="BU995" s="2140"/>
      <c r="BV995" s="2131"/>
      <c r="BW995" s="2131"/>
      <c r="BX995" s="2131"/>
      <c r="BY995" s="2140"/>
      <c r="BZ995" s="2131"/>
      <c r="CA995" s="2131"/>
      <c r="CB995" s="2131"/>
      <c r="CC995" s="2140"/>
      <c r="CD995" s="2131"/>
      <c r="CE995" s="2131"/>
      <c r="CF995" s="2131"/>
      <c r="CG995" s="2141"/>
      <c r="CH995" s="2140"/>
      <c r="CI995" s="2131"/>
      <c r="CJ995" s="2131"/>
      <c r="CK995" s="2131"/>
    </row>
    <row r="996" spans="1:89" ht="16" x14ac:dyDescent="0.15">
      <c r="A996" s="2126"/>
      <c r="B996" s="2127"/>
      <c r="C996" s="2127"/>
      <c r="D996" s="2127"/>
      <c r="E996" s="2127"/>
      <c r="F996" s="2128"/>
      <c r="G996" s="2129"/>
      <c r="H996" s="2130">
        <f>H959+H244</f>
        <v>5805.1</v>
      </c>
      <c r="I996" s="2131"/>
      <c r="J996" s="2131"/>
      <c r="K996" s="2131"/>
      <c r="L996" s="2132"/>
      <c r="M996" s="2132"/>
      <c r="N996" s="2132"/>
      <c r="O996" s="2132"/>
      <c r="P996" s="2132"/>
      <c r="Q996" s="2132"/>
      <c r="R996" s="2132"/>
      <c r="S996" s="2132"/>
      <c r="T996" s="2133"/>
      <c r="U996" s="2134"/>
      <c r="V996" s="2134"/>
      <c r="W996" s="2135"/>
      <c r="X996" s="2135"/>
      <c r="Y996" s="2135"/>
      <c r="Z996" s="2136"/>
      <c r="AA996" s="2135"/>
      <c r="AB996" s="2135"/>
      <c r="AC996" s="2137"/>
      <c r="AD996" s="2138"/>
      <c r="AE996" s="2138"/>
      <c r="AF996" s="2138"/>
      <c r="AG996" s="2138"/>
      <c r="AH996" s="2138"/>
      <c r="AI996" s="2139"/>
      <c r="AJ996" s="2139"/>
      <c r="AK996" s="2139"/>
      <c r="AL996" s="2139"/>
      <c r="AM996" s="2139"/>
      <c r="AN996" s="2043"/>
      <c r="AO996" s="2131"/>
      <c r="AP996" s="2131"/>
      <c r="AQ996" s="2131"/>
      <c r="AR996" s="2131"/>
      <c r="AS996" s="2136"/>
      <c r="AT996" s="2131"/>
      <c r="AU996" s="2131"/>
      <c r="AV996" s="2131"/>
      <c r="AW996" s="2136"/>
      <c r="AX996" s="2131"/>
      <c r="AY996" s="2131"/>
      <c r="AZ996" s="2131"/>
      <c r="BA996" s="1597"/>
      <c r="BB996" s="2131"/>
      <c r="BC996" s="2131"/>
      <c r="BD996" s="2131"/>
      <c r="BE996" s="2140"/>
      <c r="BF996" s="2131"/>
      <c r="BG996" s="2131"/>
      <c r="BH996" s="2131"/>
      <c r="BI996" s="2140"/>
      <c r="BJ996" s="2131"/>
      <c r="BK996" s="2131"/>
      <c r="BL996" s="2131"/>
      <c r="BM996" s="2140"/>
      <c r="BN996" s="2131"/>
      <c r="BO996" s="2131"/>
      <c r="BP996" s="2131"/>
      <c r="BQ996" s="2140"/>
      <c r="BR996" s="2131"/>
      <c r="BS996" s="2131"/>
      <c r="BT996" s="2131"/>
      <c r="BU996" s="2140"/>
      <c r="BV996" s="2131"/>
      <c r="BW996" s="2131"/>
      <c r="BX996" s="2131"/>
      <c r="BY996" s="2140"/>
      <c r="BZ996" s="2131"/>
      <c r="CA996" s="2131"/>
      <c r="CB996" s="2131"/>
      <c r="CC996" s="2140"/>
      <c r="CD996" s="2131"/>
      <c r="CE996" s="2131"/>
      <c r="CF996" s="2131"/>
      <c r="CG996" s="2141"/>
      <c r="CH996" s="2140"/>
      <c r="CI996" s="2131"/>
      <c r="CJ996" s="2131"/>
      <c r="CK996" s="2131"/>
    </row>
    <row r="997" spans="1:89" ht="16" x14ac:dyDescent="0.15">
      <c r="A997" s="2126"/>
      <c r="B997" s="2127"/>
      <c r="C997" s="2127"/>
      <c r="D997" s="2127"/>
      <c r="E997" s="2127"/>
      <c r="F997" s="2142"/>
      <c r="G997" s="2143"/>
      <c r="H997" s="2130">
        <f>H956+H242</f>
        <v>497.79999999999995</v>
      </c>
      <c r="I997" s="2131"/>
      <c r="J997" s="2131"/>
      <c r="K997" s="2131"/>
      <c r="L997" s="2132"/>
      <c r="M997" s="2132"/>
      <c r="N997" s="2132"/>
      <c r="O997" s="2132"/>
      <c r="P997" s="2132"/>
      <c r="Q997" s="2132"/>
      <c r="R997" s="2132"/>
      <c r="S997" s="2132"/>
      <c r="T997" s="2133"/>
      <c r="U997" s="2134"/>
      <c r="V997" s="2134"/>
      <c r="W997" s="2135"/>
      <c r="X997" s="2135"/>
      <c r="Y997" s="2135"/>
      <c r="Z997" s="2136"/>
      <c r="AA997" s="2135"/>
      <c r="AB997" s="2135"/>
      <c r="AC997" s="2137"/>
      <c r="AD997" s="2138"/>
      <c r="AE997" s="2138"/>
      <c r="AF997" s="2138"/>
      <c r="AG997" s="2138"/>
      <c r="AH997" s="2138"/>
      <c r="AI997" s="2139"/>
      <c r="AJ997" s="2139"/>
      <c r="AK997" s="2139"/>
      <c r="AL997" s="2139"/>
      <c r="AM997" s="2139"/>
      <c r="AN997" s="2043"/>
      <c r="AO997" s="2131"/>
      <c r="AP997" s="2131"/>
      <c r="AQ997" s="2131"/>
      <c r="AR997" s="2131"/>
      <c r="AS997" s="2136"/>
      <c r="AT997" s="2131"/>
      <c r="AU997" s="2131"/>
      <c r="AV997" s="2131"/>
      <c r="AW997" s="2136"/>
      <c r="AX997" s="2131"/>
      <c r="AY997" s="2131"/>
      <c r="AZ997" s="2131"/>
      <c r="BA997" s="1597"/>
      <c r="BB997" s="2131"/>
      <c r="BC997" s="2131"/>
      <c r="BD997" s="2131"/>
      <c r="BE997" s="2140"/>
      <c r="BF997" s="2131"/>
      <c r="BG997" s="2131"/>
      <c r="BH997" s="2131"/>
      <c r="BI997" s="2140"/>
      <c r="BJ997" s="2131"/>
      <c r="BK997" s="2131"/>
      <c r="BL997" s="2131"/>
      <c r="BM997" s="2140"/>
      <c r="BN997" s="2131"/>
      <c r="BO997" s="2131"/>
      <c r="BP997" s="2131"/>
      <c r="BQ997" s="2140"/>
      <c r="BR997" s="2131"/>
      <c r="BS997" s="2131"/>
      <c r="BT997" s="2131"/>
      <c r="BU997" s="2140"/>
      <c r="BV997" s="2131"/>
      <c r="BW997" s="2131"/>
      <c r="BX997" s="2131"/>
      <c r="BY997" s="2140"/>
      <c r="BZ997" s="2131"/>
      <c r="CA997" s="2131"/>
      <c r="CB997" s="2131"/>
      <c r="CC997" s="2140"/>
      <c r="CD997" s="2131"/>
      <c r="CE997" s="2131"/>
      <c r="CF997" s="2131"/>
      <c r="CG997" s="2141"/>
      <c r="CH997" s="2140"/>
      <c r="CI997" s="2131"/>
      <c r="CJ997" s="2131"/>
      <c r="CK997" s="2131"/>
    </row>
    <row r="998" spans="1:89" ht="16" x14ac:dyDescent="0.15">
      <c r="A998" s="2126"/>
      <c r="B998" s="2127"/>
      <c r="C998" s="2127"/>
      <c r="D998" s="2127"/>
      <c r="E998" s="2127"/>
      <c r="F998" s="2142"/>
      <c r="G998" s="2143"/>
      <c r="H998" s="2130">
        <f>H957+H243</f>
        <v>2354.8000000000002</v>
      </c>
      <c r="I998" s="2131"/>
      <c r="J998" s="2131"/>
      <c r="K998" s="2131"/>
      <c r="L998" s="2132"/>
      <c r="M998" s="2132"/>
      <c r="N998" s="2132"/>
      <c r="O998" s="2132"/>
      <c r="P998" s="2132"/>
      <c r="Q998" s="2132"/>
      <c r="R998" s="2132"/>
      <c r="S998" s="2132"/>
      <c r="T998" s="2133"/>
      <c r="U998" s="2134"/>
      <c r="V998" s="2134"/>
      <c r="W998" s="2135"/>
      <c r="X998" s="2135"/>
      <c r="Y998" s="2135"/>
      <c r="Z998" s="2136"/>
      <c r="AA998" s="2135"/>
      <c r="AB998" s="2135"/>
      <c r="AC998" s="2137"/>
      <c r="AD998" s="2138"/>
      <c r="AE998" s="2138"/>
      <c r="AF998" s="2138"/>
      <c r="AG998" s="2138"/>
      <c r="AH998" s="2138"/>
      <c r="AI998" s="2139"/>
      <c r="AJ998" s="2139"/>
      <c r="AK998" s="2139"/>
      <c r="AL998" s="2139"/>
      <c r="AM998" s="2139"/>
      <c r="AN998" s="2043"/>
      <c r="AO998" s="2131"/>
      <c r="AP998" s="2131"/>
      <c r="AQ998" s="2131"/>
      <c r="AR998" s="2131"/>
      <c r="AS998" s="2136"/>
      <c r="AT998" s="2131"/>
      <c r="AU998" s="2131"/>
      <c r="AV998" s="2131"/>
      <c r="AW998" s="2136"/>
      <c r="AX998" s="2131"/>
      <c r="AY998" s="2131"/>
      <c r="AZ998" s="2131"/>
      <c r="BA998" s="1597"/>
      <c r="BB998" s="2131"/>
      <c r="BC998" s="2131"/>
      <c r="BD998" s="2131"/>
      <c r="BE998" s="2140"/>
      <c r="BF998" s="2131"/>
      <c r="BG998" s="2131"/>
      <c r="BH998" s="2131"/>
      <c r="BI998" s="2140"/>
      <c r="BJ998" s="2131"/>
      <c r="BK998" s="2131"/>
      <c r="BL998" s="2131"/>
      <c r="BM998" s="2140"/>
      <c r="BN998" s="2131"/>
      <c r="BO998" s="2131"/>
      <c r="BP998" s="2131"/>
      <c r="BQ998" s="2140"/>
      <c r="BR998" s="2131"/>
      <c r="BS998" s="2131"/>
      <c r="BT998" s="2131"/>
      <c r="BU998" s="2140"/>
      <c r="BV998" s="2131"/>
      <c r="BW998" s="2131"/>
      <c r="BX998" s="2131"/>
      <c r="BY998" s="2140"/>
      <c r="BZ998" s="2131"/>
      <c r="CA998" s="2131"/>
      <c r="CB998" s="2131"/>
      <c r="CC998" s="2140"/>
      <c r="CD998" s="2131"/>
      <c r="CE998" s="2131"/>
      <c r="CF998" s="2131"/>
      <c r="CG998" s="2141"/>
      <c r="CH998" s="2140"/>
      <c r="CI998" s="2131"/>
      <c r="CJ998" s="2131"/>
      <c r="CK998" s="2131"/>
    </row>
    <row r="999" spans="1:89" ht="16" x14ac:dyDescent="0.15">
      <c r="A999" s="2126"/>
      <c r="B999" s="2127"/>
      <c r="C999" s="2127"/>
      <c r="D999" s="2127"/>
      <c r="E999" s="2127"/>
      <c r="F999" s="2142"/>
      <c r="G999" s="2143"/>
      <c r="H999" s="2130">
        <f>H958+H244</f>
        <v>19093.999</v>
      </c>
      <c r="I999" s="2131"/>
      <c r="J999" s="2131"/>
      <c r="K999" s="2131"/>
      <c r="L999" s="2132"/>
      <c r="M999" s="2132"/>
      <c r="N999" s="2132"/>
      <c r="O999" s="2132"/>
      <c r="P999" s="2132"/>
      <c r="Q999" s="2132"/>
      <c r="R999" s="2132"/>
      <c r="S999" s="2132"/>
      <c r="T999" s="2133"/>
      <c r="U999" s="2134"/>
      <c r="V999" s="2134"/>
      <c r="W999" s="2135"/>
      <c r="X999" s="2135"/>
      <c r="Y999" s="2135"/>
      <c r="Z999" s="2136"/>
      <c r="AA999" s="2135"/>
      <c r="AB999" s="2135"/>
      <c r="AC999" s="2137"/>
      <c r="AD999" s="2138"/>
      <c r="AE999" s="2138"/>
      <c r="AF999" s="2138"/>
      <c r="AG999" s="2138"/>
      <c r="AH999" s="2138"/>
      <c r="AI999" s="2139"/>
      <c r="AJ999" s="2139"/>
      <c r="AK999" s="2139"/>
      <c r="AL999" s="2139"/>
      <c r="AM999" s="2139"/>
      <c r="AN999" s="2043"/>
      <c r="AO999" s="2131"/>
      <c r="AP999" s="2131"/>
      <c r="AQ999" s="2131"/>
      <c r="AR999" s="2131"/>
      <c r="AS999" s="2136"/>
      <c r="AT999" s="2131"/>
      <c r="AU999" s="2131"/>
      <c r="AV999" s="2131"/>
      <c r="AW999" s="2136"/>
      <c r="AX999" s="2131"/>
      <c r="AY999" s="2131"/>
      <c r="AZ999" s="2131"/>
      <c r="BA999" s="1597"/>
      <c r="BB999" s="2131"/>
      <c r="BC999" s="2131"/>
      <c r="BD999" s="2131"/>
      <c r="BE999" s="2140"/>
      <c r="BF999" s="2131"/>
      <c r="BG999" s="2131"/>
      <c r="BH999" s="2131"/>
      <c r="BI999" s="2140"/>
      <c r="BJ999" s="2131"/>
      <c r="BK999" s="2131"/>
      <c r="BL999" s="2131"/>
      <c r="BM999" s="2140"/>
      <c r="BN999" s="2131"/>
      <c r="BO999" s="2131"/>
      <c r="BP999" s="2131"/>
      <c r="BQ999" s="2140"/>
      <c r="BR999" s="2131"/>
      <c r="BS999" s="2131"/>
      <c r="BT999" s="2131"/>
      <c r="BU999" s="2140"/>
      <c r="BV999" s="2131"/>
      <c r="BW999" s="2131"/>
      <c r="BX999" s="2131"/>
      <c r="BY999" s="2140"/>
      <c r="BZ999" s="2131"/>
      <c r="CA999" s="2131"/>
      <c r="CB999" s="2131"/>
      <c r="CC999" s="2140"/>
      <c r="CD999" s="2131"/>
      <c r="CE999" s="2131"/>
      <c r="CF999" s="2131"/>
      <c r="CG999" s="2141"/>
      <c r="CH999" s="2140"/>
      <c r="CI999" s="2131"/>
      <c r="CJ999" s="2131"/>
      <c r="CK999" s="2131"/>
    </row>
    <row r="1000" spans="1:89" ht="16" x14ac:dyDescent="0.15">
      <c r="A1000" s="2126"/>
      <c r="B1000" s="2127"/>
      <c r="C1000" s="2127"/>
      <c r="D1000" s="2127"/>
      <c r="E1000" s="2127"/>
      <c r="F1000" s="2142"/>
      <c r="G1000" s="2143"/>
      <c r="H1000" s="2144"/>
      <c r="I1000" s="2131"/>
      <c r="J1000" s="2131"/>
      <c r="K1000" s="2131"/>
      <c r="L1000" s="2132"/>
      <c r="M1000" s="2132"/>
      <c r="N1000" s="2132"/>
      <c r="O1000" s="2132"/>
      <c r="P1000" s="2132"/>
      <c r="Q1000" s="2132"/>
      <c r="R1000" s="2132"/>
      <c r="S1000" s="2132"/>
      <c r="T1000" s="2133"/>
      <c r="U1000" s="2134"/>
      <c r="V1000" s="2134"/>
      <c r="W1000" s="2135"/>
      <c r="X1000" s="2135"/>
      <c r="Y1000" s="2135"/>
      <c r="Z1000" s="2136"/>
      <c r="AA1000" s="2135"/>
      <c r="AB1000" s="2135"/>
      <c r="AC1000" s="2137"/>
      <c r="AD1000" s="2138"/>
      <c r="AE1000" s="2138"/>
      <c r="AF1000" s="2138"/>
      <c r="AG1000" s="2138"/>
      <c r="AH1000" s="2138"/>
      <c r="AI1000" s="2139"/>
      <c r="AJ1000" s="2139"/>
      <c r="AK1000" s="2139"/>
      <c r="AL1000" s="2139"/>
      <c r="AM1000" s="2139"/>
      <c r="AN1000" s="2043"/>
      <c r="AO1000" s="2131"/>
      <c r="AP1000" s="2131"/>
      <c r="AQ1000" s="2131"/>
      <c r="AR1000" s="2131"/>
      <c r="AS1000" s="2136"/>
      <c r="AT1000" s="2131"/>
      <c r="AU1000" s="2131"/>
      <c r="AV1000" s="2131"/>
      <c r="AW1000" s="2136"/>
      <c r="AX1000" s="2131"/>
      <c r="AY1000" s="2131"/>
      <c r="AZ1000" s="2131"/>
      <c r="BA1000" s="1597"/>
      <c r="BB1000" s="2131"/>
      <c r="BC1000" s="2131"/>
      <c r="BD1000" s="2131"/>
      <c r="BE1000" s="2140"/>
      <c r="BF1000" s="2131"/>
      <c r="BG1000" s="2131"/>
      <c r="BH1000" s="2131"/>
      <c r="BI1000" s="2140"/>
      <c r="BJ1000" s="2131"/>
      <c r="BK1000" s="2131"/>
      <c r="BL1000" s="2131"/>
      <c r="BM1000" s="2140"/>
      <c r="BN1000" s="2131"/>
      <c r="BO1000" s="2131"/>
      <c r="BP1000" s="2131"/>
      <c r="BQ1000" s="2140"/>
      <c r="BR1000" s="2131"/>
      <c r="BS1000" s="2131"/>
      <c r="BT1000" s="2131"/>
      <c r="BU1000" s="2140"/>
      <c r="BV1000" s="2131"/>
      <c r="BW1000" s="2131"/>
      <c r="BX1000" s="2131"/>
      <c r="BY1000" s="2140"/>
      <c r="BZ1000" s="2131"/>
      <c r="CA1000" s="2131"/>
      <c r="CB1000" s="2131"/>
      <c r="CC1000" s="2140"/>
      <c r="CD1000" s="2131"/>
      <c r="CE1000" s="2131"/>
      <c r="CF1000" s="2131"/>
      <c r="CG1000" s="2141"/>
      <c r="CH1000" s="2140"/>
      <c r="CI1000" s="2131"/>
      <c r="CJ1000" s="2131"/>
      <c r="CK1000" s="2131"/>
    </row>
    <row r="1001" spans="1:89" ht="16" x14ac:dyDescent="0.15">
      <c r="A1001" s="2126"/>
      <c r="B1001" s="2127"/>
      <c r="C1001" s="2127"/>
      <c r="D1001" s="2127"/>
      <c r="E1001" s="2127"/>
      <c r="F1001" s="2142"/>
      <c r="G1001" s="2143"/>
      <c r="H1001" s="2144"/>
      <c r="I1001" s="2131"/>
      <c r="J1001" s="2131"/>
      <c r="K1001" s="2131"/>
      <c r="L1001" s="2132"/>
      <c r="M1001" s="2132"/>
      <c r="N1001" s="2132"/>
      <c r="O1001" s="2132"/>
      <c r="P1001" s="2132"/>
      <c r="Q1001" s="2132"/>
      <c r="R1001" s="2132"/>
      <c r="S1001" s="2132"/>
      <c r="T1001" s="2133"/>
      <c r="U1001" s="2134"/>
      <c r="V1001" s="2134"/>
      <c r="W1001" s="2135"/>
      <c r="X1001" s="2135"/>
      <c r="Y1001" s="2135"/>
      <c r="Z1001" s="2136"/>
      <c r="AA1001" s="2135"/>
      <c r="AB1001" s="2135"/>
      <c r="AC1001" s="2137"/>
      <c r="AD1001" s="2138"/>
      <c r="AE1001" s="2138"/>
      <c r="AF1001" s="2138"/>
      <c r="AG1001" s="2138"/>
      <c r="AH1001" s="2138"/>
      <c r="AI1001" s="2139"/>
      <c r="AJ1001" s="2139"/>
      <c r="AK1001" s="2139"/>
      <c r="AL1001" s="2139"/>
      <c r="AM1001" s="2139"/>
      <c r="AN1001" s="2043"/>
      <c r="AO1001" s="2131"/>
      <c r="AP1001" s="2131"/>
      <c r="AQ1001" s="2131"/>
      <c r="AR1001" s="2131"/>
      <c r="AS1001" s="2136"/>
      <c r="AT1001" s="2131"/>
      <c r="AU1001" s="2131"/>
      <c r="AV1001" s="2131"/>
      <c r="AW1001" s="2136"/>
      <c r="AX1001" s="2131"/>
      <c r="AY1001" s="2131"/>
      <c r="AZ1001" s="2131"/>
      <c r="BA1001" s="1597"/>
      <c r="BB1001" s="2131"/>
      <c r="BC1001" s="2131"/>
      <c r="BD1001" s="2131"/>
      <c r="BE1001" s="2140"/>
      <c r="BF1001" s="2131"/>
      <c r="BG1001" s="2131"/>
      <c r="BH1001" s="2131"/>
      <c r="BI1001" s="2140"/>
      <c r="BJ1001" s="2131"/>
      <c r="BK1001" s="2131"/>
      <c r="BL1001" s="2131"/>
      <c r="BM1001" s="2140"/>
      <c r="BN1001" s="2131"/>
      <c r="BO1001" s="2131"/>
      <c r="BP1001" s="2131"/>
      <c r="BQ1001" s="2140"/>
      <c r="BR1001" s="2131"/>
      <c r="BS1001" s="2131"/>
      <c r="BT1001" s="2131"/>
      <c r="BU1001" s="2140"/>
      <c r="BV1001" s="2131"/>
      <c r="BW1001" s="2131"/>
      <c r="BX1001" s="2131"/>
      <c r="BY1001" s="2140"/>
      <c r="BZ1001" s="2131"/>
      <c r="CA1001" s="2131"/>
      <c r="CB1001" s="2131"/>
      <c r="CC1001" s="2140"/>
      <c r="CD1001" s="2131"/>
      <c r="CE1001" s="2131"/>
      <c r="CF1001" s="2131"/>
      <c r="CG1001" s="2141"/>
      <c r="CH1001" s="2140"/>
      <c r="CI1001" s="2131"/>
      <c r="CJ1001" s="2131"/>
      <c r="CK1001" s="2131"/>
    </row>
    <row r="1002" spans="1:89" ht="16" x14ac:dyDescent="0.15">
      <c r="A1002" s="2126"/>
      <c r="B1002" s="2127"/>
      <c r="C1002" s="2127"/>
      <c r="D1002" s="2127"/>
      <c r="E1002" s="2127"/>
      <c r="F1002" s="2142"/>
      <c r="G1002" s="2143"/>
      <c r="H1002" s="2144">
        <f>H7-H985-H984-H983-H982-H979-H978-H8</f>
        <v>1475980.1330500001</v>
      </c>
      <c r="I1002" s="2131"/>
      <c r="J1002" s="2131"/>
      <c r="K1002" s="2131"/>
      <c r="L1002" s="2132"/>
      <c r="M1002" s="2132"/>
      <c r="N1002" s="2132"/>
      <c r="O1002" s="2132"/>
      <c r="P1002" s="2132"/>
      <c r="Q1002" s="2132"/>
      <c r="R1002" s="2132"/>
      <c r="S1002" s="2132"/>
      <c r="T1002" s="2133"/>
      <c r="U1002" s="2134"/>
      <c r="V1002" s="2134"/>
      <c r="W1002" s="2135"/>
      <c r="X1002" s="2135"/>
      <c r="Y1002" s="2135"/>
      <c r="Z1002" s="2136"/>
      <c r="AA1002" s="2135"/>
      <c r="AB1002" s="2135"/>
      <c r="AC1002" s="2137"/>
      <c r="AD1002" s="2138"/>
      <c r="AE1002" s="2138"/>
      <c r="AF1002" s="2138"/>
      <c r="AG1002" s="2138"/>
      <c r="AH1002" s="2138"/>
      <c r="AI1002" s="2139"/>
      <c r="AJ1002" s="2139"/>
      <c r="AK1002" s="2139"/>
      <c r="AL1002" s="2139"/>
      <c r="AM1002" s="2139"/>
      <c r="AN1002" s="2043"/>
      <c r="AO1002" s="2131"/>
      <c r="AP1002" s="2131"/>
      <c r="AQ1002" s="2131"/>
      <c r="AR1002" s="2131"/>
      <c r="AS1002" s="2136"/>
      <c r="AT1002" s="2131"/>
      <c r="AU1002" s="2131"/>
      <c r="AV1002" s="2131"/>
      <c r="AW1002" s="2136"/>
      <c r="AX1002" s="2131"/>
      <c r="AY1002" s="2131"/>
      <c r="AZ1002" s="2131"/>
      <c r="BA1002" s="1597"/>
      <c r="BB1002" s="2131"/>
      <c r="BC1002" s="2131"/>
      <c r="BD1002" s="2131"/>
      <c r="BE1002" s="2140"/>
      <c r="BF1002" s="2131"/>
      <c r="BG1002" s="2131"/>
      <c r="BH1002" s="2131"/>
      <c r="BI1002" s="2140"/>
      <c r="BJ1002" s="2131"/>
      <c r="BK1002" s="2131"/>
      <c r="BL1002" s="2131"/>
      <c r="BM1002" s="2140"/>
      <c r="BN1002" s="2131"/>
      <c r="BO1002" s="2131"/>
      <c r="BP1002" s="2131"/>
      <c r="BQ1002" s="2140"/>
      <c r="BR1002" s="2131"/>
      <c r="BS1002" s="2131"/>
      <c r="BT1002" s="2131"/>
      <c r="BU1002" s="2140"/>
      <c r="BV1002" s="2131"/>
      <c r="BW1002" s="2131"/>
      <c r="BX1002" s="2131"/>
      <c r="BY1002" s="2140"/>
      <c r="BZ1002" s="2131"/>
      <c r="CA1002" s="2131"/>
      <c r="CB1002" s="2131"/>
      <c r="CC1002" s="2140"/>
      <c r="CD1002" s="2131"/>
      <c r="CE1002" s="2131"/>
      <c r="CF1002" s="2131"/>
      <c r="CG1002" s="2141"/>
      <c r="CH1002" s="2140"/>
      <c r="CI1002" s="2131"/>
      <c r="CJ1002" s="2131"/>
      <c r="CK1002" s="2131"/>
    </row>
    <row r="1003" spans="1:89" ht="16" x14ac:dyDescent="0.15">
      <c r="A1003" s="2126"/>
      <c r="B1003" s="2127"/>
      <c r="C1003" s="2127"/>
      <c r="D1003" s="2127"/>
      <c r="E1003" s="2127"/>
      <c r="F1003" s="2142"/>
      <c r="G1003" s="2143"/>
      <c r="H1003" s="2144"/>
      <c r="I1003" s="2131"/>
      <c r="J1003" s="2131"/>
      <c r="K1003" s="2131"/>
      <c r="L1003" s="2132"/>
      <c r="M1003" s="2132"/>
      <c r="N1003" s="2132"/>
      <c r="O1003" s="2132"/>
      <c r="P1003" s="2132"/>
      <c r="Q1003" s="2132"/>
      <c r="R1003" s="2132"/>
      <c r="S1003" s="2132"/>
      <c r="T1003" s="2133"/>
      <c r="U1003" s="2134"/>
      <c r="V1003" s="2134"/>
      <c r="W1003" s="2135"/>
      <c r="X1003" s="2135"/>
      <c r="Y1003" s="2135"/>
      <c r="Z1003" s="2136"/>
      <c r="AA1003" s="2135"/>
      <c r="AB1003" s="2135"/>
      <c r="AC1003" s="2137"/>
      <c r="AD1003" s="2138"/>
      <c r="AE1003" s="2138"/>
      <c r="AF1003" s="2138"/>
      <c r="AG1003" s="2138"/>
      <c r="AH1003" s="2138"/>
      <c r="AI1003" s="2139"/>
      <c r="AJ1003" s="2139"/>
      <c r="AK1003" s="2139"/>
      <c r="AL1003" s="2139"/>
      <c r="AM1003" s="2139"/>
      <c r="AN1003" s="2043"/>
      <c r="AO1003" s="2131"/>
      <c r="AP1003" s="2131"/>
      <c r="AQ1003" s="2131"/>
      <c r="AR1003" s="2131"/>
      <c r="AS1003" s="2136"/>
      <c r="AT1003" s="2131"/>
      <c r="AU1003" s="2131"/>
      <c r="AV1003" s="2131"/>
      <c r="AW1003" s="2136"/>
      <c r="AX1003" s="2131"/>
      <c r="AY1003" s="2131"/>
      <c r="AZ1003" s="2131"/>
      <c r="BA1003" s="1597"/>
      <c r="BB1003" s="2131"/>
      <c r="BC1003" s="2131"/>
      <c r="BD1003" s="2131"/>
      <c r="BE1003" s="2140"/>
      <c r="BF1003" s="2131"/>
      <c r="BG1003" s="2131"/>
      <c r="BH1003" s="2131"/>
      <c r="BI1003" s="2140"/>
      <c r="BJ1003" s="2131"/>
      <c r="BK1003" s="2131"/>
      <c r="BL1003" s="2131"/>
      <c r="BM1003" s="2140"/>
      <c r="BN1003" s="2131"/>
      <c r="BO1003" s="2131"/>
      <c r="BP1003" s="2131"/>
      <c r="BQ1003" s="2140"/>
      <c r="BR1003" s="2131"/>
      <c r="BS1003" s="2131"/>
      <c r="BT1003" s="2131"/>
      <c r="BU1003" s="2140"/>
      <c r="BV1003" s="2131"/>
      <c r="BW1003" s="2131"/>
      <c r="BX1003" s="2131"/>
      <c r="BY1003" s="2140"/>
      <c r="BZ1003" s="2131"/>
      <c r="CA1003" s="2131"/>
      <c r="CB1003" s="2131"/>
      <c r="CC1003" s="2140"/>
      <c r="CD1003" s="2131"/>
      <c r="CE1003" s="2131"/>
      <c r="CF1003" s="2131"/>
      <c r="CG1003" s="2141"/>
      <c r="CH1003" s="2140"/>
      <c r="CI1003" s="2131"/>
      <c r="CJ1003" s="2131"/>
      <c r="CK1003" s="2131"/>
    </row>
    <row r="1004" spans="1:89" ht="16" x14ac:dyDescent="0.15">
      <c r="A1004" s="2126"/>
      <c r="B1004" s="2127"/>
      <c r="C1004" s="2127"/>
      <c r="D1004" s="2127"/>
      <c r="E1004" s="2127"/>
      <c r="F1004" s="2142"/>
      <c r="G1004" s="2143"/>
      <c r="H1004" s="2144"/>
      <c r="I1004" s="2131"/>
      <c r="J1004" s="2131"/>
      <c r="K1004" s="2131"/>
      <c r="L1004" s="2132"/>
      <c r="M1004" s="2132"/>
      <c r="N1004" s="2132"/>
      <c r="O1004" s="2132"/>
      <c r="P1004" s="2132"/>
      <c r="Q1004" s="2132"/>
      <c r="R1004" s="2132"/>
      <c r="S1004" s="2132"/>
      <c r="T1004" s="2133"/>
      <c r="U1004" s="2134"/>
      <c r="V1004" s="2134"/>
      <c r="W1004" s="2135"/>
      <c r="X1004" s="2135"/>
      <c r="Y1004" s="2135"/>
      <c r="Z1004" s="2136"/>
      <c r="AA1004" s="2135"/>
      <c r="AB1004" s="2135"/>
      <c r="AC1004" s="2137"/>
      <c r="AD1004" s="2138"/>
      <c r="AE1004" s="2138"/>
      <c r="AF1004" s="2138"/>
      <c r="AG1004" s="2138"/>
      <c r="AH1004" s="2138"/>
      <c r="AI1004" s="2139"/>
      <c r="AJ1004" s="2139"/>
      <c r="AK1004" s="2139"/>
      <c r="AL1004" s="2139"/>
      <c r="AM1004" s="2139"/>
      <c r="AN1004" s="2043"/>
      <c r="AO1004" s="2131"/>
      <c r="AP1004" s="2131"/>
      <c r="AQ1004" s="2131"/>
      <c r="AR1004" s="2131"/>
      <c r="AS1004" s="2136"/>
      <c r="AT1004" s="2131"/>
      <c r="AU1004" s="2131"/>
      <c r="AV1004" s="2131"/>
      <c r="AW1004" s="2136"/>
      <c r="AX1004" s="2131"/>
      <c r="AY1004" s="2131"/>
      <c r="AZ1004" s="2131"/>
      <c r="BA1004" s="1597"/>
      <c r="BB1004" s="2131"/>
      <c r="BC1004" s="2131"/>
      <c r="BD1004" s="2131"/>
      <c r="BE1004" s="2140"/>
      <c r="BF1004" s="2131"/>
      <c r="BG1004" s="2131"/>
      <c r="BH1004" s="2131"/>
      <c r="BI1004" s="2140"/>
      <c r="BJ1004" s="2131"/>
      <c r="BK1004" s="2131"/>
      <c r="BL1004" s="2131"/>
      <c r="BM1004" s="2140"/>
      <c r="BN1004" s="2131"/>
      <c r="BO1004" s="2131"/>
      <c r="BP1004" s="2131"/>
      <c r="BQ1004" s="2140"/>
      <c r="BR1004" s="2131"/>
      <c r="BS1004" s="2131"/>
      <c r="BT1004" s="2131"/>
      <c r="BU1004" s="2140"/>
      <c r="BV1004" s="2131"/>
      <c r="BW1004" s="2131"/>
      <c r="BX1004" s="2131"/>
      <c r="BY1004" s="2140"/>
      <c r="BZ1004" s="2131"/>
      <c r="CA1004" s="2131"/>
      <c r="CB1004" s="2131"/>
      <c r="CC1004" s="2140"/>
      <c r="CD1004" s="2131"/>
      <c r="CE1004" s="2131"/>
      <c r="CF1004" s="2131"/>
      <c r="CG1004" s="2141"/>
      <c r="CH1004" s="2140"/>
      <c r="CI1004" s="2131"/>
      <c r="CJ1004" s="2131"/>
      <c r="CK1004" s="2131"/>
    </row>
    <row r="1005" spans="1:89" ht="16" x14ac:dyDescent="0.15">
      <c r="A1005" s="2126"/>
      <c r="B1005" s="2127"/>
      <c r="C1005" s="2127"/>
      <c r="D1005" s="2127"/>
      <c r="E1005" s="2127"/>
      <c r="F1005" s="2142"/>
      <c r="G1005" s="2143"/>
      <c r="H1005" s="2144"/>
      <c r="I1005" s="2131"/>
      <c r="J1005" s="2131"/>
      <c r="K1005" s="2131"/>
      <c r="L1005" s="2132"/>
      <c r="M1005" s="2132"/>
      <c r="N1005" s="2132"/>
      <c r="O1005" s="2132"/>
      <c r="P1005" s="2132"/>
      <c r="Q1005" s="2132"/>
      <c r="R1005" s="2132"/>
      <c r="S1005" s="2132"/>
      <c r="T1005" s="2133"/>
      <c r="U1005" s="2134"/>
      <c r="V1005" s="2134"/>
      <c r="W1005" s="2135"/>
      <c r="X1005" s="2135"/>
      <c r="Y1005" s="2135"/>
      <c r="Z1005" s="2136"/>
      <c r="AA1005" s="2135"/>
      <c r="AB1005" s="2135"/>
      <c r="AC1005" s="2137"/>
      <c r="AD1005" s="2138"/>
      <c r="AE1005" s="2138"/>
      <c r="AF1005" s="2138"/>
      <c r="AG1005" s="2138"/>
      <c r="AH1005" s="2138"/>
      <c r="AI1005" s="2139"/>
      <c r="AJ1005" s="2139"/>
      <c r="AK1005" s="2139"/>
      <c r="AL1005" s="2139"/>
      <c r="AM1005" s="2139"/>
      <c r="AN1005" s="2043"/>
      <c r="AO1005" s="2131"/>
      <c r="AP1005" s="2131"/>
      <c r="AQ1005" s="2131"/>
      <c r="AR1005" s="2131"/>
      <c r="AS1005" s="2136"/>
      <c r="AT1005" s="2131"/>
      <c r="AU1005" s="2131"/>
      <c r="AV1005" s="2131"/>
      <c r="AW1005" s="2136"/>
      <c r="AX1005" s="2131"/>
      <c r="AY1005" s="2131"/>
      <c r="AZ1005" s="2131"/>
      <c r="BA1005" s="1597"/>
      <c r="BB1005" s="2131"/>
      <c r="BC1005" s="2131"/>
      <c r="BD1005" s="2131"/>
      <c r="BE1005" s="2140"/>
      <c r="BF1005" s="2131"/>
      <c r="BG1005" s="2131"/>
      <c r="BH1005" s="2131"/>
      <c r="BI1005" s="2140"/>
      <c r="BJ1005" s="2131"/>
      <c r="BK1005" s="2131"/>
      <c r="BL1005" s="2131"/>
      <c r="BM1005" s="2140"/>
      <c r="BN1005" s="2131"/>
      <c r="BO1005" s="2131"/>
      <c r="BP1005" s="2131"/>
      <c r="BQ1005" s="2140"/>
      <c r="BR1005" s="2131"/>
      <c r="BS1005" s="2131"/>
      <c r="BT1005" s="2131"/>
      <c r="BU1005" s="2140"/>
      <c r="BV1005" s="2131"/>
      <c r="BW1005" s="2131"/>
      <c r="BX1005" s="2131"/>
      <c r="BY1005" s="2140"/>
      <c r="BZ1005" s="2131"/>
      <c r="CA1005" s="2131"/>
      <c r="CB1005" s="2131"/>
      <c r="CC1005" s="2140"/>
      <c r="CD1005" s="2131"/>
      <c r="CE1005" s="2131"/>
      <c r="CF1005" s="2131"/>
      <c r="CG1005" s="2141"/>
      <c r="CH1005" s="2140"/>
      <c r="CI1005" s="2131"/>
      <c r="CJ1005" s="2131"/>
      <c r="CK1005" s="2131"/>
    </row>
    <row r="1006" spans="1:89" x14ac:dyDescent="0.15">
      <c r="A1006" s="2145"/>
      <c r="B1006" s="2146"/>
      <c r="C1006" s="2146"/>
      <c r="D1006" s="2146"/>
      <c r="E1006" s="2146"/>
      <c r="F1006" s="2146"/>
      <c r="G1006" s="2146"/>
      <c r="H1006" s="2131"/>
      <c r="I1006" s="2131"/>
      <c r="J1006" s="2131"/>
      <c r="K1006" s="2131"/>
      <c r="L1006" s="2132"/>
      <c r="M1006" s="2132"/>
      <c r="N1006" s="2132"/>
      <c r="O1006" s="2132"/>
      <c r="P1006" s="2132"/>
      <c r="Q1006" s="2132"/>
      <c r="R1006" s="2132"/>
      <c r="S1006" s="2132"/>
      <c r="T1006" s="2133"/>
      <c r="U1006" s="2134"/>
      <c r="V1006" s="2134"/>
      <c r="W1006" s="2135"/>
      <c r="X1006" s="2135"/>
      <c r="Y1006" s="2135"/>
      <c r="Z1006" s="2136"/>
      <c r="AA1006" s="2135"/>
      <c r="AB1006" s="2135"/>
      <c r="AC1006" s="2147"/>
      <c r="AD1006" s="2147"/>
      <c r="AE1006" s="2147"/>
      <c r="AF1006" s="2147"/>
      <c r="AG1006" s="2147"/>
      <c r="AH1006" s="2147"/>
      <c r="AI1006" s="2148"/>
      <c r="AJ1006" s="2148"/>
      <c r="AK1006" s="2148"/>
      <c r="AL1006" s="2148"/>
      <c r="AM1006" s="2148"/>
      <c r="AN1006" s="2140"/>
      <c r="AO1006" s="2131"/>
      <c r="AP1006" s="2131"/>
      <c r="AQ1006" s="2131"/>
      <c r="AR1006" s="2131"/>
      <c r="AS1006" s="2136"/>
      <c r="AT1006" s="2131"/>
      <c r="AU1006" s="2131"/>
      <c r="AV1006" s="2131"/>
      <c r="AW1006" s="2136"/>
      <c r="AX1006" s="2131"/>
      <c r="AY1006" s="2131"/>
      <c r="AZ1006" s="2131"/>
      <c r="BA1006" s="2140"/>
      <c r="BB1006" s="2131"/>
      <c r="BC1006" s="2131"/>
      <c r="BD1006" s="2131"/>
      <c r="BE1006" s="2140"/>
      <c r="BF1006" s="2131"/>
      <c r="BG1006" s="2131"/>
      <c r="BH1006" s="2131"/>
      <c r="BI1006" s="2140"/>
      <c r="BJ1006" s="2131"/>
      <c r="BK1006" s="2131"/>
      <c r="BL1006" s="2131"/>
      <c r="BM1006" s="2140"/>
      <c r="BN1006" s="2131"/>
      <c r="BO1006" s="2131"/>
      <c r="BP1006" s="2131"/>
      <c r="BQ1006" s="2140"/>
      <c r="BR1006" s="2131"/>
      <c r="BS1006" s="2131"/>
      <c r="BT1006" s="2131"/>
      <c r="BU1006" s="2140"/>
      <c r="BV1006" s="2131"/>
      <c r="BW1006" s="2131"/>
      <c r="BX1006" s="2131"/>
      <c r="BY1006" s="2140"/>
      <c r="BZ1006" s="2131"/>
      <c r="CA1006" s="2131"/>
      <c r="CB1006" s="2131"/>
      <c r="CC1006" s="2140"/>
      <c r="CD1006" s="2131"/>
      <c r="CE1006" s="2131"/>
      <c r="CF1006" s="2131"/>
      <c r="CG1006" s="2141"/>
      <c r="CH1006" s="2140"/>
      <c r="CI1006" s="2131"/>
      <c r="CJ1006" s="2131"/>
      <c r="CK1006" s="2131"/>
    </row>
    <row r="1007" spans="1:89" x14ac:dyDescent="0.15">
      <c r="A1007" s="2987" t="s">
        <v>1195</v>
      </c>
      <c r="B1007" s="2987"/>
      <c r="C1007" s="2987"/>
      <c r="D1007" s="2987"/>
      <c r="E1007" s="2987"/>
      <c r="F1007" s="2987"/>
      <c r="G1007" s="2987"/>
      <c r="H1007" s="2987"/>
    </row>
    <row r="1008" spans="1:89" x14ac:dyDescent="0.15">
      <c r="A1008" s="2987" t="s">
        <v>804</v>
      </c>
      <c r="B1008" s="2987"/>
      <c r="C1008" s="2987"/>
      <c r="D1008" s="2987"/>
      <c r="E1008" s="2987"/>
      <c r="F1008" s="2987"/>
      <c r="G1008" s="2987"/>
      <c r="H1008" s="2987"/>
    </row>
    <row r="1009" spans="1:85" x14ac:dyDescent="0.15">
      <c r="A1009" s="2150"/>
      <c r="B1009" s="2151"/>
      <c r="C1009" s="2151"/>
      <c r="D1009" s="2149"/>
      <c r="E1009" s="2152"/>
      <c r="F1009" s="1437"/>
      <c r="G1009" s="1437"/>
      <c r="U1009" s="1415">
        <f>SUM(U8:U1008)</f>
        <v>184137.84300000002</v>
      </c>
    </row>
    <row r="1010" spans="1:85" x14ac:dyDescent="0.15">
      <c r="A1010" s="2150"/>
      <c r="B1010" s="2151"/>
      <c r="C1010" s="2151"/>
      <c r="D1010" s="2149"/>
      <c r="E1010" s="2152"/>
      <c r="F1010" s="1437"/>
      <c r="G1010" s="1437"/>
    </row>
    <row r="1011" spans="1:85" x14ac:dyDescent="0.15">
      <c r="A1011" s="2150"/>
      <c r="B1011" s="2151"/>
      <c r="C1011" s="2151"/>
      <c r="D1011" s="2149"/>
      <c r="E1011" s="2152"/>
      <c r="F1011" s="1437"/>
      <c r="G1011" s="1437"/>
    </row>
    <row r="1012" spans="1:85" ht="14" x14ac:dyDescent="0.15">
      <c r="A1012" s="2150"/>
      <c r="B1012" s="2151"/>
      <c r="C1012" s="2151"/>
      <c r="D1012" s="2149"/>
      <c r="E1012" s="2152"/>
      <c r="F1012" s="1437"/>
      <c r="G1012" s="1523">
        <v>211</v>
      </c>
      <c r="H1012" s="1851">
        <f t="shared" ref="H1012:H1024" si="655">H225+H18</f>
        <v>646879</v>
      </c>
      <c r="I1012" s="1412" t="e">
        <f>H520++H438+H340+#REF!</f>
        <v>#REF!</v>
      </c>
      <c r="K1012" s="1440">
        <v>211</v>
      </c>
      <c r="L1012" s="2153"/>
      <c r="M1012" s="2153"/>
      <c r="N1012" s="2153"/>
      <c r="O1012" s="2154"/>
      <c r="P1012" s="2154"/>
      <c r="Q1012" s="2154"/>
      <c r="R1012" s="2154"/>
      <c r="S1012" s="2154"/>
      <c r="T1012" s="2155"/>
      <c r="U1012" s="2156"/>
      <c r="V1012" s="2156"/>
      <c r="W1012" s="2157"/>
      <c r="X1012" s="2157"/>
      <c r="Y1012" s="2157"/>
      <c r="Z1012" s="2158"/>
      <c r="AA1012" s="2157"/>
      <c r="AB1012" s="2157"/>
      <c r="AC1012" s="1738">
        <v>2354.8000000000002</v>
      </c>
      <c r="AD1012" s="1667">
        <v>211</v>
      </c>
      <c r="AE1012" s="2109">
        <f>AC1012+AI1012</f>
        <v>20546.8</v>
      </c>
      <c r="AF1012" s="1523" t="s">
        <v>1262</v>
      </c>
      <c r="AG1012" s="1523">
        <v>211</v>
      </c>
      <c r="AH1012" s="1523"/>
      <c r="AI1012" s="1548">
        <v>18192</v>
      </c>
      <c r="CG1012" s="2159"/>
    </row>
    <row r="1013" spans="1:85" ht="14" x14ac:dyDescent="0.15">
      <c r="A1013" s="2150"/>
      <c r="B1013" s="2151"/>
      <c r="C1013" s="2151"/>
      <c r="D1013" s="2149"/>
      <c r="E1013" s="2152"/>
      <c r="F1013" s="1437"/>
      <c r="G1013" s="1523">
        <v>212</v>
      </c>
      <c r="H1013" s="1851">
        <f t="shared" si="655"/>
        <v>460.99999999999994</v>
      </c>
      <c r="I1013" s="1412" t="e">
        <f>H521++H439+H341+#REF!</f>
        <v>#REF!</v>
      </c>
      <c r="K1013" s="1440">
        <v>213</v>
      </c>
      <c r="L1013" s="2153"/>
      <c r="M1013" s="2153"/>
      <c r="N1013" s="2153"/>
      <c r="O1013" s="2154"/>
      <c r="P1013" s="2154"/>
      <c r="Q1013" s="2154"/>
      <c r="R1013" s="2154"/>
      <c r="S1013" s="2154"/>
      <c r="T1013" s="2155"/>
      <c r="U1013" s="2156"/>
      <c r="V1013" s="2156"/>
      <c r="W1013" s="2157"/>
      <c r="X1013" s="2157"/>
      <c r="Y1013" s="2157"/>
      <c r="Z1013" s="2158"/>
      <c r="AA1013" s="2157"/>
      <c r="AB1013" s="2157"/>
      <c r="AC1013" s="1738">
        <v>711.1</v>
      </c>
      <c r="AD1013" s="1667">
        <v>212</v>
      </c>
      <c r="AE1013" s="2109">
        <f>AI1014+AC1014</f>
        <v>18</v>
      </c>
      <c r="AF1013" s="1523" t="s">
        <v>1262</v>
      </c>
      <c r="AG1013" s="1523">
        <v>213</v>
      </c>
      <c r="AH1013" s="1523"/>
      <c r="AI1013" s="1548">
        <v>5494</v>
      </c>
      <c r="CG1013" s="2159"/>
    </row>
    <row r="1014" spans="1:85" ht="14" x14ac:dyDescent="0.15">
      <c r="A1014" s="2150"/>
      <c r="B1014" s="2151"/>
      <c r="C1014" s="2151"/>
      <c r="D1014" s="2149"/>
      <c r="E1014" s="2152"/>
      <c r="F1014" s="1437"/>
      <c r="G1014" s="1523">
        <v>213</v>
      </c>
      <c r="H1014" s="1851">
        <f t="shared" si="655"/>
        <v>195275.38</v>
      </c>
      <c r="I1014" s="1412" t="e">
        <f>H522++H440+H342+#REF!</f>
        <v>#REF!</v>
      </c>
      <c r="K1014" s="1440">
        <v>212</v>
      </c>
      <c r="L1014" s="2153"/>
      <c r="M1014" s="2153"/>
      <c r="N1014" s="2153"/>
      <c r="O1014" s="2154"/>
      <c r="P1014" s="2154"/>
      <c r="Q1014" s="2154"/>
      <c r="R1014" s="2154"/>
      <c r="S1014" s="2154"/>
      <c r="T1014" s="2155"/>
      <c r="U1014" s="2156"/>
      <c r="V1014" s="2156"/>
      <c r="W1014" s="2157"/>
      <c r="X1014" s="2157"/>
      <c r="Y1014" s="2157"/>
      <c r="Z1014" s="2158"/>
      <c r="AA1014" s="2157"/>
      <c r="AB1014" s="2157"/>
      <c r="AC1014" s="1738">
        <v>8</v>
      </c>
      <c r="AD1014" s="1667">
        <v>213</v>
      </c>
      <c r="AE1014" s="2109">
        <f>AC1013+AI1013</f>
        <v>6205.1</v>
      </c>
      <c r="AF1014" s="1523" t="s">
        <v>1263</v>
      </c>
      <c r="AG1014" s="1523">
        <v>212</v>
      </c>
      <c r="AH1014" s="1523"/>
      <c r="AI1014" s="1548">
        <v>10</v>
      </c>
      <c r="CG1014" s="2159"/>
    </row>
    <row r="1015" spans="1:85" ht="14" x14ac:dyDescent="0.15">
      <c r="A1015" s="2150"/>
      <c r="B1015" s="2151"/>
      <c r="C1015" s="2151"/>
      <c r="D1015" s="2149"/>
      <c r="E1015" s="2152"/>
      <c r="F1015" s="1437"/>
      <c r="G1015" s="1523">
        <v>221</v>
      </c>
      <c r="H1015" s="1851">
        <f t="shared" si="655"/>
        <v>732.75</v>
      </c>
      <c r="I1015" s="1412" t="e">
        <f>H523++H441+H343+#REF!</f>
        <v>#REF!</v>
      </c>
      <c r="K1015" s="1440">
        <v>222</v>
      </c>
      <c r="L1015" s="2153"/>
      <c r="M1015" s="2153"/>
      <c r="N1015" s="2153"/>
      <c r="O1015" s="2154"/>
      <c r="P1015" s="2154"/>
      <c r="Q1015" s="2154"/>
      <c r="R1015" s="2154"/>
      <c r="S1015" s="2154"/>
      <c r="T1015" s="2155"/>
      <c r="U1015" s="2156"/>
      <c r="V1015" s="2156"/>
      <c r="W1015" s="2157"/>
      <c r="X1015" s="2157"/>
      <c r="Y1015" s="2157"/>
      <c r="Z1015" s="2158"/>
      <c r="AA1015" s="2157"/>
      <c r="AB1015" s="2157"/>
      <c r="AC1015" s="1738">
        <v>18</v>
      </c>
      <c r="AD1015" s="1667">
        <v>221</v>
      </c>
      <c r="AE1015" s="2109">
        <f>AI1017</f>
        <v>633</v>
      </c>
      <c r="AF1015" s="1523" t="s">
        <v>1263</v>
      </c>
      <c r="AG1015" s="1523">
        <v>222</v>
      </c>
      <c r="AH1015" s="1523"/>
      <c r="AI1015" s="1548">
        <f>353+13.052</f>
        <v>366.05200000000002</v>
      </c>
      <c r="CG1015" s="2159"/>
    </row>
    <row r="1016" spans="1:85" ht="15" customHeight="1" x14ac:dyDescent="0.15">
      <c r="A1016" s="2150"/>
      <c r="B1016" s="2151"/>
      <c r="C1016" s="2151"/>
      <c r="D1016" s="2149"/>
      <c r="E1016" s="2152"/>
      <c r="F1016" s="1437"/>
      <c r="G1016" s="1523">
        <v>222</v>
      </c>
      <c r="H1016" s="1851">
        <f t="shared" si="655"/>
        <v>627.22400000000005</v>
      </c>
      <c r="I1016" s="1412" t="e">
        <f>H524++H442+H344+#REF!</f>
        <v>#REF!</v>
      </c>
      <c r="K1016" s="1440" t="s">
        <v>198</v>
      </c>
      <c r="L1016" s="2153"/>
      <c r="M1016" s="2153"/>
      <c r="N1016" s="2153"/>
      <c r="O1016" s="2154"/>
      <c r="P1016" s="2154"/>
      <c r="Q1016" s="2154"/>
      <c r="R1016" s="2154"/>
      <c r="S1016" s="2154"/>
      <c r="T1016" s="2155"/>
      <c r="U1016" s="2156"/>
      <c r="V1016" s="2156"/>
      <c r="W1016" s="2157"/>
      <c r="X1016" s="2157"/>
      <c r="Y1016" s="2157"/>
      <c r="Z1016" s="2158"/>
      <c r="AA1016" s="2157"/>
      <c r="AB1016" s="2157"/>
      <c r="AC1016" s="1738">
        <v>100</v>
      </c>
      <c r="AD1016" s="1667">
        <v>222</v>
      </c>
      <c r="AE1016" s="2109">
        <f>AC1015+AI1015</f>
        <v>384.05200000000002</v>
      </c>
      <c r="AF1016" s="1523" t="s">
        <v>1263</v>
      </c>
      <c r="AG1016" s="1523" t="s">
        <v>198</v>
      </c>
      <c r="AH1016" s="1523"/>
      <c r="AI1016" s="1548">
        <f>750+60.67</f>
        <v>810.67</v>
      </c>
      <c r="CG1016" s="2159"/>
    </row>
    <row r="1017" spans="1:85" ht="14" x14ac:dyDescent="0.15">
      <c r="A1017" s="2150"/>
      <c r="B1017" s="2151"/>
      <c r="C1017" s="2151"/>
      <c r="D1017" s="2149"/>
      <c r="E1017" s="2152"/>
      <c r="F1017" s="1437"/>
      <c r="G1017" s="1523">
        <v>223</v>
      </c>
      <c r="H1017" s="1851">
        <f t="shared" si="655"/>
        <v>16121.35</v>
      </c>
      <c r="I1017" s="1412" t="e">
        <f>H525++H443+H345+#REF!</f>
        <v>#REF!</v>
      </c>
      <c r="K1017" s="1440">
        <v>225</v>
      </c>
      <c r="L1017" s="2153"/>
      <c r="M1017" s="2153"/>
      <c r="N1017" s="2153"/>
      <c r="O1017" s="2154"/>
      <c r="P1017" s="2154"/>
      <c r="Q1017" s="2154"/>
      <c r="R1017" s="2154"/>
      <c r="S1017" s="2154"/>
      <c r="T1017" s="2155"/>
      <c r="U1017" s="2156"/>
      <c r="V1017" s="2156"/>
      <c r="W1017" s="2157"/>
      <c r="X1017" s="2157"/>
      <c r="Y1017" s="2157"/>
      <c r="Z1017" s="2158"/>
      <c r="AA1017" s="2157"/>
      <c r="AB1017" s="2157"/>
      <c r="AC1017" s="1738">
        <v>50</v>
      </c>
      <c r="AD1017" s="1667">
        <v>223</v>
      </c>
      <c r="AE1017" s="2109">
        <f>AI1018</f>
        <v>343</v>
      </c>
      <c r="AF1017" s="1523" t="s">
        <v>1247</v>
      </c>
      <c r="AG1017" s="1523">
        <v>221</v>
      </c>
      <c r="AH1017" s="1523"/>
      <c r="AI1017" s="1548">
        <v>633</v>
      </c>
      <c r="CG1017" s="2159"/>
    </row>
    <row r="1018" spans="1:85" ht="14" x14ac:dyDescent="0.15">
      <c r="A1018" s="2150"/>
      <c r="B1018" s="2151"/>
      <c r="C1018" s="2151"/>
      <c r="D1018" s="2149"/>
      <c r="E1018" s="2152"/>
      <c r="F1018" s="1437"/>
      <c r="G1018" s="1523">
        <v>224</v>
      </c>
      <c r="H1018" s="1851">
        <f t="shared" si="655"/>
        <v>2423.4459999999999</v>
      </c>
      <c r="I1018" s="1412" t="e">
        <f>H526++H444+H346+#REF!</f>
        <v>#REF!</v>
      </c>
      <c r="K1018" s="1440">
        <v>226</v>
      </c>
      <c r="L1018" s="2153"/>
      <c r="M1018" s="2153"/>
      <c r="N1018" s="2153"/>
      <c r="O1018" s="2154"/>
      <c r="P1018" s="2154"/>
      <c r="Q1018" s="2154"/>
      <c r="R1018" s="2154"/>
      <c r="S1018" s="2154"/>
      <c r="T1018" s="2155"/>
      <c r="U1018" s="2156"/>
      <c r="V1018" s="2156"/>
      <c r="W1018" s="2157"/>
      <c r="X1018" s="2157"/>
      <c r="Y1018" s="2157"/>
      <c r="Z1018" s="2158"/>
      <c r="AA1018" s="2157"/>
      <c r="AB1018" s="2157"/>
      <c r="AC1018" s="1738">
        <v>504.7</v>
      </c>
      <c r="AD1018" s="1667">
        <v>224</v>
      </c>
      <c r="AE1018" s="2110"/>
      <c r="AF1018" s="1523" t="s">
        <v>1247</v>
      </c>
      <c r="AG1018" s="1523">
        <v>223</v>
      </c>
      <c r="AH1018" s="1523"/>
      <c r="AI1018" s="1548">
        <v>343</v>
      </c>
      <c r="CG1018" s="2159"/>
    </row>
    <row r="1019" spans="1:85" ht="14" x14ac:dyDescent="0.15">
      <c r="A1019" s="2150"/>
      <c r="B1019" s="2151"/>
      <c r="C1019" s="2151"/>
      <c r="D1019" s="2149"/>
      <c r="E1019" s="2152"/>
      <c r="F1019" s="1437"/>
      <c r="G1019" s="1523">
        <v>225</v>
      </c>
      <c r="H1019" s="1851">
        <f t="shared" si="655"/>
        <v>42146.080000000002</v>
      </c>
      <c r="I1019" s="1412" t="e">
        <f>H527++H445+H347+#REF!</f>
        <v>#REF!</v>
      </c>
      <c r="K1019" s="1440">
        <v>310</v>
      </c>
      <c r="L1019" s="2153"/>
      <c r="M1019" s="2153"/>
      <c r="N1019" s="2153"/>
      <c r="O1019" s="2154"/>
      <c r="P1019" s="2154"/>
      <c r="Q1019" s="2154"/>
      <c r="R1019" s="2154"/>
      <c r="S1019" s="2154"/>
      <c r="T1019" s="2155"/>
      <c r="U1019" s="2156"/>
      <c r="V1019" s="2156"/>
      <c r="W1019" s="2157"/>
      <c r="X1019" s="2157"/>
      <c r="Y1019" s="2157"/>
      <c r="Z1019" s="2158"/>
      <c r="AA1019" s="2157"/>
      <c r="AB1019" s="2157"/>
      <c r="AC1019" s="1738">
        <v>121.9</v>
      </c>
      <c r="AD1019" s="1667">
        <v>225</v>
      </c>
      <c r="AE1019" s="2109">
        <f>AC1017+AI1019</f>
        <v>100</v>
      </c>
      <c r="AF1019" s="1523" t="s">
        <v>1247</v>
      </c>
      <c r="AG1019" s="1523">
        <v>225</v>
      </c>
      <c r="AH1019" s="1523"/>
      <c r="AI1019" s="1548">
        <v>50</v>
      </c>
      <c r="CG1019" s="2159"/>
    </row>
    <row r="1020" spans="1:85" ht="14" x14ac:dyDescent="0.15">
      <c r="A1020" s="2150"/>
      <c r="B1020" s="2151"/>
      <c r="C1020" s="2151"/>
      <c r="D1020" s="2149"/>
      <c r="E1020" s="2152"/>
      <c r="F1020" s="1437"/>
      <c r="G1020" s="1523">
        <v>226</v>
      </c>
      <c r="H1020" s="1851">
        <f t="shared" si="655"/>
        <v>29836.341049999999</v>
      </c>
      <c r="I1020" s="1412" t="e">
        <f>H528++H446+H348+#REF!</f>
        <v>#REF!</v>
      </c>
      <c r="K1020" s="1440">
        <v>340</v>
      </c>
      <c r="L1020" s="2153"/>
      <c r="M1020" s="2153"/>
      <c r="N1020" s="2153"/>
      <c r="O1020" s="2154"/>
      <c r="P1020" s="2154"/>
      <c r="Q1020" s="2154"/>
      <c r="R1020" s="2154"/>
      <c r="S1020" s="2154"/>
      <c r="T1020" s="2155"/>
      <c r="U1020" s="2156"/>
      <c r="V1020" s="2156"/>
      <c r="W1020" s="2157"/>
      <c r="X1020" s="2157"/>
      <c r="Y1020" s="2157"/>
      <c r="Z1020" s="2158"/>
      <c r="AA1020" s="2157"/>
      <c r="AB1020" s="2157"/>
      <c r="AC1020" s="1738">
        <v>219</v>
      </c>
      <c r="AD1020" s="1667">
        <v>226</v>
      </c>
      <c r="AE1020" s="2109">
        <f>AC1018+AI1020+AI1016+AC1016</f>
        <v>1715.37</v>
      </c>
      <c r="AF1020" s="1523" t="s">
        <v>1247</v>
      </c>
      <c r="AG1020" s="1523">
        <v>226</v>
      </c>
      <c r="AH1020" s="1523"/>
      <c r="AI1020" s="1548">
        <v>300</v>
      </c>
      <c r="CG1020" s="2159"/>
    </row>
    <row r="1021" spans="1:85" ht="14" x14ac:dyDescent="0.15">
      <c r="A1021" s="2150"/>
      <c r="B1021" s="2151"/>
      <c r="C1021" s="2151"/>
      <c r="D1021" s="2149"/>
      <c r="E1021" s="2152"/>
      <c r="F1021" s="1437"/>
      <c r="G1021" s="1523">
        <v>290</v>
      </c>
      <c r="H1021" s="1851">
        <f t="shared" si="655"/>
        <v>21568.504000000001</v>
      </c>
      <c r="I1021" s="1412" t="e">
        <f>H529++H447+H349+#REF!</f>
        <v>#REF!</v>
      </c>
      <c r="AD1021" s="1667">
        <v>290</v>
      </c>
      <c r="AE1021" s="2109">
        <f>AI1023+AI1024</f>
        <v>657</v>
      </c>
      <c r="AF1021" s="1523" t="s">
        <v>1247</v>
      </c>
      <c r="AG1021" s="1523">
        <v>310</v>
      </c>
      <c r="AH1021" s="1523"/>
      <c r="AI1021" s="1548">
        <f>300+500</f>
        <v>800</v>
      </c>
    </row>
    <row r="1022" spans="1:85" ht="14" x14ac:dyDescent="0.15">
      <c r="A1022" s="2150"/>
      <c r="B1022" s="2151"/>
      <c r="C1022" s="2151"/>
      <c r="D1022" s="2149"/>
      <c r="E1022" s="2152"/>
      <c r="F1022" s="1437"/>
      <c r="G1022" s="1523" t="s">
        <v>95</v>
      </c>
      <c r="H1022" s="1851">
        <f t="shared" si="655"/>
        <v>647.96999999999991</v>
      </c>
      <c r="I1022" s="1412" t="e">
        <f>H530++H448+H350+#REF!</f>
        <v>#REF!</v>
      </c>
      <c r="AD1022" s="1667" t="s">
        <v>95</v>
      </c>
      <c r="AE1022" s="2110"/>
      <c r="AF1022" s="1523" t="s">
        <v>1247</v>
      </c>
      <c r="AG1022" s="1523">
        <v>340</v>
      </c>
      <c r="AH1022" s="1523"/>
      <c r="AI1022" s="1548">
        <f>387+426</f>
        <v>813</v>
      </c>
    </row>
    <row r="1023" spans="1:85" ht="14" x14ac:dyDescent="0.15">
      <c r="A1023" s="2150"/>
      <c r="B1023" s="2151"/>
      <c r="C1023" s="2151"/>
      <c r="D1023" s="2149"/>
      <c r="E1023" s="2152"/>
      <c r="F1023" s="1437"/>
      <c r="G1023" s="1523">
        <v>310</v>
      </c>
      <c r="H1023" s="1851">
        <f>H236+H29</f>
        <v>6036.8899999999994</v>
      </c>
      <c r="I1023" s="1412" t="e">
        <f>H531++H449+H351+#REF!</f>
        <v>#REF!</v>
      </c>
      <c r="AD1023" s="1667">
        <v>310</v>
      </c>
      <c r="AE1023" s="2109">
        <f>AC1019+AI1021</f>
        <v>921.9</v>
      </c>
      <c r="AF1023" s="1523" t="s">
        <v>1304</v>
      </c>
      <c r="AG1023" s="1523">
        <v>290</v>
      </c>
      <c r="AH1023" s="1523"/>
      <c r="AI1023" s="1548">
        <v>499.7</v>
      </c>
    </row>
    <row r="1024" spans="1:85" ht="14" x14ac:dyDescent="0.15">
      <c r="A1024" s="2150"/>
      <c r="B1024" s="2151"/>
      <c r="C1024" s="2151"/>
      <c r="D1024" s="2149"/>
      <c r="E1024" s="2152"/>
      <c r="F1024" s="1437"/>
      <c r="G1024" s="1523">
        <v>340</v>
      </c>
      <c r="H1024" s="1851">
        <f t="shared" si="655"/>
        <v>5444.6820000000007</v>
      </c>
      <c r="I1024" s="1412" t="e">
        <f>H532++H450+H352+#REF!</f>
        <v>#REF!</v>
      </c>
      <c r="AD1024" s="1667">
        <v>340</v>
      </c>
      <c r="AE1024" s="2109">
        <f>AC1020+AI1022</f>
        <v>1032</v>
      </c>
      <c r="AF1024" s="1523" t="s">
        <v>1305</v>
      </c>
      <c r="AG1024" s="1523">
        <v>290</v>
      </c>
      <c r="AH1024" s="1523"/>
      <c r="AI1024" s="1548">
        <v>157.30000000000001</v>
      </c>
    </row>
    <row r="1025" spans="1:10" x14ac:dyDescent="0.15">
      <c r="A1025" s="2150"/>
      <c r="B1025" s="2151"/>
      <c r="C1025" s="2151"/>
      <c r="D1025" s="2149"/>
      <c r="E1025" s="2160" t="e">
        <f>'[7]Роспись 2013 ЦС'!#REF!-H1025</f>
        <v>#REF!</v>
      </c>
      <c r="F1025" s="1437"/>
      <c r="G1025" s="1648"/>
      <c r="H1025" s="1471">
        <f>SUM(H1012:H1024)</f>
        <v>968200.61705</v>
      </c>
      <c r="I1025" s="2161" t="e">
        <f>SUM(I1012:I1024)</f>
        <v>#REF!</v>
      </c>
      <c r="J1025" s="2161"/>
    </row>
    <row r="1026" spans="1:10" x14ac:dyDescent="0.15">
      <c r="A1026" s="2150"/>
      <c r="B1026" s="2151"/>
      <c r="C1026" s="2151"/>
      <c r="D1026" s="2149"/>
      <c r="E1026" s="2152"/>
      <c r="F1026" s="1437"/>
      <c r="G1026" s="1437"/>
    </row>
    <row r="1027" spans="1:10" x14ac:dyDescent="0.15">
      <c r="A1027" s="2150"/>
      <c r="B1027" s="2151"/>
      <c r="C1027" s="2151"/>
      <c r="D1027" s="2149"/>
      <c r="E1027" s="2152"/>
      <c r="F1027" s="1437"/>
      <c r="G1027" s="1437"/>
    </row>
    <row r="1028" spans="1:10" x14ac:dyDescent="0.15">
      <c r="A1028" s="2150"/>
      <c r="B1028" s="2151"/>
      <c r="C1028" s="2151"/>
      <c r="D1028" s="2149"/>
      <c r="E1028" s="2152"/>
      <c r="F1028" s="1437"/>
      <c r="G1028" s="1437"/>
    </row>
    <row r="1029" spans="1:10" x14ac:dyDescent="0.15">
      <c r="A1029" s="2150"/>
      <c r="B1029" s="2151"/>
      <c r="C1029" s="2151"/>
      <c r="D1029" s="2149"/>
      <c r="E1029" s="2152"/>
      <c r="F1029" s="1437"/>
      <c r="G1029" s="1437"/>
    </row>
    <row r="1030" spans="1:10" x14ac:dyDescent="0.15">
      <c r="A1030" s="2150"/>
      <c r="B1030" s="2151"/>
      <c r="C1030" s="2151"/>
      <c r="D1030" s="2149"/>
      <c r="E1030" s="2152"/>
      <c r="F1030" s="1437"/>
      <c r="G1030" s="1437"/>
    </row>
    <row r="1031" spans="1:10" x14ac:dyDescent="0.15">
      <c r="A1031" s="2150"/>
      <c r="B1031" s="2151"/>
      <c r="C1031" s="2151"/>
      <c r="D1031" s="2149"/>
      <c r="E1031" s="2152"/>
      <c r="F1031" s="1437"/>
      <c r="G1031" s="1437"/>
    </row>
    <row r="1032" spans="1:10" x14ac:dyDescent="0.15">
      <c r="A1032" s="2150"/>
      <c r="B1032" s="2151"/>
      <c r="C1032" s="2151"/>
      <c r="D1032" s="2149"/>
      <c r="E1032" s="2152"/>
      <c r="F1032" s="1437"/>
      <c r="G1032" s="1437"/>
    </row>
    <row r="1033" spans="1:10" ht="15" customHeight="1" x14ac:dyDescent="0.15">
      <c r="A1033" s="2150"/>
      <c r="B1033" s="2151"/>
      <c r="C1033" s="2151"/>
      <c r="D1033" s="2149"/>
      <c r="E1033" s="2152"/>
      <c r="F1033" s="1437"/>
      <c r="G1033" s="1437"/>
    </row>
    <row r="1034" spans="1:10" x14ac:dyDescent="0.15">
      <c r="A1034" s="2150"/>
      <c r="B1034" s="2151"/>
      <c r="C1034" s="2151"/>
      <c r="D1034" s="2149"/>
      <c r="E1034" s="2152"/>
      <c r="F1034" s="1437"/>
      <c r="G1034" s="1437"/>
    </row>
    <row r="1035" spans="1:10" x14ac:dyDescent="0.15">
      <c r="A1035" s="2150"/>
      <c r="B1035" s="2151"/>
      <c r="C1035" s="2151"/>
      <c r="D1035" s="2149"/>
      <c r="E1035" s="2152"/>
      <c r="F1035" s="1437"/>
      <c r="G1035" s="1437"/>
    </row>
    <row r="1036" spans="1:10" x14ac:dyDescent="0.15">
      <c r="A1036" s="2150"/>
      <c r="B1036" s="2151"/>
      <c r="C1036" s="2151"/>
      <c r="D1036" s="2149"/>
      <c r="E1036" s="2152"/>
      <c r="F1036" s="1437"/>
      <c r="G1036" s="1437"/>
    </row>
    <row r="1037" spans="1:10" x14ac:dyDescent="0.15">
      <c r="A1037" s="2150"/>
      <c r="B1037" s="2151"/>
      <c r="C1037" s="2151"/>
      <c r="D1037" s="2149"/>
      <c r="E1037" s="2152"/>
      <c r="F1037" s="1437"/>
      <c r="G1037" s="1437"/>
    </row>
    <row r="1038" spans="1:10" x14ac:dyDescent="0.15">
      <c r="A1038" s="2150"/>
      <c r="B1038" s="2151"/>
      <c r="C1038" s="2151"/>
      <c r="D1038" s="2149"/>
      <c r="E1038" s="2152"/>
      <c r="F1038" s="1437"/>
      <c r="G1038" s="1437"/>
    </row>
    <row r="1039" spans="1:10" x14ac:dyDescent="0.15">
      <c r="A1039" s="2150"/>
      <c r="B1039" s="2151"/>
      <c r="C1039" s="2151"/>
      <c r="D1039" s="2149"/>
      <c r="E1039" s="2152"/>
      <c r="F1039" s="1437"/>
      <c r="G1039" s="1437"/>
    </row>
    <row r="1040" spans="1:10" x14ac:dyDescent="0.15">
      <c r="A1040" s="2150"/>
      <c r="B1040" s="2151"/>
      <c r="C1040" s="2151"/>
      <c r="D1040" s="2149"/>
      <c r="E1040" s="2152"/>
      <c r="F1040" s="1437"/>
      <c r="G1040" s="1437"/>
    </row>
    <row r="1041" spans="1:7" x14ac:dyDescent="0.15">
      <c r="A1041" s="2150"/>
      <c r="B1041" s="2151"/>
      <c r="C1041" s="2151"/>
      <c r="D1041" s="2149"/>
      <c r="E1041" s="2152"/>
      <c r="F1041" s="1437"/>
      <c r="G1041" s="1437"/>
    </row>
    <row r="1042" spans="1:7" x14ac:dyDescent="0.15">
      <c r="A1042" s="2150"/>
      <c r="B1042" s="2151"/>
      <c r="C1042" s="2151"/>
      <c r="D1042" s="2149"/>
      <c r="E1042" s="2152"/>
      <c r="F1042" s="1437"/>
      <c r="G1042" s="1437"/>
    </row>
    <row r="1043" spans="1:7" x14ac:dyDescent="0.15">
      <c r="A1043" s="2150"/>
      <c r="B1043" s="2151"/>
      <c r="C1043" s="2151"/>
      <c r="D1043" s="2149"/>
      <c r="E1043" s="2152"/>
      <c r="F1043" s="1437"/>
      <c r="G1043" s="1437"/>
    </row>
    <row r="1044" spans="1:7" x14ac:dyDescent="0.15">
      <c r="A1044" s="2150"/>
      <c r="B1044" s="2151"/>
      <c r="C1044" s="2151"/>
      <c r="D1044" s="2149"/>
      <c r="E1044" s="2152"/>
      <c r="F1044" s="1437"/>
      <c r="G1044" s="1437"/>
    </row>
    <row r="1045" spans="1:7" x14ac:dyDescent="0.15">
      <c r="A1045" s="2150"/>
      <c r="B1045" s="2151"/>
      <c r="C1045" s="2151"/>
      <c r="D1045" s="2149"/>
      <c r="E1045" s="2152"/>
      <c r="F1045" s="1437"/>
      <c r="G1045" s="1437"/>
    </row>
    <row r="1046" spans="1:7" x14ac:dyDescent="0.15">
      <c r="A1046" s="2150"/>
      <c r="B1046" s="2151"/>
      <c r="C1046" s="2151"/>
      <c r="D1046" s="2149"/>
      <c r="E1046" s="2152"/>
      <c r="F1046" s="1437"/>
      <c r="G1046" s="1437"/>
    </row>
    <row r="1047" spans="1:7" x14ac:dyDescent="0.15">
      <c r="A1047" s="2150"/>
      <c r="B1047" s="2151"/>
      <c r="C1047" s="2151"/>
      <c r="D1047" s="2149"/>
      <c r="E1047" s="2152"/>
      <c r="F1047" s="1437"/>
      <c r="G1047" s="1437"/>
    </row>
    <row r="1048" spans="1:7" x14ac:dyDescent="0.15">
      <c r="A1048" s="2150"/>
      <c r="B1048" s="2151"/>
      <c r="C1048" s="2151"/>
      <c r="D1048" s="2149"/>
      <c r="E1048" s="2152"/>
      <c r="F1048" s="1437"/>
      <c r="G1048" s="1437"/>
    </row>
    <row r="1049" spans="1:7" x14ac:dyDescent="0.15">
      <c r="A1049" s="2150"/>
      <c r="B1049" s="2151"/>
      <c r="C1049" s="2151"/>
      <c r="D1049" s="2149"/>
      <c r="E1049" s="2152"/>
      <c r="F1049" s="1437"/>
      <c r="G1049" s="1437"/>
    </row>
    <row r="1050" spans="1:7" ht="15" customHeight="1" x14ac:dyDescent="0.15">
      <c r="A1050" s="2150"/>
      <c r="B1050" s="2151"/>
      <c r="C1050" s="2151"/>
      <c r="D1050" s="2149"/>
      <c r="E1050" s="2152"/>
      <c r="F1050" s="1437"/>
      <c r="G1050" s="1437"/>
    </row>
    <row r="1051" spans="1:7" x14ac:dyDescent="0.15">
      <c r="A1051" s="2150"/>
      <c r="B1051" s="2151"/>
      <c r="C1051" s="2151"/>
      <c r="D1051" s="2149"/>
      <c r="E1051" s="2152"/>
      <c r="F1051" s="1437"/>
      <c r="G1051" s="1437"/>
    </row>
    <row r="1052" spans="1:7" x14ac:dyDescent="0.15">
      <c r="A1052" s="2150"/>
      <c r="B1052" s="2151"/>
      <c r="C1052" s="2151"/>
      <c r="D1052" s="2149"/>
      <c r="E1052" s="2152"/>
      <c r="F1052" s="1437"/>
      <c r="G1052" s="1437"/>
    </row>
    <row r="1053" spans="1:7" x14ac:dyDescent="0.15">
      <c r="A1053" s="2150"/>
      <c r="B1053" s="2151"/>
      <c r="C1053" s="2151"/>
      <c r="D1053" s="2149"/>
      <c r="E1053" s="2152"/>
      <c r="F1053" s="1437"/>
      <c r="G1053" s="1437"/>
    </row>
    <row r="1054" spans="1:7" x14ac:dyDescent="0.15">
      <c r="A1054" s="2150"/>
      <c r="B1054" s="2151"/>
      <c r="C1054" s="2151"/>
      <c r="D1054" s="2149"/>
      <c r="E1054" s="2152"/>
      <c r="F1054" s="1437"/>
      <c r="G1054" s="1437"/>
    </row>
    <row r="1055" spans="1:7" x14ac:dyDescent="0.15">
      <c r="A1055" s="2150"/>
      <c r="B1055" s="2151"/>
      <c r="C1055" s="2151"/>
      <c r="D1055" s="2149"/>
      <c r="E1055" s="2152"/>
      <c r="F1055" s="1437"/>
      <c r="G1055" s="1437"/>
    </row>
    <row r="1056" spans="1:7" x14ac:dyDescent="0.15">
      <c r="A1056" s="2150"/>
      <c r="B1056" s="2151"/>
      <c r="C1056" s="2151"/>
      <c r="D1056" s="2149"/>
      <c r="E1056" s="2152"/>
      <c r="F1056" s="1437"/>
      <c r="G1056" s="1437"/>
    </row>
    <row r="1057" spans="1:7" x14ac:dyDescent="0.15">
      <c r="A1057" s="2150"/>
      <c r="B1057" s="2151"/>
      <c r="C1057" s="2151"/>
      <c r="D1057" s="2149"/>
      <c r="E1057" s="2152"/>
      <c r="F1057" s="1437"/>
      <c r="G1057" s="1437"/>
    </row>
    <row r="1058" spans="1:7" x14ac:dyDescent="0.15">
      <c r="A1058" s="2150"/>
      <c r="B1058" s="2151"/>
      <c r="C1058" s="2151"/>
      <c r="D1058" s="2149"/>
      <c r="E1058" s="2152"/>
      <c r="F1058" s="1437"/>
      <c r="G1058" s="1437"/>
    </row>
    <row r="1059" spans="1:7" x14ac:dyDescent="0.15">
      <c r="A1059" s="2150"/>
      <c r="B1059" s="2151"/>
      <c r="C1059" s="2151"/>
      <c r="D1059" s="2149"/>
      <c r="E1059" s="2152"/>
      <c r="F1059" s="1437"/>
      <c r="G1059" s="1437"/>
    </row>
    <row r="1060" spans="1:7" x14ac:dyDescent="0.15">
      <c r="A1060" s="2150"/>
      <c r="B1060" s="2151"/>
      <c r="C1060" s="2151"/>
      <c r="D1060" s="2149"/>
      <c r="E1060" s="2152"/>
      <c r="F1060" s="1437"/>
      <c r="G1060" s="1437"/>
    </row>
    <row r="1061" spans="1:7" x14ac:dyDescent="0.15">
      <c r="A1061" s="2150"/>
      <c r="B1061" s="2151"/>
      <c r="C1061" s="2151"/>
      <c r="D1061" s="2149"/>
      <c r="E1061" s="2152"/>
      <c r="F1061" s="1437"/>
      <c r="G1061" s="1437"/>
    </row>
    <row r="1062" spans="1:7" x14ac:dyDescent="0.15">
      <c r="A1062" s="2150"/>
      <c r="B1062" s="2151"/>
      <c r="C1062" s="2151"/>
      <c r="D1062" s="2149"/>
      <c r="E1062" s="2152"/>
      <c r="F1062" s="1437"/>
      <c r="G1062" s="1437"/>
    </row>
    <row r="1063" spans="1:7" x14ac:dyDescent="0.15">
      <c r="A1063" s="2150"/>
      <c r="B1063" s="2151"/>
      <c r="C1063" s="2151"/>
      <c r="D1063" s="2149"/>
      <c r="E1063" s="2152"/>
      <c r="F1063" s="1437"/>
      <c r="G1063" s="1437"/>
    </row>
    <row r="1064" spans="1:7" x14ac:dyDescent="0.15">
      <c r="A1064" s="2150"/>
      <c r="B1064" s="2151"/>
      <c r="C1064" s="2151"/>
      <c r="D1064" s="2149"/>
      <c r="E1064" s="2152"/>
      <c r="F1064" s="1437"/>
      <c r="G1064" s="1437"/>
    </row>
    <row r="1065" spans="1:7" x14ac:dyDescent="0.15">
      <c r="A1065" s="2150"/>
      <c r="B1065" s="2151"/>
      <c r="C1065" s="2151"/>
      <c r="D1065" s="2149"/>
      <c r="E1065" s="2152"/>
      <c r="F1065" s="1437"/>
      <c r="G1065" s="1437"/>
    </row>
    <row r="1066" spans="1:7" x14ac:dyDescent="0.15">
      <c r="A1066" s="2150"/>
      <c r="B1066" s="2151"/>
      <c r="C1066" s="2151"/>
      <c r="D1066" s="2149"/>
      <c r="E1066" s="2152"/>
      <c r="F1066" s="1437"/>
      <c r="G1066" s="1437"/>
    </row>
    <row r="1067" spans="1:7" ht="15" customHeight="1" x14ac:dyDescent="0.15">
      <c r="A1067" s="2150"/>
      <c r="B1067" s="2151"/>
      <c r="C1067" s="2151"/>
      <c r="D1067" s="2149"/>
      <c r="E1067" s="2152"/>
      <c r="F1067" s="1437"/>
      <c r="G1067" s="1437"/>
    </row>
    <row r="1068" spans="1:7" x14ac:dyDescent="0.15">
      <c r="A1068" s="2150"/>
      <c r="B1068" s="2151"/>
      <c r="C1068" s="2151"/>
      <c r="D1068" s="2149"/>
      <c r="E1068" s="2152"/>
      <c r="F1068" s="1437"/>
      <c r="G1068" s="1437"/>
    </row>
    <row r="1069" spans="1:7" x14ac:dyDescent="0.15">
      <c r="A1069" s="2150"/>
      <c r="B1069" s="2151"/>
      <c r="C1069" s="2151"/>
      <c r="D1069" s="2149"/>
      <c r="E1069" s="2152"/>
      <c r="F1069" s="1437"/>
      <c r="G1069" s="1437"/>
    </row>
    <row r="1070" spans="1:7" x14ac:dyDescent="0.15">
      <c r="A1070" s="2150"/>
      <c r="B1070" s="2151"/>
      <c r="C1070" s="2151"/>
      <c r="D1070" s="2149"/>
      <c r="E1070" s="2152"/>
      <c r="F1070" s="1437"/>
      <c r="G1070" s="1437"/>
    </row>
    <row r="1071" spans="1:7" x14ac:dyDescent="0.15">
      <c r="A1071" s="2150"/>
      <c r="B1071" s="2151"/>
      <c r="C1071" s="2151"/>
      <c r="D1071" s="2149"/>
      <c r="E1071" s="2152"/>
      <c r="F1071" s="1437"/>
      <c r="G1071" s="1437"/>
    </row>
    <row r="1072" spans="1:7" x14ac:dyDescent="0.15">
      <c r="A1072" s="2150"/>
      <c r="B1072" s="2151"/>
      <c r="C1072" s="2151"/>
      <c r="D1072" s="2149"/>
      <c r="E1072" s="2152"/>
      <c r="F1072" s="1437"/>
      <c r="G1072" s="1437"/>
    </row>
    <row r="1073" spans="1:7" x14ac:dyDescent="0.15">
      <c r="A1073" s="2150"/>
      <c r="B1073" s="2151"/>
      <c r="C1073" s="2151"/>
      <c r="D1073" s="2149"/>
      <c r="E1073" s="2152"/>
      <c r="F1073" s="1437"/>
      <c r="G1073" s="1437"/>
    </row>
    <row r="1074" spans="1:7" x14ac:dyDescent="0.15">
      <c r="A1074" s="2150"/>
      <c r="B1074" s="2151"/>
      <c r="C1074" s="2151"/>
      <c r="D1074" s="2149"/>
      <c r="E1074" s="2152"/>
      <c r="F1074" s="1437"/>
      <c r="G1074" s="1437"/>
    </row>
    <row r="1075" spans="1:7" x14ac:dyDescent="0.15">
      <c r="A1075" s="2150"/>
      <c r="B1075" s="2151"/>
      <c r="C1075" s="2151"/>
      <c r="D1075" s="2149"/>
      <c r="E1075" s="2152"/>
      <c r="F1075" s="1437"/>
      <c r="G1075" s="1437"/>
    </row>
    <row r="1076" spans="1:7" x14ac:dyDescent="0.15">
      <c r="A1076" s="2150"/>
      <c r="B1076" s="2151"/>
      <c r="C1076" s="2151"/>
      <c r="D1076" s="2149"/>
      <c r="E1076" s="2152"/>
      <c r="F1076" s="1437"/>
    </row>
    <row r="1077" spans="1:7" x14ac:dyDescent="0.15">
      <c r="A1077" s="2150"/>
      <c r="B1077" s="2151"/>
      <c r="C1077" s="2151"/>
      <c r="D1077" s="2149"/>
      <c r="E1077" s="2152"/>
      <c r="F1077" s="1437"/>
    </row>
    <row r="1078" spans="1:7" x14ac:dyDescent="0.15">
      <c r="A1078" s="2150"/>
      <c r="B1078" s="2151"/>
      <c r="C1078" s="2151"/>
      <c r="D1078" s="2149"/>
      <c r="E1078" s="2152"/>
      <c r="F1078" s="1437"/>
    </row>
    <row r="1079" spans="1:7" x14ac:dyDescent="0.15">
      <c r="A1079" s="2150"/>
      <c r="B1079" s="2151"/>
      <c r="C1079" s="2151"/>
      <c r="D1079" s="2149"/>
      <c r="E1079" s="2152"/>
      <c r="F1079" s="1437"/>
    </row>
    <row r="1080" spans="1:7" x14ac:dyDescent="0.15">
      <c r="A1080" s="2150"/>
      <c r="B1080" s="2151"/>
      <c r="C1080" s="2151"/>
      <c r="D1080" s="2149"/>
      <c r="E1080" s="2152"/>
      <c r="F1080" s="1437"/>
    </row>
    <row r="1081" spans="1:7" x14ac:dyDescent="0.15">
      <c r="A1081" s="2150"/>
      <c r="B1081" s="2151"/>
      <c r="C1081" s="2151"/>
      <c r="D1081" s="2149"/>
      <c r="E1081" s="2152"/>
      <c r="F1081" s="1437"/>
    </row>
    <row r="1082" spans="1:7" x14ac:dyDescent="0.15">
      <c r="A1082" s="2150"/>
      <c r="B1082" s="2151"/>
      <c r="C1082" s="2151"/>
      <c r="D1082" s="2149"/>
      <c r="E1082" s="2152"/>
      <c r="F1082" s="1437"/>
    </row>
    <row r="1083" spans="1:7" x14ac:dyDescent="0.15">
      <c r="A1083" s="2150"/>
      <c r="B1083" s="2151"/>
      <c r="C1083" s="2151"/>
      <c r="D1083" s="2149"/>
      <c r="E1083" s="2152"/>
      <c r="F1083" s="1437"/>
    </row>
    <row r="1084" spans="1:7" ht="15" customHeight="1" x14ac:dyDescent="0.15">
      <c r="A1084" s="2150"/>
      <c r="B1084" s="2151"/>
      <c r="C1084" s="2151"/>
      <c r="D1084" s="2149"/>
      <c r="E1084" s="2152"/>
      <c r="F1084" s="1437"/>
    </row>
    <row r="1085" spans="1:7" x14ac:dyDescent="0.15">
      <c r="A1085" s="2150"/>
      <c r="B1085" s="2151"/>
      <c r="C1085" s="2151"/>
      <c r="D1085" s="2149"/>
      <c r="E1085" s="2152"/>
      <c r="F1085" s="1437"/>
    </row>
    <row r="1086" spans="1:7" x14ac:dyDescent="0.15">
      <c r="A1086" s="2150"/>
      <c r="B1086" s="2151"/>
      <c r="C1086" s="2151"/>
      <c r="D1086" s="2149"/>
      <c r="E1086" s="2152"/>
      <c r="F1086" s="1437"/>
    </row>
    <row r="1087" spans="1:7" x14ac:dyDescent="0.15">
      <c r="A1087" s="2150"/>
      <c r="B1087" s="2151"/>
      <c r="C1087" s="2151"/>
      <c r="D1087" s="2149"/>
      <c r="E1087" s="2152"/>
      <c r="F1087" s="1437"/>
    </row>
    <row r="1101" ht="15" customHeight="1" x14ac:dyDescent="0.15"/>
    <row r="1118" ht="15" customHeight="1" x14ac:dyDescent="0.15"/>
    <row r="1135" ht="15" customHeight="1" x14ac:dyDescent="0.15"/>
    <row r="1170" ht="15" customHeight="1" x14ac:dyDescent="0.15"/>
    <row r="1188" ht="15" customHeight="1" x14ac:dyDescent="0.15"/>
    <row r="1206" ht="15" customHeight="1" x14ac:dyDescent="0.15"/>
    <row r="1223" ht="15" customHeight="1" x14ac:dyDescent="0.15"/>
    <row r="1240" ht="15" customHeight="1" x14ac:dyDescent="0.15"/>
    <row r="1257" ht="15" customHeight="1" x14ac:dyDescent="0.15"/>
    <row r="1275" ht="15" customHeight="1" x14ac:dyDescent="0.15"/>
    <row r="1292" ht="15" customHeight="1" x14ac:dyDescent="0.15"/>
    <row r="1326" ht="15" customHeight="1" x14ac:dyDescent="0.15"/>
    <row r="1380" ht="15" customHeight="1" x14ac:dyDescent="0.15"/>
    <row r="1399" ht="18.75" customHeight="1" x14ac:dyDescent="0.15"/>
  </sheetData>
  <mergeCells count="42">
    <mergeCell ref="AS5:AV5"/>
    <mergeCell ref="A1:H1"/>
    <mergeCell ref="A2:H2"/>
    <mergeCell ref="A3:H3"/>
    <mergeCell ref="A5:A6"/>
    <mergeCell ref="B5:B6"/>
    <mergeCell ref="C5:C6"/>
    <mergeCell ref="D5:D6"/>
    <mergeCell ref="E5:E6"/>
    <mergeCell ref="F5:F6"/>
    <mergeCell ref="G5:G6"/>
    <mergeCell ref="A986:A987"/>
    <mergeCell ref="B986:B987"/>
    <mergeCell ref="C986:C987"/>
    <mergeCell ref="D986:D987"/>
    <mergeCell ref="E986:E987"/>
    <mergeCell ref="BU5:BX5"/>
    <mergeCell ref="BY5:CB5"/>
    <mergeCell ref="CC5:CF5"/>
    <mergeCell ref="CH5:CK5"/>
    <mergeCell ref="A983:A984"/>
    <mergeCell ref="AW5:AZ5"/>
    <mergeCell ref="BA5:BD5"/>
    <mergeCell ref="BE5:BH5"/>
    <mergeCell ref="BI5:BL5"/>
    <mergeCell ref="BM5:BP5"/>
    <mergeCell ref="BQ5:BT5"/>
    <mergeCell ref="H5:H6"/>
    <mergeCell ref="I5:K5"/>
    <mergeCell ref="AC5:AG5"/>
    <mergeCell ref="AI5:AM5"/>
    <mergeCell ref="AO5:AR5"/>
    <mergeCell ref="E990:E991"/>
    <mergeCell ref="A1007:H1007"/>
    <mergeCell ref="A1008:H1008"/>
    <mergeCell ref="B988:B989"/>
    <mergeCell ref="C988:C989"/>
    <mergeCell ref="D988:D989"/>
    <mergeCell ref="A990:A991"/>
    <mergeCell ref="B990:B991"/>
    <mergeCell ref="C990:C991"/>
    <mergeCell ref="D990:D991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59999389629810485"/>
  </sheetPr>
  <dimension ref="B2:J947"/>
  <sheetViews>
    <sheetView topLeftCell="A925" workbookViewId="0">
      <selection activeCell="N1001" sqref="N1001"/>
    </sheetView>
  </sheetViews>
  <sheetFormatPr baseColWidth="10" defaultColWidth="8.83203125" defaultRowHeight="13" x14ac:dyDescent="0.15"/>
  <cols>
    <col min="2" max="2" width="56" customWidth="1"/>
    <col min="9" max="9" width="14.5" customWidth="1"/>
    <col min="10" max="10" width="13.33203125" customWidth="1"/>
  </cols>
  <sheetData>
    <row r="2" spans="2:10" ht="15" x14ac:dyDescent="0.2">
      <c r="B2" s="3025" t="s">
        <v>68</v>
      </c>
      <c r="C2" s="3025"/>
      <c r="D2" s="3025"/>
      <c r="E2" s="3025"/>
      <c r="F2" s="3025"/>
      <c r="G2" s="3025"/>
      <c r="H2" s="3025"/>
      <c r="I2" s="1022"/>
      <c r="J2" s="1022"/>
    </row>
    <row r="3" spans="2:10" ht="15" x14ac:dyDescent="0.2">
      <c r="B3" s="3025" t="s">
        <v>1341</v>
      </c>
      <c r="C3" s="3025"/>
      <c r="D3" s="3025"/>
      <c r="E3" s="3025"/>
      <c r="F3" s="3025"/>
      <c r="G3" s="3025"/>
      <c r="H3" s="3025"/>
      <c r="I3" s="1022"/>
      <c r="J3" s="1187">
        <v>2179</v>
      </c>
    </row>
    <row r="4" spans="2:10" x14ac:dyDescent="0.15">
      <c r="B4" s="3025" t="s">
        <v>69</v>
      </c>
      <c r="C4" s="3025"/>
      <c r="D4" s="3025"/>
      <c r="E4" s="3025"/>
      <c r="F4" s="3025"/>
      <c r="G4" s="3025"/>
      <c r="H4" s="3025"/>
      <c r="I4" s="1187">
        <v>1121424.5</v>
      </c>
      <c r="J4" s="2174">
        <v>125.5</v>
      </c>
    </row>
    <row r="5" spans="2:10" ht="15" x14ac:dyDescent="0.2">
      <c r="B5" s="1022"/>
      <c r="C5" s="1022"/>
      <c r="D5" s="1022"/>
      <c r="E5" s="1022"/>
      <c r="F5" s="1022"/>
      <c r="G5" s="1022"/>
      <c r="H5" s="1022"/>
      <c r="I5" s="1187">
        <v>956978</v>
      </c>
      <c r="J5" s="1022"/>
    </row>
    <row r="6" spans="2:10" ht="26" x14ac:dyDescent="0.15">
      <c r="B6" s="3016" t="s">
        <v>70</v>
      </c>
      <c r="C6" s="3016" t="s">
        <v>71</v>
      </c>
      <c r="D6" s="3016" t="s">
        <v>72</v>
      </c>
      <c r="E6" s="3016" t="s">
        <v>73</v>
      </c>
      <c r="F6" s="3016" t="s">
        <v>74</v>
      </c>
      <c r="G6" s="3016" t="s">
        <v>75</v>
      </c>
      <c r="H6" s="3016" t="s">
        <v>76</v>
      </c>
      <c r="I6" s="3016" t="s">
        <v>67</v>
      </c>
      <c r="J6" s="1266" t="s">
        <v>767</v>
      </c>
    </row>
    <row r="7" spans="2:10" x14ac:dyDescent="0.15">
      <c r="B7" s="3016"/>
      <c r="C7" s="3016"/>
      <c r="D7" s="3016"/>
      <c r="E7" s="3016"/>
      <c r="F7" s="3016"/>
      <c r="G7" s="3016"/>
      <c r="H7" s="3016"/>
      <c r="I7" s="3016"/>
      <c r="J7" s="2175" t="s">
        <v>1233</v>
      </c>
    </row>
    <row r="8" spans="2:10" x14ac:dyDescent="0.15">
      <c r="B8" s="2176" t="s">
        <v>265</v>
      </c>
      <c r="C8" s="1305">
        <v>56</v>
      </c>
      <c r="D8" s="1305"/>
      <c r="E8" s="1305"/>
      <c r="F8" s="1305"/>
      <c r="G8" s="1305"/>
      <c r="H8" s="1305"/>
      <c r="I8" s="1306">
        <v>1168997.3999999999</v>
      </c>
      <c r="J8" s="1306">
        <v>164446.5</v>
      </c>
    </row>
    <row r="9" spans="2:10" x14ac:dyDescent="0.15">
      <c r="B9" s="2177" t="s">
        <v>761</v>
      </c>
      <c r="C9" s="3018">
        <v>56</v>
      </c>
      <c r="D9" s="3018">
        <v>7</v>
      </c>
      <c r="E9" s="3023"/>
      <c r="F9" s="3023"/>
      <c r="G9" s="3023"/>
      <c r="H9" s="3023"/>
      <c r="I9" s="3024">
        <v>174157.3</v>
      </c>
      <c r="J9" s="3021">
        <v>0</v>
      </c>
    </row>
    <row r="10" spans="2:10" x14ac:dyDescent="0.15">
      <c r="B10" s="2177" t="s">
        <v>1342</v>
      </c>
      <c r="C10" s="3018"/>
      <c r="D10" s="3018"/>
      <c r="E10" s="3023"/>
      <c r="F10" s="3023"/>
      <c r="G10" s="3023"/>
      <c r="H10" s="3023"/>
      <c r="I10" s="3024"/>
      <c r="J10" s="3021"/>
    </row>
    <row r="11" spans="2:10" x14ac:dyDescent="0.15">
      <c r="B11" s="1311" t="s">
        <v>1125</v>
      </c>
      <c r="C11" s="1312">
        <v>56</v>
      </c>
      <c r="D11" s="1312">
        <v>7</v>
      </c>
      <c r="E11" s="1312"/>
      <c r="F11" s="1312"/>
      <c r="G11" s="1312">
        <v>600</v>
      </c>
      <c r="H11" s="1313"/>
      <c r="I11" s="1268">
        <v>174157.3</v>
      </c>
      <c r="J11" s="2178">
        <v>0</v>
      </c>
    </row>
    <row r="12" spans="2:10" ht="26" x14ac:dyDescent="0.15">
      <c r="B12" s="1243" t="s">
        <v>764</v>
      </c>
      <c r="C12" s="1245"/>
      <c r="D12" s="1245"/>
      <c r="E12" s="1244"/>
      <c r="F12" s="1244"/>
      <c r="G12" s="1244">
        <v>611</v>
      </c>
      <c r="H12" s="1244">
        <v>241</v>
      </c>
      <c r="I12" s="1265">
        <v>174157.3</v>
      </c>
      <c r="J12" s="1289">
        <v>0</v>
      </c>
    </row>
    <row r="13" spans="2:10" x14ac:dyDescent="0.15">
      <c r="B13" s="1247" t="s">
        <v>78</v>
      </c>
      <c r="C13" s="1248">
        <v>56</v>
      </c>
      <c r="D13" s="1248">
        <v>7</v>
      </c>
      <c r="E13" s="1248"/>
      <c r="F13" s="1248"/>
      <c r="G13" s="1248"/>
      <c r="H13" s="1248">
        <v>211</v>
      </c>
      <c r="I13" s="1249">
        <v>123426.4</v>
      </c>
      <c r="J13" s="1250">
        <v>0</v>
      </c>
    </row>
    <row r="14" spans="2:10" x14ac:dyDescent="0.15">
      <c r="B14" s="1247" t="s">
        <v>83</v>
      </c>
      <c r="C14" s="1248">
        <v>56</v>
      </c>
      <c r="D14" s="1248">
        <v>7</v>
      </c>
      <c r="E14" s="1248"/>
      <c r="F14" s="1248"/>
      <c r="G14" s="1248"/>
      <c r="H14" s="1248">
        <v>212</v>
      </c>
      <c r="I14" s="1250">
        <v>7.4</v>
      </c>
      <c r="J14" s="1250">
        <v>0</v>
      </c>
    </row>
    <row r="15" spans="2:10" x14ac:dyDescent="0.15">
      <c r="B15" s="1247" t="s">
        <v>84</v>
      </c>
      <c r="C15" s="1248">
        <v>56</v>
      </c>
      <c r="D15" s="1248">
        <v>7</v>
      </c>
      <c r="E15" s="1248"/>
      <c r="F15" s="1248"/>
      <c r="G15" s="1248"/>
      <c r="H15" s="1248">
        <v>213</v>
      </c>
      <c r="I15" s="1249">
        <v>35945</v>
      </c>
      <c r="J15" s="1250">
        <v>0</v>
      </c>
    </row>
    <row r="16" spans="2:10" x14ac:dyDescent="0.15">
      <c r="B16" s="1247" t="s">
        <v>85</v>
      </c>
      <c r="C16" s="1248">
        <v>56</v>
      </c>
      <c r="D16" s="1248">
        <v>7</v>
      </c>
      <c r="E16" s="1248"/>
      <c r="F16" s="1248"/>
      <c r="G16" s="1248"/>
      <c r="H16" s="1248">
        <v>221</v>
      </c>
      <c r="I16" s="1250">
        <v>146.19999999999999</v>
      </c>
      <c r="J16" s="1250">
        <v>0</v>
      </c>
    </row>
    <row r="17" spans="2:10" x14ac:dyDescent="0.15">
      <c r="B17" s="1247" t="s">
        <v>86</v>
      </c>
      <c r="C17" s="1248">
        <v>56</v>
      </c>
      <c r="D17" s="1248">
        <v>7</v>
      </c>
      <c r="E17" s="1248"/>
      <c r="F17" s="1248"/>
      <c r="G17" s="1248"/>
      <c r="H17" s="1248">
        <v>222</v>
      </c>
      <c r="I17" s="1250">
        <v>40</v>
      </c>
      <c r="J17" s="1250">
        <v>0</v>
      </c>
    </row>
    <row r="18" spans="2:10" x14ac:dyDescent="0.15">
      <c r="B18" s="1247" t="s">
        <v>87</v>
      </c>
      <c r="C18" s="1248">
        <v>56</v>
      </c>
      <c r="D18" s="1248">
        <v>7</v>
      </c>
      <c r="E18" s="1248"/>
      <c r="F18" s="1248"/>
      <c r="G18" s="1248"/>
      <c r="H18" s="1248">
        <v>223</v>
      </c>
      <c r="I18" s="1249">
        <v>2179</v>
      </c>
      <c r="J18" s="1250">
        <v>0</v>
      </c>
    </row>
    <row r="19" spans="2:10" x14ac:dyDescent="0.15">
      <c r="B19" s="1247" t="s">
        <v>111</v>
      </c>
      <c r="C19" s="1248">
        <v>56</v>
      </c>
      <c r="D19" s="1248">
        <v>7</v>
      </c>
      <c r="E19" s="1248"/>
      <c r="F19" s="1248"/>
      <c r="G19" s="1248"/>
      <c r="H19" s="1248">
        <v>224</v>
      </c>
      <c r="I19" s="1250">
        <v>6</v>
      </c>
      <c r="J19" s="1250">
        <v>0</v>
      </c>
    </row>
    <row r="20" spans="2:10" x14ac:dyDescent="0.15">
      <c r="B20" s="1247" t="s">
        <v>90</v>
      </c>
      <c r="C20" s="1248">
        <v>56</v>
      </c>
      <c r="D20" s="1248">
        <v>7</v>
      </c>
      <c r="E20" s="1248"/>
      <c r="F20" s="1248"/>
      <c r="G20" s="1248"/>
      <c r="H20" s="1248">
        <v>225</v>
      </c>
      <c r="I20" s="1250">
        <v>200.6</v>
      </c>
      <c r="J20" s="1250">
        <v>0</v>
      </c>
    </row>
    <row r="21" spans="2:10" x14ac:dyDescent="0.15">
      <c r="B21" s="1247" t="s">
        <v>91</v>
      </c>
      <c r="C21" s="1248">
        <v>56</v>
      </c>
      <c r="D21" s="1248">
        <v>7</v>
      </c>
      <c r="E21" s="1248"/>
      <c r="F21" s="1248"/>
      <c r="G21" s="1248"/>
      <c r="H21" s="1248">
        <v>226</v>
      </c>
      <c r="I21" s="1249">
        <v>2641</v>
      </c>
      <c r="J21" s="1250">
        <v>0</v>
      </c>
    </row>
    <row r="22" spans="2:10" x14ac:dyDescent="0.15">
      <c r="B22" s="1247" t="s">
        <v>94</v>
      </c>
      <c r="C22" s="1248">
        <v>56</v>
      </c>
      <c r="D22" s="1248">
        <v>7</v>
      </c>
      <c r="E22" s="1248"/>
      <c r="F22" s="1248"/>
      <c r="G22" s="1248"/>
      <c r="H22" s="1248">
        <v>290</v>
      </c>
      <c r="I22" s="1249">
        <v>2667.9</v>
      </c>
      <c r="J22" s="1250">
        <v>0</v>
      </c>
    </row>
    <row r="23" spans="2:10" x14ac:dyDescent="0.15">
      <c r="B23" s="1247" t="s">
        <v>94</v>
      </c>
      <c r="C23" s="1248">
        <v>56</v>
      </c>
      <c r="D23" s="1248">
        <v>7</v>
      </c>
      <c r="E23" s="1248"/>
      <c r="F23" s="1248"/>
      <c r="G23" s="1248"/>
      <c r="H23" s="1248">
        <v>290</v>
      </c>
      <c r="I23" s="1249">
        <v>6027.3</v>
      </c>
      <c r="J23" s="1250">
        <v>0</v>
      </c>
    </row>
    <row r="24" spans="2:10" x14ac:dyDescent="0.15">
      <c r="B24" s="1247" t="s">
        <v>96</v>
      </c>
      <c r="C24" s="1248">
        <v>56</v>
      </c>
      <c r="D24" s="1248">
        <v>7</v>
      </c>
      <c r="E24" s="1248"/>
      <c r="F24" s="1248"/>
      <c r="G24" s="1248"/>
      <c r="H24" s="1248">
        <v>310</v>
      </c>
      <c r="I24" s="1250">
        <v>125.5</v>
      </c>
      <c r="J24" s="1250">
        <v>0</v>
      </c>
    </row>
    <row r="25" spans="2:10" x14ac:dyDescent="0.15">
      <c r="B25" s="1247" t="s">
        <v>97</v>
      </c>
      <c r="C25" s="1248">
        <v>56</v>
      </c>
      <c r="D25" s="1248">
        <v>7</v>
      </c>
      <c r="E25" s="1248"/>
      <c r="F25" s="1248"/>
      <c r="G25" s="1248"/>
      <c r="H25" s="1248">
        <v>340</v>
      </c>
      <c r="I25" s="1250">
        <v>745</v>
      </c>
      <c r="J25" s="1250">
        <v>0</v>
      </c>
    </row>
    <row r="26" spans="2:10" x14ac:dyDescent="0.15">
      <c r="B26" s="1243" t="s">
        <v>767</v>
      </c>
      <c r="C26" s="1244">
        <v>56</v>
      </c>
      <c r="D26" s="1244">
        <v>7</v>
      </c>
      <c r="E26" s="1244"/>
      <c r="F26" s="1244"/>
      <c r="G26" s="1244">
        <v>612</v>
      </c>
      <c r="H26" s="1244">
        <v>241</v>
      </c>
      <c r="I26" s="1250">
        <v>0</v>
      </c>
      <c r="J26" s="1250"/>
    </row>
    <row r="27" spans="2:10" ht="14" x14ac:dyDescent="0.15">
      <c r="B27" s="1284" t="s">
        <v>1126</v>
      </c>
      <c r="C27" s="1307">
        <v>56</v>
      </c>
      <c r="D27" s="1307">
        <v>7</v>
      </c>
      <c r="E27" s="1307">
        <v>2</v>
      </c>
      <c r="F27" s="1307"/>
      <c r="G27" s="1307"/>
      <c r="H27" s="1360"/>
      <c r="I27" s="1202">
        <v>40251</v>
      </c>
      <c r="J27" s="2179">
        <v>0</v>
      </c>
    </row>
    <row r="28" spans="2:10" ht="55" x14ac:dyDescent="0.15">
      <c r="B28" s="2180" t="s">
        <v>1343</v>
      </c>
      <c r="C28" s="1288">
        <v>56</v>
      </c>
      <c r="D28" s="1288">
        <v>7</v>
      </c>
      <c r="E28" s="1288">
        <v>2</v>
      </c>
      <c r="F28" s="1248" t="s">
        <v>1344</v>
      </c>
      <c r="G28" s="1304"/>
      <c r="H28" s="1304"/>
      <c r="I28" s="2181">
        <v>40251</v>
      </c>
      <c r="J28" s="2182">
        <v>0</v>
      </c>
    </row>
    <row r="29" spans="2:10" x14ac:dyDescent="0.15">
      <c r="B29" s="1311" t="s">
        <v>1125</v>
      </c>
      <c r="C29" s="1312">
        <v>56</v>
      </c>
      <c r="D29" s="1312">
        <v>7</v>
      </c>
      <c r="E29" s="1312">
        <v>2</v>
      </c>
      <c r="F29" s="1248" t="s">
        <v>1344</v>
      </c>
      <c r="G29" s="1312">
        <v>600</v>
      </c>
      <c r="H29" s="2163"/>
      <c r="I29" s="1268">
        <v>40251</v>
      </c>
      <c r="J29" s="2178">
        <v>0</v>
      </c>
    </row>
    <row r="30" spans="2:10" ht="26" x14ac:dyDescent="0.15">
      <c r="B30" s="1243" t="s">
        <v>764</v>
      </c>
      <c r="C30" s="1245">
        <v>56</v>
      </c>
      <c r="D30" s="1245">
        <v>7</v>
      </c>
      <c r="E30" s="1245">
        <v>2</v>
      </c>
      <c r="F30" s="1248" t="s">
        <v>1344</v>
      </c>
      <c r="G30" s="1245">
        <v>611</v>
      </c>
      <c r="H30" s="1245">
        <v>241</v>
      </c>
      <c r="I30" s="1265">
        <v>40251</v>
      </c>
      <c r="J30" s="1289">
        <v>0</v>
      </c>
    </row>
    <row r="31" spans="2:10" x14ac:dyDescent="0.15">
      <c r="B31" s="1247" t="s">
        <v>78</v>
      </c>
      <c r="C31" s="1248">
        <v>56</v>
      </c>
      <c r="D31" s="1248">
        <v>7</v>
      </c>
      <c r="E31" s="1248">
        <v>2</v>
      </c>
      <c r="F31" s="1248" t="s">
        <v>1344</v>
      </c>
      <c r="G31" s="1248"/>
      <c r="H31" s="1248">
        <v>211</v>
      </c>
      <c r="I31" s="1249">
        <v>28280.3</v>
      </c>
      <c r="J31" s="1250">
        <v>0</v>
      </c>
    </row>
    <row r="32" spans="2:10" x14ac:dyDescent="0.15">
      <c r="B32" s="1247" t="s">
        <v>103</v>
      </c>
      <c r="C32" s="1248">
        <v>56</v>
      </c>
      <c r="D32" s="1248">
        <v>7</v>
      </c>
      <c r="E32" s="1248">
        <v>2</v>
      </c>
      <c r="F32" s="1248" t="s">
        <v>1344</v>
      </c>
      <c r="G32" s="1248"/>
      <c r="H32" s="1248">
        <v>212</v>
      </c>
      <c r="I32" s="1250">
        <v>2.4</v>
      </c>
      <c r="J32" s="1250">
        <v>0</v>
      </c>
    </row>
    <row r="33" spans="2:10" x14ac:dyDescent="0.15">
      <c r="B33" s="1247" t="s">
        <v>84</v>
      </c>
      <c r="C33" s="1248">
        <v>56</v>
      </c>
      <c r="D33" s="1248">
        <v>7</v>
      </c>
      <c r="E33" s="1248">
        <v>2</v>
      </c>
      <c r="F33" s="1248" t="s">
        <v>1344</v>
      </c>
      <c r="G33" s="1248"/>
      <c r="H33" s="1248">
        <v>213</v>
      </c>
      <c r="I33" s="1249">
        <v>8271.4</v>
      </c>
      <c r="J33" s="1250">
        <v>0</v>
      </c>
    </row>
    <row r="34" spans="2:10" x14ac:dyDescent="0.15">
      <c r="B34" s="1247" t="s">
        <v>85</v>
      </c>
      <c r="C34" s="1248">
        <v>56</v>
      </c>
      <c r="D34" s="1248">
        <v>7</v>
      </c>
      <c r="E34" s="1248">
        <v>2</v>
      </c>
      <c r="F34" s="1248" t="s">
        <v>1344</v>
      </c>
      <c r="G34" s="1248"/>
      <c r="H34" s="1248">
        <v>221</v>
      </c>
      <c r="I34" s="1250">
        <v>28.2</v>
      </c>
      <c r="J34" s="1250">
        <v>0</v>
      </c>
    </row>
    <row r="35" spans="2:10" x14ac:dyDescent="0.15">
      <c r="B35" s="1247" t="s">
        <v>86</v>
      </c>
      <c r="C35" s="1248">
        <v>56</v>
      </c>
      <c r="D35" s="1248">
        <v>7</v>
      </c>
      <c r="E35" s="1248">
        <v>2</v>
      </c>
      <c r="F35" s="1248" t="s">
        <v>1344</v>
      </c>
      <c r="G35" s="1248"/>
      <c r="H35" s="1248">
        <v>222</v>
      </c>
      <c r="I35" s="1250">
        <v>20</v>
      </c>
      <c r="J35" s="1250">
        <v>0</v>
      </c>
    </row>
    <row r="36" spans="2:10" x14ac:dyDescent="0.15">
      <c r="B36" s="1247" t="s">
        <v>87</v>
      </c>
      <c r="C36" s="1248">
        <v>56</v>
      </c>
      <c r="D36" s="1248">
        <v>7</v>
      </c>
      <c r="E36" s="1248">
        <v>2</v>
      </c>
      <c r="F36" s="1248" t="s">
        <v>1344</v>
      </c>
      <c r="G36" s="1248"/>
      <c r="H36" s="1248">
        <v>223</v>
      </c>
      <c r="I36" s="1250">
        <v>791.4</v>
      </c>
      <c r="J36" s="1250">
        <v>0</v>
      </c>
    </row>
    <row r="37" spans="2:10" x14ac:dyDescent="0.15">
      <c r="B37" s="1247" t="s">
        <v>89</v>
      </c>
      <c r="C37" s="1248">
        <v>56</v>
      </c>
      <c r="D37" s="1248">
        <v>7</v>
      </c>
      <c r="E37" s="1248">
        <v>2</v>
      </c>
      <c r="F37" s="1248" t="s">
        <v>1344</v>
      </c>
      <c r="G37" s="1248"/>
      <c r="H37" s="1248">
        <v>224</v>
      </c>
      <c r="I37" s="1250">
        <v>0</v>
      </c>
      <c r="J37" s="1250">
        <v>0</v>
      </c>
    </row>
    <row r="38" spans="2:10" x14ac:dyDescent="0.15">
      <c r="B38" s="1247" t="s">
        <v>90</v>
      </c>
      <c r="C38" s="1248">
        <v>56</v>
      </c>
      <c r="D38" s="1248">
        <v>7</v>
      </c>
      <c r="E38" s="1248">
        <v>2</v>
      </c>
      <c r="F38" s="1248" t="s">
        <v>1344</v>
      </c>
      <c r="G38" s="1248"/>
      <c r="H38" s="1248">
        <v>225</v>
      </c>
      <c r="I38" s="1250">
        <v>117.2</v>
      </c>
      <c r="J38" s="1250">
        <v>0</v>
      </c>
    </row>
    <row r="39" spans="2:10" x14ac:dyDescent="0.15">
      <c r="B39" s="1247" t="s">
        <v>91</v>
      </c>
      <c r="C39" s="1248">
        <v>56</v>
      </c>
      <c r="D39" s="1248">
        <v>7</v>
      </c>
      <c r="E39" s="1248">
        <v>2</v>
      </c>
      <c r="F39" s="1248" t="s">
        <v>1344</v>
      </c>
      <c r="G39" s="1248"/>
      <c r="H39" s="1248">
        <v>226</v>
      </c>
      <c r="I39" s="1250">
        <v>617.20000000000005</v>
      </c>
      <c r="J39" s="1250">
        <v>0</v>
      </c>
    </row>
    <row r="40" spans="2:10" x14ac:dyDescent="0.15">
      <c r="B40" s="1247" t="s">
        <v>223</v>
      </c>
      <c r="C40" s="1248">
        <v>56</v>
      </c>
      <c r="D40" s="1248">
        <v>7</v>
      </c>
      <c r="E40" s="1248">
        <v>2</v>
      </c>
      <c r="F40" s="1248" t="s">
        <v>1344</v>
      </c>
      <c r="G40" s="1248"/>
      <c r="H40" s="1248">
        <v>290</v>
      </c>
      <c r="I40" s="1249">
        <v>1902.9</v>
      </c>
      <c r="J40" s="1250">
        <v>0</v>
      </c>
    </row>
    <row r="41" spans="2:10" x14ac:dyDescent="0.15">
      <c r="B41" s="1247" t="s">
        <v>94</v>
      </c>
      <c r="C41" s="1248">
        <v>56</v>
      </c>
      <c r="D41" s="1248">
        <v>7</v>
      </c>
      <c r="E41" s="1248">
        <v>2</v>
      </c>
      <c r="F41" s="1248" t="s">
        <v>1344</v>
      </c>
      <c r="G41" s="1248"/>
      <c r="H41" s="1248">
        <v>290</v>
      </c>
      <c r="I41" s="1250">
        <v>0</v>
      </c>
      <c r="J41" s="1250">
        <v>0</v>
      </c>
    </row>
    <row r="42" spans="2:10" x14ac:dyDescent="0.15">
      <c r="B42" s="1247" t="s">
        <v>104</v>
      </c>
      <c r="C42" s="1248">
        <v>56</v>
      </c>
      <c r="D42" s="1248">
        <v>7</v>
      </c>
      <c r="E42" s="1248">
        <v>2</v>
      </c>
      <c r="F42" s="1248" t="s">
        <v>1344</v>
      </c>
      <c r="G42" s="1248"/>
      <c r="H42" s="1248">
        <v>310</v>
      </c>
      <c r="I42" s="1250">
        <v>100</v>
      </c>
      <c r="J42" s="1250">
        <v>0</v>
      </c>
    </row>
    <row r="43" spans="2:10" x14ac:dyDescent="0.15">
      <c r="B43" s="1247" t="s">
        <v>97</v>
      </c>
      <c r="C43" s="1248">
        <v>56</v>
      </c>
      <c r="D43" s="1248">
        <v>7</v>
      </c>
      <c r="E43" s="1248">
        <v>2</v>
      </c>
      <c r="F43" s="1248" t="s">
        <v>1344</v>
      </c>
      <c r="G43" s="1248"/>
      <c r="H43" s="1248">
        <v>340</v>
      </c>
      <c r="I43" s="1250">
        <v>120</v>
      </c>
      <c r="J43" s="1250">
        <v>0</v>
      </c>
    </row>
    <row r="44" spans="2:10" x14ac:dyDescent="0.15">
      <c r="B44" s="1243" t="s">
        <v>767</v>
      </c>
      <c r="C44" s="1244">
        <v>56</v>
      </c>
      <c r="D44" s="1244">
        <v>7</v>
      </c>
      <c r="E44" s="1244">
        <v>2</v>
      </c>
      <c r="F44" s="1248" t="s">
        <v>1345</v>
      </c>
      <c r="G44" s="1244">
        <v>612</v>
      </c>
      <c r="H44" s="1244">
        <v>241</v>
      </c>
      <c r="I44" s="1289">
        <v>0</v>
      </c>
      <c r="J44" s="1289"/>
    </row>
    <row r="45" spans="2:10" ht="39" x14ac:dyDescent="0.15">
      <c r="B45" s="1239" t="s">
        <v>1127</v>
      </c>
      <c r="C45" s="2162">
        <v>56</v>
      </c>
      <c r="D45" s="2162">
        <v>7</v>
      </c>
      <c r="E45" s="2162">
        <v>2</v>
      </c>
      <c r="F45" s="1248" t="s">
        <v>1346</v>
      </c>
      <c r="G45" s="1241">
        <v>600</v>
      </c>
      <c r="H45" s="1239"/>
      <c r="I45" s="2164">
        <v>7675.3</v>
      </c>
      <c r="J45" s="1241">
        <v>0</v>
      </c>
    </row>
    <row r="46" spans="2:10" ht="26" x14ac:dyDescent="0.15">
      <c r="B46" s="1243" t="s">
        <v>764</v>
      </c>
      <c r="C46" s="1244">
        <v>56</v>
      </c>
      <c r="D46" s="1244">
        <v>7</v>
      </c>
      <c r="E46" s="1244">
        <v>2</v>
      </c>
      <c r="F46" s="1248" t="s">
        <v>1347</v>
      </c>
      <c r="G46" s="1245">
        <v>611</v>
      </c>
      <c r="H46" s="1245">
        <v>241</v>
      </c>
      <c r="I46" s="1246">
        <v>7675.3</v>
      </c>
      <c r="J46" s="1253">
        <v>0</v>
      </c>
    </row>
    <row r="47" spans="2:10" x14ac:dyDescent="0.15">
      <c r="B47" s="1247" t="s">
        <v>78</v>
      </c>
      <c r="C47" s="1248">
        <v>56</v>
      </c>
      <c r="D47" s="1248">
        <v>7</v>
      </c>
      <c r="E47" s="1248">
        <v>2</v>
      </c>
      <c r="F47" s="1248" t="s">
        <v>1344</v>
      </c>
      <c r="G47" s="1248"/>
      <c r="H47" s="1248">
        <v>211</v>
      </c>
      <c r="I47" s="1249">
        <v>5603.9</v>
      </c>
      <c r="J47" s="1250"/>
    </row>
    <row r="48" spans="2:10" x14ac:dyDescent="0.15">
      <c r="B48" s="1247" t="s">
        <v>103</v>
      </c>
      <c r="C48" s="1248">
        <v>56</v>
      </c>
      <c r="D48" s="1248">
        <v>7</v>
      </c>
      <c r="E48" s="1248">
        <v>2</v>
      </c>
      <c r="F48" s="1248" t="s">
        <v>1344</v>
      </c>
      <c r="G48" s="1248"/>
      <c r="H48" s="1248">
        <v>212</v>
      </c>
      <c r="I48" s="1250"/>
      <c r="J48" s="1250"/>
    </row>
    <row r="49" spans="2:10" x14ac:dyDescent="0.15">
      <c r="B49" s="1247" t="s">
        <v>84</v>
      </c>
      <c r="C49" s="1248">
        <v>56</v>
      </c>
      <c r="D49" s="1248">
        <v>7</v>
      </c>
      <c r="E49" s="1248">
        <v>2</v>
      </c>
      <c r="F49" s="1248" t="s">
        <v>1344</v>
      </c>
      <c r="G49" s="1248"/>
      <c r="H49" s="1248">
        <v>213</v>
      </c>
      <c r="I49" s="1249">
        <v>1632.9</v>
      </c>
      <c r="J49" s="1250"/>
    </row>
    <row r="50" spans="2:10" x14ac:dyDescent="0.15">
      <c r="B50" s="1247" t="s">
        <v>85</v>
      </c>
      <c r="C50" s="1248">
        <v>56</v>
      </c>
      <c r="D50" s="1248">
        <v>7</v>
      </c>
      <c r="E50" s="1248">
        <v>2</v>
      </c>
      <c r="F50" s="1248" t="s">
        <v>1344</v>
      </c>
      <c r="G50" s="1248"/>
      <c r="H50" s="1248">
        <v>221</v>
      </c>
      <c r="I50" s="1250">
        <v>13.7</v>
      </c>
      <c r="J50" s="1250"/>
    </row>
    <row r="51" spans="2:10" x14ac:dyDescent="0.15">
      <c r="B51" s="1247" t="s">
        <v>86</v>
      </c>
      <c r="C51" s="1248">
        <v>56</v>
      </c>
      <c r="D51" s="1248">
        <v>7</v>
      </c>
      <c r="E51" s="1248">
        <v>2</v>
      </c>
      <c r="F51" s="1248" t="s">
        <v>1344</v>
      </c>
      <c r="G51" s="1248"/>
      <c r="H51" s="1248">
        <v>222</v>
      </c>
      <c r="I51" s="1250"/>
      <c r="J51" s="1250"/>
    </row>
    <row r="52" spans="2:10" x14ac:dyDescent="0.15">
      <c r="B52" s="1247" t="s">
        <v>87</v>
      </c>
      <c r="C52" s="1248">
        <v>56</v>
      </c>
      <c r="D52" s="1248">
        <v>7</v>
      </c>
      <c r="E52" s="1248">
        <v>2</v>
      </c>
      <c r="F52" s="1248" t="s">
        <v>1344</v>
      </c>
      <c r="G52" s="1248"/>
      <c r="H52" s="1248">
        <v>223</v>
      </c>
      <c r="I52" s="1250">
        <v>228.6</v>
      </c>
      <c r="J52" s="1250"/>
    </row>
    <row r="53" spans="2:10" x14ac:dyDescent="0.15">
      <c r="B53" s="1247" t="s">
        <v>89</v>
      </c>
      <c r="C53" s="1248">
        <v>56</v>
      </c>
      <c r="D53" s="1248">
        <v>7</v>
      </c>
      <c r="E53" s="1248">
        <v>2</v>
      </c>
      <c r="F53" s="1248" t="s">
        <v>1344</v>
      </c>
      <c r="G53" s="1248"/>
      <c r="H53" s="1248">
        <v>224</v>
      </c>
      <c r="I53" s="1250"/>
      <c r="J53" s="1250"/>
    </row>
    <row r="54" spans="2:10" x14ac:dyDescent="0.15">
      <c r="B54" s="1247" t="s">
        <v>90</v>
      </c>
      <c r="C54" s="1248">
        <v>56</v>
      </c>
      <c r="D54" s="1248">
        <v>7</v>
      </c>
      <c r="E54" s="1248">
        <v>2</v>
      </c>
      <c r="F54" s="1248" t="s">
        <v>1344</v>
      </c>
      <c r="G54" s="1248"/>
      <c r="H54" s="1248">
        <v>225</v>
      </c>
      <c r="I54" s="1250"/>
      <c r="J54" s="1250"/>
    </row>
    <row r="55" spans="2:10" x14ac:dyDescent="0.15">
      <c r="B55" s="1247" t="s">
        <v>91</v>
      </c>
      <c r="C55" s="1248">
        <v>56</v>
      </c>
      <c r="D55" s="1248">
        <v>7</v>
      </c>
      <c r="E55" s="1248">
        <v>2</v>
      </c>
      <c r="F55" s="1248" t="s">
        <v>1344</v>
      </c>
      <c r="G55" s="1248"/>
      <c r="H55" s="1248">
        <v>226</v>
      </c>
      <c r="I55" s="1250">
        <v>3</v>
      </c>
      <c r="J55" s="1250"/>
    </row>
    <row r="56" spans="2:10" x14ac:dyDescent="0.15">
      <c r="B56" s="1247" t="s">
        <v>220</v>
      </c>
      <c r="C56" s="1248">
        <v>56</v>
      </c>
      <c r="D56" s="1248">
        <v>7</v>
      </c>
      <c r="E56" s="1248">
        <v>2</v>
      </c>
      <c r="F56" s="1248" t="s">
        <v>1344</v>
      </c>
      <c r="G56" s="1248"/>
      <c r="H56" s="1248">
        <v>290</v>
      </c>
      <c r="I56" s="1250">
        <v>93.2</v>
      </c>
      <c r="J56" s="1250"/>
    </row>
    <row r="57" spans="2:10" x14ac:dyDescent="0.15">
      <c r="B57" s="1247" t="s">
        <v>220</v>
      </c>
      <c r="C57" s="1248">
        <v>56</v>
      </c>
      <c r="D57" s="1248">
        <v>7</v>
      </c>
      <c r="E57" s="1248">
        <v>2</v>
      </c>
      <c r="F57" s="1248" t="s">
        <v>1344</v>
      </c>
      <c r="G57" s="1248"/>
      <c r="H57" s="1248">
        <v>290</v>
      </c>
      <c r="I57" s="1250"/>
      <c r="J57" s="1250"/>
    </row>
    <row r="58" spans="2:10" x14ac:dyDescent="0.15">
      <c r="B58" s="1247" t="s">
        <v>104</v>
      </c>
      <c r="C58" s="1248">
        <v>56</v>
      </c>
      <c r="D58" s="1248">
        <v>7</v>
      </c>
      <c r="E58" s="1248">
        <v>2</v>
      </c>
      <c r="F58" s="1248" t="s">
        <v>1344</v>
      </c>
      <c r="G58" s="1248"/>
      <c r="H58" s="1248">
        <v>310</v>
      </c>
      <c r="I58" s="1250">
        <v>50</v>
      </c>
      <c r="J58" s="1250"/>
    </row>
    <row r="59" spans="2:10" x14ac:dyDescent="0.15">
      <c r="B59" s="1247" t="s">
        <v>97</v>
      </c>
      <c r="C59" s="1248">
        <v>56</v>
      </c>
      <c r="D59" s="1248">
        <v>7</v>
      </c>
      <c r="E59" s="1248">
        <v>2</v>
      </c>
      <c r="F59" s="1248" t="s">
        <v>1344</v>
      </c>
      <c r="G59" s="1248"/>
      <c r="H59" s="1248">
        <v>340</v>
      </c>
      <c r="I59" s="1250">
        <v>50</v>
      </c>
      <c r="J59" s="1250"/>
    </row>
    <row r="60" spans="2:10" ht="14" x14ac:dyDescent="0.15">
      <c r="B60" s="1243" t="s">
        <v>767</v>
      </c>
      <c r="C60" s="1244">
        <v>56</v>
      </c>
      <c r="D60" s="1244">
        <v>7</v>
      </c>
      <c r="E60" s="1244">
        <v>2</v>
      </c>
      <c r="F60" s="1248" t="s">
        <v>1344</v>
      </c>
      <c r="G60" s="1244">
        <v>612</v>
      </c>
      <c r="H60" s="1244">
        <v>241</v>
      </c>
      <c r="I60" s="1252">
        <v>0</v>
      </c>
      <c r="J60" s="1247"/>
    </row>
    <row r="61" spans="2:10" ht="26" x14ac:dyDescent="0.15">
      <c r="B61" s="1239" t="s">
        <v>1128</v>
      </c>
      <c r="C61" s="2162">
        <v>56</v>
      </c>
      <c r="D61" s="2162">
        <v>7</v>
      </c>
      <c r="E61" s="2162">
        <v>2</v>
      </c>
      <c r="F61" s="1248" t="s">
        <v>1344</v>
      </c>
      <c r="G61" s="1241">
        <v>600</v>
      </c>
      <c r="H61" s="1239"/>
      <c r="I61" s="2164">
        <v>5815.7</v>
      </c>
      <c r="J61" s="1241">
        <v>0</v>
      </c>
    </row>
    <row r="62" spans="2:10" ht="26" x14ac:dyDescent="0.15">
      <c r="B62" s="1243" t="s">
        <v>764</v>
      </c>
      <c r="C62" s="1244">
        <v>56</v>
      </c>
      <c r="D62" s="1244">
        <v>7</v>
      </c>
      <c r="E62" s="1244">
        <v>2</v>
      </c>
      <c r="F62" s="1248" t="s">
        <v>1344</v>
      </c>
      <c r="G62" s="1253">
        <v>611</v>
      </c>
      <c r="H62" s="1253">
        <v>241</v>
      </c>
      <c r="I62" s="1246">
        <v>5815.7</v>
      </c>
      <c r="J62" s="1253">
        <v>0</v>
      </c>
    </row>
    <row r="63" spans="2:10" ht="14" x14ac:dyDescent="0.15">
      <c r="B63" s="1247" t="s">
        <v>78</v>
      </c>
      <c r="C63" s="1248">
        <v>56</v>
      </c>
      <c r="D63" s="1248">
        <v>7</v>
      </c>
      <c r="E63" s="1248">
        <v>2</v>
      </c>
      <c r="F63" s="1248" t="s">
        <v>1344</v>
      </c>
      <c r="G63" s="1248"/>
      <c r="H63" s="1248">
        <v>211</v>
      </c>
      <c r="I63" s="1254">
        <v>4482.1000000000004</v>
      </c>
      <c r="J63" s="1255"/>
    </row>
    <row r="64" spans="2:10" ht="14" x14ac:dyDescent="0.15">
      <c r="B64" s="1247" t="s">
        <v>103</v>
      </c>
      <c r="C64" s="1248">
        <v>56</v>
      </c>
      <c r="D64" s="1248">
        <v>7</v>
      </c>
      <c r="E64" s="1248">
        <v>2</v>
      </c>
      <c r="F64" s="1248" t="s">
        <v>1344</v>
      </c>
      <c r="G64" s="1248"/>
      <c r="H64" s="1248">
        <v>212</v>
      </c>
      <c r="I64" s="1255"/>
      <c r="J64" s="1247"/>
    </row>
    <row r="65" spans="2:10" ht="14" x14ac:dyDescent="0.15">
      <c r="B65" s="1247" t="s">
        <v>84</v>
      </c>
      <c r="C65" s="1248">
        <v>56</v>
      </c>
      <c r="D65" s="1248">
        <v>7</v>
      </c>
      <c r="E65" s="1248">
        <v>2</v>
      </c>
      <c r="F65" s="1248" t="s">
        <v>1344</v>
      </c>
      <c r="G65" s="1248"/>
      <c r="H65" s="1248">
        <v>213</v>
      </c>
      <c r="I65" s="1254">
        <v>1306.0999999999999</v>
      </c>
      <c r="J65" s="1247"/>
    </row>
    <row r="66" spans="2:10" ht="14" x14ac:dyDescent="0.15">
      <c r="B66" s="1247" t="s">
        <v>85</v>
      </c>
      <c r="C66" s="1248">
        <v>56</v>
      </c>
      <c r="D66" s="1248">
        <v>7</v>
      </c>
      <c r="E66" s="1248">
        <v>2</v>
      </c>
      <c r="F66" s="1248" t="s">
        <v>1344</v>
      </c>
      <c r="G66" s="1248"/>
      <c r="H66" s="1248">
        <v>221</v>
      </c>
      <c r="I66" s="1255"/>
      <c r="J66" s="1247"/>
    </row>
    <row r="67" spans="2:10" ht="14" x14ac:dyDescent="0.15">
      <c r="B67" s="1247" t="s">
        <v>86</v>
      </c>
      <c r="C67" s="1248">
        <v>56</v>
      </c>
      <c r="D67" s="1248">
        <v>7</v>
      </c>
      <c r="E67" s="1248">
        <v>2</v>
      </c>
      <c r="F67" s="1248" t="s">
        <v>1344</v>
      </c>
      <c r="G67" s="1248"/>
      <c r="H67" s="1248">
        <v>222</v>
      </c>
      <c r="I67" s="1255"/>
      <c r="J67" s="1247"/>
    </row>
    <row r="68" spans="2:10" ht="14" x14ac:dyDescent="0.15">
      <c r="B68" s="1247" t="s">
        <v>87</v>
      </c>
      <c r="C68" s="1248">
        <v>56</v>
      </c>
      <c r="D68" s="1248">
        <v>7</v>
      </c>
      <c r="E68" s="1248">
        <v>2</v>
      </c>
      <c r="F68" s="1248" t="s">
        <v>1344</v>
      </c>
      <c r="G68" s="1248"/>
      <c r="H68" s="1248">
        <v>223</v>
      </c>
      <c r="I68" s="1255"/>
      <c r="J68" s="1247"/>
    </row>
    <row r="69" spans="2:10" ht="14" x14ac:dyDescent="0.15">
      <c r="B69" s="1247" t="s">
        <v>89</v>
      </c>
      <c r="C69" s="1248">
        <v>56</v>
      </c>
      <c r="D69" s="1248">
        <v>7</v>
      </c>
      <c r="E69" s="1248">
        <v>2</v>
      </c>
      <c r="F69" s="1248" t="s">
        <v>1344</v>
      </c>
      <c r="G69" s="1248"/>
      <c r="H69" s="1248">
        <v>224</v>
      </c>
      <c r="I69" s="1255"/>
      <c r="J69" s="1247"/>
    </row>
    <row r="70" spans="2:10" ht="14" x14ac:dyDescent="0.15">
      <c r="B70" s="1247" t="s">
        <v>90</v>
      </c>
      <c r="C70" s="1248">
        <v>56</v>
      </c>
      <c r="D70" s="1248">
        <v>7</v>
      </c>
      <c r="E70" s="1248">
        <v>2</v>
      </c>
      <c r="F70" s="1248" t="s">
        <v>1344</v>
      </c>
      <c r="G70" s="1248"/>
      <c r="H70" s="1248">
        <v>225</v>
      </c>
      <c r="I70" s="1255"/>
      <c r="J70" s="1247"/>
    </row>
    <row r="71" spans="2:10" ht="14" x14ac:dyDescent="0.15">
      <c r="B71" s="1247" t="s">
        <v>91</v>
      </c>
      <c r="C71" s="1248">
        <v>56</v>
      </c>
      <c r="D71" s="1248">
        <v>7</v>
      </c>
      <c r="E71" s="1248">
        <v>2</v>
      </c>
      <c r="F71" s="1248" t="s">
        <v>1344</v>
      </c>
      <c r="G71" s="1248"/>
      <c r="H71" s="1248">
        <v>226</v>
      </c>
      <c r="I71" s="1255"/>
      <c r="J71" s="1247"/>
    </row>
    <row r="72" spans="2:10" ht="14" x14ac:dyDescent="0.15">
      <c r="B72" s="1247" t="s">
        <v>94</v>
      </c>
      <c r="C72" s="1248">
        <v>56</v>
      </c>
      <c r="D72" s="1248">
        <v>7</v>
      </c>
      <c r="E72" s="1248">
        <v>2</v>
      </c>
      <c r="F72" s="1248" t="s">
        <v>1344</v>
      </c>
      <c r="G72" s="1248"/>
      <c r="H72" s="1248">
        <v>290</v>
      </c>
      <c r="I72" s="1255">
        <v>7.5</v>
      </c>
      <c r="J72" s="1247"/>
    </row>
    <row r="73" spans="2:10" ht="14" x14ac:dyDescent="0.15">
      <c r="B73" s="1247" t="s">
        <v>94</v>
      </c>
      <c r="C73" s="1248">
        <v>56</v>
      </c>
      <c r="D73" s="1248">
        <v>7</v>
      </c>
      <c r="E73" s="1248">
        <v>2</v>
      </c>
      <c r="F73" s="1248" t="s">
        <v>1344</v>
      </c>
      <c r="G73" s="1248"/>
      <c r="H73" s="1248">
        <v>290</v>
      </c>
      <c r="I73" s="1255"/>
      <c r="J73" s="1247"/>
    </row>
    <row r="74" spans="2:10" ht="14" x14ac:dyDescent="0.15">
      <c r="B74" s="1247" t="s">
        <v>104</v>
      </c>
      <c r="C74" s="1248">
        <v>56</v>
      </c>
      <c r="D74" s="1248">
        <v>7</v>
      </c>
      <c r="E74" s="1248">
        <v>2</v>
      </c>
      <c r="F74" s="1248" t="s">
        <v>1344</v>
      </c>
      <c r="G74" s="1248"/>
      <c r="H74" s="1248">
        <v>310</v>
      </c>
      <c r="I74" s="1255">
        <v>20</v>
      </c>
      <c r="J74" s="1247"/>
    </row>
    <row r="75" spans="2:10" ht="14" x14ac:dyDescent="0.15">
      <c r="B75" s="1247" t="s">
        <v>97</v>
      </c>
      <c r="C75" s="1248">
        <v>56</v>
      </c>
      <c r="D75" s="1248">
        <v>7</v>
      </c>
      <c r="E75" s="1248">
        <v>2</v>
      </c>
      <c r="F75" s="1248" t="s">
        <v>1344</v>
      </c>
      <c r="G75" s="1248"/>
      <c r="H75" s="1248">
        <v>340</v>
      </c>
      <c r="I75" s="1255"/>
      <c r="J75" s="1247"/>
    </row>
    <row r="76" spans="2:10" ht="14" x14ac:dyDescent="0.15">
      <c r="B76" s="1243" t="s">
        <v>767</v>
      </c>
      <c r="C76" s="1244">
        <v>56</v>
      </c>
      <c r="D76" s="1244">
        <v>7</v>
      </c>
      <c r="E76" s="1244">
        <v>2</v>
      </c>
      <c r="F76" s="1248" t="s">
        <v>1344</v>
      </c>
      <c r="G76" s="1244">
        <v>612</v>
      </c>
      <c r="H76" s="1244">
        <v>241</v>
      </c>
      <c r="I76" s="1252">
        <v>0</v>
      </c>
      <c r="J76" s="1247"/>
    </row>
    <row r="77" spans="2:10" ht="39" x14ac:dyDescent="0.15">
      <c r="B77" s="1239" t="s">
        <v>1129</v>
      </c>
      <c r="C77" s="2162">
        <v>56</v>
      </c>
      <c r="D77" s="2162">
        <v>7</v>
      </c>
      <c r="E77" s="2162">
        <v>2</v>
      </c>
      <c r="F77" s="1248" t="s">
        <v>1344</v>
      </c>
      <c r="G77" s="1241">
        <v>600</v>
      </c>
      <c r="H77" s="1239"/>
      <c r="I77" s="2164">
        <v>7932.3</v>
      </c>
      <c r="J77" s="1241">
        <v>0</v>
      </c>
    </row>
    <row r="78" spans="2:10" ht="26" x14ac:dyDescent="0.15">
      <c r="B78" s="1243" t="s">
        <v>764</v>
      </c>
      <c r="C78" s="1244">
        <v>56</v>
      </c>
      <c r="D78" s="1244">
        <v>7</v>
      </c>
      <c r="E78" s="1244">
        <v>2</v>
      </c>
      <c r="F78" s="1248" t="s">
        <v>1344</v>
      </c>
      <c r="G78" s="1253">
        <v>611</v>
      </c>
      <c r="H78" s="1253">
        <v>241</v>
      </c>
      <c r="I78" s="1246">
        <v>7932.3</v>
      </c>
      <c r="J78" s="1253">
        <v>0</v>
      </c>
    </row>
    <row r="79" spans="2:10" ht="14" x14ac:dyDescent="0.15">
      <c r="B79" s="1247" t="s">
        <v>78</v>
      </c>
      <c r="C79" s="1248">
        <v>56</v>
      </c>
      <c r="D79" s="1248">
        <v>7</v>
      </c>
      <c r="E79" s="1248">
        <v>2</v>
      </c>
      <c r="F79" s="1248" t="s">
        <v>1344</v>
      </c>
      <c r="G79" s="1248"/>
      <c r="H79" s="1248">
        <v>211</v>
      </c>
      <c r="I79" s="1254">
        <v>5979.9</v>
      </c>
      <c r="J79" s="1255"/>
    </row>
    <row r="80" spans="2:10" ht="14" x14ac:dyDescent="0.15">
      <c r="B80" s="1247" t="s">
        <v>103</v>
      </c>
      <c r="C80" s="1248">
        <v>56</v>
      </c>
      <c r="D80" s="1248">
        <v>7</v>
      </c>
      <c r="E80" s="1248">
        <v>2</v>
      </c>
      <c r="F80" s="1248" t="s">
        <v>1344</v>
      </c>
      <c r="G80" s="1248"/>
      <c r="H80" s="1248">
        <v>212</v>
      </c>
      <c r="I80" s="1255"/>
      <c r="J80" s="1255"/>
    </row>
    <row r="81" spans="2:10" ht="14" x14ac:dyDescent="0.15">
      <c r="B81" s="1247" t="s">
        <v>84</v>
      </c>
      <c r="C81" s="1248">
        <v>56</v>
      </c>
      <c r="D81" s="1248">
        <v>7</v>
      </c>
      <c r="E81" s="1248">
        <v>2</v>
      </c>
      <c r="F81" s="1248" t="s">
        <v>1344</v>
      </c>
      <c r="G81" s="1248"/>
      <c r="H81" s="1248">
        <v>213</v>
      </c>
      <c r="I81" s="1254">
        <v>1742.6</v>
      </c>
      <c r="J81" s="1255"/>
    </row>
    <row r="82" spans="2:10" ht="14" x14ac:dyDescent="0.15">
      <c r="B82" s="1247" t="s">
        <v>85</v>
      </c>
      <c r="C82" s="1248">
        <v>56</v>
      </c>
      <c r="D82" s="1248">
        <v>7</v>
      </c>
      <c r="E82" s="1248">
        <v>2</v>
      </c>
      <c r="F82" s="1248" t="s">
        <v>1344</v>
      </c>
      <c r="G82" s="1248"/>
      <c r="H82" s="1248">
        <v>221</v>
      </c>
      <c r="I82" s="1255"/>
      <c r="J82" s="1255"/>
    </row>
    <row r="83" spans="2:10" ht="14" x14ac:dyDescent="0.15">
      <c r="B83" s="1247" t="s">
        <v>86</v>
      </c>
      <c r="C83" s="1248">
        <v>56</v>
      </c>
      <c r="D83" s="1248">
        <v>7</v>
      </c>
      <c r="E83" s="1248">
        <v>2</v>
      </c>
      <c r="F83" s="1248" t="s">
        <v>1344</v>
      </c>
      <c r="G83" s="1248"/>
      <c r="H83" s="1248">
        <v>222</v>
      </c>
      <c r="I83" s="1255"/>
      <c r="J83" s="1255"/>
    </row>
    <row r="84" spans="2:10" ht="14" x14ac:dyDescent="0.15">
      <c r="B84" s="1247" t="s">
        <v>87</v>
      </c>
      <c r="C84" s="1248">
        <v>56</v>
      </c>
      <c r="D84" s="1248">
        <v>7</v>
      </c>
      <c r="E84" s="1248">
        <v>2</v>
      </c>
      <c r="F84" s="1248" t="s">
        <v>1344</v>
      </c>
      <c r="G84" s="1248"/>
      <c r="H84" s="1248">
        <v>223</v>
      </c>
      <c r="I84" s="1255"/>
      <c r="J84" s="1255"/>
    </row>
    <row r="85" spans="2:10" ht="14" x14ac:dyDescent="0.15">
      <c r="B85" s="1247" t="s">
        <v>89</v>
      </c>
      <c r="C85" s="1248">
        <v>56</v>
      </c>
      <c r="D85" s="1248">
        <v>7</v>
      </c>
      <c r="E85" s="1248">
        <v>2</v>
      </c>
      <c r="F85" s="1248" t="s">
        <v>1344</v>
      </c>
      <c r="G85" s="1248"/>
      <c r="H85" s="1248">
        <v>224</v>
      </c>
      <c r="I85" s="1255"/>
      <c r="J85" s="1255"/>
    </row>
    <row r="86" spans="2:10" ht="14" x14ac:dyDescent="0.15">
      <c r="B86" s="1247" t="s">
        <v>90</v>
      </c>
      <c r="C86" s="1248">
        <v>56</v>
      </c>
      <c r="D86" s="1248">
        <v>7</v>
      </c>
      <c r="E86" s="1248">
        <v>2</v>
      </c>
      <c r="F86" s="1248" t="s">
        <v>1344</v>
      </c>
      <c r="G86" s="1248"/>
      <c r="H86" s="1248">
        <v>225</v>
      </c>
      <c r="I86" s="1255"/>
      <c r="J86" s="1255"/>
    </row>
    <row r="87" spans="2:10" ht="14" x14ac:dyDescent="0.15">
      <c r="B87" s="1247" t="s">
        <v>91</v>
      </c>
      <c r="C87" s="1248">
        <v>56</v>
      </c>
      <c r="D87" s="1248">
        <v>7</v>
      </c>
      <c r="E87" s="1248">
        <v>2</v>
      </c>
      <c r="F87" s="1248" t="s">
        <v>1344</v>
      </c>
      <c r="G87" s="1248"/>
      <c r="H87" s="1248">
        <v>226</v>
      </c>
      <c r="I87" s="1255">
        <v>100.8</v>
      </c>
      <c r="J87" s="1255"/>
    </row>
    <row r="88" spans="2:10" ht="14" x14ac:dyDescent="0.15">
      <c r="B88" s="1247" t="s">
        <v>94</v>
      </c>
      <c r="C88" s="1248">
        <v>56</v>
      </c>
      <c r="D88" s="1248">
        <v>7</v>
      </c>
      <c r="E88" s="1248">
        <v>2</v>
      </c>
      <c r="F88" s="1248" t="s">
        <v>1344</v>
      </c>
      <c r="G88" s="1248"/>
      <c r="H88" s="1248">
        <v>290</v>
      </c>
      <c r="I88" s="1255">
        <v>9</v>
      </c>
      <c r="J88" s="1255"/>
    </row>
    <row r="89" spans="2:10" ht="14" x14ac:dyDescent="0.15">
      <c r="B89" s="1247" t="s">
        <v>94</v>
      </c>
      <c r="C89" s="1248">
        <v>56</v>
      </c>
      <c r="D89" s="1248">
        <v>7</v>
      </c>
      <c r="E89" s="1248">
        <v>2</v>
      </c>
      <c r="F89" s="1248" t="s">
        <v>1344</v>
      </c>
      <c r="G89" s="1248"/>
      <c r="H89" s="1248">
        <v>290</v>
      </c>
      <c r="I89" s="1255"/>
      <c r="J89" s="1255"/>
    </row>
    <row r="90" spans="2:10" ht="14" x14ac:dyDescent="0.15">
      <c r="B90" s="1247" t="s">
        <v>104</v>
      </c>
      <c r="C90" s="1248">
        <v>56</v>
      </c>
      <c r="D90" s="1248">
        <v>7</v>
      </c>
      <c r="E90" s="1248">
        <v>2</v>
      </c>
      <c r="F90" s="1248" t="s">
        <v>1344</v>
      </c>
      <c r="G90" s="1248"/>
      <c r="H90" s="1248">
        <v>310</v>
      </c>
      <c r="I90" s="1255">
        <v>30</v>
      </c>
      <c r="J90" s="1255"/>
    </row>
    <row r="91" spans="2:10" ht="14" x14ac:dyDescent="0.15">
      <c r="B91" s="1247" t="s">
        <v>97</v>
      </c>
      <c r="C91" s="1248">
        <v>56</v>
      </c>
      <c r="D91" s="1248">
        <v>7</v>
      </c>
      <c r="E91" s="1248">
        <v>2</v>
      </c>
      <c r="F91" s="1248" t="s">
        <v>1344</v>
      </c>
      <c r="G91" s="1248"/>
      <c r="H91" s="1248">
        <v>340</v>
      </c>
      <c r="I91" s="1255">
        <v>70</v>
      </c>
      <c r="J91" s="1255"/>
    </row>
    <row r="92" spans="2:10" ht="14" x14ac:dyDescent="0.15">
      <c r="B92" s="1243" t="s">
        <v>767</v>
      </c>
      <c r="C92" s="1244">
        <v>56</v>
      </c>
      <c r="D92" s="1244">
        <v>7</v>
      </c>
      <c r="E92" s="1244">
        <v>2</v>
      </c>
      <c r="F92" s="1248" t="s">
        <v>1344</v>
      </c>
      <c r="G92" s="1244">
        <v>612</v>
      </c>
      <c r="H92" s="1244">
        <v>241</v>
      </c>
      <c r="I92" s="1252">
        <v>0</v>
      </c>
      <c r="J92" s="1247"/>
    </row>
    <row r="93" spans="2:10" ht="39" x14ac:dyDescent="0.15">
      <c r="B93" s="1239" t="s">
        <v>1130</v>
      </c>
      <c r="C93" s="2162">
        <v>56</v>
      </c>
      <c r="D93" s="2162">
        <v>7</v>
      </c>
      <c r="E93" s="2162">
        <v>2</v>
      </c>
      <c r="F93" s="1248" t="s">
        <v>1344</v>
      </c>
      <c r="G93" s="1241">
        <v>600</v>
      </c>
      <c r="H93" s="1239"/>
      <c r="I93" s="2164">
        <v>18827.7</v>
      </c>
      <c r="J93" s="1241">
        <v>0</v>
      </c>
    </row>
    <row r="94" spans="2:10" ht="26" x14ac:dyDescent="0.15">
      <c r="B94" s="1243" t="s">
        <v>764</v>
      </c>
      <c r="C94" s="1244">
        <v>56</v>
      </c>
      <c r="D94" s="1244">
        <v>7</v>
      </c>
      <c r="E94" s="1244">
        <v>2</v>
      </c>
      <c r="F94" s="1248" t="s">
        <v>1344</v>
      </c>
      <c r="G94" s="1245">
        <v>611</v>
      </c>
      <c r="H94" s="1245">
        <v>241</v>
      </c>
      <c r="I94" s="1246">
        <v>18827.7</v>
      </c>
      <c r="J94" s="1253">
        <v>0</v>
      </c>
    </row>
    <row r="95" spans="2:10" ht="14" x14ac:dyDescent="0.15">
      <c r="B95" s="1247" t="s">
        <v>78</v>
      </c>
      <c r="C95" s="1248">
        <v>56</v>
      </c>
      <c r="D95" s="1248">
        <v>7</v>
      </c>
      <c r="E95" s="1248">
        <v>2</v>
      </c>
      <c r="F95" s="1248" t="s">
        <v>1344</v>
      </c>
      <c r="G95" s="1248"/>
      <c r="H95" s="1248">
        <v>211</v>
      </c>
      <c r="I95" s="1254">
        <v>12214.4</v>
      </c>
      <c r="J95" s="1255"/>
    </row>
    <row r="96" spans="2:10" ht="14" x14ac:dyDescent="0.15">
      <c r="B96" s="1247" t="s">
        <v>103</v>
      </c>
      <c r="C96" s="1248">
        <v>56</v>
      </c>
      <c r="D96" s="1248">
        <v>7</v>
      </c>
      <c r="E96" s="1248">
        <v>2</v>
      </c>
      <c r="F96" s="1248" t="s">
        <v>1344</v>
      </c>
      <c r="G96" s="1248">
        <v>1</v>
      </c>
      <c r="H96" s="1248">
        <v>212</v>
      </c>
      <c r="I96" s="1255">
        <v>2.4</v>
      </c>
      <c r="J96" s="1255"/>
    </row>
    <row r="97" spans="2:10" ht="14" x14ac:dyDescent="0.15">
      <c r="B97" s="1247" t="s">
        <v>84</v>
      </c>
      <c r="C97" s="1248">
        <v>56</v>
      </c>
      <c r="D97" s="1248">
        <v>7</v>
      </c>
      <c r="E97" s="1248">
        <v>2</v>
      </c>
      <c r="F97" s="1248" t="s">
        <v>1344</v>
      </c>
      <c r="G97" s="1248">
        <v>1</v>
      </c>
      <c r="H97" s="1248">
        <v>213</v>
      </c>
      <c r="I97" s="1254">
        <v>3589.8</v>
      </c>
      <c r="J97" s="1255"/>
    </row>
    <row r="98" spans="2:10" ht="14" x14ac:dyDescent="0.15">
      <c r="B98" s="1247" t="s">
        <v>85</v>
      </c>
      <c r="C98" s="1248">
        <v>56</v>
      </c>
      <c r="D98" s="1248">
        <v>7</v>
      </c>
      <c r="E98" s="1248">
        <v>2</v>
      </c>
      <c r="F98" s="1248" t="s">
        <v>1344</v>
      </c>
      <c r="G98" s="1248">
        <v>1</v>
      </c>
      <c r="H98" s="1248">
        <v>221</v>
      </c>
      <c r="I98" s="1255">
        <v>14.5</v>
      </c>
      <c r="J98" s="1255"/>
    </row>
    <row r="99" spans="2:10" ht="14" x14ac:dyDescent="0.15">
      <c r="B99" s="1247" t="s">
        <v>86</v>
      </c>
      <c r="C99" s="1248">
        <v>56</v>
      </c>
      <c r="D99" s="1248">
        <v>7</v>
      </c>
      <c r="E99" s="1248">
        <v>2</v>
      </c>
      <c r="F99" s="1248" t="s">
        <v>1344</v>
      </c>
      <c r="G99" s="1248">
        <v>1</v>
      </c>
      <c r="H99" s="1248">
        <v>222</v>
      </c>
      <c r="I99" s="1255">
        <v>20</v>
      </c>
      <c r="J99" s="1255"/>
    </row>
    <row r="100" spans="2:10" ht="14" x14ac:dyDescent="0.15">
      <c r="B100" s="1247" t="s">
        <v>87</v>
      </c>
      <c r="C100" s="1248">
        <v>56</v>
      </c>
      <c r="D100" s="1248">
        <v>7</v>
      </c>
      <c r="E100" s="1248">
        <v>2</v>
      </c>
      <c r="F100" s="1248" t="s">
        <v>1344</v>
      </c>
      <c r="G100" s="1248">
        <v>1</v>
      </c>
      <c r="H100" s="1248">
        <v>223</v>
      </c>
      <c r="I100" s="1255">
        <v>562.79999999999995</v>
      </c>
      <c r="J100" s="1255"/>
    </row>
    <row r="101" spans="2:10" ht="14" x14ac:dyDescent="0.15">
      <c r="B101" s="1247" t="s">
        <v>89</v>
      </c>
      <c r="C101" s="1248">
        <v>56</v>
      </c>
      <c r="D101" s="1248">
        <v>7</v>
      </c>
      <c r="E101" s="1248">
        <v>2</v>
      </c>
      <c r="F101" s="1248" t="s">
        <v>1344</v>
      </c>
      <c r="G101" s="1248">
        <v>1</v>
      </c>
      <c r="H101" s="1248">
        <v>224</v>
      </c>
      <c r="I101" s="1255"/>
      <c r="J101" s="1255"/>
    </row>
    <row r="102" spans="2:10" ht="14" x14ac:dyDescent="0.15">
      <c r="B102" s="1247" t="s">
        <v>90</v>
      </c>
      <c r="C102" s="1248">
        <v>56</v>
      </c>
      <c r="D102" s="1248">
        <v>7</v>
      </c>
      <c r="E102" s="1248">
        <v>2</v>
      </c>
      <c r="F102" s="1248" t="s">
        <v>1344</v>
      </c>
      <c r="G102" s="1248">
        <v>1</v>
      </c>
      <c r="H102" s="1248">
        <v>225</v>
      </c>
      <c r="I102" s="1255">
        <v>117.2</v>
      </c>
      <c r="J102" s="1255"/>
    </row>
    <row r="103" spans="2:10" ht="14" x14ac:dyDescent="0.15">
      <c r="B103" s="1247" t="s">
        <v>91</v>
      </c>
      <c r="C103" s="1248">
        <v>56</v>
      </c>
      <c r="D103" s="1248">
        <v>7</v>
      </c>
      <c r="E103" s="1248">
        <v>2</v>
      </c>
      <c r="F103" s="1248" t="s">
        <v>1344</v>
      </c>
      <c r="G103" s="1248">
        <v>1</v>
      </c>
      <c r="H103" s="1248">
        <v>226</v>
      </c>
      <c r="I103" s="1255">
        <v>513.4</v>
      </c>
      <c r="J103" s="1255"/>
    </row>
    <row r="104" spans="2:10" ht="14" x14ac:dyDescent="0.15">
      <c r="B104" s="1247" t="s">
        <v>220</v>
      </c>
      <c r="C104" s="1248">
        <v>56</v>
      </c>
      <c r="D104" s="1248">
        <v>7</v>
      </c>
      <c r="E104" s="1248">
        <v>2</v>
      </c>
      <c r="F104" s="1248" t="s">
        <v>1344</v>
      </c>
      <c r="G104" s="1248">
        <v>1</v>
      </c>
      <c r="H104" s="1248">
        <v>290</v>
      </c>
      <c r="I104" s="1254">
        <v>1793.2</v>
      </c>
      <c r="J104" s="1255"/>
    </row>
    <row r="105" spans="2:10" ht="14" x14ac:dyDescent="0.15">
      <c r="B105" s="1247" t="s">
        <v>220</v>
      </c>
      <c r="C105" s="1248">
        <v>56</v>
      </c>
      <c r="D105" s="1248">
        <v>7</v>
      </c>
      <c r="E105" s="1248">
        <v>2</v>
      </c>
      <c r="F105" s="1248" t="s">
        <v>1344</v>
      </c>
      <c r="G105" s="1248">
        <v>1</v>
      </c>
      <c r="H105" s="1248">
        <v>290</v>
      </c>
      <c r="I105" s="1255"/>
      <c r="J105" s="1255"/>
    </row>
    <row r="106" spans="2:10" ht="14" x14ac:dyDescent="0.15">
      <c r="B106" s="1247" t="s">
        <v>104</v>
      </c>
      <c r="C106" s="1248">
        <v>56</v>
      </c>
      <c r="D106" s="1248">
        <v>7</v>
      </c>
      <c r="E106" s="1248">
        <v>2</v>
      </c>
      <c r="F106" s="1248" t="s">
        <v>1344</v>
      </c>
      <c r="G106" s="1248">
        <v>1</v>
      </c>
      <c r="H106" s="1248">
        <v>310</v>
      </c>
      <c r="I106" s="1256"/>
      <c r="J106" s="1255"/>
    </row>
    <row r="107" spans="2:10" ht="14" x14ac:dyDescent="0.15">
      <c r="B107" s="1247" t="s">
        <v>97</v>
      </c>
      <c r="C107" s="1248">
        <v>56</v>
      </c>
      <c r="D107" s="1248">
        <v>7</v>
      </c>
      <c r="E107" s="1248">
        <v>2</v>
      </c>
      <c r="F107" s="1248" t="s">
        <v>1344</v>
      </c>
      <c r="G107" s="1248">
        <v>1</v>
      </c>
      <c r="H107" s="1248">
        <v>340</v>
      </c>
      <c r="I107" s="1255"/>
      <c r="J107" s="1255"/>
    </row>
    <row r="108" spans="2:10" ht="14" x14ac:dyDescent="0.15">
      <c r="B108" s="1243" t="s">
        <v>767</v>
      </c>
      <c r="C108" s="1244">
        <v>56</v>
      </c>
      <c r="D108" s="1244">
        <v>7</v>
      </c>
      <c r="E108" s="1244">
        <v>2</v>
      </c>
      <c r="F108" s="1248" t="s">
        <v>1344</v>
      </c>
      <c r="G108" s="1244">
        <v>612</v>
      </c>
      <c r="H108" s="1244">
        <v>241</v>
      </c>
      <c r="I108" s="1252">
        <v>0</v>
      </c>
      <c r="J108" s="1247"/>
    </row>
    <row r="109" spans="2:10" x14ac:dyDescent="0.15">
      <c r="B109" s="1303" t="s">
        <v>771</v>
      </c>
      <c r="C109" s="1304">
        <v>56</v>
      </c>
      <c r="D109" s="1304">
        <v>7</v>
      </c>
      <c r="E109" s="1304">
        <v>4</v>
      </c>
      <c r="F109" s="1288"/>
      <c r="G109" s="1288"/>
      <c r="H109" s="1304"/>
      <c r="I109" s="2181">
        <v>127399.6</v>
      </c>
      <c r="J109" s="2182">
        <v>0</v>
      </c>
    </row>
    <row r="110" spans="2:10" ht="66" x14ac:dyDescent="0.15">
      <c r="B110" s="2180" t="s">
        <v>1348</v>
      </c>
      <c r="C110" s="1288">
        <v>56</v>
      </c>
      <c r="D110" s="1288">
        <v>7</v>
      </c>
      <c r="E110" s="1288">
        <v>4</v>
      </c>
      <c r="F110" s="1248" t="s">
        <v>1349</v>
      </c>
      <c r="G110" s="1288"/>
      <c r="H110" s="1304"/>
      <c r="I110" s="2181">
        <v>127399.6</v>
      </c>
      <c r="J110" s="2182">
        <v>0</v>
      </c>
    </row>
    <row r="111" spans="2:10" x14ac:dyDescent="0.15">
      <c r="B111" s="1311" t="s">
        <v>1125</v>
      </c>
      <c r="C111" s="1312">
        <v>56</v>
      </c>
      <c r="D111" s="1312">
        <v>7</v>
      </c>
      <c r="E111" s="1312">
        <v>4</v>
      </c>
      <c r="F111" s="1248" t="s">
        <v>1349</v>
      </c>
      <c r="G111" s="1312">
        <v>600</v>
      </c>
      <c r="H111" s="2163"/>
      <c r="I111" s="1268">
        <v>127399.6</v>
      </c>
      <c r="J111" s="2178">
        <v>0</v>
      </c>
    </row>
    <row r="112" spans="2:10" ht="26" x14ac:dyDescent="0.15">
      <c r="B112" s="1243" t="s">
        <v>764</v>
      </c>
      <c r="C112" s="1245">
        <v>56</v>
      </c>
      <c r="D112" s="1245">
        <v>7</v>
      </c>
      <c r="E112" s="1245">
        <v>4</v>
      </c>
      <c r="F112" s="1248" t="s">
        <v>1349</v>
      </c>
      <c r="G112" s="1245">
        <v>611</v>
      </c>
      <c r="H112" s="1245">
        <v>241</v>
      </c>
      <c r="I112" s="1265">
        <v>127399.6</v>
      </c>
      <c r="J112" s="1289">
        <v>0</v>
      </c>
    </row>
    <row r="113" spans="2:10" x14ac:dyDescent="0.15">
      <c r="B113" s="1266" t="s">
        <v>78</v>
      </c>
      <c r="C113" s="1267">
        <v>56</v>
      </c>
      <c r="D113" s="1267">
        <v>7</v>
      </c>
      <c r="E113" s="1267">
        <v>4</v>
      </c>
      <c r="F113" s="1248" t="s">
        <v>1349</v>
      </c>
      <c r="G113" s="1267"/>
      <c r="H113" s="1248">
        <v>211</v>
      </c>
      <c r="I113" s="1249">
        <v>90231.9</v>
      </c>
      <c r="J113" s="1250">
        <v>0</v>
      </c>
    </row>
    <row r="114" spans="2:10" x14ac:dyDescent="0.15">
      <c r="B114" s="1266" t="s">
        <v>83</v>
      </c>
      <c r="C114" s="1267">
        <v>56</v>
      </c>
      <c r="D114" s="1267">
        <v>7</v>
      </c>
      <c r="E114" s="1267">
        <v>4</v>
      </c>
      <c r="F114" s="1248" t="s">
        <v>1349</v>
      </c>
      <c r="G114" s="1267"/>
      <c r="H114" s="1248">
        <v>212</v>
      </c>
      <c r="I114" s="1250">
        <v>5</v>
      </c>
      <c r="J114" s="1250">
        <v>0</v>
      </c>
    </row>
    <row r="115" spans="2:10" x14ac:dyDescent="0.15">
      <c r="B115" s="1266" t="s">
        <v>84</v>
      </c>
      <c r="C115" s="1267">
        <v>56</v>
      </c>
      <c r="D115" s="1267">
        <v>7</v>
      </c>
      <c r="E115" s="1267">
        <v>4</v>
      </c>
      <c r="F115" s="1248" t="s">
        <v>1349</v>
      </c>
      <c r="G115" s="1267"/>
      <c r="H115" s="1248">
        <v>213</v>
      </c>
      <c r="I115" s="1249">
        <v>26276.3</v>
      </c>
      <c r="J115" s="1250">
        <v>0</v>
      </c>
    </row>
    <row r="116" spans="2:10" x14ac:dyDescent="0.15">
      <c r="B116" s="1266" t="s">
        <v>85</v>
      </c>
      <c r="C116" s="1267">
        <v>56</v>
      </c>
      <c r="D116" s="1267">
        <v>7</v>
      </c>
      <c r="E116" s="1267">
        <v>4</v>
      </c>
      <c r="F116" s="1248" t="s">
        <v>1349</v>
      </c>
      <c r="G116" s="1267"/>
      <c r="H116" s="1248">
        <v>221</v>
      </c>
      <c r="I116" s="1250">
        <v>86.3</v>
      </c>
      <c r="J116" s="1250">
        <v>0</v>
      </c>
    </row>
    <row r="117" spans="2:10" x14ac:dyDescent="0.15">
      <c r="B117" s="1266" t="s">
        <v>86</v>
      </c>
      <c r="C117" s="1267">
        <v>56</v>
      </c>
      <c r="D117" s="1267">
        <v>7</v>
      </c>
      <c r="E117" s="1267">
        <v>4</v>
      </c>
      <c r="F117" s="1248" t="s">
        <v>1349</v>
      </c>
      <c r="G117" s="1267"/>
      <c r="H117" s="1248">
        <v>222</v>
      </c>
      <c r="I117" s="1250">
        <v>20</v>
      </c>
      <c r="J117" s="1250">
        <v>0</v>
      </c>
    </row>
    <row r="118" spans="2:10" x14ac:dyDescent="0.15">
      <c r="B118" s="1266" t="s">
        <v>87</v>
      </c>
      <c r="C118" s="1267">
        <v>56</v>
      </c>
      <c r="D118" s="1267">
        <v>7</v>
      </c>
      <c r="E118" s="1267">
        <v>4</v>
      </c>
      <c r="F118" s="1248" t="s">
        <v>1349</v>
      </c>
      <c r="G118" s="1267"/>
      <c r="H118" s="1248">
        <v>223</v>
      </c>
      <c r="I118" s="1249">
        <v>1387.6</v>
      </c>
      <c r="J118" s="1250">
        <v>0</v>
      </c>
    </row>
    <row r="119" spans="2:10" x14ac:dyDescent="0.15">
      <c r="B119" s="1266" t="s">
        <v>111</v>
      </c>
      <c r="C119" s="1267">
        <v>56</v>
      </c>
      <c r="D119" s="1267">
        <v>7</v>
      </c>
      <c r="E119" s="1267">
        <v>4</v>
      </c>
      <c r="F119" s="1248" t="s">
        <v>1349</v>
      </c>
      <c r="G119" s="1267"/>
      <c r="H119" s="1248">
        <v>224</v>
      </c>
      <c r="I119" s="1250">
        <v>6</v>
      </c>
      <c r="J119" s="1250">
        <v>0</v>
      </c>
    </row>
    <row r="120" spans="2:10" x14ac:dyDescent="0.15">
      <c r="B120" s="1266" t="s">
        <v>90</v>
      </c>
      <c r="C120" s="1267">
        <v>56</v>
      </c>
      <c r="D120" s="1267">
        <v>7</v>
      </c>
      <c r="E120" s="1267">
        <v>4</v>
      </c>
      <c r="F120" s="1248" t="s">
        <v>1349</v>
      </c>
      <c r="G120" s="1267"/>
      <c r="H120" s="1248">
        <v>225</v>
      </c>
      <c r="I120" s="1250">
        <v>83.4</v>
      </c>
      <c r="J120" s="1250">
        <v>0</v>
      </c>
    </row>
    <row r="121" spans="2:10" x14ac:dyDescent="0.15">
      <c r="B121" s="1266" t="s">
        <v>91</v>
      </c>
      <c r="C121" s="1267">
        <v>56</v>
      </c>
      <c r="D121" s="1267">
        <v>7</v>
      </c>
      <c r="E121" s="1267">
        <v>4</v>
      </c>
      <c r="F121" s="1248" t="s">
        <v>1349</v>
      </c>
      <c r="G121" s="1267"/>
      <c r="H121" s="1248">
        <v>226</v>
      </c>
      <c r="I121" s="1249">
        <v>1883.6</v>
      </c>
      <c r="J121" s="1250">
        <v>0</v>
      </c>
    </row>
    <row r="122" spans="2:10" x14ac:dyDescent="0.15">
      <c r="B122" s="1266" t="s">
        <v>94</v>
      </c>
      <c r="C122" s="1267">
        <v>56</v>
      </c>
      <c r="D122" s="1267">
        <v>7</v>
      </c>
      <c r="E122" s="1267">
        <v>4</v>
      </c>
      <c r="F122" s="1248" t="s">
        <v>1349</v>
      </c>
      <c r="G122" s="1267"/>
      <c r="H122" s="1248">
        <v>290</v>
      </c>
      <c r="I122" s="1250">
        <v>756.3</v>
      </c>
      <c r="J122" s="1250">
        <v>0</v>
      </c>
    </row>
    <row r="123" spans="2:10" x14ac:dyDescent="0.15">
      <c r="B123" s="1266" t="s">
        <v>94</v>
      </c>
      <c r="C123" s="1267">
        <v>56</v>
      </c>
      <c r="D123" s="1267">
        <v>7</v>
      </c>
      <c r="E123" s="1267">
        <v>4</v>
      </c>
      <c r="F123" s="1248" t="s">
        <v>1349</v>
      </c>
      <c r="G123" s="1267"/>
      <c r="H123" s="1248" t="s">
        <v>1350</v>
      </c>
      <c r="I123" s="1249">
        <v>6027.3</v>
      </c>
      <c r="J123" s="1250">
        <v>0</v>
      </c>
    </row>
    <row r="124" spans="2:10" x14ac:dyDescent="0.15">
      <c r="B124" s="1266" t="s">
        <v>96</v>
      </c>
      <c r="C124" s="1267">
        <v>56</v>
      </c>
      <c r="D124" s="1267">
        <v>7</v>
      </c>
      <c r="E124" s="1267">
        <v>4</v>
      </c>
      <c r="F124" s="1248" t="s">
        <v>1349</v>
      </c>
      <c r="G124" s="1267"/>
      <c r="H124" s="1248">
        <v>310</v>
      </c>
      <c r="I124" s="1250">
        <v>25.5</v>
      </c>
      <c r="J124" s="1250">
        <v>0</v>
      </c>
    </row>
    <row r="125" spans="2:10" x14ac:dyDescent="0.15">
      <c r="B125" s="1266" t="s">
        <v>97</v>
      </c>
      <c r="C125" s="1267">
        <v>56</v>
      </c>
      <c r="D125" s="1267">
        <v>7</v>
      </c>
      <c r="E125" s="1267">
        <v>4</v>
      </c>
      <c r="F125" s="1248" t="s">
        <v>1349</v>
      </c>
      <c r="G125" s="1267"/>
      <c r="H125" s="1248">
        <v>340</v>
      </c>
      <c r="I125" s="1250">
        <v>610.4</v>
      </c>
      <c r="J125" s="1250">
        <v>0</v>
      </c>
    </row>
    <row r="126" spans="2:10" x14ac:dyDescent="0.15">
      <c r="B126" s="1243" t="s">
        <v>767</v>
      </c>
      <c r="C126" s="1244">
        <v>56</v>
      </c>
      <c r="D126" s="1244">
        <v>7</v>
      </c>
      <c r="E126" s="1244">
        <v>4</v>
      </c>
      <c r="F126" s="1248" t="s">
        <v>1349</v>
      </c>
      <c r="G126" s="1244">
        <v>612</v>
      </c>
      <c r="H126" s="1244">
        <v>241</v>
      </c>
      <c r="I126" s="1289">
        <v>0</v>
      </c>
      <c r="J126" s="1247"/>
    </row>
    <row r="127" spans="2:10" ht="36" x14ac:dyDescent="0.15">
      <c r="B127" s="1262" t="s">
        <v>1131</v>
      </c>
      <c r="C127" s="2163">
        <v>56</v>
      </c>
      <c r="D127" s="2163">
        <v>7</v>
      </c>
      <c r="E127" s="2163">
        <v>4</v>
      </c>
      <c r="F127" s="1248" t="s">
        <v>1349</v>
      </c>
      <c r="G127" s="1241">
        <v>600</v>
      </c>
      <c r="H127" s="1239"/>
      <c r="I127" s="1264">
        <v>42406.400000000001</v>
      </c>
      <c r="J127" s="2183">
        <v>0</v>
      </c>
    </row>
    <row r="128" spans="2:10" ht="26" x14ac:dyDescent="0.15">
      <c r="B128" s="1243" t="s">
        <v>764</v>
      </c>
      <c r="C128" s="1245">
        <v>56</v>
      </c>
      <c r="D128" s="1245">
        <v>7</v>
      </c>
      <c r="E128" s="1245">
        <v>4</v>
      </c>
      <c r="F128" s="1248" t="s">
        <v>1349</v>
      </c>
      <c r="G128" s="1245">
        <v>611</v>
      </c>
      <c r="H128" s="1245">
        <v>241</v>
      </c>
      <c r="I128" s="1265">
        <v>42406.400000000001</v>
      </c>
      <c r="J128" s="1289">
        <v>0</v>
      </c>
    </row>
    <row r="129" spans="2:10" ht="14" x14ac:dyDescent="0.15">
      <c r="B129" s="1266" t="s">
        <v>78</v>
      </c>
      <c r="C129" s="1267">
        <v>56</v>
      </c>
      <c r="D129" s="1267">
        <v>7</v>
      </c>
      <c r="E129" s="1267">
        <v>4</v>
      </c>
      <c r="F129" s="1248" t="s">
        <v>1349</v>
      </c>
      <c r="G129" s="1267"/>
      <c r="H129" s="1248">
        <v>211</v>
      </c>
      <c r="I129" s="1254">
        <v>30277.4</v>
      </c>
      <c r="J129" s="1255"/>
    </row>
    <row r="130" spans="2:10" ht="14" x14ac:dyDescent="0.15">
      <c r="B130" s="1266" t="s">
        <v>83</v>
      </c>
      <c r="C130" s="1267">
        <v>56</v>
      </c>
      <c r="D130" s="1267">
        <v>7</v>
      </c>
      <c r="E130" s="1267">
        <v>4</v>
      </c>
      <c r="F130" s="1248" t="s">
        <v>1349</v>
      </c>
      <c r="G130" s="1267"/>
      <c r="H130" s="1248">
        <v>212</v>
      </c>
      <c r="I130" s="1255"/>
      <c r="J130" s="1255"/>
    </row>
    <row r="131" spans="2:10" ht="14" x14ac:dyDescent="0.15">
      <c r="B131" s="1266" t="s">
        <v>84</v>
      </c>
      <c r="C131" s="1267">
        <v>56</v>
      </c>
      <c r="D131" s="1267">
        <v>7</v>
      </c>
      <c r="E131" s="1267">
        <v>4</v>
      </c>
      <c r="F131" s="1248" t="s">
        <v>1349</v>
      </c>
      <c r="G131" s="1267"/>
      <c r="H131" s="1248">
        <v>213</v>
      </c>
      <c r="I131" s="1254">
        <v>8822.9</v>
      </c>
      <c r="J131" s="1255"/>
    </row>
    <row r="132" spans="2:10" ht="14" x14ac:dyDescent="0.15">
      <c r="B132" s="1266" t="s">
        <v>85</v>
      </c>
      <c r="C132" s="1267">
        <v>56</v>
      </c>
      <c r="D132" s="1267">
        <v>7</v>
      </c>
      <c r="E132" s="1267">
        <v>4</v>
      </c>
      <c r="F132" s="1248" t="s">
        <v>1349</v>
      </c>
      <c r="G132" s="1267"/>
      <c r="H132" s="1248">
        <v>221</v>
      </c>
      <c r="I132" s="1255">
        <v>31.1</v>
      </c>
      <c r="J132" s="1255"/>
    </row>
    <row r="133" spans="2:10" ht="14" x14ac:dyDescent="0.15">
      <c r="B133" s="1266" t="s">
        <v>86</v>
      </c>
      <c r="C133" s="1267">
        <v>56</v>
      </c>
      <c r="D133" s="1267">
        <v>7</v>
      </c>
      <c r="E133" s="1267">
        <v>4</v>
      </c>
      <c r="F133" s="1248" t="s">
        <v>1349</v>
      </c>
      <c r="G133" s="1267"/>
      <c r="H133" s="1248">
        <v>222</v>
      </c>
      <c r="I133" s="1255"/>
      <c r="J133" s="1255"/>
    </row>
    <row r="134" spans="2:10" ht="14" x14ac:dyDescent="0.15">
      <c r="B134" s="1266" t="s">
        <v>87</v>
      </c>
      <c r="C134" s="1267">
        <v>56</v>
      </c>
      <c r="D134" s="1267">
        <v>7</v>
      </c>
      <c r="E134" s="1267">
        <v>4</v>
      </c>
      <c r="F134" s="1248" t="s">
        <v>1349</v>
      </c>
      <c r="G134" s="1267"/>
      <c r="H134" s="1248">
        <v>223</v>
      </c>
      <c r="I134" s="1255">
        <v>528.5</v>
      </c>
      <c r="J134" s="1255"/>
    </row>
    <row r="135" spans="2:10" ht="14" x14ac:dyDescent="0.15">
      <c r="B135" s="1266" t="s">
        <v>111</v>
      </c>
      <c r="C135" s="1267">
        <v>56</v>
      </c>
      <c r="D135" s="1267">
        <v>7</v>
      </c>
      <c r="E135" s="1267">
        <v>4</v>
      </c>
      <c r="F135" s="1248" t="s">
        <v>1349</v>
      </c>
      <c r="G135" s="1267"/>
      <c r="H135" s="1248">
        <v>224</v>
      </c>
      <c r="I135" s="1255"/>
      <c r="J135" s="1255"/>
    </row>
    <row r="136" spans="2:10" ht="14" x14ac:dyDescent="0.15">
      <c r="B136" s="1266" t="s">
        <v>90</v>
      </c>
      <c r="C136" s="1267">
        <v>56</v>
      </c>
      <c r="D136" s="1267">
        <v>7</v>
      </c>
      <c r="E136" s="1267">
        <v>4</v>
      </c>
      <c r="F136" s="1248" t="s">
        <v>1349</v>
      </c>
      <c r="G136" s="1267"/>
      <c r="H136" s="1248">
        <v>225</v>
      </c>
      <c r="I136" s="1255">
        <v>50.3</v>
      </c>
      <c r="J136" s="1255"/>
    </row>
    <row r="137" spans="2:10" ht="14" x14ac:dyDescent="0.15">
      <c r="B137" s="1266" t="s">
        <v>91</v>
      </c>
      <c r="C137" s="1267">
        <v>56</v>
      </c>
      <c r="D137" s="1267">
        <v>7</v>
      </c>
      <c r="E137" s="1267">
        <v>4</v>
      </c>
      <c r="F137" s="1248" t="s">
        <v>1349</v>
      </c>
      <c r="G137" s="1267"/>
      <c r="H137" s="1248">
        <v>226</v>
      </c>
      <c r="I137" s="1255">
        <v>21.7</v>
      </c>
      <c r="J137" s="1255"/>
    </row>
    <row r="138" spans="2:10" ht="14" x14ac:dyDescent="0.15">
      <c r="B138" s="1266" t="s">
        <v>94</v>
      </c>
      <c r="C138" s="1267">
        <v>56</v>
      </c>
      <c r="D138" s="1267">
        <v>7</v>
      </c>
      <c r="E138" s="1267">
        <v>4</v>
      </c>
      <c r="F138" s="1248" t="s">
        <v>1349</v>
      </c>
      <c r="G138" s="1267"/>
      <c r="H138" s="1248">
        <v>290</v>
      </c>
      <c r="I138" s="1255">
        <v>515.70000000000005</v>
      </c>
      <c r="J138" s="1255"/>
    </row>
    <row r="139" spans="2:10" ht="14" x14ac:dyDescent="0.15">
      <c r="B139" s="1266" t="s">
        <v>94</v>
      </c>
      <c r="C139" s="1267">
        <v>56</v>
      </c>
      <c r="D139" s="1267">
        <v>7</v>
      </c>
      <c r="E139" s="1267">
        <v>4</v>
      </c>
      <c r="F139" s="1248" t="s">
        <v>1349</v>
      </c>
      <c r="G139" s="1267"/>
      <c r="H139" s="1248" t="s">
        <v>1350</v>
      </c>
      <c r="I139" s="1254">
        <v>2054.9</v>
      </c>
      <c r="J139" s="1255"/>
    </row>
    <row r="140" spans="2:10" ht="14" x14ac:dyDescent="0.15">
      <c r="B140" s="1266" t="s">
        <v>96</v>
      </c>
      <c r="C140" s="1267">
        <v>56</v>
      </c>
      <c r="D140" s="1267">
        <v>7</v>
      </c>
      <c r="E140" s="1267">
        <v>4</v>
      </c>
      <c r="F140" s="1248" t="s">
        <v>1349</v>
      </c>
      <c r="G140" s="1267"/>
      <c r="H140" s="1248">
        <v>310</v>
      </c>
      <c r="I140" s="2184"/>
      <c r="J140" s="1255"/>
    </row>
    <row r="141" spans="2:10" ht="14" x14ac:dyDescent="0.15">
      <c r="B141" s="1266" t="s">
        <v>97</v>
      </c>
      <c r="C141" s="1267">
        <v>56</v>
      </c>
      <c r="D141" s="1267">
        <v>7</v>
      </c>
      <c r="E141" s="1267">
        <v>4</v>
      </c>
      <c r="F141" s="1248" t="s">
        <v>1349</v>
      </c>
      <c r="G141" s="1267"/>
      <c r="H141" s="1248">
        <v>340</v>
      </c>
      <c r="I141" s="1255">
        <v>103.9</v>
      </c>
      <c r="J141" s="1255"/>
    </row>
    <row r="142" spans="2:10" ht="14" x14ac:dyDescent="0.15">
      <c r="B142" s="1243" t="s">
        <v>767</v>
      </c>
      <c r="C142" s="1244">
        <v>56</v>
      </c>
      <c r="D142" s="1244">
        <v>7</v>
      </c>
      <c r="E142" s="1244">
        <v>4</v>
      </c>
      <c r="F142" s="1248" t="s">
        <v>1349</v>
      </c>
      <c r="G142" s="1244">
        <v>612</v>
      </c>
      <c r="H142" s="1244">
        <v>241</v>
      </c>
      <c r="I142" s="1252">
        <v>0</v>
      </c>
      <c r="J142" s="1247"/>
    </row>
    <row r="143" spans="2:10" ht="36" x14ac:dyDescent="0.15">
      <c r="B143" s="1262" t="s">
        <v>1132</v>
      </c>
      <c r="C143" s="2163">
        <v>56</v>
      </c>
      <c r="D143" s="2163">
        <v>7</v>
      </c>
      <c r="E143" s="2163">
        <v>4</v>
      </c>
      <c r="F143" s="1248" t="s">
        <v>1349</v>
      </c>
      <c r="G143" s="1241">
        <v>600</v>
      </c>
      <c r="H143" s="1239"/>
      <c r="I143" s="1268">
        <v>25921.7</v>
      </c>
      <c r="J143" s="2178">
        <v>0</v>
      </c>
    </row>
    <row r="144" spans="2:10" ht="26" x14ac:dyDescent="0.15">
      <c r="B144" s="1243" t="s">
        <v>764</v>
      </c>
      <c r="C144" s="1245">
        <v>56</v>
      </c>
      <c r="D144" s="1245">
        <v>7</v>
      </c>
      <c r="E144" s="1245">
        <v>4</v>
      </c>
      <c r="F144" s="1248" t="s">
        <v>1349</v>
      </c>
      <c r="G144" s="1245">
        <v>611</v>
      </c>
      <c r="H144" s="1245">
        <v>241</v>
      </c>
      <c r="I144" s="1265">
        <v>25921.7</v>
      </c>
      <c r="J144" s="1289">
        <v>0</v>
      </c>
    </row>
    <row r="145" spans="2:10" ht="14" x14ac:dyDescent="0.15">
      <c r="B145" s="1266" t="s">
        <v>78</v>
      </c>
      <c r="C145" s="1267">
        <v>56</v>
      </c>
      <c r="D145" s="1267">
        <v>7</v>
      </c>
      <c r="E145" s="1267">
        <v>4</v>
      </c>
      <c r="F145" s="1248" t="s">
        <v>1349</v>
      </c>
      <c r="G145" s="1267"/>
      <c r="H145" s="1248">
        <v>211</v>
      </c>
      <c r="I145" s="1254">
        <v>17758.8</v>
      </c>
      <c r="J145" s="1255"/>
    </row>
    <row r="146" spans="2:10" ht="14" x14ac:dyDescent="0.15">
      <c r="B146" s="1266" t="s">
        <v>83</v>
      </c>
      <c r="C146" s="1267">
        <v>56</v>
      </c>
      <c r="D146" s="1267">
        <v>7</v>
      </c>
      <c r="E146" s="1267">
        <v>4</v>
      </c>
      <c r="F146" s="1248" t="s">
        <v>1349</v>
      </c>
      <c r="G146" s="1267"/>
      <c r="H146" s="1248">
        <v>212</v>
      </c>
      <c r="I146" s="1255"/>
      <c r="J146" s="1255"/>
    </row>
    <row r="147" spans="2:10" ht="14" x14ac:dyDescent="0.15">
      <c r="B147" s="1266" t="s">
        <v>84</v>
      </c>
      <c r="C147" s="1267">
        <v>56</v>
      </c>
      <c r="D147" s="1267">
        <v>7</v>
      </c>
      <c r="E147" s="1267">
        <v>4</v>
      </c>
      <c r="F147" s="1248" t="s">
        <v>1349</v>
      </c>
      <c r="G147" s="1267"/>
      <c r="H147" s="1248">
        <v>213</v>
      </c>
      <c r="I147" s="1254">
        <v>5174.8999999999996</v>
      </c>
      <c r="J147" s="1255"/>
    </row>
    <row r="148" spans="2:10" ht="14" x14ac:dyDescent="0.15">
      <c r="B148" s="1266" t="s">
        <v>85</v>
      </c>
      <c r="C148" s="1267">
        <v>56</v>
      </c>
      <c r="D148" s="1267">
        <v>7</v>
      </c>
      <c r="E148" s="1267">
        <v>4</v>
      </c>
      <c r="F148" s="1248" t="s">
        <v>1349</v>
      </c>
      <c r="G148" s="1267"/>
      <c r="H148" s="1248">
        <v>221</v>
      </c>
      <c r="I148" s="1255">
        <v>24.1</v>
      </c>
      <c r="J148" s="1255"/>
    </row>
    <row r="149" spans="2:10" ht="14" x14ac:dyDescent="0.15">
      <c r="B149" s="1266" t="s">
        <v>86</v>
      </c>
      <c r="C149" s="1267">
        <v>56</v>
      </c>
      <c r="D149" s="1267">
        <v>7</v>
      </c>
      <c r="E149" s="1267">
        <v>4</v>
      </c>
      <c r="F149" s="1248" t="s">
        <v>1349</v>
      </c>
      <c r="G149" s="1267"/>
      <c r="H149" s="1248">
        <v>222</v>
      </c>
      <c r="I149" s="1255"/>
      <c r="J149" s="1255"/>
    </row>
    <row r="150" spans="2:10" ht="14" x14ac:dyDescent="0.15">
      <c r="B150" s="1266" t="s">
        <v>87</v>
      </c>
      <c r="C150" s="1267">
        <v>56</v>
      </c>
      <c r="D150" s="1267">
        <v>7</v>
      </c>
      <c r="E150" s="1267">
        <v>4</v>
      </c>
      <c r="F150" s="1248" t="s">
        <v>1349</v>
      </c>
      <c r="G150" s="1267"/>
      <c r="H150" s="1248">
        <v>223</v>
      </c>
      <c r="I150" s="1255">
        <v>442.8</v>
      </c>
      <c r="J150" s="1255"/>
    </row>
    <row r="151" spans="2:10" ht="14" x14ac:dyDescent="0.15">
      <c r="B151" s="1266" t="s">
        <v>111</v>
      </c>
      <c r="C151" s="1267">
        <v>56</v>
      </c>
      <c r="D151" s="1267">
        <v>7</v>
      </c>
      <c r="E151" s="1267">
        <v>4</v>
      </c>
      <c r="F151" s="1248" t="s">
        <v>1349</v>
      </c>
      <c r="G151" s="1267"/>
      <c r="H151" s="1248">
        <v>224</v>
      </c>
      <c r="I151" s="1255"/>
      <c r="J151" s="1255"/>
    </row>
    <row r="152" spans="2:10" ht="14" x14ac:dyDescent="0.15">
      <c r="B152" s="1266" t="s">
        <v>90</v>
      </c>
      <c r="C152" s="1267">
        <v>56</v>
      </c>
      <c r="D152" s="1267">
        <v>7</v>
      </c>
      <c r="E152" s="1267">
        <v>4</v>
      </c>
      <c r="F152" s="1248" t="s">
        <v>1349</v>
      </c>
      <c r="G152" s="1267"/>
      <c r="H152" s="1248">
        <v>225</v>
      </c>
      <c r="I152" s="1255"/>
      <c r="J152" s="1255"/>
    </row>
    <row r="153" spans="2:10" ht="14" x14ac:dyDescent="0.15">
      <c r="B153" s="1266" t="s">
        <v>91</v>
      </c>
      <c r="C153" s="1267">
        <v>56</v>
      </c>
      <c r="D153" s="1267">
        <v>7</v>
      </c>
      <c r="E153" s="1267">
        <v>4</v>
      </c>
      <c r="F153" s="1248" t="s">
        <v>1349</v>
      </c>
      <c r="G153" s="1267"/>
      <c r="H153" s="1248">
        <v>226</v>
      </c>
      <c r="I153" s="1255">
        <v>3</v>
      </c>
      <c r="J153" s="1255"/>
    </row>
    <row r="154" spans="2:10" ht="14" x14ac:dyDescent="0.15">
      <c r="B154" s="1266" t="s">
        <v>94</v>
      </c>
      <c r="C154" s="1267">
        <v>56</v>
      </c>
      <c r="D154" s="1267">
        <v>7</v>
      </c>
      <c r="E154" s="1267">
        <v>4</v>
      </c>
      <c r="F154" s="1248" t="s">
        <v>1349</v>
      </c>
      <c r="G154" s="1267"/>
      <c r="H154" s="1248">
        <v>290</v>
      </c>
      <c r="I154" s="1255">
        <v>35.9</v>
      </c>
      <c r="J154" s="1255"/>
    </row>
    <row r="155" spans="2:10" ht="14" x14ac:dyDescent="0.15">
      <c r="B155" s="1266" t="s">
        <v>94</v>
      </c>
      <c r="C155" s="1267">
        <v>56</v>
      </c>
      <c r="D155" s="1267">
        <v>7</v>
      </c>
      <c r="E155" s="1267">
        <v>4</v>
      </c>
      <c r="F155" s="1248" t="s">
        <v>1349</v>
      </c>
      <c r="G155" s="1267"/>
      <c r="H155" s="1248">
        <v>290</v>
      </c>
      <c r="I155" s="1254">
        <v>2192.1999999999998</v>
      </c>
      <c r="J155" s="1255"/>
    </row>
    <row r="156" spans="2:10" ht="14" x14ac:dyDescent="0.15">
      <c r="B156" s="1266" t="s">
        <v>96</v>
      </c>
      <c r="C156" s="1267">
        <v>56</v>
      </c>
      <c r="D156" s="1267">
        <v>7</v>
      </c>
      <c r="E156" s="1267">
        <v>4</v>
      </c>
      <c r="F156" s="1248" t="s">
        <v>1349</v>
      </c>
      <c r="G156" s="1267"/>
      <c r="H156" s="1248">
        <v>310</v>
      </c>
      <c r="I156" s="2184"/>
      <c r="J156" s="1255"/>
    </row>
    <row r="157" spans="2:10" ht="14" x14ac:dyDescent="0.15">
      <c r="B157" s="1266" t="s">
        <v>97</v>
      </c>
      <c r="C157" s="1267">
        <v>56</v>
      </c>
      <c r="D157" s="1267">
        <v>7</v>
      </c>
      <c r="E157" s="1267">
        <v>4</v>
      </c>
      <c r="F157" s="1248" t="s">
        <v>1349</v>
      </c>
      <c r="G157" s="1267"/>
      <c r="H157" s="1248">
        <v>340</v>
      </c>
      <c r="I157" s="1255">
        <v>290</v>
      </c>
      <c r="J157" s="1255"/>
    </row>
    <row r="158" spans="2:10" ht="14" x14ac:dyDescent="0.15">
      <c r="B158" s="1243" t="s">
        <v>767</v>
      </c>
      <c r="C158" s="1244">
        <v>56</v>
      </c>
      <c r="D158" s="1244">
        <v>7</v>
      </c>
      <c r="E158" s="1244">
        <v>4</v>
      </c>
      <c r="F158" s="1248" t="s">
        <v>1349</v>
      </c>
      <c r="G158" s="1244">
        <v>612</v>
      </c>
      <c r="H158" s="1244">
        <v>241</v>
      </c>
      <c r="I158" s="1252">
        <v>0</v>
      </c>
      <c r="J158" s="1247"/>
    </row>
    <row r="159" spans="2:10" ht="36" x14ac:dyDescent="0.15">
      <c r="B159" s="1262" t="s">
        <v>1133</v>
      </c>
      <c r="C159" s="2163">
        <v>56</v>
      </c>
      <c r="D159" s="2163">
        <v>7</v>
      </c>
      <c r="E159" s="2163">
        <v>4</v>
      </c>
      <c r="F159" s="1248" t="s">
        <v>1349</v>
      </c>
      <c r="G159" s="1241">
        <v>600</v>
      </c>
      <c r="H159" s="1269"/>
      <c r="I159" s="1264">
        <v>37395.5</v>
      </c>
      <c r="J159" s="2183">
        <v>0</v>
      </c>
    </row>
    <row r="160" spans="2:10" ht="26" x14ac:dyDescent="0.15">
      <c r="B160" s="1243" t="s">
        <v>764</v>
      </c>
      <c r="C160" s="1245">
        <v>56</v>
      </c>
      <c r="D160" s="1245">
        <v>7</v>
      </c>
      <c r="E160" s="1245">
        <v>4</v>
      </c>
      <c r="F160" s="1248" t="s">
        <v>1349</v>
      </c>
      <c r="G160" s="1245">
        <v>611</v>
      </c>
      <c r="H160" s="1245">
        <v>241</v>
      </c>
      <c r="I160" s="1265">
        <v>37395.5</v>
      </c>
      <c r="J160" s="1289">
        <v>0</v>
      </c>
    </row>
    <row r="161" spans="2:10" ht="14" x14ac:dyDescent="0.15">
      <c r="B161" s="1266" t="s">
        <v>78</v>
      </c>
      <c r="C161" s="1267">
        <v>56</v>
      </c>
      <c r="D161" s="1267">
        <v>7</v>
      </c>
      <c r="E161" s="1267">
        <v>4</v>
      </c>
      <c r="F161" s="1248" t="s">
        <v>1349</v>
      </c>
      <c r="G161" s="1267"/>
      <c r="H161" s="1248">
        <v>211</v>
      </c>
      <c r="I161" s="1254">
        <v>26106.5</v>
      </c>
      <c r="J161" s="1255"/>
    </row>
    <row r="162" spans="2:10" ht="14" x14ac:dyDescent="0.15">
      <c r="B162" s="1266" t="s">
        <v>83</v>
      </c>
      <c r="C162" s="1267">
        <v>56</v>
      </c>
      <c r="D162" s="1267">
        <v>7</v>
      </c>
      <c r="E162" s="1267">
        <v>4</v>
      </c>
      <c r="F162" s="1248" t="s">
        <v>1349</v>
      </c>
      <c r="G162" s="1267"/>
      <c r="H162" s="1248">
        <v>212</v>
      </c>
      <c r="I162" s="1255"/>
      <c r="J162" s="1255"/>
    </row>
    <row r="163" spans="2:10" ht="14" x14ac:dyDescent="0.15">
      <c r="B163" s="1266" t="s">
        <v>84</v>
      </c>
      <c r="C163" s="1267">
        <v>56</v>
      </c>
      <c r="D163" s="1267">
        <v>7</v>
      </c>
      <c r="E163" s="1267">
        <v>4</v>
      </c>
      <c r="F163" s="1248" t="s">
        <v>1349</v>
      </c>
      <c r="G163" s="1267"/>
      <c r="H163" s="1248">
        <v>213</v>
      </c>
      <c r="I163" s="1254">
        <v>7590</v>
      </c>
      <c r="J163" s="1255"/>
    </row>
    <row r="164" spans="2:10" ht="14" x14ac:dyDescent="0.15">
      <c r="B164" s="1266" t="s">
        <v>85</v>
      </c>
      <c r="C164" s="1267">
        <v>56</v>
      </c>
      <c r="D164" s="1267">
        <v>7</v>
      </c>
      <c r="E164" s="1267">
        <v>4</v>
      </c>
      <c r="F164" s="1248" t="s">
        <v>1349</v>
      </c>
      <c r="G164" s="1267"/>
      <c r="H164" s="1248">
        <v>221</v>
      </c>
      <c r="I164" s="1255">
        <v>16.600000000000001</v>
      </c>
      <c r="J164" s="1255"/>
    </row>
    <row r="165" spans="2:10" ht="14" x14ac:dyDescent="0.15">
      <c r="B165" s="1266" t="s">
        <v>86</v>
      </c>
      <c r="C165" s="1267">
        <v>56</v>
      </c>
      <c r="D165" s="1267">
        <v>7</v>
      </c>
      <c r="E165" s="1267">
        <v>4</v>
      </c>
      <c r="F165" s="1248" t="s">
        <v>1349</v>
      </c>
      <c r="G165" s="1267"/>
      <c r="H165" s="1248">
        <v>222</v>
      </c>
      <c r="I165" s="1255"/>
      <c r="J165" s="1255"/>
    </row>
    <row r="166" spans="2:10" ht="14" x14ac:dyDescent="0.15">
      <c r="B166" s="1266" t="s">
        <v>87</v>
      </c>
      <c r="C166" s="1267">
        <v>56</v>
      </c>
      <c r="D166" s="1267">
        <v>7</v>
      </c>
      <c r="E166" s="1267">
        <v>4</v>
      </c>
      <c r="F166" s="1248" t="s">
        <v>1349</v>
      </c>
      <c r="G166" s="1267"/>
      <c r="H166" s="1248">
        <v>223</v>
      </c>
      <c r="I166" s="1255">
        <v>335.3</v>
      </c>
      <c r="J166" s="1255"/>
    </row>
    <row r="167" spans="2:10" ht="14" x14ac:dyDescent="0.15">
      <c r="B167" s="1266" t="s">
        <v>111</v>
      </c>
      <c r="C167" s="1267">
        <v>56</v>
      </c>
      <c r="D167" s="1267">
        <v>7</v>
      </c>
      <c r="E167" s="1267">
        <v>4</v>
      </c>
      <c r="F167" s="1248" t="s">
        <v>1349</v>
      </c>
      <c r="G167" s="1267"/>
      <c r="H167" s="1248">
        <v>224</v>
      </c>
      <c r="I167" s="1255"/>
      <c r="J167" s="1255"/>
    </row>
    <row r="168" spans="2:10" ht="14" x14ac:dyDescent="0.15">
      <c r="B168" s="1266" t="s">
        <v>90</v>
      </c>
      <c r="C168" s="1267">
        <v>56</v>
      </c>
      <c r="D168" s="1267">
        <v>7</v>
      </c>
      <c r="E168" s="1267">
        <v>4</v>
      </c>
      <c r="F168" s="1248" t="s">
        <v>1349</v>
      </c>
      <c r="G168" s="1267"/>
      <c r="H168" s="1248">
        <v>225</v>
      </c>
      <c r="I168" s="1255">
        <v>22.6</v>
      </c>
      <c r="J168" s="1255"/>
    </row>
    <row r="169" spans="2:10" ht="14" x14ac:dyDescent="0.15">
      <c r="B169" s="1266" t="s">
        <v>91</v>
      </c>
      <c r="C169" s="1267">
        <v>56</v>
      </c>
      <c r="D169" s="1267">
        <v>7</v>
      </c>
      <c r="E169" s="1267">
        <v>4</v>
      </c>
      <c r="F169" s="1248" t="s">
        <v>1349</v>
      </c>
      <c r="G169" s="1267"/>
      <c r="H169" s="1248">
        <v>226</v>
      </c>
      <c r="I169" s="1254">
        <v>1847.4</v>
      </c>
      <c r="J169" s="1255"/>
    </row>
    <row r="170" spans="2:10" ht="14" x14ac:dyDescent="0.15">
      <c r="B170" s="1266" t="s">
        <v>94</v>
      </c>
      <c r="C170" s="1267">
        <v>56</v>
      </c>
      <c r="D170" s="1267">
        <v>7</v>
      </c>
      <c r="E170" s="1267">
        <v>4</v>
      </c>
      <c r="F170" s="1248" t="s">
        <v>1349</v>
      </c>
      <c r="G170" s="1267"/>
      <c r="H170" s="1248">
        <v>290</v>
      </c>
      <c r="I170" s="1255">
        <v>179.6</v>
      </c>
      <c r="J170" s="1255"/>
    </row>
    <row r="171" spans="2:10" ht="14" x14ac:dyDescent="0.15">
      <c r="B171" s="1266" t="s">
        <v>94</v>
      </c>
      <c r="C171" s="1267">
        <v>56</v>
      </c>
      <c r="D171" s="1267">
        <v>7</v>
      </c>
      <c r="E171" s="1267">
        <v>4</v>
      </c>
      <c r="F171" s="1248" t="s">
        <v>1349</v>
      </c>
      <c r="G171" s="1267"/>
      <c r="H171" s="1248">
        <v>290</v>
      </c>
      <c r="I171" s="1254">
        <v>1103</v>
      </c>
      <c r="J171" s="1255"/>
    </row>
    <row r="172" spans="2:10" ht="14" x14ac:dyDescent="0.15">
      <c r="B172" s="1266" t="s">
        <v>96</v>
      </c>
      <c r="C172" s="1267">
        <v>56</v>
      </c>
      <c r="D172" s="1267">
        <v>7</v>
      </c>
      <c r="E172" s="1267">
        <v>4</v>
      </c>
      <c r="F172" s="1248" t="s">
        <v>1349</v>
      </c>
      <c r="G172" s="1267"/>
      <c r="H172" s="1248">
        <v>310</v>
      </c>
      <c r="I172" s="1255"/>
      <c r="J172" s="1255"/>
    </row>
    <row r="173" spans="2:10" ht="14" x14ac:dyDescent="0.15">
      <c r="B173" s="1266" t="s">
        <v>97</v>
      </c>
      <c r="C173" s="1267">
        <v>56</v>
      </c>
      <c r="D173" s="1267">
        <v>7</v>
      </c>
      <c r="E173" s="1267">
        <v>4</v>
      </c>
      <c r="F173" s="1248" t="s">
        <v>1349</v>
      </c>
      <c r="G173" s="1267"/>
      <c r="H173" s="1248">
        <v>340</v>
      </c>
      <c r="I173" s="1255">
        <v>194.5</v>
      </c>
      <c r="J173" s="1255"/>
    </row>
    <row r="174" spans="2:10" ht="14" x14ac:dyDescent="0.15">
      <c r="B174" s="1243" t="s">
        <v>767</v>
      </c>
      <c r="C174" s="1244">
        <v>56</v>
      </c>
      <c r="D174" s="1244">
        <v>7</v>
      </c>
      <c r="E174" s="1244">
        <v>4</v>
      </c>
      <c r="F174" s="1248" t="s">
        <v>1349</v>
      </c>
      <c r="G174" s="1244">
        <v>612</v>
      </c>
      <c r="H174" s="1244">
        <v>241</v>
      </c>
      <c r="I174" s="1252">
        <v>0</v>
      </c>
      <c r="J174" s="1247"/>
    </row>
    <row r="175" spans="2:10" ht="24" x14ac:dyDescent="0.15">
      <c r="B175" s="1262" t="s">
        <v>1134</v>
      </c>
      <c r="C175" s="2163">
        <v>56</v>
      </c>
      <c r="D175" s="2163">
        <v>7</v>
      </c>
      <c r="E175" s="2163">
        <v>4</v>
      </c>
      <c r="F175" s="1248" t="s">
        <v>1349</v>
      </c>
      <c r="G175" s="1241">
        <v>600</v>
      </c>
      <c r="H175" s="1269"/>
      <c r="I175" s="1264">
        <v>21676</v>
      </c>
      <c r="J175" s="2183">
        <v>0</v>
      </c>
    </row>
    <row r="176" spans="2:10" ht="26" x14ac:dyDescent="0.15">
      <c r="B176" s="1243" t="s">
        <v>764</v>
      </c>
      <c r="C176" s="1245">
        <v>56</v>
      </c>
      <c r="D176" s="1245">
        <v>7</v>
      </c>
      <c r="E176" s="1245">
        <v>4</v>
      </c>
      <c r="F176" s="1248" t="s">
        <v>1349</v>
      </c>
      <c r="G176" s="1245">
        <v>611</v>
      </c>
      <c r="H176" s="1245">
        <v>241</v>
      </c>
      <c r="I176" s="1265">
        <v>21676</v>
      </c>
      <c r="J176" s="1289">
        <v>0</v>
      </c>
    </row>
    <row r="177" spans="2:10" ht="14" x14ac:dyDescent="0.15">
      <c r="B177" s="1266" t="s">
        <v>78</v>
      </c>
      <c r="C177" s="1267">
        <v>56</v>
      </c>
      <c r="D177" s="1267">
        <v>7</v>
      </c>
      <c r="E177" s="1267">
        <v>4</v>
      </c>
      <c r="F177" s="1248" t="s">
        <v>1349</v>
      </c>
      <c r="G177" s="1267"/>
      <c r="H177" s="1248">
        <v>211</v>
      </c>
      <c r="I177" s="1254">
        <v>16089.2</v>
      </c>
      <c r="J177" s="1255"/>
    </row>
    <row r="178" spans="2:10" ht="14" x14ac:dyDescent="0.15">
      <c r="B178" s="1266" t="s">
        <v>83</v>
      </c>
      <c r="C178" s="1267">
        <v>56</v>
      </c>
      <c r="D178" s="1267">
        <v>7</v>
      </c>
      <c r="E178" s="1267">
        <v>4</v>
      </c>
      <c r="F178" s="1248" t="s">
        <v>1349</v>
      </c>
      <c r="G178" s="1267"/>
      <c r="H178" s="1248">
        <v>212</v>
      </c>
      <c r="I178" s="1255">
        <v>5</v>
      </c>
      <c r="J178" s="1255"/>
    </row>
    <row r="179" spans="2:10" ht="14" x14ac:dyDescent="0.15">
      <c r="B179" s="1266" t="s">
        <v>84</v>
      </c>
      <c r="C179" s="1267">
        <v>56</v>
      </c>
      <c r="D179" s="1267">
        <v>7</v>
      </c>
      <c r="E179" s="1267">
        <v>4</v>
      </c>
      <c r="F179" s="1248" t="s">
        <v>1349</v>
      </c>
      <c r="G179" s="1267"/>
      <c r="H179" s="1248">
        <v>213</v>
      </c>
      <c r="I179" s="1254">
        <v>4688.5</v>
      </c>
      <c r="J179" s="1255"/>
    </row>
    <row r="180" spans="2:10" ht="14" x14ac:dyDescent="0.15">
      <c r="B180" s="1266" t="s">
        <v>85</v>
      </c>
      <c r="C180" s="1267">
        <v>56</v>
      </c>
      <c r="D180" s="1267">
        <v>7</v>
      </c>
      <c r="E180" s="1267">
        <v>4</v>
      </c>
      <c r="F180" s="1248" t="s">
        <v>1349</v>
      </c>
      <c r="G180" s="1267"/>
      <c r="H180" s="1248">
        <v>221</v>
      </c>
      <c r="I180" s="1255">
        <v>14.5</v>
      </c>
      <c r="J180" s="1255"/>
    </row>
    <row r="181" spans="2:10" ht="14" x14ac:dyDescent="0.15">
      <c r="B181" s="1266" t="s">
        <v>86</v>
      </c>
      <c r="C181" s="1267">
        <v>56</v>
      </c>
      <c r="D181" s="1267">
        <v>7</v>
      </c>
      <c r="E181" s="1267">
        <v>4</v>
      </c>
      <c r="F181" s="1248" t="s">
        <v>1349</v>
      </c>
      <c r="G181" s="1267"/>
      <c r="H181" s="1248">
        <v>222</v>
      </c>
      <c r="I181" s="1255">
        <v>20</v>
      </c>
      <c r="J181" s="1255"/>
    </row>
    <row r="182" spans="2:10" ht="14" x14ac:dyDescent="0.15">
      <c r="B182" s="1266" t="s">
        <v>87</v>
      </c>
      <c r="C182" s="1267">
        <v>56</v>
      </c>
      <c r="D182" s="1267">
        <v>7</v>
      </c>
      <c r="E182" s="1267">
        <v>4</v>
      </c>
      <c r="F182" s="1248" t="s">
        <v>1349</v>
      </c>
      <c r="G182" s="1267"/>
      <c r="H182" s="1248">
        <v>223</v>
      </c>
      <c r="I182" s="1255">
        <v>81</v>
      </c>
      <c r="J182" s="1255"/>
    </row>
    <row r="183" spans="2:10" ht="14" x14ac:dyDescent="0.15">
      <c r="B183" s="1266" t="s">
        <v>111</v>
      </c>
      <c r="C183" s="1267">
        <v>56</v>
      </c>
      <c r="D183" s="1267">
        <v>7</v>
      </c>
      <c r="E183" s="1267">
        <v>4</v>
      </c>
      <c r="F183" s="1248" t="s">
        <v>1349</v>
      </c>
      <c r="G183" s="1267"/>
      <c r="H183" s="1248">
        <v>224</v>
      </c>
      <c r="I183" s="1255">
        <v>6</v>
      </c>
      <c r="J183" s="1255"/>
    </row>
    <row r="184" spans="2:10" ht="14" x14ac:dyDescent="0.15">
      <c r="B184" s="1266" t="s">
        <v>90</v>
      </c>
      <c r="C184" s="1267">
        <v>56</v>
      </c>
      <c r="D184" s="1267">
        <v>7</v>
      </c>
      <c r="E184" s="1267">
        <v>4</v>
      </c>
      <c r="F184" s="1248" t="s">
        <v>1349</v>
      </c>
      <c r="G184" s="1267"/>
      <c r="H184" s="1248">
        <v>225</v>
      </c>
      <c r="I184" s="1255">
        <v>10.5</v>
      </c>
      <c r="J184" s="1255"/>
    </row>
    <row r="185" spans="2:10" ht="14" x14ac:dyDescent="0.15">
      <c r="B185" s="1266" t="s">
        <v>91</v>
      </c>
      <c r="C185" s="1267">
        <v>56</v>
      </c>
      <c r="D185" s="1267">
        <v>7</v>
      </c>
      <c r="E185" s="1267">
        <v>4</v>
      </c>
      <c r="F185" s="1248" t="s">
        <v>1349</v>
      </c>
      <c r="G185" s="1267"/>
      <c r="H185" s="1248">
        <v>226</v>
      </c>
      <c r="I185" s="1255">
        <v>11.5</v>
      </c>
      <c r="J185" s="1255"/>
    </row>
    <row r="186" spans="2:10" ht="14" x14ac:dyDescent="0.15">
      <c r="B186" s="1266" t="s">
        <v>94</v>
      </c>
      <c r="C186" s="1267">
        <v>56</v>
      </c>
      <c r="D186" s="1267">
        <v>7</v>
      </c>
      <c r="E186" s="1267">
        <v>4</v>
      </c>
      <c r="F186" s="1248" t="s">
        <v>1349</v>
      </c>
      <c r="G186" s="1267"/>
      <c r="H186" s="1248">
        <v>290</v>
      </c>
      <c r="I186" s="1255">
        <v>25.1</v>
      </c>
      <c r="J186" s="1255"/>
    </row>
    <row r="187" spans="2:10" ht="14" x14ac:dyDescent="0.15">
      <c r="B187" s="1266" t="s">
        <v>94</v>
      </c>
      <c r="C187" s="1267">
        <v>56</v>
      </c>
      <c r="D187" s="1267">
        <v>7</v>
      </c>
      <c r="E187" s="1267">
        <v>4</v>
      </c>
      <c r="F187" s="1248" t="s">
        <v>1349</v>
      </c>
      <c r="G187" s="1267"/>
      <c r="H187" s="1248">
        <v>290</v>
      </c>
      <c r="I187" s="1255">
        <v>677.2</v>
      </c>
      <c r="J187" s="1255"/>
    </row>
    <row r="188" spans="2:10" ht="14" x14ac:dyDescent="0.15">
      <c r="B188" s="1266" t="s">
        <v>96</v>
      </c>
      <c r="C188" s="1267">
        <v>56</v>
      </c>
      <c r="D188" s="1267">
        <v>7</v>
      </c>
      <c r="E188" s="1267">
        <v>4</v>
      </c>
      <c r="F188" s="1248" t="s">
        <v>1349</v>
      </c>
      <c r="G188" s="1267"/>
      <c r="H188" s="1248">
        <v>310</v>
      </c>
      <c r="I188" s="1255">
        <v>25.5</v>
      </c>
      <c r="J188" s="1255"/>
    </row>
    <row r="189" spans="2:10" ht="14" x14ac:dyDescent="0.15">
      <c r="B189" s="1266" t="s">
        <v>97</v>
      </c>
      <c r="C189" s="1267">
        <v>56</v>
      </c>
      <c r="D189" s="1267">
        <v>7</v>
      </c>
      <c r="E189" s="1267">
        <v>4</v>
      </c>
      <c r="F189" s="1248" t="s">
        <v>1349</v>
      </c>
      <c r="G189" s="1267"/>
      <c r="H189" s="1248">
        <v>340</v>
      </c>
      <c r="I189" s="1255">
        <v>22</v>
      </c>
      <c r="J189" s="1255"/>
    </row>
    <row r="190" spans="2:10" ht="14" x14ac:dyDescent="0.15">
      <c r="B190" s="1243" t="s">
        <v>767</v>
      </c>
      <c r="C190" s="1244">
        <v>56</v>
      </c>
      <c r="D190" s="1244">
        <v>7</v>
      </c>
      <c r="E190" s="1244">
        <v>4</v>
      </c>
      <c r="F190" s="1248" t="s">
        <v>1349</v>
      </c>
      <c r="G190" s="1244">
        <v>612</v>
      </c>
      <c r="H190" s="1244">
        <v>241</v>
      </c>
      <c r="I190" s="1252">
        <v>0</v>
      </c>
      <c r="J190" s="1247"/>
    </row>
    <row r="191" spans="2:10" ht="26" x14ac:dyDescent="0.15">
      <c r="B191" s="1303" t="s">
        <v>773</v>
      </c>
      <c r="C191" s="1304">
        <v>56</v>
      </c>
      <c r="D191" s="1304">
        <v>7</v>
      </c>
      <c r="E191" s="1304">
        <v>5</v>
      </c>
      <c r="F191" s="1304"/>
      <c r="G191" s="1304"/>
      <c r="H191" s="1304"/>
      <c r="I191" s="2181">
        <v>6506.7</v>
      </c>
      <c r="J191" s="2182">
        <v>0</v>
      </c>
    </row>
    <row r="192" spans="2:10" ht="66" x14ac:dyDescent="0.15">
      <c r="B192" s="2180" t="s">
        <v>1351</v>
      </c>
      <c r="C192" s="1288">
        <v>56</v>
      </c>
      <c r="D192" s="1288">
        <v>7</v>
      </c>
      <c r="E192" s="1288">
        <v>5</v>
      </c>
      <c r="F192" s="1248" t="s">
        <v>1352</v>
      </c>
      <c r="G192" s="1303"/>
      <c r="H192" s="1303"/>
      <c r="I192" s="1249">
        <v>6506.7</v>
      </c>
      <c r="J192" s="1250">
        <v>0</v>
      </c>
    </row>
    <row r="193" spans="2:10" x14ac:dyDescent="0.15">
      <c r="B193" s="1311" t="s">
        <v>1125</v>
      </c>
      <c r="C193" s="1312">
        <v>56</v>
      </c>
      <c r="D193" s="1312">
        <v>7</v>
      </c>
      <c r="E193" s="1312">
        <v>5</v>
      </c>
      <c r="F193" s="1248" t="s">
        <v>1352</v>
      </c>
      <c r="G193" s="1312">
        <v>600</v>
      </c>
      <c r="H193" s="1239"/>
      <c r="I193" s="1268">
        <v>6506.7</v>
      </c>
      <c r="J193" s="2178">
        <v>0</v>
      </c>
    </row>
    <row r="194" spans="2:10" ht="39" x14ac:dyDescent="0.15">
      <c r="B194" s="1243" t="s">
        <v>1135</v>
      </c>
      <c r="C194" s="1245">
        <v>56</v>
      </c>
      <c r="D194" s="1245">
        <v>7</v>
      </c>
      <c r="E194" s="1245">
        <v>5</v>
      </c>
      <c r="F194" s="1248" t="s">
        <v>1352</v>
      </c>
      <c r="G194" s="1245">
        <v>611</v>
      </c>
      <c r="H194" s="1243">
        <v>241</v>
      </c>
      <c r="I194" s="1265">
        <v>6506.7</v>
      </c>
      <c r="J194" s="1289">
        <v>0</v>
      </c>
    </row>
    <row r="195" spans="2:10" x14ac:dyDescent="0.15">
      <c r="B195" s="1247" t="s">
        <v>78</v>
      </c>
      <c r="C195" s="1248">
        <v>56</v>
      </c>
      <c r="D195" s="1248">
        <v>7</v>
      </c>
      <c r="E195" s="1248">
        <v>5</v>
      </c>
      <c r="F195" s="1248" t="s">
        <v>1352</v>
      </c>
      <c r="G195" s="1248"/>
      <c r="H195" s="1248">
        <v>211</v>
      </c>
      <c r="I195" s="1249">
        <v>4914.2</v>
      </c>
      <c r="J195" s="1247"/>
    </row>
    <row r="196" spans="2:10" x14ac:dyDescent="0.15">
      <c r="B196" s="1247" t="s">
        <v>83</v>
      </c>
      <c r="C196" s="1248">
        <v>56</v>
      </c>
      <c r="D196" s="1248">
        <v>7</v>
      </c>
      <c r="E196" s="1248">
        <v>5</v>
      </c>
      <c r="F196" s="1248" t="s">
        <v>1352</v>
      </c>
      <c r="G196" s="1248"/>
      <c r="H196" s="1248">
        <v>212</v>
      </c>
      <c r="I196" s="1250"/>
      <c r="J196" s="1247"/>
    </row>
    <row r="197" spans="2:10" x14ac:dyDescent="0.15">
      <c r="B197" s="1247" t="s">
        <v>84</v>
      </c>
      <c r="C197" s="1248">
        <v>56</v>
      </c>
      <c r="D197" s="1248">
        <v>7</v>
      </c>
      <c r="E197" s="1248">
        <v>5</v>
      </c>
      <c r="F197" s="1248" t="s">
        <v>1352</v>
      </c>
      <c r="G197" s="1248"/>
      <c r="H197" s="1248">
        <v>213</v>
      </c>
      <c r="I197" s="1249">
        <v>1397.3</v>
      </c>
      <c r="J197" s="1247"/>
    </row>
    <row r="198" spans="2:10" x14ac:dyDescent="0.15">
      <c r="B198" s="1247" t="s">
        <v>85</v>
      </c>
      <c r="C198" s="1248">
        <v>56</v>
      </c>
      <c r="D198" s="1248">
        <v>7</v>
      </c>
      <c r="E198" s="1248">
        <v>5</v>
      </c>
      <c r="F198" s="1248" t="s">
        <v>1352</v>
      </c>
      <c r="G198" s="1248"/>
      <c r="H198" s="1248">
        <v>221</v>
      </c>
      <c r="I198" s="1250">
        <v>31.7</v>
      </c>
      <c r="J198" s="1247"/>
    </row>
    <row r="199" spans="2:10" x14ac:dyDescent="0.15">
      <c r="B199" s="1247" t="s">
        <v>86</v>
      </c>
      <c r="C199" s="1248">
        <v>56</v>
      </c>
      <c r="D199" s="1248">
        <v>7</v>
      </c>
      <c r="E199" s="1248">
        <v>5</v>
      </c>
      <c r="F199" s="1248" t="s">
        <v>1352</v>
      </c>
      <c r="G199" s="1248"/>
      <c r="H199" s="1248">
        <v>222</v>
      </c>
      <c r="I199" s="1250"/>
      <c r="J199" s="1247"/>
    </row>
    <row r="200" spans="2:10" x14ac:dyDescent="0.15">
      <c r="B200" s="1247" t="s">
        <v>87</v>
      </c>
      <c r="C200" s="1248">
        <v>56</v>
      </c>
      <c r="D200" s="1248">
        <v>7</v>
      </c>
      <c r="E200" s="1248">
        <v>5</v>
      </c>
      <c r="F200" s="1248" t="s">
        <v>1352</v>
      </c>
      <c r="G200" s="1248"/>
      <c r="H200" s="1248">
        <v>223</v>
      </c>
      <c r="I200" s="1250"/>
      <c r="J200" s="1247"/>
    </row>
    <row r="201" spans="2:10" x14ac:dyDescent="0.15">
      <c r="B201" s="1247" t="s">
        <v>111</v>
      </c>
      <c r="C201" s="1248">
        <v>56</v>
      </c>
      <c r="D201" s="1248">
        <v>7</v>
      </c>
      <c r="E201" s="1248">
        <v>5</v>
      </c>
      <c r="F201" s="1248" t="s">
        <v>1352</v>
      </c>
      <c r="G201" s="1248"/>
      <c r="H201" s="1248">
        <v>224</v>
      </c>
      <c r="I201" s="1250"/>
      <c r="J201" s="1247"/>
    </row>
    <row r="202" spans="2:10" x14ac:dyDescent="0.15">
      <c r="B202" s="1247" t="s">
        <v>90</v>
      </c>
      <c r="C202" s="1248">
        <v>56</v>
      </c>
      <c r="D202" s="1248">
        <v>7</v>
      </c>
      <c r="E202" s="1248">
        <v>5</v>
      </c>
      <c r="F202" s="1248" t="s">
        <v>1352</v>
      </c>
      <c r="G202" s="1248"/>
      <c r="H202" s="1248">
        <v>225</v>
      </c>
      <c r="I202" s="1250"/>
      <c r="J202" s="1247"/>
    </row>
    <row r="203" spans="2:10" ht="14" x14ac:dyDescent="0.15">
      <c r="B203" s="1247" t="s">
        <v>91</v>
      </c>
      <c r="C203" s="1248">
        <v>56</v>
      </c>
      <c r="D203" s="1248">
        <v>7</v>
      </c>
      <c r="E203" s="1248">
        <v>5</v>
      </c>
      <c r="F203" s="1248" t="s">
        <v>1352</v>
      </c>
      <c r="G203" s="1248"/>
      <c r="H203" s="1248">
        <v>226</v>
      </c>
      <c r="I203" s="1255">
        <v>140.19999999999999</v>
      </c>
      <c r="J203" s="1247"/>
    </row>
    <row r="204" spans="2:10" x14ac:dyDescent="0.15">
      <c r="B204" s="1247" t="s">
        <v>94</v>
      </c>
      <c r="C204" s="1248">
        <v>56</v>
      </c>
      <c r="D204" s="1248">
        <v>7</v>
      </c>
      <c r="E204" s="1248">
        <v>5</v>
      </c>
      <c r="F204" s="1248" t="s">
        <v>1352</v>
      </c>
      <c r="G204" s="1248"/>
      <c r="H204" s="1248">
        <v>290</v>
      </c>
      <c r="I204" s="1250">
        <v>8.6999999999999993</v>
      </c>
      <c r="J204" s="1247"/>
    </row>
    <row r="205" spans="2:10" x14ac:dyDescent="0.15">
      <c r="B205" s="1247" t="s">
        <v>94</v>
      </c>
      <c r="C205" s="1248">
        <v>56</v>
      </c>
      <c r="D205" s="1248">
        <v>7</v>
      </c>
      <c r="E205" s="1248">
        <v>5</v>
      </c>
      <c r="F205" s="1248" t="s">
        <v>1352</v>
      </c>
      <c r="G205" s="1248"/>
      <c r="H205" s="1248">
        <v>290</v>
      </c>
      <c r="I205" s="1250"/>
      <c r="J205" s="1247"/>
    </row>
    <row r="206" spans="2:10" ht="14" x14ac:dyDescent="0.15">
      <c r="B206" s="1247" t="s">
        <v>96</v>
      </c>
      <c r="C206" s="1248">
        <v>56</v>
      </c>
      <c r="D206" s="1248">
        <v>7</v>
      </c>
      <c r="E206" s="1248">
        <v>5</v>
      </c>
      <c r="F206" s="1248" t="s">
        <v>1352</v>
      </c>
      <c r="G206" s="1248"/>
      <c r="H206" s="1248">
        <v>310</v>
      </c>
      <c r="I206" s="1256"/>
      <c r="J206" s="1247"/>
    </row>
    <row r="207" spans="2:10" ht="14" x14ac:dyDescent="0.15">
      <c r="B207" s="1247" t="s">
        <v>97</v>
      </c>
      <c r="C207" s="1248">
        <v>56</v>
      </c>
      <c r="D207" s="1248">
        <v>7</v>
      </c>
      <c r="E207" s="1248">
        <v>5</v>
      </c>
      <c r="F207" s="1248" t="s">
        <v>1352</v>
      </c>
      <c r="G207" s="1248"/>
      <c r="H207" s="1248">
        <v>340</v>
      </c>
      <c r="I207" s="1255">
        <v>14.6</v>
      </c>
      <c r="J207" s="1247"/>
    </row>
    <row r="208" spans="2:10" ht="14" x14ac:dyDescent="0.15">
      <c r="B208" s="1243" t="s">
        <v>767</v>
      </c>
      <c r="C208" s="1244">
        <v>56</v>
      </c>
      <c r="D208" s="1244">
        <v>7</v>
      </c>
      <c r="E208" s="1244">
        <v>5</v>
      </c>
      <c r="F208" s="1248" t="s">
        <v>1352</v>
      </c>
      <c r="G208" s="1244">
        <v>1</v>
      </c>
      <c r="H208" s="1244">
        <v>241</v>
      </c>
      <c r="I208" s="1252">
        <v>0</v>
      </c>
      <c r="J208" s="1247"/>
    </row>
    <row r="209" spans="2:10" ht="18" x14ac:dyDescent="0.2">
      <c r="B209" s="2185" t="s">
        <v>1137</v>
      </c>
      <c r="C209" s="1285">
        <v>56</v>
      </c>
      <c r="D209" s="1285">
        <v>8</v>
      </c>
      <c r="E209" s="1201"/>
      <c r="F209" s="1305"/>
      <c r="G209" s="1305"/>
      <c r="H209" s="1305"/>
      <c r="I209" s="1306">
        <v>994219.1</v>
      </c>
      <c r="J209" s="1306">
        <v>164446.5</v>
      </c>
    </row>
    <row r="210" spans="2:10" ht="18" x14ac:dyDescent="0.2">
      <c r="B210" s="2185" t="s">
        <v>777</v>
      </c>
      <c r="C210" s="1285">
        <v>56</v>
      </c>
      <c r="D210" s="1285">
        <v>8</v>
      </c>
      <c r="E210" s="1285">
        <v>1</v>
      </c>
      <c r="F210" s="1305"/>
      <c r="G210" s="1305"/>
      <c r="H210" s="1305"/>
      <c r="I210" s="1306">
        <v>962396.7</v>
      </c>
      <c r="J210" s="1306">
        <v>164446.5</v>
      </c>
    </row>
    <row r="211" spans="2:10" x14ac:dyDescent="0.15">
      <c r="B211" s="2176" t="s">
        <v>1353</v>
      </c>
      <c r="C211" s="1288">
        <v>56</v>
      </c>
      <c r="D211" s="1288">
        <v>8</v>
      </c>
      <c r="E211" s="1288">
        <v>1</v>
      </c>
      <c r="F211" s="1288">
        <v>2020000</v>
      </c>
      <c r="G211" s="1305"/>
      <c r="H211" s="1305"/>
      <c r="I211" s="1306">
        <v>961381.7</v>
      </c>
      <c r="J211" s="1306">
        <v>164446.5</v>
      </c>
    </row>
    <row r="212" spans="2:10" x14ac:dyDescent="0.15">
      <c r="B212" s="1266" t="s">
        <v>1125</v>
      </c>
      <c r="C212" s="1288">
        <v>56</v>
      </c>
      <c r="D212" s="1288">
        <v>8</v>
      </c>
      <c r="E212" s="1288">
        <v>1</v>
      </c>
      <c r="F212" s="1288">
        <v>2020000</v>
      </c>
      <c r="G212" s="1288">
        <v>600</v>
      </c>
      <c r="H212" s="1248"/>
      <c r="I212" s="1249">
        <v>947267.2</v>
      </c>
      <c r="J212" s="1249">
        <v>164446.5</v>
      </c>
    </row>
    <row r="213" spans="2:10" ht="26" x14ac:dyDescent="0.15">
      <c r="B213" s="1243" t="s">
        <v>764</v>
      </c>
      <c r="C213" s="1245">
        <v>56</v>
      </c>
      <c r="D213" s="1245">
        <v>8</v>
      </c>
      <c r="E213" s="1244">
        <v>1</v>
      </c>
      <c r="F213" s="1288">
        <v>2020000</v>
      </c>
      <c r="G213" s="1244">
        <v>611</v>
      </c>
      <c r="H213" s="1244">
        <v>241</v>
      </c>
      <c r="I213" s="1265">
        <v>782820.7</v>
      </c>
      <c r="J213" s="1265">
        <v>164446.5</v>
      </c>
    </row>
    <row r="214" spans="2:10" x14ac:dyDescent="0.15">
      <c r="B214" s="1247" t="s">
        <v>78</v>
      </c>
      <c r="C214" s="1248">
        <v>56</v>
      </c>
      <c r="D214" s="1248">
        <v>8</v>
      </c>
      <c r="E214" s="1248">
        <v>1</v>
      </c>
      <c r="F214" s="1288">
        <v>2020000</v>
      </c>
      <c r="G214" s="1248"/>
      <c r="H214" s="1248">
        <v>211</v>
      </c>
      <c r="I214" s="1249">
        <v>507668</v>
      </c>
      <c r="J214" s="1250">
        <v>0</v>
      </c>
    </row>
    <row r="215" spans="2:10" x14ac:dyDescent="0.15">
      <c r="B215" s="1247" t="s">
        <v>83</v>
      </c>
      <c r="C215" s="1248">
        <v>56</v>
      </c>
      <c r="D215" s="1248">
        <v>8</v>
      </c>
      <c r="E215" s="1248">
        <v>1</v>
      </c>
      <c r="F215" s="1288">
        <v>2020000</v>
      </c>
      <c r="G215" s="1248"/>
      <c r="H215" s="1248">
        <v>212</v>
      </c>
      <c r="I215" s="1250">
        <v>125</v>
      </c>
      <c r="J215" s="1250">
        <v>0</v>
      </c>
    </row>
    <row r="216" spans="2:10" x14ac:dyDescent="0.15">
      <c r="B216" s="1247" t="s">
        <v>84</v>
      </c>
      <c r="C216" s="1248">
        <v>56</v>
      </c>
      <c r="D216" s="1248">
        <v>8</v>
      </c>
      <c r="E216" s="1248">
        <v>1</v>
      </c>
      <c r="F216" s="1288">
        <v>2020000</v>
      </c>
      <c r="G216" s="1248"/>
      <c r="H216" s="1248">
        <v>213</v>
      </c>
      <c r="I216" s="1249">
        <v>147837.79999999999</v>
      </c>
      <c r="J216" s="1250">
        <v>0</v>
      </c>
    </row>
    <row r="217" spans="2:10" x14ac:dyDescent="0.15">
      <c r="B217" s="1247" t="s">
        <v>85</v>
      </c>
      <c r="C217" s="1248">
        <v>56</v>
      </c>
      <c r="D217" s="1248">
        <v>8</v>
      </c>
      <c r="E217" s="1248">
        <v>1</v>
      </c>
      <c r="F217" s="1288">
        <v>2020000</v>
      </c>
      <c r="G217" s="1248"/>
      <c r="H217" s="1248">
        <v>221</v>
      </c>
      <c r="I217" s="1250">
        <v>687</v>
      </c>
      <c r="J217" s="1250">
        <v>0</v>
      </c>
    </row>
    <row r="218" spans="2:10" x14ac:dyDescent="0.15">
      <c r="B218" s="1247" t="s">
        <v>86</v>
      </c>
      <c r="C218" s="1248">
        <v>56</v>
      </c>
      <c r="D218" s="1248">
        <v>8</v>
      </c>
      <c r="E218" s="1248">
        <v>1</v>
      </c>
      <c r="F218" s="1288">
        <v>2020000</v>
      </c>
      <c r="G218" s="1248"/>
      <c r="H218" s="1248">
        <v>222</v>
      </c>
      <c r="I218" s="1249">
        <v>1946.2</v>
      </c>
      <c r="J218" s="1250">
        <v>0</v>
      </c>
    </row>
    <row r="219" spans="2:10" x14ac:dyDescent="0.15">
      <c r="B219" s="1247" t="s">
        <v>87</v>
      </c>
      <c r="C219" s="1248">
        <v>56</v>
      </c>
      <c r="D219" s="1248">
        <v>8</v>
      </c>
      <c r="E219" s="1248">
        <v>1</v>
      </c>
      <c r="F219" s="1288">
        <v>2020000</v>
      </c>
      <c r="G219" s="1248"/>
      <c r="H219" s="1248">
        <v>223</v>
      </c>
      <c r="I219" s="1249">
        <v>15355.3</v>
      </c>
      <c r="J219" s="1250">
        <v>0</v>
      </c>
    </row>
    <row r="220" spans="2:10" x14ac:dyDescent="0.15">
      <c r="B220" s="1247" t="s">
        <v>111</v>
      </c>
      <c r="C220" s="1248">
        <v>56</v>
      </c>
      <c r="D220" s="1248">
        <v>8</v>
      </c>
      <c r="E220" s="1248">
        <v>1</v>
      </c>
      <c r="F220" s="1288">
        <v>2020000</v>
      </c>
      <c r="G220" s="1248"/>
      <c r="H220" s="1248">
        <v>224</v>
      </c>
      <c r="I220" s="1249">
        <v>3363</v>
      </c>
      <c r="J220" s="1250">
        <v>0</v>
      </c>
    </row>
    <row r="221" spans="2:10" x14ac:dyDescent="0.15">
      <c r="B221" s="1247" t="s">
        <v>90</v>
      </c>
      <c r="C221" s="1248">
        <v>56</v>
      </c>
      <c r="D221" s="1248">
        <v>8</v>
      </c>
      <c r="E221" s="1248">
        <v>1</v>
      </c>
      <c r="F221" s="1288">
        <v>2020000</v>
      </c>
      <c r="G221" s="1248"/>
      <c r="H221" s="1248">
        <v>225</v>
      </c>
      <c r="I221" s="1249">
        <v>1177.44</v>
      </c>
      <c r="J221" s="1249">
        <v>19000</v>
      </c>
    </row>
    <row r="222" spans="2:10" x14ac:dyDescent="0.15">
      <c r="B222" s="1247" t="s">
        <v>91</v>
      </c>
      <c r="C222" s="1248">
        <v>56</v>
      </c>
      <c r="D222" s="1248">
        <v>8</v>
      </c>
      <c r="E222" s="1248">
        <v>1</v>
      </c>
      <c r="F222" s="1288">
        <v>2020000</v>
      </c>
      <c r="G222" s="1248"/>
      <c r="H222" s="1248">
        <v>226</v>
      </c>
      <c r="I222" s="1249">
        <v>60426</v>
      </c>
      <c r="J222" s="1249">
        <v>53602.050999999999</v>
      </c>
    </row>
    <row r="223" spans="2:10" x14ac:dyDescent="0.15">
      <c r="B223" s="1247" t="s">
        <v>94</v>
      </c>
      <c r="C223" s="1248">
        <v>56</v>
      </c>
      <c r="D223" s="1248">
        <v>8</v>
      </c>
      <c r="E223" s="1248">
        <v>1</v>
      </c>
      <c r="F223" s="1288">
        <v>2020000</v>
      </c>
      <c r="G223" s="1248"/>
      <c r="H223" s="1248">
        <v>290</v>
      </c>
      <c r="I223" s="1249">
        <v>15146.4</v>
      </c>
      <c r="J223" s="1250">
        <v>0</v>
      </c>
    </row>
    <row r="224" spans="2:10" x14ac:dyDescent="0.15">
      <c r="B224" s="1247" t="s">
        <v>94</v>
      </c>
      <c r="C224" s="1248">
        <v>56</v>
      </c>
      <c r="D224" s="1248">
        <v>8</v>
      </c>
      <c r="E224" s="1248">
        <v>1</v>
      </c>
      <c r="F224" s="1288">
        <v>2020000</v>
      </c>
      <c r="G224" s="1248"/>
      <c r="H224" s="1248">
        <v>290</v>
      </c>
      <c r="I224" s="1250">
        <v>0</v>
      </c>
      <c r="J224" s="1250">
        <v>0</v>
      </c>
    </row>
    <row r="225" spans="2:10" x14ac:dyDescent="0.15">
      <c r="B225" s="1247" t="s">
        <v>96</v>
      </c>
      <c r="C225" s="1248">
        <v>56</v>
      </c>
      <c r="D225" s="1248">
        <v>8</v>
      </c>
      <c r="E225" s="1248">
        <v>1</v>
      </c>
      <c r="F225" s="1288">
        <v>2020000</v>
      </c>
      <c r="G225" s="1248"/>
      <c r="H225" s="1248">
        <v>310</v>
      </c>
      <c r="I225" s="1249">
        <v>20938.7</v>
      </c>
      <c r="J225" s="1249">
        <v>91844.448999999993</v>
      </c>
    </row>
    <row r="226" spans="2:10" x14ac:dyDescent="0.15">
      <c r="B226" s="1247" t="s">
        <v>97</v>
      </c>
      <c r="C226" s="1248">
        <v>56</v>
      </c>
      <c r="D226" s="1248">
        <v>8</v>
      </c>
      <c r="E226" s="1248">
        <v>1</v>
      </c>
      <c r="F226" s="1288">
        <v>2020000</v>
      </c>
      <c r="G226" s="1248"/>
      <c r="H226" s="1248">
        <v>340</v>
      </c>
      <c r="I226" s="1249">
        <v>8149.86</v>
      </c>
      <c r="J226" s="1250">
        <v>0</v>
      </c>
    </row>
    <row r="227" spans="2:10" x14ac:dyDescent="0.15">
      <c r="B227" s="1243" t="s">
        <v>767</v>
      </c>
      <c r="C227" s="1245">
        <v>56</v>
      </c>
      <c r="D227" s="1245">
        <v>8</v>
      </c>
      <c r="E227" s="1245">
        <v>1</v>
      </c>
      <c r="F227" s="1288">
        <v>2020000</v>
      </c>
      <c r="G227" s="1244">
        <v>612</v>
      </c>
      <c r="H227" s="1244">
        <v>241</v>
      </c>
      <c r="I227" s="1265">
        <v>164446.5</v>
      </c>
      <c r="J227" s="1289"/>
    </row>
    <row r="228" spans="2:10" ht="48" x14ac:dyDescent="0.15">
      <c r="B228" s="2186" t="s">
        <v>1354</v>
      </c>
      <c r="C228" s="2187">
        <v>56</v>
      </c>
      <c r="D228" s="2187">
        <v>8</v>
      </c>
      <c r="E228" s="2187">
        <v>1</v>
      </c>
      <c r="F228" s="2187" t="s">
        <v>1355</v>
      </c>
      <c r="G228" s="2188" t="s">
        <v>1335</v>
      </c>
      <c r="H228" s="2189">
        <v>251</v>
      </c>
      <c r="I228" s="2190">
        <v>1015</v>
      </c>
      <c r="J228" s="2191"/>
    </row>
    <row r="229" spans="2:10" ht="14" x14ac:dyDescent="0.15">
      <c r="B229" s="1309" t="s">
        <v>1108</v>
      </c>
      <c r="C229" s="3014">
        <v>56</v>
      </c>
      <c r="D229" s="3014">
        <v>8</v>
      </c>
      <c r="E229" s="3014">
        <v>1</v>
      </c>
      <c r="F229" s="3014">
        <v>2020159</v>
      </c>
      <c r="G229" s="3013"/>
      <c r="H229" s="3022"/>
      <c r="I229" s="2940"/>
      <c r="J229" s="2940"/>
    </row>
    <row r="230" spans="2:10" ht="55" x14ac:dyDescent="0.15">
      <c r="B230" s="2180" t="s">
        <v>1356</v>
      </c>
      <c r="C230" s="3014"/>
      <c r="D230" s="3014"/>
      <c r="E230" s="3014"/>
      <c r="F230" s="3014"/>
      <c r="G230" s="3013"/>
      <c r="H230" s="3022"/>
      <c r="I230" s="2940"/>
      <c r="J230" s="2940"/>
    </row>
    <row r="231" spans="2:10" ht="14" x14ac:dyDescent="0.15">
      <c r="B231" s="1311" t="s">
        <v>1125</v>
      </c>
      <c r="C231" s="1307">
        <v>56</v>
      </c>
      <c r="D231" s="1307">
        <v>8</v>
      </c>
      <c r="E231" s="1307">
        <v>1</v>
      </c>
      <c r="F231" s="1307">
        <v>2020159</v>
      </c>
      <c r="G231" s="1312">
        <v>600</v>
      </c>
      <c r="H231" s="1313"/>
      <c r="I231" s="1268">
        <v>32231.9</v>
      </c>
      <c r="J231" s="1268">
        <v>20000</v>
      </c>
    </row>
    <row r="232" spans="2:10" ht="39" x14ac:dyDescent="0.15">
      <c r="B232" s="1243" t="s">
        <v>1135</v>
      </c>
      <c r="C232" s="2192">
        <v>56</v>
      </c>
      <c r="D232" s="2192">
        <v>8</v>
      </c>
      <c r="E232" s="2192">
        <v>1</v>
      </c>
      <c r="F232" s="2192">
        <v>2020159</v>
      </c>
      <c r="G232" s="1245">
        <v>611</v>
      </c>
      <c r="H232" s="1244">
        <v>241</v>
      </c>
      <c r="I232" s="1265">
        <v>12231.9</v>
      </c>
      <c r="J232" s="1265">
        <v>20000</v>
      </c>
    </row>
    <row r="233" spans="2:10" ht="14" x14ac:dyDescent="0.15">
      <c r="B233" s="1247" t="s">
        <v>124</v>
      </c>
      <c r="C233" s="1307">
        <v>56</v>
      </c>
      <c r="D233" s="1307">
        <v>8</v>
      </c>
      <c r="E233" s="1307">
        <v>1</v>
      </c>
      <c r="F233" s="1307">
        <v>2020159</v>
      </c>
      <c r="G233" s="1248"/>
      <c r="H233" s="1248">
        <v>211</v>
      </c>
      <c r="I233" s="1249">
        <v>8998.1</v>
      </c>
      <c r="J233" s="1247"/>
    </row>
    <row r="234" spans="2:10" ht="14" x14ac:dyDescent="0.15">
      <c r="B234" s="1247" t="s">
        <v>83</v>
      </c>
      <c r="C234" s="1307">
        <v>56</v>
      </c>
      <c r="D234" s="1307">
        <v>8</v>
      </c>
      <c r="E234" s="1307">
        <v>1</v>
      </c>
      <c r="F234" s="1307">
        <v>2020159</v>
      </c>
      <c r="G234" s="1248"/>
      <c r="H234" s="1248">
        <v>212</v>
      </c>
      <c r="I234" s="1250"/>
      <c r="J234" s="1247"/>
    </row>
    <row r="235" spans="2:10" ht="14" x14ac:dyDescent="0.15">
      <c r="B235" s="1247" t="s">
        <v>84</v>
      </c>
      <c r="C235" s="1307">
        <v>56</v>
      </c>
      <c r="D235" s="1307">
        <v>8</v>
      </c>
      <c r="E235" s="1307">
        <v>1</v>
      </c>
      <c r="F235" s="1307">
        <v>2020159</v>
      </c>
      <c r="G235" s="1248"/>
      <c r="H235" s="1248">
        <v>213</v>
      </c>
      <c r="I235" s="1249">
        <v>2622</v>
      </c>
      <c r="J235" s="1247"/>
    </row>
    <row r="236" spans="2:10" ht="14" x14ac:dyDescent="0.15">
      <c r="B236" s="1247" t="s">
        <v>85</v>
      </c>
      <c r="C236" s="1307">
        <v>56</v>
      </c>
      <c r="D236" s="1307">
        <v>8</v>
      </c>
      <c r="E236" s="1307">
        <v>1</v>
      </c>
      <c r="F236" s="1307">
        <v>2020159</v>
      </c>
      <c r="G236" s="1248"/>
      <c r="H236" s="1248">
        <v>221</v>
      </c>
      <c r="I236" s="1250">
        <v>14.5</v>
      </c>
      <c r="J236" s="1247"/>
    </row>
    <row r="237" spans="2:10" ht="14" x14ac:dyDescent="0.15">
      <c r="B237" s="1247" t="s">
        <v>86</v>
      </c>
      <c r="C237" s="1307">
        <v>56</v>
      </c>
      <c r="D237" s="1307">
        <v>8</v>
      </c>
      <c r="E237" s="1307">
        <v>1</v>
      </c>
      <c r="F237" s="1307">
        <v>2020159</v>
      </c>
      <c r="G237" s="1248"/>
      <c r="H237" s="1248">
        <v>222</v>
      </c>
      <c r="I237" s="1250"/>
      <c r="J237" s="1247"/>
    </row>
    <row r="238" spans="2:10" ht="14" x14ac:dyDescent="0.15">
      <c r="B238" s="1247" t="s">
        <v>87</v>
      </c>
      <c r="C238" s="1307">
        <v>56</v>
      </c>
      <c r="D238" s="1307">
        <v>8</v>
      </c>
      <c r="E238" s="1307">
        <v>1</v>
      </c>
      <c r="F238" s="1307">
        <v>2020159</v>
      </c>
      <c r="G238" s="1248"/>
      <c r="H238" s="1248">
        <v>223</v>
      </c>
      <c r="I238" s="1250">
        <v>271.39999999999998</v>
      </c>
      <c r="J238" s="1247"/>
    </row>
    <row r="239" spans="2:10" ht="14" x14ac:dyDescent="0.15">
      <c r="B239" s="1247" t="s">
        <v>111</v>
      </c>
      <c r="C239" s="1307">
        <v>56</v>
      </c>
      <c r="D239" s="1307">
        <v>8</v>
      </c>
      <c r="E239" s="1307">
        <v>1</v>
      </c>
      <c r="F239" s="1307">
        <v>2020159</v>
      </c>
      <c r="G239" s="1248"/>
      <c r="H239" s="1248">
        <v>224</v>
      </c>
      <c r="I239" s="1250"/>
      <c r="J239" s="1247"/>
    </row>
    <row r="240" spans="2:10" ht="14" x14ac:dyDescent="0.15">
      <c r="B240" s="1247" t="s">
        <v>90</v>
      </c>
      <c r="C240" s="1307">
        <v>56</v>
      </c>
      <c r="D240" s="1307">
        <v>8</v>
      </c>
      <c r="E240" s="1307">
        <v>1</v>
      </c>
      <c r="F240" s="1307">
        <v>2020159</v>
      </c>
      <c r="G240" s="1248"/>
      <c r="H240" s="1248">
        <v>225</v>
      </c>
      <c r="I240" s="1250"/>
      <c r="J240" s="1247"/>
    </row>
    <row r="241" spans="2:10" ht="14" x14ac:dyDescent="0.15">
      <c r="B241" s="1247" t="s">
        <v>91</v>
      </c>
      <c r="C241" s="1307">
        <v>56</v>
      </c>
      <c r="D241" s="1307">
        <v>8</v>
      </c>
      <c r="E241" s="1307">
        <v>1</v>
      </c>
      <c r="F241" s="1307">
        <v>2020159</v>
      </c>
      <c r="G241" s="1248"/>
      <c r="H241" s="1248">
        <v>226</v>
      </c>
      <c r="I241" s="1250"/>
      <c r="J241" s="1250">
        <v>805.55100000000004</v>
      </c>
    </row>
    <row r="242" spans="2:10" ht="14" x14ac:dyDescent="0.15">
      <c r="B242" s="1247" t="s">
        <v>94</v>
      </c>
      <c r="C242" s="1307">
        <v>56</v>
      </c>
      <c r="D242" s="1307">
        <v>8</v>
      </c>
      <c r="E242" s="1307">
        <v>1</v>
      </c>
      <c r="F242" s="1307">
        <v>2020159</v>
      </c>
      <c r="G242" s="1248"/>
      <c r="H242" s="1248">
        <v>290</v>
      </c>
      <c r="I242" s="1250">
        <v>225.8</v>
      </c>
      <c r="J242" s="1247"/>
    </row>
    <row r="243" spans="2:10" ht="14" x14ac:dyDescent="0.15">
      <c r="B243" s="1247" t="s">
        <v>94</v>
      </c>
      <c r="C243" s="1307">
        <v>56</v>
      </c>
      <c r="D243" s="1307">
        <v>8</v>
      </c>
      <c r="E243" s="1307">
        <v>1</v>
      </c>
      <c r="F243" s="1307">
        <v>2020159</v>
      </c>
      <c r="G243" s="1248"/>
      <c r="H243" s="1248">
        <v>290</v>
      </c>
      <c r="I243" s="1314"/>
      <c r="J243" s="1247"/>
    </row>
    <row r="244" spans="2:10" ht="14" x14ac:dyDescent="0.15">
      <c r="B244" s="1247" t="s">
        <v>96</v>
      </c>
      <c r="C244" s="1307">
        <v>56</v>
      </c>
      <c r="D244" s="1307">
        <v>8</v>
      </c>
      <c r="E244" s="1307">
        <v>1</v>
      </c>
      <c r="F244" s="1307">
        <v>2020159</v>
      </c>
      <c r="G244" s="1248"/>
      <c r="H244" s="1248">
        <v>310</v>
      </c>
      <c r="I244" s="1250">
        <v>70</v>
      </c>
      <c r="J244" s="1249">
        <v>19194.449000000001</v>
      </c>
    </row>
    <row r="245" spans="2:10" ht="14" x14ac:dyDescent="0.15">
      <c r="B245" s="1247" t="s">
        <v>97</v>
      </c>
      <c r="C245" s="1307">
        <v>56</v>
      </c>
      <c r="D245" s="1307">
        <v>8</v>
      </c>
      <c r="E245" s="1307">
        <v>1</v>
      </c>
      <c r="F245" s="1307">
        <v>2020159</v>
      </c>
      <c r="G245" s="1248"/>
      <c r="H245" s="1248">
        <v>340</v>
      </c>
      <c r="I245" s="1250">
        <v>30.1</v>
      </c>
      <c r="J245" s="1247"/>
    </row>
    <row r="246" spans="2:10" ht="14" x14ac:dyDescent="0.15">
      <c r="B246" s="1243" t="s">
        <v>767</v>
      </c>
      <c r="C246" s="2192">
        <v>56</v>
      </c>
      <c r="D246" s="2192">
        <v>8</v>
      </c>
      <c r="E246" s="2192">
        <v>1</v>
      </c>
      <c r="F246" s="2192">
        <v>2020159</v>
      </c>
      <c r="G246" s="1245">
        <v>612</v>
      </c>
      <c r="H246" s="1244">
        <v>241</v>
      </c>
      <c r="I246" s="1270">
        <v>20000</v>
      </c>
      <c r="J246" s="1247"/>
    </row>
    <row r="247" spans="2:10" x14ac:dyDescent="0.15">
      <c r="B247" s="1303" t="s">
        <v>38</v>
      </c>
      <c r="C247" s="3013">
        <v>56</v>
      </c>
      <c r="D247" s="3013">
        <v>8</v>
      </c>
      <c r="E247" s="3013">
        <v>1</v>
      </c>
      <c r="F247" s="3014">
        <v>2020259</v>
      </c>
      <c r="G247" s="3018"/>
      <c r="H247" s="3020"/>
      <c r="I247" s="2940"/>
      <c r="J247" s="3017"/>
    </row>
    <row r="248" spans="2:10" ht="55" x14ac:dyDescent="0.15">
      <c r="B248" s="2180" t="s">
        <v>1357</v>
      </c>
      <c r="C248" s="3013"/>
      <c r="D248" s="3013"/>
      <c r="E248" s="3013"/>
      <c r="F248" s="3014"/>
      <c r="G248" s="3018"/>
      <c r="H248" s="3020"/>
      <c r="I248" s="2940"/>
      <c r="J248" s="3017"/>
    </row>
    <row r="249" spans="2:10" ht="14" x14ac:dyDescent="0.15">
      <c r="B249" s="1311" t="s">
        <v>1125</v>
      </c>
      <c r="C249" s="1288">
        <v>56</v>
      </c>
      <c r="D249" s="1288">
        <v>8</v>
      </c>
      <c r="E249" s="1288">
        <v>1</v>
      </c>
      <c r="F249" s="1307">
        <v>2020259</v>
      </c>
      <c r="G249" s="1312">
        <v>600</v>
      </c>
      <c r="H249" s="1313"/>
      <c r="I249" s="1268">
        <v>76090.3</v>
      </c>
      <c r="J249" s="1268">
        <v>15143</v>
      </c>
    </row>
    <row r="250" spans="2:10" ht="39" x14ac:dyDescent="0.15">
      <c r="B250" s="1243" t="s">
        <v>1135</v>
      </c>
      <c r="C250" s="1288">
        <v>56</v>
      </c>
      <c r="D250" s="1288">
        <v>8</v>
      </c>
      <c r="E250" s="1288">
        <v>1</v>
      </c>
      <c r="F250" s="1307">
        <v>2020259</v>
      </c>
      <c r="G250" s="1245">
        <v>611</v>
      </c>
      <c r="H250" s="1244">
        <v>241</v>
      </c>
      <c r="I250" s="1265">
        <v>60947.3</v>
      </c>
      <c r="J250" s="1265">
        <v>15143</v>
      </c>
    </row>
    <row r="251" spans="2:10" ht="14" x14ac:dyDescent="0.15">
      <c r="B251" s="1247" t="s">
        <v>124</v>
      </c>
      <c r="C251" s="1288">
        <v>56</v>
      </c>
      <c r="D251" s="1288">
        <v>8</v>
      </c>
      <c r="E251" s="1288">
        <v>1</v>
      </c>
      <c r="F251" s="1307">
        <v>2020259</v>
      </c>
      <c r="G251" s="1248"/>
      <c r="H251" s="1248">
        <v>211</v>
      </c>
      <c r="I251" s="1249">
        <v>29777.9</v>
      </c>
      <c r="J251" s="1247"/>
    </row>
    <row r="252" spans="2:10" ht="14" x14ac:dyDescent="0.15">
      <c r="B252" s="1247" t="s">
        <v>83</v>
      </c>
      <c r="C252" s="1288">
        <v>56</v>
      </c>
      <c r="D252" s="1288">
        <v>8</v>
      </c>
      <c r="E252" s="1288">
        <v>1</v>
      </c>
      <c r="F252" s="1307">
        <v>2020259</v>
      </c>
      <c r="G252" s="1248"/>
      <c r="H252" s="1248">
        <v>212</v>
      </c>
      <c r="I252" s="1250">
        <v>120</v>
      </c>
      <c r="J252" s="1247"/>
    </row>
    <row r="253" spans="2:10" ht="14" x14ac:dyDescent="0.15">
      <c r="B253" s="1247" t="s">
        <v>84</v>
      </c>
      <c r="C253" s="1288">
        <v>56</v>
      </c>
      <c r="D253" s="1288">
        <v>8</v>
      </c>
      <c r="E253" s="1288">
        <v>1</v>
      </c>
      <c r="F253" s="1307">
        <v>2020259</v>
      </c>
      <c r="G253" s="1248"/>
      <c r="H253" s="1248">
        <v>213</v>
      </c>
      <c r="I253" s="1249">
        <v>8677.2999999999993</v>
      </c>
      <c r="J253" s="1247"/>
    </row>
    <row r="254" spans="2:10" ht="14" x14ac:dyDescent="0.15">
      <c r="B254" s="1247" t="s">
        <v>85</v>
      </c>
      <c r="C254" s="1288">
        <v>56</v>
      </c>
      <c r="D254" s="1288">
        <v>8</v>
      </c>
      <c r="E254" s="1288">
        <v>1</v>
      </c>
      <c r="F254" s="1307">
        <v>2020259</v>
      </c>
      <c r="G254" s="1248"/>
      <c r="H254" s="1248">
        <v>221</v>
      </c>
      <c r="I254" s="1250">
        <v>185</v>
      </c>
      <c r="J254" s="1247"/>
    </row>
    <row r="255" spans="2:10" ht="14" x14ac:dyDescent="0.15">
      <c r="B255" s="1247" t="s">
        <v>86</v>
      </c>
      <c r="C255" s="1288">
        <v>56</v>
      </c>
      <c r="D255" s="1288">
        <v>8</v>
      </c>
      <c r="E255" s="1288">
        <v>1</v>
      </c>
      <c r="F255" s="1307">
        <v>2020259</v>
      </c>
      <c r="G255" s="1248"/>
      <c r="H255" s="1248">
        <v>222</v>
      </c>
      <c r="I255" s="1250">
        <v>150</v>
      </c>
      <c r="J255" s="1247"/>
    </row>
    <row r="256" spans="2:10" ht="14" x14ac:dyDescent="0.15">
      <c r="B256" s="1247" t="s">
        <v>87</v>
      </c>
      <c r="C256" s="1288">
        <v>56</v>
      </c>
      <c r="D256" s="1288">
        <v>8</v>
      </c>
      <c r="E256" s="1288">
        <v>1</v>
      </c>
      <c r="F256" s="1307">
        <v>2020259</v>
      </c>
      <c r="G256" s="1248"/>
      <c r="H256" s="1248">
        <v>223</v>
      </c>
      <c r="I256" s="1250">
        <v>180.6</v>
      </c>
      <c r="J256" s="1247"/>
    </row>
    <row r="257" spans="2:10" ht="14" x14ac:dyDescent="0.15">
      <c r="B257" s="1247" t="s">
        <v>111</v>
      </c>
      <c r="C257" s="1288">
        <v>56</v>
      </c>
      <c r="D257" s="1288">
        <v>8</v>
      </c>
      <c r="E257" s="1288">
        <v>1</v>
      </c>
      <c r="F257" s="1307">
        <v>2020259</v>
      </c>
      <c r="G257" s="1248"/>
      <c r="H257" s="1248">
        <v>224</v>
      </c>
      <c r="I257" s="1250"/>
      <c r="J257" s="1247"/>
    </row>
    <row r="258" spans="2:10" ht="14" x14ac:dyDescent="0.15">
      <c r="B258" s="1247" t="s">
        <v>90</v>
      </c>
      <c r="C258" s="1288">
        <v>56</v>
      </c>
      <c r="D258" s="1288">
        <v>8</v>
      </c>
      <c r="E258" s="1288">
        <v>1</v>
      </c>
      <c r="F258" s="1307">
        <v>2020259</v>
      </c>
      <c r="G258" s="1248"/>
      <c r="H258" s="1248">
        <v>225</v>
      </c>
      <c r="I258" s="1250">
        <v>64.3</v>
      </c>
      <c r="J258" s="1247"/>
    </row>
    <row r="259" spans="2:10" ht="14" x14ac:dyDescent="0.15">
      <c r="B259" s="1247" t="s">
        <v>91</v>
      </c>
      <c r="C259" s="1288">
        <v>56</v>
      </c>
      <c r="D259" s="1288">
        <v>8</v>
      </c>
      <c r="E259" s="1288">
        <v>1</v>
      </c>
      <c r="F259" s="1307">
        <v>2020259</v>
      </c>
      <c r="G259" s="1248"/>
      <c r="H259" s="1248">
        <v>226</v>
      </c>
      <c r="I259" s="1249">
        <v>20214.8</v>
      </c>
      <c r="J259" s="1249">
        <v>15143</v>
      </c>
    </row>
    <row r="260" spans="2:10" ht="14" x14ac:dyDescent="0.15">
      <c r="B260" s="1247" t="s">
        <v>94</v>
      </c>
      <c r="C260" s="1288">
        <v>56</v>
      </c>
      <c r="D260" s="1288">
        <v>8</v>
      </c>
      <c r="E260" s="1288">
        <v>1</v>
      </c>
      <c r="F260" s="1307">
        <v>2020259</v>
      </c>
      <c r="G260" s="1248"/>
      <c r="H260" s="1248">
        <v>290</v>
      </c>
      <c r="I260" s="1250">
        <v>76.7</v>
      </c>
      <c r="J260" s="1247"/>
    </row>
    <row r="261" spans="2:10" ht="14" x14ac:dyDescent="0.15">
      <c r="B261" s="1247" t="s">
        <v>94</v>
      </c>
      <c r="C261" s="1288">
        <v>56</v>
      </c>
      <c r="D261" s="1288">
        <v>8</v>
      </c>
      <c r="E261" s="1288">
        <v>1</v>
      </c>
      <c r="F261" s="1307">
        <v>2020259</v>
      </c>
      <c r="G261" s="1248"/>
      <c r="H261" s="1248">
        <v>290</v>
      </c>
      <c r="I261" s="1250"/>
      <c r="J261" s="1247"/>
    </row>
    <row r="262" spans="2:10" ht="14" x14ac:dyDescent="0.15">
      <c r="B262" s="1247" t="s">
        <v>96</v>
      </c>
      <c r="C262" s="1288">
        <v>56</v>
      </c>
      <c r="D262" s="1288">
        <v>8</v>
      </c>
      <c r="E262" s="1288">
        <v>1</v>
      </c>
      <c r="F262" s="1307">
        <v>2020259</v>
      </c>
      <c r="G262" s="1248"/>
      <c r="H262" s="1248">
        <v>310</v>
      </c>
      <c r="I262" s="1250">
        <v>512.5</v>
      </c>
      <c r="J262" s="1247"/>
    </row>
    <row r="263" spans="2:10" ht="14" x14ac:dyDescent="0.15">
      <c r="B263" s="1247" t="s">
        <v>97</v>
      </c>
      <c r="C263" s="1288">
        <v>56</v>
      </c>
      <c r="D263" s="1288">
        <v>8</v>
      </c>
      <c r="E263" s="1288">
        <v>1</v>
      </c>
      <c r="F263" s="1307">
        <v>2020259</v>
      </c>
      <c r="G263" s="1248"/>
      <c r="H263" s="1248">
        <v>340</v>
      </c>
      <c r="I263" s="1250">
        <v>988.2</v>
      </c>
      <c r="J263" s="1247"/>
    </row>
    <row r="264" spans="2:10" ht="14" x14ac:dyDescent="0.15">
      <c r="B264" s="1243" t="s">
        <v>767</v>
      </c>
      <c r="C264" s="2193">
        <v>56</v>
      </c>
      <c r="D264" s="2193">
        <v>8</v>
      </c>
      <c r="E264" s="2193">
        <v>1</v>
      </c>
      <c r="F264" s="2192">
        <v>2020259</v>
      </c>
      <c r="G264" s="1245">
        <v>612</v>
      </c>
      <c r="H264" s="1245">
        <v>241</v>
      </c>
      <c r="I264" s="1270">
        <v>15143</v>
      </c>
      <c r="J264" s="1247"/>
    </row>
    <row r="265" spans="2:10" x14ac:dyDescent="0.15">
      <c r="B265" s="1303" t="s">
        <v>43</v>
      </c>
      <c r="C265" s="3013">
        <v>56</v>
      </c>
      <c r="D265" s="3013">
        <v>8</v>
      </c>
      <c r="E265" s="3013">
        <v>1</v>
      </c>
      <c r="F265" s="3014">
        <v>2020359</v>
      </c>
      <c r="G265" s="3018"/>
      <c r="H265" s="3019"/>
      <c r="I265" s="2940"/>
      <c r="J265" s="3017"/>
    </row>
    <row r="266" spans="2:10" ht="55" x14ac:dyDescent="0.15">
      <c r="B266" s="2180" t="s">
        <v>1358</v>
      </c>
      <c r="C266" s="3013"/>
      <c r="D266" s="3013"/>
      <c r="E266" s="3013"/>
      <c r="F266" s="3014"/>
      <c r="G266" s="3018"/>
      <c r="H266" s="3019"/>
      <c r="I266" s="2940"/>
      <c r="J266" s="3017"/>
    </row>
    <row r="267" spans="2:10" ht="14" x14ac:dyDescent="0.15">
      <c r="B267" s="1311" t="s">
        <v>1125</v>
      </c>
      <c r="C267" s="1288">
        <v>56</v>
      </c>
      <c r="D267" s="1288">
        <v>8</v>
      </c>
      <c r="E267" s="1288">
        <v>1</v>
      </c>
      <c r="F267" s="1307">
        <v>2020359</v>
      </c>
      <c r="G267" s="1312">
        <v>600</v>
      </c>
      <c r="H267" s="1313"/>
      <c r="I267" s="1268">
        <v>21370.1</v>
      </c>
      <c r="J267" s="1268">
        <v>19000</v>
      </c>
    </row>
    <row r="268" spans="2:10" ht="39" x14ac:dyDescent="0.15">
      <c r="B268" s="1243" t="s">
        <v>1135</v>
      </c>
      <c r="C268" s="1288">
        <v>56</v>
      </c>
      <c r="D268" s="1288">
        <v>8</v>
      </c>
      <c r="E268" s="1288">
        <v>1</v>
      </c>
      <c r="F268" s="1307">
        <v>2020359</v>
      </c>
      <c r="G268" s="1245">
        <v>611</v>
      </c>
      <c r="H268" s="1244">
        <v>241</v>
      </c>
      <c r="I268" s="1265">
        <v>2370.1</v>
      </c>
      <c r="J268" s="1265">
        <v>19000</v>
      </c>
    </row>
    <row r="269" spans="2:10" ht="14" x14ac:dyDescent="0.15">
      <c r="B269" s="1247" t="s">
        <v>124</v>
      </c>
      <c r="C269" s="1288">
        <v>56</v>
      </c>
      <c r="D269" s="1288">
        <v>8</v>
      </c>
      <c r="E269" s="1288">
        <v>1</v>
      </c>
      <c r="F269" s="1307">
        <v>2020359</v>
      </c>
      <c r="G269" s="1248"/>
      <c r="H269" s="1248">
        <v>211</v>
      </c>
      <c r="I269" s="1249">
        <v>1082.3</v>
      </c>
      <c r="J269" s="1248"/>
    </row>
    <row r="270" spans="2:10" ht="14" x14ac:dyDescent="0.15">
      <c r="B270" s="1247" t="s">
        <v>83</v>
      </c>
      <c r="C270" s="1288">
        <v>56</v>
      </c>
      <c r="D270" s="1288">
        <v>8</v>
      </c>
      <c r="E270" s="1288">
        <v>1</v>
      </c>
      <c r="F270" s="1307">
        <v>2020359</v>
      </c>
      <c r="G270" s="1248"/>
      <c r="H270" s="1248">
        <v>212</v>
      </c>
      <c r="I270" s="1250"/>
      <c r="J270" s="1248"/>
    </row>
    <row r="271" spans="2:10" ht="14" x14ac:dyDescent="0.15">
      <c r="B271" s="1247" t="s">
        <v>84</v>
      </c>
      <c r="C271" s="1288">
        <v>56</v>
      </c>
      <c r="D271" s="1288">
        <v>8</v>
      </c>
      <c r="E271" s="1288">
        <v>1</v>
      </c>
      <c r="F271" s="1307">
        <v>2020359</v>
      </c>
      <c r="G271" s="1248"/>
      <c r="H271" s="1248">
        <v>213</v>
      </c>
      <c r="I271" s="1250">
        <v>315.2</v>
      </c>
      <c r="J271" s="1248"/>
    </row>
    <row r="272" spans="2:10" ht="14" x14ac:dyDescent="0.15">
      <c r="B272" s="1247" t="s">
        <v>85</v>
      </c>
      <c r="C272" s="1288">
        <v>56</v>
      </c>
      <c r="D272" s="1288">
        <v>8</v>
      </c>
      <c r="E272" s="1288">
        <v>1</v>
      </c>
      <c r="F272" s="1307">
        <v>2020359</v>
      </c>
      <c r="G272" s="1248"/>
      <c r="H272" s="1248">
        <v>221</v>
      </c>
      <c r="I272" s="1250">
        <v>18.7</v>
      </c>
      <c r="J272" s="1248"/>
    </row>
    <row r="273" spans="2:10" ht="14" x14ac:dyDescent="0.15">
      <c r="B273" s="1247" t="s">
        <v>86</v>
      </c>
      <c r="C273" s="1288">
        <v>56</v>
      </c>
      <c r="D273" s="1288">
        <v>8</v>
      </c>
      <c r="E273" s="1288">
        <v>1</v>
      </c>
      <c r="F273" s="1307">
        <v>2020359</v>
      </c>
      <c r="G273" s="1248"/>
      <c r="H273" s="1248">
        <v>222</v>
      </c>
      <c r="I273" s="1250">
        <v>50</v>
      </c>
      <c r="J273" s="1248"/>
    </row>
    <row r="274" spans="2:10" ht="14" x14ac:dyDescent="0.15">
      <c r="B274" s="1247" t="s">
        <v>87</v>
      </c>
      <c r="C274" s="1288">
        <v>56</v>
      </c>
      <c r="D274" s="1288">
        <v>8</v>
      </c>
      <c r="E274" s="1288">
        <v>1</v>
      </c>
      <c r="F274" s="1307">
        <v>2020359</v>
      </c>
      <c r="G274" s="1248"/>
      <c r="H274" s="1248">
        <v>223</v>
      </c>
      <c r="I274" s="1250"/>
      <c r="J274" s="1248"/>
    </row>
    <row r="275" spans="2:10" ht="14" x14ac:dyDescent="0.15">
      <c r="B275" s="1247" t="s">
        <v>111</v>
      </c>
      <c r="C275" s="1288">
        <v>56</v>
      </c>
      <c r="D275" s="1288">
        <v>8</v>
      </c>
      <c r="E275" s="1288">
        <v>1</v>
      </c>
      <c r="F275" s="1307">
        <v>2020359</v>
      </c>
      <c r="G275" s="1248"/>
      <c r="H275" s="1248">
        <v>224</v>
      </c>
      <c r="I275" s="1250"/>
      <c r="J275" s="1248"/>
    </row>
    <row r="276" spans="2:10" ht="14" x14ac:dyDescent="0.15">
      <c r="B276" s="1247" t="s">
        <v>90</v>
      </c>
      <c r="C276" s="1288">
        <v>56</v>
      </c>
      <c r="D276" s="1288">
        <v>8</v>
      </c>
      <c r="E276" s="1288">
        <v>1</v>
      </c>
      <c r="F276" s="1307">
        <v>2020359</v>
      </c>
      <c r="G276" s="1248"/>
      <c r="H276" s="1248">
        <v>225</v>
      </c>
      <c r="I276" s="1250">
        <v>10.1</v>
      </c>
      <c r="J276" s="2194">
        <v>19000</v>
      </c>
    </row>
    <row r="277" spans="2:10" ht="14" x14ac:dyDescent="0.15">
      <c r="B277" s="1247" t="s">
        <v>91</v>
      </c>
      <c r="C277" s="1288">
        <v>56</v>
      </c>
      <c r="D277" s="1288">
        <v>8</v>
      </c>
      <c r="E277" s="1288">
        <v>1</v>
      </c>
      <c r="F277" s="1307">
        <v>2020359</v>
      </c>
      <c r="G277" s="1248"/>
      <c r="H277" s="1248">
        <v>226</v>
      </c>
      <c r="I277" s="1250">
        <v>850</v>
      </c>
      <c r="J277" s="1248"/>
    </row>
    <row r="278" spans="2:10" ht="14" x14ac:dyDescent="0.15">
      <c r="B278" s="1247" t="s">
        <v>94</v>
      </c>
      <c r="C278" s="1288">
        <v>56</v>
      </c>
      <c r="D278" s="1288">
        <v>8</v>
      </c>
      <c r="E278" s="1288">
        <v>1</v>
      </c>
      <c r="F278" s="1307">
        <v>2020359</v>
      </c>
      <c r="G278" s="1248"/>
      <c r="H278" s="1248">
        <v>290</v>
      </c>
      <c r="I278" s="1250">
        <v>3.8</v>
      </c>
      <c r="J278" s="1248"/>
    </row>
    <row r="279" spans="2:10" ht="14" x14ac:dyDescent="0.15">
      <c r="B279" s="1247" t="s">
        <v>94</v>
      </c>
      <c r="C279" s="1288">
        <v>56</v>
      </c>
      <c r="D279" s="1288">
        <v>8</v>
      </c>
      <c r="E279" s="1288">
        <v>1</v>
      </c>
      <c r="F279" s="1307">
        <v>2020359</v>
      </c>
      <c r="G279" s="1248"/>
      <c r="H279" s="1248">
        <v>290</v>
      </c>
      <c r="I279" s="1250"/>
      <c r="J279" s="1248"/>
    </row>
    <row r="280" spans="2:10" ht="14" x14ac:dyDescent="0.15">
      <c r="B280" s="1247" t="s">
        <v>96</v>
      </c>
      <c r="C280" s="1288">
        <v>56</v>
      </c>
      <c r="D280" s="1288">
        <v>8</v>
      </c>
      <c r="E280" s="1288">
        <v>1</v>
      </c>
      <c r="F280" s="1307">
        <v>2020359</v>
      </c>
      <c r="G280" s="1248"/>
      <c r="H280" s="1248">
        <v>310</v>
      </c>
      <c r="I280" s="1250">
        <v>10</v>
      </c>
      <c r="J280" s="1248"/>
    </row>
    <row r="281" spans="2:10" ht="14" x14ac:dyDescent="0.15">
      <c r="B281" s="1247" t="s">
        <v>97</v>
      </c>
      <c r="C281" s="1288">
        <v>56</v>
      </c>
      <c r="D281" s="1288">
        <v>8</v>
      </c>
      <c r="E281" s="1288">
        <v>1</v>
      </c>
      <c r="F281" s="1307">
        <v>2020359</v>
      </c>
      <c r="G281" s="1248"/>
      <c r="H281" s="1248">
        <v>340</v>
      </c>
      <c r="I281" s="1250">
        <v>30</v>
      </c>
      <c r="J281" s="1248"/>
    </row>
    <row r="282" spans="2:10" ht="14" x14ac:dyDescent="0.15">
      <c r="B282" s="1243" t="s">
        <v>767</v>
      </c>
      <c r="C282" s="1288">
        <v>56</v>
      </c>
      <c r="D282" s="1288">
        <v>8</v>
      </c>
      <c r="E282" s="1288">
        <v>1</v>
      </c>
      <c r="F282" s="1307">
        <v>2020359</v>
      </c>
      <c r="G282" s="1244">
        <v>612</v>
      </c>
      <c r="H282" s="1244">
        <v>241</v>
      </c>
      <c r="I282" s="1270">
        <v>19000</v>
      </c>
      <c r="J282" s="1248"/>
    </row>
    <row r="283" spans="2:10" ht="55" x14ac:dyDescent="0.15">
      <c r="B283" s="2195" t="s">
        <v>1359</v>
      </c>
      <c r="C283" s="1288">
        <v>56</v>
      </c>
      <c r="D283" s="1288">
        <v>8</v>
      </c>
      <c r="E283" s="1288">
        <v>1</v>
      </c>
      <c r="F283" s="1307">
        <v>2020459</v>
      </c>
      <c r="G283" s="2196"/>
      <c r="H283" s="2197"/>
      <c r="I283" s="2198"/>
      <c r="J283" s="1247"/>
    </row>
    <row r="284" spans="2:10" ht="14" x14ac:dyDescent="0.15">
      <c r="B284" s="1311" t="s">
        <v>1125</v>
      </c>
      <c r="C284" s="1288">
        <v>56</v>
      </c>
      <c r="D284" s="1288">
        <v>8</v>
      </c>
      <c r="E284" s="1288">
        <v>1</v>
      </c>
      <c r="F284" s="1307">
        <v>2020459</v>
      </c>
      <c r="G284" s="1312">
        <v>600</v>
      </c>
      <c r="H284" s="1313"/>
      <c r="I284" s="1268">
        <v>198240.5</v>
      </c>
      <c r="J284" s="2178"/>
    </row>
    <row r="285" spans="2:10" ht="39" x14ac:dyDescent="0.15">
      <c r="B285" s="1243" t="s">
        <v>1135</v>
      </c>
      <c r="C285" s="1288">
        <v>56</v>
      </c>
      <c r="D285" s="1288">
        <v>8</v>
      </c>
      <c r="E285" s="1288">
        <v>1</v>
      </c>
      <c r="F285" s="1307">
        <v>2020459</v>
      </c>
      <c r="G285" s="1245">
        <v>611</v>
      </c>
      <c r="H285" s="1244">
        <v>241</v>
      </c>
      <c r="I285" s="1265">
        <v>114227</v>
      </c>
      <c r="J285" s="1265">
        <v>84013.5</v>
      </c>
    </row>
    <row r="286" spans="2:10" ht="14" x14ac:dyDescent="0.15">
      <c r="B286" s="1247" t="s">
        <v>124</v>
      </c>
      <c r="C286" s="1288">
        <v>56</v>
      </c>
      <c r="D286" s="1288">
        <v>8</v>
      </c>
      <c r="E286" s="1288">
        <v>1</v>
      </c>
      <c r="F286" s="1307">
        <v>2020459</v>
      </c>
      <c r="G286" s="1248"/>
      <c r="H286" s="1248">
        <v>211</v>
      </c>
      <c r="I286" s="1249">
        <v>77200.800000000003</v>
      </c>
      <c r="J286" s="1250">
        <v>0</v>
      </c>
    </row>
    <row r="287" spans="2:10" ht="14" x14ac:dyDescent="0.15">
      <c r="B287" s="1247" t="s">
        <v>83</v>
      </c>
      <c r="C287" s="1288">
        <v>56</v>
      </c>
      <c r="D287" s="1288">
        <v>8</v>
      </c>
      <c r="E287" s="1288">
        <v>1</v>
      </c>
      <c r="F287" s="1307">
        <v>2020459</v>
      </c>
      <c r="G287" s="1248"/>
      <c r="H287" s="1248">
        <v>212</v>
      </c>
      <c r="I287" s="1250">
        <v>3</v>
      </c>
      <c r="J287" s="1250">
        <v>0</v>
      </c>
    </row>
    <row r="288" spans="2:10" ht="14" x14ac:dyDescent="0.15">
      <c r="B288" s="1247" t="s">
        <v>84</v>
      </c>
      <c r="C288" s="1288">
        <v>56</v>
      </c>
      <c r="D288" s="1288">
        <v>8</v>
      </c>
      <c r="E288" s="1288">
        <v>1</v>
      </c>
      <c r="F288" s="1307">
        <v>2020459</v>
      </c>
      <c r="G288" s="1248"/>
      <c r="H288" s="1248">
        <v>213</v>
      </c>
      <c r="I288" s="1249">
        <v>22500.1</v>
      </c>
      <c r="J288" s="1250">
        <v>0</v>
      </c>
    </row>
    <row r="289" spans="2:10" ht="14" x14ac:dyDescent="0.15">
      <c r="B289" s="1247" t="s">
        <v>85</v>
      </c>
      <c r="C289" s="1288">
        <v>56</v>
      </c>
      <c r="D289" s="1288">
        <v>8</v>
      </c>
      <c r="E289" s="1288">
        <v>1</v>
      </c>
      <c r="F289" s="1307">
        <v>2020459</v>
      </c>
      <c r="G289" s="1248"/>
      <c r="H289" s="1248">
        <v>221</v>
      </c>
      <c r="I289" s="1250">
        <v>183.6</v>
      </c>
      <c r="J289" s="1250">
        <v>0</v>
      </c>
    </row>
    <row r="290" spans="2:10" ht="14" x14ac:dyDescent="0.15">
      <c r="B290" s="1247" t="s">
        <v>86</v>
      </c>
      <c r="C290" s="1288">
        <v>56</v>
      </c>
      <c r="D290" s="1288">
        <v>8</v>
      </c>
      <c r="E290" s="1288">
        <v>1</v>
      </c>
      <c r="F290" s="1307">
        <v>2020459</v>
      </c>
      <c r="G290" s="1248"/>
      <c r="H290" s="1248">
        <v>222</v>
      </c>
      <c r="I290" s="1250">
        <v>95</v>
      </c>
      <c r="J290" s="1250">
        <v>0</v>
      </c>
    </row>
    <row r="291" spans="2:10" ht="14" x14ac:dyDescent="0.15">
      <c r="B291" s="1247" t="s">
        <v>87</v>
      </c>
      <c r="C291" s="1288">
        <v>56</v>
      </c>
      <c r="D291" s="1288">
        <v>8</v>
      </c>
      <c r="E291" s="1288">
        <v>1</v>
      </c>
      <c r="F291" s="1307">
        <v>2020459</v>
      </c>
      <c r="G291" s="1248"/>
      <c r="H291" s="1248">
        <v>223</v>
      </c>
      <c r="I291" s="1249">
        <v>3400.1</v>
      </c>
      <c r="J291" s="1250">
        <v>0</v>
      </c>
    </row>
    <row r="292" spans="2:10" ht="14" x14ac:dyDescent="0.15">
      <c r="B292" s="1247" t="s">
        <v>111</v>
      </c>
      <c r="C292" s="1288">
        <v>56</v>
      </c>
      <c r="D292" s="1288">
        <v>8</v>
      </c>
      <c r="E292" s="1288">
        <v>1</v>
      </c>
      <c r="F292" s="1307">
        <v>2020459</v>
      </c>
      <c r="G292" s="1248"/>
      <c r="H292" s="1248">
        <v>224</v>
      </c>
      <c r="I292" s="1249">
        <v>1800</v>
      </c>
      <c r="J292" s="1250">
        <v>0</v>
      </c>
    </row>
    <row r="293" spans="2:10" ht="14" x14ac:dyDescent="0.15">
      <c r="B293" s="1247" t="s">
        <v>90</v>
      </c>
      <c r="C293" s="1288">
        <v>56</v>
      </c>
      <c r="D293" s="1288">
        <v>8</v>
      </c>
      <c r="E293" s="1288">
        <v>1</v>
      </c>
      <c r="F293" s="1307">
        <v>2020459</v>
      </c>
      <c r="G293" s="1248"/>
      <c r="H293" s="1248">
        <v>225</v>
      </c>
      <c r="I293" s="1250">
        <v>85.34</v>
      </c>
      <c r="J293" s="1250">
        <v>0</v>
      </c>
    </row>
    <row r="294" spans="2:10" ht="14" x14ac:dyDescent="0.15">
      <c r="B294" s="1247" t="s">
        <v>91</v>
      </c>
      <c r="C294" s="1288">
        <v>56</v>
      </c>
      <c r="D294" s="1288">
        <v>8</v>
      </c>
      <c r="E294" s="1288">
        <v>1</v>
      </c>
      <c r="F294" s="1307">
        <v>2020459</v>
      </c>
      <c r="G294" s="1248"/>
      <c r="H294" s="1248">
        <v>226</v>
      </c>
      <c r="I294" s="1249">
        <v>6335.3</v>
      </c>
      <c r="J294" s="1249">
        <v>14013.5</v>
      </c>
    </row>
    <row r="295" spans="2:10" ht="14" x14ac:dyDescent="0.15">
      <c r="B295" s="1247" t="s">
        <v>94</v>
      </c>
      <c r="C295" s="1288">
        <v>56</v>
      </c>
      <c r="D295" s="1288">
        <v>8</v>
      </c>
      <c r="E295" s="1288">
        <v>1</v>
      </c>
      <c r="F295" s="1307">
        <v>2020459</v>
      </c>
      <c r="G295" s="1248"/>
      <c r="H295" s="1248">
        <v>290</v>
      </c>
      <c r="I295" s="1249">
        <v>1307.7</v>
      </c>
      <c r="J295" s="1250">
        <v>0</v>
      </c>
    </row>
    <row r="296" spans="2:10" ht="14" x14ac:dyDescent="0.15">
      <c r="B296" s="1247" t="s">
        <v>94</v>
      </c>
      <c r="C296" s="1288">
        <v>56</v>
      </c>
      <c r="D296" s="1288">
        <v>8</v>
      </c>
      <c r="E296" s="1288">
        <v>1</v>
      </c>
      <c r="F296" s="1307">
        <v>2020459</v>
      </c>
      <c r="G296" s="1248"/>
      <c r="H296" s="1248">
        <v>290</v>
      </c>
      <c r="I296" s="1250">
        <v>0</v>
      </c>
      <c r="J296" s="1250">
        <v>0</v>
      </c>
    </row>
    <row r="297" spans="2:10" ht="14" x14ac:dyDescent="0.15">
      <c r="B297" s="1247" t="s">
        <v>96</v>
      </c>
      <c r="C297" s="1288">
        <v>56</v>
      </c>
      <c r="D297" s="1288">
        <v>8</v>
      </c>
      <c r="E297" s="1288">
        <v>1</v>
      </c>
      <c r="F297" s="1307">
        <v>2020459</v>
      </c>
      <c r="G297" s="1248"/>
      <c r="H297" s="1248">
        <v>310</v>
      </c>
      <c r="I297" s="1249">
        <v>1071.5</v>
      </c>
      <c r="J297" s="1249">
        <v>70000</v>
      </c>
    </row>
    <row r="298" spans="2:10" ht="14" x14ac:dyDescent="0.15">
      <c r="B298" s="1247" t="s">
        <v>97</v>
      </c>
      <c r="C298" s="1288">
        <v>56</v>
      </c>
      <c r="D298" s="1288">
        <v>8</v>
      </c>
      <c r="E298" s="1288">
        <v>1</v>
      </c>
      <c r="F298" s="1307">
        <v>2020459</v>
      </c>
      <c r="G298" s="1248"/>
      <c r="H298" s="1248">
        <v>340</v>
      </c>
      <c r="I298" s="1250">
        <v>244.56</v>
      </c>
      <c r="J298" s="1250">
        <v>0</v>
      </c>
    </row>
    <row r="299" spans="2:10" ht="14" x14ac:dyDescent="0.15">
      <c r="B299" s="1243" t="s">
        <v>767</v>
      </c>
      <c r="C299" s="1288">
        <v>56</v>
      </c>
      <c r="D299" s="1288">
        <v>8</v>
      </c>
      <c r="E299" s="1288">
        <v>1</v>
      </c>
      <c r="F299" s="1307">
        <v>2020459</v>
      </c>
      <c r="G299" s="1244">
        <v>612</v>
      </c>
      <c r="H299" s="1244">
        <v>241</v>
      </c>
      <c r="I299" s="1265">
        <v>84013.5</v>
      </c>
      <c r="J299" s="1289"/>
    </row>
    <row r="300" spans="2:10" ht="39" x14ac:dyDescent="0.15">
      <c r="B300" s="1239" t="s">
        <v>1143</v>
      </c>
      <c r="C300" s="1288">
        <v>56</v>
      </c>
      <c r="D300" s="1288">
        <v>8</v>
      </c>
      <c r="E300" s="1288">
        <v>1</v>
      </c>
      <c r="F300" s="1307">
        <v>2020459</v>
      </c>
      <c r="G300" s="1312">
        <v>600</v>
      </c>
      <c r="H300" s="2162"/>
      <c r="I300" s="1308">
        <v>127836.4</v>
      </c>
      <c r="J300" s="1308">
        <v>70000</v>
      </c>
    </row>
    <row r="301" spans="2:10" ht="39" x14ac:dyDescent="0.15">
      <c r="B301" s="1243" t="s">
        <v>1135</v>
      </c>
      <c r="C301" s="1288">
        <v>56</v>
      </c>
      <c r="D301" s="1288">
        <v>8</v>
      </c>
      <c r="E301" s="1288">
        <v>1</v>
      </c>
      <c r="F301" s="1307">
        <v>2020459</v>
      </c>
      <c r="G301" s="1245">
        <v>611</v>
      </c>
      <c r="H301" s="1244">
        <v>241</v>
      </c>
      <c r="I301" s="1265">
        <v>57836.4</v>
      </c>
      <c r="J301" s="1265">
        <v>70000</v>
      </c>
    </row>
    <row r="302" spans="2:10" ht="14" x14ac:dyDescent="0.15">
      <c r="B302" s="1247" t="s">
        <v>124</v>
      </c>
      <c r="C302" s="1288">
        <v>56</v>
      </c>
      <c r="D302" s="1288">
        <v>8</v>
      </c>
      <c r="E302" s="1288">
        <v>1</v>
      </c>
      <c r="F302" s="1307">
        <v>2020459</v>
      </c>
      <c r="G302" s="1248"/>
      <c r="H302" s="1248">
        <v>211</v>
      </c>
      <c r="I302" s="1254">
        <v>41068.6</v>
      </c>
      <c r="J302" s="1247"/>
    </row>
    <row r="303" spans="2:10" ht="14" x14ac:dyDescent="0.15">
      <c r="B303" s="1247" t="s">
        <v>83</v>
      </c>
      <c r="C303" s="1288">
        <v>56</v>
      </c>
      <c r="D303" s="1288">
        <v>8</v>
      </c>
      <c r="E303" s="1288">
        <v>1</v>
      </c>
      <c r="F303" s="1307">
        <v>2020459</v>
      </c>
      <c r="G303" s="1248"/>
      <c r="H303" s="1248">
        <v>212</v>
      </c>
      <c r="I303" s="1255">
        <v>3</v>
      </c>
      <c r="J303" s="1247"/>
    </row>
    <row r="304" spans="2:10" ht="14" x14ac:dyDescent="0.15">
      <c r="B304" s="1247" t="s">
        <v>84</v>
      </c>
      <c r="C304" s="1288">
        <v>56</v>
      </c>
      <c r="D304" s="1288">
        <v>8</v>
      </c>
      <c r="E304" s="1288">
        <v>1</v>
      </c>
      <c r="F304" s="1307">
        <v>2020459</v>
      </c>
      <c r="G304" s="1248"/>
      <c r="H304" s="1248">
        <v>213</v>
      </c>
      <c r="I304" s="1254">
        <v>11967.6</v>
      </c>
      <c r="J304" s="1247"/>
    </row>
    <row r="305" spans="2:10" ht="14" x14ac:dyDescent="0.15">
      <c r="B305" s="1247" t="s">
        <v>85</v>
      </c>
      <c r="C305" s="1288">
        <v>56</v>
      </c>
      <c r="D305" s="1288">
        <v>8</v>
      </c>
      <c r="E305" s="1288">
        <v>1</v>
      </c>
      <c r="F305" s="1307">
        <v>2020459</v>
      </c>
      <c r="G305" s="1248"/>
      <c r="H305" s="1248">
        <v>221</v>
      </c>
      <c r="I305" s="1255">
        <v>67.2</v>
      </c>
      <c r="J305" s="1247"/>
    </row>
    <row r="306" spans="2:10" ht="14" x14ac:dyDescent="0.15">
      <c r="B306" s="1247" t="s">
        <v>86</v>
      </c>
      <c r="C306" s="1288">
        <v>56</v>
      </c>
      <c r="D306" s="1288">
        <v>8</v>
      </c>
      <c r="E306" s="1288">
        <v>1</v>
      </c>
      <c r="F306" s="1307">
        <v>2020459</v>
      </c>
      <c r="G306" s="1248"/>
      <c r="H306" s="1248">
        <v>222</v>
      </c>
      <c r="I306" s="1255">
        <v>84</v>
      </c>
      <c r="J306" s="1247"/>
    </row>
    <row r="307" spans="2:10" ht="14" x14ac:dyDescent="0.15">
      <c r="B307" s="1247" t="s">
        <v>87</v>
      </c>
      <c r="C307" s="1288">
        <v>56</v>
      </c>
      <c r="D307" s="1288">
        <v>8</v>
      </c>
      <c r="E307" s="1288">
        <v>1</v>
      </c>
      <c r="F307" s="1307">
        <v>2020459</v>
      </c>
      <c r="G307" s="1248"/>
      <c r="H307" s="1248">
        <v>223</v>
      </c>
      <c r="I307" s="1254">
        <v>1953.3</v>
      </c>
      <c r="J307" s="1247"/>
    </row>
    <row r="308" spans="2:10" ht="14" x14ac:dyDescent="0.15">
      <c r="B308" s="1247" t="s">
        <v>111</v>
      </c>
      <c r="C308" s="1288">
        <v>56</v>
      </c>
      <c r="D308" s="1288">
        <v>8</v>
      </c>
      <c r="E308" s="1288">
        <v>1</v>
      </c>
      <c r="F308" s="1307">
        <v>2020459</v>
      </c>
      <c r="G308" s="1248"/>
      <c r="H308" s="1248">
        <v>224</v>
      </c>
      <c r="I308" s="1255"/>
      <c r="J308" s="1247"/>
    </row>
    <row r="309" spans="2:10" ht="14" x14ac:dyDescent="0.15">
      <c r="B309" s="1247" t="s">
        <v>90</v>
      </c>
      <c r="C309" s="1288">
        <v>56</v>
      </c>
      <c r="D309" s="1288">
        <v>8</v>
      </c>
      <c r="E309" s="1288">
        <v>1</v>
      </c>
      <c r="F309" s="1307">
        <v>2020459</v>
      </c>
      <c r="G309" s="1248"/>
      <c r="H309" s="1248">
        <v>225</v>
      </c>
      <c r="I309" s="1255">
        <v>20</v>
      </c>
      <c r="J309" s="1247"/>
    </row>
    <row r="310" spans="2:10" ht="14" x14ac:dyDescent="0.15">
      <c r="B310" s="1247" t="s">
        <v>91</v>
      </c>
      <c r="C310" s="1288">
        <v>56</v>
      </c>
      <c r="D310" s="1288">
        <v>8</v>
      </c>
      <c r="E310" s="1288">
        <v>1</v>
      </c>
      <c r="F310" s="1307">
        <v>2020459</v>
      </c>
      <c r="G310" s="1248"/>
      <c r="H310" s="1248">
        <v>226</v>
      </c>
      <c r="I310" s="1254">
        <v>1043</v>
      </c>
      <c r="J310" s="1247"/>
    </row>
    <row r="311" spans="2:10" ht="14" x14ac:dyDescent="0.15">
      <c r="B311" s="1247" t="s">
        <v>94</v>
      </c>
      <c r="C311" s="1288">
        <v>56</v>
      </c>
      <c r="D311" s="1288">
        <v>8</v>
      </c>
      <c r="E311" s="1288">
        <v>1</v>
      </c>
      <c r="F311" s="1307">
        <v>2020459</v>
      </c>
      <c r="G311" s="1248"/>
      <c r="H311" s="1248">
        <v>290</v>
      </c>
      <c r="I311" s="1255">
        <v>885.7</v>
      </c>
      <c r="J311" s="1247"/>
    </row>
    <row r="312" spans="2:10" ht="14" x14ac:dyDescent="0.15">
      <c r="B312" s="1247" t="s">
        <v>94</v>
      </c>
      <c r="C312" s="1288">
        <v>56</v>
      </c>
      <c r="D312" s="1288">
        <v>8</v>
      </c>
      <c r="E312" s="1288">
        <v>1</v>
      </c>
      <c r="F312" s="1307">
        <v>2020459</v>
      </c>
      <c r="G312" s="1248"/>
      <c r="H312" s="1248">
        <v>290</v>
      </c>
      <c r="I312" s="1255"/>
      <c r="J312" s="1247"/>
    </row>
    <row r="313" spans="2:10" ht="14" x14ac:dyDescent="0.15">
      <c r="B313" s="1247" t="s">
        <v>96</v>
      </c>
      <c r="C313" s="1288">
        <v>56</v>
      </c>
      <c r="D313" s="1288">
        <v>8</v>
      </c>
      <c r="E313" s="1288">
        <v>1</v>
      </c>
      <c r="F313" s="1307">
        <v>2020459</v>
      </c>
      <c r="G313" s="1248"/>
      <c r="H313" s="1248">
        <v>310</v>
      </c>
      <c r="I313" s="1255">
        <v>720</v>
      </c>
      <c r="J313" s="1249">
        <v>70000</v>
      </c>
    </row>
    <row r="314" spans="2:10" ht="14" x14ac:dyDescent="0.15">
      <c r="B314" s="1247" t="s">
        <v>97</v>
      </c>
      <c r="C314" s="1288">
        <v>56</v>
      </c>
      <c r="D314" s="1288">
        <v>8</v>
      </c>
      <c r="E314" s="1288">
        <v>1</v>
      </c>
      <c r="F314" s="1307">
        <v>2020459</v>
      </c>
      <c r="G314" s="1248"/>
      <c r="H314" s="1248">
        <v>340</v>
      </c>
      <c r="I314" s="1255">
        <v>24</v>
      </c>
      <c r="J314" s="1247"/>
    </row>
    <row r="315" spans="2:10" ht="14" x14ac:dyDescent="0.15">
      <c r="B315" s="1243" t="s">
        <v>767</v>
      </c>
      <c r="C315" s="1288">
        <v>56</v>
      </c>
      <c r="D315" s="1288">
        <v>8</v>
      </c>
      <c r="E315" s="1288">
        <v>1</v>
      </c>
      <c r="F315" s="1307">
        <v>2020459</v>
      </c>
      <c r="G315" s="1244">
        <v>612</v>
      </c>
      <c r="H315" s="1244">
        <v>241</v>
      </c>
      <c r="I315" s="1270">
        <v>70000</v>
      </c>
      <c r="J315" s="1247"/>
    </row>
    <row r="316" spans="2:10" ht="26" x14ac:dyDescent="0.15">
      <c r="B316" s="1239" t="s">
        <v>1144</v>
      </c>
      <c r="C316" s="1288">
        <v>56</v>
      </c>
      <c r="D316" s="1288">
        <v>8</v>
      </c>
      <c r="E316" s="1288">
        <v>1</v>
      </c>
      <c r="F316" s="1307">
        <v>2020459</v>
      </c>
      <c r="G316" s="1312">
        <v>600</v>
      </c>
      <c r="H316" s="2162"/>
      <c r="I316" s="1308">
        <v>15728</v>
      </c>
      <c r="J316" s="2199">
        <v>0</v>
      </c>
    </row>
    <row r="317" spans="2:10" ht="39" x14ac:dyDescent="0.15">
      <c r="B317" s="1243" t="s">
        <v>1135</v>
      </c>
      <c r="C317" s="1288">
        <v>56</v>
      </c>
      <c r="D317" s="1288">
        <v>8</v>
      </c>
      <c r="E317" s="1288">
        <v>1</v>
      </c>
      <c r="F317" s="1307">
        <v>2020459</v>
      </c>
      <c r="G317" s="1245">
        <v>611</v>
      </c>
      <c r="H317" s="1244">
        <v>241</v>
      </c>
      <c r="I317" s="1265">
        <v>15728</v>
      </c>
      <c r="J317" s="1289">
        <v>0</v>
      </c>
    </row>
    <row r="318" spans="2:10" ht="14" x14ac:dyDescent="0.15">
      <c r="B318" s="1247" t="s">
        <v>124</v>
      </c>
      <c r="C318" s="1288">
        <v>56</v>
      </c>
      <c r="D318" s="1288">
        <v>8</v>
      </c>
      <c r="E318" s="1288">
        <v>1</v>
      </c>
      <c r="F318" s="1307">
        <v>2020459</v>
      </c>
      <c r="G318" s="1248"/>
      <c r="H318" s="1248">
        <v>211</v>
      </c>
      <c r="I318" s="1254">
        <v>8973.7999999999993</v>
      </c>
      <c r="J318" s="1247"/>
    </row>
    <row r="319" spans="2:10" ht="14" x14ac:dyDescent="0.15">
      <c r="B319" s="1247" t="s">
        <v>83</v>
      </c>
      <c r="C319" s="1288">
        <v>56</v>
      </c>
      <c r="D319" s="1288">
        <v>8</v>
      </c>
      <c r="E319" s="1288">
        <v>1</v>
      </c>
      <c r="F319" s="1307">
        <v>2020459</v>
      </c>
      <c r="G319" s="1248"/>
      <c r="H319" s="1248">
        <v>212</v>
      </c>
      <c r="I319" s="1255"/>
      <c r="J319" s="1247"/>
    </row>
    <row r="320" spans="2:10" ht="14" x14ac:dyDescent="0.15">
      <c r="B320" s="1247" t="s">
        <v>84</v>
      </c>
      <c r="C320" s="1288">
        <v>56</v>
      </c>
      <c r="D320" s="1288">
        <v>8</v>
      </c>
      <c r="E320" s="1288">
        <v>1</v>
      </c>
      <c r="F320" s="1307">
        <v>2020459</v>
      </c>
      <c r="G320" s="1248"/>
      <c r="H320" s="1248">
        <v>213</v>
      </c>
      <c r="I320" s="1254">
        <v>2615</v>
      </c>
      <c r="J320" s="1247"/>
    </row>
    <row r="321" spans="2:10" ht="14" x14ac:dyDescent="0.15">
      <c r="B321" s="1247" t="s">
        <v>85</v>
      </c>
      <c r="C321" s="1288">
        <v>56</v>
      </c>
      <c r="D321" s="1288">
        <v>8</v>
      </c>
      <c r="E321" s="1288">
        <v>1</v>
      </c>
      <c r="F321" s="1307">
        <v>2020459</v>
      </c>
      <c r="G321" s="1248"/>
      <c r="H321" s="1248">
        <v>221</v>
      </c>
      <c r="I321" s="1255">
        <v>19.5</v>
      </c>
      <c r="J321" s="1247"/>
    </row>
    <row r="322" spans="2:10" ht="14" x14ac:dyDescent="0.15">
      <c r="B322" s="1247" t="s">
        <v>86</v>
      </c>
      <c r="C322" s="1288">
        <v>56</v>
      </c>
      <c r="D322" s="1288">
        <v>8</v>
      </c>
      <c r="E322" s="1288">
        <v>1</v>
      </c>
      <c r="F322" s="1307">
        <v>2020459</v>
      </c>
      <c r="G322" s="1248"/>
      <c r="H322" s="1248">
        <v>222</v>
      </c>
      <c r="I322" s="1255">
        <v>11</v>
      </c>
      <c r="J322" s="1247"/>
    </row>
    <row r="323" spans="2:10" ht="14" x14ac:dyDescent="0.15">
      <c r="B323" s="1247" t="s">
        <v>87</v>
      </c>
      <c r="C323" s="1288">
        <v>56</v>
      </c>
      <c r="D323" s="1288">
        <v>8</v>
      </c>
      <c r="E323" s="1288">
        <v>1</v>
      </c>
      <c r="F323" s="1307">
        <v>2020459</v>
      </c>
      <c r="G323" s="1248"/>
      <c r="H323" s="1248">
        <v>223</v>
      </c>
      <c r="I323" s="1255">
        <v>504.8</v>
      </c>
      <c r="J323" s="1247"/>
    </row>
    <row r="324" spans="2:10" ht="14" x14ac:dyDescent="0.15">
      <c r="B324" s="1247" t="s">
        <v>111</v>
      </c>
      <c r="C324" s="1288">
        <v>56</v>
      </c>
      <c r="D324" s="1288">
        <v>8</v>
      </c>
      <c r="E324" s="1288">
        <v>1</v>
      </c>
      <c r="F324" s="1307">
        <v>2020459</v>
      </c>
      <c r="G324" s="1248"/>
      <c r="H324" s="1248">
        <v>224</v>
      </c>
      <c r="I324" s="1255"/>
      <c r="J324" s="1247"/>
    </row>
    <row r="325" spans="2:10" ht="14" x14ac:dyDescent="0.15">
      <c r="B325" s="1247" t="s">
        <v>90</v>
      </c>
      <c r="C325" s="1288">
        <v>56</v>
      </c>
      <c r="D325" s="1288">
        <v>8</v>
      </c>
      <c r="E325" s="1288">
        <v>1</v>
      </c>
      <c r="F325" s="1307">
        <v>2020459</v>
      </c>
      <c r="G325" s="1248"/>
      <c r="H325" s="1248">
        <v>225</v>
      </c>
      <c r="I325" s="1255">
        <v>27.84</v>
      </c>
      <c r="J325" s="1247"/>
    </row>
    <row r="326" spans="2:10" ht="14" x14ac:dyDescent="0.15">
      <c r="B326" s="1247" t="s">
        <v>91</v>
      </c>
      <c r="C326" s="1288">
        <v>56</v>
      </c>
      <c r="D326" s="1288">
        <v>8</v>
      </c>
      <c r="E326" s="1288">
        <v>1</v>
      </c>
      <c r="F326" s="1307">
        <v>2020459</v>
      </c>
      <c r="G326" s="1248"/>
      <c r="H326" s="1248">
        <v>226</v>
      </c>
      <c r="I326" s="1254">
        <v>3150.3</v>
      </c>
      <c r="J326" s="1247"/>
    </row>
    <row r="327" spans="2:10" ht="14" x14ac:dyDescent="0.15">
      <c r="B327" s="1247" t="s">
        <v>94</v>
      </c>
      <c r="C327" s="1288">
        <v>56</v>
      </c>
      <c r="D327" s="1288">
        <v>8</v>
      </c>
      <c r="E327" s="1288">
        <v>1</v>
      </c>
      <c r="F327" s="1307">
        <v>2020459</v>
      </c>
      <c r="G327" s="1248"/>
      <c r="H327" s="1248">
        <v>290</v>
      </c>
      <c r="I327" s="1255">
        <v>153.69999999999999</v>
      </c>
      <c r="J327" s="1247"/>
    </row>
    <row r="328" spans="2:10" ht="14" x14ac:dyDescent="0.15">
      <c r="B328" s="1247" t="s">
        <v>94</v>
      </c>
      <c r="C328" s="1288">
        <v>56</v>
      </c>
      <c r="D328" s="1288">
        <v>8</v>
      </c>
      <c r="E328" s="1288">
        <v>1</v>
      </c>
      <c r="F328" s="1307">
        <v>2020459</v>
      </c>
      <c r="G328" s="1248"/>
      <c r="H328" s="1248">
        <v>290</v>
      </c>
      <c r="I328" s="1255"/>
      <c r="J328" s="1247"/>
    </row>
    <row r="329" spans="2:10" ht="14" x14ac:dyDescent="0.15">
      <c r="B329" s="1247" t="s">
        <v>96</v>
      </c>
      <c r="C329" s="1288">
        <v>56</v>
      </c>
      <c r="D329" s="1288">
        <v>8</v>
      </c>
      <c r="E329" s="1288">
        <v>1</v>
      </c>
      <c r="F329" s="1307">
        <v>2020459</v>
      </c>
      <c r="G329" s="1248"/>
      <c r="H329" s="1248">
        <v>310</v>
      </c>
      <c r="I329" s="1255">
        <v>180</v>
      </c>
      <c r="J329" s="1247"/>
    </row>
    <row r="330" spans="2:10" ht="14" x14ac:dyDescent="0.15">
      <c r="B330" s="1247" t="s">
        <v>97</v>
      </c>
      <c r="C330" s="1288">
        <v>56</v>
      </c>
      <c r="D330" s="1288">
        <v>8</v>
      </c>
      <c r="E330" s="1288">
        <v>1</v>
      </c>
      <c r="F330" s="1307">
        <v>2020459</v>
      </c>
      <c r="G330" s="1248"/>
      <c r="H330" s="1248">
        <v>340</v>
      </c>
      <c r="I330" s="1255">
        <v>92.06</v>
      </c>
      <c r="J330" s="1247"/>
    </row>
    <row r="331" spans="2:10" ht="14" x14ac:dyDescent="0.15">
      <c r="B331" s="1243" t="s">
        <v>767</v>
      </c>
      <c r="C331" s="1288">
        <v>56</v>
      </c>
      <c r="D331" s="1288">
        <v>8</v>
      </c>
      <c r="E331" s="1288">
        <v>1</v>
      </c>
      <c r="F331" s="1307">
        <v>2020459</v>
      </c>
      <c r="G331" s="1244">
        <v>612</v>
      </c>
      <c r="H331" s="1244">
        <v>241</v>
      </c>
      <c r="I331" s="1252">
        <v>0</v>
      </c>
      <c r="J331" s="1247"/>
    </row>
    <row r="332" spans="2:10" ht="39" x14ac:dyDescent="0.15">
      <c r="B332" s="1239" t="s">
        <v>1145</v>
      </c>
      <c r="C332" s="1288">
        <v>56</v>
      </c>
      <c r="D332" s="1288">
        <v>8</v>
      </c>
      <c r="E332" s="1288">
        <v>1</v>
      </c>
      <c r="F332" s="1307">
        <v>2020459</v>
      </c>
      <c r="G332" s="1312">
        <v>600</v>
      </c>
      <c r="H332" s="2162"/>
      <c r="I332" s="1308">
        <v>22100.3</v>
      </c>
      <c r="J332" s="2199">
        <v>0</v>
      </c>
    </row>
    <row r="333" spans="2:10" ht="39" x14ac:dyDescent="0.15">
      <c r="B333" s="1243" t="s">
        <v>1135</v>
      </c>
      <c r="C333" s="1288">
        <v>56</v>
      </c>
      <c r="D333" s="1288">
        <v>8</v>
      </c>
      <c r="E333" s="1288">
        <v>1</v>
      </c>
      <c r="F333" s="1307">
        <v>2020459</v>
      </c>
      <c r="G333" s="1245">
        <v>611</v>
      </c>
      <c r="H333" s="1244">
        <v>241</v>
      </c>
      <c r="I333" s="1265">
        <v>22100.3</v>
      </c>
      <c r="J333" s="1289">
        <v>0</v>
      </c>
    </row>
    <row r="334" spans="2:10" ht="14" x14ac:dyDescent="0.15">
      <c r="B334" s="1247" t="s">
        <v>124</v>
      </c>
      <c r="C334" s="1288">
        <v>56</v>
      </c>
      <c r="D334" s="1288">
        <v>8</v>
      </c>
      <c r="E334" s="1288">
        <v>1</v>
      </c>
      <c r="F334" s="1307">
        <v>2020459</v>
      </c>
      <c r="G334" s="1248"/>
      <c r="H334" s="1248">
        <v>211</v>
      </c>
      <c r="I334" s="1254">
        <v>14973.9</v>
      </c>
      <c r="J334" s="1247"/>
    </row>
    <row r="335" spans="2:10" ht="14" x14ac:dyDescent="0.15">
      <c r="B335" s="1247" t="s">
        <v>83</v>
      </c>
      <c r="C335" s="1288">
        <v>56</v>
      </c>
      <c r="D335" s="1288">
        <v>8</v>
      </c>
      <c r="E335" s="1288">
        <v>1</v>
      </c>
      <c r="F335" s="1307">
        <v>2020459</v>
      </c>
      <c r="G335" s="1248"/>
      <c r="H335" s="1248">
        <v>212</v>
      </c>
      <c r="I335" s="1255"/>
      <c r="J335" s="1247"/>
    </row>
    <row r="336" spans="2:10" ht="14" x14ac:dyDescent="0.15">
      <c r="B336" s="1247" t="s">
        <v>84</v>
      </c>
      <c r="C336" s="1288">
        <v>56</v>
      </c>
      <c r="D336" s="1288">
        <v>8</v>
      </c>
      <c r="E336" s="1288">
        <v>1</v>
      </c>
      <c r="F336" s="1307">
        <v>2020459</v>
      </c>
      <c r="G336" s="1248"/>
      <c r="H336" s="1248">
        <v>213</v>
      </c>
      <c r="I336" s="1254">
        <v>4363.3999999999996</v>
      </c>
      <c r="J336" s="1247"/>
    </row>
    <row r="337" spans="2:10" ht="14" x14ac:dyDescent="0.15">
      <c r="B337" s="1247" t="s">
        <v>85</v>
      </c>
      <c r="C337" s="1288">
        <v>56</v>
      </c>
      <c r="D337" s="1288">
        <v>8</v>
      </c>
      <c r="E337" s="1288">
        <v>1</v>
      </c>
      <c r="F337" s="1307">
        <v>2020459</v>
      </c>
      <c r="G337" s="1248"/>
      <c r="H337" s="1248">
        <v>221</v>
      </c>
      <c r="I337" s="1255">
        <v>50.7</v>
      </c>
      <c r="J337" s="1247"/>
    </row>
    <row r="338" spans="2:10" ht="14" x14ac:dyDescent="0.15">
      <c r="B338" s="1247" t="s">
        <v>86</v>
      </c>
      <c r="C338" s="1288">
        <v>56</v>
      </c>
      <c r="D338" s="1288">
        <v>8</v>
      </c>
      <c r="E338" s="1288">
        <v>1</v>
      </c>
      <c r="F338" s="1307">
        <v>2020459</v>
      </c>
      <c r="G338" s="1248"/>
      <c r="H338" s="1248">
        <v>222</v>
      </c>
      <c r="I338" s="1255"/>
      <c r="J338" s="1247"/>
    </row>
    <row r="339" spans="2:10" ht="14" x14ac:dyDescent="0.15">
      <c r="B339" s="1247" t="s">
        <v>87</v>
      </c>
      <c r="C339" s="1288">
        <v>56</v>
      </c>
      <c r="D339" s="1288">
        <v>8</v>
      </c>
      <c r="E339" s="1288">
        <v>1</v>
      </c>
      <c r="F339" s="1307">
        <v>2020459</v>
      </c>
      <c r="G339" s="1248"/>
      <c r="H339" s="1248">
        <v>223</v>
      </c>
      <c r="I339" s="1255">
        <v>451.6</v>
      </c>
      <c r="J339" s="1247"/>
    </row>
    <row r="340" spans="2:10" ht="14" x14ac:dyDescent="0.15">
      <c r="B340" s="1247" t="s">
        <v>111</v>
      </c>
      <c r="C340" s="1288">
        <v>56</v>
      </c>
      <c r="D340" s="1288">
        <v>8</v>
      </c>
      <c r="E340" s="1288">
        <v>1</v>
      </c>
      <c r="F340" s="1307">
        <v>2020459</v>
      </c>
      <c r="G340" s="1248"/>
      <c r="H340" s="1248">
        <v>224</v>
      </c>
      <c r="I340" s="1255"/>
      <c r="J340" s="1247"/>
    </row>
    <row r="341" spans="2:10" ht="14" x14ac:dyDescent="0.15">
      <c r="B341" s="1247" t="s">
        <v>90</v>
      </c>
      <c r="C341" s="1288">
        <v>56</v>
      </c>
      <c r="D341" s="1288">
        <v>8</v>
      </c>
      <c r="E341" s="1288">
        <v>1</v>
      </c>
      <c r="F341" s="1307">
        <v>2020459</v>
      </c>
      <c r="G341" s="1248"/>
      <c r="H341" s="1248">
        <v>225</v>
      </c>
      <c r="I341" s="1255">
        <v>37.5</v>
      </c>
      <c r="J341" s="1247"/>
    </row>
    <row r="342" spans="2:10" ht="14" x14ac:dyDescent="0.15">
      <c r="B342" s="1247" t="s">
        <v>91</v>
      </c>
      <c r="C342" s="1288">
        <v>56</v>
      </c>
      <c r="D342" s="1288">
        <v>8</v>
      </c>
      <c r="E342" s="1288">
        <v>1</v>
      </c>
      <c r="F342" s="1307">
        <v>2020459</v>
      </c>
      <c r="G342" s="1248"/>
      <c r="H342" s="1248">
        <v>226</v>
      </c>
      <c r="I342" s="1254">
        <v>2132</v>
      </c>
      <c r="J342" s="1247"/>
    </row>
    <row r="343" spans="2:10" ht="14" x14ac:dyDescent="0.15">
      <c r="B343" s="1247" t="s">
        <v>94</v>
      </c>
      <c r="C343" s="1288">
        <v>56</v>
      </c>
      <c r="D343" s="1288">
        <v>8</v>
      </c>
      <c r="E343" s="1288">
        <v>1</v>
      </c>
      <c r="F343" s="1307">
        <v>2020459</v>
      </c>
      <c r="G343" s="1248"/>
      <c r="H343" s="1248">
        <v>290</v>
      </c>
      <c r="I343" s="1255">
        <v>91.2</v>
      </c>
      <c r="J343" s="1247"/>
    </row>
    <row r="344" spans="2:10" ht="14" x14ac:dyDescent="0.15">
      <c r="B344" s="1247" t="s">
        <v>94</v>
      </c>
      <c r="C344" s="1288">
        <v>56</v>
      </c>
      <c r="D344" s="1288">
        <v>8</v>
      </c>
      <c r="E344" s="1288">
        <v>1</v>
      </c>
      <c r="F344" s="1307">
        <v>2020459</v>
      </c>
      <c r="G344" s="1248"/>
      <c r="H344" s="1248">
        <v>290</v>
      </c>
      <c r="I344" s="1255"/>
      <c r="J344" s="1247"/>
    </row>
    <row r="345" spans="2:10" ht="14" x14ac:dyDescent="0.15">
      <c r="B345" s="1247" t="s">
        <v>96</v>
      </c>
      <c r="C345" s="1288">
        <v>56</v>
      </c>
      <c r="D345" s="1288">
        <v>8</v>
      </c>
      <c r="E345" s="1288">
        <v>1</v>
      </c>
      <c r="F345" s="1307">
        <v>2020459</v>
      </c>
      <c r="G345" s="1248"/>
      <c r="H345" s="1248">
        <v>310</v>
      </c>
      <c r="I345" s="2184"/>
      <c r="J345" s="1247"/>
    </row>
    <row r="346" spans="2:10" ht="14" x14ac:dyDescent="0.15">
      <c r="B346" s="1247" t="s">
        <v>97</v>
      </c>
      <c r="C346" s="1288">
        <v>56</v>
      </c>
      <c r="D346" s="1288">
        <v>8</v>
      </c>
      <c r="E346" s="1288">
        <v>1</v>
      </c>
      <c r="F346" s="1307">
        <v>2020459</v>
      </c>
      <c r="G346" s="1248"/>
      <c r="H346" s="1248">
        <v>340</v>
      </c>
      <c r="I346" s="1255"/>
      <c r="J346" s="1247"/>
    </row>
    <row r="347" spans="2:10" ht="14" x14ac:dyDescent="0.15">
      <c r="B347" s="1243" t="s">
        <v>767</v>
      </c>
      <c r="C347" s="1288">
        <v>56</v>
      </c>
      <c r="D347" s="1288">
        <v>8</v>
      </c>
      <c r="E347" s="1288">
        <v>1</v>
      </c>
      <c r="F347" s="1307">
        <v>2020459</v>
      </c>
      <c r="G347" s="1244">
        <v>612</v>
      </c>
      <c r="H347" s="1244">
        <v>241</v>
      </c>
      <c r="I347" s="1252">
        <v>0</v>
      </c>
      <c r="J347" s="1247"/>
    </row>
    <row r="348" spans="2:10" ht="26" x14ac:dyDescent="0.15">
      <c r="B348" s="1239" t="s">
        <v>1146</v>
      </c>
      <c r="C348" s="1288">
        <v>56</v>
      </c>
      <c r="D348" s="1288">
        <v>8</v>
      </c>
      <c r="E348" s="1288">
        <v>1</v>
      </c>
      <c r="F348" s="1307">
        <v>2020459</v>
      </c>
      <c r="G348" s="1312">
        <v>600</v>
      </c>
      <c r="H348" s="2162"/>
      <c r="I348" s="1308">
        <v>24258</v>
      </c>
      <c r="J348" s="1308">
        <v>14013.5</v>
      </c>
    </row>
    <row r="349" spans="2:10" ht="39" x14ac:dyDescent="0.15">
      <c r="B349" s="1243" t="s">
        <v>1135</v>
      </c>
      <c r="C349" s="1288">
        <v>56</v>
      </c>
      <c r="D349" s="1288">
        <v>8</v>
      </c>
      <c r="E349" s="1288">
        <v>1</v>
      </c>
      <c r="F349" s="1307">
        <v>2020459</v>
      </c>
      <c r="G349" s="1245">
        <v>611</v>
      </c>
      <c r="H349" s="1244">
        <v>241</v>
      </c>
      <c r="I349" s="1265">
        <v>10244.5</v>
      </c>
      <c r="J349" s="1265">
        <v>14013.5</v>
      </c>
    </row>
    <row r="350" spans="2:10" ht="14" x14ac:dyDescent="0.15">
      <c r="B350" s="1247" t="s">
        <v>124</v>
      </c>
      <c r="C350" s="1288">
        <v>56</v>
      </c>
      <c r="D350" s="1288">
        <v>8</v>
      </c>
      <c r="E350" s="1288">
        <v>1</v>
      </c>
      <c r="F350" s="1307">
        <v>2020459</v>
      </c>
      <c r="G350" s="1248"/>
      <c r="H350" s="1248">
        <v>211</v>
      </c>
      <c r="I350" s="1254">
        <v>7002</v>
      </c>
      <c r="J350" s="1247"/>
    </row>
    <row r="351" spans="2:10" ht="14" x14ac:dyDescent="0.15">
      <c r="B351" s="1247" t="s">
        <v>83</v>
      </c>
      <c r="C351" s="1288">
        <v>56</v>
      </c>
      <c r="D351" s="1288">
        <v>8</v>
      </c>
      <c r="E351" s="1288">
        <v>1</v>
      </c>
      <c r="F351" s="1307">
        <v>2020459</v>
      </c>
      <c r="G351" s="1248"/>
      <c r="H351" s="1248">
        <v>212</v>
      </c>
      <c r="I351" s="1255"/>
      <c r="J351" s="1247"/>
    </row>
    <row r="352" spans="2:10" ht="14" x14ac:dyDescent="0.15">
      <c r="B352" s="1247" t="s">
        <v>84</v>
      </c>
      <c r="C352" s="1288">
        <v>56</v>
      </c>
      <c r="D352" s="1288">
        <v>8</v>
      </c>
      <c r="E352" s="1288">
        <v>1</v>
      </c>
      <c r="F352" s="1307">
        <v>2020459</v>
      </c>
      <c r="G352" s="1248"/>
      <c r="H352" s="1248">
        <v>213</v>
      </c>
      <c r="I352" s="1254">
        <v>2040.4</v>
      </c>
      <c r="J352" s="1247"/>
    </row>
    <row r="353" spans="2:10" ht="14" x14ac:dyDescent="0.15">
      <c r="B353" s="1247" t="s">
        <v>85</v>
      </c>
      <c r="C353" s="1288">
        <v>56</v>
      </c>
      <c r="D353" s="1288">
        <v>8</v>
      </c>
      <c r="E353" s="1288">
        <v>1</v>
      </c>
      <c r="F353" s="1307">
        <v>2020459</v>
      </c>
      <c r="G353" s="1248"/>
      <c r="H353" s="1248">
        <v>221</v>
      </c>
      <c r="I353" s="1255">
        <v>33.799999999999997</v>
      </c>
      <c r="J353" s="1247"/>
    </row>
    <row r="354" spans="2:10" ht="14" x14ac:dyDescent="0.15">
      <c r="B354" s="1247" t="s">
        <v>86</v>
      </c>
      <c r="C354" s="1288">
        <v>56</v>
      </c>
      <c r="D354" s="1288">
        <v>8</v>
      </c>
      <c r="E354" s="1288">
        <v>1</v>
      </c>
      <c r="F354" s="1307">
        <v>2020459</v>
      </c>
      <c r="G354" s="1248"/>
      <c r="H354" s="1248">
        <v>222</v>
      </c>
      <c r="I354" s="1255"/>
      <c r="J354" s="1247"/>
    </row>
    <row r="355" spans="2:10" ht="14" x14ac:dyDescent="0.15">
      <c r="B355" s="1247" t="s">
        <v>87</v>
      </c>
      <c r="C355" s="1288">
        <v>56</v>
      </c>
      <c r="D355" s="1288">
        <v>8</v>
      </c>
      <c r="E355" s="1288">
        <v>1</v>
      </c>
      <c r="F355" s="1307">
        <v>2020459</v>
      </c>
      <c r="G355" s="1248"/>
      <c r="H355" s="1248">
        <v>223</v>
      </c>
      <c r="I355" s="1255">
        <v>245.2</v>
      </c>
      <c r="J355" s="1247"/>
    </row>
    <row r="356" spans="2:10" ht="14" x14ac:dyDescent="0.15">
      <c r="B356" s="1247" t="s">
        <v>111</v>
      </c>
      <c r="C356" s="1288">
        <v>56</v>
      </c>
      <c r="D356" s="1288">
        <v>8</v>
      </c>
      <c r="E356" s="1288">
        <v>1</v>
      </c>
      <c r="F356" s="1307">
        <v>2020459</v>
      </c>
      <c r="G356" s="1248"/>
      <c r="H356" s="1248">
        <v>224</v>
      </c>
      <c r="I356" s="1255">
        <v>600</v>
      </c>
      <c r="J356" s="1247"/>
    </row>
    <row r="357" spans="2:10" ht="14" x14ac:dyDescent="0.15">
      <c r="B357" s="1247" t="s">
        <v>90</v>
      </c>
      <c r="C357" s="1288">
        <v>56</v>
      </c>
      <c r="D357" s="1288">
        <v>8</v>
      </c>
      <c r="E357" s="1288">
        <v>1</v>
      </c>
      <c r="F357" s="1307">
        <v>2020459</v>
      </c>
      <c r="G357" s="1248"/>
      <c r="H357" s="1248">
        <v>225</v>
      </c>
      <c r="I357" s="1255"/>
      <c r="J357" s="1247"/>
    </row>
    <row r="358" spans="2:10" ht="14" x14ac:dyDescent="0.15">
      <c r="B358" s="1247" t="s">
        <v>91</v>
      </c>
      <c r="C358" s="1288">
        <v>56</v>
      </c>
      <c r="D358" s="1288">
        <v>8</v>
      </c>
      <c r="E358" s="1288">
        <v>1</v>
      </c>
      <c r="F358" s="1307">
        <v>2020459</v>
      </c>
      <c r="G358" s="1248"/>
      <c r="H358" s="1248">
        <v>226</v>
      </c>
      <c r="I358" s="1255">
        <v>10</v>
      </c>
      <c r="J358" s="1249">
        <v>14013.5</v>
      </c>
    </row>
    <row r="359" spans="2:10" ht="14" x14ac:dyDescent="0.15">
      <c r="B359" s="1247" t="s">
        <v>94</v>
      </c>
      <c r="C359" s="1288">
        <v>56</v>
      </c>
      <c r="D359" s="1288">
        <v>8</v>
      </c>
      <c r="E359" s="1288">
        <v>1</v>
      </c>
      <c r="F359" s="1307">
        <v>2020459</v>
      </c>
      <c r="G359" s="1248"/>
      <c r="H359" s="1248">
        <v>290</v>
      </c>
      <c r="I359" s="1255">
        <v>163.1</v>
      </c>
      <c r="J359" s="1247"/>
    </row>
    <row r="360" spans="2:10" ht="14" x14ac:dyDescent="0.15">
      <c r="B360" s="1247" t="s">
        <v>94</v>
      </c>
      <c r="C360" s="1288">
        <v>56</v>
      </c>
      <c r="D360" s="1288">
        <v>8</v>
      </c>
      <c r="E360" s="1288">
        <v>1</v>
      </c>
      <c r="F360" s="1307">
        <v>2020459</v>
      </c>
      <c r="G360" s="1248"/>
      <c r="H360" s="1248">
        <v>290</v>
      </c>
      <c r="I360" s="1255"/>
      <c r="J360" s="1247"/>
    </row>
    <row r="361" spans="2:10" ht="14" x14ac:dyDescent="0.15">
      <c r="B361" s="1247" t="s">
        <v>96</v>
      </c>
      <c r="C361" s="1288">
        <v>56</v>
      </c>
      <c r="D361" s="1288">
        <v>8</v>
      </c>
      <c r="E361" s="1288">
        <v>1</v>
      </c>
      <c r="F361" s="1307">
        <v>2020459</v>
      </c>
      <c r="G361" s="1248"/>
      <c r="H361" s="1248">
        <v>310</v>
      </c>
      <c r="I361" s="1255">
        <v>31.5</v>
      </c>
      <c r="J361" s="1247"/>
    </row>
    <row r="362" spans="2:10" ht="14" x14ac:dyDescent="0.15">
      <c r="B362" s="1247" t="s">
        <v>97</v>
      </c>
      <c r="C362" s="1288">
        <v>56</v>
      </c>
      <c r="D362" s="1288">
        <v>8</v>
      </c>
      <c r="E362" s="1288">
        <v>1</v>
      </c>
      <c r="F362" s="1307">
        <v>2020459</v>
      </c>
      <c r="G362" s="1248"/>
      <c r="H362" s="1248">
        <v>340</v>
      </c>
      <c r="I362" s="1255">
        <v>118.5</v>
      </c>
      <c r="J362" s="1247"/>
    </row>
    <row r="363" spans="2:10" ht="14" x14ac:dyDescent="0.15">
      <c r="B363" s="1243" t="s">
        <v>767</v>
      </c>
      <c r="C363" s="1288">
        <v>56</v>
      </c>
      <c r="D363" s="1288">
        <v>8</v>
      </c>
      <c r="E363" s="1288">
        <v>1</v>
      </c>
      <c r="F363" s="1307">
        <v>2020459</v>
      </c>
      <c r="G363" s="1244">
        <v>612</v>
      </c>
      <c r="H363" s="1244">
        <v>241</v>
      </c>
      <c r="I363" s="1270">
        <v>14013.5</v>
      </c>
      <c r="J363" s="1247"/>
    </row>
    <row r="364" spans="2:10" ht="14" x14ac:dyDescent="0.15">
      <c r="B364" s="1239" t="s">
        <v>1147</v>
      </c>
      <c r="C364" s="1288">
        <v>56</v>
      </c>
      <c r="D364" s="1288">
        <v>8</v>
      </c>
      <c r="E364" s="1288">
        <v>1</v>
      </c>
      <c r="F364" s="1307">
        <v>2020459</v>
      </c>
      <c r="G364" s="1312">
        <v>600</v>
      </c>
      <c r="H364" s="2162"/>
      <c r="I364" s="1308">
        <v>8317.7999999999993</v>
      </c>
      <c r="J364" s="2199">
        <v>0</v>
      </c>
    </row>
    <row r="365" spans="2:10" ht="39" x14ac:dyDescent="0.15">
      <c r="B365" s="1243" t="s">
        <v>1135</v>
      </c>
      <c r="C365" s="1288">
        <v>56</v>
      </c>
      <c r="D365" s="1288">
        <v>8</v>
      </c>
      <c r="E365" s="1288">
        <v>1</v>
      </c>
      <c r="F365" s="1307">
        <v>2020459</v>
      </c>
      <c r="G365" s="1245">
        <v>611</v>
      </c>
      <c r="H365" s="1244">
        <v>241</v>
      </c>
      <c r="I365" s="1265">
        <v>8317.7999999999993</v>
      </c>
      <c r="J365" s="1289">
        <v>0</v>
      </c>
    </row>
    <row r="366" spans="2:10" ht="14" x14ac:dyDescent="0.15">
      <c r="B366" s="1247" t="s">
        <v>124</v>
      </c>
      <c r="C366" s="1288">
        <v>56</v>
      </c>
      <c r="D366" s="1288">
        <v>8</v>
      </c>
      <c r="E366" s="1288">
        <v>1</v>
      </c>
      <c r="F366" s="1307">
        <v>2020459</v>
      </c>
      <c r="G366" s="1248"/>
      <c r="H366" s="1248">
        <v>211</v>
      </c>
      <c r="I366" s="1254">
        <v>5182.5</v>
      </c>
      <c r="J366" s="1247"/>
    </row>
    <row r="367" spans="2:10" ht="14" x14ac:dyDescent="0.15">
      <c r="B367" s="1247" t="s">
        <v>83</v>
      </c>
      <c r="C367" s="1288">
        <v>56</v>
      </c>
      <c r="D367" s="1288">
        <v>8</v>
      </c>
      <c r="E367" s="1288">
        <v>1</v>
      </c>
      <c r="F367" s="1307">
        <v>2020459</v>
      </c>
      <c r="G367" s="1248"/>
      <c r="H367" s="1248">
        <v>212</v>
      </c>
      <c r="I367" s="1255"/>
      <c r="J367" s="1247"/>
    </row>
    <row r="368" spans="2:10" ht="14" x14ac:dyDescent="0.15">
      <c r="B368" s="1247" t="s">
        <v>84</v>
      </c>
      <c r="C368" s="1288">
        <v>56</v>
      </c>
      <c r="D368" s="1288">
        <v>8</v>
      </c>
      <c r="E368" s="1288">
        <v>1</v>
      </c>
      <c r="F368" s="1307">
        <v>2020459</v>
      </c>
      <c r="G368" s="1248"/>
      <c r="H368" s="1248">
        <v>213</v>
      </c>
      <c r="I368" s="1254">
        <v>1513.7</v>
      </c>
      <c r="J368" s="1247"/>
    </row>
    <row r="369" spans="2:10" ht="14" x14ac:dyDescent="0.15">
      <c r="B369" s="1247" t="s">
        <v>85</v>
      </c>
      <c r="C369" s="1288">
        <v>56</v>
      </c>
      <c r="D369" s="1288">
        <v>8</v>
      </c>
      <c r="E369" s="1288">
        <v>1</v>
      </c>
      <c r="F369" s="1307">
        <v>2020459</v>
      </c>
      <c r="G369" s="1248"/>
      <c r="H369" s="1248">
        <v>221</v>
      </c>
      <c r="I369" s="1255">
        <v>12.4</v>
      </c>
      <c r="J369" s="1247"/>
    </row>
    <row r="370" spans="2:10" ht="14" x14ac:dyDescent="0.15">
      <c r="B370" s="1247" t="s">
        <v>86</v>
      </c>
      <c r="C370" s="1288">
        <v>56</v>
      </c>
      <c r="D370" s="1288">
        <v>8</v>
      </c>
      <c r="E370" s="1288">
        <v>1</v>
      </c>
      <c r="F370" s="1307">
        <v>2020459</v>
      </c>
      <c r="G370" s="1248"/>
      <c r="H370" s="1248">
        <v>222</v>
      </c>
      <c r="I370" s="1255"/>
      <c r="J370" s="1247"/>
    </row>
    <row r="371" spans="2:10" ht="14" x14ac:dyDescent="0.15">
      <c r="B371" s="1247" t="s">
        <v>87</v>
      </c>
      <c r="C371" s="1288">
        <v>56</v>
      </c>
      <c r="D371" s="1288">
        <v>8</v>
      </c>
      <c r="E371" s="1288">
        <v>1</v>
      </c>
      <c r="F371" s="1307">
        <v>2020459</v>
      </c>
      <c r="G371" s="1248"/>
      <c r="H371" s="1248">
        <v>223</v>
      </c>
      <c r="I371" s="1255">
        <v>245.2</v>
      </c>
      <c r="J371" s="1247"/>
    </row>
    <row r="372" spans="2:10" ht="14" x14ac:dyDescent="0.15">
      <c r="B372" s="1247" t="s">
        <v>111</v>
      </c>
      <c r="C372" s="1288">
        <v>56</v>
      </c>
      <c r="D372" s="1288">
        <v>8</v>
      </c>
      <c r="E372" s="1288">
        <v>1</v>
      </c>
      <c r="F372" s="1307">
        <v>2020459</v>
      </c>
      <c r="G372" s="1248"/>
      <c r="H372" s="1248">
        <v>224</v>
      </c>
      <c r="I372" s="1254">
        <v>1200</v>
      </c>
      <c r="J372" s="1247"/>
    </row>
    <row r="373" spans="2:10" ht="14" x14ac:dyDescent="0.15">
      <c r="B373" s="1247" t="s">
        <v>90</v>
      </c>
      <c r="C373" s="1288">
        <v>56</v>
      </c>
      <c r="D373" s="1288">
        <v>8</v>
      </c>
      <c r="E373" s="1288">
        <v>1</v>
      </c>
      <c r="F373" s="1307">
        <v>2020459</v>
      </c>
      <c r="G373" s="1248"/>
      <c r="H373" s="1248">
        <v>225</v>
      </c>
      <c r="I373" s="1255"/>
      <c r="J373" s="1247"/>
    </row>
    <row r="374" spans="2:10" ht="14" x14ac:dyDescent="0.15">
      <c r="B374" s="1247" t="s">
        <v>91</v>
      </c>
      <c r="C374" s="1288">
        <v>56</v>
      </c>
      <c r="D374" s="1288">
        <v>8</v>
      </c>
      <c r="E374" s="1288">
        <v>1</v>
      </c>
      <c r="F374" s="1307">
        <v>2020459</v>
      </c>
      <c r="G374" s="1248"/>
      <c r="H374" s="1248">
        <v>226</v>
      </c>
      <c r="I374" s="1256"/>
      <c r="J374" s="1247"/>
    </row>
    <row r="375" spans="2:10" ht="14" x14ac:dyDescent="0.15">
      <c r="B375" s="1247" t="s">
        <v>94</v>
      </c>
      <c r="C375" s="1288">
        <v>56</v>
      </c>
      <c r="D375" s="1288">
        <v>8</v>
      </c>
      <c r="E375" s="1288">
        <v>1</v>
      </c>
      <c r="F375" s="1307">
        <v>2020459</v>
      </c>
      <c r="G375" s="1248"/>
      <c r="H375" s="1248">
        <v>290</v>
      </c>
      <c r="I375" s="1255">
        <v>14</v>
      </c>
      <c r="J375" s="1247"/>
    </row>
    <row r="376" spans="2:10" ht="14" x14ac:dyDescent="0.15">
      <c r="B376" s="1247" t="s">
        <v>94</v>
      </c>
      <c r="C376" s="1288">
        <v>56</v>
      </c>
      <c r="D376" s="1288">
        <v>8</v>
      </c>
      <c r="E376" s="1288">
        <v>1</v>
      </c>
      <c r="F376" s="1307">
        <v>2020459</v>
      </c>
      <c r="G376" s="1248"/>
      <c r="H376" s="1248">
        <v>290</v>
      </c>
      <c r="I376" s="1255"/>
      <c r="J376" s="1247"/>
    </row>
    <row r="377" spans="2:10" ht="14" x14ac:dyDescent="0.15">
      <c r="B377" s="1247" t="s">
        <v>96</v>
      </c>
      <c r="C377" s="1288">
        <v>56</v>
      </c>
      <c r="D377" s="1288">
        <v>8</v>
      </c>
      <c r="E377" s="1288">
        <v>1</v>
      </c>
      <c r="F377" s="1307">
        <v>2020459</v>
      </c>
      <c r="G377" s="1248"/>
      <c r="H377" s="1248">
        <v>310</v>
      </c>
      <c r="I377" s="1255">
        <v>140</v>
      </c>
      <c r="J377" s="1247"/>
    </row>
    <row r="378" spans="2:10" ht="14" x14ac:dyDescent="0.15">
      <c r="B378" s="1247" t="s">
        <v>97</v>
      </c>
      <c r="C378" s="1288">
        <v>56</v>
      </c>
      <c r="D378" s="1288">
        <v>8</v>
      </c>
      <c r="E378" s="1288">
        <v>1</v>
      </c>
      <c r="F378" s="1307">
        <v>2020459</v>
      </c>
      <c r="G378" s="1248"/>
      <c r="H378" s="1248">
        <v>340</v>
      </c>
      <c r="I378" s="1255">
        <v>10</v>
      </c>
      <c r="J378" s="1247"/>
    </row>
    <row r="379" spans="2:10" ht="14" x14ac:dyDescent="0.15">
      <c r="B379" s="1243" t="s">
        <v>767</v>
      </c>
      <c r="C379" s="1288">
        <v>56</v>
      </c>
      <c r="D379" s="1288">
        <v>8</v>
      </c>
      <c r="E379" s="1288">
        <v>1</v>
      </c>
      <c r="F379" s="1307">
        <v>2020459</v>
      </c>
      <c r="G379" s="1244">
        <v>612</v>
      </c>
      <c r="H379" s="1244">
        <v>241</v>
      </c>
      <c r="I379" s="1252">
        <v>0</v>
      </c>
      <c r="J379" s="1247"/>
    </row>
    <row r="380" spans="2:10" ht="55" x14ac:dyDescent="0.15">
      <c r="B380" s="2180" t="s">
        <v>1360</v>
      </c>
      <c r="C380" s="1288">
        <v>56</v>
      </c>
      <c r="D380" s="1288">
        <v>8</v>
      </c>
      <c r="E380" s="1288">
        <v>1</v>
      </c>
      <c r="F380" s="1307">
        <v>2020559</v>
      </c>
      <c r="G380" s="1288"/>
      <c r="H380" s="1248"/>
      <c r="I380" s="1250"/>
      <c r="J380" s="1247"/>
    </row>
    <row r="381" spans="2:10" ht="14" x14ac:dyDescent="0.15">
      <c r="B381" s="1311" t="s">
        <v>1125</v>
      </c>
      <c r="C381" s="1288">
        <v>56</v>
      </c>
      <c r="D381" s="1288">
        <v>8</v>
      </c>
      <c r="E381" s="1288">
        <v>1</v>
      </c>
      <c r="F381" s="1307">
        <v>2020559</v>
      </c>
      <c r="G381" s="1312">
        <v>600</v>
      </c>
      <c r="H381" s="1313"/>
      <c r="I381" s="1268">
        <v>56549.599999999999</v>
      </c>
      <c r="J381" s="2178"/>
    </row>
    <row r="382" spans="2:10" ht="39" x14ac:dyDescent="0.15">
      <c r="B382" s="1243" t="s">
        <v>1135</v>
      </c>
      <c r="C382" s="1288">
        <v>56</v>
      </c>
      <c r="D382" s="1288">
        <v>8</v>
      </c>
      <c r="E382" s="1288">
        <v>1</v>
      </c>
      <c r="F382" s="1307">
        <v>2020559</v>
      </c>
      <c r="G382" s="1245">
        <v>600</v>
      </c>
      <c r="H382" s="1244">
        <v>241</v>
      </c>
      <c r="I382" s="1265">
        <v>56549.599999999999</v>
      </c>
      <c r="J382" s="1289">
        <v>0</v>
      </c>
    </row>
    <row r="383" spans="2:10" ht="14" x14ac:dyDescent="0.15">
      <c r="B383" s="1247" t="s">
        <v>78</v>
      </c>
      <c r="C383" s="1288">
        <v>56</v>
      </c>
      <c r="D383" s="1288">
        <v>8</v>
      </c>
      <c r="E383" s="1288">
        <v>1</v>
      </c>
      <c r="F383" s="1307">
        <v>2020559</v>
      </c>
      <c r="G383" s="1248"/>
      <c r="H383" s="1248">
        <v>211</v>
      </c>
      <c r="I383" s="1249">
        <v>36744.1</v>
      </c>
      <c r="J383" s="1250">
        <v>0</v>
      </c>
    </row>
    <row r="384" spans="2:10" ht="14" x14ac:dyDescent="0.15">
      <c r="B384" s="1247" t="s">
        <v>103</v>
      </c>
      <c r="C384" s="1288">
        <v>56</v>
      </c>
      <c r="D384" s="1288">
        <v>8</v>
      </c>
      <c r="E384" s="1288">
        <v>1</v>
      </c>
      <c r="F384" s="1307">
        <v>2020559</v>
      </c>
      <c r="G384" s="1248"/>
      <c r="H384" s="1248">
        <v>212</v>
      </c>
      <c r="I384" s="1250">
        <v>2</v>
      </c>
      <c r="J384" s="1250">
        <v>0</v>
      </c>
    </row>
    <row r="385" spans="2:10" ht="14" x14ac:dyDescent="0.15">
      <c r="B385" s="1247" t="s">
        <v>84</v>
      </c>
      <c r="C385" s="1288">
        <v>56</v>
      </c>
      <c r="D385" s="1288">
        <v>8</v>
      </c>
      <c r="E385" s="1288">
        <v>1</v>
      </c>
      <c r="F385" s="1307">
        <v>2020559</v>
      </c>
      <c r="G385" s="1248"/>
      <c r="H385" s="1248">
        <v>213</v>
      </c>
      <c r="I385" s="1249">
        <v>10707.4</v>
      </c>
      <c r="J385" s="1250">
        <v>0</v>
      </c>
    </row>
    <row r="386" spans="2:10" ht="14" x14ac:dyDescent="0.15">
      <c r="B386" s="1247" t="s">
        <v>85</v>
      </c>
      <c r="C386" s="1288">
        <v>56</v>
      </c>
      <c r="D386" s="1288">
        <v>8</v>
      </c>
      <c r="E386" s="1288">
        <v>1</v>
      </c>
      <c r="F386" s="1307">
        <v>2020559</v>
      </c>
      <c r="G386" s="1248"/>
      <c r="H386" s="1248">
        <v>221</v>
      </c>
      <c r="I386" s="1250">
        <v>191.2</v>
      </c>
      <c r="J386" s="1250">
        <v>0</v>
      </c>
    </row>
    <row r="387" spans="2:10" ht="14" x14ac:dyDescent="0.15">
      <c r="B387" s="1247" t="s">
        <v>86</v>
      </c>
      <c r="C387" s="1288">
        <v>56</v>
      </c>
      <c r="D387" s="1288">
        <v>8</v>
      </c>
      <c r="E387" s="1288">
        <v>1</v>
      </c>
      <c r="F387" s="1307">
        <v>2020559</v>
      </c>
      <c r="G387" s="1248"/>
      <c r="H387" s="1248">
        <v>222</v>
      </c>
      <c r="I387" s="1250">
        <v>11.2</v>
      </c>
      <c r="J387" s="1250">
        <v>0</v>
      </c>
    </row>
    <row r="388" spans="2:10" ht="14" x14ac:dyDescent="0.15">
      <c r="B388" s="1247" t="s">
        <v>87</v>
      </c>
      <c r="C388" s="1288">
        <v>56</v>
      </c>
      <c r="D388" s="1288">
        <v>8</v>
      </c>
      <c r="E388" s="1288">
        <v>1</v>
      </c>
      <c r="F388" s="1307">
        <v>2020559</v>
      </c>
      <c r="G388" s="1248"/>
      <c r="H388" s="1248">
        <v>223</v>
      </c>
      <c r="I388" s="1249">
        <v>2923.2</v>
      </c>
      <c r="J388" s="1250">
        <v>0</v>
      </c>
    </row>
    <row r="389" spans="2:10" ht="14" x14ac:dyDescent="0.15">
      <c r="B389" s="1247" t="s">
        <v>134</v>
      </c>
      <c r="C389" s="1288">
        <v>56</v>
      </c>
      <c r="D389" s="1288">
        <v>8</v>
      </c>
      <c r="E389" s="1288">
        <v>1</v>
      </c>
      <c r="F389" s="1307">
        <v>2020559</v>
      </c>
      <c r="G389" s="1248"/>
      <c r="H389" s="1248">
        <v>224</v>
      </c>
      <c r="I389" s="1250">
        <v>600</v>
      </c>
      <c r="J389" s="1250">
        <v>0</v>
      </c>
    </row>
    <row r="390" spans="2:10" ht="14" x14ac:dyDescent="0.15">
      <c r="B390" s="1247" t="s">
        <v>90</v>
      </c>
      <c r="C390" s="1288">
        <v>56</v>
      </c>
      <c r="D390" s="1288">
        <v>8</v>
      </c>
      <c r="E390" s="1288">
        <v>1</v>
      </c>
      <c r="F390" s="1307">
        <v>2020559</v>
      </c>
      <c r="G390" s="1248"/>
      <c r="H390" s="1248">
        <v>225</v>
      </c>
      <c r="I390" s="1250">
        <v>70.400000000000006</v>
      </c>
      <c r="J390" s="1250">
        <v>0</v>
      </c>
    </row>
    <row r="391" spans="2:10" ht="14" x14ac:dyDescent="0.15">
      <c r="B391" s="1247" t="s">
        <v>91</v>
      </c>
      <c r="C391" s="1288">
        <v>56</v>
      </c>
      <c r="D391" s="1288">
        <v>8</v>
      </c>
      <c r="E391" s="1288">
        <v>1</v>
      </c>
      <c r="F391" s="1307">
        <v>2020559</v>
      </c>
      <c r="G391" s="1248"/>
      <c r="H391" s="1248">
        <v>226</v>
      </c>
      <c r="I391" s="1249">
        <v>1726.4</v>
      </c>
      <c r="J391" s="1250">
        <v>0</v>
      </c>
    </row>
    <row r="392" spans="2:10" ht="14" x14ac:dyDescent="0.15">
      <c r="B392" s="1247" t="s">
        <v>94</v>
      </c>
      <c r="C392" s="1288">
        <v>56</v>
      </c>
      <c r="D392" s="1288">
        <v>8</v>
      </c>
      <c r="E392" s="1288">
        <v>1</v>
      </c>
      <c r="F392" s="1307">
        <v>2020559</v>
      </c>
      <c r="G392" s="1248"/>
      <c r="H392" s="1248">
        <v>290</v>
      </c>
      <c r="I392" s="1249">
        <v>2137</v>
      </c>
      <c r="J392" s="1250">
        <v>0</v>
      </c>
    </row>
    <row r="393" spans="2:10" ht="14" x14ac:dyDescent="0.15">
      <c r="B393" s="1247" t="s">
        <v>94</v>
      </c>
      <c r="C393" s="1288">
        <v>56</v>
      </c>
      <c r="D393" s="1288">
        <v>8</v>
      </c>
      <c r="E393" s="1288">
        <v>1</v>
      </c>
      <c r="F393" s="1307">
        <v>2020559</v>
      </c>
      <c r="G393" s="1248"/>
      <c r="H393" s="1248">
        <v>290</v>
      </c>
      <c r="I393" s="1250">
        <v>0</v>
      </c>
      <c r="J393" s="1250">
        <v>0</v>
      </c>
    </row>
    <row r="394" spans="2:10" ht="14" x14ac:dyDescent="0.15">
      <c r="B394" s="1247" t="s">
        <v>96</v>
      </c>
      <c r="C394" s="1288">
        <v>56</v>
      </c>
      <c r="D394" s="1288">
        <v>8</v>
      </c>
      <c r="E394" s="1288">
        <v>1</v>
      </c>
      <c r="F394" s="1307">
        <v>2020559</v>
      </c>
      <c r="G394" s="1248"/>
      <c r="H394" s="1248">
        <v>310</v>
      </c>
      <c r="I394" s="1249">
        <v>1228.5</v>
      </c>
      <c r="J394" s="1250">
        <v>0</v>
      </c>
    </row>
    <row r="395" spans="2:10" ht="14" x14ac:dyDescent="0.15">
      <c r="B395" s="1247" t="s">
        <v>97</v>
      </c>
      <c r="C395" s="1288">
        <v>56</v>
      </c>
      <c r="D395" s="1288">
        <v>8</v>
      </c>
      <c r="E395" s="1288">
        <v>1</v>
      </c>
      <c r="F395" s="1307">
        <v>2020559</v>
      </c>
      <c r="G395" s="1248"/>
      <c r="H395" s="1248">
        <v>340</v>
      </c>
      <c r="I395" s="1250">
        <v>208.2</v>
      </c>
      <c r="J395" s="1250">
        <v>0</v>
      </c>
    </row>
    <row r="396" spans="2:10" ht="14" x14ac:dyDescent="0.15">
      <c r="B396" s="1243" t="s">
        <v>767</v>
      </c>
      <c r="C396" s="1288">
        <v>56</v>
      </c>
      <c r="D396" s="1288">
        <v>8</v>
      </c>
      <c r="E396" s="1288">
        <v>1</v>
      </c>
      <c r="F396" s="1307">
        <v>2020559</v>
      </c>
      <c r="G396" s="1244">
        <v>612</v>
      </c>
      <c r="H396" s="1244">
        <v>241</v>
      </c>
      <c r="I396" s="1252">
        <v>0</v>
      </c>
      <c r="J396" s="1247"/>
    </row>
    <row r="397" spans="2:10" ht="26" x14ac:dyDescent="0.15">
      <c r="B397" s="1239" t="s">
        <v>1148</v>
      </c>
      <c r="C397" s="1288">
        <v>56</v>
      </c>
      <c r="D397" s="1288">
        <v>8</v>
      </c>
      <c r="E397" s="1288">
        <v>1</v>
      </c>
      <c r="F397" s="1307">
        <v>2020559</v>
      </c>
      <c r="G397" s="1312">
        <v>600</v>
      </c>
      <c r="H397" s="2162"/>
      <c r="I397" s="1308">
        <v>37241.300000000003</v>
      </c>
      <c r="J397" s="2199">
        <v>0</v>
      </c>
    </row>
    <row r="398" spans="2:10" ht="39" x14ac:dyDescent="0.15">
      <c r="B398" s="1243" t="s">
        <v>1135</v>
      </c>
      <c r="C398" s="1288">
        <v>56</v>
      </c>
      <c r="D398" s="1288">
        <v>8</v>
      </c>
      <c r="E398" s="1288">
        <v>1</v>
      </c>
      <c r="F398" s="1307">
        <v>2020559</v>
      </c>
      <c r="G398" s="1245">
        <v>600</v>
      </c>
      <c r="H398" s="1244">
        <v>241</v>
      </c>
      <c r="I398" s="1265">
        <v>37241.300000000003</v>
      </c>
      <c r="J398" s="1289">
        <v>0</v>
      </c>
    </row>
    <row r="399" spans="2:10" ht="14" x14ac:dyDescent="0.15">
      <c r="B399" s="1247" t="s">
        <v>78</v>
      </c>
      <c r="C399" s="1288">
        <v>56</v>
      </c>
      <c r="D399" s="1288">
        <v>8</v>
      </c>
      <c r="E399" s="1288">
        <v>1</v>
      </c>
      <c r="F399" s="1307">
        <v>2020559</v>
      </c>
      <c r="G399" s="1248"/>
      <c r="H399" s="1248">
        <v>211</v>
      </c>
      <c r="I399" s="1254">
        <v>23236.799999999999</v>
      </c>
      <c r="J399" s="1247"/>
    </row>
    <row r="400" spans="2:10" ht="14" x14ac:dyDescent="0.15">
      <c r="B400" s="1247" t="s">
        <v>103</v>
      </c>
      <c r="C400" s="1288">
        <v>56</v>
      </c>
      <c r="D400" s="1288">
        <v>8</v>
      </c>
      <c r="E400" s="1288">
        <v>1</v>
      </c>
      <c r="F400" s="1307">
        <v>2020559</v>
      </c>
      <c r="G400" s="1248"/>
      <c r="H400" s="1248">
        <v>212</v>
      </c>
      <c r="I400" s="1255"/>
      <c r="J400" s="1247"/>
    </row>
    <row r="401" spans="2:10" ht="14" x14ac:dyDescent="0.15">
      <c r="B401" s="1247" t="s">
        <v>84</v>
      </c>
      <c r="C401" s="1288">
        <v>56</v>
      </c>
      <c r="D401" s="1288">
        <v>8</v>
      </c>
      <c r="E401" s="1288">
        <v>1</v>
      </c>
      <c r="F401" s="1307">
        <v>2020559</v>
      </c>
      <c r="G401" s="1248"/>
      <c r="H401" s="1248">
        <v>213</v>
      </c>
      <c r="I401" s="1254">
        <v>6771.2</v>
      </c>
      <c r="J401" s="1247"/>
    </row>
    <row r="402" spans="2:10" ht="14" x14ac:dyDescent="0.15">
      <c r="B402" s="1247" t="s">
        <v>85</v>
      </c>
      <c r="C402" s="1288">
        <v>56</v>
      </c>
      <c r="D402" s="1288">
        <v>8</v>
      </c>
      <c r="E402" s="1288">
        <v>1</v>
      </c>
      <c r="F402" s="1307">
        <v>2020559</v>
      </c>
      <c r="G402" s="1248"/>
      <c r="H402" s="1248">
        <v>221</v>
      </c>
      <c r="I402" s="1255">
        <v>123.6</v>
      </c>
      <c r="J402" s="1247"/>
    </row>
    <row r="403" spans="2:10" ht="14" x14ac:dyDescent="0.15">
      <c r="B403" s="1247" t="s">
        <v>86</v>
      </c>
      <c r="C403" s="1288">
        <v>56</v>
      </c>
      <c r="D403" s="1288">
        <v>8</v>
      </c>
      <c r="E403" s="1288">
        <v>1</v>
      </c>
      <c r="F403" s="1307">
        <v>2020559</v>
      </c>
      <c r="G403" s="1248"/>
      <c r="H403" s="1248">
        <v>222</v>
      </c>
      <c r="I403" s="1255"/>
      <c r="J403" s="1247"/>
    </row>
    <row r="404" spans="2:10" ht="14" x14ac:dyDescent="0.15">
      <c r="B404" s="1247" t="s">
        <v>87</v>
      </c>
      <c r="C404" s="1288">
        <v>56</v>
      </c>
      <c r="D404" s="1288">
        <v>8</v>
      </c>
      <c r="E404" s="1288">
        <v>1</v>
      </c>
      <c r="F404" s="1307">
        <v>2020559</v>
      </c>
      <c r="G404" s="1248"/>
      <c r="H404" s="1248">
        <v>223</v>
      </c>
      <c r="I404" s="1254">
        <v>2473.5</v>
      </c>
      <c r="J404" s="1247"/>
    </row>
    <row r="405" spans="2:10" ht="14" x14ac:dyDescent="0.15">
      <c r="B405" s="1247" t="s">
        <v>134</v>
      </c>
      <c r="C405" s="1288">
        <v>56</v>
      </c>
      <c r="D405" s="1288">
        <v>8</v>
      </c>
      <c r="E405" s="1288">
        <v>1</v>
      </c>
      <c r="F405" s="1307">
        <v>2020559</v>
      </c>
      <c r="G405" s="1248"/>
      <c r="H405" s="1248">
        <v>224</v>
      </c>
      <c r="I405" s="1255"/>
      <c r="J405" s="1247"/>
    </row>
    <row r="406" spans="2:10" ht="14" x14ac:dyDescent="0.15">
      <c r="B406" s="1247" t="s">
        <v>90</v>
      </c>
      <c r="C406" s="1288">
        <v>56</v>
      </c>
      <c r="D406" s="1288">
        <v>8</v>
      </c>
      <c r="E406" s="1288">
        <v>1</v>
      </c>
      <c r="F406" s="1307">
        <v>2020559</v>
      </c>
      <c r="G406" s="1248"/>
      <c r="H406" s="1248">
        <v>225</v>
      </c>
      <c r="I406" s="1255">
        <v>21.2</v>
      </c>
      <c r="J406" s="1247"/>
    </row>
    <row r="407" spans="2:10" ht="14" x14ac:dyDescent="0.15">
      <c r="B407" s="1247" t="s">
        <v>91</v>
      </c>
      <c r="C407" s="1288">
        <v>56</v>
      </c>
      <c r="D407" s="1288">
        <v>8</v>
      </c>
      <c r="E407" s="1288">
        <v>1</v>
      </c>
      <c r="F407" s="1307">
        <v>2020559</v>
      </c>
      <c r="G407" s="1248"/>
      <c r="H407" s="1248">
        <v>226</v>
      </c>
      <c r="I407" s="1254">
        <v>1406</v>
      </c>
      <c r="J407" s="1247"/>
    </row>
    <row r="408" spans="2:10" ht="14" x14ac:dyDescent="0.15">
      <c r="B408" s="1247" t="s">
        <v>94</v>
      </c>
      <c r="C408" s="1288">
        <v>56</v>
      </c>
      <c r="D408" s="1288">
        <v>8</v>
      </c>
      <c r="E408" s="1288">
        <v>1</v>
      </c>
      <c r="F408" s="1307">
        <v>2020559</v>
      </c>
      <c r="G408" s="1248"/>
      <c r="H408" s="1248">
        <v>290</v>
      </c>
      <c r="I408" s="1254">
        <v>1951</v>
      </c>
      <c r="J408" s="1247"/>
    </row>
    <row r="409" spans="2:10" ht="14" x14ac:dyDescent="0.15">
      <c r="B409" s="1247" t="s">
        <v>94</v>
      </c>
      <c r="C409" s="1288">
        <v>56</v>
      </c>
      <c r="D409" s="1288">
        <v>8</v>
      </c>
      <c r="E409" s="1288">
        <v>1</v>
      </c>
      <c r="F409" s="1307">
        <v>2020559</v>
      </c>
      <c r="G409" s="1248"/>
      <c r="H409" s="1248">
        <v>290</v>
      </c>
      <c r="I409" s="1255"/>
      <c r="J409" s="1247"/>
    </row>
    <row r="410" spans="2:10" ht="14" x14ac:dyDescent="0.15">
      <c r="B410" s="1247" t="s">
        <v>96</v>
      </c>
      <c r="C410" s="1288">
        <v>56</v>
      </c>
      <c r="D410" s="1288">
        <v>8</v>
      </c>
      <c r="E410" s="1288">
        <v>1</v>
      </c>
      <c r="F410" s="1307">
        <v>2020559</v>
      </c>
      <c r="G410" s="1248"/>
      <c r="H410" s="1248">
        <v>310</v>
      </c>
      <c r="I410" s="1254">
        <v>1108</v>
      </c>
      <c r="J410" s="1247"/>
    </row>
    <row r="411" spans="2:10" ht="14" x14ac:dyDescent="0.15">
      <c r="B411" s="1247" t="s">
        <v>97</v>
      </c>
      <c r="C411" s="1288">
        <v>56</v>
      </c>
      <c r="D411" s="1288">
        <v>8</v>
      </c>
      <c r="E411" s="1288">
        <v>1</v>
      </c>
      <c r="F411" s="1307">
        <v>2020559</v>
      </c>
      <c r="G411" s="1248"/>
      <c r="H411" s="1248">
        <v>340</v>
      </c>
      <c r="I411" s="1255">
        <v>150</v>
      </c>
      <c r="J411" s="1247"/>
    </row>
    <row r="412" spans="2:10" ht="14" x14ac:dyDescent="0.15">
      <c r="B412" s="1243" t="s">
        <v>767</v>
      </c>
      <c r="C412" s="1288">
        <v>56</v>
      </c>
      <c r="D412" s="1288">
        <v>8</v>
      </c>
      <c r="E412" s="1288">
        <v>1</v>
      </c>
      <c r="F412" s="1307">
        <v>2020559</v>
      </c>
      <c r="G412" s="1244">
        <v>612</v>
      </c>
      <c r="H412" s="1244">
        <v>241</v>
      </c>
      <c r="I412" s="1252">
        <v>0</v>
      </c>
      <c r="J412" s="1247"/>
    </row>
    <row r="413" spans="2:10" ht="26" x14ac:dyDescent="0.15">
      <c r="B413" s="1239" t="s">
        <v>1149</v>
      </c>
      <c r="C413" s="1288">
        <v>56</v>
      </c>
      <c r="D413" s="1288">
        <v>8</v>
      </c>
      <c r="E413" s="1288">
        <v>1</v>
      </c>
      <c r="F413" s="1307">
        <v>2020559</v>
      </c>
      <c r="G413" s="1312">
        <v>600</v>
      </c>
      <c r="H413" s="2162"/>
      <c r="I413" s="1308">
        <v>8550.6</v>
      </c>
      <c r="J413" s="2199">
        <v>0</v>
      </c>
    </row>
    <row r="414" spans="2:10" ht="39" x14ac:dyDescent="0.15">
      <c r="B414" s="1243" t="s">
        <v>1135</v>
      </c>
      <c r="C414" s="1288">
        <v>56</v>
      </c>
      <c r="D414" s="1288">
        <v>8</v>
      </c>
      <c r="E414" s="1288">
        <v>1</v>
      </c>
      <c r="F414" s="1307">
        <v>2020559</v>
      </c>
      <c r="G414" s="1245">
        <v>600</v>
      </c>
      <c r="H414" s="1244">
        <v>241</v>
      </c>
      <c r="I414" s="1265">
        <v>8550.6</v>
      </c>
      <c r="J414" s="1289">
        <v>0</v>
      </c>
    </row>
    <row r="415" spans="2:10" ht="14" x14ac:dyDescent="0.15">
      <c r="B415" s="1247" t="s">
        <v>78</v>
      </c>
      <c r="C415" s="1288">
        <v>56</v>
      </c>
      <c r="D415" s="1288">
        <v>8</v>
      </c>
      <c r="E415" s="1288">
        <v>1</v>
      </c>
      <c r="F415" s="1307">
        <v>2020559</v>
      </c>
      <c r="G415" s="1248"/>
      <c r="H415" s="1248">
        <v>211</v>
      </c>
      <c r="I415" s="1254">
        <v>6124.9</v>
      </c>
      <c r="J415" s="1247"/>
    </row>
    <row r="416" spans="2:10" ht="14" x14ac:dyDescent="0.15">
      <c r="B416" s="1247" t="s">
        <v>103</v>
      </c>
      <c r="C416" s="1288">
        <v>56</v>
      </c>
      <c r="D416" s="1288">
        <v>8</v>
      </c>
      <c r="E416" s="1288">
        <v>1</v>
      </c>
      <c r="F416" s="1307">
        <v>2020559</v>
      </c>
      <c r="G416" s="1248"/>
      <c r="H416" s="1248">
        <v>212</v>
      </c>
      <c r="I416" s="1255"/>
      <c r="J416" s="1247"/>
    </row>
    <row r="417" spans="2:10" ht="14" x14ac:dyDescent="0.15">
      <c r="B417" s="1247" t="s">
        <v>84</v>
      </c>
      <c r="C417" s="1288">
        <v>56</v>
      </c>
      <c r="D417" s="1288">
        <v>8</v>
      </c>
      <c r="E417" s="1288">
        <v>1</v>
      </c>
      <c r="F417" s="1307">
        <v>2020559</v>
      </c>
      <c r="G417" s="1248"/>
      <c r="H417" s="1248">
        <v>213</v>
      </c>
      <c r="I417" s="1254">
        <v>1784.8</v>
      </c>
      <c r="J417" s="1247"/>
    </row>
    <row r="418" spans="2:10" ht="14" x14ac:dyDescent="0.15">
      <c r="B418" s="1247" t="s">
        <v>85</v>
      </c>
      <c r="C418" s="1288">
        <v>56</v>
      </c>
      <c r="D418" s="1288">
        <v>8</v>
      </c>
      <c r="E418" s="1288">
        <v>1</v>
      </c>
      <c r="F418" s="1307">
        <v>2020559</v>
      </c>
      <c r="G418" s="1248"/>
      <c r="H418" s="1248">
        <v>221</v>
      </c>
      <c r="I418" s="1255">
        <v>43.9</v>
      </c>
      <c r="J418" s="1247"/>
    </row>
    <row r="419" spans="2:10" ht="14" x14ac:dyDescent="0.15">
      <c r="B419" s="1247" t="s">
        <v>86</v>
      </c>
      <c r="C419" s="1288">
        <v>56</v>
      </c>
      <c r="D419" s="1288">
        <v>8</v>
      </c>
      <c r="E419" s="1288">
        <v>1</v>
      </c>
      <c r="F419" s="1307">
        <v>2020559</v>
      </c>
      <c r="G419" s="1248"/>
      <c r="H419" s="1248">
        <v>222</v>
      </c>
      <c r="I419" s="1255"/>
      <c r="J419" s="1247"/>
    </row>
    <row r="420" spans="2:10" ht="14" x14ac:dyDescent="0.15">
      <c r="B420" s="1247" t="s">
        <v>87</v>
      </c>
      <c r="C420" s="1288">
        <v>56</v>
      </c>
      <c r="D420" s="1288">
        <v>8</v>
      </c>
      <c r="E420" s="1288">
        <v>1</v>
      </c>
      <c r="F420" s="1307">
        <v>2020559</v>
      </c>
      <c r="G420" s="1248"/>
      <c r="H420" s="1248">
        <v>223</v>
      </c>
      <c r="I420" s="1255">
        <v>259.8</v>
      </c>
      <c r="J420" s="1247"/>
    </row>
    <row r="421" spans="2:10" ht="14" x14ac:dyDescent="0.15">
      <c r="B421" s="1247" t="s">
        <v>134</v>
      </c>
      <c r="C421" s="1288">
        <v>56</v>
      </c>
      <c r="D421" s="1288">
        <v>8</v>
      </c>
      <c r="E421" s="1288">
        <v>1</v>
      </c>
      <c r="F421" s="1307">
        <v>2020559</v>
      </c>
      <c r="G421" s="1248"/>
      <c r="H421" s="1248">
        <v>224</v>
      </c>
      <c r="I421" s="1255"/>
      <c r="J421" s="1247"/>
    </row>
    <row r="422" spans="2:10" ht="14" x14ac:dyDescent="0.15">
      <c r="B422" s="1247" t="s">
        <v>90</v>
      </c>
      <c r="C422" s="1288">
        <v>56</v>
      </c>
      <c r="D422" s="1288">
        <v>8</v>
      </c>
      <c r="E422" s="1288">
        <v>1</v>
      </c>
      <c r="F422" s="1307">
        <v>2020559</v>
      </c>
      <c r="G422" s="1248"/>
      <c r="H422" s="1248">
        <v>225</v>
      </c>
      <c r="I422" s="1255">
        <v>10.6</v>
      </c>
      <c r="J422" s="1247"/>
    </row>
    <row r="423" spans="2:10" ht="14" x14ac:dyDescent="0.15">
      <c r="B423" s="1247" t="s">
        <v>91</v>
      </c>
      <c r="C423" s="1288">
        <v>56</v>
      </c>
      <c r="D423" s="1288">
        <v>8</v>
      </c>
      <c r="E423" s="1288">
        <v>1</v>
      </c>
      <c r="F423" s="1307">
        <v>2020559</v>
      </c>
      <c r="G423" s="1248"/>
      <c r="H423" s="1248">
        <v>226</v>
      </c>
      <c r="I423" s="1255">
        <v>148</v>
      </c>
      <c r="J423" s="1247"/>
    </row>
    <row r="424" spans="2:10" ht="14" x14ac:dyDescent="0.15">
      <c r="B424" s="1247" t="s">
        <v>94</v>
      </c>
      <c r="C424" s="1288">
        <v>56</v>
      </c>
      <c r="D424" s="1288">
        <v>8</v>
      </c>
      <c r="E424" s="1288">
        <v>1</v>
      </c>
      <c r="F424" s="1307">
        <v>2020559</v>
      </c>
      <c r="G424" s="1248"/>
      <c r="H424" s="1248">
        <v>290</v>
      </c>
      <c r="I424" s="1255">
        <v>146.6</v>
      </c>
      <c r="J424" s="1247"/>
    </row>
    <row r="425" spans="2:10" ht="14" x14ac:dyDescent="0.15">
      <c r="B425" s="1247" t="s">
        <v>94</v>
      </c>
      <c r="C425" s="1288">
        <v>56</v>
      </c>
      <c r="D425" s="1288">
        <v>8</v>
      </c>
      <c r="E425" s="1288">
        <v>1</v>
      </c>
      <c r="F425" s="1307">
        <v>2020559</v>
      </c>
      <c r="G425" s="1248"/>
      <c r="H425" s="1248">
        <v>290</v>
      </c>
      <c r="I425" s="1255"/>
      <c r="J425" s="1247"/>
    </row>
    <row r="426" spans="2:10" ht="14" x14ac:dyDescent="0.15">
      <c r="B426" s="1247" t="s">
        <v>96</v>
      </c>
      <c r="C426" s="1288">
        <v>56</v>
      </c>
      <c r="D426" s="1288">
        <v>8</v>
      </c>
      <c r="E426" s="1288">
        <v>1</v>
      </c>
      <c r="F426" s="1307">
        <v>2020559</v>
      </c>
      <c r="G426" s="1248"/>
      <c r="H426" s="1248">
        <v>310</v>
      </c>
      <c r="I426" s="1255">
        <v>20</v>
      </c>
      <c r="J426" s="1247"/>
    </row>
    <row r="427" spans="2:10" ht="14" x14ac:dyDescent="0.15">
      <c r="B427" s="1247" t="s">
        <v>97</v>
      </c>
      <c r="C427" s="1288">
        <v>56</v>
      </c>
      <c r="D427" s="1288">
        <v>8</v>
      </c>
      <c r="E427" s="1288">
        <v>1</v>
      </c>
      <c r="F427" s="1307">
        <v>2020559</v>
      </c>
      <c r="G427" s="1248"/>
      <c r="H427" s="1248">
        <v>340</v>
      </c>
      <c r="I427" s="1255">
        <v>12</v>
      </c>
      <c r="J427" s="1247"/>
    </row>
    <row r="428" spans="2:10" ht="14" x14ac:dyDescent="0.15">
      <c r="B428" s="1243" t="s">
        <v>767</v>
      </c>
      <c r="C428" s="1288">
        <v>56</v>
      </c>
      <c r="D428" s="1288">
        <v>8</v>
      </c>
      <c r="E428" s="1288">
        <v>1</v>
      </c>
      <c r="F428" s="1307">
        <v>2020559</v>
      </c>
      <c r="G428" s="1244">
        <v>612</v>
      </c>
      <c r="H428" s="1244">
        <v>241</v>
      </c>
      <c r="I428" s="1252">
        <v>0</v>
      </c>
      <c r="J428" s="1247"/>
    </row>
    <row r="429" spans="2:10" ht="26" x14ac:dyDescent="0.15">
      <c r="B429" s="1239" t="s">
        <v>1150</v>
      </c>
      <c r="C429" s="1288">
        <v>56</v>
      </c>
      <c r="D429" s="1288">
        <v>8</v>
      </c>
      <c r="E429" s="1288">
        <v>1</v>
      </c>
      <c r="F429" s="1307">
        <v>2020559</v>
      </c>
      <c r="G429" s="1312">
        <v>600</v>
      </c>
      <c r="H429" s="2162"/>
      <c r="I429" s="1308">
        <v>7648.9</v>
      </c>
      <c r="J429" s="1308">
        <v>7626.3</v>
      </c>
    </row>
    <row r="430" spans="2:10" ht="39" x14ac:dyDescent="0.15">
      <c r="B430" s="1243" t="s">
        <v>1135</v>
      </c>
      <c r="C430" s="1288">
        <v>56</v>
      </c>
      <c r="D430" s="1288">
        <v>8</v>
      </c>
      <c r="E430" s="1288">
        <v>1</v>
      </c>
      <c r="F430" s="1307">
        <v>2020559</v>
      </c>
      <c r="G430" s="1245">
        <v>600</v>
      </c>
      <c r="H430" s="1244">
        <v>241</v>
      </c>
      <c r="I430" s="1265">
        <v>7648.9</v>
      </c>
      <c r="J430" s="1289">
        <v>0</v>
      </c>
    </row>
    <row r="431" spans="2:10" ht="14" x14ac:dyDescent="0.15">
      <c r="B431" s="1247" t="s">
        <v>78</v>
      </c>
      <c r="C431" s="1288">
        <v>56</v>
      </c>
      <c r="D431" s="1288">
        <v>8</v>
      </c>
      <c r="E431" s="1288">
        <v>1</v>
      </c>
      <c r="F431" s="1307">
        <v>2020559</v>
      </c>
      <c r="G431" s="1248"/>
      <c r="H431" s="1248">
        <v>211</v>
      </c>
      <c r="I431" s="1254">
        <v>5180.5</v>
      </c>
      <c r="J431" s="1247"/>
    </row>
    <row r="432" spans="2:10" ht="14" x14ac:dyDescent="0.15">
      <c r="B432" s="1247" t="s">
        <v>103</v>
      </c>
      <c r="C432" s="1288">
        <v>56</v>
      </c>
      <c r="D432" s="1288">
        <v>8</v>
      </c>
      <c r="E432" s="1288">
        <v>1</v>
      </c>
      <c r="F432" s="1307">
        <v>2020559</v>
      </c>
      <c r="G432" s="1248"/>
      <c r="H432" s="1248">
        <v>212</v>
      </c>
      <c r="I432" s="1255"/>
      <c r="J432" s="1247"/>
    </row>
    <row r="433" spans="2:10" ht="14" x14ac:dyDescent="0.15">
      <c r="B433" s="1247" t="s">
        <v>84</v>
      </c>
      <c r="C433" s="1288">
        <v>56</v>
      </c>
      <c r="D433" s="1288">
        <v>8</v>
      </c>
      <c r="E433" s="1288">
        <v>1</v>
      </c>
      <c r="F433" s="1307">
        <v>2020559</v>
      </c>
      <c r="G433" s="1248"/>
      <c r="H433" s="1248">
        <v>213</v>
      </c>
      <c r="I433" s="1254">
        <v>1509.7</v>
      </c>
      <c r="J433" s="1247"/>
    </row>
    <row r="434" spans="2:10" ht="14" x14ac:dyDescent="0.15">
      <c r="B434" s="1247" t="s">
        <v>85</v>
      </c>
      <c r="C434" s="1288">
        <v>56</v>
      </c>
      <c r="D434" s="1288">
        <v>8</v>
      </c>
      <c r="E434" s="1288">
        <v>1</v>
      </c>
      <c r="F434" s="1307">
        <v>2020559</v>
      </c>
      <c r="G434" s="1248"/>
      <c r="H434" s="1248">
        <v>221</v>
      </c>
      <c r="I434" s="1255">
        <v>13.4</v>
      </c>
      <c r="J434" s="1247"/>
    </row>
    <row r="435" spans="2:10" ht="14" x14ac:dyDescent="0.15">
      <c r="B435" s="1247" t="s">
        <v>86</v>
      </c>
      <c r="C435" s="1288">
        <v>56</v>
      </c>
      <c r="D435" s="1288">
        <v>8</v>
      </c>
      <c r="E435" s="1288">
        <v>1</v>
      </c>
      <c r="F435" s="1307">
        <v>2020559</v>
      </c>
      <c r="G435" s="1248"/>
      <c r="H435" s="1248">
        <v>222</v>
      </c>
      <c r="I435" s="1255"/>
      <c r="J435" s="1247"/>
    </row>
    <row r="436" spans="2:10" ht="14" x14ac:dyDescent="0.15">
      <c r="B436" s="1247" t="s">
        <v>87</v>
      </c>
      <c r="C436" s="1288">
        <v>56</v>
      </c>
      <c r="D436" s="1288">
        <v>8</v>
      </c>
      <c r="E436" s="1288">
        <v>1</v>
      </c>
      <c r="F436" s="1307">
        <v>2020559</v>
      </c>
      <c r="G436" s="1248"/>
      <c r="H436" s="1248">
        <v>223</v>
      </c>
      <c r="I436" s="1255">
        <v>127.7</v>
      </c>
      <c r="J436" s="1247"/>
    </row>
    <row r="437" spans="2:10" ht="14" x14ac:dyDescent="0.15">
      <c r="B437" s="1247" t="s">
        <v>134</v>
      </c>
      <c r="C437" s="1288">
        <v>56</v>
      </c>
      <c r="D437" s="1288">
        <v>8</v>
      </c>
      <c r="E437" s="1288">
        <v>1</v>
      </c>
      <c r="F437" s="1307">
        <v>2020559</v>
      </c>
      <c r="G437" s="1248"/>
      <c r="H437" s="1248">
        <v>224</v>
      </c>
      <c r="I437" s="1255">
        <v>600</v>
      </c>
      <c r="J437" s="1247"/>
    </row>
    <row r="438" spans="2:10" ht="14" x14ac:dyDescent="0.15">
      <c r="B438" s="1247" t="s">
        <v>90</v>
      </c>
      <c r="C438" s="1288">
        <v>56</v>
      </c>
      <c r="D438" s="1288">
        <v>8</v>
      </c>
      <c r="E438" s="1288">
        <v>1</v>
      </c>
      <c r="F438" s="1307">
        <v>2020559</v>
      </c>
      <c r="G438" s="1248"/>
      <c r="H438" s="1248">
        <v>225</v>
      </c>
      <c r="I438" s="1255">
        <v>10</v>
      </c>
      <c r="J438" s="1247"/>
    </row>
    <row r="439" spans="2:10" ht="14" x14ac:dyDescent="0.15">
      <c r="B439" s="1247" t="s">
        <v>91</v>
      </c>
      <c r="C439" s="1288">
        <v>56</v>
      </c>
      <c r="D439" s="1288">
        <v>8</v>
      </c>
      <c r="E439" s="1288">
        <v>1</v>
      </c>
      <c r="F439" s="1307">
        <v>2020559</v>
      </c>
      <c r="G439" s="1248"/>
      <c r="H439" s="1248">
        <v>226</v>
      </c>
      <c r="I439" s="1255">
        <v>125</v>
      </c>
      <c r="J439" s="1247"/>
    </row>
    <row r="440" spans="2:10" ht="14" x14ac:dyDescent="0.15">
      <c r="B440" s="1247" t="s">
        <v>94</v>
      </c>
      <c r="C440" s="1288">
        <v>56</v>
      </c>
      <c r="D440" s="1288">
        <v>8</v>
      </c>
      <c r="E440" s="1288">
        <v>1</v>
      </c>
      <c r="F440" s="1307">
        <v>2020559</v>
      </c>
      <c r="G440" s="1248"/>
      <c r="H440" s="1248">
        <v>290</v>
      </c>
      <c r="I440" s="1255">
        <v>22.6</v>
      </c>
      <c r="J440" s="1247"/>
    </row>
    <row r="441" spans="2:10" ht="14" x14ac:dyDescent="0.15">
      <c r="B441" s="1247" t="s">
        <v>94</v>
      </c>
      <c r="C441" s="1288">
        <v>56</v>
      </c>
      <c r="D441" s="1288">
        <v>8</v>
      </c>
      <c r="E441" s="1288">
        <v>1</v>
      </c>
      <c r="F441" s="1307">
        <v>2020559</v>
      </c>
      <c r="G441" s="1248"/>
      <c r="H441" s="1248">
        <v>290</v>
      </c>
      <c r="I441" s="1255"/>
      <c r="J441" s="1247"/>
    </row>
    <row r="442" spans="2:10" ht="14" x14ac:dyDescent="0.15">
      <c r="B442" s="1247" t="s">
        <v>96</v>
      </c>
      <c r="C442" s="1288">
        <v>56</v>
      </c>
      <c r="D442" s="1288">
        <v>8</v>
      </c>
      <c r="E442" s="1288">
        <v>1</v>
      </c>
      <c r="F442" s="1307">
        <v>2020559</v>
      </c>
      <c r="G442" s="1248"/>
      <c r="H442" s="1248">
        <v>310</v>
      </c>
      <c r="I442" s="1255">
        <v>40</v>
      </c>
      <c r="J442" s="1247"/>
    </row>
    <row r="443" spans="2:10" ht="14" x14ac:dyDescent="0.15">
      <c r="B443" s="1247" t="s">
        <v>97</v>
      </c>
      <c r="C443" s="1288">
        <v>56</v>
      </c>
      <c r="D443" s="1288">
        <v>8</v>
      </c>
      <c r="E443" s="1288">
        <v>1</v>
      </c>
      <c r="F443" s="1307">
        <v>2020559</v>
      </c>
      <c r="G443" s="1248"/>
      <c r="H443" s="1248">
        <v>340</v>
      </c>
      <c r="I443" s="1255">
        <v>20</v>
      </c>
      <c r="J443" s="1247"/>
    </row>
    <row r="444" spans="2:10" ht="14" x14ac:dyDescent="0.15">
      <c r="B444" s="1243" t="s">
        <v>767</v>
      </c>
      <c r="C444" s="1288">
        <v>56</v>
      </c>
      <c r="D444" s="1288">
        <v>8</v>
      </c>
      <c r="E444" s="1288">
        <v>1</v>
      </c>
      <c r="F444" s="1307">
        <v>2020559</v>
      </c>
      <c r="G444" s="1244">
        <v>612</v>
      </c>
      <c r="H444" s="1244">
        <v>241</v>
      </c>
      <c r="I444" s="1252">
        <v>0</v>
      </c>
      <c r="J444" s="1249">
        <v>7626.3</v>
      </c>
    </row>
    <row r="445" spans="2:10" ht="26" x14ac:dyDescent="0.15">
      <c r="B445" s="1239" t="s">
        <v>1151</v>
      </c>
      <c r="C445" s="1288">
        <v>56</v>
      </c>
      <c r="D445" s="1288">
        <v>8</v>
      </c>
      <c r="E445" s="1288">
        <v>1</v>
      </c>
      <c r="F445" s="1307">
        <v>2020559</v>
      </c>
      <c r="G445" s="1312">
        <v>600</v>
      </c>
      <c r="H445" s="2162"/>
      <c r="I445" s="1308">
        <v>3108.8</v>
      </c>
      <c r="J445" s="2199">
        <v>0</v>
      </c>
    </row>
    <row r="446" spans="2:10" ht="39" x14ac:dyDescent="0.15">
      <c r="B446" s="1243" t="s">
        <v>1135</v>
      </c>
      <c r="C446" s="1288">
        <v>56</v>
      </c>
      <c r="D446" s="1288">
        <v>8</v>
      </c>
      <c r="E446" s="1288">
        <v>1</v>
      </c>
      <c r="F446" s="1307">
        <v>2020559</v>
      </c>
      <c r="G446" s="1245">
        <v>600</v>
      </c>
      <c r="H446" s="1244">
        <v>241</v>
      </c>
      <c r="I446" s="1265">
        <v>3108.8</v>
      </c>
      <c r="J446" s="1289">
        <v>0</v>
      </c>
    </row>
    <row r="447" spans="2:10" ht="14" x14ac:dyDescent="0.15">
      <c r="B447" s="1247" t="s">
        <v>78</v>
      </c>
      <c r="C447" s="1288">
        <v>56</v>
      </c>
      <c r="D447" s="1288">
        <v>8</v>
      </c>
      <c r="E447" s="1288">
        <v>1</v>
      </c>
      <c r="F447" s="1307">
        <v>2020559</v>
      </c>
      <c r="G447" s="1248"/>
      <c r="H447" s="1248">
        <v>211</v>
      </c>
      <c r="I447" s="1254">
        <v>2201.9</v>
      </c>
      <c r="J447" s="1247"/>
    </row>
    <row r="448" spans="2:10" ht="14" x14ac:dyDescent="0.15">
      <c r="B448" s="1247" t="s">
        <v>103</v>
      </c>
      <c r="C448" s="1288">
        <v>56</v>
      </c>
      <c r="D448" s="1288">
        <v>8</v>
      </c>
      <c r="E448" s="1288">
        <v>1</v>
      </c>
      <c r="F448" s="1307">
        <v>2020559</v>
      </c>
      <c r="G448" s="1248"/>
      <c r="H448" s="1248">
        <v>212</v>
      </c>
      <c r="I448" s="1255">
        <v>2</v>
      </c>
      <c r="J448" s="1247"/>
    </row>
    <row r="449" spans="2:10" ht="14" x14ac:dyDescent="0.15">
      <c r="B449" s="1247" t="s">
        <v>84</v>
      </c>
      <c r="C449" s="1288">
        <v>56</v>
      </c>
      <c r="D449" s="1288">
        <v>8</v>
      </c>
      <c r="E449" s="1288">
        <v>1</v>
      </c>
      <c r="F449" s="1307">
        <v>2020559</v>
      </c>
      <c r="G449" s="1248"/>
      <c r="H449" s="1248">
        <v>213</v>
      </c>
      <c r="I449" s="1255">
        <v>641.70000000000005</v>
      </c>
      <c r="J449" s="1247"/>
    </row>
    <row r="450" spans="2:10" ht="14" x14ac:dyDescent="0.15">
      <c r="B450" s="1247" t="s">
        <v>85</v>
      </c>
      <c r="C450" s="1288">
        <v>56</v>
      </c>
      <c r="D450" s="1288">
        <v>8</v>
      </c>
      <c r="E450" s="1288">
        <v>1</v>
      </c>
      <c r="F450" s="1307">
        <v>2020559</v>
      </c>
      <c r="G450" s="1248"/>
      <c r="H450" s="1248">
        <v>221</v>
      </c>
      <c r="I450" s="1255">
        <v>10.3</v>
      </c>
      <c r="J450" s="1247"/>
    </row>
    <row r="451" spans="2:10" ht="14" x14ac:dyDescent="0.15">
      <c r="B451" s="1247" t="s">
        <v>86</v>
      </c>
      <c r="C451" s="1288">
        <v>56</v>
      </c>
      <c r="D451" s="1288">
        <v>8</v>
      </c>
      <c r="E451" s="1288">
        <v>1</v>
      </c>
      <c r="F451" s="1307">
        <v>2020559</v>
      </c>
      <c r="G451" s="1248"/>
      <c r="H451" s="1248">
        <v>222</v>
      </c>
      <c r="I451" s="1255">
        <v>11.2</v>
      </c>
      <c r="J451" s="1247"/>
    </row>
    <row r="452" spans="2:10" ht="14" x14ac:dyDescent="0.15">
      <c r="B452" s="1247" t="s">
        <v>87</v>
      </c>
      <c r="C452" s="1288">
        <v>56</v>
      </c>
      <c r="D452" s="1288">
        <v>8</v>
      </c>
      <c r="E452" s="1288">
        <v>1</v>
      </c>
      <c r="F452" s="1307">
        <v>2020559</v>
      </c>
      <c r="G452" s="1248"/>
      <c r="H452" s="1248">
        <v>223</v>
      </c>
      <c r="I452" s="1255">
        <v>62.2</v>
      </c>
      <c r="J452" s="1247"/>
    </row>
    <row r="453" spans="2:10" ht="14" x14ac:dyDescent="0.15">
      <c r="B453" s="1247" t="s">
        <v>134</v>
      </c>
      <c r="C453" s="1288">
        <v>56</v>
      </c>
      <c r="D453" s="1288">
        <v>8</v>
      </c>
      <c r="E453" s="1288">
        <v>1</v>
      </c>
      <c r="F453" s="1307">
        <v>2020559</v>
      </c>
      <c r="G453" s="1248"/>
      <c r="H453" s="1248">
        <v>224</v>
      </c>
      <c r="I453" s="1255"/>
      <c r="J453" s="1247"/>
    </row>
    <row r="454" spans="2:10" ht="14" x14ac:dyDescent="0.15">
      <c r="B454" s="1247" t="s">
        <v>90</v>
      </c>
      <c r="C454" s="1288">
        <v>56</v>
      </c>
      <c r="D454" s="1288">
        <v>8</v>
      </c>
      <c r="E454" s="1288">
        <v>1</v>
      </c>
      <c r="F454" s="1307">
        <v>2020559</v>
      </c>
      <c r="G454" s="1248"/>
      <c r="H454" s="1248">
        <v>225</v>
      </c>
      <c r="I454" s="1255">
        <v>28.6</v>
      </c>
      <c r="J454" s="1247"/>
    </row>
    <row r="455" spans="2:10" ht="14" x14ac:dyDescent="0.15">
      <c r="B455" s="1247" t="s">
        <v>91</v>
      </c>
      <c r="C455" s="1288">
        <v>56</v>
      </c>
      <c r="D455" s="1288">
        <v>8</v>
      </c>
      <c r="E455" s="1288">
        <v>1</v>
      </c>
      <c r="F455" s="1307">
        <v>2020559</v>
      </c>
      <c r="G455" s="1248"/>
      <c r="H455" s="1248">
        <v>226</v>
      </c>
      <c r="I455" s="1255">
        <v>47.4</v>
      </c>
      <c r="J455" s="1247"/>
    </row>
    <row r="456" spans="2:10" ht="14" x14ac:dyDescent="0.15">
      <c r="B456" s="1247" t="s">
        <v>94</v>
      </c>
      <c r="C456" s="1288">
        <v>56</v>
      </c>
      <c r="D456" s="1288">
        <v>8</v>
      </c>
      <c r="E456" s="1288">
        <v>1</v>
      </c>
      <c r="F456" s="1307">
        <v>2020559</v>
      </c>
      <c r="G456" s="1248"/>
      <c r="H456" s="1248">
        <v>290</v>
      </c>
      <c r="I456" s="1255">
        <v>16.8</v>
      </c>
      <c r="J456" s="1247"/>
    </row>
    <row r="457" spans="2:10" ht="14" x14ac:dyDescent="0.15">
      <c r="B457" s="1247" t="s">
        <v>94</v>
      </c>
      <c r="C457" s="1288">
        <v>56</v>
      </c>
      <c r="D457" s="1288">
        <v>8</v>
      </c>
      <c r="E457" s="1288">
        <v>1</v>
      </c>
      <c r="F457" s="1307">
        <v>2020559</v>
      </c>
      <c r="G457" s="1248"/>
      <c r="H457" s="1248">
        <v>290</v>
      </c>
      <c r="I457" s="1255"/>
      <c r="J457" s="1247"/>
    </row>
    <row r="458" spans="2:10" ht="14" x14ac:dyDescent="0.15">
      <c r="B458" s="1247" t="s">
        <v>96</v>
      </c>
      <c r="C458" s="1288">
        <v>56</v>
      </c>
      <c r="D458" s="1288">
        <v>8</v>
      </c>
      <c r="E458" s="1288">
        <v>1</v>
      </c>
      <c r="F458" s="1307">
        <v>2020559</v>
      </c>
      <c r="G458" s="1248"/>
      <c r="H458" s="1248">
        <v>310</v>
      </c>
      <c r="I458" s="1255">
        <v>60.5</v>
      </c>
      <c r="J458" s="1247"/>
    </row>
    <row r="459" spans="2:10" ht="14" x14ac:dyDescent="0.15">
      <c r="B459" s="1247" t="s">
        <v>97</v>
      </c>
      <c r="C459" s="1288">
        <v>56</v>
      </c>
      <c r="D459" s="1288">
        <v>8</v>
      </c>
      <c r="E459" s="1288">
        <v>1</v>
      </c>
      <c r="F459" s="1307">
        <v>2020559</v>
      </c>
      <c r="G459" s="1248"/>
      <c r="H459" s="1248">
        <v>340</v>
      </c>
      <c r="I459" s="1255">
        <v>26.2</v>
      </c>
      <c r="J459" s="1247"/>
    </row>
    <row r="460" spans="2:10" ht="14" x14ac:dyDescent="0.15">
      <c r="B460" s="1243" t="s">
        <v>767</v>
      </c>
      <c r="C460" s="1288">
        <v>56</v>
      </c>
      <c r="D460" s="1288">
        <v>8</v>
      </c>
      <c r="E460" s="1288">
        <v>1</v>
      </c>
      <c r="F460" s="1307">
        <v>2020559</v>
      </c>
      <c r="G460" s="1244">
        <v>612</v>
      </c>
      <c r="H460" s="1244">
        <v>241</v>
      </c>
      <c r="I460" s="1252">
        <v>0</v>
      </c>
      <c r="J460" s="1247"/>
    </row>
    <row r="461" spans="2:10" ht="55" x14ac:dyDescent="0.15">
      <c r="B461" s="2180" t="s">
        <v>1361</v>
      </c>
      <c r="C461" s="1288">
        <v>56</v>
      </c>
      <c r="D461" s="1288">
        <v>8</v>
      </c>
      <c r="E461" s="1288">
        <v>1</v>
      </c>
      <c r="F461" s="1307">
        <v>2020659</v>
      </c>
      <c r="G461" s="1288"/>
      <c r="H461" s="1248"/>
      <c r="I461" s="1250"/>
      <c r="J461" s="1247"/>
    </row>
    <row r="462" spans="2:10" ht="14" x14ac:dyDescent="0.15">
      <c r="B462" s="1311" t="s">
        <v>1125</v>
      </c>
      <c r="C462" s="1288">
        <v>56</v>
      </c>
      <c r="D462" s="1288">
        <v>8</v>
      </c>
      <c r="E462" s="1288">
        <v>1</v>
      </c>
      <c r="F462" s="1307">
        <v>2020659</v>
      </c>
      <c r="G462" s="1312">
        <v>600</v>
      </c>
      <c r="H462" s="1313"/>
      <c r="I462" s="1268">
        <v>562784.80000000005</v>
      </c>
      <c r="J462" s="2178"/>
    </row>
    <row r="463" spans="2:10" ht="39" x14ac:dyDescent="0.15">
      <c r="B463" s="1243" t="s">
        <v>1135</v>
      </c>
      <c r="C463" s="1288">
        <v>56</v>
      </c>
      <c r="D463" s="1288">
        <v>8</v>
      </c>
      <c r="E463" s="1288">
        <v>1</v>
      </c>
      <c r="F463" s="1307">
        <v>2020659</v>
      </c>
      <c r="G463" s="1245">
        <v>611</v>
      </c>
      <c r="H463" s="1244">
        <v>241</v>
      </c>
      <c r="I463" s="1265">
        <v>536494.80000000005</v>
      </c>
      <c r="J463" s="1265">
        <v>26290</v>
      </c>
    </row>
    <row r="464" spans="2:10" ht="14" x14ac:dyDescent="0.15">
      <c r="B464" s="1247" t="s">
        <v>78</v>
      </c>
      <c r="C464" s="1288">
        <v>56</v>
      </c>
      <c r="D464" s="1288">
        <v>8</v>
      </c>
      <c r="E464" s="1288">
        <v>1</v>
      </c>
      <c r="F464" s="1307">
        <v>2020659</v>
      </c>
      <c r="G464" s="1248"/>
      <c r="H464" s="1248">
        <v>211</v>
      </c>
      <c r="I464" s="1249">
        <v>353864.8</v>
      </c>
      <c r="J464" s="1250">
        <v>0</v>
      </c>
    </row>
    <row r="465" spans="2:10" ht="14" x14ac:dyDescent="0.15">
      <c r="B465" s="1247" t="s">
        <v>103</v>
      </c>
      <c r="C465" s="1288">
        <v>56</v>
      </c>
      <c r="D465" s="1288">
        <v>8</v>
      </c>
      <c r="E465" s="1288">
        <v>1</v>
      </c>
      <c r="F465" s="1307">
        <v>2020659</v>
      </c>
      <c r="G465" s="1248"/>
      <c r="H465" s="1248">
        <v>212</v>
      </c>
      <c r="I465" s="1250">
        <v>0</v>
      </c>
      <c r="J465" s="1250">
        <v>0</v>
      </c>
    </row>
    <row r="466" spans="2:10" ht="14" x14ac:dyDescent="0.15">
      <c r="B466" s="1247" t="s">
        <v>84</v>
      </c>
      <c r="C466" s="1288">
        <v>56</v>
      </c>
      <c r="D466" s="1288">
        <v>8</v>
      </c>
      <c r="E466" s="1288">
        <v>1</v>
      </c>
      <c r="F466" s="1307">
        <v>2020659</v>
      </c>
      <c r="G466" s="1248"/>
      <c r="H466" s="1248">
        <v>213</v>
      </c>
      <c r="I466" s="1249">
        <v>103015.8</v>
      </c>
      <c r="J466" s="1250">
        <v>0</v>
      </c>
    </row>
    <row r="467" spans="2:10" ht="14" x14ac:dyDescent="0.15">
      <c r="B467" s="1247" t="s">
        <v>85</v>
      </c>
      <c r="C467" s="1288">
        <v>56</v>
      </c>
      <c r="D467" s="1288">
        <v>8</v>
      </c>
      <c r="E467" s="1288">
        <v>1</v>
      </c>
      <c r="F467" s="1307">
        <v>2020659</v>
      </c>
      <c r="G467" s="1248"/>
      <c r="H467" s="1248">
        <v>221</v>
      </c>
      <c r="I467" s="1250">
        <v>94</v>
      </c>
      <c r="J467" s="1250">
        <v>0</v>
      </c>
    </row>
    <row r="468" spans="2:10" ht="14" x14ac:dyDescent="0.15">
      <c r="B468" s="1247" t="s">
        <v>86</v>
      </c>
      <c r="C468" s="1288">
        <v>56</v>
      </c>
      <c r="D468" s="1288">
        <v>8</v>
      </c>
      <c r="E468" s="1288">
        <v>1</v>
      </c>
      <c r="F468" s="1307">
        <v>2020659</v>
      </c>
      <c r="G468" s="1248"/>
      <c r="H468" s="1248">
        <v>222</v>
      </c>
      <c r="I468" s="1249">
        <v>1640</v>
      </c>
      <c r="J468" s="1250">
        <v>0</v>
      </c>
    </row>
    <row r="469" spans="2:10" ht="14" x14ac:dyDescent="0.15">
      <c r="B469" s="1247" t="s">
        <v>87</v>
      </c>
      <c r="C469" s="1288">
        <v>56</v>
      </c>
      <c r="D469" s="1288">
        <v>8</v>
      </c>
      <c r="E469" s="1288">
        <v>1</v>
      </c>
      <c r="F469" s="1307">
        <v>2020659</v>
      </c>
      <c r="G469" s="1248"/>
      <c r="H469" s="1248">
        <v>223</v>
      </c>
      <c r="I469" s="1249">
        <v>8580</v>
      </c>
      <c r="J469" s="1250">
        <v>0</v>
      </c>
    </row>
    <row r="470" spans="2:10" ht="14" x14ac:dyDescent="0.15">
      <c r="B470" s="1247" t="s">
        <v>134</v>
      </c>
      <c r="C470" s="1288">
        <v>56</v>
      </c>
      <c r="D470" s="1288">
        <v>8</v>
      </c>
      <c r="E470" s="1288">
        <v>1</v>
      </c>
      <c r="F470" s="1307">
        <v>2020659</v>
      </c>
      <c r="G470" s="1248"/>
      <c r="H470" s="1248">
        <v>224</v>
      </c>
      <c r="I470" s="1250">
        <v>963</v>
      </c>
      <c r="J470" s="1250">
        <v>0</v>
      </c>
    </row>
    <row r="471" spans="2:10" ht="14" x14ac:dyDescent="0.15">
      <c r="B471" s="1247" t="s">
        <v>90</v>
      </c>
      <c r="C471" s="1288">
        <v>56</v>
      </c>
      <c r="D471" s="1288">
        <v>8</v>
      </c>
      <c r="E471" s="1288">
        <v>1</v>
      </c>
      <c r="F471" s="1307">
        <v>2020659</v>
      </c>
      <c r="G471" s="1248"/>
      <c r="H471" s="1248">
        <v>225</v>
      </c>
      <c r="I471" s="1250">
        <v>947.3</v>
      </c>
      <c r="J471" s="1250">
        <v>0</v>
      </c>
    </row>
    <row r="472" spans="2:10" ht="14" x14ac:dyDescent="0.15">
      <c r="B472" s="1247" t="s">
        <v>91</v>
      </c>
      <c r="C472" s="1288">
        <v>56</v>
      </c>
      <c r="D472" s="1288">
        <v>8</v>
      </c>
      <c r="E472" s="1288">
        <v>1</v>
      </c>
      <c r="F472" s="1307">
        <v>2020659</v>
      </c>
      <c r="G472" s="1248"/>
      <c r="H472" s="1248">
        <v>226</v>
      </c>
      <c r="I472" s="1249">
        <v>31299.5</v>
      </c>
      <c r="J472" s="1249">
        <v>23640</v>
      </c>
    </row>
    <row r="473" spans="2:10" ht="14" x14ac:dyDescent="0.15">
      <c r="B473" s="1247" t="s">
        <v>94</v>
      </c>
      <c r="C473" s="1288">
        <v>56</v>
      </c>
      <c r="D473" s="1288">
        <v>8</v>
      </c>
      <c r="E473" s="1288">
        <v>1</v>
      </c>
      <c r="F473" s="1307">
        <v>2020659</v>
      </c>
      <c r="G473" s="1248"/>
      <c r="H473" s="1248">
        <v>290</v>
      </c>
      <c r="I473" s="1249">
        <v>11395.4</v>
      </c>
      <c r="J473" s="1250">
        <v>0</v>
      </c>
    </row>
    <row r="474" spans="2:10" ht="14" x14ac:dyDescent="0.15">
      <c r="B474" s="1247" t="s">
        <v>94</v>
      </c>
      <c r="C474" s="1288">
        <v>56</v>
      </c>
      <c r="D474" s="1288">
        <v>8</v>
      </c>
      <c r="E474" s="1288">
        <v>1</v>
      </c>
      <c r="F474" s="1307">
        <v>2020659</v>
      </c>
      <c r="G474" s="1248"/>
      <c r="H474" s="1248">
        <v>290</v>
      </c>
      <c r="I474" s="1250">
        <v>0</v>
      </c>
      <c r="J474" s="1250">
        <v>0</v>
      </c>
    </row>
    <row r="475" spans="2:10" ht="14" x14ac:dyDescent="0.15">
      <c r="B475" s="1247" t="s">
        <v>96</v>
      </c>
      <c r="C475" s="1288">
        <v>56</v>
      </c>
      <c r="D475" s="1288">
        <v>8</v>
      </c>
      <c r="E475" s="1288">
        <v>1</v>
      </c>
      <c r="F475" s="1307">
        <v>2020659</v>
      </c>
      <c r="G475" s="1248"/>
      <c r="H475" s="1248">
        <v>310</v>
      </c>
      <c r="I475" s="1249">
        <v>18046.2</v>
      </c>
      <c r="J475" s="1249">
        <v>2650</v>
      </c>
    </row>
    <row r="476" spans="2:10" ht="14" x14ac:dyDescent="0.15">
      <c r="B476" s="1247" t="s">
        <v>97</v>
      </c>
      <c r="C476" s="1288">
        <v>56</v>
      </c>
      <c r="D476" s="1288">
        <v>8</v>
      </c>
      <c r="E476" s="1288">
        <v>1</v>
      </c>
      <c r="F476" s="1307">
        <v>2020659</v>
      </c>
      <c r="G476" s="1248"/>
      <c r="H476" s="1248">
        <v>340</v>
      </c>
      <c r="I476" s="1249">
        <v>6648.8</v>
      </c>
      <c r="J476" s="1250">
        <v>0</v>
      </c>
    </row>
    <row r="477" spans="2:10" ht="14" x14ac:dyDescent="0.15">
      <c r="B477" s="1243" t="s">
        <v>767</v>
      </c>
      <c r="C477" s="1288">
        <v>56</v>
      </c>
      <c r="D477" s="1288">
        <v>8</v>
      </c>
      <c r="E477" s="1288">
        <v>1</v>
      </c>
      <c r="F477" s="1307">
        <v>2020659</v>
      </c>
      <c r="G477" s="1244">
        <v>612</v>
      </c>
      <c r="H477" s="1245">
        <v>241</v>
      </c>
      <c r="I477" s="1270">
        <v>26290</v>
      </c>
      <c r="J477" s="1289"/>
    </row>
    <row r="478" spans="2:10" ht="26" x14ac:dyDescent="0.15">
      <c r="B478" s="1239" t="s">
        <v>1152</v>
      </c>
      <c r="C478" s="3013">
        <v>56</v>
      </c>
      <c r="D478" s="3013">
        <v>8</v>
      </c>
      <c r="E478" s="3013">
        <v>1</v>
      </c>
      <c r="F478" s="3014">
        <v>2020659</v>
      </c>
      <c r="G478" s="3015">
        <v>600</v>
      </c>
      <c r="H478" s="3016"/>
      <c r="I478" s="3011">
        <v>38020.6</v>
      </c>
      <c r="J478" s="3012"/>
    </row>
    <row r="479" spans="2:10" x14ac:dyDescent="0.15">
      <c r="B479" s="1239" t="s">
        <v>1153</v>
      </c>
      <c r="C479" s="3013"/>
      <c r="D479" s="3013"/>
      <c r="E479" s="3013"/>
      <c r="F479" s="3014"/>
      <c r="G479" s="3015"/>
      <c r="H479" s="3016"/>
      <c r="I479" s="3011"/>
      <c r="J479" s="3012"/>
    </row>
    <row r="480" spans="2:10" ht="39" x14ac:dyDescent="0.15">
      <c r="B480" s="1243" t="s">
        <v>1135</v>
      </c>
      <c r="C480" s="1288">
        <v>56</v>
      </c>
      <c r="D480" s="1288">
        <v>8</v>
      </c>
      <c r="E480" s="1288">
        <v>1</v>
      </c>
      <c r="F480" s="1307">
        <v>2020659</v>
      </c>
      <c r="G480" s="1245">
        <v>611</v>
      </c>
      <c r="H480" s="1244">
        <v>241</v>
      </c>
      <c r="I480" s="1265">
        <v>38020.6</v>
      </c>
      <c r="J480" s="1289">
        <v>0</v>
      </c>
    </row>
    <row r="481" spans="2:10" ht="14" x14ac:dyDescent="0.15">
      <c r="B481" s="1247" t="s">
        <v>78</v>
      </c>
      <c r="C481" s="1288">
        <v>56</v>
      </c>
      <c r="D481" s="1288">
        <v>8</v>
      </c>
      <c r="E481" s="1288">
        <v>1</v>
      </c>
      <c r="F481" s="1307">
        <v>2020659</v>
      </c>
      <c r="G481" s="1248"/>
      <c r="H481" s="1248">
        <v>211</v>
      </c>
      <c r="I481" s="1254">
        <v>23836.400000000001</v>
      </c>
      <c r="J481" s="1255"/>
    </row>
    <row r="482" spans="2:10" ht="14" x14ac:dyDescent="0.15">
      <c r="B482" s="1247" t="s">
        <v>103</v>
      </c>
      <c r="C482" s="1288">
        <v>56</v>
      </c>
      <c r="D482" s="1288">
        <v>8</v>
      </c>
      <c r="E482" s="1288">
        <v>1</v>
      </c>
      <c r="F482" s="1307">
        <v>2020659</v>
      </c>
      <c r="G482" s="1248"/>
      <c r="H482" s="1248">
        <v>212</v>
      </c>
      <c r="I482" s="1255"/>
      <c r="J482" s="1255"/>
    </row>
    <row r="483" spans="2:10" ht="14" x14ac:dyDescent="0.15">
      <c r="B483" s="1247" t="s">
        <v>84</v>
      </c>
      <c r="C483" s="1288">
        <v>56</v>
      </c>
      <c r="D483" s="1288">
        <v>8</v>
      </c>
      <c r="E483" s="1288">
        <v>1</v>
      </c>
      <c r="F483" s="1307">
        <v>2020659</v>
      </c>
      <c r="G483" s="1248"/>
      <c r="H483" s="1248">
        <v>213</v>
      </c>
      <c r="I483" s="1254">
        <v>6946</v>
      </c>
      <c r="J483" s="1255"/>
    </row>
    <row r="484" spans="2:10" ht="14" x14ac:dyDescent="0.15">
      <c r="B484" s="1247" t="s">
        <v>85</v>
      </c>
      <c r="C484" s="1288">
        <v>56</v>
      </c>
      <c r="D484" s="1288">
        <v>8</v>
      </c>
      <c r="E484" s="1288">
        <v>1</v>
      </c>
      <c r="F484" s="1307">
        <v>2020659</v>
      </c>
      <c r="G484" s="1248"/>
      <c r="H484" s="1248">
        <v>221</v>
      </c>
      <c r="I484" s="1255"/>
      <c r="J484" s="1255"/>
    </row>
    <row r="485" spans="2:10" ht="14" x14ac:dyDescent="0.15">
      <c r="B485" s="1247" t="s">
        <v>86</v>
      </c>
      <c r="C485" s="1288">
        <v>56</v>
      </c>
      <c r="D485" s="1288">
        <v>8</v>
      </c>
      <c r="E485" s="1288">
        <v>1</v>
      </c>
      <c r="F485" s="1307">
        <v>2020659</v>
      </c>
      <c r="G485" s="1248"/>
      <c r="H485" s="1248">
        <v>222</v>
      </c>
      <c r="I485" s="1255"/>
      <c r="J485" s="1255"/>
    </row>
    <row r="486" spans="2:10" ht="14" x14ac:dyDescent="0.15">
      <c r="B486" s="1247" t="s">
        <v>87</v>
      </c>
      <c r="C486" s="1288">
        <v>56</v>
      </c>
      <c r="D486" s="1288">
        <v>8</v>
      </c>
      <c r="E486" s="1288">
        <v>1</v>
      </c>
      <c r="F486" s="1307">
        <v>2020659</v>
      </c>
      <c r="G486" s="1248"/>
      <c r="H486" s="1248">
        <v>223</v>
      </c>
      <c r="I486" s="1254">
        <v>2378.6</v>
      </c>
      <c r="J486" s="1255"/>
    </row>
    <row r="487" spans="2:10" ht="14" x14ac:dyDescent="0.15">
      <c r="B487" s="1247" t="s">
        <v>134</v>
      </c>
      <c r="C487" s="1288">
        <v>56</v>
      </c>
      <c r="D487" s="1288">
        <v>8</v>
      </c>
      <c r="E487" s="1288">
        <v>1</v>
      </c>
      <c r="F487" s="1307">
        <v>2020659</v>
      </c>
      <c r="G487" s="1248"/>
      <c r="H487" s="1248">
        <v>224</v>
      </c>
      <c r="I487" s="1255"/>
      <c r="J487" s="1255"/>
    </row>
    <row r="488" spans="2:10" ht="14" x14ac:dyDescent="0.15">
      <c r="B488" s="1247" t="s">
        <v>90</v>
      </c>
      <c r="C488" s="1288">
        <v>56</v>
      </c>
      <c r="D488" s="1288">
        <v>8</v>
      </c>
      <c r="E488" s="1288">
        <v>1</v>
      </c>
      <c r="F488" s="1307">
        <v>2020659</v>
      </c>
      <c r="G488" s="1248"/>
      <c r="H488" s="1248">
        <v>225</v>
      </c>
      <c r="I488" s="1255">
        <v>235.1</v>
      </c>
      <c r="J488" s="1255"/>
    </row>
    <row r="489" spans="2:10" ht="14" x14ac:dyDescent="0.15">
      <c r="B489" s="1247" t="s">
        <v>91</v>
      </c>
      <c r="C489" s="1288">
        <v>56</v>
      </c>
      <c r="D489" s="1288">
        <v>8</v>
      </c>
      <c r="E489" s="1288">
        <v>1</v>
      </c>
      <c r="F489" s="1307">
        <v>2020659</v>
      </c>
      <c r="G489" s="1248"/>
      <c r="H489" s="1248">
        <v>226</v>
      </c>
      <c r="I489" s="1255">
        <v>719.6</v>
      </c>
      <c r="J489" s="1255"/>
    </row>
    <row r="490" spans="2:10" ht="14" x14ac:dyDescent="0.15">
      <c r="B490" s="1247" t="s">
        <v>94</v>
      </c>
      <c r="C490" s="1288">
        <v>56</v>
      </c>
      <c r="D490" s="1288">
        <v>8</v>
      </c>
      <c r="E490" s="1288">
        <v>1</v>
      </c>
      <c r="F490" s="1307">
        <v>2020659</v>
      </c>
      <c r="G490" s="1248"/>
      <c r="H490" s="1248">
        <v>290</v>
      </c>
      <c r="I490" s="1254">
        <v>2859.6</v>
      </c>
      <c r="J490" s="1255"/>
    </row>
    <row r="491" spans="2:10" ht="14" x14ac:dyDescent="0.15">
      <c r="B491" s="1247" t="s">
        <v>94</v>
      </c>
      <c r="C491" s="1288">
        <v>56</v>
      </c>
      <c r="D491" s="1288">
        <v>8</v>
      </c>
      <c r="E491" s="1288">
        <v>1</v>
      </c>
      <c r="F491" s="1307">
        <v>2020659</v>
      </c>
      <c r="G491" s="1248"/>
      <c r="H491" s="1248">
        <v>290</v>
      </c>
      <c r="I491" s="1255"/>
      <c r="J491" s="1255"/>
    </row>
    <row r="492" spans="2:10" ht="14" x14ac:dyDescent="0.15">
      <c r="B492" s="1247" t="s">
        <v>96</v>
      </c>
      <c r="C492" s="1288">
        <v>56</v>
      </c>
      <c r="D492" s="1288">
        <v>8</v>
      </c>
      <c r="E492" s="1288">
        <v>1</v>
      </c>
      <c r="F492" s="1307">
        <v>2020659</v>
      </c>
      <c r="G492" s="1248"/>
      <c r="H492" s="1248">
        <v>310</v>
      </c>
      <c r="I492" s="1255">
        <v>246</v>
      </c>
      <c r="J492" s="1255"/>
    </row>
    <row r="493" spans="2:10" ht="14" x14ac:dyDescent="0.15">
      <c r="B493" s="1247" t="s">
        <v>97</v>
      </c>
      <c r="C493" s="1288">
        <v>56</v>
      </c>
      <c r="D493" s="1288">
        <v>8</v>
      </c>
      <c r="E493" s="1288">
        <v>1</v>
      </c>
      <c r="F493" s="1307">
        <v>2020659</v>
      </c>
      <c r="G493" s="1248"/>
      <c r="H493" s="1248">
        <v>340</v>
      </c>
      <c r="I493" s="1255">
        <v>799.3</v>
      </c>
      <c r="J493" s="1255"/>
    </row>
    <row r="494" spans="2:10" ht="14" x14ac:dyDescent="0.15">
      <c r="B494" s="1243" t="s">
        <v>767</v>
      </c>
      <c r="C494" s="1288">
        <v>56</v>
      </c>
      <c r="D494" s="1288">
        <v>8</v>
      </c>
      <c r="E494" s="1288">
        <v>1</v>
      </c>
      <c r="F494" s="1307">
        <v>2020659</v>
      </c>
      <c r="G494" s="1244">
        <v>612</v>
      </c>
      <c r="H494" s="1245">
        <v>241</v>
      </c>
      <c r="I494" s="1252">
        <v>0</v>
      </c>
      <c r="J494" s="1247"/>
    </row>
    <row r="495" spans="2:10" ht="26" x14ac:dyDescent="0.15">
      <c r="B495" s="1239" t="s">
        <v>1154</v>
      </c>
      <c r="C495" s="1288">
        <v>56</v>
      </c>
      <c r="D495" s="1288">
        <v>8</v>
      </c>
      <c r="E495" s="1288">
        <v>1</v>
      </c>
      <c r="F495" s="1307">
        <v>2020659</v>
      </c>
      <c r="G495" s="2163">
        <v>600</v>
      </c>
      <c r="H495" s="2162"/>
      <c r="I495" s="2164">
        <v>35174.199999999997</v>
      </c>
      <c r="J495" s="1241">
        <v>0</v>
      </c>
    </row>
    <row r="496" spans="2:10" ht="39" x14ac:dyDescent="0.15">
      <c r="B496" s="1243" t="s">
        <v>1135</v>
      </c>
      <c r="C496" s="1288">
        <v>56</v>
      </c>
      <c r="D496" s="1288">
        <v>8</v>
      </c>
      <c r="E496" s="1288">
        <v>1</v>
      </c>
      <c r="F496" s="1307">
        <v>2020659</v>
      </c>
      <c r="G496" s="1245">
        <v>611</v>
      </c>
      <c r="H496" s="1244">
        <v>241</v>
      </c>
      <c r="I496" s="1265">
        <v>35174.199999999997</v>
      </c>
      <c r="J496" s="1289">
        <v>0</v>
      </c>
    </row>
    <row r="497" spans="2:10" ht="14" x14ac:dyDescent="0.15">
      <c r="B497" s="1247" t="s">
        <v>78</v>
      </c>
      <c r="C497" s="1288">
        <v>56</v>
      </c>
      <c r="D497" s="1288">
        <v>8</v>
      </c>
      <c r="E497" s="1288">
        <v>1</v>
      </c>
      <c r="F497" s="1307">
        <v>2020659</v>
      </c>
      <c r="G497" s="1248"/>
      <c r="H497" s="1248">
        <v>211</v>
      </c>
      <c r="I497" s="1254">
        <v>23931.599999999999</v>
      </c>
      <c r="J497" s="1255"/>
    </row>
    <row r="498" spans="2:10" ht="14" x14ac:dyDescent="0.15">
      <c r="B498" s="1247" t="s">
        <v>103</v>
      </c>
      <c r="C498" s="1288">
        <v>56</v>
      </c>
      <c r="D498" s="1288">
        <v>8</v>
      </c>
      <c r="E498" s="1288">
        <v>1</v>
      </c>
      <c r="F498" s="1307">
        <v>2020659</v>
      </c>
      <c r="G498" s="1248"/>
      <c r="H498" s="1248">
        <v>212</v>
      </c>
      <c r="I498" s="1255"/>
      <c r="J498" s="1255"/>
    </row>
    <row r="499" spans="2:10" ht="14" x14ac:dyDescent="0.15">
      <c r="B499" s="1247" t="s">
        <v>84</v>
      </c>
      <c r="C499" s="1288">
        <v>56</v>
      </c>
      <c r="D499" s="1288">
        <v>8</v>
      </c>
      <c r="E499" s="1288">
        <v>1</v>
      </c>
      <c r="F499" s="1307">
        <v>2020659</v>
      </c>
      <c r="G499" s="1248"/>
      <c r="H499" s="1248">
        <v>213</v>
      </c>
      <c r="I499" s="1254">
        <v>6973.7</v>
      </c>
      <c r="J499" s="1255"/>
    </row>
    <row r="500" spans="2:10" ht="14" x14ac:dyDescent="0.15">
      <c r="B500" s="1247" t="s">
        <v>85</v>
      </c>
      <c r="C500" s="1288">
        <v>56</v>
      </c>
      <c r="D500" s="1288">
        <v>8</v>
      </c>
      <c r="E500" s="1288">
        <v>1</v>
      </c>
      <c r="F500" s="1307">
        <v>2020659</v>
      </c>
      <c r="G500" s="1248"/>
      <c r="H500" s="1248">
        <v>221</v>
      </c>
      <c r="I500" s="1255"/>
      <c r="J500" s="1255"/>
    </row>
    <row r="501" spans="2:10" ht="14" x14ac:dyDescent="0.15">
      <c r="B501" s="1247" t="s">
        <v>86</v>
      </c>
      <c r="C501" s="1288">
        <v>56</v>
      </c>
      <c r="D501" s="1288">
        <v>8</v>
      </c>
      <c r="E501" s="1288">
        <v>1</v>
      </c>
      <c r="F501" s="1307">
        <v>2020659</v>
      </c>
      <c r="G501" s="1248"/>
      <c r="H501" s="1248">
        <v>222</v>
      </c>
      <c r="I501" s="1255"/>
      <c r="J501" s="1255"/>
    </row>
    <row r="502" spans="2:10" ht="14" x14ac:dyDescent="0.15">
      <c r="B502" s="1247" t="s">
        <v>87</v>
      </c>
      <c r="C502" s="1288">
        <v>56</v>
      </c>
      <c r="D502" s="1288">
        <v>8</v>
      </c>
      <c r="E502" s="1288">
        <v>1</v>
      </c>
      <c r="F502" s="1307">
        <v>2020659</v>
      </c>
      <c r="G502" s="1248"/>
      <c r="H502" s="1248">
        <v>223</v>
      </c>
      <c r="I502" s="1254">
        <v>1199.7</v>
      </c>
      <c r="J502" s="1255"/>
    </row>
    <row r="503" spans="2:10" ht="14" x14ac:dyDescent="0.15">
      <c r="B503" s="1247" t="s">
        <v>134</v>
      </c>
      <c r="C503" s="1288">
        <v>56</v>
      </c>
      <c r="D503" s="1288">
        <v>8</v>
      </c>
      <c r="E503" s="1288">
        <v>1</v>
      </c>
      <c r="F503" s="1307">
        <v>2020659</v>
      </c>
      <c r="G503" s="1248"/>
      <c r="H503" s="1248">
        <v>224</v>
      </c>
      <c r="I503" s="1255"/>
      <c r="J503" s="1255"/>
    </row>
    <row r="504" spans="2:10" ht="14" x14ac:dyDescent="0.15">
      <c r="B504" s="1247" t="s">
        <v>90</v>
      </c>
      <c r="C504" s="1288">
        <v>56</v>
      </c>
      <c r="D504" s="1288">
        <v>8</v>
      </c>
      <c r="E504" s="1288">
        <v>1</v>
      </c>
      <c r="F504" s="1307">
        <v>2020659</v>
      </c>
      <c r="G504" s="1248"/>
      <c r="H504" s="1248">
        <v>225</v>
      </c>
      <c r="I504" s="1255">
        <v>11</v>
      </c>
      <c r="J504" s="1255"/>
    </row>
    <row r="505" spans="2:10" ht="14" x14ac:dyDescent="0.15">
      <c r="B505" s="1247" t="s">
        <v>91</v>
      </c>
      <c r="C505" s="1288">
        <v>56</v>
      </c>
      <c r="D505" s="1288">
        <v>8</v>
      </c>
      <c r="E505" s="1288">
        <v>1</v>
      </c>
      <c r="F505" s="1307">
        <v>2020659</v>
      </c>
      <c r="G505" s="1248"/>
      <c r="H505" s="1248">
        <v>226</v>
      </c>
      <c r="I505" s="1255">
        <v>997</v>
      </c>
      <c r="J505" s="1255"/>
    </row>
    <row r="506" spans="2:10" ht="14" x14ac:dyDescent="0.15">
      <c r="B506" s="1247" t="s">
        <v>94</v>
      </c>
      <c r="C506" s="1288">
        <v>56</v>
      </c>
      <c r="D506" s="1288">
        <v>8</v>
      </c>
      <c r="E506" s="1288">
        <v>1</v>
      </c>
      <c r="F506" s="1307">
        <v>2020659</v>
      </c>
      <c r="G506" s="1248"/>
      <c r="H506" s="1248">
        <v>290</v>
      </c>
      <c r="I506" s="1254">
        <v>1069.2</v>
      </c>
      <c r="J506" s="1255"/>
    </row>
    <row r="507" spans="2:10" ht="14" x14ac:dyDescent="0.15">
      <c r="B507" s="1247" t="s">
        <v>94</v>
      </c>
      <c r="C507" s="1288">
        <v>56</v>
      </c>
      <c r="D507" s="1288">
        <v>8</v>
      </c>
      <c r="E507" s="1288">
        <v>1</v>
      </c>
      <c r="F507" s="1307">
        <v>2020659</v>
      </c>
      <c r="G507" s="1248"/>
      <c r="H507" s="1248">
        <v>290</v>
      </c>
      <c r="I507" s="1255"/>
      <c r="J507" s="1255"/>
    </row>
    <row r="508" spans="2:10" ht="14" x14ac:dyDescent="0.15">
      <c r="B508" s="1247" t="s">
        <v>96</v>
      </c>
      <c r="C508" s="1288">
        <v>56</v>
      </c>
      <c r="D508" s="1288">
        <v>8</v>
      </c>
      <c r="E508" s="1288">
        <v>1</v>
      </c>
      <c r="F508" s="1307">
        <v>2020659</v>
      </c>
      <c r="G508" s="1248"/>
      <c r="H508" s="1248">
        <v>310</v>
      </c>
      <c r="I508" s="1255">
        <v>590</v>
      </c>
      <c r="J508" s="1255"/>
    </row>
    <row r="509" spans="2:10" ht="14" x14ac:dyDescent="0.15">
      <c r="B509" s="1247" t="s">
        <v>97</v>
      </c>
      <c r="C509" s="1288">
        <v>56</v>
      </c>
      <c r="D509" s="1288">
        <v>8</v>
      </c>
      <c r="E509" s="1288">
        <v>1</v>
      </c>
      <c r="F509" s="1307">
        <v>2020659</v>
      </c>
      <c r="G509" s="1248"/>
      <c r="H509" s="1248">
        <v>340</v>
      </c>
      <c r="I509" s="1255">
        <v>402</v>
      </c>
      <c r="J509" s="1255"/>
    </row>
    <row r="510" spans="2:10" ht="14" x14ac:dyDescent="0.15">
      <c r="B510" s="1243" t="s">
        <v>767</v>
      </c>
      <c r="C510" s="1288">
        <v>56</v>
      </c>
      <c r="D510" s="1288">
        <v>8</v>
      </c>
      <c r="E510" s="1288">
        <v>1</v>
      </c>
      <c r="F510" s="1307">
        <v>2020659</v>
      </c>
      <c r="G510" s="1244">
        <v>612</v>
      </c>
      <c r="H510" s="1245">
        <v>241</v>
      </c>
      <c r="I510" s="1252">
        <v>0</v>
      </c>
      <c r="J510" s="1247"/>
    </row>
    <row r="511" spans="2:10" ht="39" x14ac:dyDescent="0.15">
      <c r="B511" s="1239" t="s">
        <v>1155</v>
      </c>
      <c r="C511" s="1288">
        <v>56</v>
      </c>
      <c r="D511" s="1288">
        <v>8</v>
      </c>
      <c r="E511" s="1288">
        <v>1</v>
      </c>
      <c r="F511" s="1307">
        <v>2020659</v>
      </c>
      <c r="G511" s="2163">
        <v>600</v>
      </c>
      <c r="H511" s="2162"/>
      <c r="I511" s="2164">
        <v>34700.800000000003</v>
      </c>
      <c r="J511" s="2164">
        <v>2650</v>
      </c>
    </row>
    <row r="512" spans="2:10" ht="39" x14ac:dyDescent="0.15">
      <c r="B512" s="1243" t="s">
        <v>1135</v>
      </c>
      <c r="C512" s="1288">
        <v>56</v>
      </c>
      <c r="D512" s="1288">
        <v>8</v>
      </c>
      <c r="E512" s="1288">
        <v>1</v>
      </c>
      <c r="F512" s="1307">
        <v>2020659</v>
      </c>
      <c r="G512" s="1245">
        <v>611</v>
      </c>
      <c r="H512" s="1244">
        <v>241</v>
      </c>
      <c r="I512" s="1265">
        <v>32050.799999999999</v>
      </c>
      <c r="J512" s="1265">
        <v>2650</v>
      </c>
    </row>
    <row r="513" spans="2:10" ht="14" x14ac:dyDescent="0.15">
      <c r="B513" s="1247" t="s">
        <v>78</v>
      </c>
      <c r="C513" s="1288">
        <v>56</v>
      </c>
      <c r="D513" s="1288">
        <v>8</v>
      </c>
      <c r="E513" s="1288">
        <v>1</v>
      </c>
      <c r="F513" s="1307">
        <v>2020659</v>
      </c>
      <c r="G513" s="1248"/>
      <c r="H513" s="1248">
        <v>211</v>
      </c>
      <c r="I513" s="1254">
        <v>20698.900000000001</v>
      </c>
      <c r="J513" s="1255"/>
    </row>
    <row r="514" spans="2:10" ht="14" x14ac:dyDescent="0.15">
      <c r="B514" s="1247" t="s">
        <v>103</v>
      </c>
      <c r="C514" s="1288">
        <v>56</v>
      </c>
      <c r="D514" s="1288">
        <v>8</v>
      </c>
      <c r="E514" s="1288">
        <v>1</v>
      </c>
      <c r="F514" s="1307">
        <v>2020659</v>
      </c>
      <c r="G514" s="1248"/>
      <c r="H514" s="1248">
        <v>212</v>
      </c>
      <c r="I514" s="1255"/>
      <c r="J514" s="1255"/>
    </row>
    <row r="515" spans="2:10" ht="14" x14ac:dyDescent="0.15">
      <c r="B515" s="1247" t="s">
        <v>84</v>
      </c>
      <c r="C515" s="1288">
        <v>56</v>
      </c>
      <c r="D515" s="1288">
        <v>8</v>
      </c>
      <c r="E515" s="1288">
        <v>1</v>
      </c>
      <c r="F515" s="1307">
        <v>2020659</v>
      </c>
      <c r="G515" s="1248"/>
      <c r="H515" s="1248">
        <v>213</v>
      </c>
      <c r="I515" s="1254">
        <v>6031.8</v>
      </c>
      <c r="J515" s="1255"/>
    </row>
    <row r="516" spans="2:10" ht="14" x14ac:dyDescent="0.15">
      <c r="B516" s="1247" t="s">
        <v>85</v>
      </c>
      <c r="C516" s="1288">
        <v>56</v>
      </c>
      <c r="D516" s="1288">
        <v>8</v>
      </c>
      <c r="E516" s="1288">
        <v>1</v>
      </c>
      <c r="F516" s="1307">
        <v>2020659</v>
      </c>
      <c r="G516" s="1248"/>
      <c r="H516" s="1248">
        <v>221</v>
      </c>
      <c r="I516" s="1255"/>
      <c r="J516" s="1255"/>
    </row>
    <row r="517" spans="2:10" ht="14" x14ac:dyDescent="0.15">
      <c r="B517" s="1247" t="s">
        <v>86</v>
      </c>
      <c r="C517" s="1288">
        <v>56</v>
      </c>
      <c r="D517" s="1288">
        <v>8</v>
      </c>
      <c r="E517" s="1288">
        <v>1</v>
      </c>
      <c r="F517" s="1307">
        <v>2020659</v>
      </c>
      <c r="G517" s="1248"/>
      <c r="H517" s="1248">
        <v>222</v>
      </c>
      <c r="I517" s="1255"/>
      <c r="J517" s="1255"/>
    </row>
    <row r="518" spans="2:10" ht="14" x14ac:dyDescent="0.15">
      <c r="B518" s="1247" t="s">
        <v>87</v>
      </c>
      <c r="C518" s="1288">
        <v>56</v>
      </c>
      <c r="D518" s="1288">
        <v>8</v>
      </c>
      <c r="E518" s="1288">
        <v>1</v>
      </c>
      <c r="F518" s="1307">
        <v>2020659</v>
      </c>
      <c r="G518" s="1248"/>
      <c r="H518" s="1248">
        <v>223</v>
      </c>
      <c r="I518" s="1254">
        <v>1424</v>
      </c>
      <c r="J518" s="1255"/>
    </row>
    <row r="519" spans="2:10" ht="14" x14ac:dyDescent="0.15">
      <c r="B519" s="1247" t="s">
        <v>134</v>
      </c>
      <c r="C519" s="1288">
        <v>56</v>
      </c>
      <c r="D519" s="1288">
        <v>8</v>
      </c>
      <c r="E519" s="1288">
        <v>1</v>
      </c>
      <c r="F519" s="1307">
        <v>2020659</v>
      </c>
      <c r="G519" s="1248"/>
      <c r="H519" s="1248">
        <v>224</v>
      </c>
      <c r="I519" s="1255"/>
      <c r="J519" s="1255"/>
    </row>
    <row r="520" spans="2:10" ht="14" x14ac:dyDescent="0.15">
      <c r="B520" s="1247" t="s">
        <v>90</v>
      </c>
      <c r="C520" s="1288">
        <v>56</v>
      </c>
      <c r="D520" s="1288">
        <v>8</v>
      </c>
      <c r="E520" s="1288">
        <v>1</v>
      </c>
      <c r="F520" s="1307">
        <v>2020659</v>
      </c>
      <c r="G520" s="1248"/>
      <c r="H520" s="1248">
        <v>225</v>
      </c>
      <c r="I520" s="1255">
        <v>66.400000000000006</v>
      </c>
      <c r="J520" s="1255"/>
    </row>
    <row r="521" spans="2:10" ht="14" x14ac:dyDescent="0.15">
      <c r="B521" s="1247" t="s">
        <v>91</v>
      </c>
      <c r="C521" s="1288">
        <v>56</v>
      </c>
      <c r="D521" s="1288">
        <v>8</v>
      </c>
      <c r="E521" s="1288">
        <v>1</v>
      </c>
      <c r="F521" s="1307">
        <v>2020659</v>
      </c>
      <c r="G521" s="1248"/>
      <c r="H521" s="1248">
        <v>226</v>
      </c>
      <c r="I521" s="1255">
        <v>33.6</v>
      </c>
      <c r="J521" s="2184"/>
    </row>
    <row r="522" spans="2:10" ht="14" x14ac:dyDescent="0.15">
      <c r="B522" s="1247" t="s">
        <v>94</v>
      </c>
      <c r="C522" s="1288">
        <v>56</v>
      </c>
      <c r="D522" s="1288">
        <v>8</v>
      </c>
      <c r="E522" s="1288">
        <v>1</v>
      </c>
      <c r="F522" s="1307">
        <v>2020659</v>
      </c>
      <c r="G522" s="1248"/>
      <c r="H522" s="1248">
        <v>290</v>
      </c>
      <c r="I522" s="1254">
        <v>2896.1</v>
      </c>
      <c r="J522" s="1255"/>
    </row>
    <row r="523" spans="2:10" ht="14" x14ac:dyDescent="0.15">
      <c r="B523" s="1247" t="s">
        <v>94</v>
      </c>
      <c r="C523" s="1288">
        <v>56</v>
      </c>
      <c r="D523" s="1288">
        <v>8</v>
      </c>
      <c r="E523" s="1288">
        <v>1</v>
      </c>
      <c r="F523" s="1307">
        <v>2020659</v>
      </c>
      <c r="G523" s="1248"/>
      <c r="H523" s="1248">
        <v>290</v>
      </c>
      <c r="I523" s="1255"/>
      <c r="J523" s="1255"/>
    </row>
    <row r="524" spans="2:10" ht="14" x14ac:dyDescent="0.15">
      <c r="B524" s="1247" t="s">
        <v>96</v>
      </c>
      <c r="C524" s="1288">
        <v>56</v>
      </c>
      <c r="D524" s="1288">
        <v>8</v>
      </c>
      <c r="E524" s="1288">
        <v>1</v>
      </c>
      <c r="F524" s="1307">
        <v>2020659</v>
      </c>
      <c r="G524" s="1248"/>
      <c r="H524" s="1248">
        <v>310</v>
      </c>
      <c r="I524" s="1255">
        <v>400</v>
      </c>
      <c r="J524" s="1254">
        <v>2650</v>
      </c>
    </row>
    <row r="525" spans="2:10" ht="14" x14ac:dyDescent="0.15">
      <c r="B525" s="1247" t="s">
        <v>97</v>
      </c>
      <c r="C525" s="1288">
        <v>56</v>
      </c>
      <c r="D525" s="1288">
        <v>8</v>
      </c>
      <c r="E525" s="1288">
        <v>1</v>
      </c>
      <c r="F525" s="1307">
        <v>2020659</v>
      </c>
      <c r="G525" s="1248"/>
      <c r="H525" s="1248">
        <v>340</v>
      </c>
      <c r="I525" s="1255">
        <v>500</v>
      </c>
      <c r="J525" s="1255"/>
    </row>
    <row r="526" spans="2:10" ht="14" x14ac:dyDescent="0.15">
      <c r="B526" s="1243" t="s">
        <v>767</v>
      </c>
      <c r="C526" s="1288">
        <v>56</v>
      </c>
      <c r="D526" s="1288">
        <v>8</v>
      </c>
      <c r="E526" s="1288">
        <v>1</v>
      </c>
      <c r="F526" s="1307">
        <v>2020659</v>
      </c>
      <c r="G526" s="1244">
        <v>612</v>
      </c>
      <c r="H526" s="1245">
        <v>241</v>
      </c>
      <c r="I526" s="1270">
        <v>2650</v>
      </c>
      <c r="J526" s="1247"/>
    </row>
    <row r="527" spans="2:10" ht="26" x14ac:dyDescent="0.15">
      <c r="B527" s="1239" t="s">
        <v>1156</v>
      </c>
      <c r="C527" s="3013">
        <v>56</v>
      </c>
      <c r="D527" s="3013">
        <v>8</v>
      </c>
      <c r="E527" s="3013">
        <v>1</v>
      </c>
      <c r="F527" s="3014">
        <v>2020659</v>
      </c>
      <c r="G527" s="3015"/>
      <c r="H527" s="3016"/>
      <c r="I527" s="3011">
        <v>26910.6</v>
      </c>
      <c r="J527" s="3012">
        <v>0</v>
      </c>
    </row>
    <row r="528" spans="2:10" x14ac:dyDescent="0.15">
      <c r="B528" s="1239" t="s">
        <v>1157</v>
      </c>
      <c r="C528" s="3013"/>
      <c r="D528" s="3013"/>
      <c r="E528" s="3013"/>
      <c r="F528" s="3014"/>
      <c r="G528" s="3015"/>
      <c r="H528" s="3016"/>
      <c r="I528" s="3011"/>
      <c r="J528" s="3012"/>
    </row>
    <row r="529" spans="2:10" ht="39" x14ac:dyDescent="0.15">
      <c r="B529" s="1243" t="s">
        <v>1135</v>
      </c>
      <c r="C529" s="1288">
        <v>56</v>
      </c>
      <c r="D529" s="1288">
        <v>8</v>
      </c>
      <c r="E529" s="1288">
        <v>1</v>
      </c>
      <c r="F529" s="1307">
        <v>2020659</v>
      </c>
      <c r="G529" s="1245">
        <v>611</v>
      </c>
      <c r="H529" s="1244">
        <v>241</v>
      </c>
      <c r="I529" s="1265">
        <v>26910.6</v>
      </c>
      <c r="J529" s="1289">
        <v>0</v>
      </c>
    </row>
    <row r="530" spans="2:10" ht="14" x14ac:dyDescent="0.15">
      <c r="B530" s="1247" t="s">
        <v>78</v>
      </c>
      <c r="C530" s="1288">
        <v>56</v>
      </c>
      <c r="D530" s="1288">
        <v>8</v>
      </c>
      <c r="E530" s="1288">
        <v>1</v>
      </c>
      <c r="F530" s="1307">
        <v>2020659</v>
      </c>
      <c r="G530" s="1248"/>
      <c r="H530" s="1248">
        <v>211</v>
      </c>
      <c r="I530" s="1254">
        <v>18151.900000000001</v>
      </c>
      <c r="J530" s="1255"/>
    </row>
    <row r="531" spans="2:10" ht="14" x14ac:dyDescent="0.15">
      <c r="B531" s="1247" t="s">
        <v>103</v>
      </c>
      <c r="C531" s="1288">
        <v>56</v>
      </c>
      <c r="D531" s="1288">
        <v>8</v>
      </c>
      <c r="E531" s="1288">
        <v>1</v>
      </c>
      <c r="F531" s="1307">
        <v>2020659</v>
      </c>
      <c r="G531" s="1248"/>
      <c r="H531" s="1248">
        <v>212</v>
      </c>
      <c r="I531" s="1255"/>
      <c r="J531" s="1255"/>
    </row>
    <row r="532" spans="2:10" ht="14" x14ac:dyDescent="0.15">
      <c r="B532" s="1247" t="s">
        <v>84</v>
      </c>
      <c r="C532" s="1288">
        <v>56</v>
      </c>
      <c r="D532" s="1288">
        <v>8</v>
      </c>
      <c r="E532" s="1288">
        <v>1</v>
      </c>
      <c r="F532" s="1307">
        <v>2020659</v>
      </c>
      <c r="G532" s="1248"/>
      <c r="H532" s="1248">
        <v>213</v>
      </c>
      <c r="I532" s="1254">
        <v>5289.5</v>
      </c>
      <c r="J532" s="1255"/>
    </row>
    <row r="533" spans="2:10" ht="14" x14ac:dyDescent="0.15">
      <c r="B533" s="1247" t="s">
        <v>85</v>
      </c>
      <c r="C533" s="1288">
        <v>56</v>
      </c>
      <c r="D533" s="1288">
        <v>8</v>
      </c>
      <c r="E533" s="1288">
        <v>1</v>
      </c>
      <c r="F533" s="1307">
        <v>2020659</v>
      </c>
      <c r="G533" s="1248"/>
      <c r="H533" s="1248">
        <v>221</v>
      </c>
      <c r="I533" s="1255"/>
      <c r="J533" s="1255"/>
    </row>
    <row r="534" spans="2:10" ht="14" x14ac:dyDescent="0.15">
      <c r="B534" s="1247" t="s">
        <v>86</v>
      </c>
      <c r="C534" s="1288">
        <v>56</v>
      </c>
      <c r="D534" s="1288">
        <v>8</v>
      </c>
      <c r="E534" s="1288">
        <v>1</v>
      </c>
      <c r="F534" s="1307">
        <v>2020659</v>
      </c>
      <c r="G534" s="1248"/>
      <c r="H534" s="1248">
        <v>222</v>
      </c>
      <c r="I534" s="1255"/>
      <c r="J534" s="1255"/>
    </row>
    <row r="535" spans="2:10" ht="14" x14ac:dyDescent="0.15">
      <c r="B535" s="1247" t="s">
        <v>87</v>
      </c>
      <c r="C535" s="1288">
        <v>56</v>
      </c>
      <c r="D535" s="1288">
        <v>8</v>
      </c>
      <c r="E535" s="1288">
        <v>1</v>
      </c>
      <c r="F535" s="1307">
        <v>2020659</v>
      </c>
      <c r="G535" s="1248"/>
      <c r="H535" s="1248">
        <v>223</v>
      </c>
      <c r="I535" s="1255">
        <v>691.4</v>
      </c>
      <c r="J535" s="1255"/>
    </row>
    <row r="536" spans="2:10" ht="14" x14ac:dyDescent="0.15">
      <c r="B536" s="1247" t="s">
        <v>134</v>
      </c>
      <c r="C536" s="1288">
        <v>56</v>
      </c>
      <c r="D536" s="1288">
        <v>8</v>
      </c>
      <c r="E536" s="1288">
        <v>1</v>
      </c>
      <c r="F536" s="1307">
        <v>2020659</v>
      </c>
      <c r="G536" s="1248"/>
      <c r="H536" s="1248">
        <v>224</v>
      </c>
      <c r="I536" s="1255"/>
      <c r="J536" s="1255"/>
    </row>
    <row r="537" spans="2:10" ht="14" x14ac:dyDescent="0.15">
      <c r="B537" s="1247" t="s">
        <v>90</v>
      </c>
      <c r="C537" s="1288">
        <v>56</v>
      </c>
      <c r="D537" s="1288">
        <v>8</v>
      </c>
      <c r="E537" s="1288">
        <v>1</v>
      </c>
      <c r="F537" s="1307">
        <v>2020659</v>
      </c>
      <c r="G537" s="1248"/>
      <c r="H537" s="1248">
        <v>225</v>
      </c>
      <c r="I537" s="1255">
        <v>17.8</v>
      </c>
      <c r="J537" s="1255"/>
    </row>
    <row r="538" spans="2:10" ht="14" x14ac:dyDescent="0.15">
      <c r="B538" s="1247" t="s">
        <v>91</v>
      </c>
      <c r="C538" s="1288">
        <v>56</v>
      </c>
      <c r="D538" s="1288">
        <v>8</v>
      </c>
      <c r="E538" s="1288">
        <v>1</v>
      </c>
      <c r="F538" s="1307">
        <v>2020659</v>
      </c>
      <c r="G538" s="1248"/>
      <c r="H538" s="1248">
        <v>226</v>
      </c>
      <c r="I538" s="1255">
        <v>54</v>
      </c>
      <c r="J538" s="1255"/>
    </row>
    <row r="539" spans="2:10" ht="14" x14ac:dyDescent="0.15">
      <c r="B539" s="1247" t="s">
        <v>94</v>
      </c>
      <c r="C539" s="1288">
        <v>56</v>
      </c>
      <c r="D539" s="1288">
        <v>8</v>
      </c>
      <c r="E539" s="1288">
        <v>1</v>
      </c>
      <c r="F539" s="1307">
        <v>2020659</v>
      </c>
      <c r="G539" s="1248"/>
      <c r="H539" s="1248">
        <v>290</v>
      </c>
      <c r="I539" s="1254">
        <v>1777.8</v>
      </c>
      <c r="J539" s="1255"/>
    </row>
    <row r="540" spans="2:10" ht="14" x14ac:dyDescent="0.15">
      <c r="B540" s="1247" t="s">
        <v>94</v>
      </c>
      <c r="C540" s="1288">
        <v>56</v>
      </c>
      <c r="D540" s="1288">
        <v>8</v>
      </c>
      <c r="E540" s="1288">
        <v>1</v>
      </c>
      <c r="F540" s="1307">
        <v>2020659</v>
      </c>
      <c r="G540" s="1248"/>
      <c r="H540" s="1248">
        <v>290</v>
      </c>
      <c r="I540" s="1255"/>
      <c r="J540" s="1255"/>
    </row>
    <row r="541" spans="2:10" ht="14" x14ac:dyDescent="0.15">
      <c r="B541" s="1247" t="s">
        <v>96</v>
      </c>
      <c r="C541" s="1288">
        <v>56</v>
      </c>
      <c r="D541" s="1288">
        <v>8</v>
      </c>
      <c r="E541" s="1288">
        <v>1</v>
      </c>
      <c r="F541" s="1307">
        <v>2020659</v>
      </c>
      <c r="G541" s="1248"/>
      <c r="H541" s="1248">
        <v>310</v>
      </c>
      <c r="I541" s="1255">
        <v>280</v>
      </c>
      <c r="J541" s="1255"/>
    </row>
    <row r="542" spans="2:10" ht="14" x14ac:dyDescent="0.15">
      <c r="B542" s="1247" t="s">
        <v>97</v>
      </c>
      <c r="C542" s="1288">
        <v>56</v>
      </c>
      <c r="D542" s="1288">
        <v>8</v>
      </c>
      <c r="E542" s="1288">
        <v>1</v>
      </c>
      <c r="F542" s="1307">
        <v>2020659</v>
      </c>
      <c r="G542" s="1248"/>
      <c r="H542" s="1248">
        <v>340</v>
      </c>
      <c r="I542" s="1255">
        <v>648.20000000000005</v>
      </c>
      <c r="J542" s="1255"/>
    </row>
    <row r="543" spans="2:10" ht="14" x14ac:dyDescent="0.15">
      <c r="B543" s="1243" t="s">
        <v>767</v>
      </c>
      <c r="C543" s="1288">
        <v>56</v>
      </c>
      <c r="D543" s="1288">
        <v>8</v>
      </c>
      <c r="E543" s="1288">
        <v>1</v>
      </c>
      <c r="F543" s="1307">
        <v>2020659</v>
      </c>
      <c r="G543" s="1244">
        <v>612</v>
      </c>
      <c r="H543" s="1245">
        <v>241</v>
      </c>
      <c r="I543" s="1252">
        <v>0</v>
      </c>
      <c r="J543" s="1247"/>
    </row>
    <row r="544" spans="2:10" ht="26" x14ac:dyDescent="0.15">
      <c r="B544" s="1239" t="s">
        <v>1158</v>
      </c>
      <c r="C544" s="1288">
        <v>56</v>
      </c>
      <c r="D544" s="1288">
        <v>8</v>
      </c>
      <c r="E544" s="1288">
        <v>1</v>
      </c>
      <c r="F544" s="1307">
        <v>2020659</v>
      </c>
      <c r="G544" s="2163">
        <v>600</v>
      </c>
      <c r="H544" s="2162"/>
      <c r="I544" s="2164">
        <v>19647.8</v>
      </c>
      <c r="J544" s="1241">
        <v>0</v>
      </c>
    </row>
    <row r="545" spans="2:10" ht="39" x14ac:dyDescent="0.15">
      <c r="B545" s="1243" t="s">
        <v>1135</v>
      </c>
      <c r="C545" s="1288">
        <v>56</v>
      </c>
      <c r="D545" s="1288">
        <v>8</v>
      </c>
      <c r="E545" s="1288">
        <v>1</v>
      </c>
      <c r="F545" s="1307">
        <v>2020659</v>
      </c>
      <c r="G545" s="1245">
        <v>611</v>
      </c>
      <c r="H545" s="1244">
        <v>241</v>
      </c>
      <c r="I545" s="1265">
        <v>19647.8</v>
      </c>
      <c r="J545" s="1289">
        <v>0</v>
      </c>
    </row>
    <row r="546" spans="2:10" ht="14" x14ac:dyDescent="0.15">
      <c r="B546" s="1247" t="s">
        <v>78</v>
      </c>
      <c r="C546" s="1288">
        <v>56</v>
      </c>
      <c r="D546" s="1288">
        <v>8</v>
      </c>
      <c r="E546" s="1288">
        <v>1</v>
      </c>
      <c r="F546" s="1307">
        <v>2020659</v>
      </c>
      <c r="G546" s="1248"/>
      <c r="H546" s="1248">
        <v>211</v>
      </c>
      <c r="I546" s="1254">
        <v>12921.5</v>
      </c>
      <c r="J546" s="1255"/>
    </row>
    <row r="547" spans="2:10" ht="14" x14ac:dyDescent="0.15">
      <c r="B547" s="1247" t="s">
        <v>103</v>
      </c>
      <c r="C547" s="1288">
        <v>56</v>
      </c>
      <c r="D547" s="1288">
        <v>8</v>
      </c>
      <c r="E547" s="1288">
        <v>1</v>
      </c>
      <c r="F547" s="1307">
        <v>2020659</v>
      </c>
      <c r="G547" s="1248"/>
      <c r="H547" s="1248">
        <v>212</v>
      </c>
      <c r="I547" s="1255"/>
      <c r="J547" s="1255"/>
    </row>
    <row r="548" spans="2:10" ht="14" x14ac:dyDescent="0.15">
      <c r="B548" s="1247" t="s">
        <v>84</v>
      </c>
      <c r="C548" s="1288">
        <v>56</v>
      </c>
      <c r="D548" s="1288">
        <v>8</v>
      </c>
      <c r="E548" s="1288">
        <v>1</v>
      </c>
      <c r="F548" s="1307">
        <v>2020659</v>
      </c>
      <c r="G548" s="1248"/>
      <c r="H548" s="1248">
        <v>213</v>
      </c>
      <c r="I548" s="1254">
        <v>3767.5</v>
      </c>
      <c r="J548" s="1255"/>
    </row>
    <row r="549" spans="2:10" ht="14" x14ac:dyDescent="0.15">
      <c r="B549" s="1247" t="s">
        <v>85</v>
      </c>
      <c r="C549" s="1288">
        <v>56</v>
      </c>
      <c r="D549" s="1288">
        <v>8</v>
      </c>
      <c r="E549" s="1288">
        <v>1</v>
      </c>
      <c r="F549" s="1307">
        <v>2020659</v>
      </c>
      <c r="G549" s="1248"/>
      <c r="H549" s="1248">
        <v>221</v>
      </c>
      <c r="I549" s="1255"/>
      <c r="J549" s="1255"/>
    </row>
    <row r="550" spans="2:10" ht="14" x14ac:dyDescent="0.15">
      <c r="B550" s="1247" t="s">
        <v>86</v>
      </c>
      <c r="C550" s="1288">
        <v>56</v>
      </c>
      <c r="D550" s="1288">
        <v>8</v>
      </c>
      <c r="E550" s="1288">
        <v>1</v>
      </c>
      <c r="F550" s="1307">
        <v>2020659</v>
      </c>
      <c r="G550" s="1248"/>
      <c r="H550" s="1248">
        <v>222</v>
      </c>
      <c r="I550" s="1255"/>
      <c r="J550" s="1255"/>
    </row>
    <row r="551" spans="2:10" ht="14" x14ac:dyDescent="0.15">
      <c r="B551" s="1247" t="s">
        <v>87</v>
      </c>
      <c r="C551" s="1288">
        <v>56</v>
      </c>
      <c r="D551" s="1288">
        <v>8</v>
      </c>
      <c r="E551" s="1288">
        <v>1</v>
      </c>
      <c r="F551" s="1307">
        <v>2020659</v>
      </c>
      <c r="G551" s="1248"/>
      <c r="H551" s="1248">
        <v>223</v>
      </c>
      <c r="I551" s="1255">
        <v>711.2</v>
      </c>
      <c r="J551" s="1255"/>
    </row>
    <row r="552" spans="2:10" ht="14" x14ac:dyDescent="0.15">
      <c r="B552" s="1247" t="s">
        <v>134</v>
      </c>
      <c r="C552" s="1288">
        <v>56</v>
      </c>
      <c r="D552" s="1288">
        <v>8</v>
      </c>
      <c r="E552" s="1288">
        <v>1</v>
      </c>
      <c r="F552" s="1307">
        <v>2020659</v>
      </c>
      <c r="G552" s="1248"/>
      <c r="H552" s="1248">
        <v>224</v>
      </c>
      <c r="I552" s="1255"/>
      <c r="J552" s="1255"/>
    </row>
    <row r="553" spans="2:10" ht="14" x14ac:dyDescent="0.15">
      <c r="B553" s="1247" t="s">
        <v>90</v>
      </c>
      <c r="C553" s="1288">
        <v>56</v>
      </c>
      <c r="D553" s="1288">
        <v>8</v>
      </c>
      <c r="E553" s="1288">
        <v>1</v>
      </c>
      <c r="F553" s="1307">
        <v>2020659</v>
      </c>
      <c r="G553" s="1248"/>
      <c r="H553" s="1248">
        <v>225</v>
      </c>
      <c r="I553" s="1255"/>
      <c r="J553" s="1255"/>
    </row>
    <row r="554" spans="2:10" ht="14" x14ac:dyDescent="0.15">
      <c r="B554" s="1247" t="s">
        <v>91</v>
      </c>
      <c r="C554" s="1288">
        <v>56</v>
      </c>
      <c r="D554" s="1288">
        <v>8</v>
      </c>
      <c r="E554" s="1288">
        <v>1</v>
      </c>
      <c r="F554" s="1307">
        <v>2020659</v>
      </c>
      <c r="G554" s="1248"/>
      <c r="H554" s="1248">
        <v>226</v>
      </c>
      <c r="I554" s="1255">
        <v>144</v>
      </c>
      <c r="J554" s="1255"/>
    </row>
    <row r="555" spans="2:10" ht="14" x14ac:dyDescent="0.15">
      <c r="B555" s="1247" t="s">
        <v>94</v>
      </c>
      <c r="C555" s="1288">
        <v>56</v>
      </c>
      <c r="D555" s="1288">
        <v>8</v>
      </c>
      <c r="E555" s="1288">
        <v>1</v>
      </c>
      <c r="F555" s="1307">
        <v>2020659</v>
      </c>
      <c r="G555" s="1248"/>
      <c r="H555" s="1248">
        <v>290</v>
      </c>
      <c r="I555" s="1255">
        <v>247.6</v>
      </c>
      <c r="J555" s="1255"/>
    </row>
    <row r="556" spans="2:10" ht="14" x14ac:dyDescent="0.15">
      <c r="B556" s="1247" t="s">
        <v>94</v>
      </c>
      <c r="C556" s="1288">
        <v>56</v>
      </c>
      <c r="D556" s="1288">
        <v>8</v>
      </c>
      <c r="E556" s="1288">
        <v>1</v>
      </c>
      <c r="F556" s="1307">
        <v>2020659</v>
      </c>
      <c r="G556" s="1248"/>
      <c r="H556" s="1248">
        <v>290</v>
      </c>
      <c r="I556" s="1255"/>
      <c r="J556" s="1255"/>
    </row>
    <row r="557" spans="2:10" ht="14" x14ac:dyDescent="0.15">
      <c r="B557" s="1247" t="s">
        <v>96</v>
      </c>
      <c r="C557" s="1288">
        <v>56</v>
      </c>
      <c r="D557" s="1288">
        <v>8</v>
      </c>
      <c r="E557" s="1288">
        <v>1</v>
      </c>
      <c r="F557" s="1307">
        <v>2020659</v>
      </c>
      <c r="G557" s="1248"/>
      <c r="H557" s="1248">
        <v>310</v>
      </c>
      <c r="I557" s="1254">
        <v>1056</v>
      </c>
      <c r="J557" s="1255"/>
    </row>
    <row r="558" spans="2:10" ht="14" x14ac:dyDescent="0.15">
      <c r="B558" s="1247" t="s">
        <v>97</v>
      </c>
      <c r="C558" s="1288">
        <v>56</v>
      </c>
      <c r="D558" s="1288">
        <v>8</v>
      </c>
      <c r="E558" s="1288">
        <v>1</v>
      </c>
      <c r="F558" s="1307">
        <v>2020659</v>
      </c>
      <c r="G558" s="1248"/>
      <c r="H558" s="1248">
        <v>340</v>
      </c>
      <c r="I558" s="1255">
        <v>800</v>
      </c>
      <c r="J558" s="1255"/>
    </row>
    <row r="559" spans="2:10" ht="14" x14ac:dyDescent="0.15">
      <c r="B559" s="1243" t="s">
        <v>767</v>
      </c>
      <c r="C559" s="1288">
        <v>56</v>
      </c>
      <c r="D559" s="1288">
        <v>8</v>
      </c>
      <c r="E559" s="1288">
        <v>1</v>
      </c>
      <c r="F559" s="1307">
        <v>2020659</v>
      </c>
      <c r="G559" s="1244">
        <v>612</v>
      </c>
      <c r="H559" s="1245">
        <v>241</v>
      </c>
      <c r="I559" s="1252">
        <v>0</v>
      </c>
      <c r="J559" s="1247"/>
    </row>
    <row r="560" spans="2:10" ht="26" x14ac:dyDescent="0.15">
      <c r="B560" s="1239" t="s">
        <v>1159</v>
      </c>
      <c r="C560" s="1288">
        <v>56</v>
      </c>
      <c r="D560" s="1288">
        <v>8</v>
      </c>
      <c r="E560" s="1288">
        <v>1</v>
      </c>
      <c r="F560" s="1307">
        <v>2020659</v>
      </c>
      <c r="G560" s="2163">
        <v>600</v>
      </c>
      <c r="H560" s="2162"/>
      <c r="I560" s="2164">
        <v>22950.400000000001</v>
      </c>
      <c r="J560" s="1241">
        <v>0</v>
      </c>
    </row>
    <row r="561" spans="2:10" ht="39" x14ac:dyDescent="0.15">
      <c r="B561" s="1243" t="s">
        <v>1135</v>
      </c>
      <c r="C561" s="1288">
        <v>56</v>
      </c>
      <c r="D561" s="1288">
        <v>8</v>
      </c>
      <c r="E561" s="1288">
        <v>1</v>
      </c>
      <c r="F561" s="1307">
        <v>2020659</v>
      </c>
      <c r="G561" s="1245">
        <v>611</v>
      </c>
      <c r="H561" s="1244">
        <v>241</v>
      </c>
      <c r="I561" s="1265">
        <v>22950.400000000001</v>
      </c>
      <c r="J561" s="1289">
        <v>0</v>
      </c>
    </row>
    <row r="562" spans="2:10" ht="14" x14ac:dyDescent="0.15">
      <c r="B562" s="1247" t="s">
        <v>78</v>
      </c>
      <c r="C562" s="1288">
        <v>56</v>
      </c>
      <c r="D562" s="1288">
        <v>8</v>
      </c>
      <c r="E562" s="1288">
        <v>1</v>
      </c>
      <c r="F562" s="1307">
        <v>2020659</v>
      </c>
      <c r="G562" s="1248"/>
      <c r="H562" s="1248">
        <v>211</v>
      </c>
      <c r="I562" s="1254">
        <v>16180.8</v>
      </c>
      <c r="J562" s="1255"/>
    </row>
    <row r="563" spans="2:10" ht="14" x14ac:dyDescent="0.15">
      <c r="B563" s="1247" t="s">
        <v>103</v>
      </c>
      <c r="C563" s="1288">
        <v>56</v>
      </c>
      <c r="D563" s="1288">
        <v>8</v>
      </c>
      <c r="E563" s="1288">
        <v>1</v>
      </c>
      <c r="F563" s="1307">
        <v>2020659</v>
      </c>
      <c r="G563" s="1248"/>
      <c r="H563" s="1248">
        <v>212</v>
      </c>
      <c r="I563" s="1255"/>
      <c r="J563" s="1255"/>
    </row>
    <row r="564" spans="2:10" ht="14" x14ac:dyDescent="0.15">
      <c r="B564" s="1247" t="s">
        <v>84</v>
      </c>
      <c r="C564" s="1288">
        <v>56</v>
      </c>
      <c r="D564" s="1288">
        <v>8</v>
      </c>
      <c r="E564" s="1288">
        <v>1</v>
      </c>
      <c r="F564" s="1307">
        <v>2020659</v>
      </c>
      <c r="G564" s="1248"/>
      <c r="H564" s="1248">
        <v>213</v>
      </c>
      <c r="I564" s="1254">
        <v>4715.2</v>
      </c>
      <c r="J564" s="1255"/>
    </row>
    <row r="565" spans="2:10" ht="14" x14ac:dyDescent="0.15">
      <c r="B565" s="1247" t="s">
        <v>85</v>
      </c>
      <c r="C565" s="1288">
        <v>56</v>
      </c>
      <c r="D565" s="1288">
        <v>8</v>
      </c>
      <c r="E565" s="1288">
        <v>1</v>
      </c>
      <c r="F565" s="1307">
        <v>2020659</v>
      </c>
      <c r="G565" s="1248"/>
      <c r="H565" s="1248">
        <v>221</v>
      </c>
      <c r="I565" s="1255"/>
      <c r="J565" s="1255"/>
    </row>
    <row r="566" spans="2:10" ht="14" x14ac:dyDescent="0.15">
      <c r="B566" s="1247" t="s">
        <v>86</v>
      </c>
      <c r="C566" s="1288">
        <v>56</v>
      </c>
      <c r="D566" s="1288">
        <v>8</v>
      </c>
      <c r="E566" s="1288">
        <v>1</v>
      </c>
      <c r="F566" s="1307">
        <v>2020659</v>
      </c>
      <c r="G566" s="1248"/>
      <c r="H566" s="1248">
        <v>222</v>
      </c>
      <c r="I566" s="1255"/>
      <c r="J566" s="1255"/>
    </row>
    <row r="567" spans="2:10" ht="14" x14ac:dyDescent="0.15">
      <c r="B567" s="1247" t="s">
        <v>87</v>
      </c>
      <c r="C567" s="1288">
        <v>56</v>
      </c>
      <c r="D567" s="1288">
        <v>8</v>
      </c>
      <c r="E567" s="1288">
        <v>1</v>
      </c>
      <c r="F567" s="1307">
        <v>2020659</v>
      </c>
      <c r="G567" s="1248"/>
      <c r="H567" s="1248">
        <v>223</v>
      </c>
      <c r="I567" s="1255"/>
      <c r="J567" s="1255"/>
    </row>
    <row r="568" spans="2:10" ht="14" x14ac:dyDescent="0.15">
      <c r="B568" s="1247" t="s">
        <v>134</v>
      </c>
      <c r="C568" s="1288">
        <v>56</v>
      </c>
      <c r="D568" s="1288">
        <v>8</v>
      </c>
      <c r="E568" s="1288">
        <v>1</v>
      </c>
      <c r="F568" s="1307">
        <v>2020659</v>
      </c>
      <c r="G568" s="1248"/>
      <c r="H568" s="1248">
        <v>224</v>
      </c>
      <c r="I568" s="1255"/>
      <c r="J568" s="1255"/>
    </row>
    <row r="569" spans="2:10" ht="14" x14ac:dyDescent="0.15">
      <c r="B569" s="1247" t="s">
        <v>90</v>
      </c>
      <c r="C569" s="1288">
        <v>56</v>
      </c>
      <c r="D569" s="1288">
        <v>8</v>
      </c>
      <c r="E569" s="1288">
        <v>1</v>
      </c>
      <c r="F569" s="1307">
        <v>2020659</v>
      </c>
      <c r="G569" s="1248"/>
      <c r="H569" s="1248">
        <v>225</v>
      </c>
      <c r="I569" s="1255"/>
      <c r="J569" s="1255"/>
    </row>
    <row r="570" spans="2:10" ht="14" x14ac:dyDescent="0.15">
      <c r="B570" s="1247" t="s">
        <v>91</v>
      </c>
      <c r="C570" s="1288">
        <v>56</v>
      </c>
      <c r="D570" s="1288">
        <v>8</v>
      </c>
      <c r="E570" s="1288">
        <v>1</v>
      </c>
      <c r="F570" s="1307">
        <v>2020659</v>
      </c>
      <c r="G570" s="1248"/>
      <c r="H570" s="1248">
        <v>226</v>
      </c>
      <c r="I570" s="1254">
        <v>1419.2</v>
      </c>
      <c r="J570" s="1255"/>
    </row>
    <row r="571" spans="2:10" ht="14" x14ac:dyDescent="0.15">
      <c r="B571" s="1247" t="s">
        <v>94</v>
      </c>
      <c r="C571" s="1288">
        <v>56</v>
      </c>
      <c r="D571" s="1288">
        <v>8</v>
      </c>
      <c r="E571" s="1288">
        <v>1</v>
      </c>
      <c r="F571" s="1307">
        <v>2020659</v>
      </c>
      <c r="G571" s="1248"/>
      <c r="H571" s="1248">
        <v>290</v>
      </c>
      <c r="I571" s="1255">
        <v>54.4</v>
      </c>
      <c r="J571" s="1255"/>
    </row>
    <row r="572" spans="2:10" ht="14" x14ac:dyDescent="0.15">
      <c r="B572" s="1247" t="s">
        <v>94</v>
      </c>
      <c r="C572" s="1288">
        <v>56</v>
      </c>
      <c r="D572" s="1288">
        <v>8</v>
      </c>
      <c r="E572" s="1288">
        <v>1</v>
      </c>
      <c r="F572" s="1307">
        <v>2020659</v>
      </c>
      <c r="G572" s="1248"/>
      <c r="H572" s="1248">
        <v>290</v>
      </c>
      <c r="I572" s="1255"/>
      <c r="J572" s="1255"/>
    </row>
    <row r="573" spans="2:10" ht="14" x14ac:dyDescent="0.15">
      <c r="B573" s="1247" t="s">
        <v>96</v>
      </c>
      <c r="C573" s="1288">
        <v>56</v>
      </c>
      <c r="D573" s="1288">
        <v>8</v>
      </c>
      <c r="E573" s="1288">
        <v>1</v>
      </c>
      <c r="F573" s="1307">
        <v>2020659</v>
      </c>
      <c r="G573" s="1248"/>
      <c r="H573" s="1248">
        <v>310</v>
      </c>
      <c r="I573" s="1255">
        <v>80</v>
      </c>
      <c r="J573" s="1255"/>
    </row>
    <row r="574" spans="2:10" ht="14" x14ac:dyDescent="0.15">
      <c r="B574" s="1247" t="s">
        <v>97</v>
      </c>
      <c r="C574" s="1288">
        <v>56</v>
      </c>
      <c r="D574" s="1288">
        <v>8</v>
      </c>
      <c r="E574" s="1288">
        <v>1</v>
      </c>
      <c r="F574" s="1307">
        <v>2020659</v>
      </c>
      <c r="G574" s="1248"/>
      <c r="H574" s="1248">
        <v>340</v>
      </c>
      <c r="I574" s="1255">
        <v>500.8</v>
      </c>
      <c r="J574" s="1255"/>
    </row>
    <row r="575" spans="2:10" ht="14" x14ac:dyDescent="0.15">
      <c r="B575" s="1243" t="s">
        <v>767</v>
      </c>
      <c r="C575" s="1288">
        <v>56</v>
      </c>
      <c r="D575" s="1288">
        <v>8</v>
      </c>
      <c r="E575" s="1288">
        <v>1</v>
      </c>
      <c r="F575" s="1307">
        <v>2020659</v>
      </c>
      <c r="G575" s="1244">
        <v>612</v>
      </c>
      <c r="H575" s="1245">
        <v>241</v>
      </c>
      <c r="I575" s="1252">
        <v>0</v>
      </c>
      <c r="J575" s="1247"/>
    </row>
    <row r="576" spans="2:10" ht="26" x14ac:dyDescent="0.15">
      <c r="B576" s="1239" t="s">
        <v>1162</v>
      </c>
      <c r="C576" s="1288">
        <v>56</v>
      </c>
      <c r="D576" s="1288">
        <v>8</v>
      </c>
      <c r="E576" s="1288">
        <v>1</v>
      </c>
      <c r="F576" s="1307">
        <v>2020659</v>
      </c>
      <c r="G576" s="2163">
        <v>600</v>
      </c>
      <c r="H576" s="2162"/>
      <c r="I576" s="2164">
        <v>22296</v>
      </c>
      <c r="J576" s="1241">
        <v>0</v>
      </c>
    </row>
    <row r="577" spans="2:10" ht="39" x14ac:dyDescent="0.15">
      <c r="B577" s="1243" t="s">
        <v>1135</v>
      </c>
      <c r="C577" s="1288">
        <v>56</v>
      </c>
      <c r="D577" s="1288">
        <v>8</v>
      </c>
      <c r="E577" s="1288">
        <v>1</v>
      </c>
      <c r="F577" s="1307">
        <v>2020659</v>
      </c>
      <c r="G577" s="1245">
        <v>611</v>
      </c>
      <c r="H577" s="1244">
        <v>241</v>
      </c>
      <c r="I577" s="1265">
        <v>22296</v>
      </c>
      <c r="J577" s="1289">
        <v>0</v>
      </c>
    </row>
    <row r="578" spans="2:10" ht="14" x14ac:dyDescent="0.15">
      <c r="B578" s="1247" t="s">
        <v>78</v>
      </c>
      <c r="C578" s="1288">
        <v>56</v>
      </c>
      <c r="D578" s="1288">
        <v>8</v>
      </c>
      <c r="E578" s="1288">
        <v>1</v>
      </c>
      <c r="F578" s="1307">
        <v>2020659</v>
      </c>
      <c r="G578" s="1248"/>
      <c r="H578" s="1248">
        <v>211</v>
      </c>
      <c r="I578" s="1254">
        <v>15011.4</v>
      </c>
      <c r="J578" s="1255"/>
    </row>
    <row r="579" spans="2:10" ht="14" x14ac:dyDescent="0.15">
      <c r="B579" s="1247" t="s">
        <v>103</v>
      </c>
      <c r="C579" s="1288">
        <v>56</v>
      </c>
      <c r="D579" s="1288">
        <v>8</v>
      </c>
      <c r="E579" s="1288">
        <v>1</v>
      </c>
      <c r="F579" s="1307">
        <v>2020659</v>
      </c>
      <c r="G579" s="1248"/>
      <c r="H579" s="1248">
        <v>212</v>
      </c>
      <c r="I579" s="1255"/>
      <c r="J579" s="1255"/>
    </row>
    <row r="580" spans="2:10" ht="14" x14ac:dyDescent="0.15">
      <c r="B580" s="1247" t="s">
        <v>84</v>
      </c>
      <c r="C580" s="1288">
        <v>56</v>
      </c>
      <c r="D580" s="1288">
        <v>8</v>
      </c>
      <c r="E580" s="1288">
        <v>1</v>
      </c>
      <c r="F580" s="1307">
        <v>2020659</v>
      </c>
      <c r="G580" s="1248"/>
      <c r="H580" s="1248">
        <v>213</v>
      </c>
      <c r="I580" s="1254">
        <v>4374.3999999999996</v>
      </c>
      <c r="J580" s="1255"/>
    </row>
    <row r="581" spans="2:10" ht="14" x14ac:dyDescent="0.15">
      <c r="B581" s="1247" t="s">
        <v>85</v>
      </c>
      <c r="C581" s="1288">
        <v>56</v>
      </c>
      <c r="D581" s="1288">
        <v>8</v>
      </c>
      <c r="E581" s="1288">
        <v>1</v>
      </c>
      <c r="F581" s="1307">
        <v>2020659</v>
      </c>
      <c r="G581" s="1248"/>
      <c r="H581" s="1248">
        <v>221</v>
      </c>
      <c r="I581" s="1255"/>
      <c r="J581" s="1255"/>
    </row>
    <row r="582" spans="2:10" ht="14" x14ac:dyDescent="0.15">
      <c r="B582" s="1247" t="s">
        <v>86</v>
      </c>
      <c r="C582" s="1288">
        <v>56</v>
      </c>
      <c r="D582" s="1288">
        <v>8</v>
      </c>
      <c r="E582" s="1288">
        <v>1</v>
      </c>
      <c r="F582" s="1307">
        <v>2020659</v>
      </c>
      <c r="G582" s="1248"/>
      <c r="H582" s="1248">
        <v>222</v>
      </c>
      <c r="I582" s="1255"/>
      <c r="J582" s="1255"/>
    </row>
    <row r="583" spans="2:10" ht="14" x14ac:dyDescent="0.15">
      <c r="B583" s="1247" t="s">
        <v>87</v>
      </c>
      <c r="C583" s="1288">
        <v>56</v>
      </c>
      <c r="D583" s="1288">
        <v>8</v>
      </c>
      <c r="E583" s="1288">
        <v>1</v>
      </c>
      <c r="F583" s="1307">
        <v>2020659</v>
      </c>
      <c r="G583" s="1248"/>
      <c r="H583" s="1248">
        <v>223</v>
      </c>
      <c r="I583" s="1255">
        <v>591.70000000000005</v>
      </c>
      <c r="J583" s="1255"/>
    </row>
    <row r="584" spans="2:10" ht="14" x14ac:dyDescent="0.15">
      <c r="B584" s="1247" t="s">
        <v>134</v>
      </c>
      <c r="C584" s="1288">
        <v>56</v>
      </c>
      <c r="D584" s="1288">
        <v>8</v>
      </c>
      <c r="E584" s="1288">
        <v>1</v>
      </c>
      <c r="F584" s="1307">
        <v>2020659</v>
      </c>
      <c r="G584" s="1248"/>
      <c r="H584" s="1248">
        <v>224</v>
      </c>
      <c r="I584" s="1255"/>
      <c r="J584" s="1255"/>
    </row>
    <row r="585" spans="2:10" ht="14" x14ac:dyDescent="0.15">
      <c r="B585" s="1247" t="s">
        <v>90</v>
      </c>
      <c r="C585" s="1288">
        <v>56</v>
      </c>
      <c r="D585" s="1288">
        <v>8</v>
      </c>
      <c r="E585" s="1288">
        <v>1</v>
      </c>
      <c r="F585" s="1307">
        <v>2020659</v>
      </c>
      <c r="G585" s="1248"/>
      <c r="H585" s="1248">
        <v>225</v>
      </c>
      <c r="I585" s="1255"/>
      <c r="J585" s="1255"/>
    </row>
    <row r="586" spans="2:10" ht="14" x14ac:dyDescent="0.15">
      <c r="B586" s="1247" t="s">
        <v>91</v>
      </c>
      <c r="C586" s="1288">
        <v>56</v>
      </c>
      <c r="D586" s="1288">
        <v>8</v>
      </c>
      <c r="E586" s="1288">
        <v>1</v>
      </c>
      <c r="F586" s="1307">
        <v>2020659</v>
      </c>
      <c r="G586" s="1248"/>
      <c r="H586" s="1248">
        <v>226</v>
      </c>
      <c r="I586" s="1255"/>
      <c r="J586" s="1255"/>
    </row>
    <row r="587" spans="2:10" ht="14" x14ac:dyDescent="0.15">
      <c r="B587" s="1247" t="s">
        <v>94</v>
      </c>
      <c r="C587" s="1288">
        <v>56</v>
      </c>
      <c r="D587" s="1288">
        <v>8</v>
      </c>
      <c r="E587" s="1288">
        <v>1</v>
      </c>
      <c r="F587" s="1307">
        <v>2020659</v>
      </c>
      <c r="G587" s="1248"/>
      <c r="H587" s="1248">
        <v>290</v>
      </c>
      <c r="I587" s="1254">
        <v>1318.5</v>
      </c>
      <c r="J587" s="1255"/>
    </row>
    <row r="588" spans="2:10" ht="14" x14ac:dyDescent="0.15">
      <c r="B588" s="1247" t="s">
        <v>94</v>
      </c>
      <c r="C588" s="1288">
        <v>56</v>
      </c>
      <c r="D588" s="1288">
        <v>8</v>
      </c>
      <c r="E588" s="1288">
        <v>1</v>
      </c>
      <c r="F588" s="1307">
        <v>2020659</v>
      </c>
      <c r="G588" s="1248"/>
      <c r="H588" s="1248">
        <v>290</v>
      </c>
      <c r="I588" s="1255"/>
      <c r="J588" s="1255"/>
    </row>
    <row r="589" spans="2:10" ht="14" x14ac:dyDescent="0.15">
      <c r="B589" s="1247" t="s">
        <v>96</v>
      </c>
      <c r="C589" s="1288">
        <v>56</v>
      </c>
      <c r="D589" s="1288">
        <v>8</v>
      </c>
      <c r="E589" s="1288">
        <v>1</v>
      </c>
      <c r="F589" s="1307">
        <v>2020659</v>
      </c>
      <c r="G589" s="1248"/>
      <c r="H589" s="1248">
        <v>310</v>
      </c>
      <c r="I589" s="1255"/>
      <c r="J589" s="1255"/>
    </row>
    <row r="590" spans="2:10" ht="14" x14ac:dyDescent="0.15">
      <c r="B590" s="1247" t="s">
        <v>97</v>
      </c>
      <c r="C590" s="1288">
        <v>56</v>
      </c>
      <c r="D590" s="1288">
        <v>8</v>
      </c>
      <c r="E590" s="1288">
        <v>1</v>
      </c>
      <c r="F590" s="1307">
        <v>2020659</v>
      </c>
      <c r="G590" s="1248"/>
      <c r="H590" s="1248">
        <v>340</v>
      </c>
      <c r="I590" s="1254">
        <v>1000</v>
      </c>
      <c r="J590" s="1255"/>
    </row>
    <row r="591" spans="2:10" ht="14" x14ac:dyDescent="0.15">
      <c r="B591" s="1243" t="s">
        <v>767</v>
      </c>
      <c r="C591" s="1288">
        <v>56</v>
      </c>
      <c r="D591" s="1288">
        <v>8</v>
      </c>
      <c r="E591" s="1288">
        <v>1</v>
      </c>
      <c r="F591" s="1307">
        <v>2020659</v>
      </c>
      <c r="G591" s="1244">
        <v>612</v>
      </c>
      <c r="H591" s="1245">
        <v>241</v>
      </c>
      <c r="I591" s="1252">
        <v>0</v>
      </c>
      <c r="J591" s="1247"/>
    </row>
    <row r="592" spans="2:10" ht="26" x14ac:dyDescent="0.15">
      <c r="B592" s="1239" t="s">
        <v>1163</v>
      </c>
      <c r="C592" s="1288">
        <v>56</v>
      </c>
      <c r="D592" s="1288">
        <v>8</v>
      </c>
      <c r="E592" s="1288">
        <v>1</v>
      </c>
      <c r="F592" s="1307">
        <v>2020659</v>
      </c>
      <c r="G592" s="2163">
        <v>600</v>
      </c>
      <c r="H592" s="2162"/>
      <c r="I592" s="2164">
        <v>53100.1</v>
      </c>
      <c r="J592" s="1241">
        <v>0</v>
      </c>
    </row>
    <row r="593" spans="2:10" ht="39" x14ac:dyDescent="0.15">
      <c r="B593" s="1243" t="s">
        <v>1135</v>
      </c>
      <c r="C593" s="1288">
        <v>56</v>
      </c>
      <c r="D593" s="1288">
        <v>8</v>
      </c>
      <c r="E593" s="1288">
        <v>1</v>
      </c>
      <c r="F593" s="1307">
        <v>2020659</v>
      </c>
      <c r="G593" s="1245">
        <v>611</v>
      </c>
      <c r="H593" s="1244">
        <v>241</v>
      </c>
      <c r="I593" s="1265">
        <v>53100.1</v>
      </c>
      <c r="J593" s="1289">
        <v>0</v>
      </c>
    </row>
    <row r="594" spans="2:10" ht="14" x14ac:dyDescent="0.15">
      <c r="B594" s="1247" t="s">
        <v>78</v>
      </c>
      <c r="C594" s="1288">
        <v>56</v>
      </c>
      <c r="D594" s="1288">
        <v>8</v>
      </c>
      <c r="E594" s="1288">
        <v>1</v>
      </c>
      <c r="F594" s="1307">
        <v>2020659</v>
      </c>
      <c r="G594" s="1248"/>
      <c r="H594" s="1248">
        <v>211</v>
      </c>
      <c r="I594" s="1254">
        <v>40261.800000000003</v>
      </c>
      <c r="J594" s="1255"/>
    </row>
    <row r="595" spans="2:10" ht="14" x14ac:dyDescent="0.15">
      <c r="B595" s="1247" t="s">
        <v>103</v>
      </c>
      <c r="C595" s="1288">
        <v>56</v>
      </c>
      <c r="D595" s="1288">
        <v>8</v>
      </c>
      <c r="E595" s="1288">
        <v>1</v>
      </c>
      <c r="F595" s="1307">
        <v>2020659</v>
      </c>
      <c r="G595" s="1248"/>
      <c r="H595" s="1248">
        <v>212</v>
      </c>
      <c r="I595" s="1255"/>
      <c r="J595" s="1255"/>
    </row>
    <row r="596" spans="2:10" ht="14" x14ac:dyDescent="0.15">
      <c r="B596" s="1247" t="s">
        <v>84</v>
      </c>
      <c r="C596" s="1288">
        <v>56</v>
      </c>
      <c r="D596" s="1288">
        <v>8</v>
      </c>
      <c r="E596" s="1288">
        <v>1</v>
      </c>
      <c r="F596" s="1307">
        <v>2020659</v>
      </c>
      <c r="G596" s="1248"/>
      <c r="H596" s="1248">
        <v>213</v>
      </c>
      <c r="I596" s="1254">
        <v>11732.4</v>
      </c>
      <c r="J596" s="1255"/>
    </row>
    <row r="597" spans="2:10" ht="14" x14ac:dyDescent="0.15">
      <c r="B597" s="1247" t="s">
        <v>85</v>
      </c>
      <c r="C597" s="1288">
        <v>56</v>
      </c>
      <c r="D597" s="1288">
        <v>8</v>
      </c>
      <c r="E597" s="1288">
        <v>1</v>
      </c>
      <c r="F597" s="1307">
        <v>2020659</v>
      </c>
      <c r="G597" s="1248"/>
      <c r="H597" s="1248">
        <v>221</v>
      </c>
      <c r="I597" s="1255"/>
      <c r="J597" s="1255"/>
    </row>
    <row r="598" spans="2:10" ht="14" x14ac:dyDescent="0.15">
      <c r="B598" s="1247" t="s">
        <v>86</v>
      </c>
      <c r="C598" s="1288">
        <v>56</v>
      </c>
      <c r="D598" s="1288">
        <v>8</v>
      </c>
      <c r="E598" s="1288">
        <v>1</v>
      </c>
      <c r="F598" s="1307">
        <v>2020659</v>
      </c>
      <c r="G598" s="1248"/>
      <c r="H598" s="1248">
        <v>222</v>
      </c>
      <c r="I598" s="1255"/>
      <c r="J598" s="1255"/>
    </row>
    <row r="599" spans="2:10" ht="14" x14ac:dyDescent="0.15">
      <c r="B599" s="1247" t="s">
        <v>87</v>
      </c>
      <c r="C599" s="1288">
        <v>56</v>
      </c>
      <c r="D599" s="1288">
        <v>8</v>
      </c>
      <c r="E599" s="1288">
        <v>1</v>
      </c>
      <c r="F599" s="1307">
        <v>2020659</v>
      </c>
      <c r="G599" s="1248"/>
      <c r="H599" s="1248">
        <v>223</v>
      </c>
      <c r="I599" s="1255"/>
      <c r="J599" s="1255"/>
    </row>
    <row r="600" spans="2:10" ht="14" x14ac:dyDescent="0.15">
      <c r="B600" s="1247" t="s">
        <v>134</v>
      </c>
      <c r="C600" s="1288">
        <v>56</v>
      </c>
      <c r="D600" s="1288">
        <v>8</v>
      </c>
      <c r="E600" s="1288">
        <v>1</v>
      </c>
      <c r="F600" s="1307">
        <v>2020659</v>
      </c>
      <c r="G600" s="1248"/>
      <c r="H600" s="1248">
        <v>224</v>
      </c>
      <c r="I600" s="1255"/>
      <c r="J600" s="1255"/>
    </row>
    <row r="601" spans="2:10" ht="14" x14ac:dyDescent="0.15">
      <c r="B601" s="1247" t="s">
        <v>90</v>
      </c>
      <c r="C601" s="1288">
        <v>56</v>
      </c>
      <c r="D601" s="1288">
        <v>8</v>
      </c>
      <c r="E601" s="1288">
        <v>1</v>
      </c>
      <c r="F601" s="1307">
        <v>2020659</v>
      </c>
      <c r="G601" s="1248"/>
      <c r="H601" s="1248">
        <v>225</v>
      </c>
      <c r="I601" s="1255"/>
      <c r="J601" s="1255"/>
    </row>
    <row r="602" spans="2:10" ht="14" x14ac:dyDescent="0.15">
      <c r="B602" s="1247" t="s">
        <v>91</v>
      </c>
      <c r="C602" s="1288">
        <v>56</v>
      </c>
      <c r="D602" s="1288">
        <v>8</v>
      </c>
      <c r="E602" s="1288">
        <v>1</v>
      </c>
      <c r="F602" s="1307">
        <v>2020659</v>
      </c>
      <c r="G602" s="1248"/>
      <c r="H602" s="1248">
        <v>226</v>
      </c>
      <c r="I602" s="1255">
        <v>135</v>
      </c>
      <c r="J602" s="1255"/>
    </row>
    <row r="603" spans="2:10" ht="14" x14ac:dyDescent="0.15">
      <c r="B603" s="2200" t="s">
        <v>94</v>
      </c>
      <c r="C603" s="2201">
        <v>56</v>
      </c>
      <c r="D603" s="2201">
        <v>8</v>
      </c>
      <c r="E603" s="2201">
        <v>1</v>
      </c>
      <c r="F603" s="2202">
        <v>2020659</v>
      </c>
      <c r="G603" s="2203"/>
      <c r="H603" s="2203">
        <v>290</v>
      </c>
      <c r="I603" s="2204">
        <v>105.9</v>
      </c>
      <c r="J603" s="2204"/>
    </row>
    <row r="604" spans="2:10" ht="14" x14ac:dyDescent="0.15">
      <c r="B604" s="1247" t="s">
        <v>94</v>
      </c>
      <c r="C604" s="1288">
        <v>56</v>
      </c>
      <c r="D604" s="1288">
        <v>8</v>
      </c>
      <c r="E604" s="1288">
        <v>1</v>
      </c>
      <c r="F604" s="1307">
        <v>2020659</v>
      </c>
      <c r="G604" s="1248"/>
      <c r="H604" s="1248">
        <v>290</v>
      </c>
      <c r="I604" s="1255"/>
      <c r="J604" s="1255"/>
    </row>
    <row r="605" spans="2:10" ht="14" x14ac:dyDescent="0.15">
      <c r="B605" s="1247" t="s">
        <v>96</v>
      </c>
      <c r="C605" s="1288">
        <v>56</v>
      </c>
      <c r="D605" s="1288">
        <v>8</v>
      </c>
      <c r="E605" s="1288">
        <v>1</v>
      </c>
      <c r="F605" s="1307">
        <v>2020659</v>
      </c>
      <c r="G605" s="1248"/>
      <c r="H605" s="1248">
        <v>310</v>
      </c>
      <c r="I605" s="1255">
        <v>300</v>
      </c>
      <c r="J605" s="1255"/>
    </row>
    <row r="606" spans="2:10" ht="14" x14ac:dyDescent="0.15">
      <c r="B606" s="1247" t="s">
        <v>97</v>
      </c>
      <c r="C606" s="1288">
        <v>56</v>
      </c>
      <c r="D606" s="1288">
        <v>8</v>
      </c>
      <c r="E606" s="1288">
        <v>1</v>
      </c>
      <c r="F606" s="1307">
        <v>2020659</v>
      </c>
      <c r="G606" s="1248"/>
      <c r="H606" s="1248">
        <v>340</v>
      </c>
      <c r="I606" s="1255">
        <v>565</v>
      </c>
      <c r="J606" s="1255"/>
    </row>
    <row r="607" spans="2:10" ht="14" x14ac:dyDescent="0.15">
      <c r="B607" s="1243" t="s">
        <v>767</v>
      </c>
      <c r="C607" s="1288">
        <v>56</v>
      </c>
      <c r="D607" s="1288">
        <v>8</v>
      </c>
      <c r="E607" s="1288">
        <v>1</v>
      </c>
      <c r="F607" s="1307">
        <v>2020659</v>
      </c>
      <c r="G607" s="1244">
        <v>612</v>
      </c>
      <c r="H607" s="1245">
        <v>241</v>
      </c>
      <c r="I607" s="1252">
        <v>0</v>
      </c>
      <c r="J607" s="1247"/>
    </row>
    <row r="608" spans="2:10" ht="26" x14ac:dyDescent="0.15">
      <c r="B608" s="1239" t="s">
        <v>1164</v>
      </c>
      <c r="C608" s="1288">
        <v>56</v>
      </c>
      <c r="D608" s="1288">
        <v>8</v>
      </c>
      <c r="E608" s="1288">
        <v>1</v>
      </c>
      <c r="F608" s="1307">
        <v>2020659</v>
      </c>
      <c r="G608" s="2163">
        <v>600</v>
      </c>
      <c r="H608" s="2162"/>
      <c r="I608" s="2164">
        <v>17285.7</v>
      </c>
      <c r="J608" s="1241">
        <v>0</v>
      </c>
    </row>
    <row r="609" spans="2:10" ht="39" x14ac:dyDescent="0.15">
      <c r="B609" s="1243" t="s">
        <v>1135</v>
      </c>
      <c r="C609" s="1288">
        <v>56</v>
      </c>
      <c r="D609" s="1288">
        <v>8</v>
      </c>
      <c r="E609" s="1288">
        <v>1</v>
      </c>
      <c r="F609" s="1307">
        <v>2020659</v>
      </c>
      <c r="G609" s="1245">
        <v>611</v>
      </c>
      <c r="H609" s="1244">
        <v>241</v>
      </c>
      <c r="I609" s="1265">
        <v>17285.7</v>
      </c>
      <c r="J609" s="1289">
        <v>0</v>
      </c>
    </row>
    <row r="610" spans="2:10" ht="14" x14ac:dyDescent="0.15">
      <c r="B610" s="1247" t="s">
        <v>78</v>
      </c>
      <c r="C610" s="1288">
        <v>56</v>
      </c>
      <c r="D610" s="1288">
        <v>8</v>
      </c>
      <c r="E610" s="1288">
        <v>1</v>
      </c>
      <c r="F610" s="1307">
        <v>2020659</v>
      </c>
      <c r="G610" s="1248"/>
      <c r="H610" s="1248">
        <v>211</v>
      </c>
      <c r="I610" s="1254">
        <v>12400.7</v>
      </c>
      <c r="J610" s="1255"/>
    </row>
    <row r="611" spans="2:10" ht="14" x14ac:dyDescent="0.15">
      <c r="B611" s="1247" t="s">
        <v>103</v>
      </c>
      <c r="C611" s="1288">
        <v>56</v>
      </c>
      <c r="D611" s="1288">
        <v>8</v>
      </c>
      <c r="E611" s="1288">
        <v>1</v>
      </c>
      <c r="F611" s="1307">
        <v>2020659</v>
      </c>
      <c r="G611" s="1248"/>
      <c r="H611" s="1248">
        <v>212</v>
      </c>
      <c r="I611" s="1255"/>
      <c r="J611" s="1255"/>
    </row>
    <row r="612" spans="2:10" ht="14" x14ac:dyDescent="0.15">
      <c r="B612" s="1247" t="s">
        <v>84</v>
      </c>
      <c r="C612" s="1288">
        <v>56</v>
      </c>
      <c r="D612" s="1288">
        <v>8</v>
      </c>
      <c r="E612" s="1288">
        <v>1</v>
      </c>
      <c r="F612" s="1307">
        <v>2020659</v>
      </c>
      <c r="G612" s="1248"/>
      <c r="H612" s="1248">
        <v>213</v>
      </c>
      <c r="I612" s="1254">
        <v>3624.2</v>
      </c>
      <c r="J612" s="1255"/>
    </row>
    <row r="613" spans="2:10" ht="14" x14ac:dyDescent="0.15">
      <c r="B613" s="1247" t="s">
        <v>85</v>
      </c>
      <c r="C613" s="1288">
        <v>56</v>
      </c>
      <c r="D613" s="1288">
        <v>8</v>
      </c>
      <c r="E613" s="1288">
        <v>1</v>
      </c>
      <c r="F613" s="1307">
        <v>2020659</v>
      </c>
      <c r="G613" s="1248"/>
      <c r="H613" s="1248">
        <v>221</v>
      </c>
      <c r="I613" s="1255"/>
      <c r="J613" s="1255"/>
    </row>
    <row r="614" spans="2:10" ht="14" x14ac:dyDescent="0.15">
      <c r="B614" s="1247" t="s">
        <v>86</v>
      </c>
      <c r="C614" s="1288">
        <v>56</v>
      </c>
      <c r="D614" s="1288">
        <v>8</v>
      </c>
      <c r="E614" s="1288">
        <v>1</v>
      </c>
      <c r="F614" s="1307">
        <v>2020659</v>
      </c>
      <c r="G614" s="1248"/>
      <c r="H614" s="1248">
        <v>222</v>
      </c>
      <c r="I614" s="1255"/>
      <c r="J614" s="1255"/>
    </row>
    <row r="615" spans="2:10" ht="14" x14ac:dyDescent="0.15">
      <c r="B615" s="1247" t="s">
        <v>87</v>
      </c>
      <c r="C615" s="1288">
        <v>56</v>
      </c>
      <c r="D615" s="1288">
        <v>8</v>
      </c>
      <c r="E615" s="1288">
        <v>1</v>
      </c>
      <c r="F615" s="1307">
        <v>2020659</v>
      </c>
      <c r="G615" s="1248"/>
      <c r="H615" s="1248">
        <v>223</v>
      </c>
      <c r="I615" s="1255">
        <v>142.5</v>
      </c>
      <c r="J615" s="1255"/>
    </row>
    <row r="616" spans="2:10" ht="14" x14ac:dyDescent="0.15">
      <c r="B616" s="1247" t="s">
        <v>134</v>
      </c>
      <c r="C616" s="1288">
        <v>56</v>
      </c>
      <c r="D616" s="1288">
        <v>8</v>
      </c>
      <c r="E616" s="1288">
        <v>1</v>
      </c>
      <c r="F616" s="1307">
        <v>2020659</v>
      </c>
      <c r="G616" s="1248"/>
      <c r="H616" s="1248">
        <v>224</v>
      </c>
      <c r="I616" s="1255"/>
      <c r="J616" s="1255"/>
    </row>
    <row r="617" spans="2:10" ht="14" x14ac:dyDescent="0.15">
      <c r="B617" s="1247" t="s">
        <v>90</v>
      </c>
      <c r="C617" s="1288">
        <v>56</v>
      </c>
      <c r="D617" s="1288">
        <v>8</v>
      </c>
      <c r="E617" s="1288">
        <v>1</v>
      </c>
      <c r="F617" s="1307">
        <v>2020659</v>
      </c>
      <c r="G617" s="1248"/>
      <c r="H617" s="1248">
        <v>225</v>
      </c>
      <c r="I617" s="1255"/>
      <c r="J617" s="1255"/>
    </row>
    <row r="618" spans="2:10" ht="14" x14ac:dyDescent="0.15">
      <c r="B618" s="1247" t="s">
        <v>91</v>
      </c>
      <c r="C618" s="1288">
        <v>56</v>
      </c>
      <c r="D618" s="1288">
        <v>8</v>
      </c>
      <c r="E618" s="1288">
        <v>1</v>
      </c>
      <c r="F618" s="1307">
        <v>2020659</v>
      </c>
      <c r="G618" s="1248"/>
      <c r="H618" s="1248">
        <v>226</v>
      </c>
      <c r="I618" s="1255">
        <v>50</v>
      </c>
      <c r="J618" s="1255"/>
    </row>
    <row r="619" spans="2:10" ht="14" x14ac:dyDescent="0.15">
      <c r="B619" s="1247" t="s">
        <v>94</v>
      </c>
      <c r="C619" s="1288">
        <v>56</v>
      </c>
      <c r="D619" s="1288">
        <v>8</v>
      </c>
      <c r="E619" s="1288">
        <v>1</v>
      </c>
      <c r="F619" s="1307">
        <v>2020659</v>
      </c>
      <c r="G619" s="1248"/>
      <c r="H619" s="1248">
        <v>290</v>
      </c>
      <c r="I619" s="1255">
        <v>118.3</v>
      </c>
      <c r="J619" s="1255"/>
    </row>
    <row r="620" spans="2:10" ht="14" x14ac:dyDescent="0.15">
      <c r="B620" s="1247" t="s">
        <v>94</v>
      </c>
      <c r="C620" s="1288">
        <v>56</v>
      </c>
      <c r="D620" s="1288">
        <v>8</v>
      </c>
      <c r="E620" s="1288">
        <v>1</v>
      </c>
      <c r="F620" s="1307">
        <v>2020659</v>
      </c>
      <c r="G620" s="1248"/>
      <c r="H620" s="1248">
        <v>290</v>
      </c>
      <c r="I620" s="1255"/>
      <c r="J620" s="1255"/>
    </row>
    <row r="621" spans="2:10" ht="14" x14ac:dyDescent="0.15">
      <c r="B621" s="1247" t="s">
        <v>96</v>
      </c>
      <c r="C621" s="1288">
        <v>56</v>
      </c>
      <c r="D621" s="1288">
        <v>8</v>
      </c>
      <c r="E621" s="1288">
        <v>1</v>
      </c>
      <c r="F621" s="1307">
        <v>2020659</v>
      </c>
      <c r="G621" s="1248"/>
      <c r="H621" s="1248">
        <v>310</v>
      </c>
      <c r="I621" s="1255">
        <v>815</v>
      </c>
      <c r="J621" s="1255"/>
    </row>
    <row r="622" spans="2:10" ht="14" x14ac:dyDescent="0.15">
      <c r="B622" s="1247" t="s">
        <v>97</v>
      </c>
      <c r="C622" s="1288">
        <v>56</v>
      </c>
      <c r="D622" s="1288">
        <v>8</v>
      </c>
      <c r="E622" s="1288">
        <v>1</v>
      </c>
      <c r="F622" s="1307">
        <v>2020659</v>
      </c>
      <c r="G622" s="1248"/>
      <c r="H622" s="1248">
        <v>340</v>
      </c>
      <c r="I622" s="1255">
        <v>135</v>
      </c>
      <c r="J622" s="1255"/>
    </row>
    <row r="623" spans="2:10" ht="14" x14ac:dyDescent="0.15">
      <c r="B623" s="1243" t="s">
        <v>767</v>
      </c>
      <c r="C623" s="1288">
        <v>56</v>
      </c>
      <c r="D623" s="1288">
        <v>8</v>
      </c>
      <c r="E623" s="1288">
        <v>1</v>
      </c>
      <c r="F623" s="1307">
        <v>2020659</v>
      </c>
      <c r="G623" s="1244">
        <v>612</v>
      </c>
      <c r="H623" s="1245">
        <v>241</v>
      </c>
      <c r="I623" s="1252">
        <v>0</v>
      </c>
      <c r="J623" s="1247"/>
    </row>
    <row r="624" spans="2:10" ht="26" x14ac:dyDescent="0.15">
      <c r="B624" s="1239" t="s">
        <v>1165</v>
      </c>
      <c r="C624" s="1288">
        <v>56</v>
      </c>
      <c r="D624" s="1288">
        <v>8</v>
      </c>
      <c r="E624" s="1288">
        <v>1</v>
      </c>
      <c r="F624" s="1307">
        <v>2020659</v>
      </c>
      <c r="G624" s="2163">
        <v>600</v>
      </c>
      <c r="H624" s="2162"/>
      <c r="I624" s="2164">
        <v>10231.200000000001</v>
      </c>
      <c r="J624" s="1241">
        <v>0</v>
      </c>
    </row>
    <row r="625" spans="2:10" ht="39" x14ac:dyDescent="0.15">
      <c r="B625" s="1243" t="s">
        <v>1135</v>
      </c>
      <c r="C625" s="1288">
        <v>56</v>
      </c>
      <c r="D625" s="1288">
        <v>8</v>
      </c>
      <c r="E625" s="1288">
        <v>1</v>
      </c>
      <c r="F625" s="1307">
        <v>2020659</v>
      </c>
      <c r="G625" s="1245">
        <v>611</v>
      </c>
      <c r="H625" s="1244">
        <v>241</v>
      </c>
      <c r="I625" s="1265">
        <v>10231.200000000001</v>
      </c>
      <c r="J625" s="1289">
        <v>0</v>
      </c>
    </row>
    <row r="626" spans="2:10" ht="14" x14ac:dyDescent="0.15">
      <c r="B626" s="1247" t="s">
        <v>78</v>
      </c>
      <c r="C626" s="1288">
        <v>56</v>
      </c>
      <c r="D626" s="1288">
        <v>8</v>
      </c>
      <c r="E626" s="1288">
        <v>1</v>
      </c>
      <c r="F626" s="1307">
        <v>2020659</v>
      </c>
      <c r="G626" s="1248"/>
      <c r="H626" s="1248">
        <v>211</v>
      </c>
      <c r="I626" s="1254">
        <v>7132</v>
      </c>
      <c r="J626" s="1255"/>
    </row>
    <row r="627" spans="2:10" ht="14" x14ac:dyDescent="0.15">
      <c r="B627" s="1247" t="s">
        <v>103</v>
      </c>
      <c r="C627" s="1288">
        <v>56</v>
      </c>
      <c r="D627" s="1288">
        <v>8</v>
      </c>
      <c r="E627" s="1288">
        <v>1</v>
      </c>
      <c r="F627" s="1307">
        <v>2020659</v>
      </c>
      <c r="G627" s="1248"/>
      <c r="H627" s="1248">
        <v>212</v>
      </c>
      <c r="I627" s="1255"/>
      <c r="J627" s="1255"/>
    </row>
    <row r="628" spans="2:10" ht="14" x14ac:dyDescent="0.15">
      <c r="B628" s="1247" t="s">
        <v>84</v>
      </c>
      <c r="C628" s="1288">
        <v>56</v>
      </c>
      <c r="D628" s="1288">
        <v>8</v>
      </c>
      <c r="E628" s="1288">
        <v>1</v>
      </c>
      <c r="F628" s="1307">
        <v>2020659</v>
      </c>
      <c r="G628" s="1248"/>
      <c r="H628" s="1248">
        <v>213</v>
      </c>
      <c r="I628" s="1254">
        <v>2078.3000000000002</v>
      </c>
      <c r="J628" s="1255"/>
    </row>
    <row r="629" spans="2:10" ht="14" x14ac:dyDescent="0.15">
      <c r="B629" s="1247" t="s">
        <v>85</v>
      </c>
      <c r="C629" s="1288">
        <v>56</v>
      </c>
      <c r="D629" s="1288">
        <v>8</v>
      </c>
      <c r="E629" s="1288">
        <v>1</v>
      </c>
      <c r="F629" s="1307">
        <v>2020659</v>
      </c>
      <c r="G629" s="1248"/>
      <c r="H629" s="1248">
        <v>221</v>
      </c>
      <c r="I629" s="1255"/>
      <c r="J629" s="1255"/>
    </row>
    <row r="630" spans="2:10" ht="14" x14ac:dyDescent="0.15">
      <c r="B630" s="1247" t="s">
        <v>86</v>
      </c>
      <c r="C630" s="1288">
        <v>56</v>
      </c>
      <c r="D630" s="1288">
        <v>8</v>
      </c>
      <c r="E630" s="1288">
        <v>1</v>
      </c>
      <c r="F630" s="1307">
        <v>2020659</v>
      </c>
      <c r="G630" s="1248"/>
      <c r="H630" s="1248">
        <v>222</v>
      </c>
      <c r="I630" s="1255"/>
      <c r="J630" s="1255"/>
    </row>
    <row r="631" spans="2:10" ht="14" x14ac:dyDescent="0.15">
      <c r="B631" s="1247" t="s">
        <v>87</v>
      </c>
      <c r="C631" s="1288">
        <v>56</v>
      </c>
      <c r="D631" s="1288">
        <v>8</v>
      </c>
      <c r="E631" s="1288">
        <v>1</v>
      </c>
      <c r="F631" s="1307">
        <v>2020659</v>
      </c>
      <c r="G631" s="1248"/>
      <c r="H631" s="1248">
        <v>223</v>
      </c>
      <c r="I631" s="1255"/>
      <c r="J631" s="1255"/>
    </row>
    <row r="632" spans="2:10" ht="14" x14ac:dyDescent="0.15">
      <c r="B632" s="1247" t="s">
        <v>134</v>
      </c>
      <c r="C632" s="1288">
        <v>56</v>
      </c>
      <c r="D632" s="1288">
        <v>8</v>
      </c>
      <c r="E632" s="1288">
        <v>1</v>
      </c>
      <c r="F632" s="1307">
        <v>2020659</v>
      </c>
      <c r="G632" s="1248"/>
      <c r="H632" s="1248">
        <v>224</v>
      </c>
      <c r="I632" s="1255"/>
      <c r="J632" s="1255"/>
    </row>
    <row r="633" spans="2:10" ht="14" x14ac:dyDescent="0.15">
      <c r="B633" s="1247" t="s">
        <v>90</v>
      </c>
      <c r="C633" s="1288">
        <v>56</v>
      </c>
      <c r="D633" s="1288">
        <v>8</v>
      </c>
      <c r="E633" s="1288">
        <v>1</v>
      </c>
      <c r="F633" s="1307">
        <v>2020659</v>
      </c>
      <c r="G633" s="1248"/>
      <c r="H633" s="1248">
        <v>225</v>
      </c>
      <c r="I633" s="1255"/>
      <c r="J633" s="1255"/>
    </row>
    <row r="634" spans="2:10" ht="14" x14ac:dyDescent="0.15">
      <c r="B634" s="1247" t="s">
        <v>91</v>
      </c>
      <c r="C634" s="1288">
        <v>56</v>
      </c>
      <c r="D634" s="1288">
        <v>8</v>
      </c>
      <c r="E634" s="1288">
        <v>1</v>
      </c>
      <c r="F634" s="1307">
        <v>2020659</v>
      </c>
      <c r="G634" s="1248"/>
      <c r="H634" s="1248">
        <v>226</v>
      </c>
      <c r="I634" s="1255"/>
      <c r="J634" s="1255"/>
    </row>
    <row r="635" spans="2:10" ht="14" x14ac:dyDescent="0.15">
      <c r="B635" s="1247" t="s">
        <v>94</v>
      </c>
      <c r="C635" s="1288">
        <v>56</v>
      </c>
      <c r="D635" s="1288">
        <v>8</v>
      </c>
      <c r="E635" s="1288">
        <v>1</v>
      </c>
      <c r="F635" s="1307">
        <v>2020659</v>
      </c>
      <c r="G635" s="1248"/>
      <c r="H635" s="1248">
        <v>290</v>
      </c>
      <c r="I635" s="1255">
        <v>20.9</v>
      </c>
      <c r="J635" s="1255"/>
    </row>
    <row r="636" spans="2:10" ht="14" x14ac:dyDescent="0.15">
      <c r="B636" s="1247" t="s">
        <v>94</v>
      </c>
      <c r="C636" s="1288">
        <v>56</v>
      </c>
      <c r="D636" s="1288">
        <v>8</v>
      </c>
      <c r="E636" s="1288">
        <v>1</v>
      </c>
      <c r="F636" s="1307">
        <v>2020659</v>
      </c>
      <c r="G636" s="1248"/>
      <c r="H636" s="1248">
        <v>290</v>
      </c>
      <c r="I636" s="1255"/>
      <c r="J636" s="1255"/>
    </row>
    <row r="637" spans="2:10" ht="14" x14ac:dyDescent="0.15">
      <c r="B637" s="1247" t="s">
        <v>96</v>
      </c>
      <c r="C637" s="1288">
        <v>56</v>
      </c>
      <c r="D637" s="1288">
        <v>8</v>
      </c>
      <c r="E637" s="1288">
        <v>1</v>
      </c>
      <c r="F637" s="1307">
        <v>2020659</v>
      </c>
      <c r="G637" s="1248"/>
      <c r="H637" s="1248">
        <v>310</v>
      </c>
      <c r="I637" s="1255">
        <v>507</v>
      </c>
      <c r="J637" s="1255"/>
    </row>
    <row r="638" spans="2:10" ht="14" x14ac:dyDescent="0.15">
      <c r="B638" s="1247" t="s">
        <v>97</v>
      </c>
      <c r="C638" s="1288">
        <v>56</v>
      </c>
      <c r="D638" s="1288">
        <v>8</v>
      </c>
      <c r="E638" s="1288">
        <v>1</v>
      </c>
      <c r="F638" s="1307">
        <v>2020659</v>
      </c>
      <c r="G638" s="1248"/>
      <c r="H638" s="1248">
        <v>340</v>
      </c>
      <c r="I638" s="1255">
        <v>493</v>
      </c>
      <c r="J638" s="1255"/>
    </row>
    <row r="639" spans="2:10" ht="14" x14ac:dyDescent="0.15">
      <c r="B639" s="1243" t="s">
        <v>767</v>
      </c>
      <c r="C639" s="1288">
        <v>56</v>
      </c>
      <c r="D639" s="1288">
        <v>8</v>
      </c>
      <c r="E639" s="1288">
        <v>1</v>
      </c>
      <c r="F639" s="1307">
        <v>2020659</v>
      </c>
      <c r="G639" s="1244">
        <v>612</v>
      </c>
      <c r="H639" s="1245">
        <v>241</v>
      </c>
      <c r="I639" s="1252">
        <v>0</v>
      </c>
      <c r="J639" s="1247"/>
    </row>
    <row r="640" spans="2:10" ht="26" x14ac:dyDescent="0.15">
      <c r="B640" s="1239" t="s">
        <v>1166</v>
      </c>
      <c r="C640" s="1288">
        <v>56</v>
      </c>
      <c r="D640" s="1288">
        <v>8</v>
      </c>
      <c r="E640" s="1288">
        <v>1</v>
      </c>
      <c r="F640" s="1307">
        <v>2020659</v>
      </c>
      <c r="G640" s="2163">
        <v>600</v>
      </c>
      <c r="H640" s="2162"/>
      <c r="I640" s="2164">
        <v>12463.6</v>
      </c>
      <c r="J640" s="1241">
        <v>0</v>
      </c>
    </row>
    <row r="641" spans="2:10" ht="39" x14ac:dyDescent="0.15">
      <c r="B641" s="1243" t="s">
        <v>1135</v>
      </c>
      <c r="C641" s="1288">
        <v>56</v>
      </c>
      <c r="D641" s="1288">
        <v>8</v>
      </c>
      <c r="E641" s="1288">
        <v>1</v>
      </c>
      <c r="F641" s="1307">
        <v>2020659</v>
      </c>
      <c r="G641" s="1245">
        <v>611</v>
      </c>
      <c r="H641" s="1244">
        <v>241</v>
      </c>
      <c r="I641" s="1265">
        <v>12463.6</v>
      </c>
      <c r="J641" s="1289">
        <v>0</v>
      </c>
    </row>
    <row r="642" spans="2:10" ht="14" x14ac:dyDescent="0.15">
      <c r="B642" s="1247" t="s">
        <v>78</v>
      </c>
      <c r="C642" s="1288">
        <v>56</v>
      </c>
      <c r="D642" s="1288">
        <v>8</v>
      </c>
      <c r="E642" s="1288">
        <v>1</v>
      </c>
      <c r="F642" s="1307">
        <v>2020659</v>
      </c>
      <c r="G642" s="1248"/>
      <c r="H642" s="1248">
        <v>211</v>
      </c>
      <c r="I642" s="1254">
        <v>8673.7000000000007</v>
      </c>
      <c r="J642" s="1255"/>
    </row>
    <row r="643" spans="2:10" ht="14" x14ac:dyDescent="0.15">
      <c r="B643" s="1247" t="s">
        <v>103</v>
      </c>
      <c r="C643" s="1288">
        <v>56</v>
      </c>
      <c r="D643" s="1288">
        <v>8</v>
      </c>
      <c r="E643" s="1288">
        <v>1</v>
      </c>
      <c r="F643" s="1307">
        <v>2020659</v>
      </c>
      <c r="G643" s="1248"/>
      <c r="H643" s="1248">
        <v>212</v>
      </c>
      <c r="I643" s="1255"/>
      <c r="J643" s="1255"/>
    </row>
    <row r="644" spans="2:10" ht="14" x14ac:dyDescent="0.15">
      <c r="B644" s="1247" t="s">
        <v>84</v>
      </c>
      <c r="C644" s="1288">
        <v>56</v>
      </c>
      <c r="D644" s="1288">
        <v>8</v>
      </c>
      <c r="E644" s="1288">
        <v>1</v>
      </c>
      <c r="F644" s="1307">
        <v>2020659</v>
      </c>
      <c r="G644" s="1248"/>
      <c r="H644" s="1248">
        <v>213</v>
      </c>
      <c r="I644" s="1254">
        <v>2527.5</v>
      </c>
      <c r="J644" s="1255"/>
    </row>
    <row r="645" spans="2:10" ht="14" x14ac:dyDescent="0.15">
      <c r="B645" s="1247" t="s">
        <v>85</v>
      </c>
      <c r="C645" s="1288">
        <v>56</v>
      </c>
      <c r="D645" s="1288">
        <v>8</v>
      </c>
      <c r="E645" s="1288">
        <v>1</v>
      </c>
      <c r="F645" s="1307">
        <v>2020659</v>
      </c>
      <c r="G645" s="1248"/>
      <c r="H645" s="1248">
        <v>221</v>
      </c>
      <c r="I645" s="1255"/>
      <c r="J645" s="1255"/>
    </row>
    <row r="646" spans="2:10" ht="14" x14ac:dyDescent="0.15">
      <c r="B646" s="1247" t="s">
        <v>86</v>
      </c>
      <c r="C646" s="1288">
        <v>56</v>
      </c>
      <c r="D646" s="1288">
        <v>8</v>
      </c>
      <c r="E646" s="1288">
        <v>1</v>
      </c>
      <c r="F646" s="1307">
        <v>2020659</v>
      </c>
      <c r="G646" s="1248"/>
      <c r="H646" s="1248">
        <v>222</v>
      </c>
      <c r="I646" s="1255"/>
      <c r="J646" s="1255"/>
    </row>
    <row r="647" spans="2:10" ht="14" x14ac:dyDescent="0.15">
      <c r="B647" s="1247" t="s">
        <v>87</v>
      </c>
      <c r="C647" s="1288">
        <v>56</v>
      </c>
      <c r="D647" s="1288">
        <v>8</v>
      </c>
      <c r="E647" s="1288">
        <v>1</v>
      </c>
      <c r="F647" s="1307">
        <v>2020659</v>
      </c>
      <c r="G647" s="1248"/>
      <c r="H647" s="1248">
        <v>223</v>
      </c>
      <c r="I647" s="1255">
        <v>195.8</v>
      </c>
      <c r="J647" s="1255"/>
    </row>
    <row r="648" spans="2:10" ht="14" x14ac:dyDescent="0.15">
      <c r="B648" s="1247" t="s">
        <v>134</v>
      </c>
      <c r="C648" s="1288">
        <v>56</v>
      </c>
      <c r="D648" s="1288">
        <v>8</v>
      </c>
      <c r="E648" s="1288">
        <v>1</v>
      </c>
      <c r="F648" s="1307">
        <v>2020659</v>
      </c>
      <c r="G648" s="1248"/>
      <c r="H648" s="1248">
        <v>224</v>
      </c>
      <c r="I648" s="1255"/>
      <c r="J648" s="1255"/>
    </row>
    <row r="649" spans="2:10" ht="14" x14ac:dyDescent="0.15">
      <c r="B649" s="1247" t="s">
        <v>90</v>
      </c>
      <c r="C649" s="1288">
        <v>56</v>
      </c>
      <c r="D649" s="1288">
        <v>8</v>
      </c>
      <c r="E649" s="1288">
        <v>1</v>
      </c>
      <c r="F649" s="1307">
        <v>2020659</v>
      </c>
      <c r="G649" s="1248"/>
      <c r="H649" s="1248">
        <v>225</v>
      </c>
      <c r="I649" s="1255">
        <v>54.5</v>
      </c>
      <c r="J649" s="1255"/>
    </row>
    <row r="650" spans="2:10" ht="14" x14ac:dyDescent="0.15">
      <c r="B650" s="1247" t="s">
        <v>91</v>
      </c>
      <c r="C650" s="1288">
        <v>56</v>
      </c>
      <c r="D650" s="1288">
        <v>8</v>
      </c>
      <c r="E650" s="1288">
        <v>1</v>
      </c>
      <c r="F650" s="1307">
        <v>2020659</v>
      </c>
      <c r="G650" s="1248"/>
      <c r="H650" s="1248">
        <v>226</v>
      </c>
      <c r="I650" s="1255">
        <v>47.5</v>
      </c>
      <c r="J650" s="1255"/>
    </row>
    <row r="651" spans="2:10" ht="14" x14ac:dyDescent="0.15">
      <c r="B651" s="1247" t="s">
        <v>94</v>
      </c>
      <c r="C651" s="1288">
        <v>56</v>
      </c>
      <c r="D651" s="1288">
        <v>8</v>
      </c>
      <c r="E651" s="1288">
        <v>1</v>
      </c>
      <c r="F651" s="1307">
        <v>2020659</v>
      </c>
      <c r="G651" s="1248"/>
      <c r="H651" s="1248">
        <v>290</v>
      </c>
      <c r="I651" s="1255">
        <v>66.599999999999994</v>
      </c>
      <c r="J651" s="1255"/>
    </row>
    <row r="652" spans="2:10" ht="14" x14ac:dyDescent="0.15">
      <c r="B652" s="1247" t="s">
        <v>94</v>
      </c>
      <c r="C652" s="1288">
        <v>56</v>
      </c>
      <c r="D652" s="1288">
        <v>8</v>
      </c>
      <c r="E652" s="1288">
        <v>1</v>
      </c>
      <c r="F652" s="1307">
        <v>2020659</v>
      </c>
      <c r="G652" s="1248"/>
      <c r="H652" s="1248">
        <v>290</v>
      </c>
      <c r="I652" s="1255"/>
      <c r="J652" s="1255"/>
    </row>
    <row r="653" spans="2:10" ht="14" x14ac:dyDescent="0.15">
      <c r="B653" s="1247" t="s">
        <v>96</v>
      </c>
      <c r="C653" s="1288">
        <v>56</v>
      </c>
      <c r="D653" s="1288">
        <v>8</v>
      </c>
      <c r="E653" s="1288">
        <v>1</v>
      </c>
      <c r="F653" s="1307">
        <v>2020659</v>
      </c>
      <c r="G653" s="1248"/>
      <c r="H653" s="1248">
        <v>310</v>
      </c>
      <c r="I653" s="1255">
        <v>757</v>
      </c>
      <c r="J653" s="1255"/>
    </row>
    <row r="654" spans="2:10" ht="14" x14ac:dyDescent="0.15">
      <c r="B654" s="1247" t="s">
        <v>97</v>
      </c>
      <c r="C654" s="1288">
        <v>56</v>
      </c>
      <c r="D654" s="1288">
        <v>8</v>
      </c>
      <c r="E654" s="1288">
        <v>1</v>
      </c>
      <c r="F654" s="1307">
        <v>2020659</v>
      </c>
      <c r="G654" s="1248"/>
      <c r="H654" s="1248">
        <v>340</v>
      </c>
      <c r="I654" s="1255">
        <v>141</v>
      </c>
      <c r="J654" s="1255"/>
    </row>
    <row r="655" spans="2:10" ht="14" x14ac:dyDescent="0.15">
      <c r="B655" s="1243" t="s">
        <v>767</v>
      </c>
      <c r="C655" s="1288">
        <v>56</v>
      </c>
      <c r="D655" s="1288">
        <v>8</v>
      </c>
      <c r="E655" s="1288">
        <v>1</v>
      </c>
      <c r="F655" s="1307">
        <v>2020659</v>
      </c>
      <c r="G655" s="1244">
        <v>612</v>
      </c>
      <c r="H655" s="1245">
        <v>241</v>
      </c>
      <c r="I655" s="1252">
        <v>0</v>
      </c>
      <c r="J655" s="1247"/>
    </row>
    <row r="656" spans="2:10" x14ac:dyDescent="0.15">
      <c r="B656" s="2205" t="s">
        <v>1288</v>
      </c>
      <c r="C656" s="2189"/>
      <c r="D656" s="2189"/>
      <c r="E656" s="2189"/>
      <c r="F656" s="2189"/>
      <c r="G656" s="2189"/>
      <c r="H656" s="2206"/>
      <c r="I656" s="2207">
        <v>15372.4</v>
      </c>
      <c r="J656" s="1247"/>
    </row>
    <row r="657" spans="2:10" ht="39" x14ac:dyDescent="0.15">
      <c r="B657" s="2208" t="s">
        <v>1135</v>
      </c>
      <c r="C657" s="1288">
        <v>56</v>
      </c>
      <c r="D657" s="1288">
        <v>8</v>
      </c>
      <c r="E657" s="1288">
        <v>1</v>
      </c>
      <c r="F657" s="1307">
        <v>2020659</v>
      </c>
      <c r="G657" s="1245">
        <v>611</v>
      </c>
      <c r="H657" s="1244">
        <v>241</v>
      </c>
      <c r="I657" s="1265">
        <v>15372.4</v>
      </c>
      <c r="J657" s="1247"/>
    </row>
    <row r="658" spans="2:10" ht="14" x14ac:dyDescent="0.15">
      <c r="B658" s="2209" t="s">
        <v>78</v>
      </c>
      <c r="C658" s="1288">
        <v>56</v>
      </c>
      <c r="D658" s="1288">
        <v>8</v>
      </c>
      <c r="E658" s="1288">
        <v>1</v>
      </c>
      <c r="F658" s="1307">
        <v>2020659</v>
      </c>
      <c r="G658" s="1248"/>
      <c r="H658" s="1248">
        <v>211</v>
      </c>
      <c r="I658" s="2210">
        <v>3843.3</v>
      </c>
      <c r="J658" s="1247"/>
    </row>
    <row r="659" spans="2:10" ht="14" x14ac:dyDescent="0.15">
      <c r="B659" s="2209" t="s">
        <v>103</v>
      </c>
      <c r="C659" s="1288">
        <v>56</v>
      </c>
      <c r="D659" s="1288">
        <v>8</v>
      </c>
      <c r="E659" s="1288">
        <v>1</v>
      </c>
      <c r="F659" s="1307">
        <v>2020659</v>
      </c>
      <c r="G659" s="1248"/>
      <c r="H659" s="1248">
        <v>212</v>
      </c>
      <c r="I659" s="2211"/>
      <c r="J659" s="1247"/>
    </row>
    <row r="660" spans="2:10" ht="14" x14ac:dyDescent="0.15">
      <c r="B660" s="2209" t="s">
        <v>84</v>
      </c>
      <c r="C660" s="1288">
        <v>56</v>
      </c>
      <c r="D660" s="1288">
        <v>8</v>
      </c>
      <c r="E660" s="1288">
        <v>1</v>
      </c>
      <c r="F660" s="1307">
        <v>2020659</v>
      </c>
      <c r="G660" s="1248"/>
      <c r="H660" s="1248">
        <v>213</v>
      </c>
      <c r="I660" s="2210">
        <v>1120</v>
      </c>
      <c r="J660" s="1247"/>
    </row>
    <row r="661" spans="2:10" ht="14" x14ac:dyDescent="0.15">
      <c r="B661" s="2209" t="s">
        <v>85</v>
      </c>
      <c r="C661" s="1288">
        <v>56</v>
      </c>
      <c r="D661" s="1288">
        <v>8</v>
      </c>
      <c r="E661" s="1288">
        <v>1</v>
      </c>
      <c r="F661" s="1307">
        <v>2020659</v>
      </c>
      <c r="G661" s="1248"/>
      <c r="H661" s="1248">
        <v>221</v>
      </c>
      <c r="I661" s="2211">
        <v>94</v>
      </c>
      <c r="J661" s="1247"/>
    </row>
    <row r="662" spans="2:10" ht="14" x14ac:dyDescent="0.15">
      <c r="B662" s="2209" t="s">
        <v>86</v>
      </c>
      <c r="C662" s="1288">
        <v>56</v>
      </c>
      <c r="D662" s="1288">
        <v>8</v>
      </c>
      <c r="E662" s="1288">
        <v>1</v>
      </c>
      <c r="F662" s="1307">
        <v>2020659</v>
      </c>
      <c r="G662" s="1248"/>
      <c r="H662" s="1248">
        <v>222</v>
      </c>
      <c r="I662" s="2211"/>
      <c r="J662" s="1247"/>
    </row>
    <row r="663" spans="2:10" ht="14" x14ac:dyDescent="0.15">
      <c r="B663" s="2209" t="s">
        <v>87</v>
      </c>
      <c r="C663" s="1288">
        <v>56</v>
      </c>
      <c r="D663" s="1288">
        <v>8</v>
      </c>
      <c r="E663" s="1288">
        <v>1</v>
      </c>
      <c r="F663" s="1307">
        <v>2020659</v>
      </c>
      <c r="G663" s="1248"/>
      <c r="H663" s="1248">
        <v>223</v>
      </c>
      <c r="I663" s="2211">
        <v>241.7</v>
      </c>
      <c r="J663" s="1247"/>
    </row>
    <row r="664" spans="2:10" ht="14" x14ac:dyDescent="0.15">
      <c r="B664" s="2209" t="s">
        <v>134</v>
      </c>
      <c r="C664" s="1288">
        <v>56</v>
      </c>
      <c r="D664" s="1288">
        <v>8</v>
      </c>
      <c r="E664" s="1288">
        <v>1</v>
      </c>
      <c r="F664" s="1307">
        <v>2020659</v>
      </c>
      <c r="G664" s="1248"/>
      <c r="H664" s="1248">
        <v>224</v>
      </c>
      <c r="I664" s="2211"/>
      <c r="J664" s="1247"/>
    </row>
    <row r="665" spans="2:10" ht="14" x14ac:dyDescent="0.15">
      <c r="B665" s="2209" t="s">
        <v>90</v>
      </c>
      <c r="C665" s="1288">
        <v>56</v>
      </c>
      <c r="D665" s="1288">
        <v>8</v>
      </c>
      <c r="E665" s="1288">
        <v>1</v>
      </c>
      <c r="F665" s="1307">
        <v>2020659</v>
      </c>
      <c r="G665" s="1248"/>
      <c r="H665" s="1248">
        <v>225</v>
      </c>
      <c r="I665" s="2211">
        <v>503</v>
      </c>
      <c r="J665" s="1247"/>
    </row>
    <row r="666" spans="2:10" ht="14" x14ac:dyDescent="0.15">
      <c r="B666" s="2209" t="s">
        <v>91</v>
      </c>
      <c r="C666" s="1288">
        <v>56</v>
      </c>
      <c r="D666" s="1288">
        <v>8</v>
      </c>
      <c r="E666" s="1288">
        <v>1</v>
      </c>
      <c r="F666" s="1307">
        <v>2020659</v>
      </c>
      <c r="G666" s="1248"/>
      <c r="H666" s="1248">
        <v>226</v>
      </c>
      <c r="I666" s="2211">
        <v>425</v>
      </c>
      <c r="J666" s="1247"/>
    </row>
    <row r="667" spans="2:10" ht="14" x14ac:dyDescent="0.15">
      <c r="B667" s="2209" t="s">
        <v>94</v>
      </c>
      <c r="C667" s="1288">
        <v>56</v>
      </c>
      <c r="D667" s="1288">
        <v>8</v>
      </c>
      <c r="E667" s="1288">
        <v>1</v>
      </c>
      <c r="F667" s="1307">
        <v>2020659</v>
      </c>
      <c r="G667" s="1248"/>
      <c r="H667" s="1248">
        <v>290</v>
      </c>
      <c r="I667" s="2211">
        <v>84.4</v>
      </c>
      <c r="J667" s="1247"/>
    </row>
    <row r="668" spans="2:10" ht="14" x14ac:dyDescent="0.15">
      <c r="B668" s="2209" t="s">
        <v>94</v>
      </c>
      <c r="C668" s="1288">
        <v>56</v>
      </c>
      <c r="D668" s="1288">
        <v>8</v>
      </c>
      <c r="E668" s="1288">
        <v>1</v>
      </c>
      <c r="F668" s="1307">
        <v>2020659</v>
      </c>
      <c r="G668" s="1248"/>
      <c r="H668" s="1248">
        <v>290</v>
      </c>
      <c r="I668" s="2211"/>
      <c r="J668" s="1247"/>
    </row>
    <row r="669" spans="2:10" ht="14" x14ac:dyDescent="0.15">
      <c r="B669" s="2209" t="s">
        <v>96</v>
      </c>
      <c r="C669" s="1288">
        <v>56</v>
      </c>
      <c r="D669" s="1288">
        <v>8</v>
      </c>
      <c r="E669" s="1288">
        <v>1</v>
      </c>
      <c r="F669" s="1307">
        <v>2020659</v>
      </c>
      <c r="G669" s="1248"/>
      <c r="H669" s="1248">
        <v>310</v>
      </c>
      <c r="I669" s="2210">
        <v>8768</v>
      </c>
      <c r="J669" s="1247"/>
    </row>
    <row r="670" spans="2:10" ht="14" x14ac:dyDescent="0.15">
      <c r="B670" s="2209" t="s">
        <v>97</v>
      </c>
      <c r="C670" s="1288">
        <v>56</v>
      </c>
      <c r="D670" s="1288">
        <v>8</v>
      </c>
      <c r="E670" s="1288">
        <v>1</v>
      </c>
      <c r="F670" s="1307">
        <v>2020659</v>
      </c>
      <c r="G670" s="1248"/>
      <c r="H670" s="1248">
        <v>340</v>
      </c>
      <c r="I670" s="2211">
        <v>293</v>
      </c>
      <c r="J670" s="1247"/>
    </row>
    <row r="671" spans="2:10" ht="14" x14ac:dyDescent="0.15">
      <c r="B671" s="2208" t="s">
        <v>767</v>
      </c>
      <c r="C671" s="1288">
        <v>56</v>
      </c>
      <c r="D671" s="1288">
        <v>8</v>
      </c>
      <c r="E671" s="1288">
        <v>1</v>
      </c>
      <c r="F671" s="1307">
        <v>2020659</v>
      </c>
      <c r="G671" s="1244">
        <v>612</v>
      </c>
      <c r="H671" s="1245">
        <v>241</v>
      </c>
      <c r="I671" s="2212">
        <v>0</v>
      </c>
      <c r="J671" s="1247"/>
    </row>
    <row r="672" spans="2:10" ht="26" x14ac:dyDescent="0.15">
      <c r="B672" s="1239" t="s">
        <v>1167</v>
      </c>
      <c r="C672" s="1288">
        <v>56</v>
      </c>
      <c r="D672" s="1288">
        <v>8</v>
      </c>
      <c r="E672" s="1288">
        <v>1</v>
      </c>
      <c r="F672" s="1307">
        <v>2020659</v>
      </c>
      <c r="G672" s="2163">
        <v>600</v>
      </c>
      <c r="H672" s="2162"/>
      <c r="I672" s="2164">
        <v>54474.400000000001</v>
      </c>
      <c r="J672" s="2164">
        <v>3000</v>
      </c>
    </row>
    <row r="673" spans="2:10" ht="39" x14ac:dyDescent="0.15">
      <c r="B673" s="1243" t="s">
        <v>1135</v>
      </c>
      <c r="C673" s="1288">
        <v>56</v>
      </c>
      <c r="D673" s="1288">
        <v>8</v>
      </c>
      <c r="E673" s="1288">
        <v>1</v>
      </c>
      <c r="F673" s="1307">
        <v>2020659</v>
      </c>
      <c r="G673" s="1245">
        <v>611</v>
      </c>
      <c r="H673" s="1244">
        <v>241</v>
      </c>
      <c r="I673" s="1265">
        <v>51474.400000000001</v>
      </c>
      <c r="J673" s="1265">
        <v>3000</v>
      </c>
    </row>
    <row r="674" spans="2:10" ht="14" x14ac:dyDescent="0.15">
      <c r="B674" s="1247" t="s">
        <v>78</v>
      </c>
      <c r="C674" s="1288">
        <v>56</v>
      </c>
      <c r="D674" s="1288">
        <v>8</v>
      </c>
      <c r="E674" s="1288">
        <v>1</v>
      </c>
      <c r="F674" s="1307">
        <v>2020659</v>
      </c>
      <c r="G674" s="1248"/>
      <c r="H674" s="1248">
        <v>211</v>
      </c>
      <c r="I674" s="1254">
        <v>25497.599999999999</v>
      </c>
      <c r="J674" s="1247"/>
    </row>
    <row r="675" spans="2:10" ht="14" x14ac:dyDescent="0.15">
      <c r="B675" s="1247" t="s">
        <v>103</v>
      </c>
      <c r="C675" s="1288">
        <v>56</v>
      </c>
      <c r="D675" s="1288">
        <v>8</v>
      </c>
      <c r="E675" s="1288">
        <v>1</v>
      </c>
      <c r="F675" s="1307">
        <v>2020659</v>
      </c>
      <c r="G675" s="1248"/>
      <c r="H675" s="1248">
        <v>212</v>
      </c>
      <c r="I675" s="1255"/>
      <c r="J675" s="1247"/>
    </row>
    <row r="676" spans="2:10" ht="14" x14ac:dyDescent="0.15">
      <c r="B676" s="1247" t="s">
        <v>84</v>
      </c>
      <c r="C676" s="1288">
        <v>56</v>
      </c>
      <c r="D676" s="1288">
        <v>8</v>
      </c>
      <c r="E676" s="1288">
        <v>1</v>
      </c>
      <c r="F676" s="1307">
        <v>2020659</v>
      </c>
      <c r="G676" s="1248"/>
      <c r="H676" s="1248">
        <v>213</v>
      </c>
      <c r="I676" s="1254">
        <v>7430</v>
      </c>
      <c r="J676" s="1247"/>
    </row>
    <row r="677" spans="2:10" ht="14" x14ac:dyDescent="0.15">
      <c r="B677" s="1247" t="s">
        <v>85</v>
      </c>
      <c r="C677" s="1288">
        <v>56</v>
      </c>
      <c r="D677" s="1288">
        <v>8</v>
      </c>
      <c r="E677" s="1288">
        <v>1</v>
      </c>
      <c r="F677" s="1307">
        <v>2020659</v>
      </c>
      <c r="G677" s="1248"/>
      <c r="H677" s="1248">
        <v>221</v>
      </c>
      <c r="I677" s="1255"/>
      <c r="J677" s="1247"/>
    </row>
    <row r="678" spans="2:10" ht="14" x14ac:dyDescent="0.15">
      <c r="B678" s="1247" t="s">
        <v>86</v>
      </c>
      <c r="C678" s="1288">
        <v>56</v>
      </c>
      <c r="D678" s="1288">
        <v>8</v>
      </c>
      <c r="E678" s="1288">
        <v>1</v>
      </c>
      <c r="F678" s="1307">
        <v>2020659</v>
      </c>
      <c r="G678" s="1248"/>
      <c r="H678" s="1248">
        <v>222</v>
      </c>
      <c r="I678" s="1255">
        <v>600</v>
      </c>
      <c r="J678" s="1247"/>
    </row>
    <row r="679" spans="2:10" ht="14" x14ac:dyDescent="0.15">
      <c r="B679" s="1247" t="s">
        <v>87</v>
      </c>
      <c r="C679" s="1288">
        <v>56</v>
      </c>
      <c r="D679" s="1288">
        <v>8</v>
      </c>
      <c r="E679" s="1288">
        <v>1</v>
      </c>
      <c r="F679" s="1307">
        <v>2020659</v>
      </c>
      <c r="G679" s="1248"/>
      <c r="H679" s="1248">
        <v>223</v>
      </c>
      <c r="I679" s="1255">
        <v>407.7</v>
      </c>
      <c r="J679" s="1247"/>
    </row>
    <row r="680" spans="2:10" ht="14" x14ac:dyDescent="0.15">
      <c r="B680" s="1247" t="s">
        <v>134</v>
      </c>
      <c r="C680" s="1288">
        <v>56</v>
      </c>
      <c r="D680" s="1288">
        <v>8</v>
      </c>
      <c r="E680" s="1288">
        <v>1</v>
      </c>
      <c r="F680" s="1307">
        <v>2020659</v>
      </c>
      <c r="G680" s="1248"/>
      <c r="H680" s="1248">
        <v>224</v>
      </c>
      <c r="I680" s="1255"/>
      <c r="J680" s="1247"/>
    </row>
    <row r="681" spans="2:10" ht="14" x14ac:dyDescent="0.15">
      <c r="B681" s="1247" t="s">
        <v>90</v>
      </c>
      <c r="C681" s="1288">
        <v>56</v>
      </c>
      <c r="D681" s="1288">
        <v>8</v>
      </c>
      <c r="E681" s="1288">
        <v>1</v>
      </c>
      <c r="F681" s="1307">
        <v>2020659</v>
      </c>
      <c r="G681" s="1248"/>
      <c r="H681" s="1248">
        <v>225</v>
      </c>
      <c r="I681" s="1255">
        <v>15</v>
      </c>
      <c r="J681" s="1247"/>
    </row>
    <row r="682" spans="2:10" ht="14" x14ac:dyDescent="0.15">
      <c r="B682" s="1247" t="s">
        <v>91</v>
      </c>
      <c r="C682" s="1288">
        <v>56</v>
      </c>
      <c r="D682" s="1288">
        <v>8</v>
      </c>
      <c r="E682" s="1288">
        <v>1</v>
      </c>
      <c r="F682" s="1307">
        <v>2020659</v>
      </c>
      <c r="G682" s="1248"/>
      <c r="H682" s="1248">
        <v>226</v>
      </c>
      <c r="I682" s="1254">
        <v>17215.099999999999</v>
      </c>
      <c r="J682" s="1249">
        <v>3000</v>
      </c>
    </row>
    <row r="683" spans="2:10" ht="14" x14ac:dyDescent="0.15">
      <c r="B683" s="1247" t="s">
        <v>94</v>
      </c>
      <c r="C683" s="1288">
        <v>56</v>
      </c>
      <c r="D683" s="1288">
        <v>8</v>
      </c>
      <c r="E683" s="1288">
        <v>1</v>
      </c>
      <c r="F683" s="1307">
        <v>2020659</v>
      </c>
      <c r="G683" s="1248"/>
      <c r="H683" s="1248">
        <v>290</v>
      </c>
      <c r="I683" s="1255">
        <v>309</v>
      </c>
      <c r="J683" s="1247"/>
    </row>
    <row r="684" spans="2:10" ht="14" x14ac:dyDescent="0.15">
      <c r="B684" s="1247" t="s">
        <v>94</v>
      </c>
      <c r="C684" s="1288">
        <v>56</v>
      </c>
      <c r="D684" s="1288">
        <v>8</v>
      </c>
      <c r="E684" s="1288">
        <v>1</v>
      </c>
      <c r="F684" s="1307">
        <v>2020659</v>
      </c>
      <c r="G684" s="1248"/>
      <c r="H684" s="1248">
        <v>290</v>
      </c>
      <c r="I684" s="1255"/>
      <c r="J684" s="1247"/>
    </row>
    <row r="685" spans="2:10" ht="14" x14ac:dyDescent="0.15">
      <c r="B685" s="1247" t="s">
        <v>96</v>
      </c>
      <c r="C685" s="1288">
        <v>56</v>
      </c>
      <c r="D685" s="1288">
        <v>8</v>
      </c>
      <c r="E685" s="1288">
        <v>1</v>
      </c>
      <c r="F685" s="1307">
        <v>2020659</v>
      </c>
      <c r="G685" s="1248"/>
      <c r="H685" s="1248">
        <v>310</v>
      </c>
      <c r="I685" s="2184"/>
      <c r="J685" s="1247"/>
    </row>
    <row r="686" spans="2:10" ht="14" x14ac:dyDescent="0.15">
      <c r="B686" s="1247" t="s">
        <v>97</v>
      </c>
      <c r="C686" s="1288">
        <v>56</v>
      </c>
      <c r="D686" s="1288">
        <v>8</v>
      </c>
      <c r="E686" s="1288">
        <v>1</v>
      </c>
      <c r="F686" s="1307">
        <v>2020659</v>
      </c>
      <c r="G686" s="1248"/>
      <c r="H686" s="1248">
        <v>340</v>
      </c>
      <c r="I686" s="1255"/>
      <c r="J686" s="1247"/>
    </row>
    <row r="687" spans="2:10" ht="14" x14ac:dyDescent="0.15">
      <c r="B687" s="1243" t="s">
        <v>767</v>
      </c>
      <c r="C687" s="1288">
        <v>56</v>
      </c>
      <c r="D687" s="1288">
        <v>8</v>
      </c>
      <c r="E687" s="1288">
        <v>1</v>
      </c>
      <c r="F687" s="1307">
        <v>2020659</v>
      </c>
      <c r="G687" s="1244">
        <v>612</v>
      </c>
      <c r="H687" s="1245">
        <v>241</v>
      </c>
      <c r="I687" s="1270">
        <v>3000</v>
      </c>
      <c r="J687" s="1247"/>
    </row>
    <row r="688" spans="2:10" ht="26" x14ac:dyDescent="0.15">
      <c r="B688" s="1239" t="s">
        <v>1168</v>
      </c>
      <c r="C688" s="1288">
        <v>56</v>
      </c>
      <c r="D688" s="1288">
        <v>8</v>
      </c>
      <c r="E688" s="1288">
        <v>1</v>
      </c>
      <c r="F688" s="1307">
        <v>2020659</v>
      </c>
      <c r="G688" s="2163">
        <v>600</v>
      </c>
      <c r="H688" s="2162"/>
      <c r="I688" s="2164">
        <v>3834.1</v>
      </c>
      <c r="J688" s="1241">
        <v>0</v>
      </c>
    </row>
    <row r="689" spans="2:10" ht="39" x14ac:dyDescent="0.15">
      <c r="B689" s="1243" t="s">
        <v>1135</v>
      </c>
      <c r="C689" s="1288">
        <v>56</v>
      </c>
      <c r="D689" s="1288">
        <v>8</v>
      </c>
      <c r="E689" s="1288">
        <v>1</v>
      </c>
      <c r="F689" s="1307">
        <v>2020659</v>
      </c>
      <c r="G689" s="1245">
        <v>611</v>
      </c>
      <c r="H689" s="1244">
        <v>241</v>
      </c>
      <c r="I689" s="1265">
        <v>3834.1</v>
      </c>
      <c r="J689" s="1289">
        <v>0</v>
      </c>
    </row>
    <row r="690" spans="2:10" ht="14" x14ac:dyDescent="0.15">
      <c r="B690" s="1247" t="s">
        <v>78</v>
      </c>
      <c r="C690" s="1288">
        <v>56</v>
      </c>
      <c r="D690" s="1288">
        <v>8</v>
      </c>
      <c r="E690" s="1288">
        <v>1</v>
      </c>
      <c r="F690" s="1307">
        <v>2020659</v>
      </c>
      <c r="G690" s="1248"/>
      <c r="H690" s="1248">
        <v>211</v>
      </c>
      <c r="I690" s="1254">
        <v>2845.8</v>
      </c>
      <c r="J690" s="1255"/>
    </row>
    <row r="691" spans="2:10" ht="14" x14ac:dyDescent="0.15">
      <c r="B691" s="1247" t="s">
        <v>103</v>
      </c>
      <c r="C691" s="1288">
        <v>56</v>
      </c>
      <c r="D691" s="1288">
        <v>8</v>
      </c>
      <c r="E691" s="1288">
        <v>1</v>
      </c>
      <c r="F691" s="1307">
        <v>2020659</v>
      </c>
      <c r="G691" s="1248"/>
      <c r="H691" s="1248">
        <v>212</v>
      </c>
      <c r="I691" s="1255"/>
      <c r="J691" s="1255"/>
    </row>
    <row r="692" spans="2:10" ht="14" x14ac:dyDescent="0.15">
      <c r="B692" s="1247" t="s">
        <v>84</v>
      </c>
      <c r="C692" s="1288">
        <v>56</v>
      </c>
      <c r="D692" s="1288">
        <v>8</v>
      </c>
      <c r="E692" s="1288">
        <v>1</v>
      </c>
      <c r="F692" s="1307">
        <v>2020659</v>
      </c>
      <c r="G692" s="1248"/>
      <c r="H692" s="1248">
        <v>213</v>
      </c>
      <c r="I692" s="1255">
        <v>829.3</v>
      </c>
      <c r="J692" s="1255"/>
    </row>
    <row r="693" spans="2:10" ht="14" x14ac:dyDescent="0.15">
      <c r="B693" s="1247" t="s">
        <v>85</v>
      </c>
      <c r="C693" s="1288">
        <v>56</v>
      </c>
      <c r="D693" s="1288">
        <v>8</v>
      </c>
      <c r="E693" s="1288">
        <v>1</v>
      </c>
      <c r="F693" s="1307">
        <v>2020659</v>
      </c>
      <c r="G693" s="1248"/>
      <c r="H693" s="1248">
        <v>221</v>
      </c>
      <c r="I693" s="1255"/>
      <c r="J693" s="1255"/>
    </row>
    <row r="694" spans="2:10" ht="14" x14ac:dyDescent="0.15">
      <c r="B694" s="1247" t="s">
        <v>86</v>
      </c>
      <c r="C694" s="1288">
        <v>56</v>
      </c>
      <c r="D694" s="1288">
        <v>8</v>
      </c>
      <c r="E694" s="1288">
        <v>1</v>
      </c>
      <c r="F694" s="1307">
        <v>2020659</v>
      </c>
      <c r="G694" s="1248"/>
      <c r="H694" s="1248">
        <v>222</v>
      </c>
      <c r="I694" s="1255"/>
      <c r="J694" s="1255"/>
    </row>
    <row r="695" spans="2:10" ht="14" x14ac:dyDescent="0.15">
      <c r="B695" s="1247" t="s">
        <v>87</v>
      </c>
      <c r="C695" s="1288">
        <v>56</v>
      </c>
      <c r="D695" s="1288">
        <v>8</v>
      </c>
      <c r="E695" s="1288">
        <v>1</v>
      </c>
      <c r="F695" s="1307">
        <v>2020659</v>
      </c>
      <c r="G695" s="1248"/>
      <c r="H695" s="1248">
        <v>223</v>
      </c>
      <c r="I695" s="1255"/>
      <c r="J695" s="1255"/>
    </row>
    <row r="696" spans="2:10" ht="14" x14ac:dyDescent="0.15">
      <c r="B696" s="1247" t="s">
        <v>134</v>
      </c>
      <c r="C696" s="1288">
        <v>56</v>
      </c>
      <c r="D696" s="1288">
        <v>8</v>
      </c>
      <c r="E696" s="1288">
        <v>1</v>
      </c>
      <c r="F696" s="1307">
        <v>2020659</v>
      </c>
      <c r="G696" s="1248"/>
      <c r="H696" s="1248">
        <v>224</v>
      </c>
      <c r="I696" s="1255"/>
      <c r="J696" s="1255"/>
    </row>
    <row r="697" spans="2:10" ht="14" x14ac:dyDescent="0.15">
      <c r="B697" s="1247" t="s">
        <v>90</v>
      </c>
      <c r="C697" s="1288">
        <v>56</v>
      </c>
      <c r="D697" s="1288">
        <v>8</v>
      </c>
      <c r="E697" s="1288">
        <v>1</v>
      </c>
      <c r="F697" s="1307">
        <v>2020659</v>
      </c>
      <c r="G697" s="1248"/>
      <c r="H697" s="1248">
        <v>225</v>
      </c>
      <c r="I697" s="1255">
        <v>33.799999999999997</v>
      </c>
      <c r="J697" s="1255"/>
    </row>
    <row r="698" spans="2:10" ht="14" x14ac:dyDescent="0.15">
      <c r="B698" s="1247" t="s">
        <v>91</v>
      </c>
      <c r="C698" s="1288">
        <v>56</v>
      </c>
      <c r="D698" s="1288">
        <v>8</v>
      </c>
      <c r="E698" s="1288">
        <v>1</v>
      </c>
      <c r="F698" s="1307">
        <v>2020659</v>
      </c>
      <c r="G698" s="1248"/>
      <c r="H698" s="1248">
        <v>226</v>
      </c>
      <c r="I698" s="1255">
        <v>30</v>
      </c>
      <c r="J698" s="1255"/>
    </row>
    <row r="699" spans="2:10" ht="14" x14ac:dyDescent="0.15">
      <c r="B699" s="1247" t="s">
        <v>94</v>
      </c>
      <c r="C699" s="1288">
        <v>56</v>
      </c>
      <c r="D699" s="1288">
        <v>8</v>
      </c>
      <c r="E699" s="1288">
        <v>1</v>
      </c>
      <c r="F699" s="1307">
        <v>2020659</v>
      </c>
      <c r="G699" s="1248"/>
      <c r="H699" s="1248">
        <v>290</v>
      </c>
      <c r="I699" s="1255">
        <v>9</v>
      </c>
      <c r="J699" s="1255"/>
    </row>
    <row r="700" spans="2:10" ht="14" x14ac:dyDescent="0.15">
      <c r="B700" s="1247" t="s">
        <v>94</v>
      </c>
      <c r="C700" s="1288">
        <v>56</v>
      </c>
      <c r="D700" s="1288">
        <v>8</v>
      </c>
      <c r="E700" s="1288">
        <v>1</v>
      </c>
      <c r="F700" s="1307">
        <v>2020659</v>
      </c>
      <c r="G700" s="1248"/>
      <c r="H700" s="1248">
        <v>290</v>
      </c>
      <c r="I700" s="1255"/>
      <c r="J700" s="1255"/>
    </row>
    <row r="701" spans="2:10" ht="14" x14ac:dyDescent="0.15">
      <c r="B701" s="1247" t="s">
        <v>96</v>
      </c>
      <c r="C701" s="1288">
        <v>56</v>
      </c>
      <c r="D701" s="1288">
        <v>8</v>
      </c>
      <c r="E701" s="1288">
        <v>1</v>
      </c>
      <c r="F701" s="1307">
        <v>2020659</v>
      </c>
      <c r="G701" s="1248"/>
      <c r="H701" s="1248">
        <v>310</v>
      </c>
      <c r="I701" s="1255">
        <v>56.2</v>
      </c>
      <c r="J701" s="1255"/>
    </row>
    <row r="702" spans="2:10" ht="14" x14ac:dyDescent="0.15">
      <c r="B702" s="1247" t="s">
        <v>97</v>
      </c>
      <c r="C702" s="1288">
        <v>56</v>
      </c>
      <c r="D702" s="1288">
        <v>8</v>
      </c>
      <c r="E702" s="1288">
        <v>1</v>
      </c>
      <c r="F702" s="1307">
        <v>2020659</v>
      </c>
      <c r="G702" s="1248"/>
      <c r="H702" s="1248">
        <v>340</v>
      </c>
      <c r="I702" s="1255">
        <v>30</v>
      </c>
      <c r="J702" s="1255"/>
    </row>
    <row r="703" spans="2:10" ht="14" x14ac:dyDescent="0.15">
      <c r="B703" s="1243" t="s">
        <v>767</v>
      </c>
      <c r="C703" s="1288">
        <v>56</v>
      </c>
      <c r="D703" s="1288">
        <v>8</v>
      </c>
      <c r="E703" s="1288">
        <v>1</v>
      </c>
      <c r="F703" s="1307">
        <v>2020659</v>
      </c>
      <c r="G703" s="1244">
        <v>612</v>
      </c>
      <c r="H703" s="1245">
        <v>241</v>
      </c>
      <c r="I703" s="1252">
        <v>0</v>
      </c>
      <c r="J703" s="1247"/>
    </row>
    <row r="704" spans="2:10" ht="26" x14ac:dyDescent="0.15">
      <c r="B704" s="1239" t="s">
        <v>1169</v>
      </c>
      <c r="C704" s="1288">
        <v>56</v>
      </c>
      <c r="D704" s="1288">
        <v>8</v>
      </c>
      <c r="E704" s="1288">
        <v>1</v>
      </c>
      <c r="F704" s="1307">
        <v>2020659</v>
      </c>
      <c r="G704" s="2163">
        <v>600</v>
      </c>
      <c r="H704" s="2162"/>
      <c r="I704" s="2164">
        <v>23404.2</v>
      </c>
      <c r="J704" s="1241">
        <v>0</v>
      </c>
    </row>
    <row r="705" spans="2:10" ht="39" x14ac:dyDescent="0.15">
      <c r="B705" s="1243" t="s">
        <v>1135</v>
      </c>
      <c r="C705" s="1288">
        <v>56</v>
      </c>
      <c r="D705" s="1288">
        <v>8</v>
      </c>
      <c r="E705" s="1288">
        <v>1</v>
      </c>
      <c r="F705" s="1307">
        <v>2020659</v>
      </c>
      <c r="G705" s="1245">
        <v>611</v>
      </c>
      <c r="H705" s="1244">
        <v>241</v>
      </c>
      <c r="I705" s="1265">
        <v>23404.2</v>
      </c>
      <c r="J705" s="1289">
        <v>0</v>
      </c>
    </row>
    <row r="706" spans="2:10" ht="14" x14ac:dyDescent="0.15">
      <c r="B706" s="1247" t="s">
        <v>78</v>
      </c>
      <c r="C706" s="1288">
        <v>56</v>
      </c>
      <c r="D706" s="1288">
        <v>8</v>
      </c>
      <c r="E706" s="1288">
        <v>1</v>
      </c>
      <c r="F706" s="1307">
        <v>2020659</v>
      </c>
      <c r="G706" s="1248"/>
      <c r="H706" s="1248">
        <v>211</v>
      </c>
      <c r="I706" s="1254">
        <v>15204.1</v>
      </c>
      <c r="J706" s="1255"/>
    </row>
    <row r="707" spans="2:10" ht="14" x14ac:dyDescent="0.15">
      <c r="B707" s="1247" t="s">
        <v>103</v>
      </c>
      <c r="C707" s="1288">
        <v>56</v>
      </c>
      <c r="D707" s="1288">
        <v>8</v>
      </c>
      <c r="E707" s="1288">
        <v>1</v>
      </c>
      <c r="F707" s="1307">
        <v>2020659</v>
      </c>
      <c r="G707" s="1248"/>
      <c r="H707" s="1248">
        <v>212</v>
      </c>
      <c r="I707" s="1255"/>
      <c r="J707" s="1255"/>
    </row>
    <row r="708" spans="2:10" ht="14" x14ac:dyDescent="0.15">
      <c r="B708" s="1247" t="s">
        <v>84</v>
      </c>
      <c r="C708" s="1288">
        <v>56</v>
      </c>
      <c r="D708" s="1288">
        <v>8</v>
      </c>
      <c r="E708" s="1288">
        <v>1</v>
      </c>
      <c r="F708" s="1307">
        <v>2020659</v>
      </c>
      <c r="G708" s="1248"/>
      <c r="H708" s="1248">
        <v>213</v>
      </c>
      <c r="I708" s="1254">
        <v>4372.2</v>
      </c>
      <c r="J708" s="1255"/>
    </row>
    <row r="709" spans="2:10" ht="14" x14ac:dyDescent="0.15">
      <c r="B709" s="1247" t="s">
        <v>85</v>
      </c>
      <c r="C709" s="1288">
        <v>56</v>
      </c>
      <c r="D709" s="1288">
        <v>8</v>
      </c>
      <c r="E709" s="1288">
        <v>1</v>
      </c>
      <c r="F709" s="1307">
        <v>2020659</v>
      </c>
      <c r="G709" s="1248"/>
      <c r="H709" s="1248">
        <v>221</v>
      </c>
      <c r="I709" s="1255"/>
      <c r="J709" s="1255"/>
    </row>
    <row r="710" spans="2:10" ht="14" x14ac:dyDescent="0.15">
      <c r="B710" s="1247" t="s">
        <v>86</v>
      </c>
      <c r="C710" s="1288">
        <v>56</v>
      </c>
      <c r="D710" s="1288">
        <v>8</v>
      </c>
      <c r="E710" s="1288">
        <v>1</v>
      </c>
      <c r="F710" s="1307">
        <v>2020659</v>
      </c>
      <c r="G710" s="1248"/>
      <c r="H710" s="1248">
        <v>222</v>
      </c>
      <c r="I710" s="1255"/>
      <c r="J710" s="1255"/>
    </row>
    <row r="711" spans="2:10" ht="14" x14ac:dyDescent="0.15">
      <c r="B711" s="1247" t="s">
        <v>87</v>
      </c>
      <c r="C711" s="1288">
        <v>56</v>
      </c>
      <c r="D711" s="1288">
        <v>8</v>
      </c>
      <c r="E711" s="1288">
        <v>1</v>
      </c>
      <c r="F711" s="1307">
        <v>2020659</v>
      </c>
      <c r="G711" s="1248"/>
      <c r="H711" s="1248">
        <v>223</v>
      </c>
      <c r="I711" s="1255"/>
      <c r="J711" s="1255"/>
    </row>
    <row r="712" spans="2:10" ht="14" x14ac:dyDescent="0.15">
      <c r="B712" s="1247" t="s">
        <v>134</v>
      </c>
      <c r="C712" s="1288">
        <v>56</v>
      </c>
      <c r="D712" s="1288">
        <v>8</v>
      </c>
      <c r="E712" s="1288">
        <v>1</v>
      </c>
      <c r="F712" s="1307">
        <v>2020659</v>
      </c>
      <c r="G712" s="1248"/>
      <c r="H712" s="1248">
        <v>224</v>
      </c>
      <c r="I712" s="1255"/>
      <c r="J712" s="1255"/>
    </row>
    <row r="713" spans="2:10" ht="14" x14ac:dyDescent="0.15">
      <c r="B713" s="1247" t="s">
        <v>90</v>
      </c>
      <c r="C713" s="1288">
        <v>56</v>
      </c>
      <c r="D713" s="1288">
        <v>8</v>
      </c>
      <c r="E713" s="1288">
        <v>1</v>
      </c>
      <c r="F713" s="1307">
        <v>2020659</v>
      </c>
      <c r="G713" s="1248"/>
      <c r="H713" s="1248">
        <v>225</v>
      </c>
      <c r="I713" s="1255"/>
      <c r="J713" s="1255"/>
    </row>
    <row r="714" spans="2:10" ht="14" x14ac:dyDescent="0.15">
      <c r="B714" s="1247" t="s">
        <v>91</v>
      </c>
      <c r="C714" s="1288">
        <v>56</v>
      </c>
      <c r="D714" s="1288">
        <v>8</v>
      </c>
      <c r="E714" s="1288">
        <v>1</v>
      </c>
      <c r="F714" s="1307">
        <v>2020659</v>
      </c>
      <c r="G714" s="1248"/>
      <c r="H714" s="1248">
        <v>226</v>
      </c>
      <c r="I714" s="1254">
        <v>3300</v>
      </c>
      <c r="J714" s="1255"/>
    </row>
    <row r="715" spans="2:10" ht="14" x14ac:dyDescent="0.15">
      <c r="B715" s="1247" t="s">
        <v>94</v>
      </c>
      <c r="C715" s="1288">
        <v>56</v>
      </c>
      <c r="D715" s="1288">
        <v>8</v>
      </c>
      <c r="E715" s="1288">
        <v>1</v>
      </c>
      <c r="F715" s="1307">
        <v>2020659</v>
      </c>
      <c r="G715" s="1248"/>
      <c r="H715" s="1248">
        <v>290</v>
      </c>
      <c r="I715" s="1255">
        <v>27.9</v>
      </c>
      <c r="J715" s="1255"/>
    </row>
    <row r="716" spans="2:10" ht="14" x14ac:dyDescent="0.15">
      <c r="B716" s="1247" t="s">
        <v>94</v>
      </c>
      <c r="C716" s="1288">
        <v>56</v>
      </c>
      <c r="D716" s="1288">
        <v>8</v>
      </c>
      <c r="E716" s="1288">
        <v>1</v>
      </c>
      <c r="F716" s="1307">
        <v>2020659</v>
      </c>
      <c r="G716" s="1248"/>
      <c r="H716" s="1248">
        <v>290</v>
      </c>
      <c r="I716" s="1255"/>
      <c r="J716" s="1255"/>
    </row>
    <row r="717" spans="2:10" ht="14" x14ac:dyDescent="0.15">
      <c r="B717" s="1247" t="s">
        <v>96</v>
      </c>
      <c r="C717" s="1288">
        <v>56</v>
      </c>
      <c r="D717" s="1288">
        <v>8</v>
      </c>
      <c r="E717" s="1288">
        <v>1</v>
      </c>
      <c r="F717" s="1307">
        <v>2020659</v>
      </c>
      <c r="G717" s="1248"/>
      <c r="H717" s="1248">
        <v>310</v>
      </c>
      <c r="I717" s="1255">
        <v>500</v>
      </c>
      <c r="J717" s="1255"/>
    </row>
    <row r="718" spans="2:10" ht="14" x14ac:dyDescent="0.15">
      <c r="B718" s="1247" t="s">
        <v>97</v>
      </c>
      <c r="C718" s="1288">
        <v>56</v>
      </c>
      <c r="D718" s="1288">
        <v>8</v>
      </c>
      <c r="E718" s="1288">
        <v>1</v>
      </c>
      <c r="F718" s="1307">
        <v>2020659</v>
      </c>
      <c r="G718" s="1248"/>
      <c r="H718" s="1248">
        <v>340</v>
      </c>
      <c r="I718" s="1255"/>
      <c r="J718" s="1255"/>
    </row>
    <row r="719" spans="2:10" ht="14" x14ac:dyDescent="0.15">
      <c r="B719" s="1243" t="s">
        <v>767</v>
      </c>
      <c r="C719" s="1288">
        <v>56</v>
      </c>
      <c r="D719" s="1288">
        <v>8</v>
      </c>
      <c r="E719" s="1288">
        <v>1</v>
      </c>
      <c r="F719" s="1307">
        <v>2020659</v>
      </c>
      <c r="G719" s="1244">
        <v>612</v>
      </c>
      <c r="H719" s="1245">
        <v>241</v>
      </c>
      <c r="I719" s="1252">
        <v>0</v>
      </c>
      <c r="J719" s="1247"/>
    </row>
    <row r="720" spans="2:10" ht="26" x14ac:dyDescent="0.15">
      <c r="B720" s="1239" t="s">
        <v>1170</v>
      </c>
      <c r="C720" s="1288">
        <v>56</v>
      </c>
      <c r="D720" s="1288">
        <v>8</v>
      </c>
      <c r="E720" s="1288">
        <v>1</v>
      </c>
      <c r="F720" s="1307">
        <v>2020659</v>
      </c>
      <c r="G720" s="2163">
        <v>600</v>
      </c>
      <c r="H720" s="2162"/>
      <c r="I720" s="2164">
        <v>22213.7</v>
      </c>
      <c r="J720" s="1241">
        <v>0</v>
      </c>
    </row>
    <row r="721" spans="2:10" ht="39" x14ac:dyDescent="0.15">
      <c r="B721" s="1243" t="s">
        <v>1135</v>
      </c>
      <c r="C721" s="1288">
        <v>56</v>
      </c>
      <c r="D721" s="1288">
        <v>8</v>
      </c>
      <c r="E721" s="1288">
        <v>1</v>
      </c>
      <c r="F721" s="1307">
        <v>2020659</v>
      </c>
      <c r="G721" s="1245">
        <v>611</v>
      </c>
      <c r="H721" s="1244">
        <v>241</v>
      </c>
      <c r="I721" s="1265">
        <v>22213.7</v>
      </c>
      <c r="J721" s="1289">
        <v>0</v>
      </c>
    </row>
    <row r="722" spans="2:10" ht="14" x14ac:dyDescent="0.15">
      <c r="B722" s="1247" t="s">
        <v>78</v>
      </c>
      <c r="C722" s="1288">
        <v>56</v>
      </c>
      <c r="D722" s="1288">
        <v>8</v>
      </c>
      <c r="E722" s="1288">
        <v>1</v>
      </c>
      <c r="F722" s="1307">
        <v>2020659</v>
      </c>
      <c r="G722" s="1248"/>
      <c r="H722" s="1248">
        <v>211</v>
      </c>
      <c r="I722" s="1254">
        <v>16548.099999999999</v>
      </c>
      <c r="J722" s="1255"/>
    </row>
    <row r="723" spans="2:10" ht="14" x14ac:dyDescent="0.15">
      <c r="B723" s="1247" t="s">
        <v>103</v>
      </c>
      <c r="C723" s="1288">
        <v>56</v>
      </c>
      <c r="D723" s="1288">
        <v>8</v>
      </c>
      <c r="E723" s="1288">
        <v>1</v>
      </c>
      <c r="F723" s="1307">
        <v>2020659</v>
      </c>
      <c r="G723" s="1248"/>
      <c r="H723" s="1248">
        <v>212</v>
      </c>
      <c r="I723" s="1255"/>
      <c r="J723" s="1255"/>
    </row>
    <row r="724" spans="2:10" ht="14" x14ac:dyDescent="0.15">
      <c r="B724" s="1247" t="s">
        <v>84</v>
      </c>
      <c r="C724" s="1288">
        <v>56</v>
      </c>
      <c r="D724" s="1288">
        <v>8</v>
      </c>
      <c r="E724" s="1288">
        <v>1</v>
      </c>
      <c r="F724" s="1307">
        <v>2020659</v>
      </c>
      <c r="G724" s="1248"/>
      <c r="H724" s="1248">
        <v>213</v>
      </c>
      <c r="I724" s="1254">
        <v>4778.8</v>
      </c>
      <c r="J724" s="1255"/>
    </row>
    <row r="725" spans="2:10" ht="14" x14ac:dyDescent="0.15">
      <c r="B725" s="1247" t="s">
        <v>85</v>
      </c>
      <c r="C725" s="1288">
        <v>56</v>
      </c>
      <c r="D725" s="1288">
        <v>8</v>
      </c>
      <c r="E725" s="1288">
        <v>1</v>
      </c>
      <c r="F725" s="1307">
        <v>2020659</v>
      </c>
      <c r="G725" s="1248"/>
      <c r="H725" s="1248">
        <v>221</v>
      </c>
      <c r="I725" s="1255"/>
      <c r="J725" s="1255"/>
    </row>
    <row r="726" spans="2:10" ht="14" x14ac:dyDescent="0.15">
      <c r="B726" s="1247" t="s">
        <v>86</v>
      </c>
      <c r="C726" s="1288">
        <v>56</v>
      </c>
      <c r="D726" s="1288">
        <v>8</v>
      </c>
      <c r="E726" s="1288">
        <v>1</v>
      </c>
      <c r="F726" s="1307">
        <v>2020659</v>
      </c>
      <c r="G726" s="1248"/>
      <c r="H726" s="1248">
        <v>222</v>
      </c>
      <c r="I726" s="1255"/>
      <c r="J726" s="1255"/>
    </row>
    <row r="727" spans="2:10" ht="14" x14ac:dyDescent="0.15">
      <c r="B727" s="1247" t="s">
        <v>87</v>
      </c>
      <c r="C727" s="1288">
        <v>56</v>
      </c>
      <c r="D727" s="1288">
        <v>8</v>
      </c>
      <c r="E727" s="1288">
        <v>1</v>
      </c>
      <c r="F727" s="1307">
        <v>2020659</v>
      </c>
      <c r="G727" s="1248"/>
      <c r="H727" s="1248">
        <v>223</v>
      </c>
      <c r="I727" s="1255">
        <v>144</v>
      </c>
      <c r="J727" s="1255"/>
    </row>
    <row r="728" spans="2:10" ht="14" x14ac:dyDescent="0.15">
      <c r="B728" s="1247" t="s">
        <v>134</v>
      </c>
      <c r="C728" s="1288">
        <v>56</v>
      </c>
      <c r="D728" s="1288">
        <v>8</v>
      </c>
      <c r="E728" s="1288">
        <v>1</v>
      </c>
      <c r="F728" s="1307">
        <v>2020659</v>
      </c>
      <c r="G728" s="1248"/>
      <c r="H728" s="1248">
        <v>224</v>
      </c>
      <c r="I728" s="1255">
        <v>214</v>
      </c>
      <c r="J728" s="1255"/>
    </row>
    <row r="729" spans="2:10" ht="14" x14ac:dyDescent="0.15">
      <c r="B729" s="1247" t="s">
        <v>90</v>
      </c>
      <c r="C729" s="1288">
        <v>56</v>
      </c>
      <c r="D729" s="1288">
        <v>8</v>
      </c>
      <c r="E729" s="1288">
        <v>1</v>
      </c>
      <c r="F729" s="1307">
        <v>2020659</v>
      </c>
      <c r="G729" s="1248"/>
      <c r="H729" s="1248">
        <v>225</v>
      </c>
      <c r="I729" s="1255"/>
      <c r="J729" s="1255"/>
    </row>
    <row r="730" spans="2:10" ht="14" x14ac:dyDescent="0.15">
      <c r="B730" s="1247" t="s">
        <v>91</v>
      </c>
      <c r="C730" s="1288">
        <v>56</v>
      </c>
      <c r="D730" s="1288">
        <v>8</v>
      </c>
      <c r="E730" s="1288">
        <v>1</v>
      </c>
      <c r="F730" s="1307">
        <v>2020659</v>
      </c>
      <c r="G730" s="1248"/>
      <c r="H730" s="1248">
        <v>226</v>
      </c>
      <c r="I730" s="1255">
        <v>100.5</v>
      </c>
      <c r="J730" s="1255"/>
    </row>
    <row r="731" spans="2:10" ht="14" x14ac:dyDescent="0.15">
      <c r="B731" s="1247" t="s">
        <v>94</v>
      </c>
      <c r="C731" s="1288">
        <v>56</v>
      </c>
      <c r="D731" s="1288">
        <v>8</v>
      </c>
      <c r="E731" s="1288">
        <v>1</v>
      </c>
      <c r="F731" s="1307">
        <v>2020659</v>
      </c>
      <c r="G731" s="1248"/>
      <c r="H731" s="1248">
        <v>290</v>
      </c>
      <c r="I731" s="1255">
        <v>28.8</v>
      </c>
      <c r="J731" s="1255"/>
    </row>
    <row r="732" spans="2:10" ht="14" x14ac:dyDescent="0.15">
      <c r="B732" s="1247" t="s">
        <v>94</v>
      </c>
      <c r="C732" s="1288">
        <v>56</v>
      </c>
      <c r="D732" s="1288">
        <v>8</v>
      </c>
      <c r="E732" s="1288">
        <v>1</v>
      </c>
      <c r="F732" s="1307">
        <v>2020659</v>
      </c>
      <c r="G732" s="1248"/>
      <c r="H732" s="1248">
        <v>290</v>
      </c>
      <c r="I732" s="1255"/>
      <c r="J732" s="1255"/>
    </row>
    <row r="733" spans="2:10" ht="14" x14ac:dyDescent="0.15">
      <c r="B733" s="1247" t="s">
        <v>96</v>
      </c>
      <c r="C733" s="1288">
        <v>56</v>
      </c>
      <c r="D733" s="1288">
        <v>8</v>
      </c>
      <c r="E733" s="1288">
        <v>1</v>
      </c>
      <c r="F733" s="1307">
        <v>2020659</v>
      </c>
      <c r="G733" s="1248"/>
      <c r="H733" s="1248">
        <v>310</v>
      </c>
      <c r="I733" s="1255">
        <v>160</v>
      </c>
      <c r="J733" s="1255"/>
    </row>
    <row r="734" spans="2:10" ht="14" x14ac:dyDescent="0.15">
      <c r="B734" s="1247" t="s">
        <v>97</v>
      </c>
      <c r="C734" s="1288">
        <v>56</v>
      </c>
      <c r="D734" s="1288">
        <v>8</v>
      </c>
      <c r="E734" s="1288">
        <v>1</v>
      </c>
      <c r="F734" s="1307">
        <v>2020659</v>
      </c>
      <c r="G734" s="1248"/>
      <c r="H734" s="1248">
        <v>340</v>
      </c>
      <c r="I734" s="1255">
        <v>239.5</v>
      </c>
      <c r="J734" s="1255"/>
    </row>
    <row r="735" spans="2:10" ht="14" x14ac:dyDescent="0.15">
      <c r="B735" s="1243" t="s">
        <v>767</v>
      </c>
      <c r="C735" s="1288">
        <v>56</v>
      </c>
      <c r="D735" s="1288">
        <v>8</v>
      </c>
      <c r="E735" s="1288">
        <v>1</v>
      </c>
      <c r="F735" s="1307">
        <v>2020659</v>
      </c>
      <c r="G735" s="1244">
        <v>612</v>
      </c>
      <c r="H735" s="1245">
        <v>241</v>
      </c>
      <c r="I735" s="1252">
        <v>0</v>
      </c>
      <c r="J735" s="1247"/>
    </row>
    <row r="736" spans="2:10" ht="26" x14ac:dyDescent="0.15">
      <c r="B736" s="1239" t="s">
        <v>1171</v>
      </c>
      <c r="C736" s="1288">
        <v>56</v>
      </c>
      <c r="D736" s="1288">
        <v>8</v>
      </c>
      <c r="E736" s="1288">
        <v>1</v>
      </c>
      <c r="F736" s="1307">
        <v>2020659</v>
      </c>
      <c r="G736" s="2163">
        <v>600</v>
      </c>
      <c r="H736" s="2162"/>
      <c r="I736" s="2164">
        <v>6437.9</v>
      </c>
      <c r="J736" s="1241">
        <v>0</v>
      </c>
    </row>
    <row r="737" spans="2:10" ht="39" x14ac:dyDescent="0.15">
      <c r="B737" s="1243" t="s">
        <v>1135</v>
      </c>
      <c r="C737" s="1288">
        <v>56</v>
      </c>
      <c r="D737" s="1288">
        <v>8</v>
      </c>
      <c r="E737" s="1288">
        <v>1</v>
      </c>
      <c r="F737" s="1307">
        <v>2020659</v>
      </c>
      <c r="G737" s="1245">
        <v>611</v>
      </c>
      <c r="H737" s="1244">
        <v>241</v>
      </c>
      <c r="I737" s="1265">
        <v>6437.9</v>
      </c>
      <c r="J737" s="1289">
        <v>0</v>
      </c>
    </row>
    <row r="738" spans="2:10" ht="14" x14ac:dyDescent="0.15">
      <c r="B738" s="1247" t="s">
        <v>78</v>
      </c>
      <c r="C738" s="1288">
        <v>56</v>
      </c>
      <c r="D738" s="1288">
        <v>8</v>
      </c>
      <c r="E738" s="1288">
        <v>1</v>
      </c>
      <c r="F738" s="1307">
        <v>2020659</v>
      </c>
      <c r="G738" s="1248"/>
      <c r="H738" s="1248">
        <v>211</v>
      </c>
      <c r="I738" s="1254">
        <v>4766.3</v>
      </c>
      <c r="J738" s="1255"/>
    </row>
    <row r="739" spans="2:10" ht="14" x14ac:dyDescent="0.15">
      <c r="B739" s="1247" t="s">
        <v>103</v>
      </c>
      <c r="C739" s="1288">
        <v>56</v>
      </c>
      <c r="D739" s="1288">
        <v>8</v>
      </c>
      <c r="E739" s="1288">
        <v>1</v>
      </c>
      <c r="F739" s="1307">
        <v>2020659</v>
      </c>
      <c r="G739" s="1248"/>
      <c r="H739" s="1248">
        <v>212</v>
      </c>
      <c r="I739" s="1255"/>
      <c r="J739" s="1255"/>
    </row>
    <row r="740" spans="2:10" ht="14" x14ac:dyDescent="0.15">
      <c r="B740" s="1247" t="s">
        <v>84</v>
      </c>
      <c r="C740" s="1288">
        <v>56</v>
      </c>
      <c r="D740" s="1288">
        <v>8</v>
      </c>
      <c r="E740" s="1288">
        <v>1</v>
      </c>
      <c r="F740" s="1307">
        <v>2020659</v>
      </c>
      <c r="G740" s="1248"/>
      <c r="H740" s="1248">
        <v>213</v>
      </c>
      <c r="I740" s="1254">
        <v>1378.3</v>
      </c>
      <c r="J740" s="1255"/>
    </row>
    <row r="741" spans="2:10" ht="14" x14ac:dyDescent="0.15">
      <c r="B741" s="1247" t="s">
        <v>85</v>
      </c>
      <c r="C741" s="1288">
        <v>56</v>
      </c>
      <c r="D741" s="1288">
        <v>8</v>
      </c>
      <c r="E741" s="1288">
        <v>1</v>
      </c>
      <c r="F741" s="1307">
        <v>2020659</v>
      </c>
      <c r="G741" s="1248"/>
      <c r="H741" s="1248">
        <v>221</v>
      </c>
      <c r="I741" s="1255"/>
      <c r="J741" s="1255"/>
    </row>
    <row r="742" spans="2:10" ht="14" x14ac:dyDescent="0.15">
      <c r="B742" s="1247" t="s">
        <v>86</v>
      </c>
      <c r="C742" s="1288">
        <v>56</v>
      </c>
      <c r="D742" s="1288">
        <v>8</v>
      </c>
      <c r="E742" s="1288">
        <v>1</v>
      </c>
      <c r="F742" s="1307">
        <v>2020659</v>
      </c>
      <c r="G742" s="1248"/>
      <c r="H742" s="1248">
        <v>222</v>
      </c>
      <c r="I742" s="1255"/>
      <c r="J742" s="1255"/>
    </row>
    <row r="743" spans="2:10" ht="14" x14ac:dyDescent="0.15">
      <c r="B743" s="1247" t="s">
        <v>87</v>
      </c>
      <c r="C743" s="1288">
        <v>56</v>
      </c>
      <c r="D743" s="1288">
        <v>8</v>
      </c>
      <c r="E743" s="1288">
        <v>1</v>
      </c>
      <c r="F743" s="1307">
        <v>2020659</v>
      </c>
      <c r="G743" s="1248"/>
      <c r="H743" s="1248">
        <v>223</v>
      </c>
      <c r="I743" s="1255">
        <v>77.5</v>
      </c>
      <c r="J743" s="1255"/>
    </row>
    <row r="744" spans="2:10" ht="14" x14ac:dyDescent="0.15">
      <c r="B744" s="1247" t="s">
        <v>134</v>
      </c>
      <c r="C744" s="1288">
        <v>56</v>
      </c>
      <c r="D744" s="1288">
        <v>8</v>
      </c>
      <c r="E744" s="1288">
        <v>1</v>
      </c>
      <c r="F744" s="1307">
        <v>2020659</v>
      </c>
      <c r="G744" s="1248"/>
      <c r="H744" s="1248">
        <v>224</v>
      </c>
      <c r="I744" s="1255"/>
      <c r="J744" s="1255"/>
    </row>
    <row r="745" spans="2:10" ht="14" x14ac:dyDescent="0.15">
      <c r="B745" s="1247" t="s">
        <v>90</v>
      </c>
      <c r="C745" s="1288">
        <v>56</v>
      </c>
      <c r="D745" s="1288">
        <v>8</v>
      </c>
      <c r="E745" s="1288">
        <v>1</v>
      </c>
      <c r="F745" s="1307">
        <v>2020659</v>
      </c>
      <c r="G745" s="1248"/>
      <c r="H745" s="1248">
        <v>225</v>
      </c>
      <c r="I745" s="1255"/>
      <c r="J745" s="1255"/>
    </row>
    <row r="746" spans="2:10" ht="14" x14ac:dyDescent="0.15">
      <c r="B746" s="1247" t="s">
        <v>91</v>
      </c>
      <c r="C746" s="1288">
        <v>56</v>
      </c>
      <c r="D746" s="1288">
        <v>8</v>
      </c>
      <c r="E746" s="1288">
        <v>1</v>
      </c>
      <c r="F746" s="1307">
        <v>2020659</v>
      </c>
      <c r="G746" s="1248"/>
      <c r="H746" s="1248">
        <v>226</v>
      </c>
      <c r="I746" s="1255"/>
      <c r="J746" s="1255"/>
    </row>
    <row r="747" spans="2:10" ht="14" x14ac:dyDescent="0.15">
      <c r="B747" s="1247" t="s">
        <v>94</v>
      </c>
      <c r="C747" s="1288">
        <v>56</v>
      </c>
      <c r="D747" s="1288">
        <v>8</v>
      </c>
      <c r="E747" s="1288">
        <v>1</v>
      </c>
      <c r="F747" s="1307">
        <v>2020659</v>
      </c>
      <c r="G747" s="1248"/>
      <c r="H747" s="1248">
        <v>290</v>
      </c>
      <c r="I747" s="1255">
        <v>15.8</v>
      </c>
      <c r="J747" s="1255"/>
    </row>
    <row r="748" spans="2:10" ht="14" x14ac:dyDescent="0.15">
      <c r="B748" s="1247" t="s">
        <v>94</v>
      </c>
      <c r="C748" s="1288">
        <v>56</v>
      </c>
      <c r="D748" s="1288">
        <v>8</v>
      </c>
      <c r="E748" s="1288">
        <v>1</v>
      </c>
      <c r="F748" s="1307">
        <v>2020659</v>
      </c>
      <c r="G748" s="1248"/>
      <c r="H748" s="1248">
        <v>290</v>
      </c>
      <c r="I748" s="1255"/>
      <c r="J748" s="1255"/>
    </row>
    <row r="749" spans="2:10" ht="14" x14ac:dyDescent="0.15">
      <c r="B749" s="1247" t="s">
        <v>96</v>
      </c>
      <c r="C749" s="1288">
        <v>56</v>
      </c>
      <c r="D749" s="1288">
        <v>8</v>
      </c>
      <c r="E749" s="1288">
        <v>1</v>
      </c>
      <c r="F749" s="1307">
        <v>2020659</v>
      </c>
      <c r="G749" s="1248"/>
      <c r="H749" s="1248">
        <v>310</v>
      </c>
      <c r="I749" s="1255">
        <v>200</v>
      </c>
      <c r="J749" s="1255"/>
    </row>
    <row r="750" spans="2:10" ht="14" x14ac:dyDescent="0.15">
      <c r="B750" s="1247" t="s">
        <v>97</v>
      </c>
      <c r="C750" s="1288">
        <v>56</v>
      </c>
      <c r="D750" s="1288">
        <v>8</v>
      </c>
      <c r="E750" s="1288">
        <v>1</v>
      </c>
      <c r="F750" s="1307">
        <v>2020659</v>
      </c>
      <c r="G750" s="1248"/>
      <c r="H750" s="1248">
        <v>340</v>
      </c>
      <c r="I750" s="1255"/>
      <c r="J750" s="1255"/>
    </row>
    <row r="751" spans="2:10" ht="14" x14ac:dyDescent="0.15">
      <c r="B751" s="1243" t="s">
        <v>767</v>
      </c>
      <c r="C751" s="1288">
        <v>56</v>
      </c>
      <c r="D751" s="1288">
        <v>8</v>
      </c>
      <c r="E751" s="1288">
        <v>1</v>
      </c>
      <c r="F751" s="1307">
        <v>2020659</v>
      </c>
      <c r="G751" s="1244">
        <v>612</v>
      </c>
      <c r="H751" s="1245">
        <v>241</v>
      </c>
      <c r="I751" s="1252">
        <v>0</v>
      </c>
      <c r="J751" s="1247"/>
    </row>
    <row r="752" spans="2:10" ht="26" x14ac:dyDescent="0.15">
      <c r="B752" s="1239" t="s">
        <v>1172</v>
      </c>
      <c r="C752" s="1288">
        <v>56</v>
      </c>
      <c r="D752" s="1288">
        <v>8</v>
      </c>
      <c r="E752" s="1288">
        <v>1</v>
      </c>
      <c r="F752" s="1307">
        <v>2020659</v>
      </c>
      <c r="G752" s="2163">
        <v>600</v>
      </c>
      <c r="H752" s="2162"/>
      <c r="I752" s="2164">
        <v>5256.1</v>
      </c>
      <c r="J752" s="1241">
        <v>0</v>
      </c>
    </row>
    <row r="753" spans="2:10" ht="39" x14ac:dyDescent="0.15">
      <c r="B753" s="1243" t="s">
        <v>1135</v>
      </c>
      <c r="C753" s="1288">
        <v>56</v>
      </c>
      <c r="D753" s="1288">
        <v>8</v>
      </c>
      <c r="E753" s="1288">
        <v>1</v>
      </c>
      <c r="F753" s="1307">
        <v>2020659</v>
      </c>
      <c r="G753" s="1245">
        <v>611</v>
      </c>
      <c r="H753" s="1244">
        <v>241</v>
      </c>
      <c r="I753" s="1265">
        <v>5256.1</v>
      </c>
      <c r="J753" s="1289">
        <v>0</v>
      </c>
    </row>
    <row r="754" spans="2:10" ht="14" x14ac:dyDescent="0.15">
      <c r="B754" s="1247" t="s">
        <v>78</v>
      </c>
      <c r="C754" s="1288">
        <v>56</v>
      </c>
      <c r="D754" s="1288">
        <v>8</v>
      </c>
      <c r="E754" s="1288">
        <v>1</v>
      </c>
      <c r="F754" s="1307">
        <v>2020659</v>
      </c>
      <c r="G754" s="1248"/>
      <c r="H754" s="1248">
        <v>211</v>
      </c>
      <c r="I754" s="1249">
        <v>3902.2</v>
      </c>
      <c r="J754" s="1250"/>
    </row>
    <row r="755" spans="2:10" ht="14" x14ac:dyDescent="0.15">
      <c r="B755" s="1247" t="s">
        <v>103</v>
      </c>
      <c r="C755" s="1288">
        <v>56</v>
      </c>
      <c r="D755" s="1288">
        <v>8</v>
      </c>
      <c r="E755" s="1288">
        <v>1</v>
      </c>
      <c r="F755" s="1307">
        <v>2020659</v>
      </c>
      <c r="G755" s="1248"/>
      <c r="H755" s="1248">
        <v>212</v>
      </c>
      <c r="I755" s="1314"/>
      <c r="J755" s="1314"/>
    </row>
    <row r="756" spans="2:10" ht="14" x14ac:dyDescent="0.15">
      <c r="B756" s="1247" t="s">
        <v>84</v>
      </c>
      <c r="C756" s="1288">
        <v>56</v>
      </c>
      <c r="D756" s="1288">
        <v>8</v>
      </c>
      <c r="E756" s="1288">
        <v>1</v>
      </c>
      <c r="F756" s="1307">
        <v>2020659</v>
      </c>
      <c r="G756" s="1248"/>
      <c r="H756" s="1248">
        <v>213</v>
      </c>
      <c r="I756" s="1249">
        <v>1137.0999999999999</v>
      </c>
      <c r="J756" s="1250"/>
    </row>
    <row r="757" spans="2:10" ht="14" x14ac:dyDescent="0.15">
      <c r="B757" s="1247" t="s">
        <v>85</v>
      </c>
      <c r="C757" s="1288">
        <v>56</v>
      </c>
      <c r="D757" s="1288">
        <v>8</v>
      </c>
      <c r="E757" s="1288">
        <v>1</v>
      </c>
      <c r="F757" s="1307">
        <v>2020659</v>
      </c>
      <c r="G757" s="1248"/>
      <c r="H757" s="1248">
        <v>221</v>
      </c>
      <c r="I757" s="1250"/>
      <c r="J757" s="1250"/>
    </row>
    <row r="758" spans="2:10" ht="14" x14ac:dyDescent="0.15">
      <c r="B758" s="1247" t="s">
        <v>86</v>
      </c>
      <c r="C758" s="1288">
        <v>56</v>
      </c>
      <c r="D758" s="1288">
        <v>8</v>
      </c>
      <c r="E758" s="1288">
        <v>1</v>
      </c>
      <c r="F758" s="1307">
        <v>2020659</v>
      </c>
      <c r="G758" s="1248"/>
      <c r="H758" s="1248">
        <v>222</v>
      </c>
      <c r="I758" s="1250"/>
      <c r="J758" s="1250"/>
    </row>
    <row r="759" spans="2:10" ht="14" x14ac:dyDescent="0.15">
      <c r="B759" s="1247" t="s">
        <v>87</v>
      </c>
      <c r="C759" s="1288">
        <v>56</v>
      </c>
      <c r="D759" s="1288">
        <v>8</v>
      </c>
      <c r="E759" s="1288">
        <v>1</v>
      </c>
      <c r="F759" s="1307">
        <v>2020659</v>
      </c>
      <c r="G759" s="1248"/>
      <c r="H759" s="1248">
        <v>223</v>
      </c>
      <c r="I759" s="1250"/>
      <c r="J759" s="1250"/>
    </row>
    <row r="760" spans="2:10" ht="14" x14ac:dyDescent="0.15">
      <c r="B760" s="1247" t="s">
        <v>134</v>
      </c>
      <c r="C760" s="1288">
        <v>56</v>
      </c>
      <c r="D760" s="1288">
        <v>8</v>
      </c>
      <c r="E760" s="1288">
        <v>1</v>
      </c>
      <c r="F760" s="1307">
        <v>2020659</v>
      </c>
      <c r="G760" s="1248"/>
      <c r="H760" s="1248">
        <v>224</v>
      </c>
      <c r="I760" s="1250">
        <v>53</v>
      </c>
      <c r="J760" s="1250"/>
    </row>
    <row r="761" spans="2:10" ht="14" x14ac:dyDescent="0.15">
      <c r="B761" s="1247" t="s">
        <v>90</v>
      </c>
      <c r="C761" s="1288">
        <v>56</v>
      </c>
      <c r="D761" s="1288">
        <v>8</v>
      </c>
      <c r="E761" s="1288">
        <v>1</v>
      </c>
      <c r="F761" s="1307">
        <v>2020659</v>
      </c>
      <c r="G761" s="1248"/>
      <c r="H761" s="1248">
        <v>225</v>
      </c>
      <c r="I761" s="1250"/>
      <c r="J761" s="1250"/>
    </row>
    <row r="762" spans="2:10" ht="14" x14ac:dyDescent="0.15">
      <c r="B762" s="1247" t="s">
        <v>91</v>
      </c>
      <c r="C762" s="1288">
        <v>56</v>
      </c>
      <c r="D762" s="1288">
        <v>8</v>
      </c>
      <c r="E762" s="1288">
        <v>1</v>
      </c>
      <c r="F762" s="1307">
        <v>2020659</v>
      </c>
      <c r="G762" s="1248"/>
      <c r="H762" s="1248">
        <v>226</v>
      </c>
      <c r="I762" s="1250"/>
      <c r="J762" s="1250"/>
    </row>
    <row r="763" spans="2:10" ht="14" x14ac:dyDescent="0.15">
      <c r="B763" s="1247" t="s">
        <v>94</v>
      </c>
      <c r="C763" s="1288">
        <v>56</v>
      </c>
      <c r="D763" s="1288">
        <v>8</v>
      </c>
      <c r="E763" s="1288">
        <v>1</v>
      </c>
      <c r="F763" s="1307">
        <v>2020659</v>
      </c>
      <c r="G763" s="1248"/>
      <c r="H763" s="1248">
        <v>290</v>
      </c>
      <c r="I763" s="1250">
        <v>16.8</v>
      </c>
      <c r="J763" s="1250"/>
    </row>
    <row r="764" spans="2:10" ht="14" x14ac:dyDescent="0.15">
      <c r="B764" s="1247" t="s">
        <v>94</v>
      </c>
      <c r="C764" s="1288">
        <v>56</v>
      </c>
      <c r="D764" s="1288">
        <v>8</v>
      </c>
      <c r="E764" s="1288">
        <v>1</v>
      </c>
      <c r="F764" s="1307">
        <v>2020659</v>
      </c>
      <c r="G764" s="1248"/>
      <c r="H764" s="1248">
        <v>290</v>
      </c>
      <c r="I764" s="1250"/>
      <c r="J764" s="1250"/>
    </row>
    <row r="765" spans="2:10" ht="14" x14ac:dyDescent="0.15">
      <c r="B765" s="1247" t="s">
        <v>96</v>
      </c>
      <c r="C765" s="1288">
        <v>56</v>
      </c>
      <c r="D765" s="1288">
        <v>8</v>
      </c>
      <c r="E765" s="1288">
        <v>1</v>
      </c>
      <c r="F765" s="1307">
        <v>2020659</v>
      </c>
      <c r="G765" s="1248"/>
      <c r="H765" s="1248">
        <v>310</v>
      </c>
      <c r="I765" s="1250">
        <v>147</v>
      </c>
      <c r="J765" s="1250"/>
    </row>
    <row r="766" spans="2:10" ht="14" x14ac:dyDescent="0.15">
      <c r="B766" s="1247" t="s">
        <v>97</v>
      </c>
      <c r="C766" s="1288">
        <v>56</v>
      </c>
      <c r="D766" s="1288">
        <v>8</v>
      </c>
      <c r="E766" s="1288">
        <v>1</v>
      </c>
      <c r="F766" s="1307">
        <v>2020659</v>
      </c>
      <c r="G766" s="1248"/>
      <c r="H766" s="1248">
        <v>340</v>
      </c>
      <c r="I766" s="1250"/>
      <c r="J766" s="1250"/>
    </row>
    <row r="767" spans="2:10" ht="14" x14ac:dyDescent="0.15">
      <c r="B767" s="1243" t="s">
        <v>767</v>
      </c>
      <c r="C767" s="1288">
        <v>56</v>
      </c>
      <c r="D767" s="1288">
        <v>8</v>
      </c>
      <c r="E767" s="1288">
        <v>1</v>
      </c>
      <c r="F767" s="1307">
        <v>2020659</v>
      </c>
      <c r="G767" s="1244">
        <v>612</v>
      </c>
      <c r="H767" s="1245">
        <v>241</v>
      </c>
      <c r="I767" s="1252">
        <v>0</v>
      </c>
      <c r="J767" s="1247"/>
    </row>
    <row r="768" spans="2:10" ht="26" x14ac:dyDescent="0.15">
      <c r="B768" s="1239" t="s">
        <v>1173</v>
      </c>
      <c r="C768" s="1288">
        <v>56</v>
      </c>
      <c r="D768" s="1288">
        <v>8</v>
      </c>
      <c r="E768" s="1288">
        <v>1</v>
      </c>
      <c r="F768" s="1307">
        <v>2020659</v>
      </c>
      <c r="G768" s="2163">
        <v>600</v>
      </c>
      <c r="H768" s="2162"/>
      <c r="I768" s="2164">
        <v>8121.8</v>
      </c>
      <c r="J768" s="1241">
        <v>0</v>
      </c>
    </row>
    <row r="769" spans="2:10" ht="39" x14ac:dyDescent="0.15">
      <c r="B769" s="1243" t="s">
        <v>1135</v>
      </c>
      <c r="C769" s="1288">
        <v>56</v>
      </c>
      <c r="D769" s="1288">
        <v>8</v>
      </c>
      <c r="E769" s="1288">
        <v>1</v>
      </c>
      <c r="F769" s="1307">
        <v>2020659</v>
      </c>
      <c r="G769" s="1245">
        <v>611</v>
      </c>
      <c r="H769" s="1244">
        <v>241</v>
      </c>
      <c r="I769" s="1265">
        <v>8121.8</v>
      </c>
      <c r="J769" s="1289">
        <v>0</v>
      </c>
    </row>
    <row r="770" spans="2:10" ht="14" x14ac:dyDescent="0.15">
      <c r="B770" s="1247" t="s">
        <v>78</v>
      </c>
      <c r="C770" s="1288">
        <v>56</v>
      </c>
      <c r="D770" s="1288">
        <v>8</v>
      </c>
      <c r="E770" s="1288">
        <v>1</v>
      </c>
      <c r="F770" s="1307">
        <v>2020659</v>
      </c>
      <c r="G770" s="1248"/>
      <c r="H770" s="1248">
        <v>211</v>
      </c>
      <c r="I770" s="1249">
        <v>6117.4</v>
      </c>
      <c r="J770" s="1250"/>
    </row>
    <row r="771" spans="2:10" ht="14" x14ac:dyDescent="0.15">
      <c r="B771" s="1247" t="s">
        <v>103</v>
      </c>
      <c r="C771" s="1288">
        <v>56</v>
      </c>
      <c r="D771" s="1288">
        <v>8</v>
      </c>
      <c r="E771" s="1288">
        <v>1</v>
      </c>
      <c r="F771" s="1307">
        <v>2020659</v>
      </c>
      <c r="G771" s="1248"/>
      <c r="H771" s="1248">
        <v>212</v>
      </c>
      <c r="I771" s="1314"/>
      <c r="J771" s="1314"/>
    </row>
    <row r="772" spans="2:10" ht="14" x14ac:dyDescent="0.15">
      <c r="B772" s="1247" t="s">
        <v>84</v>
      </c>
      <c r="C772" s="1288">
        <v>56</v>
      </c>
      <c r="D772" s="1288">
        <v>8</v>
      </c>
      <c r="E772" s="1288">
        <v>1</v>
      </c>
      <c r="F772" s="1307">
        <v>2020659</v>
      </c>
      <c r="G772" s="1248"/>
      <c r="H772" s="1248">
        <v>213</v>
      </c>
      <c r="I772" s="1249">
        <v>1782.6</v>
      </c>
      <c r="J772" s="1250"/>
    </row>
    <row r="773" spans="2:10" ht="14" x14ac:dyDescent="0.15">
      <c r="B773" s="1247" t="s">
        <v>85</v>
      </c>
      <c r="C773" s="1288">
        <v>56</v>
      </c>
      <c r="D773" s="1288">
        <v>8</v>
      </c>
      <c r="E773" s="1288">
        <v>1</v>
      </c>
      <c r="F773" s="1307">
        <v>2020659</v>
      </c>
      <c r="G773" s="1248"/>
      <c r="H773" s="1248">
        <v>221</v>
      </c>
      <c r="I773" s="1250"/>
      <c r="J773" s="1250"/>
    </row>
    <row r="774" spans="2:10" ht="14" x14ac:dyDescent="0.15">
      <c r="B774" s="1247" t="s">
        <v>86</v>
      </c>
      <c r="C774" s="1288">
        <v>56</v>
      </c>
      <c r="D774" s="1288">
        <v>8</v>
      </c>
      <c r="E774" s="1288">
        <v>1</v>
      </c>
      <c r="F774" s="1307">
        <v>2020659</v>
      </c>
      <c r="G774" s="1248"/>
      <c r="H774" s="1248">
        <v>222</v>
      </c>
      <c r="I774" s="1250"/>
      <c r="J774" s="1250"/>
    </row>
    <row r="775" spans="2:10" ht="14" x14ac:dyDescent="0.15">
      <c r="B775" s="1247" t="s">
        <v>87</v>
      </c>
      <c r="C775" s="1288">
        <v>56</v>
      </c>
      <c r="D775" s="1288">
        <v>8</v>
      </c>
      <c r="E775" s="1288">
        <v>1</v>
      </c>
      <c r="F775" s="1307">
        <v>2020659</v>
      </c>
      <c r="G775" s="1248"/>
      <c r="H775" s="1248">
        <v>223</v>
      </c>
      <c r="I775" s="1250"/>
      <c r="J775" s="1250"/>
    </row>
    <row r="776" spans="2:10" ht="14" x14ac:dyDescent="0.15">
      <c r="B776" s="1247" t="s">
        <v>134</v>
      </c>
      <c r="C776" s="1288">
        <v>56</v>
      </c>
      <c r="D776" s="1288">
        <v>8</v>
      </c>
      <c r="E776" s="1288">
        <v>1</v>
      </c>
      <c r="F776" s="1307">
        <v>2020659</v>
      </c>
      <c r="G776" s="1248"/>
      <c r="H776" s="1248">
        <v>224</v>
      </c>
      <c r="I776" s="1250"/>
      <c r="J776" s="1250"/>
    </row>
    <row r="777" spans="2:10" ht="14" x14ac:dyDescent="0.15">
      <c r="B777" s="1247" t="s">
        <v>90</v>
      </c>
      <c r="C777" s="1288">
        <v>56</v>
      </c>
      <c r="D777" s="1288">
        <v>8</v>
      </c>
      <c r="E777" s="1288">
        <v>1</v>
      </c>
      <c r="F777" s="1307">
        <v>2020659</v>
      </c>
      <c r="G777" s="1248"/>
      <c r="H777" s="1248">
        <v>225</v>
      </c>
      <c r="I777" s="1250"/>
      <c r="J777" s="1250"/>
    </row>
    <row r="778" spans="2:10" ht="14" x14ac:dyDescent="0.15">
      <c r="B778" s="1247" t="s">
        <v>91</v>
      </c>
      <c r="C778" s="1288">
        <v>56</v>
      </c>
      <c r="D778" s="1288">
        <v>8</v>
      </c>
      <c r="E778" s="1288">
        <v>1</v>
      </c>
      <c r="F778" s="1307">
        <v>2020659</v>
      </c>
      <c r="G778" s="1248"/>
      <c r="H778" s="1248">
        <v>226</v>
      </c>
      <c r="I778" s="1250"/>
      <c r="J778" s="1250"/>
    </row>
    <row r="779" spans="2:10" ht="14" x14ac:dyDescent="0.15">
      <c r="B779" s="1247" t="s">
        <v>94</v>
      </c>
      <c r="C779" s="1288">
        <v>56</v>
      </c>
      <c r="D779" s="1288">
        <v>8</v>
      </c>
      <c r="E779" s="1288">
        <v>1</v>
      </c>
      <c r="F779" s="1307">
        <v>2020659</v>
      </c>
      <c r="G779" s="1248"/>
      <c r="H779" s="1248">
        <v>290</v>
      </c>
      <c r="I779" s="1250">
        <v>21.8</v>
      </c>
      <c r="J779" s="1250"/>
    </row>
    <row r="780" spans="2:10" ht="14" x14ac:dyDescent="0.15">
      <c r="B780" s="1247" t="s">
        <v>94</v>
      </c>
      <c r="C780" s="1288">
        <v>56</v>
      </c>
      <c r="D780" s="1288">
        <v>8</v>
      </c>
      <c r="E780" s="1288">
        <v>1</v>
      </c>
      <c r="F780" s="1307">
        <v>2020659</v>
      </c>
      <c r="G780" s="1248"/>
      <c r="H780" s="1248">
        <v>290</v>
      </c>
      <c r="I780" s="1250"/>
      <c r="J780" s="1250"/>
    </row>
    <row r="781" spans="2:10" ht="14" x14ac:dyDescent="0.15">
      <c r="B781" s="1247" t="s">
        <v>96</v>
      </c>
      <c r="C781" s="1288">
        <v>56</v>
      </c>
      <c r="D781" s="1288">
        <v>8</v>
      </c>
      <c r="E781" s="1288">
        <v>1</v>
      </c>
      <c r="F781" s="1307">
        <v>2020659</v>
      </c>
      <c r="G781" s="1248"/>
      <c r="H781" s="1248">
        <v>310</v>
      </c>
      <c r="I781" s="1250">
        <v>200</v>
      </c>
      <c r="J781" s="1250"/>
    </row>
    <row r="782" spans="2:10" ht="14" x14ac:dyDescent="0.15">
      <c r="B782" s="1247" t="s">
        <v>97</v>
      </c>
      <c r="C782" s="1288">
        <v>56</v>
      </c>
      <c r="D782" s="1288">
        <v>8</v>
      </c>
      <c r="E782" s="1288">
        <v>1</v>
      </c>
      <c r="F782" s="1307">
        <v>2020659</v>
      </c>
      <c r="G782" s="1248"/>
      <c r="H782" s="1248">
        <v>340</v>
      </c>
      <c r="I782" s="1250"/>
      <c r="J782" s="1247"/>
    </row>
    <row r="783" spans="2:10" ht="14" x14ac:dyDescent="0.15">
      <c r="B783" s="1243" t="s">
        <v>767</v>
      </c>
      <c r="C783" s="1288">
        <v>56</v>
      </c>
      <c r="D783" s="1288">
        <v>8</v>
      </c>
      <c r="E783" s="1288">
        <v>1</v>
      </c>
      <c r="F783" s="1307">
        <v>2020659</v>
      </c>
      <c r="G783" s="1244">
        <v>612</v>
      </c>
      <c r="H783" s="1245">
        <v>241</v>
      </c>
      <c r="I783" s="1252">
        <v>0</v>
      </c>
      <c r="J783" s="1247"/>
    </row>
    <row r="784" spans="2:10" ht="26" x14ac:dyDescent="0.15">
      <c r="B784" s="1239" t="s">
        <v>1174</v>
      </c>
      <c r="C784" s="1288">
        <v>56</v>
      </c>
      <c r="D784" s="1288">
        <v>8</v>
      </c>
      <c r="E784" s="1288">
        <v>1</v>
      </c>
      <c r="F784" s="1307">
        <v>2020659</v>
      </c>
      <c r="G784" s="2163">
        <v>600</v>
      </c>
      <c r="H784" s="2162"/>
      <c r="I784" s="2164">
        <v>10787.4</v>
      </c>
      <c r="J784" s="1241">
        <v>0</v>
      </c>
    </row>
    <row r="785" spans="2:10" ht="39" x14ac:dyDescent="0.15">
      <c r="B785" s="1243" t="s">
        <v>1135</v>
      </c>
      <c r="C785" s="1288">
        <v>56</v>
      </c>
      <c r="D785" s="1288">
        <v>8</v>
      </c>
      <c r="E785" s="1288">
        <v>1</v>
      </c>
      <c r="F785" s="1307">
        <v>2020659</v>
      </c>
      <c r="G785" s="1245">
        <v>611</v>
      </c>
      <c r="H785" s="1244">
        <v>241</v>
      </c>
      <c r="I785" s="1265">
        <v>10787.4</v>
      </c>
      <c r="J785" s="1289">
        <v>0</v>
      </c>
    </row>
    <row r="786" spans="2:10" ht="14" x14ac:dyDescent="0.15">
      <c r="B786" s="1247" t="s">
        <v>78</v>
      </c>
      <c r="C786" s="1288">
        <v>56</v>
      </c>
      <c r="D786" s="1288">
        <v>8</v>
      </c>
      <c r="E786" s="1288">
        <v>1</v>
      </c>
      <c r="F786" s="1307">
        <v>2020659</v>
      </c>
      <c r="G786" s="1248"/>
      <c r="H786" s="1248">
        <v>211</v>
      </c>
      <c r="I786" s="1249">
        <v>8181.9</v>
      </c>
      <c r="J786" s="1250"/>
    </row>
    <row r="787" spans="2:10" ht="14" x14ac:dyDescent="0.15">
      <c r="B787" s="1247" t="s">
        <v>103</v>
      </c>
      <c r="C787" s="1288">
        <v>56</v>
      </c>
      <c r="D787" s="1288">
        <v>8</v>
      </c>
      <c r="E787" s="1288">
        <v>1</v>
      </c>
      <c r="F787" s="1307">
        <v>2020659</v>
      </c>
      <c r="G787" s="1248"/>
      <c r="H787" s="1248">
        <v>212</v>
      </c>
      <c r="I787" s="1314"/>
      <c r="J787" s="1314"/>
    </row>
    <row r="788" spans="2:10" ht="14" x14ac:dyDescent="0.15">
      <c r="B788" s="1247" t="s">
        <v>84</v>
      </c>
      <c r="C788" s="1288">
        <v>56</v>
      </c>
      <c r="D788" s="1288">
        <v>8</v>
      </c>
      <c r="E788" s="1288">
        <v>1</v>
      </c>
      <c r="F788" s="1307">
        <v>2020659</v>
      </c>
      <c r="G788" s="1248"/>
      <c r="H788" s="1248">
        <v>213</v>
      </c>
      <c r="I788" s="1249">
        <v>2384.3000000000002</v>
      </c>
      <c r="J788" s="1250"/>
    </row>
    <row r="789" spans="2:10" ht="14" x14ac:dyDescent="0.15">
      <c r="B789" s="1247" t="s">
        <v>85</v>
      </c>
      <c r="C789" s="1288">
        <v>56</v>
      </c>
      <c r="D789" s="1288">
        <v>8</v>
      </c>
      <c r="E789" s="1288">
        <v>1</v>
      </c>
      <c r="F789" s="1307">
        <v>2020659</v>
      </c>
      <c r="G789" s="1248"/>
      <c r="H789" s="1248">
        <v>221</v>
      </c>
      <c r="I789" s="1250"/>
      <c r="J789" s="1250"/>
    </row>
    <row r="790" spans="2:10" ht="14" x14ac:dyDescent="0.15">
      <c r="B790" s="1247" t="s">
        <v>86</v>
      </c>
      <c r="C790" s="1288">
        <v>56</v>
      </c>
      <c r="D790" s="1288">
        <v>8</v>
      </c>
      <c r="E790" s="1288">
        <v>1</v>
      </c>
      <c r="F790" s="1307">
        <v>2020659</v>
      </c>
      <c r="G790" s="1248"/>
      <c r="H790" s="1248">
        <v>222</v>
      </c>
      <c r="I790" s="1250"/>
      <c r="J790" s="1250"/>
    </row>
    <row r="791" spans="2:10" ht="14" x14ac:dyDescent="0.15">
      <c r="B791" s="1247" t="s">
        <v>87</v>
      </c>
      <c r="C791" s="1288">
        <v>56</v>
      </c>
      <c r="D791" s="1288">
        <v>8</v>
      </c>
      <c r="E791" s="1288">
        <v>1</v>
      </c>
      <c r="F791" s="1307">
        <v>2020659</v>
      </c>
      <c r="G791" s="1248"/>
      <c r="H791" s="1248">
        <v>223</v>
      </c>
      <c r="I791" s="1250"/>
      <c r="J791" s="1250"/>
    </row>
    <row r="792" spans="2:10" ht="14" x14ac:dyDescent="0.15">
      <c r="B792" s="1247" t="s">
        <v>134</v>
      </c>
      <c r="C792" s="1288">
        <v>56</v>
      </c>
      <c r="D792" s="1288">
        <v>8</v>
      </c>
      <c r="E792" s="1288">
        <v>1</v>
      </c>
      <c r="F792" s="1307">
        <v>2020659</v>
      </c>
      <c r="G792" s="1248"/>
      <c r="H792" s="1248">
        <v>224</v>
      </c>
      <c r="I792" s="1250"/>
      <c r="J792" s="1250"/>
    </row>
    <row r="793" spans="2:10" ht="14" x14ac:dyDescent="0.15">
      <c r="B793" s="1247" t="s">
        <v>90</v>
      </c>
      <c r="C793" s="1288">
        <v>56</v>
      </c>
      <c r="D793" s="1288">
        <v>8</v>
      </c>
      <c r="E793" s="1288">
        <v>1</v>
      </c>
      <c r="F793" s="1307">
        <v>2020659</v>
      </c>
      <c r="G793" s="1248"/>
      <c r="H793" s="1248">
        <v>225</v>
      </c>
      <c r="I793" s="1250"/>
      <c r="J793" s="1250"/>
    </row>
    <row r="794" spans="2:10" ht="14" x14ac:dyDescent="0.15">
      <c r="B794" s="1247" t="s">
        <v>91</v>
      </c>
      <c r="C794" s="1288">
        <v>56</v>
      </c>
      <c r="D794" s="1288">
        <v>8</v>
      </c>
      <c r="E794" s="1288">
        <v>1</v>
      </c>
      <c r="F794" s="1307">
        <v>2020659</v>
      </c>
      <c r="G794" s="1248"/>
      <c r="H794" s="1248">
        <v>226</v>
      </c>
      <c r="I794" s="1250"/>
      <c r="J794" s="1250"/>
    </row>
    <row r="795" spans="2:10" ht="14" x14ac:dyDescent="0.15">
      <c r="B795" s="1247" t="s">
        <v>94</v>
      </c>
      <c r="C795" s="1288">
        <v>56</v>
      </c>
      <c r="D795" s="1288">
        <v>8</v>
      </c>
      <c r="E795" s="1288">
        <v>1</v>
      </c>
      <c r="F795" s="1307">
        <v>2020659</v>
      </c>
      <c r="G795" s="1248"/>
      <c r="H795" s="1248">
        <v>290</v>
      </c>
      <c r="I795" s="1250">
        <v>21.2</v>
      </c>
      <c r="J795" s="1250"/>
    </row>
    <row r="796" spans="2:10" ht="14" x14ac:dyDescent="0.15">
      <c r="B796" s="1247" t="s">
        <v>94</v>
      </c>
      <c r="C796" s="1288">
        <v>56</v>
      </c>
      <c r="D796" s="1288">
        <v>8</v>
      </c>
      <c r="E796" s="1288">
        <v>1</v>
      </c>
      <c r="F796" s="1307">
        <v>2020659</v>
      </c>
      <c r="G796" s="1248"/>
      <c r="H796" s="1248">
        <v>290</v>
      </c>
      <c r="I796" s="1250"/>
      <c r="J796" s="1250"/>
    </row>
    <row r="797" spans="2:10" ht="14" x14ac:dyDescent="0.15">
      <c r="B797" s="1247" t="s">
        <v>96</v>
      </c>
      <c r="C797" s="1288">
        <v>56</v>
      </c>
      <c r="D797" s="1288">
        <v>8</v>
      </c>
      <c r="E797" s="1288">
        <v>1</v>
      </c>
      <c r="F797" s="1307">
        <v>2020659</v>
      </c>
      <c r="G797" s="1248"/>
      <c r="H797" s="1248">
        <v>310</v>
      </c>
      <c r="I797" s="1250">
        <v>193</v>
      </c>
      <c r="J797" s="1250"/>
    </row>
    <row r="798" spans="2:10" ht="14" x14ac:dyDescent="0.15">
      <c r="B798" s="1247" t="s">
        <v>97</v>
      </c>
      <c r="C798" s="1288">
        <v>56</v>
      </c>
      <c r="D798" s="1288">
        <v>8</v>
      </c>
      <c r="E798" s="1288">
        <v>1</v>
      </c>
      <c r="F798" s="1307">
        <v>2020659</v>
      </c>
      <c r="G798" s="1248"/>
      <c r="H798" s="1248">
        <v>340</v>
      </c>
      <c r="I798" s="1250">
        <v>7</v>
      </c>
      <c r="J798" s="1250"/>
    </row>
    <row r="799" spans="2:10" ht="14" x14ac:dyDescent="0.15">
      <c r="B799" s="1243" t="s">
        <v>767</v>
      </c>
      <c r="C799" s="1288">
        <v>56</v>
      </c>
      <c r="D799" s="1288">
        <v>8</v>
      </c>
      <c r="E799" s="1288">
        <v>1</v>
      </c>
      <c r="F799" s="1307">
        <v>2020659</v>
      </c>
      <c r="G799" s="1244">
        <v>612</v>
      </c>
      <c r="H799" s="1245">
        <v>241</v>
      </c>
      <c r="I799" s="1252">
        <v>0</v>
      </c>
      <c r="J799" s="1247"/>
    </row>
    <row r="800" spans="2:10" ht="26" x14ac:dyDescent="0.15">
      <c r="B800" s="1239" t="s">
        <v>1175</v>
      </c>
      <c r="C800" s="1288">
        <v>56</v>
      </c>
      <c r="D800" s="1288">
        <v>8</v>
      </c>
      <c r="E800" s="1288">
        <v>1</v>
      </c>
      <c r="F800" s="1307">
        <v>2020659</v>
      </c>
      <c r="G800" s="2163">
        <v>600</v>
      </c>
      <c r="H800" s="2162"/>
      <c r="I800" s="2164">
        <v>9078.4</v>
      </c>
      <c r="J800" s="1241">
        <v>0</v>
      </c>
    </row>
    <row r="801" spans="2:10" ht="39" x14ac:dyDescent="0.15">
      <c r="B801" s="1243" t="s">
        <v>1135</v>
      </c>
      <c r="C801" s="1288">
        <v>56</v>
      </c>
      <c r="D801" s="1288">
        <v>8</v>
      </c>
      <c r="E801" s="1288">
        <v>1</v>
      </c>
      <c r="F801" s="1307">
        <v>2020659</v>
      </c>
      <c r="G801" s="1245">
        <v>611</v>
      </c>
      <c r="H801" s="1244">
        <v>241</v>
      </c>
      <c r="I801" s="1265">
        <v>9078.4</v>
      </c>
      <c r="J801" s="1289">
        <v>0</v>
      </c>
    </row>
    <row r="802" spans="2:10" ht="14" x14ac:dyDescent="0.15">
      <c r="B802" s="1247" t="s">
        <v>78</v>
      </c>
      <c r="C802" s="1288">
        <v>56</v>
      </c>
      <c r="D802" s="1288">
        <v>8</v>
      </c>
      <c r="E802" s="1288">
        <v>1</v>
      </c>
      <c r="F802" s="1307">
        <v>2020659</v>
      </c>
      <c r="G802" s="1248"/>
      <c r="H802" s="1248">
        <v>211</v>
      </c>
      <c r="I802" s="1249">
        <v>6860.4</v>
      </c>
      <c r="J802" s="1250"/>
    </row>
    <row r="803" spans="2:10" ht="14" x14ac:dyDescent="0.15">
      <c r="B803" s="1247" t="s">
        <v>103</v>
      </c>
      <c r="C803" s="1288">
        <v>56</v>
      </c>
      <c r="D803" s="1288">
        <v>8</v>
      </c>
      <c r="E803" s="1288">
        <v>1</v>
      </c>
      <c r="F803" s="1307">
        <v>2020659</v>
      </c>
      <c r="G803" s="1248"/>
      <c r="H803" s="1248">
        <v>212</v>
      </c>
      <c r="I803" s="1314"/>
      <c r="J803" s="1314"/>
    </row>
    <row r="804" spans="2:10" ht="14" x14ac:dyDescent="0.15">
      <c r="B804" s="1247" t="s">
        <v>84</v>
      </c>
      <c r="C804" s="1288">
        <v>56</v>
      </c>
      <c r="D804" s="1288">
        <v>8</v>
      </c>
      <c r="E804" s="1288">
        <v>1</v>
      </c>
      <c r="F804" s="1307">
        <v>2020659</v>
      </c>
      <c r="G804" s="1248"/>
      <c r="H804" s="1248">
        <v>213</v>
      </c>
      <c r="I804" s="1249">
        <v>1999.2</v>
      </c>
      <c r="J804" s="1250"/>
    </row>
    <row r="805" spans="2:10" ht="14" x14ac:dyDescent="0.15">
      <c r="B805" s="1247" t="s">
        <v>85</v>
      </c>
      <c r="C805" s="1288">
        <v>56</v>
      </c>
      <c r="D805" s="1288">
        <v>8</v>
      </c>
      <c r="E805" s="1288">
        <v>1</v>
      </c>
      <c r="F805" s="1307">
        <v>2020659</v>
      </c>
      <c r="G805" s="1248"/>
      <c r="H805" s="1248">
        <v>221</v>
      </c>
      <c r="I805" s="1250"/>
      <c r="J805" s="1250"/>
    </row>
    <row r="806" spans="2:10" ht="14" x14ac:dyDescent="0.15">
      <c r="B806" s="1247" t="s">
        <v>86</v>
      </c>
      <c r="C806" s="1288">
        <v>56</v>
      </c>
      <c r="D806" s="1288">
        <v>8</v>
      </c>
      <c r="E806" s="1288">
        <v>1</v>
      </c>
      <c r="F806" s="1307">
        <v>2020659</v>
      </c>
      <c r="G806" s="1248"/>
      <c r="H806" s="1248">
        <v>222</v>
      </c>
      <c r="I806" s="1250"/>
      <c r="J806" s="1250"/>
    </row>
    <row r="807" spans="2:10" ht="14" x14ac:dyDescent="0.15">
      <c r="B807" s="1247" t="s">
        <v>87</v>
      </c>
      <c r="C807" s="1288">
        <v>56</v>
      </c>
      <c r="D807" s="1288">
        <v>8</v>
      </c>
      <c r="E807" s="1288">
        <v>1</v>
      </c>
      <c r="F807" s="1307">
        <v>2020659</v>
      </c>
      <c r="G807" s="1248"/>
      <c r="H807" s="1248">
        <v>223</v>
      </c>
      <c r="I807" s="1250"/>
      <c r="J807" s="1250"/>
    </row>
    <row r="808" spans="2:10" ht="14" x14ac:dyDescent="0.15">
      <c r="B808" s="1247" t="s">
        <v>134</v>
      </c>
      <c r="C808" s="1288">
        <v>56</v>
      </c>
      <c r="D808" s="1288">
        <v>8</v>
      </c>
      <c r="E808" s="1288">
        <v>1</v>
      </c>
      <c r="F808" s="1307">
        <v>2020659</v>
      </c>
      <c r="G808" s="1248"/>
      <c r="H808" s="1248">
        <v>224</v>
      </c>
      <c r="I808" s="1250"/>
      <c r="J808" s="1250"/>
    </row>
    <row r="809" spans="2:10" ht="14" x14ac:dyDescent="0.15">
      <c r="B809" s="1247" t="s">
        <v>90</v>
      </c>
      <c r="C809" s="1288">
        <v>56</v>
      </c>
      <c r="D809" s="1288">
        <v>8</v>
      </c>
      <c r="E809" s="1288">
        <v>1</v>
      </c>
      <c r="F809" s="1307">
        <v>2020659</v>
      </c>
      <c r="G809" s="1248"/>
      <c r="H809" s="1248">
        <v>225</v>
      </c>
      <c r="I809" s="1250"/>
      <c r="J809" s="1250"/>
    </row>
    <row r="810" spans="2:10" ht="14" x14ac:dyDescent="0.15">
      <c r="B810" s="1247" t="s">
        <v>91</v>
      </c>
      <c r="C810" s="1288">
        <v>56</v>
      </c>
      <c r="D810" s="1288">
        <v>8</v>
      </c>
      <c r="E810" s="1288">
        <v>1</v>
      </c>
      <c r="F810" s="1307">
        <v>2020659</v>
      </c>
      <c r="G810" s="1248"/>
      <c r="H810" s="1248">
        <v>226</v>
      </c>
      <c r="I810" s="1250">
        <v>80</v>
      </c>
      <c r="J810" s="1250"/>
    </row>
    <row r="811" spans="2:10" ht="14" x14ac:dyDescent="0.15">
      <c r="B811" s="1247" t="s">
        <v>94</v>
      </c>
      <c r="C811" s="1288">
        <v>56</v>
      </c>
      <c r="D811" s="1288">
        <v>8</v>
      </c>
      <c r="E811" s="1288">
        <v>1</v>
      </c>
      <c r="F811" s="1307">
        <v>2020659</v>
      </c>
      <c r="G811" s="1248"/>
      <c r="H811" s="1248">
        <v>290</v>
      </c>
      <c r="I811" s="1250">
        <v>18.8</v>
      </c>
      <c r="J811" s="1250"/>
    </row>
    <row r="812" spans="2:10" ht="14" x14ac:dyDescent="0.15">
      <c r="B812" s="1247" t="s">
        <v>94</v>
      </c>
      <c r="C812" s="1288">
        <v>56</v>
      </c>
      <c r="D812" s="1288">
        <v>8</v>
      </c>
      <c r="E812" s="1288">
        <v>1</v>
      </c>
      <c r="F812" s="1307">
        <v>2020659</v>
      </c>
      <c r="G812" s="1248"/>
      <c r="H812" s="1248">
        <v>290</v>
      </c>
      <c r="I812" s="1250"/>
      <c r="J812" s="1250"/>
    </row>
    <row r="813" spans="2:10" ht="14" x14ac:dyDescent="0.15">
      <c r="B813" s="1247" t="s">
        <v>96</v>
      </c>
      <c r="C813" s="1288">
        <v>56</v>
      </c>
      <c r="D813" s="1288">
        <v>8</v>
      </c>
      <c r="E813" s="1288">
        <v>1</v>
      </c>
      <c r="F813" s="1307">
        <v>2020659</v>
      </c>
      <c r="G813" s="1248"/>
      <c r="H813" s="1248">
        <v>310</v>
      </c>
      <c r="I813" s="1250">
        <v>100</v>
      </c>
      <c r="J813" s="1250"/>
    </row>
    <row r="814" spans="2:10" ht="14" x14ac:dyDescent="0.15">
      <c r="B814" s="1247" t="s">
        <v>97</v>
      </c>
      <c r="C814" s="1288">
        <v>56</v>
      </c>
      <c r="D814" s="1288">
        <v>8</v>
      </c>
      <c r="E814" s="1288">
        <v>1</v>
      </c>
      <c r="F814" s="1307">
        <v>2020659</v>
      </c>
      <c r="G814" s="1248"/>
      <c r="H814" s="1248">
        <v>340</v>
      </c>
      <c r="I814" s="1250">
        <v>20</v>
      </c>
      <c r="J814" s="1250"/>
    </row>
    <row r="815" spans="2:10" ht="14" x14ac:dyDescent="0.15">
      <c r="B815" s="1243" t="s">
        <v>767</v>
      </c>
      <c r="C815" s="1288">
        <v>56</v>
      </c>
      <c r="D815" s="1288">
        <v>8</v>
      </c>
      <c r="E815" s="1288">
        <v>1</v>
      </c>
      <c r="F815" s="1307">
        <v>2020659</v>
      </c>
      <c r="G815" s="1244">
        <v>612</v>
      </c>
      <c r="H815" s="1245">
        <v>241</v>
      </c>
      <c r="I815" s="1252">
        <v>0</v>
      </c>
      <c r="J815" s="1247"/>
    </row>
    <row r="816" spans="2:10" ht="26" x14ac:dyDescent="0.15">
      <c r="B816" s="1239" t="s">
        <v>1176</v>
      </c>
      <c r="C816" s="1288">
        <v>56</v>
      </c>
      <c r="D816" s="1288">
        <v>8</v>
      </c>
      <c r="E816" s="1288">
        <v>1</v>
      </c>
      <c r="F816" s="1307">
        <v>2020659</v>
      </c>
      <c r="G816" s="2163">
        <v>600</v>
      </c>
      <c r="H816" s="2162"/>
      <c r="I816" s="2164">
        <v>8040.6</v>
      </c>
      <c r="J816" s="1241">
        <v>0</v>
      </c>
    </row>
    <row r="817" spans="2:10" ht="39" x14ac:dyDescent="0.15">
      <c r="B817" s="1243" t="s">
        <v>1135</v>
      </c>
      <c r="C817" s="1288">
        <v>56</v>
      </c>
      <c r="D817" s="1288">
        <v>8</v>
      </c>
      <c r="E817" s="1288">
        <v>1</v>
      </c>
      <c r="F817" s="1307">
        <v>2020659</v>
      </c>
      <c r="G817" s="1245">
        <v>611</v>
      </c>
      <c r="H817" s="1244">
        <v>241</v>
      </c>
      <c r="I817" s="1265">
        <v>8040.6</v>
      </c>
      <c r="J817" s="1289">
        <v>0</v>
      </c>
    </row>
    <row r="818" spans="2:10" ht="14" x14ac:dyDescent="0.15">
      <c r="B818" s="1247" t="s">
        <v>78</v>
      </c>
      <c r="C818" s="1288">
        <v>56</v>
      </c>
      <c r="D818" s="1288">
        <v>8</v>
      </c>
      <c r="E818" s="1288">
        <v>1</v>
      </c>
      <c r="F818" s="1307">
        <v>2020659</v>
      </c>
      <c r="G818" s="1248"/>
      <c r="H818" s="1248">
        <v>211</v>
      </c>
      <c r="I818" s="1249">
        <v>6058</v>
      </c>
      <c r="J818" s="1250"/>
    </row>
    <row r="819" spans="2:10" ht="14" x14ac:dyDescent="0.15">
      <c r="B819" s="1247" t="s">
        <v>103</v>
      </c>
      <c r="C819" s="1288">
        <v>56</v>
      </c>
      <c r="D819" s="1288">
        <v>8</v>
      </c>
      <c r="E819" s="1288">
        <v>1</v>
      </c>
      <c r="F819" s="1307">
        <v>2020659</v>
      </c>
      <c r="G819" s="1248"/>
      <c r="H819" s="1248">
        <v>212</v>
      </c>
      <c r="I819" s="1314"/>
      <c r="J819" s="1314"/>
    </row>
    <row r="820" spans="2:10" ht="14" x14ac:dyDescent="0.15">
      <c r="B820" s="1247" t="s">
        <v>84</v>
      </c>
      <c r="C820" s="1288">
        <v>56</v>
      </c>
      <c r="D820" s="1288">
        <v>8</v>
      </c>
      <c r="E820" s="1288">
        <v>1</v>
      </c>
      <c r="F820" s="1307">
        <v>2020659</v>
      </c>
      <c r="G820" s="1248"/>
      <c r="H820" s="1248">
        <v>213</v>
      </c>
      <c r="I820" s="1249">
        <v>1765.3</v>
      </c>
      <c r="J820" s="1250"/>
    </row>
    <row r="821" spans="2:10" ht="14" x14ac:dyDescent="0.15">
      <c r="B821" s="1247" t="s">
        <v>85</v>
      </c>
      <c r="C821" s="1288">
        <v>56</v>
      </c>
      <c r="D821" s="1288">
        <v>8</v>
      </c>
      <c r="E821" s="1288">
        <v>1</v>
      </c>
      <c r="F821" s="1307">
        <v>2020659</v>
      </c>
      <c r="G821" s="1248"/>
      <c r="H821" s="1248">
        <v>221</v>
      </c>
      <c r="I821" s="1250"/>
      <c r="J821" s="1250"/>
    </row>
    <row r="822" spans="2:10" ht="14" x14ac:dyDescent="0.15">
      <c r="B822" s="1247" t="s">
        <v>86</v>
      </c>
      <c r="C822" s="1288">
        <v>56</v>
      </c>
      <c r="D822" s="1288">
        <v>8</v>
      </c>
      <c r="E822" s="1288">
        <v>1</v>
      </c>
      <c r="F822" s="1307">
        <v>2020659</v>
      </c>
      <c r="G822" s="1248"/>
      <c r="H822" s="1248">
        <v>222</v>
      </c>
      <c r="I822" s="1250"/>
      <c r="J822" s="1250"/>
    </row>
    <row r="823" spans="2:10" ht="14" x14ac:dyDescent="0.15">
      <c r="B823" s="1247" t="s">
        <v>87</v>
      </c>
      <c r="C823" s="1288">
        <v>56</v>
      </c>
      <c r="D823" s="1288">
        <v>8</v>
      </c>
      <c r="E823" s="1288">
        <v>1</v>
      </c>
      <c r="F823" s="1307">
        <v>2020659</v>
      </c>
      <c r="G823" s="1248"/>
      <c r="H823" s="1248">
        <v>223</v>
      </c>
      <c r="I823" s="1250"/>
      <c r="J823" s="1250"/>
    </row>
    <row r="824" spans="2:10" ht="14" x14ac:dyDescent="0.15">
      <c r="B824" s="1247" t="s">
        <v>134</v>
      </c>
      <c r="C824" s="1288">
        <v>56</v>
      </c>
      <c r="D824" s="1288">
        <v>8</v>
      </c>
      <c r="E824" s="1288">
        <v>1</v>
      </c>
      <c r="F824" s="1307">
        <v>2020659</v>
      </c>
      <c r="G824" s="1248"/>
      <c r="H824" s="1248">
        <v>224</v>
      </c>
      <c r="I824" s="1250"/>
      <c r="J824" s="1250"/>
    </row>
    <row r="825" spans="2:10" ht="14" x14ac:dyDescent="0.15">
      <c r="B825" s="1247" t="s">
        <v>90</v>
      </c>
      <c r="C825" s="1288">
        <v>56</v>
      </c>
      <c r="D825" s="1288">
        <v>8</v>
      </c>
      <c r="E825" s="1288">
        <v>1</v>
      </c>
      <c r="F825" s="1307">
        <v>2020659</v>
      </c>
      <c r="G825" s="1248"/>
      <c r="H825" s="1248">
        <v>225</v>
      </c>
      <c r="I825" s="1250"/>
      <c r="J825" s="1250"/>
    </row>
    <row r="826" spans="2:10" ht="14" x14ac:dyDescent="0.15">
      <c r="B826" s="1247" t="s">
        <v>91</v>
      </c>
      <c r="C826" s="1288">
        <v>56</v>
      </c>
      <c r="D826" s="1288">
        <v>8</v>
      </c>
      <c r="E826" s="1288">
        <v>1</v>
      </c>
      <c r="F826" s="1307">
        <v>2020659</v>
      </c>
      <c r="G826" s="1248"/>
      <c r="H826" s="1248">
        <v>226</v>
      </c>
      <c r="I826" s="1250"/>
      <c r="J826" s="1250"/>
    </row>
    <row r="827" spans="2:10" ht="14" x14ac:dyDescent="0.15">
      <c r="B827" s="1247" t="s">
        <v>94</v>
      </c>
      <c r="C827" s="1288">
        <v>56</v>
      </c>
      <c r="D827" s="1288">
        <v>8</v>
      </c>
      <c r="E827" s="1288">
        <v>1</v>
      </c>
      <c r="F827" s="1307">
        <v>2020659</v>
      </c>
      <c r="G827" s="1248"/>
      <c r="H827" s="1248">
        <v>290</v>
      </c>
      <c r="I827" s="1250">
        <v>17.3</v>
      </c>
      <c r="J827" s="1250"/>
    </row>
    <row r="828" spans="2:10" ht="14" x14ac:dyDescent="0.15">
      <c r="B828" s="1247" t="s">
        <v>94</v>
      </c>
      <c r="C828" s="1288">
        <v>56</v>
      </c>
      <c r="D828" s="1288">
        <v>8</v>
      </c>
      <c r="E828" s="1288">
        <v>1</v>
      </c>
      <c r="F828" s="1307">
        <v>2020659</v>
      </c>
      <c r="G828" s="1248"/>
      <c r="H828" s="1248">
        <v>290</v>
      </c>
      <c r="I828" s="1250"/>
      <c r="J828" s="1250"/>
    </row>
    <row r="829" spans="2:10" ht="14" x14ac:dyDescent="0.15">
      <c r="B829" s="1247" t="s">
        <v>96</v>
      </c>
      <c r="C829" s="1288">
        <v>56</v>
      </c>
      <c r="D829" s="1288">
        <v>8</v>
      </c>
      <c r="E829" s="1288">
        <v>1</v>
      </c>
      <c r="F829" s="1307">
        <v>2020659</v>
      </c>
      <c r="G829" s="1248"/>
      <c r="H829" s="1248">
        <v>310</v>
      </c>
      <c r="I829" s="1250">
        <v>195</v>
      </c>
      <c r="J829" s="1250"/>
    </row>
    <row r="830" spans="2:10" ht="14" x14ac:dyDescent="0.15">
      <c r="B830" s="1247" t="s">
        <v>97</v>
      </c>
      <c r="C830" s="1288">
        <v>56</v>
      </c>
      <c r="D830" s="1288">
        <v>8</v>
      </c>
      <c r="E830" s="1288">
        <v>1</v>
      </c>
      <c r="F830" s="1307">
        <v>2020659</v>
      </c>
      <c r="G830" s="1248"/>
      <c r="H830" s="1248">
        <v>340</v>
      </c>
      <c r="I830" s="1250">
        <v>5</v>
      </c>
      <c r="J830" s="1250"/>
    </row>
    <row r="831" spans="2:10" ht="14" x14ac:dyDescent="0.15">
      <c r="B831" s="1243" t="s">
        <v>767</v>
      </c>
      <c r="C831" s="1288">
        <v>56</v>
      </c>
      <c r="D831" s="1288">
        <v>8</v>
      </c>
      <c r="E831" s="1288">
        <v>1</v>
      </c>
      <c r="F831" s="1307">
        <v>2020659</v>
      </c>
      <c r="G831" s="1244">
        <v>612</v>
      </c>
      <c r="H831" s="1245">
        <v>241</v>
      </c>
      <c r="I831" s="1252">
        <v>0</v>
      </c>
      <c r="J831" s="1247"/>
    </row>
    <row r="832" spans="2:10" ht="14" x14ac:dyDescent="0.15">
      <c r="B832" s="1239" t="s">
        <v>1177</v>
      </c>
      <c r="C832" s="1288">
        <v>56</v>
      </c>
      <c r="D832" s="1288">
        <v>8</v>
      </c>
      <c r="E832" s="1288">
        <v>1</v>
      </c>
      <c r="F832" s="1307">
        <v>2020659</v>
      </c>
      <c r="G832" s="2163">
        <v>600</v>
      </c>
      <c r="H832" s="2162"/>
      <c r="I832" s="2164">
        <v>29610.400000000001</v>
      </c>
      <c r="J832" s="2164">
        <v>20640</v>
      </c>
    </row>
    <row r="833" spans="2:10" ht="39" x14ac:dyDescent="0.15">
      <c r="B833" s="1243" t="s">
        <v>1135</v>
      </c>
      <c r="C833" s="1288">
        <v>56</v>
      </c>
      <c r="D833" s="1288">
        <v>8</v>
      </c>
      <c r="E833" s="1288">
        <v>1</v>
      </c>
      <c r="F833" s="1307">
        <v>2020659</v>
      </c>
      <c r="G833" s="1245">
        <v>611</v>
      </c>
      <c r="H833" s="1244">
        <v>241</v>
      </c>
      <c r="I833" s="1265">
        <v>8970.4</v>
      </c>
      <c r="J833" s="1265">
        <v>20640</v>
      </c>
    </row>
    <row r="834" spans="2:10" ht="14" x14ac:dyDescent="0.15">
      <c r="B834" s="1247" t="s">
        <v>78</v>
      </c>
      <c r="C834" s="1288">
        <v>56</v>
      </c>
      <c r="D834" s="1288">
        <v>8</v>
      </c>
      <c r="E834" s="1288">
        <v>1</v>
      </c>
      <c r="F834" s="1307">
        <v>2020659</v>
      </c>
      <c r="G834" s="1248"/>
      <c r="H834" s="1248">
        <v>211</v>
      </c>
      <c r="I834" s="1249">
        <v>1645.9</v>
      </c>
      <c r="J834" s="1250"/>
    </row>
    <row r="835" spans="2:10" ht="14" x14ac:dyDescent="0.15">
      <c r="B835" s="1247" t="s">
        <v>103</v>
      </c>
      <c r="C835" s="1288">
        <v>56</v>
      </c>
      <c r="D835" s="1288">
        <v>8</v>
      </c>
      <c r="E835" s="1288">
        <v>1</v>
      </c>
      <c r="F835" s="1307">
        <v>2020659</v>
      </c>
      <c r="G835" s="1248"/>
      <c r="H835" s="1248">
        <v>212</v>
      </c>
      <c r="I835" s="1314"/>
      <c r="J835" s="1314"/>
    </row>
    <row r="836" spans="2:10" ht="14" x14ac:dyDescent="0.15">
      <c r="B836" s="1247" t="s">
        <v>84</v>
      </c>
      <c r="C836" s="1288">
        <v>56</v>
      </c>
      <c r="D836" s="1288">
        <v>8</v>
      </c>
      <c r="E836" s="1288">
        <v>1</v>
      </c>
      <c r="F836" s="1307">
        <v>2020659</v>
      </c>
      <c r="G836" s="1248"/>
      <c r="H836" s="1248">
        <v>213</v>
      </c>
      <c r="I836" s="1250">
        <v>479.6</v>
      </c>
      <c r="J836" s="1250"/>
    </row>
    <row r="837" spans="2:10" ht="14" x14ac:dyDescent="0.15">
      <c r="B837" s="1247" t="s">
        <v>85</v>
      </c>
      <c r="C837" s="1288">
        <v>56</v>
      </c>
      <c r="D837" s="1288">
        <v>8</v>
      </c>
      <c r="E837" s="1288">
        <v>1</v>
      </c>
      <c r="F837" s="1307">
        <v>2020659</v>
      </c>
      <c r="G837" s="1248"/>
      <c r="H837" s="1248">
        <v>221</v>
      </c>
      <c r="I837" s="1250"/>
      <c r="J837" s="1250"/>
    </row>
    <row r="838" spans="2:10" ht="14" x14ac:dyDescent="0.15">
      <c r="B838" s="1247" t="s">
        <v>86</v>
      </c>
      <c r="C838" s="1288">
        <v>56</v>
      </c>
      <c r="D838" s="1288">
        <v>8</v>
      </c>
      <c r="E838" s="1288">
        <v>1</v>
      </c>
      <c r="F838" s="1307">
        <v>2020659</v>
      </c>
      <c r="G838" s="1248"/>
      <c r="H838" s="1248">
        <v>222</v>
      </c>
      <c r="I838" s="1250"/>
      <c r="J838" s="1250"/>
    </row>
    <row r="839" spans="2:10" ht="14" x14ac:dyDescent="0.15">
      <c r="B839" s="1247" t="s">
        <v>87</v>
      </c>
      <c r="C839" s="1288">
        <v>56</v>
      </c>
      <c r="D839" s="1288">
        <v>8</v>
      </c>
      <c r="E839" s="1288">
        <v>1</v>
      </c>
      <c r="F839" s="1307">
        <v>2020659</v>
      </c>
      <c r="G839" s="1248"/>
      <c r="H839" s="1248">
        <v>223</v>
      </c>
      <c r="I839" s="1250"/>
      <c r="J839" s="1250"/>
    </row>
    <row r="840" spans="2:10" ht="14" x14ac:dyDescent="0.15">
      <c r="B840" s="1247" t="s">
        <v>134</v>
      </c>
      <c r="C840" s="1288">
        <v>56</v>
      </c>
      <c r="D840" s="1288">
        <v>8</v>
      </c>
      <c r="E840" s="1288">
        <v>1</v>
      </c>
      <c r="F840" s="1307">
        <v>2020659</v>
      </c>
      <c r="G840" s="1248"/>
      <c r="H840" s="1248">
        <v>224</v>
      </c>
      <c r="I840" s="1250">
        <v>336</v>
      </c>
      <c r="J840" s="1250"/>
    </row>
    <row r="841" spans="2:10" ht="14" x14ac:dyDescent="0.15">
      <c r="B841" s="1247" t="s">
        <v>90</v>
      </c>
      <c r="C841" s="1288">
        <v>56</v>
      </c>
      <c r="D841" s="1288">
        <v>8</v>
      </c>
      <c r="E841" s="1288">
        <v>1</v>
      </c>
      <c r="F841" s="1307">
        <v>2020659</v>
      </c>
      <c r="G841" s="1248"/>
      <c r="H841" s="1248">
        <v>225</v>
      </c>
      <c r="I841" s="1250"/>
      <c r="J841" s="1250"/>
    </row>
    <row r="842" spans="2:10" ht="14" x14ac:dyDescent="0.15">
      <c r="B842" s="1247" t="s">
        <v>91</v>
      </c>
      <c r="C842" s="1288">
        <v>56</v>
      </c>
      <c r="D842" s="1288">
        <v>8</v>
      </c>
      <c r="E842" s="1288">
        <v>1</v>
      </c>
      <c r="F842" s="1307">
        <v>2020659</v>
      </c>
      <c r="G842" s="1248"/>
      <c r="H842" s="1248">
        <v>226</v>
      </c>
      <c r="I842" s="1249">
        <v>6500</v>
      </c>
      <c r="J842" s="1249">
        <v>20640</v>
      </c>
    </row>
    <row r="843" spans="2:10" ht="14" x14ac:dyDescent="0.15">
      <c r="B843" s="1247" t="s">
        <v>94</v>
      </c>
      <c r="C843" s="1288">
        <v>56</v>
      </c>
      <c r="D843" s="1288">
        <v>8</v>
      </c>
      <c r="E843" s="1288">
        <v>1</v>
      </c>
      <c r="F843" s="1307">
        <v>2020659</v>
      </c>
      <c r="G843" s="1248"/>
      <c r="H843" s="1248">
        <v>290</v>
      </c>
      <c r="I843" s="1250">
        <v>8.9</v>
      </c>
      <c r="J843" s="1250"/>
    </row>
    <row r="844" spans="2:10" ht="14" x14ac:dyDescent="0.15">
      <c r="B844" s="1247" t="s">
        <v>94</v>
      </c>
      <c r="C844" s="1288">
        <v>56</v>
      </c>
      <c r="D844" s="1288">
        <v>8</v>
      </c>
      <c r="E844" s="1288">
        <v>1</v>
      </c>
      <c r="F844" s="1307">
        <v>2020659</v>
      </c>
      <c r="G844" s="1248"/>
      <c r="H844" s="1248">
        <v>290</v>
      </c>
      <c r="I844" s="1250"/>
      <c r="J844" s="1250"/>
    </row>
    <row r="845" spans="2:10" ht="14" x14ac:dyDescent="0.15">
      <c r="B845" s="1247" t="s">
        <v>96</v>
      </c>
      <c r="C845" s="1288">
        <v>56</v>
      </c>
      <c r="D845" s="1288">
        <v>8</v>
      </c>
      <c r="E845" s="1288">
        <v>1</v>
      </c>
      <c r="F845" s="1307">
        <v>2020659</v>
      </c>
      <c r="G845" s="1248"/>
      <c r="H845" s="1248">
        <v>310</v>
      </c>
      <c r="I845" s="1251"/>
      <c r="J845" s="1250"/>
    </row>
    <row r="846" spans="2:10" ht="14" x14ac:dyDescent="0.15">
      <c r="B846" s="1247" t="s">
        <v>97</v>
      </c>
      <c r="C846" s="1288">
        <v>56</v>
      </c>
      <c r="D846" s="1288">
        <v>8</v>
      </c>
      <c r="E846" s="1288">
        <v>1</v>
      </c>
      <c r="F846" s="1307">
        <v>2020659</v>
      </c>
      <c r="G846" s="1248"/>
      <c r="H846" s="1248">
        <v>340</v>
      </c>
      <c r="I846" s="1250"/>
      <c r="J846" s="1250"/>
    </row>
    <row r="847" spans="2:10" ht="14" x14ac:dyDescent="0.15">
      <c r="B847" s="1243" t="s">
        <v>767</v>
      </c>
      <c r="C847" s="1288">
        <v>56</v>
      </c>
      <c r="D847" s="1288">
        <v>8</v>
      </c>
      <c r="E847" s="1288">
        <v>1</v>
      </c>
      <c r="F847" s="1307">
        <v>2020659</v>
      </c>
      <c r="G847" s="1244">
        <v>612</v>
      </c>
      <c r="H847" s="1245">
        <v>241</v>
      </c>
      <c r="I847" s="1270">
        <v>20640</v>
      </c>
      <c r="J847" s="1247"/>
    </row>
    <row r="848" spans="2:10" ht="26" x14ac:dyDescent="0.15">
      <c r="B848" s="1239" t="s">
        <v>1178</v>
      </c>
      <c r="C848" s="1288">
        <v>56</v>
      </c>
      <c r="D848" s="1288">
        <v>8</v>
      </c>
      <c r="E848" s="1288">
        <v>1</v>
      </c>
      <c r="F848" s="1307">
        <v>2020659</v>
      </c>
      <c r="G848" s="2163">
        <v>600</v>
      </c>
      <c r="H848" s="2162"/>
      <c r="I848" s="2164">
        <v>59627.6</v>
      </c>
      <c r="J848" s="1241">
        <v>0</v>
      </c>
    </row>
    <row r="849" spans="2:10" ht="39" x14ac:dyDescent="0.15">
      <c r="B849" s="1243" t="s">
        <v>1135</v>
      </c>
      <c r="C849" s="1288">
        <v>56</v>
      </c>
      <c r="D849" s="1288">
        <v>8</v>
      </c>
      <c r="E849" s="1288">
        <v>1</v>
      </c>
      <c r="F849" s="1307">
        <v>2020659</v>
      </c>
      <c r="G849" s="1245">
        <v>611</v>
      </c>
      <c r="H849" s="1244">
        <v>241</v>
      </c>
      <c r="I849" s="1265">
        <v>59627.6</v>
      </c>
      <c r="J849" s="1289">
        <v>0</v>
      </c>
    </row>
    <row r="850" spans="2:10" ht="14" x14ac:dyDescent="0.15">
      <c r="B850" s="1247" t="s">
        <v>78</v>
      </c>
      <c r="C850" s="1288">
        <v>56</v>
      </c>
      <c r="D850" s="1288">
        <v>8</v>
      </c>
      <c r="E850" s="1288">
        <v>1</v>
      </c>
      <c r="F850" s="1307">
        <v>2020659</v>
      </c>
      <c r="G850" s="1248"/>
      <c r="H850" s="1248">
        <v>211</v>
      </c>
      <c r="I850" s="1249">
        <v>44143.3</v>
      </c>
      <c r="J850" s="1247"/>
    </row>
    <row r="851" spans="2:10" ht="14" x14ac:dyDescent="0.15">
      <c r="B851" s="1247" t="s">
        <v>103</v>
      </c>
      <c r="C851" s="1288">
        <v>56</v>
      </c>
      <c r="D851" s="1288">
        <v>8</v>
      </c>
      <c r="E851" s="1288">
        <v>1</v>
      </c>
      <c r="F851" s="1307">
        <v>2020659</v>
      </c>
      <c r="G851" s="1248"/>
      <c r="H851" s="1248">
        <v>212</v>
      </c>
      <c r="I851" s="1314"/>
      <c r="J851" s="1247"/>
    </row>
    <row r="852" spans="2:10" ht="14" x14ac:dyDescent="0.15">
      <c r="B852" s="1247" t="s">
        <v>84</v>
      </c>
      <c r="C852" s="1288">
        <v>56</v>
      </c>
      <c r="D852" s="1288">
        <v>8</v>
      </c>
      <c r="E852" s="1288">
        <v>1</v>
      </c>
      <c r="F852" s="1307">
        <v>2020659</v>
      </c>
      <c r="G852" s="1248"/>
      <c r="H852" s="1248">
        <v>213</v>
      </c>
      <c r="I852" s="1249">
        <v>12863.5</v>
      </c>
      <c r="J852" s="1247"/>
    </row>
    <row r="853" spans="2:10" ht="14" x14ac:dyDescent="0.15">
      <c r="B853" s="1247" t="s">
        <v>85</v>
      </c>
      <c r="C853" s="1288">
        <v>56</v>
      </c>
      <c r="D853" s="1288">
        <v>8</v>
      </c>
      <c r="E853" s="1288">
        <v>1</v>
      </c>
      <c r="F853" s="1307">
        <v>2020659</v>
      </c>
      <c r="G853" s="1248"/>
      <c r="H853" s="1248">
        <v>221</v>
      </c>
      <c r="I853" s="1250"/>
      <c r="J853" s="1247"/>
    </row>
    <row r="854" spans="2:10" ht="14" x14ac:dyDescent="0.15">
      <c r="B854" s="1247" t="s">
        <v>86</v>
      </c>
      <c r="C854" s="1288">
        <v>56</v>
      </c>
      <c r="D854" s="1288">
        <v>8</v>
      </c>
      <c r="E854" s="1288">
        <v>1</v>
      </c>
      <c r="F854" s="1307">
        <v>2020659</v>
      </c>
      <c r="G854" s="1248"/>
      <c r="H854" s="1248">
        <v>222</v>
      </c>
      <c r="I854" s="1249">
        <v>1000</v>
      </c>
      <c r="J854" s="1247"/>
    </row>
    <row r="855" spans="2:10" ht="14" x14ac:dyDescent="0.15">
      <c r="B855" s="1247" t="s">
        <v>87</v>
      </c>
      <c r="C855" s="1288">
        <v>56</v>
      </c>
      <c r="D855" s="1288">
        <v>8</v>
      </c>
      <c r="E855" s="1288">
        <v>1</v>
      </c>
      <c r="F855" s="1307">
        <v>2020659</v>
      </c>
      <c r="G855" s="1248"/>
      <c r="H855" s="1248">
        <v>223</v>
      </c>
      <c r="I855" s="1250">
        <v>352.1</v>
      </c>
      <c r="J855" s="1247"/>
    </row>
    <row r="856" spans="2:10" ht="14" x14ac:dyDescent="0.15">
      <c r="B856" s="1247" t="s">
        <v>134</v>
      </c>
      <c r="C856" s="1288">
        <v>56</v>
      </c>
      <c r="D856" s="1288">
        <v>8</v>
      </c>
      <c r="E856" s="1288">
        <v>1</v>
      </c>
      <c r="F856" s="1307">
        <v>2020659</v>
      </c>
      <c r="G856" s="1248"/>
      <c r="H856" s="1248">
        <v>224</v>
      </c>
      <c r="I856" s="1250"/>
      <c r="J856" s="1247"/>
    </row>
    <row r="857" spans="2:10" ht="14" x14ac:dyDescent="0.15">
      <c r="B857" s="1247" t="s">
        <v>90</v>
      </c>
      <c r="C857" s="1288">
        <v>56</v>
      </c>
      <c r="D857" s="1288">
        <v>8</v>
      </c>
      <c r="E857" s="1288">
        <v>1</v>
      </c>
      <c r="F857" s="1307">
        <v>2020659</v>
      </c>
      <c r="G857" s="1248"/>
      <c r="H857" s="1248">
        <v>225</v>
      </c>
      <c r="I857" s="1250">
        <v>10.7</v>
      </c>
      <c r="J857" s="1247"/>
    </row>
    <row r="858" spans="2:10" ht="14" x14ac:dyDescent="0.15">
      <c r="B858" s="1247" t="s">
        <v>91</v>
      </c>
      <c r="C858" s="1288">
        <v>56</v>
      </c>
      <c r="D858" s="1288">
        <v>8</v>
      </c>
      <c r="E858" s="1288">
        <v>1</v>
      </c>
      <c r="F858" s="1307">
        <v>2020659</v>
      </c>
      <c r="G858" s="1248"/>
      <c r="H858" s="1248">
        <v>226</v>
      </c>
      <c r="I858" s="1251"/>
      <c r="J858" s="1247"/>
    </row>
    <row r="859" spans="2:10" ht="14" x14ac:dyDescent="0.15">
      <c r="B859" s="1247" t="s">
        <v>94</v>
      </c>
      <c r="C859" s="1288">
        <v>56</v>
      </c>
      <c r="D859" s="1288">
        <v>8</v>
      </c>
      <c r="E859" s="1288">
        <v>1</v>
      </c>
      <c r="F859" s="1307">
        <v>2020659</v>
      </c>
      <c r="G859" s="1248"/>
      <c r="H859" s="1248">
        <v>290</v>
      </c>
      <c r="I859" s="1250">
        <v>258</v>
      </c>
      <c r="J859" s="1247"/>
    </row>
    <row r="860" spans="2:10" ht="14" x14ac:dyDescent="0.15">
      <c r="B860" s="1247" t="s">
        <v>94</v>
      </c>
      <c r="C860" s="1288">
        <v>56</v>
      </c>
      <c r="D860" s="1288">
        <v>8</v>
      </c>
      <c r="E860" s="1288">
        <v>1</v>
      </c>
      <c r="F860" s="1307">
        <v>2020659</v>
      </c>
      <c r="G860" s="1248"/>
      <c r="H860" s="1248">
        <v>290</v>
      </c>
      <c r="I860" s="1250"/>
      <c r="J860" s="1247"/>
    </row>
    <row r="861" spans="2:10" ht="14" x14ac:dyDescent="0.15">
      <c r="B861" s="1247" t="s">
        <v>96</v>
      </c>
      <c r="C861" s="1288">
        <v>56</v>
      </c>
      <c r="D861" s="1288">
        <v>8</v>
      </c>
      <c r="E861" s="1288">
        <v>1</v>
      </c>
      <c r="F861" s="1307">
        <v>2020659</v>
      </c>
      <c r="G861" s="1248"/>
      <c r="H861" s="1248">
        <v>310</v>
      </c>
      <c r="I861" s="1249">
        <v>1000</v>
      </c>
      <c r="J861" s="1247"/>
    </row>
    <row r="862" spans="2:10" ht="14" x14ac:dyDescent="0.15">
      <c r="B862" s="1247" t="s">
        <v>97</v>
      </c>
      <c r="C862" s="1288">
        <v>56</v>
      </c>
      <c r="D862" s="1288">
        <v>8</v>
      </c>
      <c r="E862" s="1288">
        <v>1</v>
      </c>
      <c r="F862" s="1307">
        <v>2020659</v>
      </c>
      <c r="G862" s="1248"/>
      <c r="H862" s="1248">
        <v>340</v>
      </c>
      <c r="I862" s="1250"/>
      <c r="J862" s="1247"/>
    </row>
    <row r="863" spans="2:10" ht="14" x14ac:dyDescent="0.15">
      <c r="B863" s="1243" t="s">
        <v>767</v>
      </c>
      <c r="C863" s="1288">
        <v>56</v>
      </c>
      <c r="D863" s="1288">
        <v>8</v>
      </c>
      <c r="E863" s="1288">
        <v>1</v>
      </c>
      <c r="F863" s="1307">
        <v>2020659</v>
      </c>
      <c r="G863" s="1244">
        <v>612</v>
      </c>
      <c r="H863" s="1245">
        <v>241</v>
      </c>
      <c r="I863" s="1252">
        <v>0</v>
      </c>
      <c r="J863" s="1247"/>
    </row>
    <row r="864" spans="2:10" ht="14" x14ac:dyDescent="0.15">
      <c r="B864" s="1239" t="s">
        <v>1179</v>
      </c>
      <c r="C864" s="1288">
        <v>56</v>
      </c>
      <c r="D864" s="1288">
        <v>8</v>
      </c>
      <c r="E864" s="1288">
        <v>1</v>
      </c>
      <c r="F864" s="1307">
        <v>2020659</v>
      </c>
      <c r="G864" s="2163">
        <v>600</v>
      </c>
      <c r="H864" s="2162"/>
      <c r="I864" s="2164">
        <v>6679.1</v>
      </c>
      <c r="J864" s="1241">
        <v>0</v>
      </c>
    </row>
    <row r="865" spans="2:10" ht="39" x14ac:dyDescent="0.15">
      <c r="B865" s="1243" t="s">
        <v>1135</v>
      </c>
      <c r="C865" s="1288">
        <v>56</v>
      </c>
      <c r="D865" s="1288">
        <v>8</v>
      </c>
      <c r="E865" s="1288">
        <v>1</v>
      </c>
      <c r="F865" s="1307">
        <v>2020659</v>
      </c>
      <c r="G865" s="1245">
        <v>611</v>
      </c>
      <c r="H865" s="1244">
        <v>241</v>
      </c>
      <c r="I865" s="1265">
        <v>6679.1</v>
      </c>
      <c r="J865" s="1289">
        <v>0</v>
      </c>
    </row>
    <row r="866" spans="2:10" ht="14" x14ac:dyDescent="0.15">
      <c r="B866" s="1247" t="s">
        <v>78</v>
      </c>
      <c r="C866" s="1288">
        <v>56</v>
      </c>
      <c r="D866" s="1288">
        <v>8</v>
      </c>
      <c r="E866" s="1288">
        <v>1</v>
      </c>
      <c r="F866" s="1307">
        <v>2020659</v>
      </c>
      <c r="G866" s="1248"/>
      <c r="H866" s="1248">
        <v>211</v>
      </c>
      <c r="I866" s="1249">
        <v>4710.7</v>
      </c>
      <c r="J866" s="1247"/>
    </row>
    <row r="867" spans="2:10" ht="14" x14ac:dyDescent="0.15">
      <c r="B867" s="1247" t="s">
        <v>103</v>
      </c>
      <c r="C867" s="1288">
        <v>56</v>
      </c>
      <c r="D867" s="1288">
        <v>8</v>
      </c>
      <c r="E867" s="1288">
        <v>1</v>
      </c>
      <c r="F867" s="1307">
        <v>2020659</v>
      </c>
      <c r="G867" s="1248"/>
      <c r="H867" s="1248">
        <v>212</v>
      </c>
      <c r="I867" s="1314"/>
      <c r="J867" s="1247"/>
    </row>
    <row r="868" spans="2:10" ht="14" x14ac:dyDescent="0.15">
      <c r="B868" s="1247" t="s">
        <v>84</v>
      </c>
      <c r="C868" s="1288">
        <v>56</v>
      </c>
      <c r="D868" s="1288">
        <v>8</v>
      </c>
      <c r="E868" s="1288">
        <v>1</v>
      </c>
      <c r="F868" s="1307">
        <v>2020659</v>
      </c>
      <c r="G868" s="1248"/>
      <c r="H868" s="1248">
        <v>213</v>
      </c>
      <c r="I868" s="1249">
        <v>1370.6</v>
      </c>
      <c r="J868" s="1247"/>
    </row>
    <row r="869" spans="2:10" ht="14" x14ac:dyDescent="0.15">
      <c r="B869" s="1247" t="s">
        <v>85</v>
      </c>
      <c r="C869" s="1288">
        <v>56</v>
      </c>
      <c r="D869" s="1288">
        <v>8</v>
      </c>
      <c r="E869" s="1288">
        <v>1</v>
      </c>
      <c r="F869" s="1307">
        <v>2020659</v>
      </c>
      <c r="G869" s="1248"/>
      <c r="H869" s="1248">
        <v>221</v>
      </c>
      <c r="I869" s="1250"/>
      <c r="J869" s="1247"/>
    </row>
    <row r="870" spans="2:10" ht="14" x14ac:dyDescent="0.15">
      <c r="B870" s="1247" t="s">
        <v>86</v>
      </c>
      <c r="C870" s="1288">
        <v>56</v>
      </c>
      <c r="D870" s="1288">
        <v>8</v>
      </c>
      <c r="E870" s="1288">
        <v>1</v>
      </c>
      <c r="F870" s="1307">
        <v>2020659</v>
      </c>
      <c r="G870" s="1248"/>
      <c r="H870" s="1248">
        <v>222</v>
      </c>
      <c r="I870" s="1250"/>
      <c r="J870" s="1247"/>
    </row>
    <row r="871" spans="2:10" ht="14" x14ac:dyDescent="0.15">
      <c r="B871" s="1247" t="s">
        <v>87</v>
      </c>
      <c r="C871" s="1288">
        <v>56</v>
      </c>
      <c r="D871" s="1288">
        <v>8</v>
      </c>
      <c r="E871" s="1288">
        <v>1</v>
      </c>
      <c r="F871" s="1307">
        <v>2020659</v>
      </c>
      <c r="G871" s="1248"/>
      <c r="H871" s="1248">
        <v>223</v>
      </c>
      <c r="I871" s="1250">
        <v>22.1</v>
      </c>
      <c r="J871" s="1247"/>
    </row>
    <row r="872" spans="2:10" ht="14" x14ac:dyDescent="0.15">
      <c r="B872" s="1247" t="s">
        <v>134</v>
      </c>
      <c r="C872" s="1288">
        <v>56</v>
      </c>
      <c r="D872" s="1288">
        <v>8</v>
      </c>
      <c r="E872" s="1288">
        <v>1</v>
      </c>
      <c r="F872" s="1307">
        <v>2020659</v>
      </c>
      <c r="G872" s="1248"/>
      <c r="H872" s="1248">
        <v>224</v>
      </c>
      <c r="I872" s="1250">
        <v>360</v>
      </c>
      <c r="J872" s="1247"/>
    </row>
    <row r="873" spans="2:10" ht="14" x14ac:dyDescent="0.15">
      <c r="B873" s="1247" t="s">
        <v>90</v>
      </c>
      <c r="C873" s="1288">
        <v>56</v>
      </c>
      <c r="D873" s="1288">
        <v>8</v>
      </c>
      <c r="E873" s="1288">
        <v>1</v>
      </c>
      <c r="F873" s="1307">
        <v>2020659</v>
      </c>
      <c r="G873" s="1248"/>
      <c r="H873" s="1248">
        <v>225</v>
      </c>
      <c r="I873" s="1250"/>
      <c r="J873" s="1247"/>
    </row>
    <row r="874" spans="2:10" ht="14" x14ac:dyDescent="0.15">
      <c r="B874" s="1247" t="s">
        <v>91</v>
      </c>
      <c r="C874" s="1288">
        <v>56</v>
      </c>
      <c r="D874" s="1288">
        <v>8</v>
      </c>
      <c r="E874" s="1288">
        <v>1</v>
      </c>
      <c r="F874" s="1307">
        <v>2020659</v>
      </c>
      <c r="G874" s="1248"/>
      <c r="H874" s="1248">
        <v>226</v>
      </c>
      <c r="I874" s="1250"/>
      <c r="J874" s="1247"/>
    </row>
    <row r="875" spans="2:10" ht="14" x14ac:dyDescent="0.15">
      <c r="B875" s="1247" t="s">
        <v>94</v>
      </c>
      <c r="C875" s="1288">
        <v>56</v>
      </c>
      <c r="D875" s="1288">
        <v>8</v>
      </c>
      <c r="E875" s="1288">
        <v>1</v>
      </c>
      <c r="F875" s="1307">
        <v>2020659</v>
      </c>
      <c r="G875" s="1248"/>
      <c r="H875" s="1248">
        <v>290</v>
      </c>
      <c r="I875" s="1250">
        <v>15.7</v>
      </c>
      <c r="J875" s="1247"/>
    </row>
    <row r="876" spans="2:10" ht="14" x14ac:dyDescent="0.15">
      <c r="B876" s="1247" t="s">
        <v>94</v>
      </c>
      <c r="C876" s="1288">
        <v>56</v>
      </c>
      <c r="D876" s="1288">
        <v>8</v>
      </c>
      <c r="E876" s="1288">
        <v>1</v>
      </c>
      <c r="F876" s="1307">
        <v>2020659</v>
      </c>
      <c r="G876" s="1248"/>
      <c r="H876" s="1248">
        <v>290</v>
      </c>
      <c r="I876" s="1250"/>
      <c r="J876" s="1247"/>
    </row>
    <row r="877" spans="2:10" ht="14" x14ac:dyDescent="0.15">
      <c r="B877" s="1247" t="s">
        <v>96</v>
      </c>
      <c r="C877" s="1288">
        <v>56</v>
      </c>
      <c r="D877" s="1288">
        <v>8</v>
      </c>
      <c r="E877" s="1288">
        <v>1</v>
      </c>
      <c r="F877" s="1307">
        <v>2020659</v>
      </c>
      <c r="G877" s="1248"/>
      <c r="H877" s="1248">
        <v>310</v>
      </c>
      <c r="I877" s="1250">
        <v>200</v>
      </c>
      <c r="J877" s="1247"/>
    </row>
    <row r="878" spans="2:10" ht="14" x14ac:dyDescent="0.15">
      <c r="B878" s="1247" t="s">
        <v>97</v>
      </c>
      <c r="C878" s="1288">
        <v>56</v>
      </c>
      <c r="D878" s="1288">
        <v>8</v>
      </c>
      <c r="E878" s="1288">
        <v>1</v>
      </c>
      <c r="F878" s="1307">
        <v>2020659</v>
      </c>
      <c r="G878" s="1248"/>
      <c r="H878" s="1248">
        <v>340</v>
      </c>
      <c r="I878" s="1250"/>
      <c r="J878" s="1247"/>
    </row>
    <row r="879" spans="2:10" ht="14" x14ac:dyDescent="0.15">
      <c r="B879" s="1243" t="s">
        <v>767</v>
      </c>
      <c r="C879" s="1288">
        <v>56</v>
      </c>
      <c r="D879" s="1288">
        <v>8</v>
      </c>
      <c r="E879" s="1288">
        <v>1</v>
      </c>
      <c r="F879" s="1307">
        <v>2020659</v>
      </c>
      <c r="G879" s="1244">
        <v>612</v>
      </c>
      <c r="H879" s="1245">
        <v>241</v>
      </c>
      <c r="I879" s="1252">
        <v>0</v>
      </c>
      <c r="J879" s="1247"/>
    </row>
    <row r="880" spans="2:10" ht="26" x14ac:dyDescent="0.15">
      <c r="B880" s="1239" t="s">
        <v>1362</v>
      </c>
      <c r="C880" s="1288">
        <v>56</v>
      </c>
      <c r="D880" s="1288">
        <v>8</v>
      </c>
      <c r="E880" s="1288">
        <v>1</v>
      </c>
      <c r="F880" s="1307">
        <v>2020659</v>
      </c>
      <c r="G880" s="2163">
        <v>600</v>
      </c>
      <c r="H880" s="2162"/>
      <c r="I880" s="2164">
        <v>7065.7</v>
      </c>
      <c r="J880" s="1241">
        <v>0</v>
      </c>
    </row>
    <row r="881" spans="2:10" ht="39" x14ac:dyDescent="0.15">
      <c r="B881" s="1243" t="s">
        <v>1135</v>
      </c>
      <c r="C881" s="1288">
        <v>56</v>
      </c>
      <c r="D881" s="1288">
        <v>8</v>
      </c>
      <c r="E881" s="1288">
        <v>1</v>
      </c>
      <c r="F881" s="1307">
        <v>2020659</v>
      </c>
      <c r="G881" s="1245">
        <v>611</v>
      </c>
      <c r="H881" s="1244">
        <v>241</v>
      </c>
      <c r="I881" s="1265">
        <v>7065.7</v>
      </c>
      <c r="J881" s="1289">
        <v>0</v>
      </c>
    </row>
    <row r="882" spans="2:10" ht="14" x14ac:dyDescent="0.15">
      <c r="B882" s="1247" t="s">
        <v>78</v>
      </c>
      <c r="C882" s="1288">
        <v>56</v>
      </c>
      <c r="D882" s="1288">
        <v>8</v>
      </c>
      <c r="E882" s="1288">
        <v>1</v>
      </c>
      <c r="F882" s="1307">
        <v>2020659</v>
      </c>
      <c r="G882" s="1248"/>
      <c r="H882" s="1248">
        <v>211</v>
      </c>
      <c r="I882" s="1249">
        <v>4339.1000000000004</v>
      </c>
      <c r="J882" s="1247"/>
    </row>
    <row r="883" spans="2:10" ht="14" x14ac:dyDescent="0.15">
      <c r="B883" s="1247" t="s">
        <v>103</v>
      </c>
      <c r="C883" s="1288">
        <v>56</v>
      </c>
      <c r="D883" s="1288">
        <v>8</v>
      </c>
      <c r="E883" s="1288">
        <v>1</v>
      </c>
      <c r="F883" s="1307">
        <v>2020659</v>
      </c>
      <c r="G883" s="1248"/>
      <c r="H883" s="1248">
        <v>212</v>
      </c>
      <c r="I883" s="1314"/>
      <c r="J883" s="1247"/>
    </row>
    <row r="884" spans="2:10" ht="14" x14ac:dyDescent="0.15">
      <c r="B884" s="1247" t="s">
        <v>84</v>
      </c>
      <c r="C884" s="1288">
        <v>56</v>
      </c>
      <c r="D884" s="1288">
        <v>8</v>
      </c>
      <c r="E884" s="1288">
        <v>1</v>
      </c>
      <c r="F884" s="1307">
        <v>2020659</v>
      </c>
      <c r="G884" s="1248"/>
      <c r="H884" s="1248">
        <v>213</v>
      </c>
      <c r="I884" s="1249">
        <v>1264.5</v>
      </c>
      <c r="J884" s="1247"/>
    </row>
    <row r="885" spans="2:10" ht="14" x14ac:dyDescent="0.15">
      <c r="B885" s="1247" t="s">
        <v>85</v>
      </c>
      <c r="C885" s="1288">
        <v>56</v>
      </c>
      <c r="D885" s="1288">
        <v>8</v>
      </c>
      <c r="E885" s="1288">
        <v>1</v>
      </c>
      <c r="F885" s="1307">
        <v>2020659</v>
      </c>
      <c r="G885" s="1248"/>
      <c r="H885" s="1248">
        <v>221</v>
      </c>
      <c r="I885" s="1250"/>
      <c r="J885" s="1247"/>
    </row>
    <row r="886" spans="2:10" ht="14" x14ac:dyDescent="0.15">
      <c r="B886" s="1247" t="s">
        <v>86</v>
      </c>
      <c r="C886" s="1288">
        <v>56</v>
      </c>
      <c r="D886" s="1288">
        <v>8</v>
      </c>
      <c r="E886" s="1288">
        <v>1</v>
      </c>
      <c r="F886" s="1307">
        <v>2020659</v>
      </c>
      <c r="G886" s="1248"/>
      <c r="H886" s="1248">
        <v>222</v>
      </c>
      <c r="I886" s="1250">
        <v>40</v>
      </c>
      <c r="J886" s="1247"/>
    </row>
    <row r="887" spans="2:10" ht="14" x14ac:dyDescent="0.15">
      <c r="B887" s="1247" t="s">
        <v>87</v>
      </c>
      <c r="C887" s="1288">
        <v>56</v>
      </c>
      <c r="D887" s="1288">
        <v>8</v>
      </c>
      <c r="E887" s="1288">
        <v>1</v>
      </c>
      <c r="F887" s="1307">
        <v>2020659</v>
      </c>
      <c r="G887" s="1248"/>
      <c r="H887" s="1248">
        <v>223</v>
      </c>
      <c r="I887" s="1250">
        <v>0</v>
      </c>
      <c r="J887" s="1247"/>
    </row>
    <row r="888" spans="2:10" ht="14" x14ac:dyDescent="0.15">
      <c r="B888" s="1247" t="s">
        <v>134</v>
      </c>
      <c r="C888" s="1288">
        <v>56</v>
      </c>
      <c r="D888" s="1288">
        <v>8</v>
      </c>
      <c r="E888" s="1288">
        <v>1</v>
      </c>
      <c r="F888" s="1307">
        <v>2020659</v>
      </c>
      <c r="G888" s="1248"/>
      <c r="H888" s="1248">
        <v>224</v>
      </c>
      <c r="I888" s="1250"/>
      <c r="J888" s="1247"/>
    </row>
    <row r="889" spans="2:10" ht="14" x14ac:dyDescent="0.15">
      <c r="B889" s="1247" t="s">
        <v>90</v>
      </c>
      <c r="C889" s="1288">
        <v>56</v>
      </c>
      <c r="D889" s="1288">
        <v>8</v>
      </c>
      <c r="E889" s="1288">
        <v>1</v>
      </c>
      <c r="F889" s="1307">
        <v>2020659</v>
      </c>
      <c r="G889" s="1248"/>
      <c r="H889" s="1248">
        <v>225</v>
      </c>
      <c r="I889" s="1250"/>
      <c r="J889" s="1247"/>
    </row>
    <row r="890" spans="2:10" ht="14" x14ac:dyDescent="0.15">
      <c r="B890" s="1247" t="s">
        <v>91</v>
      </c>
      <c r="C890" s="1288">
        <v>56</v>
      </c>
      <c r="D890" s="1288">
        <v>8</v>
      </c>
      <c r="E890" s="1288">
        <v>1</v>
      </c>
      <c r="F890" s="1307">
        <v>2020659</v>
      </c>
      <c r="G890" s="1248"/>
      <c r="H890" s="1248">
        <v>226</v>
      </c>
      <c r="I890" s="1250">
        <v>49</v>
      </c>
      <c r="J890" s="1247"/>
    </row>
    <row r="891" spans="2:10" ht="14" x14ac:dyDescent="0.15">
      <c r="B891" s="1247" t="s">
        <v>94</v>
      </c>
      <c r="C891" s="1288">
        <v>56</v>
      </c>
      <c r="D891" s="1288">
        <v>8</v>
      </c>
      <c r="E891" s="1288">
        <v>1</v>
      </c>
      <c r="F891" s="1307">
        <v>2020659</v>
      </c>
      <c r="G891" s="1248"/>
      <c r="H891" s="1248">
        <v>290</v>
      </c>
      <c r="I891" s="1250">
        <v>7.1</v>
      </c>
      <c r="J891" s="1247"/>
    </row>
    <row r="892" spans="2:10" ht="14" x14ac:dyDescent="0.15">
      <c r="B892" s="1247" t="s">
        <v>94</v>
      </c>
      <c r="C892" s="1288">
        <v>56</v>
      </c>
      <c r="D892" s="1288">
        <v>8</v>
      </c>
      <c r="E892" s="1288">
        <v>1</v>
      </c>
      <c r="F892" s="1307">
        <v>2020659</v>
      </c>
      <c r="G892" s="1248"/>
      <c r="H892" s="1248">
        <v>290</v>
      </c>
      <c r="I892" s="1250"/>
      <c r="J892" s="1247"/>
    </row>
    <row r="893" spans="2:10" ht="14" x14ac:dyDescent="0.15">
      <c r="B893" s="1247" t="s">
        <v>96</v>
      </c>
      <c r="C893" s="1288">
        <v>56</v>
      </c>
      <c r="D893" s="1288">
        <v>8</v>
      </c>
      <c r="E893" s="1288">
        <v>1</v>
      </c>
      <c r="F893" s="1307">
        <v>2020659</v>
      </c>
      <c r="G893" s="1248"/>
      <c r="H893" s="1248">
        <v>310</v>
      </c>
      <c r="I893" s="1249">
        <v>1296</v>
      </c>
      <c r="J893" s="1247"/>
    </row>
    <row r="894" spans="2:10" ht="14" x14ac:dyDescent="0.15">
      <c r="B894" s="1247" t="s">
        <v>97</v>
      </c>
      <c r="C894" s="1288">
        <v>56</v>
      </c>
      <c r="D894" s="1288">
        <v>8</v>
      </c>
      <c r="E894" s="1288">
        <v>1</v>
      </c>
      <c r="F894" s="1307">
        <v>2020659</v>
      </c>
      <c r="G894" s="1248"/>
      <c r="H894" s="1248">
        <v>340</v>
      </c>
      <c r="I894" s="1250">
        <v>70</v>
      </c>
      <c r="J894" s="1247"/>
    </row>
    <row r="895" spans="2:10" ht="14" x14ac:dyDescent="0.15">
      <c r="B895" s="1243" t="s">
        <v>767</v>
      </c>
      <c r="C895" s="1288">
        <v>56</v>
      </c>
      <c r="D895" s="1288">
        <v>8</v>
      </c>
      <c r="E895" s="1288">
        <v>1</v>
      </c>
      <c r="F895" s="1307">
        <v>2020659</v>
      </c>
      <c r="G895" s="1244">
        <v>612</v>
      </c>
      <c r="H895" s="1245">
        <v>241</v>
      </c>
      <c r="I895" s="1252">
        <v>0</v>
      </c>
      <c r="J895" s="1247"/>
    </row>
    <row r="896" spans="2:10" ht="44" x14ac:dyDescent="0.15">
      <c r="B896" s="2213" t="s">
        <v>1363</v>
      </c>
      <c r="C896" s="1310">
        <v>56</v>
      </c>
      <c r="D896" s="1310">
        <v>8</v>
      </c>
      <c r="E896" s="1310">
        <v>1</v>
      </c>
      <c r="F896" s="1310">
        <v>2026233</v>
      </c>
      <c r="G896" s="1310"/>
      <c r="H896" s="1310"/>
      <c r="I896" s="1342">
        <v>10614.5</v>
      </c>
      <c r="J896" s="2214">
        <v>0</v>
      </c>
    </row>
    <row r="897" spans="2:10" ht="14" x14ac:dyDescent="0.15">
      <c r="B897" s="2215" t="s">
        <v>181</v>
      </c>
      <c r="C897" s="1307">
        <v>56</v>
      </c>
      <c r="D897" s="1307">
        <v>8</v>
      </c>
      <c r="E897" s="1307">
        <v>1</v>
      </c>
      <c r="F897" s="1307">
        <v>2026233</v>
      </c>
      <c r="G897" s="1307">
        <v>630</v>
      </c>
      <c r="H897" s="1307">
        <v>242</v>
      </c>
      <c r="I897" s="1343">
        <v>5511.8</v>
      </c>
      <c r="J897" s="1247"/>
    </row>
    <row r="898" spans="2:10" ht="14" x14ac:dyDescent="0.15">
      <c r="B898" s="2215" t="s">
        <v>185</v>
      </c>
      <c r="C898" s="1307">
        <v>56</v>
      </c>
      <c r="D898" s="1307">
        <v>8</v>
      </c>
      <c r="E898" s="1307">
        <v>1</v>
      </c>
      <c r="F898" s="1307">
        <v>2026233</v>
      </c>
      <c r="G898" s="1307">
        <v>630</v>
      </c>
      <c r="H898" s="1307">
        <v>242</v>
      </c>
      <c r="I898" s="1345">
        <v>895.3</v>
      </c>
      <c r="J898" s="1247"/>
    </row>
    <row r="899" spans="2:10" ht="14" x14ac:dyDescent="0.15">
      <c r="B899" s="2215" t="s">
        <v>186</v>
      </c>
      <c r="C899" s="1307">
        <v>56</v>
      </c>
      <c r="D899" s="1307">
        <v>8</v>
      </c>
      <c r="E899" s="1307">
        <v>1</v>
      </c>
      <c r="F899" s="1307">
        <v>2026233</v>
      </c>
      <c r="G899" s="1307">
        <v>630</v>
      </c>
      <c r="H899" s="1307">
        <v>242</v>
      </c>
      <c r="I899" s="1345">
        <v>689</v>
      </c>
      <c r="J899" s="1247"/>
    </row>
    <row r="900" spans="2:10" ht="14" x14ac:dyDescent="0.15">
      <c r="B900" s="2215" t="s">
        <v>187</v>
      </c>
      <c r="C900" s="1307">
        <v>56</v>
      </c>
      <c r="D900" s="1307">
        <v>8</v>
      </c>
      <c r="E900" s="1307">
        <v>1</v>
      </c>
      <c r="F900" s="1307">
        <v>2026233</v>
      </c>
      <c r="G900" s="1307">
        <v>630</v>
      </c>
      <c r="H900" s="1307">
        <v>242</v>
      </c>
      <c r="I900" s="1345">
        <v>547.4</v>
      </c>
      <c r="J900" s="1247"/>
    </row>
    <row r="901" spans="2:10" ht="14" x14ac:dyDescent="0.15">
      <c r="B901" s="2215" t="s">
        <v>1182</v>
      </c>
      <c r="C901" s="1307">
        <v>56</v>
      </c>
      <c r="D901" s="1307">
        <v>8</v>
      </c>
      <c r="E901" s="1307">
        <v>1</v>
      </c>
      <c r="F901" s="1307">
        <v>2026233</v>
      </c>
      <c r="G901" s="1307">
        <v>630</v>
      </c>
      <c r="H901" s="1307">
        <v>242</v>
      </c>
      <c r="I901" s="1345">
        <v>358.6</v>
      </c>
      <c r="J901" s="1247"/>
    </row>
    <row r="902" spans="2:10" ht="14" x14ac:dyDescent="0.15">
      <c r="B902" s="2215" t="s">
        <v>189</v>
      </c>
      <c r="C902" s="1307">
        <v>56</v>
      </c>
      <c r="D902" s="1307">
        <v>8</v>
      </c>
      <c r="E902" s="1307">
        <v>1</v>
      </c>
      <c r="F902" s="1307">
        <v>2026233</v>
      </c>
      <c r="G902" s="1307">
        <v>630</v>
      </c>
      <c r="H902" s="1307">
        <v>242</v>
      </c>
      <c r="I902" s="1345">
        <v>289.2</v>
      </c>
      <c r="J902" s="1247"/>
    </row>
    <row r="903" spans="2:10" ht="14" x14ac:dyDescent="0.15">
      <c r="B903" s="2215" t="s">
        <v>190</v>
      </c>
      <c r="C903" s="1307">
        <v>56</v>
      </c>
      <c r="D903" s="1307">
        <v>8</v>
      </c>
      <c r="E903" s="1307">
        <v>1</v>
      </c>
      <c r="F903" s="1307">
        <v>2026233</v>
      </c>
      <c r="G903" s="1307">
        <v>630</v>
      </c>
      <c r="H903" s="1307">
        <v>242</v>
      </c>
      <c r="I903" s="1345">
        <v>800.6</v>
      </c>
      <c r="J903" s="1247"/>
    </row>
    <row r="904" spans="2:10" ht="14" x14ac:dyDescent="0.15">
      <c r="B904" s="2215" t="s">
        <v>191</v>
      </c>
      <c r="C904" s="1307">
        <v>56</v>
      </c>
      <c r="D904" s="1307">
        <v>8</v>
      </c>
      <c r="E904" s="1307">
        <v>1</v>
      </c>
      <c r="F904" s="1307">
        <v>2026233</v>
      </c>
      <c r="G904" s="1307">
        <v>630</v>
      </c>
      <c r="H904" s="1307">
        <v>242</v>
      </c>
      <c r="I904" s="1345">
        <v>898.9</v>
      </c>
      <c r="J904" s="1247"/>
    </row>
    <row r="905" spans="2:10" ht="14" x14ac:dyDescent="0.15">
      <c r="B905" s="2215" t="s">
        <v>1183</v>
      </c>
      <c r="C905" s="1307">
        <v>56</v>
      </c>
      <c r="D905" s="1307">
        <v>8</v>
      </c>
      <c r="E905" s="1307">
        <v>1</v>
      </c>
      <c r="F905" s="1307">
        <v>2026233</v>
      </c>
      <c r="G905" s="1307">
        <v>630</v>
      </c>
      <c r="H905" s="1307">
        <v>242</v>
      </c>
      <c r="I905" s="1345">
        <v>294.2</v>
      </c>
      <c r="J905" s="1247"/>
    </row>
    <row r="906" spans="2:10" ht="14" x14ac:dyDescent="0.15">
      <c r="B906" s="2215" t="s">
        <v>193</v>
      </c>
      <c r="C906" s="1307">
        <v>56</v>
      </c>
      <c r="D906" s="1307">
        <v>8</v>
      </c>
      <c r="E906" s="1307">
        <v>1</v>
      </c>
      <c r="F906" s="1307">
        <v>2026233</v>
      </c>
      <c r="G906" s="1307">
        <v>630</v>
      </c>
      <c r="H906" s="1307">
        <v>242</v>
      </c>
      <c r="I906" s="1345">
        <v>329.5</v>
      </c>
      <c r="J906" s="1247"/>
    </row>
    <row r="907" spans="2:10" ht="33" x14ac:dyDescent="0.15">
      <c r="B907" s="2216" t="s">
        <v>1364</v>
      </c>
      <c r="C907" s="1304">
        <v>56</v>
      </c>
      <c r="D907" s="1304">
        <v>8</v>
      </c>
      <c r="E907" s="1304">
        <v>1</v>
      </c>
      <c r="F907" s="1288">
        <v>2026486</v>
      </c>
      <c r="G907" s="1304"/>
      <c r="H907" s="1305"/>
      <c r="I907" s="1306">
        <v>3500</v>
      </c>
      <c r="J907" s="1314">
        <v>0</v>
      </c>
    </row>
    <row r="908" spans="2:10" x14ac:dyDescent="0.15">
      <c r="B908" s="1266" t="s">
        <v>781</v>
      </c>
      <c r="C908" s="1288">
        <v>56</v>
      </c>
      <c r="D908" s="1288">
        <v>8</v>
      </c>
      <c r="E908" s="1288">
        <v>1</v>
      </c>
      <c r="F908" s="1288">
        <v>2026486</v>
      </c>
      <c r="G908" s="1288">
        <v>244</v>
      </c>
      <c r="H908" s="1305">
        <v>226</v>
      </c>
      <c r="I908" s="1306">
        <v>3500</v>
      </c>
      <c r="J908" s="1247"/>
    </row>
    <row r="909" spans="2:10" ht="14" x14ac:dyDescent="0.15">
      <c r="B909" s="1309" t="s">
        <v>1112</v>
      </c>
      <c r="C909" s="1310">
        <v>56</v>
      </c>
      <c r="D909" s="1310">
        <v>8</v>
      </c>
      <c r="E909" s="1310">
        <v>4</v>
      </c>
      <c r="F909" s="1310"/>
      <c r="G909" s="1310"/>
      <c r="H909" s="1201"/>
      <c r="I909" s="1202">
        <v>27859</v>
      </c>
      <c r="J909" s="2179">
        <v>0</v>
      </c>
    </row>
    <row r="910" spans="2:10" ht="42" x14ac:dyDescent="0.15">
      <c r="B910" s="1309" t="s">
        <v>1184</v>
      </c>
      <c r="C910" s="1201">
        <v>56</v>
      </c>
      <c r="D910" s="1201">
        <v>8</v>
      </c>
      <c r="E910" s="1201">
        <v>4</v>
      </c>
      <c r="F910" s="1201">
        <v>2030000</v>
      </c>
      <c r="G910" s="1201"/>
      <c r="H910" s="1201"/>
      <c r="I910" s="1202">
        <v>27859</v>
      </c>
      <c r="J910" s="2179">
        <v>0</v>
      </c>
    </row>
    <row r="911" spans="2:10" ht="14" x14ac:dyDescent="0.15">
      <c r="B911" s="1284" t="s">
        <v>1113</v>
      </c>
      <c r="C911" s="1360">
        <v>56</v>
      </c>
      <c r="D911" s="1360">
        <v>8</v>
      </c>
      <c r="E911" s="1360">
        <v>4</v>
      </c>
      <c r="F911" s="1360">
        <v>2030000</v>
      </c>
      <c r="G911" s="1360">
        <v>0</v>
      </c>
      <c r="H911" s="1360">
        <v>0</v>
      </c>
      <c r="I911" s="1254">
        <v>27859</v>
      </c>
      <c r="J911" s="1255">
        <v>0</v>
      </c>
    </row>
    <row r="912" spans="2:10" ht="66" x14ac:dyDescent="0.15">
      <c r="B912" s="2216" t="s">
        <v>1365</v>
      </c>
      <c r="C912" s="1360">
        <v>56</v>
      </c>
      <c r="D912" s="1360">
        <v>8</v>
      </c>
      <c r="E912" s="1360">
        <v>4</v>
      </c>
      <c r="F912" s="1360">
        <v>2030011</v>
      </c>
      <c r="G912" s="1360">
        <v>100</v>
      </c>
      <c r="H912" s="1360"/>
      <c r="I912" s="1254">
        <v>23123</v>
      </c>
      <c r="J912" s="1255">
        <v>0</v>
      </c>
    </row>
    <row r="913" spans="2:10" ht="14" x14ac:dyDescent="0.15">
      <c r="B913" s="2217"/>
      <c r="C913" s="1360"/>
      <c r="D913" s="1360"/>
      <c r="E913" s="1360"/>
      <c r="F913" s="1360">
        <v>2030019</v>
      </c>
      <c r="G913" s="1360">
        <v>100</v>
      </c>
      <c r="H913" s="1360"/>
      <c r="I913" s="1255">
        <v>720</v>
      </c>
      <c r="J913" s="1255"/>
    </row>
    <row r="914" spans="2:10" ht="55" x14ac:dyDescent="0.15">
      <c r="B914" s="2216" t="s">
        <v>1366</v>
      </c>
      <c r="C914" s="1360">
        <v>56</v>
      </c>
      <c r="D914" s="1360">
        <v>8</v>
      </c>
      <c r="E914" s="1360">
        <v>4</v>
      </c>
      <c r="F914" s="1360">
        <v>2030019</v>
      </c>
      <c r="G914" s="1360">
        <v>200</v>
      </c>
      <c r="H914" s="1360"/>
      <c r="I914" s="1254">
        <v>3523</v>
      </c>
      <c r="J914" s="1255">
        <v>0</v>
      </c>
    </row>
    <row r="915" spans="2:10" ht="44" x14ac:dyDescent="0.15">
      <c r="B915" s="2216" t="s">
        <v>1367</v>
      </c>
      <c r="C915" s="1360">
        <v>56</v>
      </c>
      <c r="D915" s="1360">
        <v>8</v>
      </c>
      <c r="E915" s="1360">
        <v>4</v>
      </c>
      <c r="F915" s="1360">
        <v>2030019</v>
      </c>
      <c r="G915" s="1360">
        <v>800</v>
      </c>
      <c r="H915" s="1360"/>
      <c r="I915" s="1255">
        <v>493</v>
      </c>
      <c r="J915" s="1255">
        <v>0</v>
      </c>
    </row>
    <row r="916" spans="2:10" ht="14" x14ac:dyDescent="0.15">
      <c r="B916" s="2209" t="s">
        <v>78</v>
      </c>
      <c r="C916" s="2218">
        <v>56</v>
      </c>
      <c r="D916" s="2218">
        <v>8</v>
      </c>
      <c r="E916" s="2218">
        <v>4</v>
      </c>
      <c r="F916" s="2218" t="s">
        <v>1368</v>
      </c>
      <c r="G916" s="2218">
        <v>121</v>
      </c>
      <c r="H916" s="2218">
        <v>211</v>
      </c>
      <c r="I916" s="2210">
        <v>18067</v>
      </c>
      <c r="J916" s="1247"/>
    </row>
    <row r="917" spans="2:10" ht="14" x14ac:dyDescent="0.15">
      <c r="B917" s="2209" t="s">
        <v>84</v>
      </c>
      <c r="C917" s="2218">
        <v>56</v>
      </c>
      <c r="D917" s="2218">
        <v>8</v>
      </c>
      <c r="E917" s="2218">
        <v>4</v>
      </c>
      <c r="F917" s="2218" t="s">
        <v>1368</v>
      </c>
      <c r="G917" s="2218">
        <v>121</v>
      </c>
      <c r="H917" s="2218">
        <v>213</v>
      </c>
      <c r="I917" s="2210">
        <v>5056</v>
      </c>
      <c r="J917" s="1247"/>
    </row>
    <row r="918" spans="2:10" ht="14" x14ac:dyDescent="0.15">
      <c r="B918" s="2209" t="s">
        <v>83</v>
      </c>
      <c r="C918" s="2218">
        <v>56</v>
      </c>
      <c r="D918" s="2218">
        <v>8</v>
      </c>
      <c r="E918" s="2218">
        <v>4</v>
      </c>
      <c r="F918" s="1360">
        <v>2030019</v>
      </c>
      <c r="G918" s="2218">
        <v>122</v>
      </c>
      <c r="H918" s="2218">
        <v>212</v>
      </c>
      <c r="I918" s="2211">
        <v>20</v>
      </c>
      <c r="J918" s="1247"/>
    </row>
    <row r="919" spans="2:10" ht="14" x14ac:dyDescent="0.15">
      <c r="B919" s="2209" t="s">
        <v>86</v>
      </c>
      <c r="C919" s="2218">
        <v>56</v>
      </c>
      <c r="D919" s="2218">
        <v>8</v>
      </c>
      <c r="E919" s="2218">
        <v>4</v>
      </c>
      <c r="F919" s="1360">
        <v>2030019</v>
      </c>
      <c r="G919" s="2218">
        <v>122</v>
      </c>
      <c r="H919" s="2218">
        <v>222</v>
      </c>
      <c r="I919" s="2211">
        <v>400</v>
      </c>
      <c r="J919" s="1247"/>
    </row>
    <row r="920" spans="2:10" ht="14" x14ac:dyDescent="0.15">
      <c r="B920" s="2209" t="s">
        <v>91</v>
      </c>
      <c r="C920" s="2218">
        <v>56</v>
      </c>
      <c r="D920" s="2218">
        <v>8</v>
      </c>
      <c r="E920" s="2218">
        <v>4</v>
      </c>
      <c r="F920" s="1360">
        <v>2030019</v>
      </c>
      <c r="G920" s="2218">
        <v>122</v>
      </c>
      <c r="H920" s="2218">
        <v>226</v>
      </c>
      <c r="I920" s="2211">
        <v>300</v>
      </c>
      <c r="J920" s="1247"/>
    </row>
    <row r="921" spans="2:10" ht="14" x14ac:dyDescent="0.15">
      <c r="B921" s="2209" t="s">
        <v>85</v>
      </c>
      <c r="C921" s="2218">
        <v>56</v>
      </c>
      <c r="D921" s="2218">
        <v>8</v>
      </c>
      <c r="E921" s="2218">
        <v>4</v>
      </c>
      <c r="F921" s="1360">
        <v>2030019</v>
      </c>
      <c r="G921" s="2218">
        <v>244</v>
      </c>
      <c r="H921" s="2218">
        <v>221</v>
      </c>
      <c r="I921" s="2211">
        <v>463</v>
      </c>
      <c r="J921" s="1247"/>
    </row>
    <row r="922" spans="2:10" ht="14" x14ac:dyDescent="0.15">
      <c r="B922" s="2209" t="s">
        <v>87</v>
      </c>
      <c r="C922" s="2218">
        <v>56</v>
      </c>
      <c r="D922" s="2218">
        <v>8</v>
      </c>
      <c r="E922" s="2218">
        <v>4</v>
      </c>
      <c r="F922" s="1360">
        <v>2030019</v>
      </c>
      <c r="G922" s="2218">
        <v>244</v>
      </c>
      <c r="H922" s="2218">
        <v>223</v>
      </c>
      <c r="I922" s="2211">
        <v>343</v>
      </c>
      <c r="J922" s="1247"/>
    </row>
    <row r="923" spans="2:10" ht="14" x14ac:dyDescent="0.15">
      <c r="B923" s="2209" t="s">
        <v>90</v>
      </c>
      <c r="C923" s="2218">
        <v>56</v>
      </c>
      <c r="D923" s="2218">
        <v>8</v>
      </c>
      <c r="E923" s="2218">
        <v>4</v>
      </c>
      <c r="F923" s="1360">
        <v>2030019</v>
      </c>
      <c r="G923" s="2218">
        <v>244</v>
      </c>
      <c r="H923" s="2218">
        <v>225</v>
      </c>
      <c r="I923" s="2211">
        <v>300</v>
      </c>
      <c r="J923" s="1247"/>
    </row>
    <row r="924" spans="2:10" ht="14" x14ac:dyDescent="0.15">
      <c r="B924" s="2209" t="s">
        <v>91</v>
      </c>
      <c r="C924" s="2218">
        <v>56</v>
      </c>
      <c r="D924" s="2218">
        <v>8</v>
      </c>
      <c r="E924" s="2218">
        <v>4</v>
      </c>
      <c r="F924" s="1360">
        <v>2030019</v>
      </c>
      <c r="G924" s="2218">
        <v>244</v>
      </c>
      <c r="H924" s="2218">
        <v>226</v>
      </c>
      <c r="I924" s="2210">
        <v>1017</v>
      </c>
      <c r="J924" s="1247"/>
    </row>
    <row r="925" spans="2:10" ht="14" x14ac:dyDescent="0.15">
      <c r="B925" s="2209" t="s">
        <v>96</v>
      </c>
      <c r="C925" s="2218">
        <v>56</v>
      </c>
      <c r="D925" s="2218">
        <v>8</v>
      </c>
      <c r="E925" s="2218">
        <v>4</v>
      </c>
      <c r="F925" s="1360">
        <v>2030019</v>
      </c>
      <c r="G925" s="2218">
        <v>244</v>
      </c>
      <c r="H925" s="2218">
        <v>310</v>
      </c>
      <c r="I925" s="2211">
        <v>700</v>
      </c>
      <c r="J925" s="1247"/>
    </row>
    <row r="926" spans="2:10" ht="14" x14ac:dyDescent="0.15">
      <c r="B926" s="2209" t="s">
        <v>97</v>
      </c>
      <c r="C926" s="2218">
        <v>56</v>
      </c>
      <c r="D926" s="2218">
        <v>8</v>
      </c>
      <c r="E926" s="2218">
        <v>4</v>
      </c>
      <c r="F926" s="1360">
        <v>2030019</v>
      </c>
      <c r="G926" s="2218">
        <v>244</v>
      </c>
      <c r="H926" s="2218">
        <v>340</v>
      </c>
      <c r="I926" s="2211">
        <v>700</v>
      </c>
      <c r="J926" s="1247"/>
    </row>
    <row r="927" spans="2:10" ht="14" x14ac:dyDescent="0.15">
      <c r="B927" s="2209" t="s">
        <v>94</v>
      </c>
      <c r="C927" s="2218">
        <v>56</v>
      </c>
      <c r="D927" s="2218">
        <v>8</v>
      </c>
      <c r="E927" s="2218">
        <v>4</v>
      </c>
      <c r="F927" s="1360">
        <v>2030019</v>
      </c>
      <c r="G927" s="2218">
        <v>851</v>
      </c>
      <c r="H927" s="2218">
        <v>290</v>
      </c>
      <c r="I927" s="2211">
        <v>375</v>
      </c>
      <c r="J927" s="1247"/>
    </row>
    <row r="928" spans="2:10" ht="14" x14ac:dyDescent="0.15">
      <c r="B928" s="2209" t="s">
        <v>94</v>
      </c>
      <c r="C928" s="2218">
        <v>56</v>
      </c>
      <c r="D928" s="2218">
        <v>8</v>
      </c>
      <c r="E928" s="2218">
        <v>4</v>
      </c>
      <c r="F928" s="1360">
        <v>2030019</v>
      </c>
      <c r="G928" s="2218">
        <v>852</v>
      </c>
      <c r="H928" s="2218">
        <v>290</v>
      </c>
      <c r="I928" s="2211">
        <v>118</v>
      </c>
      <c r="J928" s="1247"/>
    </row>
    <row r="929" spans="2:10" ht="65" x14ac:dyDescent="0.15">
      <c r="B929" s="2219" t="s">
        <v>1138</v>
      </c>
      <c r="C929" s="2220">
        <v>56</v>
      </c>
      <c r="D929" s="2220">
        <v>8</v>
      </c>
      <c r="E929" s="2220">
        <v>4</v>
      </c>
      <c r="F929" s="2218">
        <v>2035950</v>
      </c>
      <c r="G929" s="2221"/>
      <c r="H929" s="2189"/>
      <c r="I929" s="2222">
        <v>3963.4</v>
      </c>
      <c r="J929" s="2191">
        <v>0</v>
      </c>
    </row>
    <row r="930" spans="2:10" ht="77" x14ac:dyDescent="0.15">
      <c r="B930" s="2216" t="s">
        <v>1369</v>
      </c>
      <c r="C930" s="2220">
        <v>56</v>
      </c>
      <c r="D930" s="2220">
        <v>8</v>
      </c>
      <c r="E930" s="2220">
        <v>4</v>
      </c>
      <c r="F930" s="2218">
        <v>2035950</v>
      </c>
      <c r="G930" s="2189">
        <v>100</v>
      </c>
      <c r="H930" s="2189"/>
      <c r="I930" s="2222">
        <v>3223.9</v>
      </c>
      <c r="J930" s="2191">
        <v>0</v>
      </c>
    </row>
    <row r="931" spans="2:10" ht="55" x14ac:dyDescent="0.15">
      <c r="B931" s="2217" t="s">
        <v>1370</v>
      </c>
      <c r="C931" s="2220">
        <v>56</v>
      </c>
      <c r="D931" s="2220">
        <v>8</v>
      </c>
      <c r="E931" s="2220">
        <v>4</v>
      </c>
      <c r="F931" s="2218">
        <v>2035950</v>
      </c>
      <c r="G931" s="2189">
        <v>200</v>
      </c>
      <c r="H931" s="2189"/>
      <c r="I931" s="2191">
        <v>739.5</v>
      </c>
      <c r="J931" s="2191">
        <v>0</v>
      </c>
    </row>
    <row r="932" spans="2:10" x14ac:dyDescent="0.15">
      <c r="B932" s="2209" t="s">
        <v>78</v>
      </c>
      <c r="C932" s="2220">
        <v>56</v>
      </c>
      <c r="D932" s="2220">
        <v>8</v>
      </c>
      <c r="E932" s="2220">
        <v>4</v>
      </c>
      <c r="F932" s="2218">
        <v>2035950</v>
      </c>
      <c r="G932" s="2218" t="s">
        <v>1140</v>
      </c>
      <c r="H932" s="2218">
        <v>211</v>
      </c>
      <c r="I932" s="2223">
        <v>2354.8000000000002</v>
      </c>
      <c r="J932" s="2191"/>
    </row>
    <row r="933" spans="2:10" x14ac:dyDescent="0.15">
      <c r="B933" s="2209" t="s">
        <v>84</v>
      </c>
      <c r="C933" s="2220">
        <v>56</v>
      </c>
      <c r="D933" s="2220">
        <v>8</v>
      </c>
      <c r="E933" s="2220">
        <v>4</v>
      </c>
      <c r="F933" s="2218">
        <v>2035950</v>
      </c>
      <c r="G933" s="2218">
        <v>121</v>
      </c>
      <c r="H933" s="2218">
        <v>213</v>
      </c>
      <c r="I933" s="2224">
        <v>711.1</v>
      </c>
      <c r="J933" s="2191"/>
    </row>
    <row r="934" spans="2:10" x14ac:dyDescent="0.15">
      <c r="B934" s="2209" t="s">
        <v>83</v>
      </c>
      <c r="C934" s="2220">
        <v>56</v>
      </c>
      <c r="D934" s="2220">
        <v>8</v>
      </c>
      <c r="E934" s="2220">
        <v>4</v>
      </c>
      <c r="F934" s="2218">
        <v>2035950</v>
      </c>
      <c r="G934" s="2218">
        <v>122</v>
      </c>
      <c r="H934" s="2218">
        <v>212</v>
      </c>
      <c r="I934" s="2224">
        <v>8</v>
      </c>
      <c r="J934" s="2191"/>
    </row>
    <row r="935" spans="2:10" x14ac:dyDescent="0.15">
      <c r="B935" s="2209" t="s">
        <v>86</v>
      </c>
      <c r="C935" s="2220">
        <v>56</v>
      </c>
      <c r="D935" s="2220">
        <v>8</v>
      </c>
      <c r="E935" s="2220">
        <v>4</v>
      </c>
      <c r="F935" s="2218">
        <v>2035950</v>
      </c>
      <c r="G935" s="2218">
        <v>122</v>
      </c>
      <c r="H935" s="2218">
        <v>222</v>
      </c>
      <c r="I935" s="2224">
        <v>60</v>
      </c>
      <c r="J935" s="2191"/>
    </row>
    <row r="936" spans="2:10" x14ac:dyDescent="0.15">
      <c r="B936" s="2209" t="s">
        <v>91</v>
      </c>
      <c r="C936" s="2220">
        <v>56</v>
      </c>
      <c r="D936" s="2220">
        <v>8</v>
      </c>
      <c r="E936" s="2220">
        <v>4</v>
      </c>
      <c r="F936" s="2218">
        <v>2035950</v>
      </c>
      <c r="G936" s="2218">
        <v>122</v>
      </c>
      <c r="H936" s="2218">
        <v>226</v>
      </c>
      <c r="I936" s="2224">
        <v>90</v>
      </c>
      <c r="J936" s="2191"/>
    </row>
    <row r="937" spans="2:10" x14ac:dyDescent="0.15">
      <c r="B937" s="2209" t="s">
        <v>90</v>
      </c>
      <c r="C937" s="2220">
        <v>56</v>
      </c>
      <c r="D937" s="2220">
        <v>8</v>
      </c>
      <c r="E937" s="2220">
        <v>4</v>
      </c>
      <c r="F937" s="2218">
        <v>2035950</v>
      </c>
      <c r="G937" s="2218">
        <v>244</v>
      </c>
      <c r="H937" s="2218">
        <v>222</v>
      </c>
      <c r="I937" s="2224">
        <v>150</v>
      </c>
      <c r="J937" s="2191"/>
    </row>
    <row r="938" spans="2:10" x14ac:dyDescent="0.15">
      <c r="B938" s="2209" t="s">
        <v>90</v>
      </c>
      <c r="C938" s="2220">
        <v>56</v>
      </c>
      <c r="D938" s="2220">
        <v>8</v>
      </c>
      <c r="E938" s="2220">
        <v>4</v>
      </c>
      <c r="F938" s="2218">
        <v>2035950</v>
      </c>
      <c r="G938" s="2218">
        <v>244</v>
      </c>
      <c r="H938" s="2218">
        <v>225</v>
      </c>
      <c r="I938" s="2224">
        <v>40</v>
      </c>
      <c r="J938" s="2191"/>
    </row>
    <row r="939" spans="2:10" x14ac:dyDescent="0.15">
      <c r="B939" s="2209" t="s">
        <v>91</v>
      </c>
      <c r="C939" s="2220">
        <v>56</v>
      </c>
      <c r="D939" s="2220">
        <v>8</v>
      </c>
      <c r="E939" s="2220">
        <v>4</v>
      </c>
      <c r="F939" s="2218">
        <v>2035950</v>
      </c>
      <c r="G939" s="2218">
        <v>244</v>
      </c>
      <c r="H939" s="2218">
        <v>226</v>
      </c>
      <c r="I939" s="2224">
        <v>320</v>
      </c>
      <c r="J939" s="2191"/>
    </row>
    <row r="940" spans="2:10" x14ac:dyDescent="0.15">
      <c r="B940" s="2209" t="s">
        <v>96</v>
      </c>
      <c r="C940" s="2220">
        <v>56</v>
      </c>
      <c r="D940" s="2220">
        <v>8</v>
      </c>
      <c r="E940" s="2220">
        <v>4</v>
      </c>
      <c r="F940" s="2218">
        <v>2035950</v>
      </c>
      <c r="G940" s="2218">
        <v>244</v>
      </c>
      <c r="H940" s="2218">
        <v>310</v>
      </c>
      <c r="I940" s="2224">
        <v>100</v>
      </c>
      <c r="J940" s="2191"/>
    </row>
    <row r="941" spans="2:10" x14ac:dyDescent="0.15">
      <c r="B941" s="2209" t="s">
        <v>97</v>
      </c>
      <c r="C941" s="2220">
        <v>56</v>
      </c>
      <c r="D941" s="2220">
        <v>8</v>
      </c>
      <c r="E941" s="2220">
        <v>4</v>
      </c>
      <c r="F941" s="2218">
        <v>2035950</v>
      </c>
      <c r="G941" s="2218">
        <v>244</v>
      </c>
      <c r="H941" s="2218">
        <v>340</v>
      </c>
      <c r="I941" s="2224">
        <v>129.5</v>
      </c>
      <c r="J941" s="2191"/>
    </row>
    <row r="942" spans="2:10" ht="14" x14ac:dyDescent="0.15">
      <c r="B942" s="1284" t="s">
        <v>1116</v>
      </c>
      <c r="C942" s="1360">
        <v>56</v>
      </c>
      <c r="D942" s="1360">
        <v>10</v>
      </c>
      <c r="E942" s="1360"/>
      <c r="F942" s="1360"/>
      <c r="G942" s="1360"/>
      <c r="H942" s="1360"/>
      <c r="I942" s="1255">
        <v>621</v>
      </c>
      <c r="J942" s="1255">
        <v>0</v>
      </c>
    </row>
    <row r="943" spans="2:10" ht="14" x14ac:dyDescent="0.15">
      <c r="B943" s="1284" t="s">
        <v>1117</v>
      </c>
      <c r="C943" s="1360">
        <v>56</v>
      </c>
      <c r="D943" s="1360">
        <v>10</v>
      </c>
      <c r="E943" s="1360">
        <v>4</v>
      </c>
      <c r="F943" s="1360"/>
      <c r="G943" s="1360"/>
      <c r="H943" s="1360"/>
      <c r="I943" s="1255">
        <v>621</v>
      </c>
      <c r="J943" s="1255">
        <v>0</v>
      </c>
    </row>
    <row r="944" spans="2:10" ht="14" x14ac:dyDescent="0.15">
      <c r="B944" s="1284" t="s">
        <v>1118</v>
      </c>
      <c r="C944" s="1360">
        <v>56</v>
      </c>
      <c r="D944" s="1360">
        <v>10</v>
      </c>
      <c r="E944" s="1360">
        <v>4</v>
      </c>
      <c r="F944" s="1360">
        <v>2237151</v>
      </c>
      <c r="G944" s="1360"/>
      <c r="H944" s="1360"/>
      <c r="I944" s="1255">
        <v>621</v>
      </c>
      <c r="J944" s="1255">
        <v>0</v>
      </c>
    </row>
    <row r="945" spans="2:10" ht="42" x14ac:dyDescent="0.15">
      <c r="B945" s="1284" t="s">
        <v>1185</v>
      </c>
      <c r="C945" s="1360">
        <v>56</v>
      </c>
      <c r="D945" s="1360">
        <v>10</v>
      </c>
      <c r="E945" s="1360">
        <v>4</v>
      </c>
      <c r="F945" s="1360">
        <v>2237151</v>
      </c>
      <c r="G945" s="1360"/>
      <c r="H945" s="1360"/>
      <c r="I945" s="1255">
        <v>621</v>
      </c>
      <c r="J945" s="1255">
        <v>0</v>
      </c>
    </row>
    <row r="946" spans="2:10" ht="14" x14ac:dyDescent="0.15">
      <c r="B946" s="1284" t="s">
        <v>1186</v>
      </c>
      <c r="C946" s="1360">
        <v>56</v>
      </c>
      <c r="D946" s="1360">
        <v>10</v>
      </c>
      <c r="E946" s="1360">
        <v>4</v>
      </c>
      <c r="F946" s="1360">
        <v>2237151</v>
      </c>
      <c r="G946" s="1360"/>
      <c r="H946" s="1360"/>
      <c r="I946" s="1255">
        <v>621</v>
      </c>
      <c r="J946" s="1255">
        <v>0</v>
      </c>
    </row>
    <row r="947" spans="2:10" ht="26" x14ac:dyDescent="0.15">
      <c r="B947" s="2225" t="s">
        <v>1371</v>
      </c>
      <c r="C947" s="1360">
        <v>56</v>
      </c>
      <c r="D947" s="1360">
        <v>10</v>
      </c>
      <c r="E947" s="1360">
        <v>4</v>
      </c>
      <c r="F947" s="1360">
        <v>2237151</v>
      </c>
      <c r="G947" s="1360">
        <v>313</v>
      </c>
      <c r="H947" s="1360">
        <v>262</v>
      </c>
      <c r="I947" s="1255">
        <v>621</v>
      </c>
      <c r="J947" s="1314"/>
    </row>
  </sheetData>
  <mergeCells count="59">
    <mergeCell ref="B2:H2"/>
    <mergeCell ref="B3:H3"/>
    <mergeCell ref="B4:H4"/>
    <mergeCell ref="B6:B7"/>
    <mergeCell ref="C6:C7"/>
    <mergeCell ref="D6:D7"/>
    <mergeCell ref="E6:E7"/>
    <mergeCell ref="F6:F7"/>
    <mergeCell ref="G6:G7"/>
    <mergeCell ref="H6:H7"/>
    <mergeCell ref="I6:I7"/>
    <mergeCell ref="C9:C10"/>
    <mergeCell ref="D9:D10"/>
    <mergeCell ref="E9:E10"/>
    <mergeCell ref="F9:F10"/>
    <mergeCell ref="G9:G10"/>
    <mergeCell ref="H9:H10"/>
    <mergeCell ref="I9:I10"/>
    <mergeCell ref="J9:J10"/>
    <mergeCell ref="C229:C230"/>
    <mergeCell ref="D229:D230"/>
    <mergeCell ref="E229:E230"/>
    <mergeCell ref="F229:F230"/>
    <mergeCell ref="G229:G230"/>
    <mergeCell ref="H229:H230"/>
    <mergeCell ref="I229:I230"/>
    <mergeCell ref="J229:J230"/>
    <mergeCell ref="I247:I248"/>
    <mergeCell ref="J247:J248"/>
    <mergeCell ref="C265:C266"/>
    <mergeCell ref="D265:D266"/>
    <mergeCell ref="E265:E266"/>
    <mergeCell ref="F265:F266"/>
    <mergeCell ref="G265:G266"/>
    <mergeCell ref="H265:H266"/>
    <mergeCell ref="I265:I266"/>
    <mergeCell ref="J265:J266"/>
    <mergeCell ref="C247:C248"/>
    <mergeCell ref="D247:D248"/>
    <mergeCell ref="E247:E248"/>
    <mergeCell ref="F247:F248"/>
    <mergeCell ref="G247:G248"/>
    <mergeCell ref="H247:H248"/>
    <mergeCell ref="I478:I479"/>
    <mergeCell ref="J478:J479"/>
    <mergeCell ref="C527:C528"/>
    <mergeCell ref="D527:D528"/>
    <mergeCell ref="E527:E528"/>
    <mergeCell ref="F527:F528"/>
    <mergeCell ref="G527:G528"/>
    <mergeCell ref="H527:H528"/>
    <mergeCell ref="I527:I528"/>
    <mergeCell ref="J527:J528"/>
    <mergeCell ref="C478:C479"/>
    <mergeCell ref="D478:D479"/>
    <mergeCell ref="E478:E479"/>
    <mergeCell ref="F478:F479"/>
    <mergeCell ref="G478:G479"/>
    <mergeCell ref="H478:H479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59999389629810485"/>
  </sheetPr>
  <dimension ref="B2:L23"/>
  <sheetViews>
    <sheetView workbookViewId="0">
      <pane ySplit="4" topLeftCell="A5" activePane="bottomLeft" state="frozen"/>
      <selection pane="bottomLeft" activeCell="L9" sqref="L9"/>
    </sheetView>
  </sheetViews>
  <sheetFormatPr baseColWidth="10" defaultColWidth="8.83203125" defaultRowHeight="13" x14ac:dyDescent="0.15"/>
  <cols>
    <col min="2" max="2" width="79.33203125" customWidth="1"/>
    <col min="8" max="10" width="8.83203125" style="2226"/>
  </cols>
  <sheetData>
    <row r="2" spans="2:12" s="2227" customFormat="1" ht="15" x14ac:dyDescent="0.2">
      <c r="B2" s="3026" t="s">
        <v>1372</v>
      </c>
      <c r="C2" s="3026"/>
      <c r="D2" s="3026"/>
      <c r="E2" s="3026"/>
      <c r="F2" s="3026"/>
      <c r="G2" s="3026"/>
      <c r="H2" s="3026"/>
      <c r="I2" s="3026"/>
      <c r="J2" s="3026"/>
    </row>
    <row r="3" spans="2:12" s="2227" customFormat="1" ht="15" x14ac:dyDescent="0.2">
      <c r="B3" s="2228"/>
      <c r="C3" s="2228"/>
      <c r="D3" s="2228"/>
      <c r="E3" s="2228"/>
      <c r="F3" s="2228"/>
      <c r="G3" s="2228"/>
      <c r="H3" s="2228">
        <v>2016</v>
      </c>
      <c r="I3" s="2236"/>
      <c r="J3" s="2228">
        <v>2017</v>
      </c>
    </row>
    <row r="4" spans="2:12" s="1030" customFormat="1" ht="15" x14ac:dyDescent="0.15">
      <c r="B4" s="2242" t="s">
        <v>265</v>
      </c>
      <c r="C4" s="2243">
        <v>56</v>
      </c>
      <c r="D4" s="2242"/>
      <c r="E4" s="2242"/>
      <c r="F4" s="2242"/>
      <c r="G4" s="2242"/>
      <c r="H4" s="2244">
        <v>978442</v>
      </c>
      <c r="I4" s="2244"/>
      <c r="J4" s="2244">
        <v>978758.1</v>
      </c>
      <c r="L4" s="2246">
        <f>L5+L6+L7+L8+L9+L10+L11+L12+L13+L14+L15+L16+L17+L18+L19+L20+L21+L22+L23</f>
        <v>976449.1</v>
      </c>
    </row>
    <row r="5" spans="2:12" ht="78" x14ac:dyDescent="0.15">
      <c r="B5" s="290" t="s">
        <v>1373</v>
      </c>
      <c r="C5" s="2230">
        <v>56</v>
      </c>
      <c r="D5" s="2230">
        <v>1</v>
      </c>
      <c r="E5" s="2230">
        <v>13</v>
      </c>
      <c r="F5" s="2230" t="s">
        <v>1374</v>
      </c>
      <c r="G5" s="2230">
        <v>200</v>
      </c>
      <c r="H5" s="2231">
        <v>1000</v>
      </c>
      <c r="I5" s="2231"/>
      <c r="J5" s="2231">
        <v>1000</v>
      </c>
    </row>
    <row r="6" spans="2:12" ht="77" x14ac:dyDescent="0.15">
      <c r="B6" s="2229" t="s">
        <v>1499</v>
      </c>
      <c r="C6" s="2230">
        <v>56</v>
      </c>
      <c r="D6" s="2230">
        <v>7</v>
      </c>
      <c r="E6" s="2230">
        <v>2</v>
      </c>
      <c r="F6" s="2230" t="s">
        <v>1344</v>
      </c>
      <c r="G6" s="2230">
        <v>600</v>
      </c>
      <c r="H6" s="2231">
        <v>45544.4</v>
      </c>
      <c r="I6" s="2231"/>
      <c r="J6" s="2231">
        <v>45544.4</v>
      </c>
      <c r="L6">
        <f>'ГосПрограмма (бюджет)'!J6</f>
        <v>45544.4</v>
      </c>
    </row>
    <row r="7" spans="2:12" ht="76" x14ac:dyDescent="0.15">
      <c r="B7" s="2229" t="s">
        <v>1500</v>
      </c>
      <c r="C7" s="2230">
        <v>56</v>
      </c>
      <c r="D7" s="2230">
        <v>7</v>
      </c>
      <c r="E7" s="2230">
        <v>4</v>
      </c>
      <c r="F7" s="2230" t="s">
        <v>1349</v>
      </c>
      <c r="G7" s="2230">
        <v>600</v>
      </c>
      <c r="H7" s="2231">
        <v>130539.4</v>
      </c>
      <c r="I7" s="2231"/>
      <c r="J7" s="2231">
        <v>130539.4</v>
      </c>
      <c r="L7">
        <f>'ГосПрограмма (бюджет)'!J13</f>
        <v>130539.4</v>
      </c>
    </row>
    <row r="8" spans="2:12" ht="92" x14ac:dyDescent="0.15">
      <c r="B8" s="2229" t="s">
        <v>1501</v>
      </c>
      <c r="C8" s="2230">
        <v>56</v>
      </c>
      <c r="D8" s="2230">
        <v>7</v>
      </c>
      <c r="E8" s="2230">
        <v>5</v>
      </c>
      <c r="F8" s="2230" t="s">
        <v>1352</v>
      </c>
      <c r="G8" s="2230">
        <v>600</v>
      </c>
      <c r="H8" s="2231">
        <v>6829.5</v>
      </c>
      <c r="I8" s="2231"/>
      <c r="J8" s="2231">
        <v>6829.5</v>
      </c>
      <c r="L8">
        <f>'ГосПрограмма (бюджет)'!J21</f>
        <v>6829.5</v>
      </c>
    </row>
    <row r="9" spans="2:12" ht="40" x14ac:dyDescent="0.15">
      <c r="B9" s="288" t="s">
        <v>1502</v>
      </c>
      <c r="C9" s="2230">
        <v>56</v>
      </c>
      <c r="D9" s="2230">
        <v>8</v>
      </c>
      <c r="E9" s="2230">
        <v>1</v>
      </c>
      <c r="F9" s="2230" t="s">
        <v>1375</v>
      </c>
      <c r="G9" s="2230">
        <v>500</v>
      </c>
      <c r="H9" s="2231">
        <v>1015</v>
      </c>
      <c r="I9" s="2231"/>
      <c r="J9" s="2231">
        <v>1015</v>
      </c>
      <c r="L9" s="2245">
        <v>0</v>
      </c>
    </row>
    <row r="10" spans="2:12" ht="76" x14ac:dyDescent="0.15">
      <c r="B10" s="2229" t="s">
        <v>1503</v>
      </c>
      <c r="C10" s="2230">
        <v>56</v>
      </c>
      <c r="D10" s="2230">
        <v>8</v>
      </c>
      <c r="E10" s="2230">
        <v>1</v>
      </c>
      <c r="F10" s="2230" t="s">
        <v>1376</v>
      </c>
      <c r="G10" s="2230">
        <v>600</v>
      </c>
      <c r="H10" s="2231">
        <v>12816.6</v>
      </c>
      <c r="I10" s="2231"/>
      <c r="J10" s="2231">
        <v>12816.6</v>
      </c>
      <c r="L10">
        <f>'ГосПрограмма (бюджет)'!J27</f>
        <v>12816.6</v>
      </c>
    </row>
    <row r="11" spans="2:12" ht="76" x14ac:dyDescent="0.15">
      <c r="B11" s="2229" t="s">
        <v>1504</v>
      </c>
      <c r="C11" s="2230">
        <v>56</v>
      </c>
      <c r="D11" s="2230">
        <v>8</v>
      </c>
      <c r="E11" s="2230">
        <v>1</v>
      </c>
      <c r="F11" s="2230" t="s">
        <v>1377</v>
      </c>
      <c r="G11" s="2230">
        <v>600</v>
      </c>
      <c r="H11" s="2231">
        <v>41255.5</v>
      </c>
      <c r="I11" s="2231"/>
      <c r="J11" s="2231">
        <v>41255.5</v>
      </c>
      <c r="L11">
        <f>'ГосПрограмма (бюджет)'!J33</f>
        <v>41255.5</v>
      </c>
    </row>
    <row r="12" spans="2:12" ht="96" x14ac:dyDescent="0.15">
      <c r="B12" s="2229" t="s">
        <v>1505</v>
      </c>
      <c r="C12" s="2230">
        <v>56</v>
      </c>
      <c r="D12" s="2230">
        <v>8</v>
      </c>
      <c r="E12" s="2230">
        <v>1</v>
      </c>
      <c r="F12" s="2230" t="s">
        <v>1378</v>
      </c>
      <c r="G12" s="2230">
        <v>600</v>
      </c>
      <c r="H12" s="2231">
        <v>4605.1000000000004</v>
      </c>
      <c r="I12" s="2231"/>
      <c r="J12" s="2231">
        <v>4605.1000000000004</v>
      </c>
      <c r="L12">
        <f>'ГосПрограмма (бюджет)'!J48</f>
        <v>4605.1000000000004</v>
      </c>
    </row>
    <row r="13" spans="2:12" ht="80" x14ac:dyDescent="0.15">
      <c r="B13" s="2229" t="s">
        <v>1507</v>
      </c>
      <c r="C13" s="2230">
        <v>56</v>
      </c>
      <c r="D13" s="2230">
        <v>8</v>
      </c>
      <c r="E13" s="2230">
        <v>1</v>
      </c>
      <c r="F13" s="2230" t="s">
        <v>1379</v>
      </c>
      <c r="G13" s="2230">
        <v>600</v>
      </c>
      <c r="H13" s="2231">
        <v>108901.7</v>
      </c>
      <c r="I13" s="2231"/>
      <c r="J13" s="2231">
        <v>108901.7</v>
      </c>
      <c r="L13">
        <f>'ГосПрограмма (бюджет)'!J54</f>
        <v>108901.7</v>
      </c>
    </row>
    <row r="14" spans="2:12" ht="79" x14ac:dyDescent="0.15">
      <c r="B14" s="2229" t="s">
        <v>1506</v>
      </c>
      <c r="C14" s="2230">
        <v>56</v>
      </c>
      <c r="D14" s="2230">
        <v>8</v>
      </c>
      <c r="E14" s="2230">
        <v>1</v>
      </c>
      <c r="F14" s="2230" t="s">
        <v>1380</v>
      </c>
      <c r="G14" s="2230">
        <v>600</v>
      </c>
      <c r="H14" s="2231">
        <v>55905.8</v>
      </c>
      <c r="I14" s="2231"/>
      <c r="J14" s="2231">
        <v>55905.8</v>
      </c>
      <c r="L14">
        <f>'ГосПрограмма (бюджет)'!J60</f>
        <v>55905.8</v>
      </c>
    </row>
    <row r="15" spans="2:12" ht="79" x14ac:dyDescent="0.15">
      <c r="B15" s="2229" t="s">
        <v>1508</v>
      </c>
      <c r="C15" s="2230">
        <v>56</v>
      </c>
      <c r="D15" s="2230">
        <v>8</v>
      </c>
      <c r="E15" s="2230">
        <v>1</v>
      </c>
      <c r="F15" s="2230" t="s">
        <v>1381</v>
      </c>
      <c r="G15" s="2230">
        <v>600</v>
      </c>
      <c r="H15" s="2231">
        <v>498114.6</v>
      </c>
      <c r="I15" s="2231"/>
      <c r="J15" s="2231">
        <v>498114.6</v>
      </c>
      <c r="L15">
        <f>'ГосПрограмма (бюджет)'!J64</f>
        <v>498114.6</v>
      </c>
    </row>
    <row r="16" spans="2:12" ht="64" x14ac:dyDescent="0.15">
      <c r="B16" s="2229" t="s">
        <v>1509</v>
      </c>
      <c r="C16" s="2230">
        <v>56</v>
      </c>
      <c r="D16" s="2230">
        <v>8</v>
      </c>
      <c r="E16" s="2230">
        <v>1</v>
      </c>
      <c r="F16" s="2230" t="s">
        <v>1382</v>
      </c>
      <c r="G16" s="2230">
        <v>600</v>
      </c>
      <c r="H16" s="2231">
        <v>9097.5</v>
      </c>
      <c r="I16" s="2231"/>
      <c r="J16" s="2231">
        <v>9097.5</v>
      </c>
      <c r="L16">
        <f>'ГосПрограмма (бюджет)'!J72</f>
        <v>9097.5</v>
      </c>
    </row>
    <row r="17" spans="2:12" ht="49" x14ac:dyDescent="0.15">
      <c r="B17" s="2229" t="s">
        <v>1510</v>
      </c>
      <c r="C17" s="2230">
        <v>56</v>
      </c>
      <c r="D17" s="2230">
        <v>8</v>
      </c>
      <c r="E17" s="2230">
        <v>1</v>
      </c>
      <c r="F17" s="2230" t="s">
        <v>1383</v>
      </c>
      <c r="G17" s="2230">
        <v>200</v>
      </c>
      <c r="H17" s="2231">
        <v>29098.9</v>
      </c>
      <c r="I17" s="2231"/>
      <c r="J17" s="2231">
        <v>29098.9</v>
      </c>
      <c r="L17">
        <f>'ГосПрограмма (бюджет)'!J73</f>
        <v>29098.9</v>
      </c>
    </row>
    <row r="18" spans="2:12" ht="94" x14ac:dyDescent="0.15">
      <c r="B18" s="2229" t="s">
        <v>1511</v>
      </c>
      <c r="C18" s="2230">
        <v>56</v>
      </c>
      <c r="D18" s="2230">
        <v>8</v>
      </c>
      <c r="E18" s="2230">
        <v>4</v>
      </c>
      <c r="F18" s="2230" t="s">
        <v>1368</v>
      </c>
      <c r="G18" s="2230">
        <v>100</v>
      </c>
      <c r="H18" s="2231">
        <v>25800</v>
      </c>
      <c r="I18" s="2231"/>
      <c r="J18" s="2231">
        <v>25800</v>
      </c>
      <c r="L18">
        <f>'ГосПрограмма (бюджет)'!J75</f>
        <v>29544</v>
      </c>
    </row>
    <row r="19" spans="2:12" ht="79" x14ac:dyDescent="0.15">
      <c r="B19" s="2229" t="s">
        <v>1512</v>
      </c>
      <c r="C19" s="2230">
        <v>56</v>
      </c>
      <c r="D19" s="2230">
        <v>8</v>
      </c>
      <c r="E19" s="2230">
        <v>4</v>
      </c>
      <c r="F19" s="2230" t="s">
        <v>1384</v>
      </c>
      <c r="G19" s="2230">
        <v>200</v>
      </c>
      <c r="H19" s="2231">
        <v>3173</v>
      </c>
      <c r="I19" s="2231"/>
      <c r="J19" s="2231">
        <v>3173</v>
      </c>
      <c r="L19" s="2245">
        <v>0</v>
      </c>
    </row>
    <row r="20" spans="2:12" ht="64" x14ac:dyDescent="0.15">
      <c r="B20" s="2229" t="s">
        <v>1513</v>
      </c>
      <c r="C20" s="2230">
        <v>56</v>
      </c>
      <c r="D20" s="2230">
        <v>8</v>
      </c>
      <c r="E20" s="2230">
        <v>4</v>
      </c>
      <c r="F20" s="2230" t="s">
        <v>1384</v>
      </c>
      <c r="G20" s="2230">
        <v>800</v>
      </c>
      <c r="H20" s="2231">
        <v>571</v>
      </c>
      <c r="I20" s="2231"/>
      <c r="J20" s="2231">
        <v>571</v>
      </c>
      <c r="L20" s="2245">
        <v>0</v>
      </c>
    </row>
    <row r="21" spans="2:12" ht="94" x14ac:dyDescent="0.2">
      <c r="B21" s="290" t="s">
        <v>1515</v>
      </c>
      <c r="C21" s="2230">
        <v>56</v>
      </c>
      <c r="D21" s="2230">
        <v>8</v>
      </c>
      <c r="E21" s="2230">
        <v>4</v>
      </c>
      <c r="F21" s="2230" t="s">
        <v>1385</v>
      </c>
      <c r="G21" s="2230">
        <v>100</v>
      </c>
      <c r="H21" s="2231">
        <v>3192.1</v>
      </c>
      <c r="I21" s="2231"/>
      <c r="J21" s="2231">
        <v>3447</v>
      </c>
      <c r="L21">
        <f>'ГосПрограмма (бюджет)'!J76</f>
        <v>3447</v>
      </c>
    </row>
    <row r="22" spans="2:12" ht="68" x14ac:dyDescent="0.2">
      <c r="B22" s="290" t="s">
        <v>1514</v>
      </c>
      <c r="C22" s="2230">
        <v>56</v>
      </c>
      <c r="D22" s="2230">
        <v>8</v>
      </c>
      <c r="E22" s="2230">
        <v>4</v>
      </c>
      <c r="F22" s="2230" t="s">
        <v>1385</v>
      </c>
      <c r="G22" s="2230">
        <v>200</v>
      </c>
      <c r="H22" s="2231">
        <v>687.9</v>
      </c>
      <c r="I22" s="2231"/>
      <c r="J22" s="2231">
        <v>749.1</v>
      </c>
      <c r="L22">
        <f>'ГосПрограмма (бюджет)'!J77</f>
        <v>749.1</v>
      </c>
    </row>
    <row r="23" spans="2:12" ht="105" x14ac:dyDescent="0.15">
      <c r="B23" s="2229" t="s">
        <v>1386</v>
      </c>
      <c r="C23" s="2230">
        <v>56</v>
      </c>
      <c r="D23" s="2230">
        <v>10</v>
      </c>
      <c r="E23" s="2230">
        <v>4</v>
      </c>
      <c r="F23" s="2230" t="s">
        <v>1387</v>
      </c>
      <c r="G23" s="2230">
        <v>300</v>
      </c>
      <c r="H23" s="2231">
        <v>294</v>
      </c>
      <c r="I23" s="2231"/>
      <c r="J23" s="2231">
        <v>294</v>
      </c>
      <c r="L23" s="2245">
        <v>0</v>
      </c>
    </row>
  </sheetData>
  <mergeCells count="1">
    <mergeCell ref="B2:J2"/>
  </mergeCell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AA129"/>
  <sheetViews>
    <sheetView topLeftCell="A82" workbookViewId="0">
      <selection activeCell="F102" sqref="F102"/>
    </sheetView>
  </sheetViews>
  <sheetFormatPr baseColWidth="10" defaultColWidth="8.83203125" defaultRowHeight="13" x14ac:dyDescent="0.15"/>
  <cols>
    <col min="1" max="1" width="8.83203125" style="288"/>
    <col min="2" max="2" width="47.1640625" style="288" customWidth="1"/>
    <col min="3" max="3" width="16.1640625" style="288" customWidth="1"/>
    <col min="4" max="4" width="23.1640625" style="288" customWidth="1"/>
    <col min="5" max="9" width="11.5" style="288" customWidth="1"/>
    <col min="10" max="10" width="18.5" style="288" customWidth="1"/>
    <col min="11" max="11" width="11.5" style="288" bestFit="1" customWidth="1"/>
    <col min="12" max="13" width="8.83203125" style="288"/>
    <col min="14" max="20" width="11.1640625" style="288" customWidth="1"/>
    <col min="21" max="16384" width="8.83203125" style="288"/>
  </cols>
  <sheetData>
    <row r="5" spans="6:18" x14ac:dyDescent="0.15">
      <c r="F5" s="3027" t="s">
        <v>658</v>
      </c>
      <c r="G5" s="3027"/>
      <c r="H5" s="3027"/>
      <c r="I5" s="3027"/>
      <c r="J5" s="3027"/>
      <c r="L5" s="3028" t="s">
        <v>659</v>
      </c>
      <c r="M5" s="3028"/>
      <c r="N5" s="3028"/>
      <c r="O5" s="3028"/>
      <c r="P5" s="3028"/>
    </row>
    <row r="6" spans="6:18" x14ac:dyDescent="0.15">
      <c r="F6" s="290">
        <v>2012</v>
      </c>
      <c r="G6" s="290">
        <v>2013</v>
      </c>
      <c r="H6" s="290">
        <v>2014</v>
      </c>
      <c r="I6" s="290">
        <v>2015</v>
      </c>
      <c r="J6" s="290">
        <v>2016</v>
      </c>
      <c r="K6" s="321">
        <v>2011</v>
      </c>
      <c r="L6" s="290">
        <v>2012</v>
      </c>
      <c r="M6" s="290">
        <v>2013</v>
      </c>
      <c r="N6" s="290">
        <v>2014</v>
      </c>
      <c r="O6" s="290">
        <v>2015</v>
      </c>
      <c r="P6" s="290">
        <v>2016</v>
      </c>
    </row>
    <row r="7" spans="6:18" x14ac:dyDescent="0.15">
      <c r="F7" s="290"/>
      <c r="G7" s="290">
        <v>98500</v>
      </c>
      <c r="H7" s="290">
        <v>99500</v>
      </c>
      <c r="I7" s="290">
        <v>100500</v>
      </c>
      <c r="J7" s="290"/>
    </row>
    <row r="8" spans="6:18" x14ac:dyDescent="0.15">
      <c r="F8" s="290"/>
      <c r="G8" s="290">
        <v>708000</v>
      </c>
      <c r="H8" s="290">
        <v>716500</v>
      </c>
      <c r="I8" s="290">
        <v>726000</v>
      </c>
      <c r="J8" s="290"/>
    </row>
    <row r="9" spans="6:18" x14ac:dyDescent="0.15">
      <c r="F9" s="290"/>
      <c r="G9" s="290">
        <v>52452</v>
      </c>
      <c r="H9" s="290">
        <v>54452</v>
      </c>
      <c r="I9" s="290">
        <v>56452</v>
      </c>
      <c r="J9" s="290"/>
    </row>
    <row r="10" spans="6:18" ht="16" x14ac:dyDescent="0.2">
      <c r="F10" s="322">
        <v>99901</v>
      </c>
      <c r="G10" s="290">
        <v>100951</v>
      </c>
      <c r="H10" s="290">
        <v>102051</v>
      </c>
      <c r="I10" s="290">
        <v>103051</v>
      </c>
      <c r="J10" s="290"/>
    </row>
    <row r="11" spans="6:18" x14ac:dyDescent="0.15">
      <c r="F11" s="292">
        <v>950282</v>
      </c>
      <c r="G11" s="292">
        <f>SUM(G7:G10)</f>
        <v>959903</v>
      </c>
      <c r="H11" s="292">
        <f>SUM(H7:H10)</f>
        <v>972503</v>
      </c>
      <c r="I11" s="292">
        <f>SUM(I7:I10)</f>
        <v>986003</v>
      </c>
      <c r="J11" s="290"/>
      <c r="K11" s="288">
        <v>8191064</v>
      </c>
      <c r="L11" s="288">
        <v>8265150</v>
      </c>
      <c r="M11" s="288">
        <f t="shared" ref="M11:R11" si="0">L11*1.01</f>
        <v>8347801.5</v>
      </c>
      <c r="N11" s="288">
        <f t="shared" si="0"/>
        <v>8431279.5150000006</v>
      </c>
      <c r="O11" s="288">
        <f t="shared" si="0"/>
        <v>8515592.3101500012</v>
      </c>
      <c r="P11" s="288">
        <f t="shared" si="0"/>
        <v>8600748.2332515009</v>
      </c>
      <c r="Q11" s="288">
        <f t="shared" si="0"/>
        <v>8686755.7155840155</v>
      </c>
      <c r="R11" s="288">
        <f t="shared" si="0"/>
        <v>8773623.2727398556</v>
      </c>
    </row>
    <row r="12" spans="6:18" x14ac:dyDescent="0.15">
      <c r="F12" s="291"/>
      <c r="G12" s="291"/>
      <c r="H12" s="291"/>
      <c r="I12" s="291"/>
      <c r="K12" s="288">
        <v>79395</v>
      </c>
      <c r="L12" s="288">
        <v>79040</v>
      </c>
      <c r="M12" s="288">
        <f t="shared" ref="M12:R12" si="1">L12*1.0005</f>
        <v>79079.51999999999</v>
      </c>
      <c r="N12" s="288">
        <f t="shared" si="1"/>
        <v>79119.059759999989</v>
      </c>
      <c r="O12" s="288">
        <f t="shared" si="1"/>
        <v>79158.619289879978</v>
      </c>
      <c r="P12" s="288">
        <f t="shared" si="1"/>
        <v>79198.198599524912</v>
      </c>
      <c r="Q12" s="288">
        <f t="shared" si="1"/>
        <v>79237.797698824666</v>
      </c>
      <c r="R12" s="288">
        <f t="shared" si="1"/>
        <v>79277.416597674077</v>
      </c>
    </row>
    <row r="13" spans="6:18" ht="17" thickBot="1" x14ac:dyDescent="0.2">
      <c r="F13" s="319">
        <v>6500</v>
      </c>
      <c r="G13" s="319">
        <v>7500</v>
      </c>
      <c r="H13" s="319">
        <v>8500</v>
      </c>
      <c r="I13" s="319">
        <v>9500</v>
      </c>
    </row>
    <row r="14" spans="6:18" ht="17" thickBot="1" x14ac:dyDescent="0.2">
      <c r="F14" s="319">
        <v>1500</v>
      </c>
      <c r="G14" s="319">
        <v>1600</v>
      </c>
      <c r="H14" s="319">
        <v>1700</v>
      </c>
      <c r="I14" s="320">
        <v>1800</v>
      </c>
      <c r="L14" s="288">
        <f>K12*100/L12</f>
        <v>100.44913967611336</v>
      </c>
    </row>
    <row r="15" spans="6:18" ht="17" thickBot="1" x14ac:dyDescent="0.2">
      <c r="F15" s="319">
        <v>2727</v>
      </c>
      <c r="G15" s="319">
        <v>1600</v>
      </c>
      <c r="H15" s="319">
        <v>2000</v>
      </c>
      <c r="I15" s="319">
        <v>2000</v>
      </c>
    </row>
    <row r="16" spans="6:18" ht="27" thickBot="1" x14ac:dyDescent="0.2">
      <c r="F16" s="319">
        <v>850</v>
      </c>
      <c r="G16" s="319">
        <v>1050</v>
      </c>
      <c r="H16" s="319">
        <v>1100</v>
      </c>
      <c r="I16" s="319">
        <v>1150</v>
      </c>
      <c r="J16" s="288" t="s">
        <v>617</v>
      </c>
      <c r="K16" s="324">
        <f t="shared" ref="K16:Q16" si="2">K11/2946.3</f>
        <v>2780.1187930624851</v>
      </c>
      <c r="L16" s="324">
        <f t="shared" si="2"/>
        <v>2805.2642297118418</v>
      </c>
      <c r="M16" s="324">
        <f t="shared" si="2"/>
        <v>2833.3168720089602</v>
      </c>
      <c r="N16" s="324">
        <f t="shared" si="2"/>
        <v>2861.65004072905</v>
      </c>
      <c r="O16" s="324">
        <f t="shared" si="2"/>
        <v>2890.2665411363409</v>
      </c>
      <c r="P16" s="324">
        <f t="shared" si="2"/>
        <v>2919.1692065477041</v>
      </c>
      <c r="Q16" s="324">
        <f t="shared" si="2"/>
        <v>2948.3608986131808</v>
      </c>
    </row>
    <row r="17" spans="5:17" ht="65" x14ac:dyDescent="0.15">
      <c r="F17" s="291">
        <f>SUM(F13:F16)</f>
        <v>11577</v>
      </c>
      <c r="G17" s="291">
        <f>SUM(G13:G16)</f>
        <v>11750</v>
      </c>
      <c r="H17" s="291">
        <f>SUM(H13:H16)</f>
        <v>13300</v>
      </c>
      <c r="I17" s="291">
        <f>SUM(I13:I16)</f>
        <v>14450</v>
      </c>
      <c r="J17" s="288" t="s">
        <v>616</v>
      </c>
      <c r="K17" s="324">
        <f>K12/2946.3</f>
        <v>26.947357702881579</v>
      </c>
      <c r="L17" s="324">
        <f t="shared" ref="L17:Q17" si="3">L12/2946.3</f>
        <v>26.82686759664664</v>
      </c>
      <c r="M17" s="324">
        <f>M12/2946.3</f>
        <v>26.840281030444959</v>
      </c>
      <c r="N17" s="324">
        <f t="shared" si="3"/>
        <v>26.853701170960182</v>
      </c>
      <c r="O17" s="324">
        <f t="shared" si="3"/>
        <v>26.867128021545657</v>
      </c>
      <c r="P17" s="324">
        <f t="shared" si="3"/>
        <v>26.880561585556428</v>
      </c>
      <c r="Q17" s="324">
        <f t="shared" si="3"/>
        <v>26.894001866349203</v>
      </c>
    </row>
    <row r="18" spans="5:17" x14ac:dyDescent="0.15">
      <c r="F18" s="291"/>
      <c r="G18" s="291"/>
      <c r="H18" s="291"/>
      <c r="I18" s="291"/>
    </row>
    <row r="19" spans="5:17" x14ac:dyDescent="0.15">
      <c r="F19" s="291">
        <f>F17*100/F11</f>
        <v>1.2182699451320766</v>
      </c>
      <c r="G19" s="291">
        <f>G17*100/G11</f>
        <v>1.2240820166204294</v>
      </c>
      <c r="H19" s="291">
        <f>H17*100/H11</f>
        <v>1.3676050356656997</v>
      </c>
      <c r="I19" s="291">
        <f>I17*100/I11</f>
        <v>1.4655127824154692</v>
      </c>
    </row>
    <row r="20" spans="5:17" x14ac:dyDescent="0.15">
      <c r="F20" s="291"/>
      <c r="G20" s="291"/>
      <c r="H20" s="291"/>
      <c r="I20" s="291"/>
    </row>
    <row r="22" spans="5:17" x14ac:dyDescent="0.15">
      <c r="E22" s="1366"/>
      <c r="F22" s="1366">
        <v>2011</v>
      </c>
      <c r="G22" s="1366">
        <v>2012</v>
      </c>
      <c r="H22" s="1366">
        <v>2013</v>
      </c>
      <c r="I22" s="1366">
        <v>2014</v>
      </c>
      <c r="J22" s="1366">
        <v>2015</v>
      </c>
      <c r="K22" s="1366"/>
      <c r="L22" s="1366"/>
      <c r="M22" s="1366"/>
    </row>
    <row r="23" spans="5:17" ht="17" thickBot="1" x14ac:dyDescent="0.2">
      <c r="E23" s="1366" t="s">
        <v>653</v>
      </c>
      <c r="F23" s="1367">
        <v>121054</v>
      </c>
      <c r="G23" s="1367">
        <v>122731</v>
      </c>
      <c r="H23" s="1367">
        <v>124639</v>
      </c>
      <c r="I23" s="1367">
        <v>127000</v>
      </c>
      <c r="J23" s="1367">
        <v>128790</v>
      </c>
      <c r="K23" s="1366"/>
      <c r="L23" s="1366"/>
      <c r="M23" s="1366"/>
    </row>
    <row r="24" spans="5:17" ht="17" thickBot="1" x14ac:dyDescent="0.2">
      <c r="E24" s="1366" t="s">
        <v>531</v>
      </c>
      <c r="F24" s="1367">
        <v>921</v>
      </c>
      <c r="G24" s="1367">
        <v>1521</v>
      </c>
      <c r="H24" s="1367">
        <v>550</v>
      </c>
      <c r="I24" s="1367">
        <v>912</v>
      </c>
      <c r="J24" s="1367">
        <v>3701</v>
      </c>
      <c r="K24" s="1366"/>
      <c r="L24" s="1366"/>
      <c r="M24" s="1366"/>
    </row>
    <row r="25" spans="5:17" ht="17" thickBot="1" x14ac:dyDescent="0.2">
      <c r="E25" s="1366" t="s">
        <v>654</v>
      </c>
      <c r="F25" s="1367">
        <v>8113</v>
      </c>
      <c r="G25" s="1367">
        <v>8128</v>
      </c>
      <c r="H25" s="1367">
        <v>8148</v>
      </c>
      <c r="I25" s="1367">
        <v>6419</v>
      </c>
      <c r="J25" s="1367">
        <v>8193</v>
      </c>
      <c r="K25" s="1366"/>
      <c r="L25" s="1366"/>
      <c r="M25" s="1366"/>
    </row>
    <row r="26" spans="5:17" ht="17" thickBot="1" x14ac:dyDescent="0.2">
      <c r="E26" s="1366" t="s">
        <v>655</v>
      </c>
      <c r="F26" s="1368">
        <v>18283</v>
      </c>
      <c r="G26" s="1368">
        <v>18353</v>
      </c>
      <c r="H26" s="1368">
        <v>18413</v>
      </c>
      <c r="I26" s="1368">
        <v>18586</v>
      </c>
      <c r="J26" s="1368">
        <v>18548</v>
      </c>
      <c r="K26" s="1366"/>
      <c r="L26" s="1366"/>
      <c r="M26" s="1366"/>
    </row>
    <row r="27" spans="5:17" x14ac:dyDescent="0.15">
      <c r="E27" s="1366"/>
      <c r="F27" s="1369">
        <f>SUM(F23:F26)</f>
        <v>148371</v>
      </c>
      <c r="G27" s="1369">
        <f>SUM(G23:G26)</f>
        <v>150733</v>
      </c>
      <c r="H27" s="1369">
        <f>SUM(H23:H26)</f>
        <v>151750</v>
      </c>
      <c r="I27" s="1369">
        <f>SUM(I23:I26)</f>
        <v>152917</v>
      </c>
      <c r="J27" s="1369">
        <f>SUM(J23:J26)</f>
        <v>159232</v>
      </c>
      <c r="K27" s="1369">
        <f>J27*1.02</f>
        <v>162416.64000000001</v>
      </c>
      <c r="L27" s="1366">
        <f>K27*1.025</f>
        <v>166477.05600000001</v>
      </c>
      <c r="M27" s="1366">
        <f>L27*1.03</f>
        <v>171471.36768000002</v>
      </c>
    </row>
    <row r="28" spans="5:17" x14ac:dyDescent="0.15">
      <c r="G28" s="288">
        <f>100-(F27*100/G27)</f>
        <v>1.5670092149695165</v>
      </c>
      <c r="H28" s="288">
        <f>100-(G27*100/H27)</f>
        <v>0.67018121911037554</v>
      </c>
      <c r="I28" s="288">
        <f>100-(H27*100/I27)</f>
        <v>0.76315909938071513</v>
      </c>
      <c r="J28" s="288">
        <f>100-(I27*100/J27)</f>
        <v>3.9659113745980648</v>
      </c>
    </row>
    <row r="31" spans="5:17" x14ac:dyDescent="0.15">
      <c r="F31" s="288">
        <v>2011</v>
      </c>
      <c r="G31" s="288">
        <v>2012</v>
      </c>
      <c r="H31" s="288">
        <v>2013</v>
      </c>
      <c r="I31" s="288">
        <v>2014</v>
      </c>
      <c r="J31" s="288">
        <v>2015</v>
      </c>
    </row>
    <row r="32" spans="5:17" ht="16" x14ac:dyDescent="0.2">
      <c r="E32" s="288" t="s">
        <v>653</v>
      </c>
      <c r="F32" s="315">
        <v>590</v>
      </c>
      <c r="G32" s="315">
        <v>605</v>
      </c>
      <c r="H32" s="315">
        <v>650</v>
      </c>
      <c r="I32" s="315">
        <v>695</v>
      </c>
      <c r="J32" s="315">
        <v>725</v>
      </c>
    </row>
    <row r="33" spans="5:13" x14ac:dyDescent="0.15">
      <c r="E33" s="288" t="s">
        <v>531</v>
      </c>
    </row>
    <row r="34" spans="5:13" ht="16" x14ac:dyDescent="0.15">
      <c r="E34" s="288" t="s">
        <v>654</v>
      </c>
      <c r="F34" s="316"/>
      <c r="G34" s="316">
        <v>150</v>
      </c>
      <c r="H34" s="316">
        <v>200</v>
      </c>
      <c r="I34" s="316">
        <v>200</v>
      </c>
      <c r="J34" s="316">
        <v>300</v>
      </c>
    </row>
    <row r="35" spans="5:13" ht="16" x14ac:dyDescent="0.15">
      <c r="E35" s="288" t="s">
        <v>655</v>
      </c>
      <c r="F35" s="316">
        <v>65</v>
      </c>
      <c r="G35" s="316">
        <v>70</v>
      </c>
      <c r="H35" s="316">
        <v>75</v>
      </c>
      <c r="I35" s="316">
        <v>80</v>
      </c>
      <c r="J35" s="316">
        <v>85</v>
      </c>
    </row>
    <row r="36" spans="5:13" x14ac:dyDescent="0.15">
      <c r="F36" s="288">
        <f>SUM(F32:F35)</f>
        <v>655</v>
      </c>
      <c r="G36" s="288">
        <f>SUM(G32:G35)</f>
        <v>825</v>
      </c>
      <c r="H36" s="288">
        <f>SUM(H32:H35)</f>
        <v>925</v>
      </c>
      <c r="I36" s="288">
        <f>SUM(I32:I35)</f>
        <v>975</v>
      </c>
      <c r="J36" s="288">
        <f>SUM(J32:J35)</f>
        <v>1110</v>
      </c>
    </row>
    <row r="37" spans="5:13" x14ac:dyDescent="0.15">
      <c r="F37" s="288">
        <f>F36*100/F27</f>
        <v>0.44146093239244866</v>
      </c>
      <c r="G37" s="288">
        <f>G36*100/G27</f>
        <v>0.54732540319638034</v>
      </c>
      <c r="H37" s="288">
        <f>H36*100/H27</f>
        <v>0.60955518945634268</v>
      </c>
      <c r="I37" s="288">
        <f>I36*100/I27</f>
        <v>0.63760078997103009</v>
      </c>
      <c r="J37" s="288">
        <f>J36*100/J27</f>
        <v>0.69709606109324762</v>
      </c>
    </row>
    <row r="40" spans="5:13" ht="14" thickBot="1" x14ac:dyDescent="0.2"/>
    <row r="41" spans="5:13" ht="21" thickBot="1" x14ac:dyDescent="0.2">
      <c r="F41" s="374">
        <v>772</v>
      </c>
      <c r="G41" s="375">
        <v>783</v>
      </c>
      <c r="H41" s="375">
        <v>795</v>
      </c>
      <c r="I41" s="375">
        <v>801</v>
      </c>
      <c r="J41" s="375">
        <v>800</v>
      </c>
    </row>
    <row r="42" spans="5:13" ht="22" thickBot="1" x14ac:dyDescent="0.2">
      <c r="F42" s="376">
        <v>92</v>
      </c>
      <c r="G42" s="377">
        <v>78</v>
      </c>
      <c r="H42" s="377">
        <v>84</v>
      </c>
      <c r="I42" s="377">
        <v>88</v>
      </c>
      <c r="J42" s="377">
        <v>90</v>
      </c>
    </row>
    <row r="43" spans="5:13" ht="22" thickBot="1" x14ac:dyDescent="0.2">
      <c r="F43" s="378">
        <v>289</v>
      </c>
      <c r="G43" s="379">
        <v>302</v>
      </c>
      <c r="H43" s="379">
        <v>304</v>
      </c>
      <c r="I43" s="379">
        <v>306</v>
      </c>
      <c r="J43" s="379">
        <v>306</v>
      </c>
    </row>
    <row r="44" spans="5:13" ht="20" thickBot="1" x14ac:dyDescent="0.2">
      <c r="F44" s="380">
        <v>152</v>
      </c>
      <c r="G44" s="381">
        <v>152</v>
      </c>
      <c r="H44" s="381">
        <v>154</v>
      </c>
      <c r="I44" s="381">
        <v>156</v>
      </c>
      <c r="J44" s="381">
        <v>158</v>
      </c>
    </row>
    <row r="45" spans="5:13" ht="20" thickBot="1" x14ac:dyDescent="0.2">
      <c r="F45" s="433">
        <f>SUM(F41:F44)</f>
        <v>1305</v>
      </c>
      <c r="G45" s="433">
        <f>SUM(G41:G44)</f>
        <v>1315</v>
      </c>
      <c r="H45" s="433">
        <f>SUM(H41:H44)</f>
        <v>1337</v>
      </c>
      <c r="I45" s="433">
        <f>SUM(I41:I44)</f>
        <v>1351</v>
      </c>
      <c r="J45" s="433">
        <f>SUM(J41:J44)</f>
        <v>1354</v>
      </c>
      <c r="K45" s="434">
        <v>1371</v>
      </c>
    </row>
    <row r="46" spans="5:13" ht="16" thickBot="1" x14ac:dyDescent="0.2">
      <c r="F46" s="382">
        <v>272</v>
      </c>
      <c r="G46" s="383">
        <v>287</v>
      </c>
      <c r="H46" s="383">
        <v>298</v>
      </c>
      <c r="I46" s="383">
        <v>307</v>
      </c>
      <c r="J46" s="383">
        <v>317</v>
      </c>
    </row>
    <row r="47" spans="5:13" ht="16" thickBot="1" x14ac:dyDescent="0.2">
      <c r="F47" s="382">
        <v>167</v>
      </c>
      <c r="G47" s="383">
        <v>173</v>
      </c>
      <c r="H47" s="383">
        <v>190</v>
      </c>
      <c r="I47" s="383">
        <v>200</v>
      </c>
      <c r="J47" s="383">
        <v>200</v>
      </c>
    </row>
    <row r="48" spans="5:13" ht="16" thickBot="1" x14ac:dyDescent="0.2">
      <c r="F48" s="382">
        <v>156</v>
      </c>
      <c r="G48" s="383">
        <v>152</v>
      </c>
      <c r="H48" s="383">
        <v>159</v>
      </c>
      <c r="I48" s="383">
        <v>168</v>
      </c>
      <c r="J48" s="383">
        <v>182</v>
      </c>
      <c r="M48" s="288">
        <f>J45+17</f>
        <v>1371</v>
      </c>
    </row>
    <row r="49" spans="2:20" ht="15" x14ac:dyDescent="0.15">
      <c r="F49" s="432">
        <f>SUM(F46:F48)</f>
        <v>595</v>
      </c>
      <c r="G49" s="432">
        <f>SUM(G46:G48)</f>
        <v>612</v>
      </c>
      <c r="H49" s="432">
        <f>SUM(H46:H48)</f>
        <v>647</v>
      </c>
      <c r="I49" s="432">
        <f>SUM(I46:I48)</f>
        <v>675</v>
      </c>
      <c r="J49" s="432">
        <f>SUM(J46:J48)</f>
        <v>699</v>
      </c>
      <c r="K49" s="434">
        <v>709</v>
      </c>
    </row>
    <row r="50" spans="2:20" x14ac:dyDescent="0.15">
      <c r="F50" s="288">
        <f>F45+F49</f>
        <v>1900</v>
      </c>
      <c r="G50" s="288">
        <f>G45+G49</f>
        <v>1927</v>
      </c>
      <c r="H50" s="288">
        <f>H45+H49</f>
        <v>1984</v>
      </c>
      <c r="I50" s="288">
        <f>I45+I49</f>
        <v>2026</v>
      </c>
      <c r="J50" s="288">
        <f>J45+J49</f>
        <v>2053</v>
      </c>
      <c r="K50" s="288">
        <v>2080</v>
      </c>
    </row>
    <row r="51" spans="2:20" x14ac:dyDescent="0.15">
      <c r="F51" s="288">
        <f>F45+F49</f>
        <v>1900</v>
      </c>
      <c r="G51" s="288">
        <f>G45+G49</f>
        <v>1927</v>
      </c>
      <c r="H51" s="288">
        <f>H45+H49</f>
        <v>1984</v>
      </c>
      <c r="I51" s="288">
        <f>I45+I49</f>
        <v>2026</v>
      </c>
      <c r="J51" s="288">
        <f>J45+J49</f>
        <v>2053</v>
      </c>
    </row>
    <row r="52" spans="2:20" x14ac:dyDescent="0.15">
      <c r="J52" s="288">
        <f>J49+10</f>
        <v>709</v>
      </c>
      <c r="K52" s="288">
        <f>K50-J50</f>
        <v>27</v>
      </c>
    </row>
    <row r="53" spans="2:20" ht="14" thickBot="1" x14ac:dyDescent="0.2"/>
    <row r="54" spans="2:20" ht="73.5" customHeight="1" thickBot="1" x14ac:dyDescent="0.3">
      <c r="B54" s="384"/>
      <c r="C54" s="405" t="s">
        <v>691</v>
      </c>
      <c r="D54" s="385">
        <v>2009</v>
      </c>
      <c r="E54" s="326">
        <v>2010</v>
      </c>
      <c r="F54" s="329">
        <v>2011</v>
      </c>
      <c r="G54" s="3029">
        <v>2012</v>
      </c>
      <c r="H54" s="3030"/>
      <c r="I54" s="329">
        <v>2013</v>
      </c>
      <c r="J54" s="326">
        <v>2014</v>
      </c>
      <c r="K54" s="329">
        <v>2015</v>
      </c>
      <c r="L54" s="327"/>
      <c r="M54" s="384"/>
      <c r="N54" s="385">
        <v>2009</v>
      </c>
      <c r="O54" s="326">
        <v>2010</v>
      </c>
      <c r="P54" s="326">
        <v>2011</v>
      </c>
      <c r="Q54" s="328">
        <v>2012</v>
      </c>
      <c r="R54" s="326">
        <v>2013</v>
      </c>
      <c r="S54" s="326">
        <v>2014</v>
      </c>
      <c r="T54" s="329">
        <v>2015</v>
      </c>
    </row>
    <row r="55" spans="2:20" ht="25" thickBot="1" x14ac:dyDescent="0.2">
      <c r="B55" s="386" t="s">
        <v>660</v>
      </c>
      <c r="C55" s="387"/>
      <c r="D55" s="330">
        <v>4000</v>
      </c>
      <c r="E55" s="330">
        <v>6700</v>
      </c>
      <c r="F55" s="330">
        <v>7600</v>
      </c>
      <c r="G55" s="331"/>
      <c r="H55" s="330">
        <v>8700</v>
      </c>
      <c r="I55" s="330">
        <v>8750</v>
      </c>
      <c r="J55" s="330">
        <v>8850</v>
      </c>
      <c r="K55" s="330">
        <v>9000</v>
      </c>
      <c r="L55" s="327"/>
      <c r="M55" s="388">
        <v>8750</v>
      </c>
      <c r="N55" s="332">
        <v>5</v>
      </c>
      <c r="O55" s="333">
        <v>31</v>
      </c>
      <c r="P55" s="333">
        <v>26</v>
      </c>
      <c r="Q55" s="334">
        <v>50</v>
      </c>
      <c r="R55" s="333">
        <v>50</v>
      </c>
      <c r="S55" s="333">
        <v>50</v>
      </c>
      <c r="T55" s="333">
        <v>50</v>
      </c>
    </row>
    <row r="56" spans="2:20" ht="25" thickBot="1" x14ac:dyDescent="0.2">
      <c r="B56" s="389" t="s">
        <v>661</v>
      </c>
      <c r="C56" s="387">
        <v>0</v>
      </c>
      <c r="D56" s="330">
        <v>21000</v>
      </c>
      <c r="E56" s="330">
        <v>21000</v>
      </c>
      <c r="F56" s="330">
        <v>21000</v>
      </c>
      <c r="G56" s="331"/>
      <c r="H56" s="330">
        <v>21000</v>
      </c>
      <c r="I56" s="330">
        <v>21000</v>
      </c>
      <c r="J56" s="330">
        <v>21100</v>
      </c>
      <c r="K56" s="330">
        <v>21200</v>
      </c>
      <c r="L56" s="327"/>
      <c r="M56" s="388">
        <v>21000</v>
      </c>
      <c r="N56" s="332">
        <v>32</v>
      </c>
      <c r="O56" s="333">
        <v>70</v>
      </c>
      <c r="P56" s="333">
        <v>70</v>
      </c>
      <c r="Q56" s="334">
        <v>70</v>
      </c>
      <c r="R56" s="333">
        <v>70</v>
      </c>
      <c r="S56" s="333">
        <v>70</v>
      </c>
      <c r="T56" s="333">
        <v>70</v>
      </c>
    </row>
    <row r="57" spans="2:20" ht="25" thickBot="1" x14ac:dyDescent="0.2">
      <c r="B57" s="389" t="s">
        <v>662</v>
      </c>
      <c r="C57" s="387">
        <v>33</v>
      </c>
      <c r="D57" s="330">
        <v>24000</v>
      </c>
      <c r="E57" s="330">
        <v>24000</v>
      </c>
      <c r="F57" s="330">
        <v>24000</v>
      </c>
      <c r="G57" s="331"/>
      <c r="H57" s="335">
        <v>30000</v>
      </c>
      <c r="I57" s="335">
        <v>30220</v>
      </c>
      <c r="J57" s="335">
        <v>30500</v>
      </c>
      <c r="K57" s="335">
        <v>30700</v>
      </c>
      <c r="L57" s="336"/>
      <c r="M57" s="388">
        <v>30220</v>
      </c>
      <c r="N57" s="332">
        <v>74</v>
      </c>
      <c r="O57" s="333">
        <v>64</v>
      </c>
      <c r="P57" s="333">
        <v>81</v>
      </c>
      <c r="Q57" s="334">
        <v>81</v>
      </c>
      <c r="R57" s="333">
        <v>75</v>
      </c>
      <c r="S57" s="333">
        <v>75</v>
      </c>
      <c r="T57" s="333">
        <v>75</v>
      </c>
    </row>
    <row r="58" spans="2:20" ht="25" thickBot="1" x14ac:dyDescent="0.2">
      <c r="B58" s="389" t="s">
        <v>663</v>
      </c>
      <c r="C58" s="387">
        <v>0</v>
      </c>
      <c r="D58" s="330">
        <v>5000</v>
      </c>
      <c r="E58" s="330">
        <v>5000</v>
      </c>
      <c r="F58" s="330">
        <v>5000</v>
      </c>
      <c r="G58" s="331"/>
      <c r="H58" s="330">
        <v>6000</v>
      </c>
      <c r="I58" s="330">
        <v>6050</v>
      </c>
      <c r="J58" s="330">
        <v>6150</v>
      </c>
      <c r="K58" s="330">
        <v>6260</v>
      </c>
      <c r="L58" s="327"/>
      <c r="M58" s="388">
        <v>6050</v>
      </c>
      <c r="N58" s="337"/>
      <c r="O58" s="333">
        <v>17</v>
      </c>
      <c r="P58" s="333">
        <v>16</v>
      </c>
      <c r="Q58" s="334">
        <v>21</v>
      </c>
      <c r="R58" s="333">
        <v>16</v>
      </c>
      <c r="S58" s="333">
        <v>16</v>
      </c>
      <c r="T58" s="333">
        <v>16</v>
      </c>
    </row>
    <row r="59" spans="2:20" ht="25" thickBot="1" x14ac:dyDescent="0.2">
      <c r="B59" s="389" t="s">
        <v>664</v>
      </c>
      <c r="C59" s="387"/>
      <c r="D59" s="330">
        <v>5100</v>
      </c>
      <c r="E59" s="330">
        <v>5200</v>
      </c>
      <c r="F59" s="330">
        <v>5100</v>
      </c>
      <c r="G59" s="331"/>
      <c r="H59" s="330">
        <v>5150</v>
      </c>
      <c r="I59" s="330">
        <v>5220</v>
      </c>
      <c r="J59" s="330">
        <v>5300</v>
      </c>
      <c r="K59" s="330">
        <v>5400</v>
      </c>
      <c r="L59" s="327"/>
      <c r="M59" s="388">
        <v>5220</v>
      </c>
      <c r="N59" s="337"/>
      <c r="O59" s="333">
        <v>24</v>
      </c>
      <c r="P59" s="333">
        <v>21</v>
      </c>
      <c r="Q59" s="334">
        <v>17</v>
      </c>
      <c r="R59" s="333">
        <v>16</v>
      </c>
      <c r="S59" s="333">
        <v>16</v>
      </c>
      <c r="T59" s="333">
        <v>16</v>
      </c>
    </row>
    <row r="60" spans="2:20" ht="25" thickBot="1" x14ac:dyDescent="0.2">
      <c r="B60" s="389" t="s">
        <v>665</v>
      </c>
      <c r="C60" s="387">
        <v>5</v>
      </c>
      <c r="D60" s="330">
        <v>62000</v>
      </c>
      <c r="E60" s="330">
        <v>46600</v>
      </c>
      <c r="F60" s="330">
        <v>35300</v>
      </c>
      <c r="G60" s="331"/>
      <c r="H60" s="335">
        <v>37000</v>
      </c>
      <c r="I60" s="335">
        <v>37000</v>
      </c>
      <c r="J60" s="335">
        <v>37100</v>
      </c>
      <c r="K60" s="335">
        <v>37220</v>
      </c>
      <c r="L60" s="336"/>
      <c r="M60" s="388">
        <v>37000</v>
      </c>
      <c r="N60" s="337"/>
      <c r="O60" s="333">
        <v>206</v>
      </c>
      <c r="P60" s="333">
        <v>213</v>
      </c>
      <c r="Q60" s="334">
        <v>224</v>
      </c>
      <c r="R60" s="333">
        <v>205</v>
      </c>
      <c r="S60" s="333">
        <v>205</v>
      </c>
      <c r="T60" s="333">
        <v>205</v>
      </c>
    </row>
    <row r="61" spans="2:20" ht="25" thickBot="1" x14ac:dyDescent="0.2">
      <c r="B61" s="389" t="s">
        <v>666</v>
      </c>
      <c r="C61" s="387"/>
      <c r="D61" s="338">
        <v>0</v>
      </c>
      <c r="E61" s="338">
        <v>0</v>
      </c>
      <c r="F61" s="330">
        <v>5000</v>
      </c>
      <c r="G61" s="331"/>
      <c r="H61" s="335">
        <v>5000</v>
      </c>
      <c r="I61" s="330">
        <v>5000</v>
      </c>
      <c r="J61" s="330">
        <v>5100</v>
      </c>
      <c r="K61" s="330">
        <v>5220</v>
      </c>
      <c r="L61" s="336"/>
      <c r="M61" s="388">
        <v>5000</v>
      </c>
      <c r="N61" s="332">
        <v>0</v>
      </c>
      <c r="O61" s="333">
        <v>0</v>
      </c>
      <c r="P61" s="333">
        <v>48</v>
      </c>
      <c r="Q61" s="334">
        <v>48</v>
      </c>
      <c r="R61" s="333">
        <v>50</v>
      </c>
      <c r="S61" s="333">
        <v>50</v>
      </c>
      <c r="T61" s="333">
        <v>50</v>
      </c>
    </row>
    <row r="62" spans="2:20" ht="25" thickBot="1" x14ac:dyDescent="0.2">
      <c r="B62" s="389" t="s">
        <v>667</v>
      </c>
      <c r="C62" s="387"/>
      <c r="D62" s="338">
        <v>0</v>
      </c>
      <c r="E62" s="338">
        <v>0</v>
      </c>
      <c r="F62" s="338">
        <v>0</v>
      </c>
      <c r="G62" s="331"/>
      <c r="H62" s="338">
        <v>0</v>
      </c>
      <c r="I62" s="335">
        <v>4000</v>
      </c>
      <c r="J62" s="335">
        <v>4000</v>
      </c>
      <c r="K62" s="330">
        <v>5000</v>
      </c>
      <c r="L62" s="327"/>
      <c r="M62" s="388">
        <v>4000</v>
      </c>
      <c r="N62" s="332">
        <v>0</v>
      </c>
      <c r="O62" s="333">
        <v>0</v>
      </c>
      <c r="P62" s="333">
        <v>0</v>
      </c>
      <c r="Q62" s="334">
        <v>0</v>
      </c>
      <c r="R62" s="333">
        <v>50</v>
      </c>
      <c r="S62" s="333">
        <v>50</v>
      </c>
      <c r="T62" s="333">
        <v>50</v>
      </c>
    </row>
    <row r="63" spans="2:20" ht="25" thickBot="1" x14ac:dyDescent="0.2">
      <c r="B63" s="389" t="s">
        <v>668</v>
      </c>
      <c r="C63" s="387"/>
      <c r="D63" s="330">
        <v>20500</v>
      </c>
      <c r="E63" s="330">
        <v>18000</v>
      </c>
      <c r="F63" s="330">
        <v>17500</v>
      </c>
      <c r="G63" s="331"/>
      <c r="H63" s="330">
        <v>17600</v>
      </c>
      <c r="I63" s="330">
        <v>17700</v>
      </c>
      <c r="J63" s="330">
        <v>17850</v>
      </c>
      <c r="K63" s="330">
        <v>18050</v>
      </c>
      <c r="L63" s="327"/>
      <c r="M63" s="388">
        <v>17700</v>
      </c>
      <c r="N63" s="337"/>
      <c r="O63" s="333">
        <v>76</v>
      </c>
      <c r="P63" s="333">
        <v>71</v>
      </c>
      <c r="Q63" s="334">
        <v>72</v>
      </c>
      <c r="R63" s="333">
        <v>70</v>
      </c>
      <c r="S63" s="333">
        <v>70</v>
      </c>
      <c r="T63" s="333">
        <v>70</v>
      </c>
    </row>
    <row r="64" spans="2:20" ht="25" thickBot="1" x14ac:dyDescent="0.2">
      <c r="B64" s="389" t="s">
        <v>669</v>
      </c>
      <c r="C64" s="387">
        <v>1</v>
      </c>
      <c r="D64" s="330">
        <v>10000</v>
      </c>
      <c r="E64" s="330">
        <v>7000</v>
      </c>
      <c r="F64" s="330">
        <v>7000</v>
      </c>
      <c r="G64" s="331"/>
      <c r="H64" s="330">
        <v>7000</v>
      </c>
      <c r="I64" s="330">
        <v>7050</v>
      </c>
      <c r="J64" s="330">
        <v>7150</v>
      </c>
      <c r="K64" s="330">
        <v>7350</v>
      </c>
      <c r="L64" s="327"/>
      <c r="M64" s="388">
        <v>7050</v>
      </c>
      <c r="N64" s="337"/>
      <c r="O64" s="333">
        <v>55</v>
      </c>
      <c r="P64" s="333">
        <v>60</v>
      </c>
      <c r="Q64" s="334">
        <v>59</v>
      </c>
      <c r="R64" s="333">
        <v>60</v>
      </c>
      <c r="S64" s="333">
        <v>60</v>
      </c>
      <c r="T64" s="333">
        <v>60</v>
      </c>
    </row>
    <row r="65" spans="2:27" ht="25" thickBot="1" x14ac:dyDescent="0.2">
      <c r="B65" s="389" t="s">
        <v>670</v>
      </c>
      <c r="C65" s="387"/>
      <c r="D65" s="330">
        <v>3100</v>
      </c>
      <c r="E65" s="330">
        <v>3900</v>
      </c>
      <c r="F65" s="330">
        <v>3900</v>
      </c>
      <c r="G65" s="331"/>
      <c r="H65" s="330">
        <v>5000</v>
      </c>
      <c r="I65" s="330">
        <v>5100</v>
      </c>
      <c r="J65" s="330">
        <v>5220</v>
      </c>
      <c r="K65" s="330">
        <v>5350</v>
      </c>
      <c r="L65" s="327"/>
      <c r="M65" s="388">
        <v>5100</v>
      </c>
      <c r="N65" s="337"/>
      <c r="O65" s="333">
        <v>11</v>
      </c>
      <c r="P65" s="333">
        <v>12</v>
      </c>
      <c r="Q65" s="334">
        <v>10</v>
      </c>
      <c r="R65" s="333">
        <v>16</v>
      </c>
      <c r="S65" s="333">
        <v>16</v>
      </c>
      <c r="T65" s="333">
        <v>16</v>
      </c>
    </row>
    <row r="66" spans="2:27" ht="25" thickBot="1" x14ac:dyDescent="0.2">
      <c r="B66" s="389" t="s">
        <v>151</v>
      </c>
      <c r="C66" s="387"/>
      <c r="D66" s="330">
        <v>5000</v>
      </c>
      <c r="E66" s="330">
        <v>8900</v>
      </c>
      <c r="F66" s="330">
        <v>15000</v>
      </c>
      <c r="G66" s="331"/>
      <c r="H66" s="330">
        <v>15000</v>
      </c>
      <c r="I66" s="330">
        <v>15100</v>
      </c>
      <c r="J66" s="330">
        <v>15250</v>
      </c>
      <c r="K66" s="330">
        <v>15450</v>
      </c>
      <c r="L66" s="327"/>
      <c r="M66" s="388">
        <v>15100</v>
      </c>
      <c r="N66" s="337"/>
      <c r="O66" s="333">
        <v>18</v>
      </c>
      <c r="P66" s="333">
        <v>23</v>
      </c>
      <c r="Q66" s="334">
        <v>35</v>
      </c>
      <c r="R66" s="333">
        <v>50</v>
      </c>
      <c r="S66" s="333">
        <v>50</v>
      </c>
      <c r="T66" s="333">
        <v>50</v>
      </c>
    </row>
    <row r="67" spans="2:27" ht="25" thickBot="1" x14ac:dyDescent="0.2">
      <c r="B67" s="389" t="s">
        <v>671</v>
      </c>
      <c r="C67" s="387"/>
      <c r="D67" s="330">
        <v>7300</v>
      </c>
      <c r="E67" s="330">
        <v>1800</v>
      </c>
      <c r="F67" s="330">
        <v>6000</v>
      </c>
      <c r="G67" s="331"/>
      <c r="H67" s="330">
        <v>10000</v>
      </c>
      <c r="I67" s="335">
        <v>10000</v>
      </c>
      <c r="J67" s="335">
        <v>10100</v>
      </c>
      <c r="K67" s="335">
        <v>10220</v>
      </c>
      <c r="L67" s="327"/>
      <c r="M67" s="388">
        <v>10000</v>
      </c>
      <c r="N67" s="337"/>
      <c r="O67" s="333">
        <v>38</v>
      </c>
      <c r="P67" s="333">
        <v>67</v>
      </c>
      <c r="Q67" s="334">
        <v>60</v>
      </c>
      <c r="R67" s="333">
        <v>60</v>
      </c>
      <c r="S67" s="333">
        <v>60</v>
      </c>
      <c r="T67" s="333">
        <v>60</v>
      </c>
      <c r="V67" s="3031" t="s">
        <v>675</v>
      </c>
      <c r="W67" s="3031"/>
      <c r="X67" s="3031"/>
      <c r="Y67" s="3031"/>
      <c r="Z67" s="3031"/>
      <c r="AA67" s="3031"/>
    </row>
    <row r="68" spans="2:27" ht="24" thickBot="1" x14ac:dyDescent="0.2">
      <c r="B68" s="390" t="s">
        <v>672</v>
      </c>
      <c r="C68" s="391"/>
      <c r="D68" s="339">
        <v>167000</v>
      </c>
      <c r="E68" s="339">
        <v>148100</v>
      </c>
      <c r="F68" s="339">
        <v>152400</v>
      </c>
      <c r="G68" s="340"/>
      <c r="H68" s="341">
        <v>167450</v>
      </c>
      <c r="I68" s="339">
        <v>172190</v>
      </c>
      <c r="J68" s="339">
        <v>173670</v>
      </c>
      <c r="K68" s="339">
        <v>176420</v>
      </c>
      <c r="L68" s="327"/>
      <c r="M68" s="388">
        <v>172190</v>
      </c>
      <c r="N68" s="342">
        <v>111</v>
      </c>
      <c r="O68" s="343">
        <v>610</v>
      </c>
      <c r="P68" s="343">
        <v>708</v>
      </c>
      <c r="Q68" s="344">
        <v>747</v>
      </c>
      <c r="R68" s="343">
        <v>788</v>
      </c>
      <c r="S68" s="343">
        <v>788</v>
      </c>
      <c r="T68" s="343">
        <v>788</v>
      </c>
      <c r="V68" s="292">
        <v>2010</v>
      </c>
      <c r="W68" s="292">
        <v>2011</v>
      </c>
      <c r="X68" s="292">
        <v>2012</v>
      </c>
      <c r="Y68" s="292">
        <v>2013</v>
      </c>
      <c r="Z68" s="292">
        <v>2014</v>
      </c>
      <c r="AA68" s="292">
        <v>2015</v>
      </c>
    </row>
    <row r="69" spans="2:27" ht="25" thickBot="1" x14ac:dyDescent="0.2">
      <c r="B69" s="389" t="s">
        <v>140</v>
      </c>
      <c r="C69" s="387"/>
      <c r="D69" s="330">
        <v>55900</v>
      </c>
      <c r="E69" s="330">
        <v>51000</v>
      </c>
      <c r="F69" s="330">
        <v>50500</v>
      </c>
      <c r="G69" s="331"/>
      <c r="H69" s="335">
        <v>51500</v>
      </c>
      <c r="I69" s="335">
        <v>51600</v>
      </c>
      <c r="J69" s="335">
        <v>51750</v>
      </c>
      <c r="K69" s="335">
        <v>51920</v>
      </c>
      <c r="L69" s="336"/>
      <c r="M69" s="388">
        <v>51600</v>
      </c>
      <c r="N69" s="345"/>
      <c r="O69" s="333">
        <v>316</v>
      </c>
      <c r="P69" s="333">
        <v>326</v>
      </c>
      <c r="Q69" s="334">
        <v>297</v>
      </c>
      <c r="R69" s="333">
        <v>280</v>
      </c>
      <c r="S69" s="333">
        <v>280</v>
      </c>
      <c r="T69" s="333">
        <v>280</v>
      </c>
      <c r="V69" s="348">
        <v>3</v>
      </c>
      <c r="W69" s="348">
        <v>3</v>
      </c>
      <c r="X69" s="349">
        <v>4</v>
      </c>
      <c r="Y69" s="348">
        <v>3</v>
      </c>
      <c r="Z69" s="348">
        <v>3</v>
      </c>
      <c r="AA69" s="348">
        <v>3</v>
      </c>
    </row>
    <row r="70" spans="2:27" ht="25" thickBot="1" x14ac:dyDescent="0.2">
      <c r="B70" s="389" t="s">
        <v>673</v>
      </c>
      <c r="C70" s="387"/>
      <c r="D70" s="330">
        <v>12000</v>
      </c>
      <c r="E70" s="330">
        <v>6100</v>
      </c>
      <c r="F70" s="330">
        <v>12000</v>
      </c>
      <c r="G70" s="331"/>
      <c r="H70" s="335">
        <v>10000</v>
      </c>
      <c r="I70" s="330">
        <v>12000</v>
      </c>
      <c r="J70" s="330">
        <v>12000</v>
      </c>
      <c r="K70" s="330">
        <v>12000</v>
      </c>
      <c r="L70" s="336"/>
      <c r="M70" s="388">
        <v>12000</v>
      </c>
      <c r="N70" s="337"/>
      <c r="O70" s="333">
        <v>125</v>
      </c>
      <c r="P70" s="333">
        <v>100</v>
      </c>
      <c r="Q70" s="334">
        <v>85</v>
      </c>
      <c r="R70" s="333">
        <v>100</v>
      </c>
      <c r="S70" s="333">
        <v>100</v>
      </c>
      <c r="T70" s="333">
        <v>100</v>
      </c>
      <c r="V70" s="348">
        <v>2</v>
      </c>
      <c r="W70" s="348">
        <v>2</v>
      </c>
      <c r="X70" s="349">
        <v>4</v>
      </c>
      <c r="Y70" s="348">
        <v>3</v>
      </c>
      <c r="Z70" s="348">
        <v>3</v>
      </c>
      <c r="AA70" s="348">
        <v>3</v>
      </c>
    </row>
    <row r="71" spans="2:27" ht="25" thickBot="1" x14ac:dyDescent="0.2">
      <c r="B71" s="389" t="s">
        <v>142</v>
      </c>
      <c r="C71" s="387"/>
      <c r="D71" s="330">
        <v>47800</v>
      </c>
      <c r="E71" s="330">
        <v>36400</v>
      </c>
      <c r="F71" s="330">
        <v>35000</v>
      </c>
      <c r="G71" s="331"/>
      <c r="H71" s="335">
        <v>35650</v>
      </c>
      <c r="I71" s="335">
        <v>35700</v>
      </c>
      <c r="J71" s="335">
        <v>35750</v>
      </c>
      <c r="K71" s="335">
        <v>35910</v>
      </c>
      <c r="L71" s="336"/>
      <c r="M71" s="388">
        <v>35700</v>
      </c>
      <c r="N71" s="337"/>
      <c r="O71" s="333">
        <v>186</v>
      </c>
      <c r="P71" s="333">
        <v>180</v>
      </c>
      <c r="Q71" s="334">
        <v>180</v>
      </c>
      <c r="R71" s="333">
        <v>180</v>
      </c>
      <c r="S71" s="333">
        <v>180</v>
      </c>
      <c r="T71" s="333">
        <v>180</v>
      </c>
      <c r="V71" s="348">
        <v>3</v>
      </c>
      <c r="W71" s="348">
        <v>3</v>
      </c>
      <c r="X71" s="348">
        <v>3</v>
      </c>
      <c r="Y71" s="348">
        <v>3</v>
      </c>
      <c r="Z71" s="348">
        <v>3</v>
      </c>
      <c r="AA71" s="348">
        <v>3</v>
      </c>
    </row>
    <row r="72" spans="2:27" ht="25" thickBot="1" x14ac:dyDescent="0.2">
      <c r="B72" s="389" t="s">
        <v>141</v>
      </c>
      <c r="C72" s="387"/>
      <c r="D72" s="330">
        <v>41700</v>
      </c>
      <c r="E72" s="330">
        <v>40400</v>
      </c>
      <c r="F72" s="330">
        <v>40100</v>
      </c>
      <c r="G72" s="331"/>
      <c r="H72" s="335">
        <v>41000</v>
      </c>
      <c r="I72" s="335">
        <v>41100</v>
      </c>
      <c r="J72" s="335">
        <v>41230</v>
      </c>
      <c r="K72" s="335">
        <v>41500</v>
      </c>
      <c r="L72" s="336"/>
      <c r="M72" s="388">
        <v>41100</v>
      </c>
      <c r="N72" s="337"/>
      <c r="O72" s="333">
        <v>180</v>
      </c>
      <c r="P72" s="333">
        <v>180</v>
      </c>
      <c r="Q72" s="334">
        <v>180</v>
      </c>
      <c r="R72" s="333">
        <v>180</v>
      </c>
      <c r="S72" s="333">
        <v>180</v>
      </c>
      <c r="T72" s="333">
        <v>180</v>
      </c>
      <c r="V72" s="348">
        <v>3</v>
      </c>
      <c r="W72" s="348">
        <v>3</v>
      </c>
      <c r="X72" s="349">
        <v>4</v>
      </c>
      <c r="Y72" s="348">
        <v>3</v>
      </c>
      <c r="Z72" s="348">
        <v>3</v>
      </c>
      <c r="AA72" s="348">
        <v>3</v>
      </c>
    </row>
    <row r="73" spans="2:27" ht="25" thickBot="1" x14ac:dyDescent="0.2">
      <c r="B73" s="389" t="s">
        <v>144</v>
      </c>
      <c r="C73" s="387"/>
      <c r="D73" s="330">
        <v>20100</v>
      </c>
      <c r="E73" s="330">
        <v>20200</v>
      </c>
      <c r="F73" s="330">
        <v>20100</v>
      </c>
      <c r="G73" s="331"/>
      <c r="H73" s="330">
        <v>20100</v>
      </c>
      <c r="I73" s="330">
        <v>20100</v>
      </c>
      <c r="J73" s="330">
        <v>20250</v>
      </c>
      <c r="K73" s="330">
        <v>20370</v>
      </c>
      <c r="L73" s="327"/>
      <c r="M73" s="388">
        <v>20100</v>
      </c>
      <c r="N73" s="337"/>
      <c r="O73" s="333">
        <v>145</v>
      </c>
      <c r="P73" s="333">
        <v>122</v>
      </c>
      <c r="Q73" s="334">
        <v>121</v>
      </c>
      <c r="R73" s="333">
        <v>122</v>
      </c>
      <c r="S73" s="333">
        <v>122</v>
      </c>
      <c r="T73" s="333">
        <v>122</v>
      </c>
      <c r="V73" s="348">
        <v>5</v>
      </c>
      <c r="W73" s="348">
        <v>3</v>
      </c>
      <c r="X73" s="348">
        <v>5</v>
      </c>
      <c r="Y73" s="348">
        <v>3</v>
      </c>
      <c r="Z73" s="348">
        <v>3</v>
      </c>
      <c r="AA73" s="348">
        <v>3</v>
      </c>
    </row>
    <row r="74" spans="2:27" ht="25" thickBot="1" x14ac:dyDescent="0.2">
      <c r="B74" s="389" t="s">
        <v>143</v>
      </c>
      <c r="C74" s="387">
        <v>0</v>
      </c>
      <c r="D74" s="330">
        <v>33400</v>
      </c>
      <c r="E74" s="330">
        <v>40500</v>
      </c>
      <c r="F74" s="330">
        <v>29300</v>
      </c>
      <c r="G74" s="331"/>
      <c r="H74" s="335">
        <v>25000</v>
      </c>
      <c r="I74" s="335">
        <v>25100</v>
      </c>
      <c r="J74" s="335">
        <v>30000</v>
      </c>
      <c r="K74" s="335">
        <v>32000</v>
      </c>
      <c r="L74" s="336"/>
      <c r="M74" s="388">
        <v>25100</v>
      </c>
      <c r="N74" s="337"/>
      <c r="O74" s="333">
        <v>109</v>
      </c>
      <c r="P74" s="333">
        <v>86</v>
      </c>
      <c r="Q74" s="334">
        <v>89</v>
      </c>
      <c r="R74" s="333">
        <v>165</v>
      </c>
      <c r="S74" s="333">
        <v>165</v>
      </c>
      <c r="T74" s="333">
        <v>165</v>
      </c>
      <c r="V74" s="348">
        <v>3</v>
      </c>
      <c r="W74" s="348">
        <v>3</v>
      </c>
      <c r="X74" s="348">
        <v>3</v>
      </c>
      <c r="Y74" s="348">
        <v>3</v>
      </c>
      <c r="Z74" s="348">
        <v>3</v>
      </c>
      <c r="AA74" s="348">
        <v>3</v>
      </c>
    </row>
    <row r="75" spans="2:27" ht="25" thickBot="1" x14ac:dyDescent="0.2">
      <c r="B75" s="389" t="s">
        <v>148</v>
      </c>
      <c r="C75" s="387"/>
      <c r="D75" s="330">
        <v>12100</v>
      </c>
      <c r="E75" s="330">
        <v>16200</v>
      </c>
      <c r="F75" s="330">
        <v>12700</v>
      </c>
      <c r="G75" s="331"/>
      <c r="H75" s="330">
        <v>12200</v>
      </c>
      <c r="I75" s="330">
        <v>12300</v>
      </c>
      <c r="J75" s="330">
        <v>12500</v>
      </c>
      <c r="K75" s="330">
        <v>12700</v>
      </c>
      <c r="L75" s="327"/>
      <c r="M75" s="388">
        <v>12300</v>
      </c>
      <c r="N75" s="337"/>
      <c r="O75" s="333">
        <v>118</v>
      </c>
      <c r="P75" s="333">
        <v>123</v>
      </c>
      <c r="Q75" s="334">
        <v>126</v>
      </c>
      <c r="R75" s="333">
        <v>115</v>
      </c>
      <c r="S75" s="333">
        <v>115</v>
      </c>
      <c r="T75" s="333">
        <v>115</v>
      </c>
      <c r="V75" s="348">
        <v>4</v>
      </c>
      <c r="W75" s="348">
        <v>3</v>
      </c>
      <c r="X75" s="349">
        <v>3</v>
      </c>
      <c r="Y75" s="348">
        <v>3</v>
      </c>
      <c r="Z75" s="348">
        <v>3</v>
      </c>
      <c r="AA75" s="348">
        <v>3</v>
      </c>
    </row>
    <row r="76" spans="2:27" ht="25" thickBot="1" x14ac:dyDescent="0.2">
      <c r="B76" s="389" t="s">
        <v>139</v>
      </c>
      <c r="C76" s="387">
        <v>26</v>
      </c>
      <c r="D76" s="330">
        <v>48000</v>
      </c>
      <c r="E76" s="330">
        <v>44300</v>
      </c>
      <c r="F76" s="330">
        <v>47600</v>
      </c>
      <c r="G76" s="331"/>
      <c r="H76" s="330">
        <v>46000</v>
      </c>
      <c r="I76" s="330">
        <v>46200</v>
      </c>
      <c r="J76" s="335">
        <v>46600</v>
      </c>
      <c r="K76" s="335">
        <v>48000</v>
      </c>
      <c r="L76" s="327"/>
      <c r="M76" s="388">
        <v>46200</v>
      </c>
      <c r="N76" s="337"/>
      <c r="O76" s="333">
        <v>258</v>
      </c>
      <c r="P76" s="333">
        <v>293</v>
      </c>
      <c r="Q76" s="334">
        <v>284</v>
      </c>
      <c r="R76" s="333">
        <v>275</v>
      </c>
      <c r="S76" s="333">
        <v>275</v>
      </c>
      <c r="T76" s="333">
        <v>275</v>
      </c>
      <c r="V76" s="348">
        <v>4</v>
      </c>
      <c r="W76" s="348">
        <v>4</v>
      </c>
      <c r="X76" s="349">
        <v>3</v>
      </c>
      <c r="Y76" s="348">
        <v>4</v>
      </c>
      <c r="Z76" s="348">
        <v>4</v>
      </c>
      <c r="AA76" s="348">
        <v>4</v>
      </c>
    </row>
    <row r="77" spans="2:27" ht="25" thickBot="1" x14ac:dyDescent="0.2">
      <c r="B77" s="389" t="s">
        <v>149</v>
      </c>
      <c r="C77" s="387"/>
      <c r="D77" s="330">
        <v>9600</v>
      </c>
      <c r="E77" s="330">
        <v>7700</v>
      </c>
      <c r="F77" s="330">
        <v>6300</v>
      </c>
      <c r="G77" s="331"/>
      <c r="H77" s="335">
        <v>9000</v>
      </c>
      <c r="I77" s="335">
        <v>9000</v>
      </c>
      <c r="J77" s="335">
        <v>9500</v>
      </c>
      <c r="K77" s="335">
        <v>11000</v>
      </c>
      <c r="L77" s="336"/>
      <c r="M77" s="388">
        <v>9000</v>
      </c>
      <c r="N77" s="337"/>
      <c r="O77" s="333">
        <v>110</v>
      </c>
      <c r="P77" s="333">
        <v>110</v>
      </c>
      <c r="Q77" s="334">
        <v>115</v>
      </c>
      <c r="R77" s="333">
        <v>100</v>
      </c>
      <c r="S77" s="333">
        <v>100</v>
      </c>
      <c r="T77" s="333">
        <v>100</v>
      </c>
      <c r="V77" s="350">
        <v>2</v>
      </c>
      <c r="W77" s="350">
        <v>2</v>
      </c>
      <c r="X77" s="351">
        <v>2</v>
      </c>
      <c r="Y77" s="350">
        <v>2</v>
      </c>
      <c r="Z77" s="350">
        <v>3</v>
      </c>
      <c r="AA77" s="350">
        <v>3</v>
      </c>
    </row>
    <row r="78" spans="2:27" ht="25" thickBot="1" x14ac:dyDescent="0.2">
      <c r="B78" s="389" t="s">
        <v>145</v>
      </c>
      <c r="C78" s="387"/>
      <c r="D78" s="330">
        <v>40600</v>
      </c>
      <c r="E78" s="330">
        <v>36300</v>
      </c>
      <c r="F78" s="330">
        <v>39700</v>
      </c>
      <c r="G78" s="331"/>
      <c r="H78" s="335">
        <v>35000</v>
      </c>
      <c r="I78" s="335">
        <v>35000</v>
      </c>
      <c r="J78" s="335">
        <v>35100</v>
      </c>
      <c r="K78" s="335">
        <v>35220</v>
      </c>
      <c r="L78" s="336"/>
      <c r="M78" s="388">
        <v>35000</v>
      </c>
      <c r="N78" s="337"/>
      <c r="O78" s="333">
        <v>399</v>
      </c>
      <c r="P78" s="333">
        <v>376</v>
      </c>
      <c r="Q78" s="334">
        <v>430</v>
      </c>
      <c r="R78" s="333">
        <v>300</v>
      </c>
      <c r="S78" s="333">
        <v>300</v>
      </c>
      <c r="T78" s="333">
        <v>300</v>
      </c>
      <c r="V78" s="348">
        <v>3</v>
      </c>
      <c r="W78" s="348">
        <v>3</v>
      </c>
      <c r="X78" s="348">
        <v>4</v>
      </c>
      <c r="Y78" s="348">
        <v>3</v>
      </c>
      <c r="Z78" s="348">
        <v>3</v>
      </c>
      <c r="AA78" s="348">
        <v>3</v>
      </c>
    </row>
    <row r="79" spans="2:27" ht="25" thickBot="1" x14ac:dyDescent="0.2">
      <c r="B79" s="389" t="s">
        <v>146</v>
      </c>
      <c r="C79" s="392"/>
      <c r="D79" s="346">
        <v>12400</v>
      </c>
      <c r="E79" s="346">
        <v>12000</v>
      </c>
      <c r="F79" s="346">
        <v>12000</v>
      </c>
      <c r="G79" s="347"/>
      <c r="H79" s="346">
        <v>12100</v>
      </c>
      <c r="I79" s="346">
        <v>12100</v>
      </c>
      <c r="J79" s="346">
        <v>12100</v>
      </c>
      <c r="K79" s="346">
        <v>12100</v>
      </c>
      <c r="L79" s="327"/>
      <c r="M79" s="388">
        <v>12100</v>
      </c>
      <c r="N79" s="337"/>
      <c r="O79" s="333">
        <v>27</v>
      </c>
      <c r="P79" s="333">
        <v>27</v>
      </c>
      <c r="Q79" s="334">
        <v>28</v>
      </c>
      <c r="R79" s="333">
        <v>34</v>
      </c>
      <c r="S79" s="333">
        <v>34</v>
      </c>
      <c r="T79" s="333">
        <v>34</v>
      </c>
      <c r="V79" s="348">
        <v>1</v>
      </c>
      <c r="W79" s="348">
        <v>3</v>
      </c>
      <c r="X79" s="348">
        <v>2</v>
      </c>
      <c r="Y79" s="348">
        <v>3</v>
      </c>
      <c r="Z79" s="348">
        <v>3</v>
      </c>
      <c r="AA79" s="348">
        <v>3</v>
      </c>
    </row>
    <row r="80" spans="2:27" ht="27" thickBot="1" x14ac:dyDescent="0.25">
      <c r="B80" s="390" t="s">
        <v>674</v>
      </c>
      <c r="C80" s="391"/>
      <c r="D80" s="393">
        <v>333600</v>
      </c>
      <c r="E80" s="393">
        <v>311100</v>
      </c>
      <c r="F80" s="393">
        <v>305300</v>
      </c>
      <c r="G80" s="394"/>
      <c r="H80" s="395">
        <v>297550</v>
      </c>
      <c r="I80" s="393">
        <v>300200</v>
      </c>
      <c r="J80" s="393">
        <v>306780</v>
      </c>
      <c r="K80" s="393">
        <v>312720</v>
      </c>
      <c r="L80" s="384"/>
      <c r="M80" s="384"/>
      <c r="N80" s="396">
        <v>0</v>
      </c>
      <c r="O80" s="397">
        <v>1973</v>
      </c>
      <c r="P80" s="397">
        <v>1923</v>
      </c>
      <c r="Q80" s="398">
        <v>1935</v>
      </c>
      <c r="R80" s="397">
        <v>1851</v>
      </c>
      <c r="S80" s="397">
        <v>1851</v>
      </c>
      <c r="T80" s="397">
        <v>1851</v>
      </c>
      <c r="V80" s="291">
        <f t="shared" ref="V80:AA80" si="4">SUM(V69:V79)</f>
        <v>33</v>
      </c>
      <c r="W80" s="291">
        <f t="shared" si="4"/>
        <v>32</v>
      </c>
      <c r="X80" s="291">
        <f t="shared" si="4"/>
        <v>37</v>
      </c>
      <c r="Y80" s="291">
        <f t="shared" si="4"/>
        <v>33</v>
      </c>
      <c r="Z80" s="291">
        <f t="shared" si="4"/>
        <v>34</v>
      </c>
      <c r="AA80" s="291">
        <f t="shared" si="4"/>
        <v>34</v>
      </c>
    </row>
    <row r="81" spans="2:20" ht="30" thickBot="1" x14ac:dyDescent="0.25">
      <c r="B81" s="390" t="s">
        <v>194</v>
      </c>
      <c r="C81" s="391"/>
      <c r="D81" s="399">
        <v>500600</v>
      </c>
      <c r="E81" s="399">
        <v>459200</v>
      </c>
      <c r="F81" s="399">
        <v>457700</v>
      </c>
      <c r="G81" s="400"/>
      <c r="H81" s="401">
        <v>465000</v>
      </c>
      <c r="I81" s="399">
        <v>472390</v>
      </c>
      <c r="J81" s="399">
        <v>480450</v>
      </c>
      <c r="K81" s="399">
        <v>489140</v>
      </c>
      <c r="L81" s="384"/>
      <c r="M81" s="384"/>
      <c r="N81" s="402">
        <v>111</v>
      </c>
      <c r="O81" s="403">
        <v>2583</v>
      </c>
      <c r="P81" s="403">
        <v>2631</v>
      </c>
      <c r="Q81" s="404">
        <v>2682</v>
      </c>
      <c r="R81" s="403">
        <v>2639</v>
      </c>
      <c r="S81" s="403">
        <v>2639</v>
      </c>
      <c r="T81" s="403">
        <v>2639</v>
      </c>
    </row>
    <row r="84" spans="2:20" ht="14" thickBot="1" x14ac:dyDescent="0.2"/>
    <row r="85" spans="2:20" ht="107" thickTop="1" thickBot="1" x14ac:dyDescent="0.25">
      <c r="D85" s="288" t="s">
        <v>680</v>
      </c>
      <c r="E85" s="352" t="s">
        <v>676</v>
      </c>
      <c r="F85" s="353" t="s">
        <v>677</v>
      </c>
      <c r="G85" s="353" t="s">
        <v>678</v>
      </c>
      <c r="H85" s="354" t="s">
        <v>679</v>
      </c>
      <c r="L85" s="290"/>
      <c r="M85" s="3032" t="s">
        <v>681</v>
      </c>
      <c r="N85" s="3032"/>
      <c r="O85" s="3032"/>
      <c r="P85" s="3032"/>
      <c r="Q85" s="3032"/>
      <c r="R85" s="3032"/>
    </row>
    <row r="86" spans="2:20" ht="17" thickBot="1" x14ac:dyDescent="0.2">
      <c r="E86" s="355">
        <v>60</v>
      </c>
      <c r="F86" s="356">
        <v>62</v>
      </c>
      <c r="G86" s="356">
        <v>63</v>
      </c>
      <c r="H86" s="357">
        <v>63</v>
      </c>
      <c r="L86" s="290"/>
      <c r="M86" s="290">
        <v>2010</v>
      </c>
      <c r="N86" s="290">
        <v>2011</v>
      </c>
      <c r="O86" s="290">
        <v>2012</v>
      </c>
      <c r="P86" s="290">
        <v>2013</v>
      </c>
      <c r="Q86" s="290">
        <v>2014</v>
      </c>
      <c r="R86" s="290">
        <v>2015</v>
      </c>
    </row>
    <row r="87" spans="2:20" ht="17" thickTop="1" x14ac:dyDescent="0.15">
      <c r="L87" s="290" t="s">
        <v>682</v>
      </c>
      <c r="M87" s="290"/>
      <c r="N87" s="359">
        <v>143000</v>
      </c>
      <c r="O87" s="359">
        <v>141962</v>
      </c>
      <c r="P87" s="359">
        <v>142000</v>
      </c>
      <c r="Q87" s="359">
        <v>142200</v>
      </c>
      <c r="R87" s="359">
        <v>142350</v>
      </c>
    </row>
    <row r="88" spans="2:20" ht="16" x14ac:dyDescent="0.15">
      <c r="E88" s="288">
        <v>2012</v>
      </c>
      <c r="L88" s="290" t="s">
        <v>683</v>
      </c>
      <c r="M88" s="290"/>
      <c r="N88" s="360">
        <v>160120</v>
      </c>
      <c r="O88" s="360">
        <v>165000</v>
      </c>
      <c r="P88" s="360">
        <v>165500</v>
      </c>
      <c r="Q88" s="360">
        <v>165600</v>
      </c>
      <c r="R88" s="360">
        <v>165750</v>
      </c>
    </row>
    <row r="89" spans="2:20" ht="29.25" customHeight="1" x14ac:dyDescent="0.15">
      <c r="D89" s="3028" t="s">
        <v>382</v>
      </c>
      <c r="E89" s="288">
        <v>913782.5</v>
      </c>
      <c r="L89" s="290" t="s">
        <v>612</v>
      </c>
      <c r="M89" s="290"/>
      <c r="N89" s="359">
        <v>13328</v>
      </c>
      <c r="O89" s="359">
        <v>13338</v>
      </c>
      <c r="P89" s="359">
        <v>13400</v>
      </c>
      <c r="Q89" s="359">
        <v>13450</v>
      </c>
      <c r="R89" s="359">
        <v>13550</v>
      </c>
    </row>
    <row r="90" spans="2:20" ht="29.25" customHeight="1" x14ac:dyDescent="0.15">
      <c r="D90" s="3028"/>
      <c r="E90" s="288">
        <v>16665.900000000001</v>
      </c>
      <c r="L90" s="290" t="s">
        <v>684</v>
      </c>
      <c r="M90" s="290"/>
      <c r="N90" s="359">
        <v>60000</v>
      </c>
      <c r="O90" s="359">
        <v>60100</v>
      </c>
      <c r="P90" s="359">
        <v>60200</v>
      </c>
      <c r="Q90" s="359">
        <v>60250</v>
      </c>
      <c r="R90" s="359">
        <v>60350</v>
      </c>
    </row>
    <row r="91" spans="2:20" x14ac:dyDescent="0.15">
      <c r="E91" s="288">
        <f>E90*100/E89</f>
        <v>1.8238366350854829</v>
      </c>
      <c r="J91" s="288">
        <f>O87-J92</f>
        <v>141962</v>
      </c>
      <c r="L91" s="290"/>
      <c r="M91" s="290"/>
      <c r="N91" s="292">
        <f>SUM(N87:N90)</f>
        <v>376448</v>
      </c>
      <c r="O91" s="292">
        <f>SUM(O87:O90)</f>
        <v>380400</v>
      </c>
      <c r="P91" s="292">
        <f>SUM(P87:P90)</f>
        <v>381100</v>
      </c>
      <c r="Q91" s="292">
        <f>SUM(Q87:Q90)</f>
        <v>381500</v>
      </c>
      <c r="R91" s="292">
        <f>SUM(R87:R90)</f>
        <v>382000</v>
      </c>
    </row>
    <row r="92" spans="2:20" x14ac:dyDescent="0.15">
      <c r="J92" s="288">
        <f>O91-380400</f>
        <v>0</v>
      </c>
      <c r="L92" s="290"/>
      <c r="M92" s="290"/>
      <c r="N92" s="290">
        <f>N91/1000</f>
        <v>376.44799999999998</v>
      </c>
      <c r="O92" s="290">
        <f>O91/1000</f>
        <v>380.4</v>
      </c>
      <c r="P92" s="290">
        <f>P91/1000</f>
        <v>381.1</v>
      </c>
      <c r="Q92" s="290">
        <f>Q91/1000</f>
        <v>381.5</v>
      </c>
      <c r="R92" s="290">
        <f>R91/1000</f>
        <v>382</v>
      </c>
    </row>
    <row r="93" spans="2:20" ht="65" x14ac:dyDescent="0.15">
      <c r="D93" s="288" t="s">
        <v>385</v>
      </c>
      <c r="E93" s="288">
        <f>E90/2980</f>
        <v>5.5925838926174505</v>
      </c>
      <c r="L93" s="290"/>
      <c r="M93" s="3027"/>
      <c r="N93" s="3027"/>
      <c r="O93" s="3027"/>
      <c r="P93" s="3027"/>
      <c r="Q93" s="3027"/>
      <c r="R93" s="3027"/>
    </row>
    <row r="94" spans="2:20" ht="17" thickBot="1" x14ac:dyDescent="0.2">
      <c r="G94" s="288">
        <v>381000</v>
      </c>
      <c r="H94" s="288">
        <v>381500</v>
      </c>
      <c r="I94" s="288">
        <v>382000</v>
      </c>
      <c r="K94" s="3036" t="s">
        <v>687</v>
      </c>
      <c r="L94" s="290" t="s">
        <v>682</v>
      </c>
      <c r="M94" s="290"/>
      <c r="N94" s="323">
        <v>85</v>
      </c>
      <c r="O94" s="323">
        <v>90</v>
      </c>
      <c r="P94" s="323">
        <v>95</v>
      </c>
      <c r="Q94" s="323">
        <v>100</v>
      </c>
      <c r="R94" s="323">
        <v>105</v>
      </c>
    </row>
    <row r="95" spans="2:20" ht="17" thickBot="1" x14ac:dyDescent="0.2">
      <c r="G95" s="288">
        <f>P91-G94</f>
        <v>100</v>
      </c>
      <c r="H95" s="288">
        <f>Q91-H94</f>
        <v>0</v>
      </c>
      <c r="I95" s="288">
        <f>R91-I94</f>
        <v>0</v>
      </c>
      <c r="K95" s="3036"/>
      <c r="L95" s="290" t="s">
        <v>683</v>
      </c>
      <c r="M95" s="290"/>
      <c r="N95" s="323">
        <v>100</v>
      </c>
      <c r="O95" s="323">
        <v>120</v>
      </c>
      <c r="P95" s="323">
        <v>130</v>
      </c>
      <c r="Q95" s="323">
        <v>130</v>
      </c>
      <c r="R95" s="323">
        <v>140</v>
      </c>
    </row>
    <row r="96" spans="2:20" ht="16" x14ac:dyDescent="0.15">
      <c r="K96" s="3036"/>
      <c r="L96" s="290" t="s">
        <v>612</v>
      </c>
      <c r="M96" s="290"/>
      <c r="N96" s="362">
        <v>27</v>
      </c>
      <c r="O96" s="363">
        <v>29</v>
      </c>
      <c r="P96" s="363">
        <v>30</v>
      </c>
      <c r="Q96" s="363">
        <v>32</v>
      </c>
      <c r="R96" s="361">
        <v>34</v>
      </c>
    </row>
    <row r="97" spans="2:18" ht="16" x14ac:dyDescent="0.15">
      <c r="K97" s="3036"/>
      <c r="L97" s="290" t="s">
        <v>684</v>
      </c>
      <c r="M97" s="290"/>
      <c r="N97" s="359">
        <v>47</v>
      </c>
      <c r="O97" s="359">
        <v>50</v>
      </c>
      <c r="P97" s="359">
        <v>55</v>
      </c>
      <c r="Q97" s="359">
        <v>61</v>
      </c>
      <c r="R97" s="359">
        <v>68</v>
      </c>
    </row>
    <row r="98" spans="2:18" x14ac:dyDescent="0.15">
      <c r="N98" s="288">
        <f>SUM(N94:N97)</f>
        <v>259</v>
      </c>
      <c r="O98" s="288">
        <f>SUM(O94:O97)</f>
        <v>289</v>
      </c>
      <c r="P98" s="288">
        <f>SUM(P94:P97)</f>
        <v>310</v>
      </c>
      <c r="Q98" s="288">
        <f>SUM(Q94:Q97)</f>
        <v>323</v>
      </c>
      <c r="R98" s="288">
        <f>SUM(R94:R97)</f>
        <v>347</v>
      </c>
    </row>
    <row r="100" spans="2:18" ht="17" thickBot="1" x14ac:dyDescent="0.2">
      <c r="K100" s="3028" t="s">
        <v>688</v>
      </c>
      <c r="L100" s="288" t="s">
        <v>653</v>
      </c>
      <c r="N100" s="323">
        <v>122</v>
      </c>
      <c r="O100" s="323">
        <v>125</v>
      </c>
      <c r="P100" s="323">
        <v>128</v>
      </c>
      <c r="Q100" s="323">
        <v>130</v>
      </c>
      <c r="R100" s="323">
        <v>132</v>
      </c>
    </row>
    <row r="101" spans="2:18" ht="17" thickBot="1" x14ac:dyDescent="0.2">
      <c r="K101" s="3028"/>
      <c r="L101" s="288" t="s">
        <v>531</v>
      </c>
      <c r="N101" s="323">
        <v>5</v>
      </c>
      <c r="O101" s="323">
        <v>15</v>
      </c>
      <c r="P101" s="323">
        <v>20</v>
      </c>
      <c r="Q101" s="323">
        <v>30</v>
      </c>
      <c r="R101" s="323">
        <v>30</v>
      </c>
    </row>
    <row r="102" spans="2:18" ht="17" thickBot="1" x14ac:dyDescent="0.2">
      <c r="K102" s="3028"/>
      <c r="L102" s="288" t="s">
        <v>685</v>
      </c>
      <c r="N102" s="323">
        <v>14</v>
      </c>
      <c r="O102" s="323">
        <v>15</v>
      </c>
      <c r="P102" s="323">
        <v>15</v>
      </c>
      <c r="Q102" s="323">
        <v>16</v>
      </c>
      <c r="R102" s="323">
        <v>16</v>
      </c>
    </row>
    <row r="103" spans="2:18" ht="17" thickBot="1" x14ac:dyDescent="0.2">
      <c r="K103" s="3028"/>
      <c r="L103" s="288" t="s">
        <v>686</v>
      </c>
      <c r="N103" s="364">
        <v>27</v>
      </c>
      <c r="O103" s="364">
        <v>28</v>
      </c>
      <c r="P103" s="364">
        <v>30</v>
      </c>
      <c r="Q103" s="364">
        <v>32</v>
      </c>
      <c r="R103" s="364">
        <v>34</v>
      </c>
    </row>
    <row r="104" spans="2:18" x14ac:dyDescent="0.15">
      <c r="N104" s="288">
        <f>SUM(N100:N103)</f>
        <v>168</v>
      </c>
      <c r="O104" s="288">
        <f>SUM(O100:O103)</f>
        <v>183</v>
      </c>
      <c r="P104" s="288">
        <f>SUM(P100:P103)</f>
        <v>193</v>
      </c>
      <c r="Q104" s="288">
        <f>SUM(Q100:Q103)</f>
        <v>208</v>
      </c>
      <c r="R104" s="288">
        <f>SUM(R100:R103)</f>
        <v>212</v>
      </c>
    </row>
    <row r="105" spans="2:18" x14ac:dyDescent="0.15">
      <c r="N105" s="291">
        <f>N98+N104</f>
        <v>427</v>
      </c>
      <c r="O105" s="291">
        <f>O98+O104</f>
        <v>472</v>
      </c>
      <c r="P105" s="291">
        <f>P98+P104</f>
        <v>503</v>
      </c>
      <c r="Q105" s="291">
        <f>Q98+Q104</f>
        <v>531</v>
      </c>
      <c r="R105" s="291">
        <f>R98+R104</f>
        <v>559</v>
      </c>
    </row>
    <row r="107" spans="2:18" ht="16" x14ac:dyDescent="0.2">
      <c r="B107" s="365"/>
      <c r="C107" s="373"/>
      <c r="D107" s="3033">
        <v>2010</v>
      </c>
      <c r="E107" s="3034"/>
      <c r="F107" s="3035"/>
      <c r="G107" s="3033">
        <v>2011</v>
      </c>
      <c r="H107" s="3034"/>
      <c r="I107" s="3035"/>
      <c r="J107" s="3033">
        <v>2012</v>
      </c>
      <c r="K107" s="3034"/>
      <c r="L107" s="3035"/>
      <c r="M107" s="3033">
        <v>2013</v>
      </c>
      <c r="N107" s="3034"/>
      <c r="O107" s="3035"/>
      <c r="P107" s="3033">
        <v>2014</v>
      </c>
      <c r="Q107" s="3034"/>
      <c r="R107" s="3035"/>
    </row>
    <row r="108" spans="2:18" ht="48" x14ac:dyDescent="0.2">
      <c r="B108" s="365"/>
      <c r="C108" s="365"/>
      <c r="D108" s="366" t="s">
        <v>598</v>
      </c>
      <c r="E108" s="366" t="s">
        <v>599</v>
      </c>
      <c r="F108" s="367" t="s">
        <v>602</v>
      </c>
      <c r="G108" s="366" t="s">
        <v>598</v>
      </c>
      <c r="H108" s="366" t="s">
        <v>599</v>
      </c>
      <c r="I108" s="367" t="s">
        <v>602</v>
      </c>
      <c r="J108" s="366" t="s">
        <v>598</v>
      </c>
      <c r="K108" s="366" t="s">
        <v>599</v>
      </c>
      <c r="L108" s="367" t="s">
        <v>602</v>
      </c>
      <c r="M108" s="366" t="s">
        <v>598</v>
      </c>
      <c r="N108" s="366" t="s">
        <v>599</v>
      </c>
      <c r="O108" s="367" t="s">
        <v>602</v>
      </c>
      <c r="P108" s="368" t="s">
        <v>598</v>
      </c>
      <c r="Q108" s="368" t="s">
        <v>599</v>
      </c>
      <c r="R108" s="367" t="s">
        <v>602</v>
      </c>
    </row>
    <row r="109" spans="2:18" ht="16" x14ac:dyDescent="0.2">
      <c r="B109" s="365" t="s">
        <v>596</v>
      </c>
      <c r="C109" s="365"/>
      <c r="D109" s="369">
        <v>7865</v>
      </c>
      <c r="E109" s="370">
        <v>275</v>
      </c>
      <c r="F109" s="371">
        <f>E109*100/D109</f>
        <v>3.4965034965034967</v>
      </c>
      <c r="G109" s="370">
        <v>7576</v>
      </c>
      <c r="H109" s="370">
        <v>589</v>
      </c>
      <c r="I109" s="371">
        <f>H109*100/G109</f>
        <v>7.7745512143611402</v>
      </c>
      <c r="J109" s="370">
        <v>6873</v>
      </c>
      <c r="K109" s="370">
        <v>214</v>
      </c>
      <c r="L109" s="371">
        <f>K109*100/J109</f>
        <v>3.1136330568892769</v>
      </c>
      <c r="M109" s="370">
        <v>6679</v>
      </c>
      <c r="N109" s="370">
        <v>850</v>
      </c>
      <c r="O109" s="371">
        <f>N109*100/M109</f>
        <v>12.726456056295852</v>
      </c>
      <c r="P109" s="370">
        <v>6184</v>
      </c>
      <c r="Q109" s="370">
        <v>860</v>
      </c>
      <c r="R109" s="371">
        <f>Q109*100/P109</f>
        <v>13.906856403622252</v>
      </c>
    </row>
    <row r="110" spans="2:18" ht="16" x14ac:dyDescent="0.2">
      <c r="B110" s="365" t="s">
        <v>529</v>
      </c>
      <c r="C110" s="365"/>
      <c r="D110" s="369">
        <v>2168</v>
      </c>
      <c r="E110" s="370">
        <v>59</v>
      </c>
      <c r="F110" s="371">
        <f>E110*100/D110</f>
        <v>2.7214022140221403</v>
      </c>
      <c r="G110" s="370">
        <v>2093</v>
      </c>
      <c r="H110" s="370">
        <v>210</v>
      </c>
      <c r="I110" s="371">
        <f>H110*100/G110</f>
        <v>10.033444816053512</v>
      </c>
      <c r="J110" s="370">
        <v>2017</v>
      </c>
      <c r="K110" s="370">
        <v>228</v>
      </c>
      <c r="L110" s="371">
        <f>K110*100/J110</f>
        <v>11.303916707982152</v>
      </c>
      <c r="M110" s="370">
        <v>2000</v>
      </c>
      <c r="N110" s="370">
        <v>100</v>
      </c>
      <c r="O110" s="371">
        <f>N110*100/M110</f>
        <v>5</v>
      </c>
      <c r="P110" s="370">
        <v>2000</v>
      </c>
      <c r="Q110" s="370">
        <v>100</v>
      </c>
      <c r="R110" s="371">
        <f>Q110*100/P110</f>
        <v>5</v>
      </c>
    </row>
    <row r="111" spans="2:18" ht="16" x14ac:dyDescent="0.2">
      <c r="B111" s="365" t="s">
        <v>530</v>
      </c>
      <c r="C111" s="365"/>
      <c r="D111" s="369">
        <v>580</v>
      </c>
      <c r="E111" s="370">
        <v>0</v>
      </c>
      <c r="F111" s="371">
        <f>E111*100/D111</f>
        <v>0</v>
      </c>
      <c r="G111" s="370">
        <v>580</v>
      </c>
      <c r="H111" s="370"/>
      <c r="I111" s="371">
        <f>H111*100/G111</f>
        <v>0</v>
      </c>
      <c r="J111" s="370">
        <v>1200</v>
      </c>
      <c r="K111" s="370"/>
      <c r="L111" s="371">
        <f>K111*100/J111</f>
        <v>0</v>
      </c>
      <c r="M111" s="370">
        <v>600</v>
      </c>
      <c r="N111" s="370">
        <v>10</v>
      </c>
      <c r="O111" s="371">
        <f>N111*100/M111</f>
        <v>1.6666666666666667</v>
      </c>
      <c r="P111" s="370">
        <v>600</v>
      </c>
      <c r="Q111" s="370">
        <v>10</v>
      </c>
      <c r="R111" s="371">
        <f>Q111*100/P111</f>
        <v>1.6666666666666667</v>
      </c>
    </row>
    <row r="112" spans="2:18" ht="16" x14ac:dyDescent="0.2">
      <c r="B112" s="365" t="s">
        <v>597</v>
      </c>
      <c r="C112" s="365"/>
      <c r="D112" s="369">
        <v>0</v>
      </c>
      <c r="E112" s="370">
        <v>0</v>
      </c>
      <c r="F112" s="371">
        <v>0</v>
      </c>
      <c r="G112" s="370">
        <v>0</v>
      </c>
      <c r="H112" s="370">
        <v>0</v>
      </c>
      <c r="I112" s="371">
        <v>0</v>
      </c>
      <c r="J112" s="370">
        <v>40</v>
      </c>
      <c r="K112" s="370">
        <v>30</v>
      </c>
      <c r="L112" s="371">
        <f>K112*100/J112</f>
        <v>75</v>
      </c>
      <c r="M112" s="370">
        <v>0</v>
      </c>
      <c r="N112" s="370">
        <v>0</v>
      </c>
      <c r="O112" s="371">
        <v>0</v>
      </c>
      <c r="P112" s="370">
        <v>0</v>
      </c>
      <c r="Q112" s="370">
        <v>0</v>
      </c>
      <c r="R112" s="371">
        <v>0</v>
      </c>
    </row>
    <row r="113" spans="2:18" ht="16" x14ac:dyDescent="0.2">
      <c r="B113" s="367" t="s">
        <v>575</v>
      </c>
      <c r="C113" s="367"/>
      <c r="D113" s="369">
        <f>SUM(D109:D112)</f>
        <v>10613</v>
      </c>
      <c r="E113" s="369">
        <f t="shared" ref="E113:Q113" si="5">SUM(E109:E112)</f>
        <v>334</v>
      </c>
      <c r="F113" s="372">
        <f>E113*100/D113</f>
        <v>3.1470837651936305</v>
      </c>
      <c r="G113" s="369">
        <f>SUM(G109:G112)</f>
        <v>10249</v>
      </c>
      <c r="H113" s="369">
        <f t="shared" si="5"/>
        <v>799</v>
      </c>
      <c r="I113" s="372">
        <f>H113*100/G113</f>
        <v>7.7958825251244024</v>
      </c>
      <c r="J113" s="369">
        <f t="shared" si="5"/>
        <v>10130</v>
      </c>
      <c r="K113" s="369">
        <f t="shared" si="5"/>
        <v>472</v>
      </c>
      <c r="L113" s="372">
        <f>K113*100/J113</f>
        <v>4.6594274432379068</v>
      </c>
      <c r="M113" s="369">
        <f t="shared" si="5"/>
        <v>9279</v>
      </c>
      <c r="N113" s="369">
        <f t="shared" si="5"/>
        <v>960</v>
      </c>
      <c r="O113" s="372">
        <f>N113*100/M113</f>
        <v>10.345942450695118</v>
      </c>
      <c r="P113" s="369">
        <f t="shared" si="5"/>
        <v>8784</v>
      </c>
      <c r="Q113" s="369">
        <f t="shared" si="5"/>
        <v>970</v>
      </c>
      <c r="R113" s="372">
        <f>Q113*100/P113</f>
        <v>11.04280510018215</v>
      </c>
    </row>
    <row r="127" spans="2:18" x14ac:dyDescent="0.15">
      <c r="F127" s="288">
        <v>2014</v>
      </c>
    </row>
    <row r="128" spans="2:18" x14ac:dyDescent="0.15">
      <c r="F128" s="1170">
        <v>2963918</v>
      </c>
      <c r="G128" s="288">
        <v>63175</v>
      </c>
    </row>
    <row r="129" spans="6:7" x14ac:dyDescent="0.15">
      <c r="F129" s="288">
        <v>1000</v>
      </c>
      <c r="G129" s="288">
        <f>F129*G128/F128</f>
        <v>21.314692241823153</v>
      </c>
    </row>
  </sheetData>
  <mergeCells count="14">
    <mergeCell ref="G107:I107"/>
    <mergeCell ref="J107:L107"/>
    <mergeCell ref="M107:O107"/>
    <mergeCell ref="M93:R93"/>
    <mergeCell ref="D107:F107"/>
    <mergeCell ref="P107:R107"/>
    <mergeCell ref="K94:K97"/>
    <mergeCell ref="K100:K103"/>
    <mergeCell ref="F5:J5"/>
    <mergeCell ref="L5:P5"/>
    <mergeCell ref="G54:H54"/>
    <mergeCell ref="V67:AA67"/>
    <mergeCell ref="D89:D90"/>
    <mergeCell ref="M85:R8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I49"/>
  <sheetViews>
    <sheetView workbookViewId="0">
      <selection activeCell="I5" sqref="I5"/>
    </sheetView>
  </sheetViews>
  <sheetFormatPr baseColWidth="10" defaultColWidth="8.83203125" defaultRowHeight="16" x14ac:dyDescent="0.2"/>
  <cols>
    <col min="1" max="1" width="8.83203125" style="1182"/>
    <col min="2" max="2" width="50.5" style="1182" customWidth="1"/>
    <col min="3" max="5" width="9.33203125" style="1182" bestFit="1" customWidth="1"/>
    <col min="6" max="6" width="11.83203125" style="1182" bestFit="1" customWidth="1"/>
    <col min="7" max="7" width="9.33203125" style="1182" bestFit="1" customWidth="1"/>
    <col min="8" max="8" width="12" style="1182" bestFit="1" customWidth="1"/>
    <col min="9" max="9" width="19.1640625" style="1182" customWidth="1"/>
    <col min="10" max="16384" width="8.83203125" style="1182"/>
  </cols>
  <sheetData>
    <row r="5" spans="2:9" s="1178" customFormat="1" x14ac:dyDescent="0.2">
      <c r="B5" s="1175" t="s">
        <v>265</v>
      </c>
      <c r="C5" s="1176">
        <v>56</v>
      </c>
      <c r="D5" s="1175"/>
      <c r="E5" s="1175"/>
      <c r="F5" s="1175"/>
      <c r="G5" s="1175"/>
      <c r="H5" s="1184">
        <f>H9+H14</f>
        <v>1261473</v>
      </c>
      <c r="I5" s="1177">
        <v>1283913</v>
      </c>
    </row>
    <row r="6" spans="2:9" ht="48" x14ac:dyDescent="0.2">
      <c r="B6" s="1183" t="s">
        <v>1093</v>
      </c>
      <c r="C6" s="1180">
        <v>56</v>
      </c>
      <c r="D6" s="1180">
        <v>1</v>
      </c>
      <c r="E6" s="1180">
        <v>13</v>
      </c>
      <c r="F6" s="1180">
        <v>5240500</v>
      </c>
      <c r="G6" s="1179"/>
      <c r="H6" s="1185">
        <v>90</v>
      </c>
      <c r="I6" s="1182">
        <f>I5-H6-H7-H8</f>
        <v>1261693</v>
      </c>
    </row>
    <row r="7" spans="2:9" ht="48" x14ac:dyDescent="0.2">
      <c r="B7" s="1183" t="s">
        <v>1095</v>
      </c>
      <c r="C7" s="1180">
        <v>56</v>
      </c>
      <c r="D7" s="1180">
        <v>1</v>
      </c>
      <c r="E7" s="1180">
        <v>13</v>
      </c>
      <c r="F7" s="1180">
        <v>5240600</v>
      </c>
      <c r="G7" s="1179"/>
      <c r="H7" s="1185">
        <v>270</v>
      </c>
    </row>
    <row r="8" spans="2:9" ht="80" x14ac:dyDescent="0.2">
      <c r="B8" s="1183" t="s">
        <v>1098</v>
      </c>
      <c r="C8" s="1180">
        <v>56</v>
      </c>
      <c r="D8" s="1180">
        <v>3</v>
      </c>
      <c r="E8" s="1180">
        <v>10</v>
      </c>
      <c r="F8" s="1180">
        <v>5220800</v>
      </c>
      <c r="G8" s="1179"/>
      <c r="H8" s="1185">
        <v>21860</v>
      </c>
    </row>
    <row r="9" spans="2:9" x14ac:dyDescent="0.2">
      <c r="B9" s="1179" t="s">
        <v>761</v>
      </c>
      <c r="C9" s="1180">
        <v>56</v>
      </c>
      <c r="D9" s="1180">
        <v>7</v>
      </c>
      <c r="E9" s="1179"/>
      <c r="F9" s="1179"/>
      <c r="G9" s="1179"/>
      <c r="H9" s="1185">
        <f>H10+H11+H12+H13</f>
        <v>175384.81999999998</v>
      </c>
      <c r="I9" s="1181">
        <v>175384.82</v>
      </c>
    </row>
    <row r="10" spans="2:9" ht="32" x14ac:dyDescent="0.2">
      <c r="B10" s="1179" t="s">
        <v>770</v>
      </c>
      <c r="C10" s="1180">
        <v>56</v>
      </c>
      <c r="D10" s="1180">
        <v>7</v>
      </c>
      <c r="E10" s="1180">
        <v>2</v>
      </c>
      <c r="F10" s="1180">
        <v>4239902</v>
      </c>
      <c r="G10" s="1179"/>
      <c r="H10" s="1185">
        <v>43271.9</v>
      </c>
      <c r="I10" s="1182">
        <f>'Роспись 2014 (2)'!I34-'БЮДЖЕТ 2014'!H10</f>
        <v>350</v>
      </c>
    </row>
    <row r="11" spans="2:9" ht="64" x14ac:dyDescent="0.2">
      <c r="B11" s="1179" t="s">
        <v>1101</v>
      </c>
      <c r="C11" s="1180">
        <v>56</v>
      </c>
      <c r="D11" s="1180">
        <v>7</v>
      </c>
      <c r="E11" s="1180">
        <v>4</v>
      </c>
      <c r="F11" s="1180">
        <v>4279902</v>
      </c>
      <c r="G11" s="1179"/>
      <c r="H11" s="1185">
        <v>124974.62</v>
      </c>
    </row>
    <row r="12" spans="2:9" ht="64" x14ac:dyDescent="0.2">
      <c r="B12" s="1179" t="s">
        <v>774</v>
      </c>
      <c r="C12" s="1180">
        <v>56</v>
      </c>
      <c r="D12" s="1180">
        <v>7</v>
      </c>
      <c r="E12" s="1180">
        <v>5</v>
      </c>
      <c r="F12" s="1180">
        <v>4299901</v>
      </c>
      <c r="G12" s="1179"/>
      <c r="H12" s="1185">
        <v>6602.3</v>
      </c>
    </row>
    <row r="13" spans="2:9" x14ac:dyDescent="0.2">
      <c r="B13" s="1179" t="s">
        <v>1103</v>
      </c>
      <c r="C13" s="1180">
        <v>56</v>
      </c>
      <c r="D13" s="1180">
        <v>7</v>
      </c>
      <c r="E13" s="1180">
        <v>9</v>
      </c>
      <c r="F13" s="1180">
        <v>4360400</v>
      </c>
      <c r="G13" s="1179"/>
      <c r="H13" s="1185">
        <v>536</v>
      </c>
    </row>
    <row r="14" spans="2:9" s="1178" customFormat="1" x14ac:dyDescent="0.2">
      <c r="B14" s="1175" t="s">
        <v>1104</v>
      </c>
      <c r="C14" s="1176">
        <v>56</v>
      </c>
      <c r="D14" s="1176">
        <v>8</v>
      </c>
      <c r="E14" s="1175"/>
      <c r="F14" s="1175"/>
      <c r="G14" s="1175"/>
      <c r="H14" s="1184">
        <v>1086088.18</v>
      </c>
      <c r="I14" s="1177">
        <v>1086088.18</v>
      </c>
    </row>
    <row r="15" spans="2:9" s="1178" customFormat="1" x14ac:dyDescent="0.2">
      <c r="B15" s="1175" t="s">
        <v>1105</v>
      </c>
      <c r="C15" s="1176">
        <v>56</v>
      </c>
      <c r="D15" s="1176">
        <v>8</v>
      </c>
      <c r="E15" s="1176">
        <v>1</v>
      </c>
      <c r="F15" s="1175"/>
      <c r="G15" s="1175"/>
      <c r="H15" s="1184">
        <f>H16+H17+H18+H19+H20+H21+H22+H23+H24+H25</f>
        <v>1053532.3799999999</v>
      </c>
      <c r="I15" s="1177">
        <v>1053532.3799999999</v>
      </c>
    </row>
    <row r="16" spans="2:9" ht="112" x14ac:dyDescent="0.2">
      <c r="B16" s="1183" t="s">
        <v>1106</v>
      </c>
      <c r="C16" s="1180">
        <v>56</v>
      </c>
      <c r="D16" s="1180">
        <v>8</v>
      </c>
      <c r="E16" s="1180">
        <v>1</v>
      </c>
      <c r="F16" s="1180">
        <v>1125151</v>
      </c>
      <c r="G16" s="1179"/>
      <c r="H16" s="1185">
        <v>100</v>
      </c>
    </row>
    <row r="17" spans="2:9" x14ac:dyDescent="0.2">
      <c r="B17" s="1179" t="s">
        <v>1107</v>
      </c>
      <c r="C17" s="1180">
        <v>56</v>
      </c>
      <c r="D17" s="1180">
        <v>8</v>
      </c>
      <c r="E17" s="1180">
        <v>1</v>
      </c>
      <c r="F17" s="1180">
        <v>4400100</v>
      </c>
      <c r="G17" s="1179"/>
      <c r="H17" s="1185">
        <v>17685.400000000001</v>
      </c>
    </row>
    <row r="18" spans="2:9" x14ac:dyDescent="0.2">
      <c r="B18" s="1179" t="s">
        <v>1108</v>
      </c>
      <c r="C18" s="1180">
        <v>56</v>
      </c>
      <c r="D18" s="1180">
        <v>8</v>
      </c>
      <c r="E18" s="1180">
        <v>1</v>
      </c>
      <c r="F18" s="1180">
        <v>4409900</v>
      </c>
      <c r="G18" s="1179"/>
      <c r="H18" s="1185">
        <v>44735.6</v>
      </c>
    </row>
    <row r="19" spans="2:9" ht="80" x14ac:dyDescent="0.2">
      <c r="B19" s="1179" t="s">
        <v>788</v>
      </c>
      <c r="C19" s="1180">
        <v>56</v>
      </c>
      <c r="D19" s="1180">
        <v>8</v>
      </c>
      <c r="E19" s="1180">
        <v>1</v>
      </c>
      <c r="F19" s="1180">
        <v>4409901</v>
      </c>
      <c r="G19" s="1179"/>
      <c r="H19" s="1185">
        <v>65480.3</v>
      </c>
    </row>
    <row r="20" spans="2:9" ht="32" x14ac:dyDescent="0.2">
      <c r="B20" s="1179" t="s">
        <v>789</v>
      </c>
      <c r="C20" s="1180">
        <v>56</v>
      </c>
      <c r="D20" s="1180">
        <v>8</v>
      </c>
      <c r="E20" s="1180">
        <v>1</v>
      </c>
      <c r="F20" s="1180">
        <v>4409902</v>
      </c>
      <c r="G20" s="1179"/>
      <c r="H20" s="1185">
        <v>38660.1</v>
      </c>
    </row>
    <row r="21" spans="2:9" ht="32" x14ac:dyDescent="0.2">
      <c r="B21" s="1179" t="s">
        <v>792</v>
      </c>
      <c r="C21" s="1180">
        <v>56</v>
      </c>
      <c r="D21" s="1180">
        <v>8</v>
      </c>
      <c r="E21" s="1180">
        <v>1</v>
      </c>
      <c r="F21" s="1180">
        <v>4419900</v>
      </c>
      <c r="G21" s="1179"/>
      <c r="H21" s="1185">
        <v>124372.2</v>
      </c>
    </row>
    <row r="22" spans="2:9" ht="48" x14ac:dyDescent="0.2">
      <c r="B22" s="1179" t="s">
        <v>794</v>
      </c>
      <c r="C22" s="1180">
        <v>56</v>
      </c>
      <c r="D22" s="1180">
        <v>8</v>
      </c>
      <c r="E22" s="1180">
        <v>1</v>
      </c>
      <c r="F22" s="1180">
        <v>4429900</v>
      </c>
      <c r="G22" s="1179"/>
      <c r="H22" s="1185">
        <v>80776.28</v>
      </c>
    </row>
    <row r="23" spans="2:9" ht="48" x14ac:dyDescent="0.2">
      <c r="B23" s="1179" t="s">
        <v>796</v>
      </c>
      <c r="C23" s="1180">
        <v>56</v>
      </c>
      <c r="D23" s="1180">
        <v>8</v>
      </c>
      <c r="E23" s="1180">
        <v>1</v>
      </c>
      <c r="F23" s="1180">
        <v>4439900</v>
      </c>
      <c r="G23" s="1179"/>
      <c r="H23" s="1185">
        <v>632625</v>
      </c>
    </row>
    <row r="24" spans="2:9" ht="32" x14ac:dyDescent="0.2">
      <c r="B24" s="1183" t="s">
        <v>1109</v>
      </c>
      <c r="C24" s="1180">
        <v>56</v>
      </c>
      <c r="D24" s="1180">
        <v>8</v>
      </c>
      <c r="E24" s="1180">
        <v>1</v>
      </c>
      <c r="F24" s="1180">
        <v>5221400</v>
      </c>
      <c r="G24" s="1179"/>
      <c r="H24" s="1185">
        <v>9097.5</v>
      </c>
      <c r="I24" s="1182" t="s">
        <v>1121</v>
      </c>
    </row>
    <row r="25" spans="2:9" ht="48" x14ac:dyDescent="0.2">
      <c r="B25" s="1183" t="s">
        <v>1111</v>
      </c>
      <c r="C25" s="1180">
        <v>56</v>
      </c>
      <c r="D25" s="1180">
        <v>8</v>
      </c>
      <c r="E25" s="1180">
        <v>1</v>
      </c>
      <c r="F25" s="1180">
        <v>5241100</v>
      </c>
      <c r="G25" s="1179"/>
      <c r="H25" s="1185">
        <v>40000</v>
      </c>
    </row>
    <row r="26" spans="2:9" x14ac:dyDescent="0.2">
      <c r="B26" s="1179" t="s">
        <v>1112</v>
      </c>
      <c r="C26" s="1180">
        <v>56</v>
      </c>
      <c r="D26" s="1180">
        <v>8</v>
      </c>
      <c r="E26" s="1180">
        <v>4</v>
      </c>
      <c r="F26" s="1179"/>
      <c r="G26" s="1179"/>
      <c r="H26" s="1185">
        <v>32555.8</v>
      </c>
    </row>
    <row r="27" spans="2:9" x14ac:dyDescent="0.2">
      <c r="B27" s="1179" t="s">
        <v>1113</v>
      </c>
      <c r="C27" s="1180">
        <v>56</v>
      </c>
      <c r="D27" s="1180">
        <v>8</v>
      </c>
      <c r="E27" s="1180">
        <v>4</v>
      </c>
      <c r="F27" s="1180">
        <v>20400</v>
      </c>
      <c r="G27" s="1179"/>
      <c r="H27" s="1185">
        <v>28468.3</v>
      </c>
    </row>
    <row r="28" spans="2:9" ht="112" x14ac:dyDescent="0.2">
      <c r="B28" s="1183" t="s">
        <v>1115</v>
      </c>
      <c r="C28" s="1180">
        <v>56</v>
      </c>
      <c r="D28" s="1180">
        <v>8</v>
      </c>
      <c r="E28" s="1180">
        <v>4</v>
      </c>
      <c r="F28" s="1180">
        <v>3315950</v>
      </c>
      <c r="G28" s="1179"/>
      <c r="H28" s="1185">
        <v>4087.5</v>
      </c>
    </row>
    <row r="29" spans="2:9" ht="64" x14ac:dyDescent="0.2">
      <c r="B29" s="1179" t="s">
        <v>1119</v>
      </c>
      <c r="C29" s="1180">
        <v>56</v>
      </c>
      <c r="D29" s="1180">
        <v>10</v>
      </c>
      <c r="E29" s="1179"/>
      <c r="F29" s="1179"/>
      <c r="G29" s="1179"/>
      <c r="H29" s="1185">
        <v>220</v>
      </c>
    </row>
    <row r="31" spans="2:9" s="1178" customFormat="1" x14ac:dyDescent="0.2">
      <c r="B31" s="1175" t="s">
        <v>265</v>
      </c>
      <c r="C31" s="1176">
        <v>56</v>
      </c>
      <c r="D31" s="1175"/>
      <c r="E31" s="1175"/>
      <c r="F31" s="1175"/>
      <c r="G31" s="1175"/>
      <c r="H31" s="1177">
        <v>943187.7</v>
      </c>
      <c r="I31" s="1177">
        <v>991494.2</v>
      </c>
    </row>
    <row r="32" spans="2:9" ht="32" x14ac:dyDescent="0.2">
      <c r="B32" s="1179" t="s">
        <v>770</v>
      </c>
      <c r="C32" s="1180">
        <v>56</v>
      </c>
      <c r="D32" s="1180">
        <v>7</v>
      </c>
      <c r="E32" s="1180">
        <v>2</v>
      </c>
      <c r="F32" s="1180">
        <v>4239902</v>
      </c>
      <c r="G32" s="1179"/>
      <c r="H32" s="1181">
        <v>42819.4</v>
      </c>
      <c r="I32" s="1181">
        <v>53374</v>
      </c>
    </row>
    <row r="33" spans="2:9" ht="64" x14ac:dyDescent="0.2">
      <c r="B33" s="1179" t="s">
        <v>1101</v>
      </c>
      <c r="C33" s="1180">
        <v>56</v>
      </c>
      <c r="D33" s="1180">
        <v>7</v>
      </c>
      <c r="E33" s="1180">
        <v>4</v>
      </c>
      <c r="F33" s="1180">
        <v>4279902</v>
      </c>
      <c r="G33" s="1179"/>
      <c r="H33" s="1181">
        <v>118551.1</v>
      </c>
      <c r="I33" s="1181">
        <v>159323.20000000001</v>
      </c>
    </row>
    <row r="34" spans="2:9" ht="64" x14ac:dyDescent="0.2">
      <c r="B34" s="1179" t="s">
        <v>774</v>
      </c>
      <c r="C34" s="1180">
        <v>56</v>
      </c>
      <c r="D34" s="1180">
        <v>7</v>
      </c>
      <c r="E34" s="1180">
        <v>5</v>
      </c>
      <c r="F34" s="1180">
        <v>4299901</v>
      </c>
      <c r="G34" s="1179"/>
      <c r="H34" s="1181">
        <v>2322</v>
      </c>
      <c r="I34" s="1181">
        <v>4301.8</v>
      </c>
    </row>
    <row r="35" spans="2:9" x14ac:dyDescent="0.2">
      <c r="B35" s="1179" t="s">
        <v>1104</v>
      </c>
      <c r="C35" s="1180">
        <v>56</v>
      </c>
      <c r="D35" s="1180">
        <v>8</v>
      </c>
      <c r="E35" s="1179"/>
      <c r="F35" s="1179"/>
      <c r="G35" s="1179"/>
      <c r="H35" s="1181">
        <v>779275.2</v>
      </c>
      <c r="I35" s="1181">
        <v>774275.2</v>
      </c>
    </row>
    <row r="36" spans="2:9" x14ac:dyDescent="0.2">
      <c r="B36" s="1179" t="s">
        <v>1105</v>
      </c>
      <c r="C36" s="1180">
        <v>56</v>
      </c>
      <c r="D36" s="1180">
        <v>8</v>
      </c>
      <c r="E36" s="1180">
        <v>1</v>
      </c>
      <c r="F36" s="1179"/>
      <c r="G36" s="1179"/>
      <c r="H36" s="1181">
        <v>751806.2</v>
      </c>
      <c r="I36" s="1181">
        <v>746806.2</v>
      </c>
    </row>
    <row r="37" spans="2:9" ht="96" x14ac:dyDescent="0.2">
      <c r="B37" s="1183" t="s">
        <v>1120</v>
      </c>
      <c r="C37" s="1180">
        <v>56</v>
      </c>
      <c r="D37" s="1180">
        <v>8</v>
      </c>
      <c r="E37" s="1180">
        <v>1</v>
      </c>
      <c r="F37" s="1180">
        <v>3315903</v>
      </c>
      <c r="G37" s="1179"/>
      <c r="H37" s="1181">
        <v>4087.5</v>
      </c>
      <c r="I37" s="1181">
        <v>4087.5</v>
      </c>
    </row>
    <row r="38" spans="2:9" x14ac:dyDescent="0.2">
      <c r="B38" s="1179" t="s">
        <v>1107</v>
      </c>
      <c r="C38" s="1180">
        <v>56</v>
      </c>
      <c r="D38" s="1180">
        <v>8</v>
      </c>
      <c r="E38" s="1180">
        <v>1</v>
      </c>
      <c r="F38" s="1180">
        <v>4400100</v>
      </c>
      <c r="G38" s="1179"/>
      <c r="H38" s="1181">
        <v>26524</v>
      </c>
      <c r="I38" s="1181">
        <v>26524</v>
      </c>
    </row>
    <row r="39" spans="2:9" x14ac:dyDescent="0.2">
      <c r="B39" s="1179" t="s">
        <v>1108</v>
      </c>
      <c r="C39" s="1180">
        <v>56</v>
      </c>
      <c r="D39" s="1180">
        <v>8</v>
      </c>
      <c r="E39" s="1180">
        <v>1</v>
      </c>
      <c r="F39" s="1180">
        <v>4409900</v>
      </c>
      <c r="G39" s="1179"/>
      <c r="H39" s="1181">
        <v>12965.6</v>
      </c>
      <c r="I39" s="1181">
        <v>12965.6</v>
      </c>
    </row>
    <row r="40" spans="2:9" ht="80" x14ac:dyDescent="0.2">
      <c r="B40" s="1179" t="s">
        <v>788</v>
      </c>
      <c r="C40" s="1180">
        <v>56</v>
      </c>
      <c r="D40" s="1180">
        <v>8</v>
      </c>
      <c r="E40" s="1180">
        <v>1</v>
      </c>
      <c r="F40" s="1180">
        <v>4409901</v>
      </c>
      <c r="G40" s="1179"/>
      <c r="H40" s="1181">
        <v>46760.7</v>
      </c>
      <c r="I40" s="1181">
        <v>41760.699999999997</v>
      </c>
    </row>
    <row r="41" spans="2:9" ht="32" x14ac:dyDescent="0.2">
      <c r="B41" s="1179" t="s">
        <v>789</v>
      </c>
      <c r="C41" s="1180">
        <v>56</v>
      </c>
      <c r="D41" s="1180">
        <v>8</v>
      </c>
      <c r="E41" s="1180">
        <v>1</v>
      </c>
      <c r="F41" s="1180">
        <v>4409902</v>
      </c>
      <c r="G41" s="1179"/>
      <c r="H41" s="1181">
        <v>1555.1</v>
      </c>
      <c r="I41" s="1181">
        <v>1555.1</v>
      </c>
    </row>
    <row r="42" spans="2:9" ht="32" x14ac:dyDescent="0.2">
      <c r="B42" s="1179" t="s">
        <v>792</v>
      </c>
      <c r="C42" s="1180">
        <v>56</v>
      </c>
      <c r="D42" s="1180">
        <v>8</v>
      </c>
      <c r="E42" s="1180">
        <v>1</v>
      </c>
      <c r="F42" s="1180">
        <v>4419900</v>
      </c>
      <c r="G42" s="1179"/>
      <c r="H42" s="1181">
        <v>90428.5</v>
      </c>
      <c r="I42" s="1181">
        <v>90428.5</v>
      </c>
    </row>
    <row r="43" spans="2:9" ht="48" x14ac:dyDescent="0.2">
      <c r="B43" s="1179" t="s">
        <v>794</v>
      </c>
      <c r="C43" s="1180">
        <v>56</v>
      </c>
      <c r="D43" s="1180">
        <v>8</v>
      </c>
      <c r="E43" s="1180">
        <v>1</v>
      </c>
      <c r="F43" s="1180">
        <v>4429900</v>
      </c>
      <c r="G43" s="1179"/>
      <c r="H43" s="1181">
        <v>56912.1</v>
      </c>
      <c r="I43" s="1181">
        <v>56912.1</v>
      </c>
    </row>
    <row r="44" spans="2:9" ht="48" x14ac:dyDescent="0.2">
      <c r="B44" s="1179" t="s">
        <v>796</v>
      </c>
      <c r="C44" s="1180">
        <v>56</v>
      </c>
      <c r="D44" s="1180">
        <v>8</v>
      </c>
      <c r="E44" s="1180">
        <v>1</v>
      </c>
      <c r="F44" s="1180">
        <v>4439900</v>
      </c>
      <c r="G44" s="1179"/>
      <c r="H44" s="1181">
        <v>503475.20000000001</v>
      </c>
      <c r="I44" s="1181">
        <v>503475.20000000001</v>
      </c>
    </row>
    <row r="45" spans="2:9" ht="32" x14ac:dyDescent="0.2">
      <c r="B45" s="1179" t="s">
        <v>1110</v>
      </c>
      <c r="C45" s="1180">
        <v>56</v>
      </c>
      <c r="D45" s="1180">
        <v>8</v>
      </c>
      <c r="E45" s="1180">
        <v>1</v>
      </c>
      <c r="F45" s="1180">
        <v>5221441</v>
      </c>
      <c r="G45" s="1179"/>
      <c r="H45" s="1181">
        <v>9097.5</v>
      </c>
      <c r="I45" s="1181">
        <v>9097.5</v>
      </c>
    </row>
    <row r="46" spans="2:9" x14ac:dyDescent="0.2">
      <c r="B46" s="1179" t="s">
        <v>1113</v>
      </c>
      <c r="C46" s="1180">
        <v>56</v>
      </c>
      <c r="D46" s="1180">
        <v>8</v>
      </c>
      <c r="E46" s="1180">
        <v>4</v>
      </c>
      <c r="F46" s="1180">
        <v>20400</v>
      </c>
      <c r="G46" s="1179"/>
      <c r="H46" s="1181">
        <v>27469</v>
      </c>
      <c r="I46" s="1181">
        <v>27469</v>
      </c>
    </row>
    <row r="47" spans="2:9" ht="32" x14ac:dyDescent="0.2">
      <c r="B47" s="1179" t="s">
        <v>1099</v>
      </c>
      <c r="C47" s="1180">
        <v>56</v>
      </c>
      <c r="D47" s="1180">
        <v>8</v>
      </c>
      <c r="E47" s="1180">
        <v>4</v>
      </c>
      <c r="F47" s="1180">
        <v>20400</v>
      </c>
      <c r="G47" s="1180">
        <v>200</v>
      </c>
      <c r="H47" s="1181">
        <v>2013</v>
      </c>
      <c r="I47" s="1181">
        <v>2013</v>
      </c>
    </row>
    <row r="48" spans="2:9" x14ac:dyDescent="0.2">
      <c r="B48" s="1179" t="s">
        <v>1114</v>
      </c>
      <c r="C48" s="1180">
        <v>56</v>
      </c>
      <c r="D48" s="1180">
        <v>8</v>
      </c>
      <c r="E48" s="1180">
        <v>4</v>
      </c>
      <c r="F48" s="1180">
        <v>20400</v>
      </c>
      <c r="G48" s="1180">
        <v>800</v>
      </c>
      <c r="H48" s="1181">
        <v>657</v>
      </c>
      <c r="I48" s="1181">
        <v>657</v>
      </c>
    </row>
    <row r="49" spans="2:9" x14ac:dyDescent="0.2">
      <c r="B49" s="1179" t="s">
        <v>1116</v>
      </c>
      <c r="C49" s="1180">
        <v>56</v>
      </c>
      <c r="D49" s="1180">
        <v>10</v>
      </c>
      <c r="E49" s="1179"/>
      <c r="F49" s="1179"/>
      <c r="G49" s="1179"/>
      <c r="H49" s="1181">
        <v>220</v>
      </c>
      <c r="I49" s="1181">
        <v>220</v>
      </c>
    </row>
  </sheetData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82"/>
  <sheetViews>
    <sheetView workbookViewId="0">
      <selection activeCell="R20" sqref="R20"/>
    </sheetView>
  </sheetViews>
  <sheetFormatPr baseColWidth="10" defaultColWidth="8.83203125" defaultRowHeight="13" x14ac:dyDescent="0.15"/>
  <cols>
    <col min="2" max="2" width="39.5" customWidth="1"/>
    <col min="9" max="9" width="14.33203125" customWidth="1"/>
  </cols>
  <sheetData>
    <row r="2" spans="2:10" ht="15" x14ac:dyDescent="0.2">
      <c r="B2" s="3025" t="s">
        <v>68</v>
      </c>
      <c r="C2" s="3025"/>
      <c r="D2" s="3025"/>
      <c r="E2" s="3025"/>
      <c r="F2" s="3025"/>
      <c r="G2" s="3025"/>
      <c r="H2" s="3025"/>
      <c r="I2" s="3025"/>
      <c r="J2" s="384"/>
    </row>
    <row r="3" spans="2:10" ht="15" x14ac:dyDescent="0.2">
      <c r="B3" s="3025" t="s">
        <v>1122</v>
      </c>
      <c r="C3" s="3025"/>
      <c r="D3" s="3025"/>
      <c r="E3" s="3025"/>
      <c r="F3" s="3025"/>
      <c r="G3" s="3025"/>
      <c r="H3" s="3025"/>
      <c r="I3" s="3025"/>
      <c r="J3" s="384"/>
    </row>
    <row r="4" spans="2:10" ht="15" x14ac:dyDescent="0.2">
      <c r="B4" s="3025" t="s">
        <v>69</v>
      </c>
      <c r="C4" s="3025"/>
      <c r="D4" s="3025"/>
      <c r="E4" s="3025"/>
      <c r="F4" s="3025"/>
      <c r="G4" s="3025"/>
      <c r="H4" s="3025"/>
      <c r="I4" s="3025"/>
      <c r="J4" s="384"/>
    </row>
    <row r="5" spans="2:10" ht="15" x14ac:dyDescent="0.2">
      <c r="B5" s="1022"/>
      <c r="C5" s="1022"/>
      <c r="D5" s="1022"/>
      <c r="E5" s="1022"/>
      <c r="F5" s="1022"/>
      <c r="G5" s="1022"/>
      <c r="H5" s="1022"/>
      <c r="I5" s="1187">
        <v>961924.21699999995</v>
      </c>
      <c r="J5" s="384"/>
    </row>
    <row r="6" spans="2:10" ht="15" x14ac:dyDescent="0.2">
      <c r="B6" s="3016" t="s">
        <v>70</v>
      </c>
      <c r="C6" s="3016" t="s">
        <v>71</v>
      </c>
      <c r="D6" s="3016" t="s">
        <v>72</v>
      </c>
      <c r="E6" s="3016" t="s">
        <v>73</v>
      </c>
      <c r="F6" s="3016" t="s">
        <v>74</v>
      </c>
      <c r="G6" s="3016" t="s">
        <v>75</v>
      </c>
      <c r="H6" s="3016" t="s">
        <v>76</v>
      </c>
      <c r="I6" s="3016" t="s">
        <v>57</v>
      </c>
      <c r="J6" s="384"/>
    </row>
    <row r="7" spans="2:10" ht="15" x14ac:dyDescent="0.2">
      <c r="B7" s="3016"/>
      <c r="C7" s="3016"/>
      <c r="D7" s="3016"/>
      <c r="E7" s="3016"/>
      <c r="F7" s="3016"/>
      <c r="G7" s="3016"/>
      <c r="H7" s="3016"/>
      <c r="I7" s="3016"/>
      <c r="J7" s="384"/>
    </row>
    <row r="8" spans="2:10" ht="15" x14ac:dyDescent="0.2">
      <c r="B8" s="1194" t="s">
        <v>265</v>
      </c>
      <c r="C8" s="1195">
        <v>56</v>
      </c>
      <c r="D8" s="1195"/>
      <c r="E8" s="1195"/>
      <c r="F8" s="1195"/>
      <c r="G8" s="1195"/>
      <c r="H8" s="1195"/>
      <c r="I8" s="1196">
        <v>1286910.358</v>
      </c>
      <c r="J8" s="384"/>
    </row>
    <row r="9" spans="2:10" ht="28" x14ac:dyDescent="0.2">
      <c r="B9" s="1197" t="s">
        <v>1096</v>
      </c>
      <c r="C9" s="1198">
        <v>56</v>
      </c>
      <c r="D9" s="1198">
        <v>3</v>
      </c>
      <c r="E9" s="1198"/>
      <c r="F9" s="1198"/>
      <c r="G9" s="1198"/>
      <c r="H9" s="1198"/>
      <c r="I9" s="1199">
        <v>21860</v>
      </c>
      <c r="J9" s="384"/>
    </row>
    <row r="10" spans="2:10" ht="15" x14ac:dyDescent="0.2">
      <c r="B10" s="1200" t="s">
        <v>1097</v>
      </c>
      <c r="C10" s="1201">
        <v>56</v>
      </c>
      <c r="D10" s="1201">
        <v>3</v>
      </c>
      <c r="E10" s="1201">
        <v>10</v>
      </c>
      <c r="F10" s="1201"/>
      <c r="G10" s="1201"/>
      <c r="H10" s="1201"/>
      <c r="I10" s="1202">
        <v>21860</v>
      </c>
      <c r="J10" s="384"/>
    </row>
    <row r="11" spans="2:10" ht="84" x14ac:dyDescent="0.2">
      <c r="B11" s="1200" t="s">
        <v>1123</v>
      </c>
      <c r="C11" s="1201">
        <v>56</v>
      </c>
      <c r="D11" s="1201">
        <v>3</v>
      </c>
      <c r="E11" s="1201">
        <v>10</v>
      </c>
      <c r="F11" s="1201">
        <v>5220800</v>
      </c>
      <c r="G11" s="1201"/>
      <c r="H11" s="1201"/>
      <c r="I11" s="1202">
        <v>21860</v>
      </c>
      <c r="J11" s="384"/>
    </row>
    <row r="12" spans="2:10" ht="42" x14ac:dyDescent="0.2">
      <c r="B12" s="1200" t="s">
        <v>1124</v>
      </c>
      <c r="C12" s="1201">
        <v>56</v>
      </c>
      <c r="D12" s="1201">
        <v>3</v>
      </c>
      <c r="E12" s="1201">
        <v>10</v>
      </c>
      <c r="F12" s="1201">
        <v>5220830</v>
      </c>
      <c r="G12" s="1201"/>
      <c r="H12" s="1201"/>
      <c r="I12" s="1202">
        <v>21860</v>
      </c>
      <c r="J12" s="384"/>
    </row>
    <row r="13" spans="2:10" ht="28" x14ac:dyDescent="0.2">
      <c r="B13" s="1200" t="s">
        <v>1099</v>
      </c>
      <c r="C13" s="1201">
        <v>56</v>
      </c>
      <c r="D13" s="1201">
        <v>3</v>
      </c>
      <c r="E13" s="1201">
        <v>10</v>
      </c>
      <c r="F13" s="1201">
        <v>5220830</v>
      </c>
      <c r="G13" s="1201">
        <v>244</v>
      </c>
      <c r="H13" s="1201"/>
      <c r="I13" s="1202">
        <v>21860</v>
      </c>
      <c r="J13" s="384"/>
    </row>
    <row r="14" spans="2:10" ht="15" x14ac:dyDescent="0.2">
      <c r="B14" s="1203" t="s">
        <v>761</v>
      </c>
      <c r="C14" s="1204">
        <v>56</v>
      </c>
      <c r="D14" s="1204">
        <v>7</v>
      </c>
      <c r="E14" s="1205"/>
      <c r="F14" s="1205"/>
      <c r="G14" s="1205"/>
      <c r="H14" s="1205"/>
      <c r="I14" s="1206">
        <v>175734.82</v>
      </c>
      <c r="J14" s="384"/>
    </row>
    <row r="15" spans="2:10" ht="15" x14ac:dyDescent="0.2">
      <c r="B15" s="1207" t="s">
        <v>1125</v>
      </c>
      <c r="C15" s="1208">
        <v>56</v>
      </c>
      <c r="D15" s="1208">
        <v>7</v>
      </c>
      <c r="E15" s="1208"/>
      <c r="F15" s="1208"/>
      <c r="G15" s="1208">
        <v>600</v>
      </c>
      <c r="H15" s="1209"/>
      <c r="I15" s="1210">
        <v>175198.82</v>
      </c>
      <c r="J15" s="384"/>
    </row>
    <row r="16" spans="2:10" ht="40" x14ac:dyDescent="0.2">
      <c r="B16" s="1211" t="s">
        <v>764</v>
      </c>
      <c r="C16" s="1212"/>
      <c r="D16" s="1212"/>
      <c r="E16" s="1213"/>
      <c r="F16" s="1213"/>
      <c r="G16" s="1213">
        <v>611</v>
      </c>
      <c r="H16" s="1213">
        <v>241</v>
      </c>
      <c r="I16" s="1214">
        <v>173548.82</v>
      </c>
      <c r="J16" s="384"/>
    </row>
    <row r="17" spans="2:10" ht="15" x14ac:dyDescent="0.2">
      <c r="B17" s="1215" t="s">
        <v>78</v>
      </c>
      <c r="C17" s="1209">
        <v>56</v>
      </c>
      <c r="D17" s="1209">
        <v>7</v>
      </c>
      <c r="E17" s="1209"/>
      <c r="F17" s="1209"/>
      <c r="G17" s="1209"/>
      <c r="H17" s="1209">
        <v>211</v>
      </c>
      <c r="I17" s="1210">
        <v>114827.9</v>
      </c>
      <c r="J17" s="384"/>
    </row>
    <row r="18" spans="2:10" ht="15" x14ac:dyDescent="0.2">
      <c r="B18" s="1215" t="s">
        <v>83</v>
      </c>
      <c r="C18" s="1209">
        <v>56</v>
      </c>
      <c r="D18" s="1209">
        <v>7</v>
      </c>
      <c r="E18" s="1209"/>
      <c r="F18" s="1209"/>
      <c r="G18" s="1209"/>
      <c r="H18" s="1209">
        <v>212</v>
      </c>
      <c r="I18" s="1216">
        <v>373.2</v>
      </c>
      <c r="J18" s="384"/>
    </row>
    <row r="19" spans="2:10" ht="15" x14ac:dyDescent="0.2">
      <c r="B19" s="1215" t="s">
        <v>84</v>
      </c>
      <c r="C19" s="1209">
        <v>56</v>
      </c>
      <c r="D19" s="1209">
        <v>7</v>
      </c>
      <c r="E19" s="1209"/>
      <c r="F19" s="1209"/>
      <c r="G19" s="1209"/>
      <c r="H19" s="1209">
        <v>213</v>
      </c>
      <c r="I19" s="1210">
        <v>34678</v>
      </c>
      <c r="J19" s="384"/>
    </row>
    <row r="20" spans="2:10" ht="15" x14ac:dyDescent="0.2">
      <c r="B20" s="1215" t="s">
        <v>85</v>
      </c>
      <c r="C20" s="1209">
        <v>56</v>
      </c>
      <c r="D20" s="1209">
        <v>7</v>
      </c>
      <c r="E20" s="1209"/>
      <c r="F20" s="1209"/>
      <c r="G20" s="1209"/>
      <c r="H20" s="1209">
        <v>221</v>
      </c>
      <c r="I20" s="1216">
        <v>146.19999999999999</v>
      </c>
      <c r="J20" s="384"/>
    </row>
    <row r="21" spans="2:10" ht="15" x14ac:dyDescent="0.2">
      <c r="B21" s="1215" t="s">
        <v>86</v>
      </c>
      <c r="C21" s="1209">
        <v>56</v>
      </c>
      <c r="D21" s="1209">
        <v>7</v>
      </c>
      <c r="E21" s="1209"/>
      <c r="F21" s="1209"/>
      <c r="G21" s="1209"/>
      <c r="H21" s="1209">
        <v>222</v>
      </c>
      <c r="I21" s="1216">
        <v>230</v>
      </c>
      <c r="J21" s="384"/>
    </row>
    <row r="22" spans="2:10" ht="15" x14ac:dyDescent="0.2">
      <c r="B22" s="1215" t="s">
        <v>87</v>
      </c>
      <c r="C22" s="1209">
        <v>56</v>
      </c>
      <c r="D22" s="1209">
        <v>7</v>
      </c>
      <c r="E22" s="1209"/>
      <c r="F22" s="1209"/>
      <c r="G22" s="1209"/>
      <c r="H22" s="1209">
        <v>223</v>
      </c>
      <c r="I22" s="1210">
        <v>2132.25</v>
      </c>
      <c r="J22" s="384"/>
    </row>
    <row r="23" spans="2:10" ht="15" x14ac:dyDescent="0.2">
      <c r="B23" s="1215" t="s">
        <v>111</v>
      </c>
      <c r="C23" s="1209">
        <v>56</v>
      </c>
      <c r="D23" s="1209">
        <v>7</v>
      </c>
      <c r="E23" s="1209"/>
      <c r="F23" s="1209"/>
      <c r="G23" s="1209"/>
      <c r="H23" s="1209">
        <v>224</v>
      </c>
      <c r="I23" s="1216">
        <v>156</v>
      </c>
      <c r="J23" s="384"/>
    </row>
    <row r="24" spans="2:10" ht="15" x14ac:dyDescent="0.2">
      <c r="B24" s="1215" t="s">
        <v>90</v>
      </c>
      <c r="C24" s="1209">
        <v>56</v>
      </c>
      <c r="D24" s="1209">
        <v>7</v>
      </c>
      <c r="E24" s="1209"/>
      <c r="F24" s="1209"/>
      <c r="G24" s="1209"/>
      <c r="H24" s="1209">
        <v>225</v>
      </c>
      <c r="I24" s="1210">
        <v>8565.4</v>
      </c>
      <c r="J24" s="384"/>
    </row>
    <row r="25" spans="2:10" ht="15" x14ac:dyDescent="0.2">
      <c r="B25" s="1215" t="s">
        <v>91</v>
      </c>
      <c r="C25" s="1209">
        <v>56</v>
      </c>
      <c r="D25" s="1209">
        <v>7</v>
      </c>
      <c r="E25" s="1209"/>
      <c r="F25" s="1209"/>
      <c r="G25" s="1209"/>
      <c r="H25" s="1209">
        <v>226</v>
      </c>
      <c r="I25" s="1210">
        <v>2133.3000000000002</v>
      </c>
      <c r="J25" s="384"/>
    </row>
    <row r="26" spans="2:10" ht="15" x14ac:dyDescent="0.2">
      <c r="B26" s="1215" t="s">
        <v>94</v>
      </c>
      <c r="C26" s="1209">
        <v>56</v>
      </c>
      <c r="D26" s="1209">
        <v>7</v>
      </c>
      <c r="E26" s="1209"/>
      <c r="F26" s="1209"/>
      <c r="G26" s="1209"/>
      <c r="H26" s="1209">
        <v>290</v>
      </c>
      <c r="I26" s="1210">
        <v>7727.4</v>
      </c>
      <c r="J26" s="384"/>
    </row>
    <row r="27" spans="2:10" ht="15" x14ac:dyDescent="0.2">
      <c r="B27" s="1215" t="s">
        <v>94</v>
      </c>
      <c r="C27" s="1209">
        <v>56</v>
      </c>
      <c r="D27" s="1209">
        <v>7</v>
      </c>
      <c r="E27" s="1209"/>
      <c r="F27" s="1209"/>
      <c r="G27" s="1209"/>
      <c r="H27" s="1209">
        <v>290</v>
      </c>
      <c r="I27" s="1216">
        <v>647.97</v>
      </c>
      <c r="J27" s="384"/>
    </row>
    <row r="28" spans="2:10" ht="15" x14ac:dyDescent="0.2">
      <c r="B28" s="1215" t="s">
        <v>96</v>
      </c>
      <c r="C28" s="1209">
        <v>56</v>
      </c>
      <c r="D28" s="1209">
        <v>7</v>
      </c>
      <c r="E28" s="1209"/>
      <c r="F28" s="1209"/>
      <c r="G28" s="1209"/>
      <c r="H28" s="1209">
        <v>310</v>
      </c>
      <c r="I28" s="1210">
        <v>1544.2</v>
      </c>
      <c r="J28" s="384"/>
    </row>
    <row r="29" spans="2:10" ht="15" x14ac:dyDescent="0.2">
      <c r="B29" s="1215" t="s">
        <v>97</v>
      </c>
      <c r="C29" s="1209">
        <v>56</v>
      </c>
      <c r="D29" s="1209">
        <v>7</v>
      </c>
      <c r="E29" s="1209"/>
      <c r="F29" s="1209"/>
      <c r="G29" s="1209"/>
      <c r="H29" s="1209">
        <v>340</v>
      </c>
      <c r="I29" s="1216">
        <v>387</v>
      </c>
      <c r="J29" s="384"/>
    </row>
    <row r="30" spans="2:10" ht="15" x14ac:dyDescent="0.2">
      <c r="B30" s="1211" t="s">
        <v>767</v>
      </c>
      <c r="C30" s="1213">
        <v>56</v>
      </c>
      <c r="D30" s="1213">
        <v>7</v>
      </c>
      <c r="E30" s="1213"/>
      <c r="F30" s="1213"/>
      <c r="G30" s="1213">
        <v>612</v>
      </c>
      <c r="H30" s="1213">
        <v>241</v>
      </c>
      <c r="I30" s="1214">
        <v>1650</v>
      </c>
      <c r="J30" s="384"/>
    </row>
    <row r="31" spans="2:10" ht="15" x14ac:dyDescent="0.2">
      <c r="B31" s="1217" t="s">
        <v>1126</v>
      </c>
      <c r="C31" s="1218">
        <v>56</v>
      </c>
      <c r="D31" s="1218">
        <v>7</v>
      </c>
      <c r="E31" s="1218">
        <v>2</v>
      </c>
      <c r="F31" s="1218"/>
      <c r="G31" s="1218"/>
      <c r="H31" s="1219"/>
      <c r="I31" s="1220">
        <v>43621.9</v>
      </c>
      <c r="J31" s="384"/>
    </row>
    <row r="32" spans="2:10" ht="15" x14ac:dyDescent="0.2">
      <c r="B32" s="1221" t="s">
        <v>769</v>
      </c>
      <c r="C32" s="1222">
        <v>56</v>
      </c>
      <c r="D32" s="1222">
        <v>7</v>
      </c>
      <c r="E32" s="1222">
        <v>2</v>
      </c>
      <c r="F32" s="1222">
        <v>4230000</v>
      </c>
      <c r="G32" s="1222"/>
      <c r="H32" s="1222"/>
      <c r="I32" s="1223">
        <v>43621.9</v>
      </c>
      <c r="J32" s="384"/>
    </row>
    <row r="33" spans="2:10" ht="27" x14ac:dyDescent="0.2">
      <c r="B33" s="1224" t="s">
        <v>770</v>
      </c>
      <c r="C33" s="1225">
        <v>56</v>
      </c>
      <c r="D33" s="1225">
        <v>7</v>
      </c>
      <c r="E33" s="1225">
        <v>2</v>
      </c>
      <c r="F33" s="1225">
        <v>4239902</v>
      </c>
      <c r="G33" s="1222"/>
      <c r="H33" s="1222"/>
      <c r="I33" s="1223">
        <v>43621.9</v>
      </c>
      <c r="J33" s="384"/>
    </row>
    <row r="34" spans="2:10" ht="15" x14ac:dyDescent="0.2">
      <c r="B34" s="1226" t="s">
        <v>1125</v>
      </c>
      <c r="C34" s="1227">
        <v>56</v>
      </c>
      <c r="D34" s="1227">
        <v>7</v>
      </c>
      <c r="E34" s="1227">
        <v>2</v>
      </c>
      <c r="F34" s="1227">
        <v>4239902</v>
      </c>
      <c r="G34" s="1227">
        <v>600</v>
      </c>
      <c r="H34" s="1228"/>
      <c r="I34" s="1229">
        <v>43621.9</v>
      </c>
      <c r="J34" s="384"/>
    </row>
    <row r="35" spans="2:10" ht="40" x14ac:dyDescent="0.2">
      <c r="B35" s="1230" t="s">
        <v>764</v>
      </c>
      <c r="C35" s="1231">
        <v>56</v>
      </c>
      <c r="D35" s="1231">
        <v>7</v>
      </c>
      <c r="E35" s="1231">
        <v>2</v>
      </c>
      <c r="F35" s="1231">
        <v>4239902</v>
      </c>
      <c r="G35" s="1231">
        <v>611</v>
      </c>
      <c r="H35" s="1231">
        <v>241</v>
      </c>
      <c r="I35" s="1232">
        <v>43171.9</v>
      </c>
      <c r="J35" s="384"/>
    </row>
    <row r="36" spans="2:10" ht="15" x14ac:dyDescent="0.2">
      <c r="B36" s="1233" t="s">
        <v>78</v>
      </c>
      <c r="C36" s="1234">
        <v>56</v>
      </c>
      <c r="D36" s="1234">
        <v>7</v>
      </c>
      <c r="E36" s="1234">
        <v>2</v>
      </c>
      <c r="F36" s="1234">
        <v>4239902</v>
      </c>
      <c r="G36" s="1234"/>
      <c r="H36" s="1234">
        <v>211</v>
      </c>
      <c r="I36" s="1235">
        <v>27079</v>
      </c>
      <c r="J36" s="384"/>
    </row>
    <row r="37" spans="2:10" ht="15" x14ac:dyDescent="0.2">
      <c r="B37" s="1233" t="s">
        <v>103</v>
      </c>
      <c r="C37" s="1234">
        <v>56</v>
      </c>
      <c r="D37" s="1234">
        <v>7</v>
      </c>
      <c r="E37" s="1234">
        <v>2</v>
      </c>
      <c r="F37" s="1234">
        <v>4239902</v>
      </c>
      <c r="G37" s="1234"/>
      <c r="H37" s="1234">
        <v>212</v>
      </c>
      <c r="I37" s="1236">
        <v>100.8</v>
      </c>
      <c r="J37" s="384"/>
    </row>
    <row r="38" spans="2:10" ht="15" x14ac:dyDescent="0.2">
      <c r="B38" s="1233" t="s">
        <v>84</v>
      </c>
      <c r="C38" s="1234">
        <v>56</v>
      </c>
      <c r="D38" s="1234">
        <v>7</v>
      </c>
      <c r="E38" s="1234">
        <v>2</v>
      </c>
      <c r="F38" s="1234">
        <v>4239902</v>
      </c>
      <c r="G38" s="1234"/>
      <c r="H38" s="1234">
        <v>213</v>
      </c>
      <c r="I38" s="1235">
        <v>8177.8</v>
      </c>
      <c r="J38" s="384"/>
    </row>
    <row r="39" spans="2:10" ht="15" x14ac:dyDescent="0.2">
      <c r="B39" s="1233" t="s">
        <v>85</v>
      </c>
      <c r="C39" s="1234">
        <v>56</v>
      </c>
      <c r="D39" s="1234">
        <v>7</v>
      </c>
      <c r="E39" s="1234">
        <v>2</v>
      </c>
      <c r="F39" s="1234">
        <v>4239902</v>
      </c>
      <c r="G39" s="1234"/>
      <c r="H39" s="1234">
        <v>221</v>
      </c>
      <c r="I39" s="1236">
        <v>28.2</v>
      </c>
      <c r="J39" s="384"/>
    </row>
    <row r="40" spans="2:10" ht="15" x14ac:dyDescent="0.2">
      <c r="B40" s="1233" t="s">
        <v>86</v>
      </c>
      <c r="C40" s="1234">
        <v>56</v>
      </c>
      <c r="D40" s="1234">
        <v>7</v>
      </c>
      <c r="E40" s="1234">
        <v>2</v>
      </c>
      <c r="F40" s="1234">
        <v>4239902</v>
      </c>
      <c r="G40" s="1234"/>
      <c r="H40" s="1234">
        <v>222</v>
      </c>
      <c r="I40" s="1236">
        <v>150</v>
      </c>
      <c r="J40" s="384"/>
    </row>
    <row r="41" spans="2:10" ht="15" x14ac:dyDescent="0.2">
      <c r="B41" s="1233" t="s">
        <v>87</v>
      </c>
      <c r="C41" s="1234">
        <v>56</v>
      </c>
      <c r="D41" s="1234">
        <v>7</v>
      </c>
      <c r="E41" s="1234">
        <v>2</v>
      </c>
      <c r="F41" s="1234">
        <v>4239902</v>
      </c>
      <c r="G41" s="1234"/>
      <c r="H41" s="1234">
        <v>223</v>
      </c>
      <c r="I41" s="1236">
        <v>830.3</v>
      </c>
      <c r="J41" s="384"/>
    </row>
    <row r="42" spans="2:10" ht="15" x14ac:dyDescent="0.2">
      <c r="B42" s="1233" t="s">
        <v>89</v>
      </c>
      <c r="C42" s="1234">
        <v>56</v>
      </c>
      <c r="D42" s="1234">
        <v>7</v>
      </c>
      <c r="E42" s="1234">
        <v>2</v>
      </c>
      <c r="F42" s="1234">
        <v>4239902</v>
      </c>
      <c r="G42" s="1234"/>
      <c r="H42" s="1234">
        <v>224</v>
      </c>
      <c r="I42" s="1236">
        <v>150</v>
      </c>
      <c r="J42" s="384"/>
    </row>
    <row r="43" spans="2:10" ht="15" x14ac:dyDescent="0.2">
      <c r="B43" s="1233" t="s">
        <v>90</v>
      </c>
      <c r="C43" s="1234">
        <v>56</v>
      </c>
      <c r="D43" s="1234">
        <v>7</v>
      </c>
      <c r="E43" s="1234">
        <v>2</v>
      </c>
      <c r="F43" s="1234">
        <v>4239902</v>
      </c>
      <c r="G43" s="1234"/>
      <c r="H43" s="1234">
        <v>225</v>
      </c>
      <c r="I43" s="1235">
        <v>3245</v>
      </c>
      <c r="J43" s="384"/>
    </row>
    <row r="44" spans="2:10" ht="15" x14ac:dyDescent="0.2">
      <c r="B44" s="1233" t="s">
        <v>91</v>
      </c>
      <c r="C44" s="1234">
        <v>56</v>
      </c>
      <c r="D44" s="1234">
        <v>7</v>
      </c>
      <c r="E44" s="1234">
        <v>2</v>
      </c>
      <c r="F44" s="1234">
        <v>4239902</v>
      </c>
      <c r="G44" s="1234"/>
      <c r="H44" s="1234">
        <v>226</v>
      </c>
      <c r="I44" s="1236">
        <v>905.9</v>
      </c>
      <c r="J44" s="384"/>
    </row>
    <row r="45" spans="2:10" ht="15" x14ac:dyDescent="0.2">
      <c r="B45" s="1233" t="s">
        <v>223</v>
      </c>
      <c r="C45" s="1234">
        <v>56</v>
      </c>
      <c r="D45" s="1234">
        <v>7</v>
      </c>
      <c r="E45" s="1234">
        <v>2</v>
      </c>
      <c r="F45" s="1234">
        <v>4239902</v>
      </c>
      <c r="G45" s="1234"/>
      <c r="H45" s="1234">
        <v>290</v>
      </c>
      <c r="I45" s="1235">
        <v>1910.9</v>
      </c>
      <c r="J45" s="384"/>
    </row>
    <row r="46" spans="2:10" ht="15" x14ac:dyDescent="0.2">
      <c r="B46" s="1233" t="s">
        <v>94</v>
      </c>
      <c r="C46" s="1234">
        <v>56</v>
      </c>
      <c r="D46" s="1234">
        <v>7</v>
      </c>
      <c r="E46" s="1234">
        <v>2</v>
      </c>
      <c r="F46" s="1234">
        <v>4239502</v>
      </c>
      <c r="G46" s="1234"/>
      <c r="H46" s="1234">
        <v>290</v>
      </c>
      <c r="I46" s="1236">
        <v>0</v>
      </c>
      <c r="J46" s="384"/>
    </row>
    <row r="47" spans="2:10" ht="15" x14ac:dyDescent="0.2">
      <c r="B47" s="1233" t="s">
        <v>104</v>
      </c>
      <c r="C47" s="1234">
        <v>56</v>
      </c>
      <c r="D47" s="1234">
        <v>7</v>
      </c>
      <c r="E47" s="1234">
        <v>2</v>
      </c>
      <c r="F47" s="1234">
        <v>4239902</v>
      </c>
      <c r="G47" s="1234"/>
      <c r="H47" s="1234">
        <v>310</v>
      </c>
      <c r="I47" s="1236">
        <v>475</v>
      </c>
      <c r="J47" s="384"/>
    </row>
    <row r="48" spans="2:10" ht="15" x14ac:dyDescent="0.2">
      <c r="B48" s="1233" t="s">
        <v>97</v>
      </c>
      <c r="C48" s="1234">
        <v>56</v>
      </c>
      <c r="D48" s="1234">
        <v>7</v>
      </c>
      <c r="E48" s="1234">
        <v>2</v>
      </c>
      <c r="F48" s="1234">
        <v>4239902</v>
      </c>
      <c r="G48" s="1234"/>
      <c r="H48" s="1234">
        <v>340</v>
      </c>
      <c r="I48" s="1236">
        <v>119</v>
      </c>
      <c r="J48" s="384"/>
    </row>
    <row r="49" spans="2:10" ht="15" x14ac:dyDescent="0.2">
      <c r="B49" s="1230" t="s">
        <v>767</v>
      </c>
      <c r="C49" s="1237">
        <v>56</v>
      </c>
      <c r="D49" s="1237">
        <v>7</v>
      </c>
      <c r="E49" s="1237">
        <v>2</v>
      </c>
      <c r="F49" s="1237">
        <v>4239902</v>
      </c>
      <c r="G49" s="1237">
        <v>612</v>
      </c>
      <c r="H49" s="1237">
        <v>241</v>
      </c>
      <c r="I49" s="1238">
        <v>450</v>
      </c>
      <c r="J49" s="384"/>
    </row>
    <row r="50" spans="2:10" ht="40" x14ac:dyDescent="0.2">
      <c r="B50" s="1239" t="s">
        <v>1127</v>
      </c>
      <c r="C50" s="1240">
        <v>56</v>
      </c>
      <c r="D50" s="1240">
        <v>7</v>
      </c>
      <c r="E50" s="1240">
        <v>2</v>
      </c>
      <c r="F50" s="1240">
        <v>4239902</v>
      </c>
      <c r="G50" s="1241">
        <v>600</v>
      </c>
      <c r="H50" s="1239"/>
      <c r="I50" s="1242">
        <v>10911.7</v>
      </c>
      <c r="J50" s="384"/>
    </row>
    <row r="51" spans="2:10" ht="40" x14ac:dyDescent="0.2">
      <c r="B51" s="1243" t="s">
        <v>764</v>
      </c>
      <c r="C51" s="1244">
        <v>56</v>
      </c>
      <c r="D51" s="1244">
        <v>7</v>
      </c>
      <c r="E51" s="1244">
        <v>2</v>
      </c>
      <c r="F51" s="1244">
        <v>4239902</v>
      </c>
      <c r="G51" s="1245">
        <v>611</v>
      </c>
      <c r="H51" s="1245">
        <v>241</v>
      </c>
      <c r="I51" s="1246">
        <v>10911.7</v>
      </c>
      <c r="J51" s="384"/>
    </row>
    <row r="52" spans="2:10" ht="15" x14ac:dyDescent="0.2">
      <c r="B52" s="1247" t="s">
        <v>78</v>
      </c>
      <c r="C52" s="1248">
        <v>56</v>
      </c>
      <c r="D52" s="1248">
        <v>7</v>
      </c>
      <c r="E52" s="1248">
        <v>2</v>
      </c>
      <c r="F52" s="1248">
        <v>4239902</v>
      </c>
      <c r="G52" s="1248"/>
      <c r="H52" s="1248">
        <v>211</v>
      </c>
      <c r="I52" s="1249">
        <v>5543</v>
      </c>
      <c r="J52" s="384"/>
    </row>
    <row r="53" spans="2:10" ht="15" x14ac:dyDescent="0.2">
      <c r="B53" s="1247" t="s">
        <v>103</v>
      </c>
      <c r="C53" s="1248">
        <v>56</v>
      </c>
      <c r="D53" s="1248">
        <v>7</v>
      </c>
      <c r="E53" s="1248">
        <v>2</v>
      </c>
      <c r="F53" s="1248">
        <v>4239902</v>
      </c>
      <c r="G53" s="1248"/>
      <c r="H53" s="1248">
        <v>212</v>
      </c>
      <c r="I53" s="1250">
        <v>24</v>
      </c>
      <c r="J53" s="384"/>
    </row>
    <row r="54" spans="2:10" ht="15" x14ac:dyDescent="0.2">
      <c r="B54" s="1247" t="s">
        <v>84</v>
      </c>
      <c r="C54" s="1248">
        <v>56</v>
      </c>
      <c r="D54" s="1248">
        <v>7</v>
      </c>
      <c r="E54" s="1248">
        <v>2</v>
      </c>
      <c r="F54" s="1248">
        <v>4239902</v>
      </c>
      <c r="G54" s="1248"/>
      <c r="H54" s="1248">
        <v>213</v>
      </c>
      <c r="I54" s="1249">
        <v>1674</v>
      </c>
      <c r="J54" s="384"/>
    </row>
    <row r="55" spans="2:10" ht="15" x14ac:dyDescent="0.2">
      <c r="B55" s="1247" t="s">
        <v>85</v>
      </c>
      <c r="C55" s="1248">
        <v>56</v>
      </c>
      <c r="D55" s="1248">
        <v>7</v>
      </c>
      <c r="E55" s="1248">
        <v>2</v>
      </c>
      <c r="F55" s="1248">
        <v>4239902</v>
      </c>
      <c r="G55" s="1248"/>
      <c r="H55" s="1248">
        <v>221</v>
      </c>
      <c r="I55" s="1250">
        <v>13.7</v>
      </c>
      <c r="J55" s="384"/>
    </row>
    <row r="56" spans="2:10" ht="15" x14ac:dyDescent="0.2">
      <c r="B56" s="1247" t="s">
        <v>86</v>
      </c>
      <c r="C56" s="1248">
        <v>56</v>
      </c>
      <c r="D56" s="1248">
        <v>7</v>
      </c>
      <c r="E56" s="1248">
        <v>2</v>
      </c>
      <c r="F56" s="1248">
        <v>4239902</v>
      </c>
      <c r="G56" s="1248"/>
      <c r="H56" s="1248">
        <v>222</v>
      </c>
      <c r="I56" s="1250">
        <v>0</v>
      </c>
      <c r="J56" s="384"/>
    </row>
    <row r="57" spans="2:10" ht="15" x14ac:dyDescent="0.2">
      <c r="B57" s="1247" t="s">
        <v>87</v>
      </c>
      <c r="C57" s="1248">
        <v>56</v>
      </c>
      <c r="D57" s="1248">
        <v>7</v>
      </c>
      <c r="E57" s="1248">
        <v>2</v>
      </c>
      <c r="F57" s="1248">
        <v>4239902</v>
      </c>
      <c r="G57" s="1248"/>
      <c r="H57" s="1248">
        <v>223</v>
      </c>
      <c r="I57" s="1250">
        <v>208.2</v>
      </c>
      <c r="J57" s="384"/>
    </row>
    <row r="58" spans="2:10" ht="15" x14ac:dyDescent="0.2">
      <c r="B58" s="1247" t="s">
        <v>89</v>
      </c>
      <c r="C58" s="1248">
        <v>56</v>
      </c>
      <c r="D58" s="1248">
        <v>7</v>
      </c>
      <c r="E58" s="1248">
        <v>2</v>
      </c>
      <c r="F58" s="1248">
        <v>4239902</v>
      </c>
      <c r="G58" s="1248"/>
      <c r="H58" s="1248">
        <v>224</v>
      </c>
      <c r="I58" s="1250">
        <v>0</v>
      </c>
      <c r="J58" s="384"/>
    </row>
    <row r="59" spans="2:10" ht="15" x14ac:dyDescent="0.2">
      <c r="B59" s="1247" t="s">
        <v>90</v>
      </c>
      <c r="C59" s="1248">
        <v>56</v>
      </c>
      <c r="D59" s="1248">
        <v>7</v>
      </c>
      <c r="E59" s="1248">
        <v>2</v>
      </c>
      <c r="F59" s="1248">
        <v>4239902</v>
      </c>
      <c r="G59" s="1248"/>
      <c r="H59" s="1248">
        <v>225</v>
      </c>
      <c r="I59" s="1249">
        <v>3070</v>
      </c>
      <c r="J59" s="384"/>
    </row>
    <row r="60" spans="2:10" ht="15" x14ac:dyDescent="0.2">
      <c r="B60" s="1247" t="s">
        <v>91</v>
      </c>
      <c r="C60" s="1248">
        <v>56</v>
      </c>
      <c r="D60" s="1248">
        <v>7</v>
      </c>
      <c r="E60" s="1248">
        <v>2</v>
      </c>
      <c r="F60" s="1248">
        <v>4239902</v>
      </c>
      <c r="G60" s="1248"/>
      <c r="H60" s="1248">
        <v>226</v>
      </c>
      <c r="I60" s="1250">
        <v>152</v>
      </c>
      <c r="J60" s="384"/>
    </row>
    <row r="61" spans="2:10" ht="15" x14ac:dyDescent="0.2">
      <c r="B61" s="1247" t="s">
        <v>220</v>
      </c>
      <c r="C61" s="1248">
        <v>56</v>
      </c>
      <c r="D61" s="1248">
        <v>7</v>
      </c>
      <c r="E61" s="1248">
        <v>2</v>
      </c>
      <c r="F61" s="1248">
        <v>4239902</v>
      </c>
      <c r="G61" s="1248"/>
      <c r="H61" s="1248">
        <v>290</v>
      </c>
      <c r="I61" s="1250">
        <v>146.80000000000001</v>
      </c>
      <c r="J61" s="384"/>
    </row>
    <row r="62" spans="2:10" ht="15" x14ac:dyDescent="0.2">
      <c r="B62" s="1247" t="s">
        <v>220</v>
      </c>
      <c r="C62" s="1248">
        <v>56</v>
      </c>
      <c r="D62" s="1248">
        <v>7</v>
      </c>
      <c r="E62" s="1248">
        <v>2</v>
      </c>
      <c r="F62" s="1248">
        <v>4239902</v>
      </c>
      <c r="G62" s="1248"/>
      <c r="H62" s="1248">
        <v>290</v>
      </c>
      <c r="I62" s="1250">
        <v>0</v>
      </c>
      <c r="J62" s="384"/>
    </row>
    <row r="63" spans="2:10" ht="15" x14ac:dyDescent="0.2">
      <c r="B63" s="1247" t="s">
        <v>104</v>
      </c>
      <c r="C63" s="1248">
        <v>56</v>
      </c>
      <c r="D63" s="1248">
        <v>7</v>
      </c>
      <c r="E63" s="1248">
        <v>2</v>
      </c>
      <c r="F63" s="1248">
        <v>4239902</v>
      </c>
      <c r="G63" s="1248"/>
      <c r="H63" s="1248">
        <v>310</v>
      </c>
      <c r="I63" s="1251">
        <v>80</v>
      </c>
      <c r="J63" s="384"/>
    </row>
    <row r="64" spans="2:10" ht="15" x14ac:dyDescent="0.2">
      <c r="B64" s="1247" t="s">
        <v>97</v>
      </c>
      <c r="C64" s="1248">
        <v>56</v>
      </c>
      <c r="D64" s="1248">
        <v>7</v>
      </c>
      <c r="E64" s="1248">
        <v>2</v>
      </c>
      <c r="F64" s="1248">
        <v>4239902</v>
      </c>
      <c r="G64" s="1248"/>
      <c r="H64" s="1248">
        <v>340</v>
      </c>
      <c r="I64" s="1250"/>
      <c r="J64" s="384"/>
    </row>
    <row r="65" spans="2:10" ht="15" x14ac:dyDescent="0.2">
      <c r="B65" s="1243" t="s">
        <v>767</v>
      </c>
      <c r="C65" s="1244">
        <v>56</v>
      </c>
      <c r="D65" s="1244">
        <v>7</v>
      </c>
      <c r="E65" s="1244">
        <v>2</v>
      </c>
      <c r="F65" s="1244">
        <v>4239902</v>
      </c>
      <c r="G65" s="1244">
        <v>612</v>
      </c>
      <c r="H65" s="1244">
        <v>241</v>
      </c>
      <c r="I65" s="1252">
        <v>0</v>
      </c>
      <c r="J65" s="384"/>
    </row>
    <row r="66" spans="2:10" ht="53" x14ac:dyDescent="0.2">
      <c r="B66" s="1239" t="s">
        <v>1128</v>
      </c>
      <c r="C66" s="1240">
        <v>56</v>
      </c>
      <c r="D66" s="1240">
        <v>7</v>
      </c>
      <c r="E66" s="1240">
        <v>2</v>
      </c>
      <c r="F66" s="1240">
        <v>4239902</v>
      </c>
      <c r="G66" s="1241">
        <v>600</v>
      </c>
      <c r="H66" s="1239"/>
      <c r="I66" s="1242">
        <v>5578.3</v>
      </c>
      <c r="J66" s="384"/>
    </row>
    <row r="67" spans="2:10" ht="40" x14ac:dyDescent="0.2">
      <c r="B67" s="1243" t="s">
        <v>764</v>
      </c>
      <c r="C67" s="1244">
        <v>56</v>
      </c>
      <c r="D67" s="1244">
        <v>7</v>
      </c>
      <c r="E67" s="1244">
        <v>2</v>
      </c>
      <c r="F67" s="1244">
        <v>4239902</v>
      </c>
      <c r="G67" s="1253">
        <v>611</v>
      </c>
      <c r="H67" s="1253">
        <v>241</v>
      </c>
      <c r="I67" s="1246">
        <v>5578.3</v>
      </c>
      <c r="J67" s="384"/>
    </row>
    <row r="68" spans="2:10" ht="15" x14ac:dyDescent="0.2">
      <c r="B68" s="1247" t="s">
        <v>78</v>
      </c>
      <c r="C68" s="1248">
        <v>56</v>
      </c>
      <c r="D68" s="1248">
        <v>7</v>
      </c>
      <c r="E68" s="1248">
        <v>2</v>
      </c>
      <c r="F68" s="1248">
        <v>4239902</v>
      </c>
      <c r="G68" s="1248"/>
      <c r="H68" s="1248">
        <v>211</v>
      </c>
      <c r="I68" s="1254">
        <v>4249.8</v>
      </c>
      <c r="J68" s="384"/>
    </row>
    <row r="69" spans="2:10" ht="15" x14ac:dyDescent="0.2">
      <c r="B69" s="1247" t="s">
        <v>103</v>
      </c>
      <c r="C69" s="1248">
        <v>56</v>
      </c>
      <c r="D69" s="1248">
        <v>7</v>
      </c>
      <c r="E69" s="1248">
        <v>2</v>
      </c>
      <c r="F69" s="1248">
        <v>4239902</v>
      </c>
      <c r="G69" s="1248"/>
      <c r="H69" s="1248">
        <v>212</v>
      </c>
      <c r="I69" s="1255">
        <v>18</v>
      </c>
      <c r="J69" s="384"/>
    </row>
    <row r="70" spans="2:10" ht="15" x14ac:dyDescent="0.2">
      <c r="B70" s="1247" t="s">
        <v>84</v>
      </c>
      <c r="C70" s="1248">
        <v>56</v>
      </c>
      <c r="D70" s="1248">
        <v>7</v>
      </c>
      <c r="E70" s="1248">
        <v>2</v>
      </c>
      <c r="F70" s="1248">
        <v>4239902</v>
      </c>
      <c r="G70" s="1248"/>
      <c r="H70" s="1248">
        <v>213</v>
      </c>
      <c r="I70" s="1254">
        <v>1283.4000000000001</v>
      </c>
      <c r="J70" s="384"/>
    </row>
    <row r="71" spans="2:10" ht="15" x14ac:dyDescent="0.2">
      <c r="B71" s="1247" t="s">
        <v>85</v>
      </c>
      <c r="C71" s="1248">
        <v>56</v>
      </c>
      <c r="D71" s="1248">
        <v>7</v>
      </c>
      <c r="E71" s="1248">
        <v>2</v>
      </c>
      <c r="F71" s="1248">
        <v>4239902</v>
      </c>
      <c r="G71" s="1248"/>
      <c r="H71" s="1248">
        <v>221</v>
      </c>
      <c r="I71" s="1255">
        <v>0</v>
      </c>
      <c r="J71" s="384"/>
    </row>
    <row r="72" spans="2:10" ht="15" x14ac:dyDescent="0.2">
      <c r="B72" s="1247" t="s">
        <v>86</v>
      </c>
      <c r="C72" s="1248">
        <v>56</v>
      </c>
      <c r="D72" s="1248">
        <v>7</v>
      </c>
      <c r="E72" s="1248">
        <v>2</v>
      </c>
      <c r="F72" s="1248">
        <v>4239902</v>
      </c>
      <c r="G72" s="1248"/>
      <c r="H72" s="1248">
        <v>222</v>
      </c>
      <c r="I72" s="1255">
        <v>0</v>
      </c>
      <c r="J72" s="384"/>
    </row>
    <row r="73" spans="2:10" ht="15" x14ac:dyDescent="0.2">
      <c r="B73" s="1247" t="s">
        <v>87</v>
      </c>
      <c r="C73" s="1248">
        <v>56</v>
      </c>
      <c r="D73" s="1248">
        <v>7</v>
      </c>
      <c r="E73" s="1248">
        <v>2</v>
      </c>
      <c r="F73" s="1248">
        <v>4239902</v>
      </c>
      <c r="G73" s="1248"/>
      <c r="H73" s="1248">
        <v>223</v>
      </c>
      <c r="I73" s="1255">
        <v>0</v>
      </c>
      <c r="J73" s="384"/>
    </row>
    <row r="74" spans="2:10" ht="15" x14ac:dyDescent="0.2">
      <c r="B74" s="1247" t="s">
        <v>89</v>
      </c>
      <c r="C74" s="1248">
        <v>56</v>
      </c>
      <c r="D74" s="1248">
        <v>7</v>
      </c>
      <c r="E74" s="1248">
        <v>2</v>
      </c>
      <c r="F74" s="1248">
        <v>4239902</v>
      </c>
      <c r="G74" s="1248"/>
      <c r="H74" s="1248">
        <v>224</v>
      </c>
      <c r="I74" s="1255">
        <v>0</v>
      </c>
      <c r="J74" s="384"/>
    </row>
    <row r="75" spans="2:10" ht="15" x14ac:dyDescent="0.2">
      <c r="B75" s="1247" t="s">
        <v>90</v>
      </c>
      <c r="C75" s="1248">
        <v>56</v>
      </c>
      <c r="D75" s="1248">
        <v>7</v>
      </c>
      <c r="E75" s="1248">
        <v>2</v>
      </c>
      <c r="F75" s="1248">
        <v>4239902</v>
      </c>
      <c r="G75" s="1248"/>
      <c r="H75" s="1248">
        <v>225</v>
      </c>
      <c r="I75" s="1255">
        <v>0</v>
      </c>
      <c r="J75" s="384"/>
    </row>
    <row r="76" spans="2:10" ht="15" x14ac:dyDescent="0.2">
      <c r="B76" s="1247" t="s">
        <v>91</v>
      </c>
      <c r="C76" s="1248">
        <v>56</v>
      </c>
      <c r="D76" s="1248">
        <v>7</v>
      </c>
      <c r="E76" s="1248">
        <v>2</v>
      </c>
      <c r="F76" s="1248">
        <v>4239902</v>
      </c>
      <c r="G76" s="1248"/>
      <c r="H76" s="1248">
        <v>226</v>
      </c>
      <c r="I76" s="1255">
        <v>0</v>
      </c>
      <c r="J76" s="384"/>
    </row>
    <row r="77" spans="2:10" ht="15" x14ac:dyDescent="0.2">
      <c r="B77" s="1247" t="s">
        <v>94</v>
      </c>
      <c r="C77" s="1248">
        <v>56</v>
      </c>
      <c r="D77" s="1248">
        <v>7</v>
      </c>
      <c r="E77" s="1248">
        <v>2</v>
      </c>
      <c r="F77" s="1248">
        <v>4239902</v>
      </c>
      <c r="G77" s="1248"/>
      <c r="H77" s="1248">
        <v>290</v>
      </c>
      <c r="I77" s="1255">
        <v>7.1</v>
      </c>
      <c r="J77" s="384"/>
    </row>
    <row r="78" spans="2:10" ht="15" x14ac:dyDescent="0.2">
      <c r="B78" s="1247" t="s">
        <v>94</v>
      </c>
      <c r="C78" s="1248">
        <v>56</v>
      </c>
      <c r="D78" s="1248">
        <v>7</v>
      </c>
      <c r="E78" s="1248">
        <v>2</v>
      </c>
      <c r="F78" s="1248">
        <v>4239902</v>
      </c>
      <c r="G78" s="1248"/>
      <c r="H78" s="1248">
        <v>290</v>
      </c>
      <c r="I78" s="1255">
        <v>0</v>
      </c>
      <c r="J78" s="384"/>
    </row>
    <row r="79" spans="2:10" ht="15" x14ac:dyDescent="0.2">
      <c r="B79" s="1247" t="s">
        <v>104</v>
      </c>
      <c r="C79" s="1248">
        <v>56</v>
      </c>
      <c r="D79" s="1248">
        <v>7</v>
      </c>
      <c r="E79" s="1248">
        <v>2</v>
      </c>
      <c r="F79" s="1248">
        <v>4239902</v>
      </c>
      <c r="G79" s="1248"/>
      <c r="H79" s="1248">
        <v>310</v>
      </c>
      <c r="I79" s="1256">
        <v>20</v>
      </c>
      <c r="J79" s="384"/>
    </row>
    <row r="80" spans="2:10" ht="15" x14ac:dyDescent="0.2">
      <c r="B80" s="1247" t="s">
        <v>97</v>
      </c>
      <c r="C80" s="1248">
        <v>56</v>
      </c>
      <c r="D80" s="1248">
        <v>7</v>
      </c>
      <c r="E80" s="1248">
        <v>2</v>
      </c>
      <c r="F80" s="1248">
        <v>4239902</v>
      </c>
      <c r="G80" s="1248"/>
      <c r="H80" s="1248">
        <v>340</v>
      </c>
      <c r="I80" s="1255">
        <v>0</v>
      </c>
      <c r="J80" s="384"/>
    </row>
    <row r="81" spans="2:10" ht="15" x14ac:dyDescent="0.2">
      <c r="B81" s="1243" t="s">
        <v>767</v>
      </c>
      <c r="C81" s="1244">
        <v>56</v>
      </c>
      <c r="D81" s="1244">
        <v>7</v>
      </c>
      <c r="E81" s="1244">
        <v>2</v>
      </c>
      <c r="F81" s="1244">
        <v>4239902</v>
      </c>
      <c r="G81" s="1244">
        <v>612</v>
      </c>
      <c r="H81" s="1244">
        <v>241</v>
      </c>
      <c r="I81" s="1252">
        <v>0</v>
      </c>
      <c r="J81" s="384"/>
    </row>
    <row r="82" spans="2:10" ht="53" x14ac:dyDescent="0.2">
      <c r="B82" s="1239" t="s">
        <v>1129</v>
      </c>
      <c r="C82" s="1240">
        <v>56</v>
      </c>
      <c r="D82" s="1240">
        <v>7</v>
      </c>
      <c r="E82" s="1240">
        <v>2</v>
      </c>
      <c r="F82" s="1240">
        <v>4239902</v>
      </c>
      <c r="G82" s="1241">
        <v>600</v>
      </c>
      <c r="H82" s="1239"/>
      <c r="I82" s="1242">
        <v>7457.4</v>
      </c>
      <c r="J82" s="384"/>
    </row>
    <row r="83" spans="2:10" ht="40" x14ac:dyDescent="0.2">
      <c r="B83" s="1243" t="s">
        <v>764</v>
      </c>
      <c r="C83" s="1244">
        <v>56</v>
      </c>
      <c r="D83" s="1244">
        <v>7</v>
      </c>
      <c r="E83" s="1244">
        <v>2</v>
      </c>
      <c r="F83" s="1244">
        <v>4239902</v>
      </c>
      <c r="G83" s="1253">
        <v>611</v>
      </c>
      <c r="H83" s="1253">
        <v>241</v>
      </c>
      <c r="I83" s="1246">
        <v>7457.4</v>
      </c>
      <c r="J83" s="384"/>
    </row>
    <row r="84" spans="2:10" ht="15" x14ac:dyDescent="0.2">
      <c r="B84" s="1247" t="s">
        <v>78</v>
      </c>
      <c r="C84" s="1248">
        <v>56</v>
      </c>
      <c r="D84" s="1248">
        <v>7</v>
      </c>
      <c r="E84" s="1248">
        <v>2</v>
      </c>
      <c r="F84" s="1248">
        <v>4239902</v>
      </c>
      <c r="G84" s="1248"/>
      <c r="H84" s="1248">
        <v>211</v>
      </c>
      <c r="I84" s="1254">
        <v>5436.9</v>
      </c>
      <c r="J84" s="384"/>
    </row>
    <row r="85" spans="2:10" ht="15" x14ac:dyDescent="0.2">
      <c r="B85" s="1247" t="s">
        <v>103</v>
      </c>
      <c r="C85" s="1248">
        <v>56</v>
      </c>
      <c r="D85" s="1248">
        <v>7</v>
      </c>
      <c r="E85" s="1248">
        <v>2</v>
      </c>
      <c r="F85" s="1248">
        <v>4239902</v>
      </c>
      <c r="G85" s="1248"/>
      <c r="H85" s="1248">
        <v>212</v>
      </c>
      <c r="I85" s="1255">
        <v>25.2</v>
      </c>
      <c r="J85" s="384"/>
    </row>
    <row r="86" spans="2:10" ht="15" x14ac:dyDescent="0.2">
      <c r="B86" s="1247" t="s">
        <v>84</v>
      </c>
      <c r="C86" s="1248">
        <v>56</v>
      </c>
      <c r="D86" s="1248">
        <v>7</v>
      </c>
      <c r="E86" s="1248">
        <v>2</v>
      </c>
      <c r="F86" s="1248">
        <v>4239902</v>
      </c>
      <c r="G86" s="1248"/>
      <c r="H86" s="1248">
        <v>213</v>
      </c>
      <c r="I86" s="1254">
        <v>1641.9</v>
      </c>
      <c r="J86" s="384"/>
    </row>
    <row r="87" spans="2:10" ht="15" x14ac:dyDescent="0.2">
      <c r="B87" s="1247" t="s">
        <v>85</v>
      </c>
      <c r="C87" s="1248">
        <v>56</v>
      </c>
      <c r="D87" s="1248">
        <v>7</v>
      </c>
      <c r="E87" s="1248">
        <v>2</v>
      </c>
      <c r="F87" s="1248">
        <v>4239902</v>
      </c>
      <c r="G87" s="1248"/>
      <c r="H87" s="1248">
        <v>221</v>
      </c>
      <c r="I87" s="1255">
        <v>0</v>
      </c>
      <c r="J87" s="384"/>
    </row>
    <row r="88" spans="2:10" ht="15" x14ac:dyDescent="0.2">
      <c r="B88" s="1247" t="s">
        <v>86</v>
      </c>
      <c r="C88" s="1248">
        <v>56</v>
      </c>
      <c r="D88" s="1248">
        <v>7</v>
      </c>
      <c r="E88" s="1248">
        <v>2</v>
      </c>
      <c r="F88" s="1248">
        <v>4239902</v>
      </c>
      <c r="G88" s="1248"/>
      <c r="H88" s="1248">
        <v>222</v>
      </c>
      <c r="I88" s="1255">
        <v>0</v>
      </c>
      <c r="J88" s="384"/>
    </row>
    <row r="89" spans="2:10" ht="15" x14ac:dyDescent="0.2">
      <c r="B89" s="1247" t="s">
        <v>87</v>
      </c>
      <c r="C89" s="1248">
        <v>56</v>
      </c>
      <c r="D89" s="1248">
        <v>7</v>
      </c>
      <c r="E89" s="1248">
        <v>2</v>
      </c>
      <c r="F89" s="1248">
        <v>4239902</v>
      </c>
      <c r="G89" s="1248"/>
      <c r="H89" s="1248">
        <v>223</v>
      </c>
      <c r="I89" s="1255">
        <v>0</v>
      </c>
      <c r="J89" s="384"/>
    </row>
    <row r="90" spans="2:10" ht="15" x14ac:dyDescent="0.2">
      <c r="B90" s="1247" t="s">
        <v>89</v>
      </c>
      <c r="C90" s="1248">
        <v>56</v>
      </c>
      <c r="D90" s="1248">
        <v>7</v>
      </c>
      <c r="E90" s="1248">
        <v>2</v>
      </c>
      <c r="F90" s="1248">
        <v>4239902</v>
      </c>
      <c r="G90" s="1248"/>
      <c r="H90" s="1248">
        <v>224</v>
      </c>
      <c r="I90" s="1255">
        <v>150</v>
      </c>
      <c r="J90" s="384"/>
    </row>
    <row r="91" spans="2:10" ht="15" x14ac:dyDescent="0.2">
      <c r="B91" s="1247" t="s">
        <v>90</v>
      </c>
      <c r="C91" s="1248">
        <v>56</v>
      </c>
      <c r="D91" s="1248">
        <v>7</v>
      </c>
      <c r="E91" s="1248">
        <v>2</v>
      </c>
      <c r="F91" s="1248">
        <v>4239902</v>
      </c>
      <c r="G91" s="1248"/>
      <c r="H91" s="1248">
        <v>225</v>
      </c>
      <c r="I91" s="1255">
        <v>25</v>
      </c>
      <c r="J91" s="384"/>
    </row>
    <row r="92" spans="2:10" ht="15" x14ac:dyDescent="0.2">
      <c r="B92" s="1247" t="s">
        <v>91</v>
      </c>
      <c r="C92" s="1248">
        <v>56</v>
      </c>
      <c r="D92" s="1248">
        <v>7</v>
      </c>
      <c r="E92" s="1248">
        <v>2</v>
      </c>
      <c r="F92" s="1248">
        <v>4239902</v>
      </c>
      <c r="G92" s="1248"/>
      <c r="H92" s="1248">
        <v>226</v>
      </c>
      <c r="I92" s="1255">
        <v>135</v>
      </c>
      <c r="J92" s="384"/>
    </row>
    <row r="93" spans="2:10" ht="15" x14ac:dyDescent="0.2">
      <c r="B93" s="1247" t="s">
        <v>94</v>
      </c>
      <c r="C93" s="1248">
        <v>56</v>
      </c>
      <c r="D93" s="1248">
        <v>7</v>
      </c>
      <c r="E93" s="1248">
        <v>2</v>
      </c>
      <c r="F93" s="1248">
        <v>4239902</v>
      </c>
      <c r="G93" s="1248"/>
      <c r="H93" s="1248">
        <v>290</v>
      </c>
      <c r="I93" s="1255">
        <v>8.5</v>
      </c>
      <c r="J93" s="384"/>
    </row>
    <row r="94" spans="2:10" ht="15" x14ac:dyDescent="0.2">
      <c r="B94" s="1247" t="s">
        <v>94</v>
      </c>
      <c r="C94" s="1248">
        <v>56</v>
      </c>
      <c r="D94" s="1248">
        <v>7</v>
      </c>
      <c r="E94" s="1248">
        <v>2</v>
      </c>
      <c r="F94" s="1248">
        <v>4239902</v>
      </c>
      <c r="G94" s="1248"/>
      <c r="H94" s="1248">
        <v>290</v>
      </c>
      <c r="I94" s="1255">
        <v>0</v>
      </c>
      <c r="J94" s="384"/>
    </row>
    <row r="95" spans="2:10" ht="15" x14ac:dyDescent="0.2">
      <c r="B95" s="1247" t="s">
        <v>104</v>
      </c>
      <c r="C95" s="1248">
        <v>56</v>
      </c>
      <c r="D95" s="1248">
        <v>7</v>
      </c>
      <c r="E95" s="1248">
        <v>2</v>
      </c>
      <c r="F95" s="1248">
        <v>4239902</v>
      </c>
      <c r="G95" s="1248"/>
      <c r="H95" s="1248">
        <v>310</v>
      </c>
      <c r="I95" s="1255">
        <v>25</v>
      </c>
      <c r="J95" s="384"/>
    </row>
    <row r="96" spans="2:10" ht="15" x14ac:dyDescent="0.2">
      <c r="B96" s="1247" t="s">
        <v>97</v>
      </c>
      <c r="C96" s="1248">
        <v>56</v>
      </c>
      <c r="D96" s="1248">
        <v>7</v>
      </c>
      <c r="E96" s="1248">
        <v>2</v>
      </c>
      <c r="F96" s="1248">
        <v>4239902</v>
      </c>
      <c r="G96" s="1248"/>
      <c r="H96" s="1248">
        <v>340</v>
      </c>
      <c r="I96" s="1255">
        <v>9.9</v>
      </c>
      <c r="J96" s="384"/>
    </row>
    <row r="97" spans="2:10" ht="15" x14ac:dyDescent="0.2">
      <c r="B97" s="1243" t="s">
        <v>767</v>
      </c>
      <c r="C97" s="1244">
        <v>56</v>
      </c>
      <c r="D97" s="1244">
        <v>7</v>
      </c>
      <c r="E97" s="1244">
        <v>2</v>
      </c>
      <c r="F97" s="1244">
        <v>4239902</v>
      </c>
      <c r="G97" s="1244">
        <v>612</v>
      </c>
      <c r="H97" s="1244">
        <v>241</v>
      </c>
      <c r="I97" s="1252">
        <v>0</v>
      </c>
      <c r="J97" s="384"/>
    </row>
    <row r="98" spans="2:10" ht="53" x14ac:dyDescent="0.2">
      <c r="B98" s="1239" t="s">
        <v>1130</v>
      </c>
      <c r="C98" s="1240">
        <v>56</v>
      </c>
      <c r="D98" s="1240">
        <v>7</v>
      </c>
      <c r="E98" s="1240">
        <v>2</v>
      </c>
      <c r="F98" s="1240">
        <v>4239902</v>
      </c>
      <c r="G98" s="1241">
        <v>600</v>
      </c>
      <c r="H98" s="1239"/>
      <c r="I98" s="1242">
        <v>19674.5</v>
      </c>
      <c r="J98" s="384"/>
    </row>
    <row r="99" spans="2:10" ht="40" x14ac:dyDescent="0.2">
      <c r="B99" s="1243" t="s">
        <v>764</v>
      </c>
      <c r="C99" s="1244">
        <v>56</v>
      </c>
      <c r="D99" s="1244">
        <v>7</v>
      </c>
      <c r="E99" s="1244">
        <v>2</v>
      </c>
      <c r="F99" s="1244">
        <v>4239902</v>
      </c>
      <c r="G99" s="1245">
        <v>611</v>
      </c>
      <c r="H99" s="1245">
        <v>241</v>
      </c>
      <c r="I99" s="1246">
        <v>19224.5</v>
      </c>
      <c r="J99" s="384"/>
    </row>
    <row r="100" spans="2:10" ht="15" x14ac:dyDescent="0.2">
      <c r="B100" s="1247" t="s">
        <v>78</v>
      </c>
      <c r="C100" s="1248">
        <v>56</v>
      </c>
      <c r="D100" s="1248">
        <v>7</v>
      </c>
      <c r="E100" s="1248">
        <v>2</v>
      </c>
      <c r="F100" s="1248">
        <v>4239902</v>
      </c>
      <c r="G100" s="1248"/>
      <c r="H100" s="1248">
        <v>211</v>
      </c>
      <c r="I100" s="1254">
        <v>11849.3</v>
      </c>
      <c r="J100" s="384"/>
    </row>
    <row r="101" spans="2:10" ht="15" x14ac:dyDescent="0.2">
      <c r="B101" s="1247" t="s">
        <v>103</v>
      </c>
      <c r="C101" s="1248">
        <v>56</v>
      </c>
      <c r="D101" s="1248">
        <v>7</v>
      </c>
      <c r="E101" s="1248">
        <v>2</v>
      </c>
      <c r="F101" s="1248">
        <v>4239902</v>
      </c>
      <c r="G101" s="1248">
        <v>1</v>
      </c>
      <c r="H101" s="1248">
        <v>212</v>
      </c>
      <c r="I101" s="1255">
        <v>33.6</v>
      </c>
      <c r="J101" s="384"/>
    </row>
    <row r="102" spans="2:10" ht="15" x14ac:dyDescent="0.2">
      <c r="B102" s="1247" t="s">
        <v>84</v>
      </c>
      <c r="C102" s="1248">
        <v>56</v>
      </c>
      <c r="D102" s="1248">
        <v>7</v>
      </c>
      <c r="E102" s="1248">
        <v>2</v>
      </c>
      <c r="F102" s="1248">
        <v>4239902</v>
      </c>
      <c r="G102" s="1248">
        <v>1</v>
      </c>
      <c r="H102" s="1248">
        <v>213</v>
      </c>
      <c r="I102" s="1254">
        <v>3578.5</v>
      </c>
      <c r="J102" s="384"/>
    </row>
    <row r="103" spans="2:10" ht="15" x14ac:dyDescent="0.2">
      <c r="B103" s="1247" t="s">
        <v>85</v>
      </c>
      <c r="C103" s="1248">
        <v>56</v>
      </c>
      <c r="D103" s="1248">
        <v>7</v>
      </c>
      <c r="E103" s="1248">
        <v>2</v>
      </c>
      <c r="F103" s="1248">
        <v>4239902</v>
      </c>
      <c r="G103" s="1248">
        <v>1</v>
      </c>
      <c r="H103" s="1248">
        <v>221</v>
      </c>
      <c r="I103" s="1255">
        <v>14.5</v>
      </c>
      <c r="J103" s="384"/>
    </row>
    <row r="104" spans="2:10" ht="15" x14ac:dyDescent="0.2">
      <c r="B104" s="1247" t="s">
        <v>86</v>
      </c>
      <c r="C104" s="1248">
        <v>56</v>
      </c>
      <c r="D104" s="1248">
        <v>7</v>
      </c>
      <c r="E104" s="1248">
        <v>2</v>
      </c>
      <c r="F104" s="1248">
        <v>4239902</v>
      </c>
      <c r="G104" s="1248">
        <v>1</v>
      </c>
      <c r="H104" s="1248">
        <v>222</v>
      </c>
      <c r="I104" s="1255">
        <v>150</v>
      </c>
      <c r="J104" s="384"/>
    </row>
    <row r="105" spans="2:10" ht="15" x14ac:dyDescent="0.2">
      <c r="B105" s="1247" t="s">
        <v>87</v>
      </c>
      <c r="C105" s="1248">
        <v>56</v>
      </c>
      <c r="D105" s="1248">
        <v>7</v>
      </c>
      <c r="E105" s="1248">
        <v>2</v>
      </c>
      <c r="F105" s="1248">
        <v>4239902</v>
      </c>
      <c r="G105" s="1248">
        <v>1</v>
      </c>
      <c r="H105" s="1248">
        <v>223</v>
      </c>
      <c r="I105" s="1255">
        <v>622.1</v>
      </c>
      <c r="J105" s="384"/>
    </row>
    <row r="106" spans="2:10" ht="15" x14ac:dyDescent="0.2">
      <c r="B106" s="1247" t="s">
        <v>89</v>
      </c>
      <c r="C106" s="1248">
        <v>56</v>
      </c>
      <c r="D106" s="1248">
        <v>7</v>
      </c>
      <c r="E106" s="1248">
        <v>2</v>
      </c>
      <c r="F106" s="1248">
        <v>4239902</v>
      </c>
      <c r="G106" s="1248">
        <v>1</v>
      </c>
      <c r="H106" s="1248">
        <v>224</v>
      </c>
      <c r="I106" s="1255">
        <v>0</v>
      </c>
      <c r="J106" s="384"/>
    </row>
    <row r="107" spans="2:10" ht="15" x14ac:dyDescent="0.2">
      <c r="B107" s="1247" t="s">
        <v>90</v>
      </c>
      <c r="C107" s="1248">
        <v>56</v>
      </c>
      <c r="D107" s="1248">
        <v>7</v>
      </c>
      <c r="E107" s="1248">
        <v>2</v>
      </c>
      <c r="F107" s="1248">
        <v>4239902</v>
      </c>
      <c r="G107" s="1248">
        <v>1</v>
      </c>
      <c r="H107" s="1248">
        <v>225</v>
      </c>
      <c r="I107" s="1255">
        <v>150</v>
      </c>
      <c r="J107" s="384"/>
    </row>
    <row r="108" spans="2:10" ht="15" x14ac:dyDescent="0.2">
      <c r="B108" s="1247" t="s">
        <v>91</v>
      </c>
      <c r="C108" s="1248">
        <v>56</v>
      </c>
      <c r="D108" s="1248">
        <v>7</v>
      </c>
      <c r="E108" s="1248">
        <v>2</v>
      </c>
      <c r="F108" s="1248">
        <v>4239902</v>
      </c>
      <c r="G108" s="1248">
        <v>1</v>
      </c>
      <c r="H108" s="1248">
        <v>226</v>
      </c>
      <c r="I108" s="1255">
        <v>618.9</v>
      </c>
      <c r="J108" s="384"/>
    </row>
    <row r="109" spans="2:10" ht="15" x14ac:dyDescent="0.2">
      <c r="B109" s="1247" t="s">
        <v>220</v>
      </c>
      <c r="C109" s="1248">
        <v>56</v>
      </c>
      <c r="D109" s="1248">
        <v>7</v>
      </c>
      <c r="E109" s="1248">
        <v>2</v>
      </c>
      <c r="F109" s="1248">
        <v>4239902</v>
      </c>
      <c r="G109" s="1248">
        <v>1</v>
      </c>
      <c r="H109" s="1248">
        <v>290</v>
      </c>
      <c r="I109" s="1254">
        <v>1748.5</v>
      </c>
      <c r="J109" s="384"/>
    </row>
    <row r="110" spans="2:10" ht="15" x14ac:dyDescent="0.2">
      <c r="B110" s="1247" t="s">
        <v>220</v>
      </c>
      <c r="C110" s="1248">
        <v>56</v>
      </c>
      <c r="D110" s="1248">
        <v>7</v>
      </c>
      <c r="E110" s="1248">
        <v>2</v>
      </c>
      <c r="F110" s="1248">
        <v>4239902</v>
      </c>
      <c r="G110" s="1248">
        <v>1</v>
      </c>
      <c r="H110" s="1248">
        <v>290</v>
      </c>
      <c r="I110" s="1255">
        <v>0</v>
      </c>
      <c r="J110" s="384"/>
    </row>
    <row r="111" spans="2:10" ht="15" x14ac:dyDescent="0.2">
      <c r="B111" s="1247" t="s">
        <v>104</v>
      </c>
      <c r="C111" s="1248">
        <v>56</v>
      </c>
      <c r="D111" s="1248">
        <v>7</v>
      </c>
      <c r="E111" s="1248">
        <v>2</v>
      </c>
      <c r="F111" s="1248">
        <v>4239902</v>
      </c>
      <c r="G111" s="1248">
        <v>1</v>
      </c>
      <c r="H111" s="1248">
        <v>310</v>
      </c>
      <c r="I111" s="1256">
        <v>350</v>
      </c>
      <c r="J111" s="384"/>
    </row>
    <row r="112" spans="2:10" ht="15" x14ac:dyDescent="0.2">
      <c r="B112" s="1247" t="s">
        <v>97</v>
      </c>
      <c r="C112" s="1248">
        <v>56</v>
      </c>
      <c r="D112" s="1248">
        <v>7</v>
      </c>
      <c r="E112" s="1248">
        <v>2</v>
      </c>
      <c r="F112" s="1248">
        <v>4239902</v>
      </c>
      <c r="G112" s="1248">
        <v>1</v>
      </c>
      <c r="H112" s="1248">
        <v>340</v>
      </c>
      <c r="I112" s="1255">
        <v>109.1</v>
      </c>
      <c r="J112" s="384"/>
    </row>
    <row r="113" spans="2:10" ht="15" x14ac:dyDescent="0.2">
      <c r="B113" s="1243" t="s">
        <v>767</v>
      </c>
      <c r="C113" s="1244">
        <v>56</v>
      </c>
      <c r="D113" s="1244">
        <v>7</v>
      </c>
      <c r="E113" s="1244">
        <v>2</v>
      </c>
      <c r="F113" s="1244">
        <v>4239902</v>
      </c>
      <c r="G113" s="1244">
        <v>612</v>
      </c>
      <c r="H113" s="1244">
        <v>241</v>
      </c>
      <c r="I113" s="1252">
        <v>450</v>
      </c>
      <c r="J113" s="384"/>
    </row>
    <row r="114" spans="2:10" ht="15" x14ac:dyDescent="0.2">
      <c r="B114" s="1257" t="s">
        <v>771</v>
      </c>
      <c r="C114" s="1222">
        <v>56</v>
      </c>
      <c r="D114" s="1222">
        <v>7</v>
      </c>
      <c r="E114" s="1222">
        <v>4</v>
      </c>
      <c r="F114" s="1225"/>
      <c r="G114" s="1225"/>
      <c r="H114" s="1222"/>
      <c r="I114" s="1223">
        <v>124974.62</v>
      </c>
      <c r="J114" s="384"/>
    </row>
    <row r="115" spans="2:10" ht="15" x14ac:dyDescent="0.2">
      <c r="B115" s="1258" t="s">
        <v>1100</v>
      </c>
      <c r="C115" s="1259">
        <v>56</v>
      </c>
      <c r="D115" s="1259">
        <v>7</v>
      </c>
      <c r="E115" s="1259">
        <v>4</v>
      </c>
      <c r="F115" s="1218">
        <v>4270000</v>
      </c>
      <c r="G115" s="1218"/>
      <c r="H115" s="1259"/>
      <c r="I115" s="1260">
        <v>124974.62</v>
      </c>
      <c r="J115" s="384"/>
    </row>
    <row r="116" spans="2:10" ht="53" x14ac:dyDescent="0.2">
      <c r="B116" s="1224" t="s">
        <v>772</v>
      </c>
      <c r="C116" s="1225">
        <v>56</v>
      </c>
      <c r="D116" s="1225">
        <v>7</v>
      </c>
      <c r="E116" s="1225">
        <v>4</v>
      </c>
      <c r="F116" s="1225">
        <v>4270000</v>
      </c>
      <c r="G116" s="1225"/>
      <c r="H116" s="1222"/>
      <c r="I116" s="1223">
        <v>124974.62</v>
      </c>
      <c r="J116" s="384"/>
    </row>
    <row r="117" spans="2:10" ht="15" x14ac:dyDescent="0.2">
      <c r="B117" s="1226" t="s">
        <v>1125</v>
      </c>
      <c r="C117" s="1227">
        <v>56</v>
      </c>
      <c r="D117" s="1227">
        <v>7</v>
      </c>
      <c r="E117" s="1227">
        <v>4</v>
      </c>
      <c r="F117" s="1227">
        <v>4279902</v>
      </c>
      <c r="G117" s="1227">
        <v>600</v>
      </c>
      <c r="H117" s="1228"/>
      <c r="I117" s="1229">
        <v>124974.62</v>
      </c>
      <c r="J117" s="384"/>
    </row>
    <row r="118" spans="2:10" ht="40" x14ac:dyDescent="0.2">
      <c r="B118" s="1230" t="s">
        <v>764</v>
      </c>
      <c r="C118" s="1231">
        <v>56</v>
      </c>
      <c r="D118" s="1231">
        <v>7</v>
      </c>
      <c r="E118" s="1231">
        <v>4</v>
      </c>
      <c r="F118" s="1231">
        <v>4279902</v>
      </c>
      <c r="G118" s="1231">
        <v>611</v>
      </c>
      <c r="H118" s="1231">
        <v>241</v>
      </c>
      <c r="I118" s="1232">
        <v>123774.62</v>
      </c>
      <c r="J118" s="384"/>
    </row>
    <row r="119" spans="2:10" ht="15" x14ac:dyDescent="0.2">
      <c r="B119" s="1224" t="s">
        <v>78</v>
      </c>
      <c r="C119" s="1261">
        <v>56</v>
      </c>
      <c r="D119" s="1261">
        <v>7</v>
      </c>
      <c r="E119" s="1261">
        <v>4</v>
      </c>
      <c r="F119" s="1261">
        <v>4279902</v>
      </c>
      <c r="G119" s="1261"/>
      <c r="H119" s="1234">
        <v>211</v>
      </c>
      <c r="I119" s="1235">
        <v>82842.8</v>
      </c>
      <c r="J119" s="384"/>
    </row>
    <row r="120" spans="2:10" ht="15" x14ac:dyDescent="0.2">
      <c r="B120" s="1224" t="s">
        <v>83</v>
      </c>
      <c r="C120" s="1261">
        <v>56</v>
      </c>
      <c r="D120" s="1261">
        <v>7</v>
      </c>
      <c r="E120" s="1261">
        <v>4</v>
      </c>
      <c r="F120" s="1261">
        <v>4279902</v>
      </c>
      <c r="G120" s="1261"/>
      <c r="H120" s="1234">
        <v>212</v>
      </c>
      <c r="I120" s="1236">
        <v>267.60000000000002</v>
      </c>
      <c r="J120" s="384"/>
    </row>
    <row r="121" spans="2:10" ht="15" x14ac:dyDescent="0.2">
      <c r="B121" s="1224" t="s">
        <v>84</v>
      </c>
      <c r="C121" s="1261">
        <v>56</v>
      </c>
      <c r="D121" s="1261">
        <v>7</v>
      </c>
      <c r="E121" s="1261">
        <v>4</v>
      </c>
      <c r="F121" s="1261">
        <v>4279902</v>
      </c>
      <c r="G121" s="1261"/>
      <c r="H121" s="1234">
        <v>213</v>
      </c>
      <c r="I121" s="1235">
        <v>25018.6</v>
      </c>
      <c r="J121" s="384"/>
    </row>
    <row r="122" spans="2:10" ht="15" x14ac:dyDescent="0.2">
      <c r="B122" s="1224" t="s">
        <v>85</v>
      </c>
      <c r="C122" s="1261">
        <v>56</v>
      </c>
      <c r="D122" s="1261">
        <v>7</v>
      </c>
      <c r="E122" s="1261">
        <v>4</v>
      </c>
      <c r="F122" s="1261">
        <v>4279902</v>
      </c>
      <c r="G122" s="1261"/>
      <c r="H122" s="1234">
        <v>221</v>
      </c>
      <c r="I122" s="1236">
        <v>86.3</v>
      </c>
      <c r="J122" s="384"/>
    </row>
    <row r="123" spans="2:10" ht="15" x14ac:dyDescent="0.2">
      <c r="B123" s="1224" t="s">
        <v>86</v>
      </c>
      <c r="C123" s="1261">
        <v>56</v>
      </c>
      <c r="D123" s="1261">
        <v>7</v>
      </c>
      <c r="E123" s="1261">
        <v>4</v>
      </c>
      <c r="F123" s="1261">
        <v>4279902</v>
      </c>
      <c r="G123" s="1261"/>
      <c r="H123" s="1234">
        <v>222</v>
      </c>
      <c r="I123" s="1236">
        <v>80</v>
      </c>
      <c r="J123" s="384"/>
    </row>
    <row r="124" spans="2:10" ht="15" x14ac:dyDescent="0.2">
      <c r="B124" s="1224" t="s">
        <v>87</v>
      </c>
      <c r="C124" s="1261">
        <v>56</v>
      </c>
      <c r="D124" s="1261">
        <v>7</v>
      </c>
      <c r="E124" s="1261">
        <v>4</v>
      </c>
      <c r="F124" s="1261">
        <v>4279902</v>
      </c>
      <c r="G124" s="1261"/>
      <c r="H124" s="1234">
        <v>223</v>
      </c>
      <c r="I124" s="1235">
        <v>1301.95</v>
      </c>
      <c r="J124" s="384"/>
    </row>
    <row r="125" spans="2:10" ht="15" x14ac:dyDescent="0.2">
      <c r="B125" s="1224" t="s">
        <v>111</v>
      </c>
      <c r="C125" s="1261">
        <v>56</v>
      </c>
      <c r="D125" s="1261">
        <v>7</v>
      </c>
      <c r="E125" s="1261">
        <v>4</v>
      </c>
      <c r="F125" s="1261">
        <v>4279902</v>
      </c>
      <c r="G125" s="1261"/>
      <c r="H125" s="1234">
        <v>224</v>
      </c>
      <c r="I125" s="1236">
        <v>6</v>
      </c>
      <c r="J125" s="384"/>
    </row>
    <row r="126" spans="2:10" ht="15" x14ac:dyDescent="0.2">
      <c r="B126" s="1224" t="s">
        <v>90</v>
      </c>
      <c r="C126" s="1261">
        <v>56</v>
      </c>
      <c r="D126" s="1261">
        <v>7</v>
      </c>
      <c r="E126" s="1261">
        <v>4</v>
      </c>
      <c r="F126" s="1261">
        <v>4279902</v>
      </c>
      <c r="G126" s="1261"/>
      <c r="H126" s="1234">
        <v>225</v>
      </c>
      <c r="I126" s="1235">
        <v>5320.4</v>
      </c>
      <c r="J126" s="384"/>
    </row>
    <row r="127" spans="2:10" ht="15" x14ac:dyDescent="0.2">
      <c r="B127" s="1224" t="s">
        <v>91</v>
      </c>
      <c r="C127" s="1261">
        <v>56</v>
      </c>
      <c r="D127" s="1261">
        <v>7</v>
      </c>
      <c r="E127" s="1261">
        <v>4</v>
      </c>
      <c r="F127" s="1261">
        <v>4279902</v>
      </c>
      <c r="G127" s="1261"/>
      <c r="H127" s="1234">
        <v>226</v>
      </c>
      <c r="I127" s="1235">
        <v>1092.4000000000001</v>
      </c>
      <c r="J127" s="384"/>
    </row>
    <row r="128" spans="2:10" ht="15" x14ac:dyDescent="0.2">
      <c r="B128" s="1224" t="s">
        <v>94</v>
      </c>
      <c r="C128" s="1261">
        <v>56</v>
      </c>
      <c r="D128" s="1261">
        <v>7</v>
      </c>
      <c r="E128" s="1261">
        <v>4</v>
      </c>
      <c r="F128" s="1261">
        <v>4279902</v>
      </c>
      <c r="G128" s="1261"/>
      <c r="H128" s="1234">
        <v>290</v>
      </c>
      <c r="I128" s="1235">
        <v>5808.6</v>
      </c>
      <c r="J128" s="384"/>
    </row>
    <row r="129" spans="2:10" ht="15" x14ac:dyDescent="0.2">
      <c r="B129" s="1224" t="s">
        <v>94</v>
      </c>
      <c r="C129" s="1261">
        <v>56</v>
      </c>
      <c r="D129" s="1261">
        <v>7</v>
      </c>
      <c r="E129" s="1261">
        <v>4</v>
      </c>
      <c r="F129" s="1261">
        <v>4279902</v>
      </c>
      <c r="G129" s="1261"/>
      <c r="H129" s="1234">
        <v>290</v>
      </c>
      <c r="I129" s="1236">
        <v>647.97</v>
      </c>
      <c r="J129" s="384"/>
    </row>
    <row r="130" spans="2:10" ht="15" x14ac:dyDescent="0.2">
      <c r="B130" s="1224" t="s">
        <v>96</v>
      </c>
      <c r="C130" s="1261">
        <v>56</v>
      </c>
      <c r="D130" s="1261">
        <v>7</v>
      </c>
      <c r="E130" s="1261">
        <v>4</v>
      </c>
      <c r="F130" s="1261">
        <v>4279902</v>
      </c>
      <c r="G130" s="1261"/>
      <c r="H130" s="1234">
        <v>310</v>
      </c>
      <c r="I130" s="1235">
        <v>1034</v>
      </c>
      <c r="J130" s="384"/>
    </row>
    <row r="131" spans="2:10" ht="15" x14ac:dyDescent="0.2">
      <c r="B131" s="1224" t="s">
        <v>97</v>
      </c>
      <c r="C131" s="1261">
        <v>56</v>
      </c>
      <c r="D131" s="1261">
        <v>7</v>
      </c>
      <c r="E131" s="1261">
        <v>4</v>
      </c>
      <c r="F131" s="1261">
        <v>4279902</v>
      </c>
      <c r="G131" s="1261"/>
      <c r="H131" s="1234">
        <v>340</v>
      </c>
      <c r="I131" s="1236">
        <v>268</v>
      </c>
      <c r="J131" s="384"/>
    </row>
    <row r="132" spans="2:10" ht="15" x14ac:dyDescent="0.2">
      <c r="B132" s="1230" t="s">
        <v>767</v>
      </c>
      <c r="C132" s="1237">
        <v>56</v>
      </c>
      <c r="D132" s="1237">
        <v>7</v>
      </c>
      <c r="E132" s="1237">
        <v>4</v>
      </c>
      <c r="F132" s="1237">
        <v>4279902</v>
      </c>
      <c r="G132" s="1237">
        <v>612</v>
      </c>
      <c r="H132" s="1237">
        <v>241</v>
      </c>
      <c r="I132" s="1232">
        <v>1200</v>
      </c>
      <c r="J132" s="384"/>
    </row>
    <row r="133" spans="2:10" ht="49" x14ac:dyDescent="0.2">
      <c r="B133" s="1262" t="s">
        <v>1131</v>
      </c>
      <c r="C133" s="1263">
        <v>56</v>
      </c>
      <c r="D133" s="1263">
        <v>7</v>
      </c>
      <c r="E133" s="1263">
        <v>4</v>
      </c>
      <c r="F133" s="1263">
        <v>4279902</v>
      </c>
      <c r="G133" s="1241">
        <v>600</v>
      </c>
      <c r="H133" s="1239"/>
      <c r="I133" s="1264">
        <v>41922.519999999997</v>
      </c>
      <c r="J133" s="384"/>
    </row>
    <row r="134" spans="2:10" ht="40" x14ac:dyDescent="0.2">
      <c r="B134" s="1243" t="s">
        <v>764</v>
      </c>
      <c r="C134" s="1245">
        <v>56</v>
      </c>
      <c r="D134" s="1245">
        <v>7</v>
      </c>
      <c r="E134" s="1245">
        <v>4</v>
      </c>
      <c r="F134" s="1245">
        <v>4279902</v>
      </c>
      <c r="G134" s="1245">
        <v>611</v>
      </c>
      <c r="H134" s="1245">
        <v>241</v>
      </c>
      <c r="I134" s="1265">
        <v>41922.519999999997</v>
      </c>
      <c r="J134" s="384"/>
    </row>
    <row r="135" spans="2:10" ht="15" x14ac:dyDescent="0.2">
      <c r="B135" s="1266" t="s">
        <v>78</v>
      </c>
      <c r="C135" s="1267">
        <v>56</v>
      </c>
      <c r="D135" s="1267">
        <v>7</v>
      </c>
      <c r="E135" s="1267">
        <v>4</v>
      </c>
      <c r="F135" s="1267">
        <v>4279902</v>
      </c>
      <c r="G135" s="1267"/>
      <c r="H135" s="1248">
        <v>211</v>
      </c>
      <c r="I135" s="1254">
        <v>27844.400000000001</v>
      </c>
      <c r="J135" s="384"/>
    </row>
    <row r="136" spans="2:10" ht="15" x14ac:dyDescent="0.2">
      <c r="B136" s="1266" t="s">
        <v>83</v>
      </c>
      <c r="C136" s="1267">
        <v>56</v>
      </c>
      <c r="D136" s="1267">
        <v>7</v>
      </c>
      <c r="E136" s="1267">
        <v>4</v>
      </c>
      <c r="F136" s="1267">
        <v>4279902</v>
      </c>
      <c r="G136" s="1267"/>
      <c r="H136" s="1248">
        <v>212</v>
      </c>
      <c r="I136" s="1255">
        <v>96</v>
      </c>
      <c r="J136" s="384"/>
    </row>
    <row r="137" spans="2:10" ht="15" x14ac:dyDescent="0.2">
      <c r="B137" s="1266" t="s">
        <v>84</v>
      </c>
      <c r="C137" s="1267">
        <v>56</v>
      </c>
      <c r="D137" s="1267">
        <v>7</v>
      </c>
      <c r="E137" s="1267">
        <v>4</v>
      </c>
      <c r="F137" s="1267">
        <v>4279902</v>
      </c>
      <c r="G137" s="1267"/>
      <c r="H137" s="1248">
        <v>213</v>
      </c>
      <c r="I137" s="1254">
        <v>8409</v>
      </c>
      <c r="J137" s="384"/>
    </row>
    <row r="138" spans="2:10" ht="15" x14ac:dyDescent="0.2">
      <c r="B138" s="1266" t="s">
        <v>85</v>
      </c>
      <c r="C138" s="1267">
        <v>56</v>
      </c>
      <c r="D138" s="1267">
        <v>7</v>
      </c>
      <c r="E138" s="1267">
        <v>4</v>
      </c>
      <c r="F138" s="1267">
        <v>4279902</v>
      </c>
      <c r="G138" s="1267"/>
      <c r="H138" s="1248">
        <v>221</v>
      </c>
      <c r="I138" s="1255">
        <v>31.1</v>
      </c>
      <c r="J138" s="384"/>
    </row>
    <row r="139" spans="2:10" ht="15" x14ac:dyDescent="0.2">
      <c r="B139" s="1266" t="s">
        <v>86</v>
      </c>
      <c r="C139" s="1267">
        <v>56</v>
      </c>
      <c r="D139" s="1267">
        <v>7</v>
      </c>
      <c r="E139" s="1267">
        <v>4</v>
      </c>
      <c r="F139" s="1267">
        <v>4279902</v>
      </c>
      <c r="G139" s="1267"/>
      <c r="H139" s="1248">
        <v>222</v>
      </c>
      <c r="I139" s="1255">
        <v>0</v>
      </c>
      <c r="J139" s="384"/>
    </row>
    <row r="140" spans="2:10" ht="15" x14ac:dyDescent="0.2">
      <c r="B140" s="1266" t="s">
        <v>87</v>
      </c>
      <c r="C140" s="1267">
        <v>56</v>
      </c>
      <c r="D140" s="1267">
        <v>7</v>
      </c>
      <c r="E140" s="1267">
        <v>4</v>
      </c>
      <c r="F140" s="1267">
        <v>4279902</v>
      </c>
      <c r="G140" s="1267"/>
      <c r="H140" s="1248">
        <v>223</v>
      </c>
      <c r="I140" s="1255">
        <v>472.25</v>
      </c>
      <c r="J140" s="384"/>
    </row>
    <row r="141" spans="2:10" ht="15" x14ac:dyDescent="0.2">
      <c r="B141" s="1266" t="s">
        <v>111</v>
      </c>
      <c r="C141" s="1267">
        <v>56</v>
      </c>
      <c r="D141" s="1267">
        <v>7</v>
      </c>
      <c r="E141" s="1267">
        <v>4</v>
      </c>
      <c r="F141" s="1267">
        <v>4279902</v>
      </c>
      <c r="G141" s="1267"/>
      <c r="H141" s="1248">
        <v>224</v>
      </c>
      <c r="I141" s="1255">
        <v>0</v>
      </c>
      <c r="J141" s="384"/>
    </row>
    <row r="142" spans="2:10" ht="15" x14ac:dyDescent="0.2">
      <c r="B142" s="1266" t="s">
        <v>90</v>
      </c>
      <c r="C142" s="1267">
        <v>56</v>
      </c>
      <c r="D142" s="1267">
        <v>7</v>
      </c>
      <c r="E142" s="1267">
        <v>4</v>
      </c>
      <c r="F142" s="1267">
        <v>4279902</v>
      </c>
      <c r="G142" s="1267"/>
      <c r="H142" s="1248">
        <v>225</v>
      </c>
      <c r="I142" s="1254">
        <v>2324.1999999999998</v>
      </c>
      <c r="J142" s="384"/>
    </row>
    <row r="143" spans="2:10" ht="15" x14ac:dyDescent="0.2">
      <c r="B143" s="1266" t="s">
        <v>91</v>
      </c>
      <c r="C143" s="1267">
        <v>56</v>
      </c>
      <c r="D143" s="1267">
        <v>7</v>
      </c>
      <c r="E143" s="1267">
        <v>4</v>
      </c>
      <c r="F143" s="1267">
        <v>4279902</v>
      </c>
      <c r="G143" s="1267"/>
      <c r="H143" s="1248">
        <v>226</v>
      </c>
      <c r="I143" s="1255">
        <v>61.7</v>
      </c>
      <c r="J143" s="384"/>
    </row>
    <row r="144" spans="2:10" ht="15" x14ac:dyDescent="0.2">
      <c r="B144" s="1266" t="s">
        <v>94</v>
      </c>
      <c r="C144" s="1267">
        <v>56</v>
      </c>
      <c r="D144" s="1267">
        <v>7</v>
      </c>
      <c r="E144" s="1267">
        <v>4</v>
      </c>
      <c r="F144" s="1267">
        <v>4279902</v>
      </c>
      <c r="G144" s="1267"/>
      <c r="H144" s="1248">
        <v>290</v>
      </c>
      <c r="I144" s="1254">
        <v>1933.7</v>
      </c>
      <c r="J144" s="384"/>
    </row>
    <row r="145" spans="2:10" ht="15" x14ac:dyDescent="0.2">
      <c r="B145" s="1266" t="s">
        <v>94</v>
      </c>
      <c r="C145" s="1267">
        <v>56</v>
      </c>
      <c r="D145" s="1267">
        <v>7</v>
      </c>
      <c r="E145" s="1267">
        <v>4</v>
      </c>
      <c r="F145" s="1267">
        <v>4279902</v>
      </c>
      <c r="G145" s="1267"/>
      <c r="H145" s="1248">
        <v>290</v>
      </c>
      <c r="I145" s="1255">
        <v>407.17</v>
      </c>
      <c r="J145" s="384"/>
    </row>
    <row r="146" spans="2:10" ht="15" x14ac:dyDescent="0.2">
      <c r="B146" s="1266" t="s">
        <v>96</v>
      </c>
      <c r="C146" s="1267">
        <v>56</v>
      </c>
      <c r="D146" s="1267">
        <v>7</v>
      </c>
      <c r="E146" s="1267">
        <v>4</v>
      </c>
      <c r="F146" s="1267">
        <v>4279902</v>
      </c>
      <c r="G146" s="1267"/>
      <c r="H146" s="1248">
        <v>310</v>
      </c>
      <c r="I146" s="1255">
        <v>243</v>
      </c>
      <c r="J146" s="384"/>
    </row>
    <row r="147" spans="2:10" ht="15" x14ac:dyDescent="0.2">
      <c r="B147" s="1266" t="s">
        <v>97</v>
      </c>
      <c r="C147" s="1267">
        <v>56</v>
      </c>
      <c r="D147" s="1267">
        <v>7</v>
      </c>
      <c r="E147" s="1267">
        <v>4</v>
      </c>
      <c r="F147" s="1267">
        <v>4279902</v>
      </c>
      <c r="G147" s="1267"/>
      <c r="H147" s="1248">
        <v>340</v>
      </c>
      <c r="I147" s="1255">
        <v>100</v>
      </c>
      <c r="J147" s="384"/>
    </row>
    <row r="148" spans="2:10" ht="15" x14ac:dyDescent="0.2">
      <c r="B148" s="1243" t="s">
        <v>767</v>
      </c>
      <c r="C148" s="1244">
        <v>56</v>
      </c>
      <c r="D148" s="1244">
        <v>7</v>
      </c>
      <c r="E148" s="1244">
        <v>4</v>
      </c>
      <c r="F148" s="1244">
        <v>4279902</v>
      </c>
      <c r="G148" s="1244">
        <v>612</v>
      </c>
      <c r="H148" s="1244">
        <v>241</v>
      </c>
      <c r="I148" s="1252">
        <v>0</v>
      </c>
      <c r="J148" s="384"/>
    </row>
    <row r="149" spans="2:10" ht="49" x14ac:dyDescent="0.2">
      <c r="B149" s="1262" t="s">
        <v>1132</v>
      </c>
      <c r="C149" s="1263">
        <v>56</v>
      </c>
      <c r="D149" s="1263">
        <v>7</v>
      </c>
      <c r="E149" s="1263">
        <v>4</v>
      </c>
      <c r="F149" s="1263">
        <v>4279902</v>
      </c>
      <c r="G149" s="1241">
        <v>600</v>
      </c>
      <c r="H149" s="1239"/>
      <c r="I149" s="1268">
        <v>27371.5</v>
      </c>
      <c r="J149" s="384"/>
    </row>
    <row r="150" spans="2:10" ht="40" x14ac:dyDescent="0.2">
      <c r="B150" s="1243" t="s">
        <v>764</v>
      </c>
      <c r="C150" s="1245">
        <v>56</v>
      </c>
      <c r="D150" s="1245">
        <v>7</v>
      </c>
      <c r="E150" s="1245">
        <v>4</v>
      </c>
      <c r="F150" s="1245">
        <v>4279902</v>
      </c>
      <c r="G150" s="1245">
        <v>611</v>
      </c>
      <c r="H150" s="1245">
        <v>241</v>
      </c>
      <c r="I150" s="1265">
        <v>27371.5</v>
      </c>
      <c r="J150" s="384"/>
    </row>
    <row r="151" spans="2:10" ht="15" x14ac:dyDescent="0.2">
      <c r="B151" s="1266" t="s">
        <v>78</v>
      </c>
      <c r="C151" s="1267">
        <v>56</v>
      </c>
      <c r="D151" s="1267">
        <v>7</v>
      </c>
      <c r="E151" s="1267">
        <v>4</v>
      </c>
      <c r="F151" s="1267">
        <v>4279902</v>
      </c>
      <c r="G151" s="1267"/>
      <c r="H151" s="1248">
        <v>211</v>
      </c>
      <c r="I151" s="1254">
        <v>16407.3</v>
      </c>
      <c r="J151" s="384"/>
    </row>
    <row r="152" spans="2:10" ht="15" x14ac:dyDescent="0.2">
      <c r="B152" s="1266" t="s">
        <v>83</v>
      </c>
      <c r="C152" s="1267">
        <v>56</v>
      </c>
      <c r="D152" s="1267">
        <v>7</v>
      </c>
      <c r="E152" s="1267">
        <v>4</v>
      </c>
      <c r="F152" s="1267">
        <v>4279902</v>
      </c>
      <c r="G152" s="1267"/>
      <c r="H152" s="1248">
        <v>212</v>
      </c>
      <c r="I152" s="1255">
        <v>55.2</v>
      </c>
      <c r="J152" s="384"/>
    </row>
    <row r="153" spans="2:10" ht="15" x14ac:dyDescent="0.2">
      <c r="B153" s="1266" t="s">
        <v>84</v>
      </c>
      <c r="C153" s="1267">
        <v>56</v>
      </c>
      <c r="D153" s="1267">
        <v>7</v>
      </c>
      <c r="E153" s="1267">
        <v>4</v>
      </c>
      <c r="F153" s="1267">
        <v>4279902</v>
      </c>
      <c r="G153" s="1267"/>
      <c r="H153" s="1248">
        <v>213</v>
      </c>
      <c r="I153" s="1254">
        <v>4955</v>
      </c>
      <c r="J153" s="384"/>
    </row>
    <row r="154" spans="2:10" ht="15" x14ac:dyDescent="0.2">
      <c r="B154" s="1266" t="s">
        <v>85</v>
      </c>
      <c r="C154" s="1267">
        <v>56</v>
      </c>
      <c r="D154" s="1267">
        <v>7</v>
      </c>
      <c r="E154" s="1267">
        <v>4</v>
      </c>
      <c r="F154" s="1267">
        <v>4279902</v>
      </c>
      <c r="G154" s="1267"/>
      <c r="H154" s="1248">
        <v>221</v>
      </c>
      <c r="I154" s="1255">
        <v>24.1</v>
      </c>
      <c r="J154" s="384"/>
    </row>
    <row r="155" spans="2:10" ht="15" x14ac:dyDescent="0.2">
      <c r="B155" s="1266" t="s">
        <v>86</v>
      </c>
      <c r="C155" s="1267">
        <v>56</v>
      </c>
      <c r="D155" s="1267">
        <v>7</v>
      </c>
      <c r="E155" s="1267">
        <v>4</v>
      </c>
      <c r="F155" s="1267">
        <v>4279902</v>
      </c>
      <c r="G155" s="1267"/>
      <c r="H155" s="1248">
        <v>222</v>
      </c>
      <c r="I155" s="1255">
        <v>20</v>
      </c>
      <c r="J155" s="384"/>
    </row>
    <row r="156" spans="2:10" ht="15" x14ac:dyDescent="0.2">
      <c r="B156" s="1266" t="s">
        <v>87</v>
      </c>
      <c r="C156" s="1267">
        <v>56</v>
      </c>
      <c r="D156" s="1267">
        <v>7</v>
      </c>
      <c r="E156" s="1267">
        <v>4</v>
      </c>
      <c r="F156" s="1267">
        <v>4279902</v>
      </c>
      <c r="G156" s="1267"/>
      <c r="H156" s="1248">
        <v>223</v>
      </c>
      <c r="I156" s="1255">
        <v>450.4</v>
      </c>
      <c r="J156" s="384"/>
    </row>
    <row r="157" spans="2:10" ht="15" x14ac:dyDescent="0.2">
      <c r="B157" s="1266" t="s">
        <v>111</v>
      </c>
      <c r="C157" s="1267">
        <v>56</v>
      </c>
      <c r="D157" s="1267">
        <v>7</v>
      </c>
      <c r="E157" s="1267">
        <v>4</v>
      </c>
      <c r="F157" s="1267">
        <v>4279902</v>
      </c>
      <c r="G157" s="1267"/>
      <c r="H157" s="1248">
        <v>224</v>
      </c>
      <c r="I157" s="1255">
        <v>0</v>
      </c>
      <c r="J157" s="384"/>
    </row>
    <row r="158" spans="2:10" ht="15" x14ac:dyDescent="0.2">
      <c r="B158" s="1266" t="s">
        <v>90</v>
      </c>
      <c r="C158" s="1267">
        <v>56</v>
      </c>
      <c r="D158" s="1267">
        <v>7</v>
      </c>
      <c r="E158" s="1267">
        <v>4</v>
      </c>
      <c r="F158" s="1267">
        <v>4279902</v>
      </c>
      <c r="G158" s="1267"/>
      <c r="H158" s="1248">
        <v>225</v>
      </c>
      <c r="I158" s="1254">
        <v>2852</v>
      </c>
      <c r="J158" s="384"/>
    </row>
    <row r="159" spans="2:10" ht="15" x14ac:dyDescent="0.2">
      <c r="B159" s="1266" t="s">
        <v>91</v>
      </c>
      <c r="C159" s="1267">
        <v>56</v>
      </c>
      <c r="D159" s="1267">
        <v>7</v>
      </c>
      <c r="E159" s="1267">
        <v>4</v>
      </c>
      <c r="F159" s="1267">
        <v>4279902</v>
      </c>
      <c r="G159" s="1267"/>
      <c r="H159" s="1248">
        <v>226</v>
      </c>
      <c r="I159" s="1255">
        <v>78</v>
      </c>
      <c r="J159" s="384"/>
    </row>
    <row r="160" spans="2:10" ht="15" x14ac:dyDescent="0.2">
      <c r="B160" s="1266" t="s">
        <v>94</v>
      </c>
      <c r="C160" s="1267">
        <v>56</v>
      </c>
      <c r="D160" s="1267">
        <v>7</v>
      </c>
      <c r="E160" s="1267">
        <v>4</v>
      </c>
      <c r="F160" s="1267">
        <v>4279902</v>
      </c>
      <c r="G160" s="1267"/>
      <c r="H160" s="1248">
        <v>290</v>
      </c>
      <c r="I160" s="1254">
        <v>2141.6999999999998</v>
      </c>
      <c r="J160" s="384"/>
    </row>
    <row r="161" spans="2:10" ht="15" x14ac:dyDescent="0.2">
      <c r="B161" s="1266" t="s">
        <v>94</v>
      </c>
      <c r="C161" s="1267">
        <v>56</v>
      </c>
      <c r="D161" s="1267">
        <v>7</v>
      </c>
      <c r="E161" s="1267">
        <v>4</v>
      </c>
      <c r="F161" s="1267">
        <v>4279902</v>
      </c>
      <c r="G161" s="1267"/>
      <c r="H161" s="1248">
        <v>290</v>
      </c>
      <c r="I161" s="1255">
        <v>47.8</v>
      </c>
      <c r="J161" s="384"/>
    </row>
    <row r="162" spans="2:10" ht="15" x14ac:dyDescent="0.2">
      <c r="B162" s="1266" t="s">
        <v>96</v>
      </c>
      <c r="C162" s="1267">
        <v>56</v>
      </c>
      <c r="D162" s="1267">
        <v>7</v>
      </c>
      <c r="E162" s="1267">
        <v>4</v>
      </c>
      <c r="F162" s="1267">
        <v>4279902</v>
      </c>
      <c r="G162" s="1267"/>
      <c r="H162" s="1248">
        <v>310</v>
      </c>
      <c r="I162" s="1255">
        <v>270</v>
      </c>
      <c r="J162" s="384"/>
    </row>
    <row r="163" spans="2:10" ht="15" x14ac:dyDescent="0.2">
      <c r="B163" s="1266" t="s">
        <v>97</v>
      </c>
      <c r="C163" s="1267">
        <v>56</v>
      </c>
      <c r="D163" s="1267">
        <v>7</v>
      </c>
      <c r="E163" s="1267">
        <v>4</v>
      </c>
      <c r="F163" s="1267">
        <v>4279902</v>
      </c>
      <c r="G163" s="1267"/>
      <c r="H163" s="1248">
        <v>340</v>
      </c>
      <c r="I163" s="1255">
        <v>70</v>
      </c>
      <c r="J163" s="384"/>
    </row>
    <row r="164" spans="2:10" ht="15" x14ac:dyDescent="0.2">
      <c r="B164" s="1243" t="s">
        <v>767</v>
      </c>
      <c r="C164" s="1244">
        <v>56</v>
      </c>
      <c r="D164" s="1244">
        <v>7</v>
      </c>
      <c r="E164" s="1244">
        <v>4</v>
      </c>
      <c r="F164" s="1244">
        <v>4279902</v>
      </c>
      <c r="G164" s="1244">
        <v>612</v>
      </c>
      <c r="H164" s="1244">
        <v>241</v>
      </c>
      <c r="I164" s="1252">
        <v>0</v>
      </c>
      <c r="J164" s="384"/>
    </row>
    <row r="165" spans="2:10" ht="49" x14ac:dyDescent="0.2">
      <c r="B165" s="1262" t="s">
        <v>1133</v>
      </c>
      <c r="C165" s="1263">
        <v>56</v>
      </c>
      <c r="D165" s="1263">
        <v>7</v>
      </c>
      <c r="E165" s="1263">
        <v>4</v>
      </c>
      <c r="F165" s="1263">
        <v>4279902</v>
      </c>
      <c r="G165" s="1241">
        <v>600</v>
      </c>
      <c r="H165" s="1269"/>
      <c r="I165" s="1264">
        <v>35386.800000000003</v>
      </c>
      <c r="J165" s="384"/>
    </row>
    <row r="166" spans="2:10" ht="40" x14ac:dyDescent="0.2">
      <c r="B166" s="1243" t="s">
        <v>764</v>
      </c>
      <c r="C166" s="1245">
        <v>56</v>
      </c>
      <c r="D166" s="1245">
        <v>7</v>
      </c>
      <c r="E166" s="1245">
        <v>4</v>
      </c>
      <c r="F166" s="1245">
        <v>4279902</v>
      </c>
      <c r="G166" s="1245">
        <v>611</v>
      </c>
      <c r="H166" s="1245">
        <v>241</v>
      </c>
      <c r="I166" s="1265">
        <v>34186.800000000003</v>
      </c>
      <c r="J166" s="384"/>
    </row>
    <row r="167" spans="2:10" ht="15" x14ac:dyDescent="0.2">
      <c r="B167" s="1266" t="s">
        <v>78</v>
      </c>
      <c r="C167" s="1267">
        <v>56</v>
      </c>
      <c r="D167" s="1267">
        <v>7</v>
      </c>
      <c r="E167" s="1267">
        <v>4</v>
      </c>
      <c r="F167" s="1267">
        <v>4279902</v>
      </c>
      <c r="G167" s="1267"/>
      <c r="H167" s="1248">
        <v>211</v>
      </c>
      <c r="I167" s="1254">
        <v>23985.9</v>
      </c>
      <c r="J167" s="384"/>
    </row>
    <row r="168" spans="2:10" ht="15" x14ac:dyDescent="0.2">
      <c r="B168" s="1266" t="s">
        <v>83</v>
      </c>
      <c r="C168" s="1267">
        <v>56</v>
      </c>
      <c r="D168" s="1267">
        <v>7</v>
      </c>
      <c r="E168" s="1267">
        <v>4</v>
      </c>
      <c r="F168" s="1267">
        <v>4279902</v>
      </c>
      <c r="G168" s="1267"/>
      <c r="H168" s="1248">
        <v>212</v>
      </c>
      <c r="I168" s="1255">
        <v>60</v>
      </c>
      <c r="J168" s="384"/>
    </row>
    <row r="169" spans="2:10" ht="15" x14ac:dyDescent="0.2">
      <c r="B169" s="1266" t="s">
        <v>84</v>
      </c>
      <c r="C169" s="1267">
        <v>56</v>
      </c>
      <c r="D169" s="1267">
        <v>7</v>
      </c>
      <c r="E169" s="1267">
        <v>4</v>
      </c>
      <c r="F169" s="1267">
        <v>4279902</v>
      </c>
      <c r="G169" s="1267"/>
      <c r="H169" s="1248">
        <v>213</v>
      </c>
      <c r="I169" s="1254">
        <v>7243.8</v>
      </c>
      <c r="J169" s="384"/>
    </row>
    <row r="170" spans="2:10" ht="15" x14ac:dyDescent="0.2">
      <c r="B170" s="1266" t="s">
        <v>85</v>
      </c>
      <c r="C170" s="1267">
        <v>56</v>
      </c>
      <c r="D170" s="1267">
        <v>7</v>
      </c>
      <c r="E170" s="1267">
        <v>4</v>
      </c>
      <c r="F170" s="1267">
        <v>4279902</v>
      </c>
      <c r="G170" s="1267"/>
      <c r="H170" s="1248">
        <v>221</v>
      </c>
      <c r="I170" s="1255">
        <v>16.600000000000001</v>
      </c>
      <c r="J170" s="384"/>
    </row>
    <row r="171" spans="2:10" ht="15" x14ac:dyDescent="0.2">
      <c r="B171" s="1266" t="s">
        <v>86</v>
      </c>
      <c r="C171" s="1267">
        <v>56</v>
      </c>
      <c r="D171" s="1267">
        <v>7</v>
      </c>
      <c r="E171" s="1267">
        <v>4</v>
      </c>
      <c r="F171" s="1267">
        <v>4279902</v>
      </c>
      <c r="G171" s="1267"/>
      <c r="H171" s="1248">
        <v>222</v>
      </c>
      <c r="I171" s="1255">
        <v>0</v>
      </c>
      <c r="J171" s="384"/>
    </row>
    <row r="172" spans="2:10" ht="15" x14ac:dyDescent="0.2">
      <c r="B172" s="1266" t="s">
        <v>87</v>
      </c>
      <c r="C172" s="1267">
        <v>56</v>
      </c>
      <c r="D172" s="1267">
        <v>7</v>
      </c>
      <c r="E172" s="1267">
        <v>4</v>
      </c>
      <c r="F172" s="1267">
        <v>4279902</v>
      </c>
      <c r="G172" s="1267"/>
      <c r="H172" s="1248">
        <v>223</v>
      </c>
      <c r="I172" s="1255">
        <v>343.9</v>
      </c>
      <c r="J172" s="384"/>
    </row>
    <row r="173" spans="2:10" ht="15" x14ac:dyDescent="0.2">
      <c r="B173" s="1266" t="s">
        <v>111</v>
      </c>
      <c r="C173" s="1267">
        <v>56</v>
      </c>
      <c r="D173" s="1267">
        <v>7</v>
      </c>
      <c r="E173" s="1267">
        <v>4</v>
      </c>
      <c r="F173" s="1267">
        <v>4279902</v>
      </c>
      <c r="G173" s="1267"/>
      <c r="H173" s="1248">
        <v>224</v>
      </c>
      <c r="I173" s="1255">
        <v>0</v>
      </c>
      <c r="J173" s="384"/>
    </row>
    <row r="174" spans="2:10" ht="15" x14ac:dyDescent="0.2">
      <c r="B174" s="1266" t="s">
        <v>90</v>
      </c>
      <c r="C174" s="1267">
        <v>56</v>
      </c>
      <c r="D174" s="1267">
        <v>7</v>
      </c>
      <c r="E174" s="1267">
        <v>4</v>
      </c>
      <c r="F174" s="1267">
        <v>4279902</v>
      </c>
      <c r="G174" s="1267"/>
      <c r="H174" s="1248">
        <v>225</v>
      </c>
      <c r="I174" s="1255">
        <v>79.2</v>
      </c>
      <c r="J174" s="384"/>
    </row>
    <row r="175" spans="2:10" ht="15" x14ac:dyDescent="0.2">
      <c r="B175" s="1266" t="s">
        <v>91</v>
      </c>
      <c r="C175" s="1267">
        <v>56</v>
      </c>
      <c r="D175" s="1267">
        <v>7</v>
      </c>
      <c r="E175" s="1267">
        <v>4</v>
      </c>
      <c r="F175" s="1267">
        <v>4279902</v>
      </c>
      <c r="G175" s="1267"/>
      <c r="H175" s="1248">
        <v>226</v>
      </c>
      <c r="I175" s="1255">
        <v>857.2</v>
      </c>
      <c r="J175" s="384"/>
    </row>
    <row r="176" spans="2:10" ht="15" x14ac:dyDescent="0.2">
      <c r="B176" s="1266" t="s">
        <v>94</v>
      </c>
      <c r="C176" s="1267">
        <v>56</v>
      </c>
      <c r="D176" s="1267">
        <v>7</v>
      </c>
      <c r="E176" s="1267">
        <v>4</v>
      </c>
      <c r="F176" s="1267">
        <v>4279902</v>
      </c>
      <c r="G176" s="1267"/>
      <c r="H176" s="1248">
        <v>290</v>
      </c>
      <c r="I176" s="1254">
        <v>1070.5999999999999</v>
      </c>
      <c r="J176" s="384"/>
    </row>
    <row r="177" spans="2:10" ht="15" x14ac:dyDescent="0.2">
      <c r="B177" s="1266" t="s">
        <v>94</v>
      </c>
      <c r="C177" s="1267">
        <v>56</v>
      </c>
      <c r="D177" s="1267">
        <v>7</v>
      </c>
      <c r="E177" s="1267">
        <v>4</v>
      </c>
      <c r="F177" s="1267">
        <v>4279902</v>
      </c>
      <c r="G177" s="1267"/>
      <c r="H177" s="1248">
        <v>290</v>
      </c>
      <c r="I177" s="1255">
        <v>169.6</v>
      </c>
      <c r="J177" s="384"/>
    </row>
    <row r="178" spans="2:10" ht="15" x14ac:dyDescent="0.2">
      <c r="B178" s="1266" t="s">
        <v>96</v>
      </c>
      <c r="C178" s="1267">
        <v>56</v>
      </c>
      <c r="D178" s="1267">
        <v>7</v>
      </c>
      <c r="E178" s="1267">
        <v>4</v>
      </c>
      <c r="F178" s="1267">
        <v>4279902</v>
      </c>
      <c r="G178" s="1267"/>
      <c r="H178" s="1248">
        <v>310</v>
      </c>
      <c r="I178" s="1255">
        <v>300</v>
      </c>
      <c r="J178" s="384"/>
    </row>
    <row r="179" spans="2:10" ht="15" x14ac:dyDescent="0.2">
      <c r="B179" s="1266" t="s">
        <v>97</v>
      </c>
      <c r="C179" s="1267">
        <v>56</v>
      </c>
      <c r="D179" s="1267">
        <v>7</v>
      </c>
      <c r="E179" s="1267">
        <v>4</v>
      </c>
      <c r="F179" s="1267">
        <v>4279902</v>
      </c>
      <c r="G179" s="1267"/>
      <c r="H179" s="1248">
        <v>340</v>
      </c>
      <c r="I179" s="1255">
        <v>60</v>
      </c>
      <c r="J179" s="384"/>
    </row>
    <row r="180" spans="2:10" ht="15" x14ac:dyDescent="0.2">
      <c r="B180" s="1243" t="s">
        <v>767</v>
      </c>
      <c r="C180" s="1244">
        <v>56</v>
      </c>
      <c r="D180" s="1244">
        <v>7</v>
      </c>
      <c r="E180" s="1244">
        <v>4</v>
      </c>
      <c r="F180" s="1244">
        <v>4279902</v>
      </c>
      <c r="G180" s="1244">
        <v>612</v>
      </c>
      <c r="H180" s="1244">
        <v>241</v>
      </c>
      <c r="I180" s="1270">
        <v>1200</v>
      </c>
      <c r="J180" s="384"/>
    </row>
    <row r="181" spans="2:10" ht="37" x14ac:dyDescent="0.2">
      <c r="B181" s="1262" t="s">
        <v>1134</v>
      </c>
      <c r="C181" s="1263">
        <v>56</v>
      </c>
      <c r="D181" s="1263">
        <v>7</v>
      </c>
      <c r="E181" s="1263">
        <v>4</v>
      </c>
      <c r="F181" s="1263">
        <v>4279902</v>
      </c>
      <c r="G181" s="1241">
        <v>600</v>
      </c>
      <c r="H181" s="1269"/>
      <c r="I181" s="1264">
        <v>20293.8</v>
      </c>
      <c r="J181" s="384"/>
    </row>
    <row r="182" spans="2:10" ht="40" x14ac:dyDescent="0.2">
      <c r="B182" s="1243" t="s">
        <v>764</v>
      </c>
      <c r="C182" s="1245">
        <v>56</v>
      </c>
      <c r="D182" s="1245">
        <v>7</v>
      </c>
      <c r="E182" s="1245">
        <v>4</v>
      </c>
      <c r="F182" s="1245">
        <v>4279902</v>
      </c>
      <c r="G182" s="1245">
        <v>611</v>
      </c>
      <c r="H182" s="1245">
        <v>241</v>
      </c>
      <c r="I182" s="1265">
        <v>20293.8</v>
      </c>
      <c r="J182" s="384"/>
    </row>
    <row r="183" spans="2:10" ht="15" x14ac:dyDescent="0.2">
      <c r="B183" s="1266" t="s">
        <v>78</v>
      </c>
      <c r="C183" s="1267">
        <v>56</v>
      </c>
      <c r="D183" s="1267">
        <v>7</v>
      </c>
      <c r="E183" s="1267">
        <v>4</v>
      </c>
      <c r="F183" s="1267">
        <v>4279902</v>
      </c>
      <c r="G183" s="1267"/>
      <c r="H183" s="1248">
        <v>211</v>
      </c>
      <c r="I183" s="1254">
        <v>14605.2</v>
      </c>
      <c r="J183" s="384"/>
    </row>
    <row r="184" spans="2:10" ht="15" x14ac:dyDescent="0.2">
      <c r="B184" s="1266" t="s">
        <v>83</v>
      </c>
      <c r="C184" s="1267">
        <v>56</v>
      </c>
      <c r="D184" s="1267">
        <v>7</v>
      </c>
      <c r="E184" s="1267">
        <v>4</v>
      </c>
      <c r="F184" s="1267">
        <v>4279902</v>
      </c>
      <c r="G184" s="1267"/>
      <c r="H184" s="1248">
        <v>212</v>
      </c>
      <c r="I184" s="1255">
        <v>56.4</v>
      </c>
      <c r="J184" s="384"/>
    </row>
    <row r="185" spans="2:10" ht="15" x14ac:dyDescent="0.2">
      <c r="B185" s="1266" t="s">
        <v>84</v>
      </c>
      <c r="C185" s="1267">
        <v>56</v>
      </c>
      <c r="D185" s="1267">
        <v>7</v>
      </c>
      <c r="E185" s="1267">
        <v>4</v>
      </c>
      <c r="F185" s="1267">
        <v>4279902</v>
      </c>
      <c r="G185" s="1267"/>
      <c r="H185" s="1248">
        <v>213</v>
      </c>
      <c r="I185" s="1254">
        <v>4410.8</v>
      </c>
      <c r="J185" s="384"/>
    </row>
    <row r="186" spans="2:10" ht="15" x14ac:dyDescent="0.2">
      <c r="B186" s="1266" t="s">
        <v>85</v>
      </c>
      <c r="C186" s="1267">
        <v>56</v>
      </c>
      <c r="D186" s="1267">
        <v>7</v>
      </c>
      <c r="E186" s="1267">
        <v>4</v>
      </c>
      <c r="F186" s="1267">
        <v>4279902</v>
      </c>
      <c r="G186" s="1267"/>
      <c r="H186" s="1248">
        <v>221</v>
      </c>
      <c r="I186" s="1255">
        <v>14.5</v>
      </c>
      <c r="J186" s="384"/>
    </row>
    <row r="187" spans="2:10" ht="15" x14ac:dyDescent="0.2">
      <c r="B187" s="1266" t="s">
        <v>86</v>
      </c>
      <c r="C187" s="1267">
        <v>56</v>
      </c>
      <c r="D187" s="1267">
        <v>7</v>
      </c>
      <c r="E187" s="1267">
        <v>4</v>
      </c>
      <c r="F187" s="1267">
        <v>4279902</v>
      </c>
      <c r="G187" s="1267"/>
      <c r="H187" s="1248">
        <v>222</v>
      </c>
      <c r="I187" s="1255">
        <v>60</v>
      </c>
      <c r="J187" s="384"/>
    </row>
    <row r="188" spans="2:10" ht="15" x14ac:dyDescent="0.2">
      <c r="B188" s="1266" t="s">
        <v>87</v>
      </c>
      <c r="C188" s="1267">
        <v>56</v>
      </c>
      <c r="D188" s="1267">
        <v>7</v>
      </c>
      <c r="E188" s="1267">
        <v>4</v>
      </c>
      <c r="F188" s="1267">
        <v>4279902</v>
      </c>
      <c r="G188" s="1267"/>
      <c r="H188" s="1248">
        <v>223</v>
      </c>
      <c r="I188" s="1255">
        <v>35.4</v>
      </c>
      <c r="J188" s="384"/>
    </row>
    <row r="189" spans="2:10" ht="15" x14ac:dyDescent="0.2">
      <c r="B189" s="1266" t="s">
        <v>111</v>
      </c>
      <c r="C189" s="1267">
        <v>56</v>
      </c>
      <c r="D189" s="1267">
        <v>7</v>
      </c>
      <c r="E189" s="1267">
        <v>4</v>
      </c>
      <c r="F189" s="1267">
        <v>4279902</v>
      </c>
      <c r="G189" s="1267"/>
      <c r="H189" s="1248">
        <v>224</v>
      </c>
      <c r="I189" s="1255">
        <v>6</v>
      </c>
      <c r="J189" s="384"/>
    </row>
    <row r="190" spans="2:10" ht="15" x14ac:dyDescent="0.2">
      <c r="B190" s="1266" t="s">
        <v>90</v>
      </c>
      <c r="C190" s="1267">
        <v>56</v>
      </c>
      <c r="D190" s="1267">
        <v>7</v>
      </c>
      <c r="E190" s="1267">
        <v>4</v>
      </c>
      <c r="F190" s="1267">
        <v>4279902</v>
      </c>
      <c r="G190" s="1267"/>
      <c r="H190" s="1248">
        <v>225</v>
      </c>
      <c r="I190" s="1255">
        <v>65</v>
      </c>
      <c r="J190" s="384"/>
    </row>
    <row r="191" spans="2:10" ht="15" x14ac:dyDescent="0.2">
      <c r="B191" s="1266" t="s">
        <v>91</v>
      </c>
      <c r="C191" s="1267">
        <v>56</v>
      </c>
      <c r="D191" s="1267">
        <v>7</v>
      </c>
      <c r="E191" s="1267">
        <v>4</v>
      </c>
      <c r="F191" s="1267">
        <v>4279902</v>
      </c>
      <c r="G191" s="1267"/>
      <c r="H191" s="1248">
        <v>226</v>
      </c>
      <c r="I191" s="1255">
        <v>95.5</v>
      </c>
      <c r="J191" s="384"/>
    </row>
    <row r="192" spans="2:10" ht="15" x14ac:dyDescent="0.2">
      <c r="B192" s="1266" t="s">
        <v>94</v>
      </c>
      <c r="C192" s="1267">
        <v>56</v>
      </c>
      <c r="D192" s="1267">
        <v>7</v>
      </c>
      <c r="E192" s="1267">
        <v>4</v>
      </c>
      <c r="F192" s="1267">
        <v>4279902</v>
      </c>
      <c r="G192" s="1267"/>
      <c r="H192" s="1248">
        <v>290</v>
      </c>
      <c r="I192" s="1255">
        <v>662.6</v>
      </c>
      <c r="J192" s="384"/>
    </row>
    <row r="193" spans="2:10" ht="15" x14ac:dyDescent="0.2">
      <c r="B193" s="1266" t="s">
        <v>94</v>
      </c>
      <c r="C193" s="1267">
        <v>56</v>
      </c>
      <c r="D193" s="1267">
        <v>7</v>
      </c>
      <c r="E193" s="1267">
        <v>4</v>
      </c>
      <c r="F193" s="1267">
        <v>4279902</v>
      </c>
      <c r="G193" s="1267"/>
      <c r="H193" s="1248">
        <v>290</v>
      </c>
      <c r="I193" s="1255">
        <v>23.4</v>
      </c>
      <c r="J193" s="384"/>
    </row>
    <row r="194" spans="2:10" ht="15" x14ac:dyDescent="0.2">
      <c r="B194" s="1266" t="s">
        <v>96</v>
      </c>
      <c r="C194" s="1267">
        <v>56</v>
      </c>
      <c r="D194" s="1267">
        <v>7</v>
      </c>
      <c r="E194" s="1267">
        <v>4</v>
      </c>
      <c r="F194" s="1267">
        <v>4279902</v>
      </c>
      <c r="G194" s="1267"/>
      <c r="H194" s="1248">
        <v>310</v>
      </c>
      <c r="I194" s="1255">
        <v>221</v>
      </c>
      <c r="J194" s="384"/>
    </row>
    <row r="195" spans="2:10" ht="15" x14ac:dyDescent="0.2">
      <c r="B195" s="1266" t="s">
        <v>97</v>
      </c>
      <c r="C195" s="1267">
        <v>56</v>
      </c>
      <c r="D195" s="1267">
        <v>7</v>
      </c>
      <c r="E195" s="1267">
        <v>4</v>
      </c>
      <c r="F195" s="1267">
        <v>4279902</v>
      </c>
      <c r="G195" s="1267"/>
      <c r="H195" s="1248">
        <v>340</v>
      </c>
      <c r="I195" s="1255">
        <v>38</v>
      </c>
      <c r="J195" s="384"/>
    </row>
    <row r="196" spans="2:10" ht="15" x14ac:dyDescent="0.2">
      <c r="B196" s="1243" t="s">
        <v>767</v>
      </c>
      <c r="C196" s="1244">
        <v>56</v>
      </c>
      <c r="D196" s="1244">
        <v>7</v>
      </c>
      <c r="E196" s="1244">
        <v>4</v>
      </c>
      <c r="F196" s="1244">
        <v>4279902</v>
      </c>
      <c r="G196" s="1244">
        <v>612</v>
      </c>
      <c r="H196" s="1244">
        <v>241</v>
      </c>
      <c r="I196" s="1252">
        <v>0</v>
      </c>
      <c r="J196" s="384"/>
    </row>
    <row r="197" spans="2:10" ht="27" x14ac:dyDescent="0.2">
      <c r="B197" s="1257" t="s">
        <v>773</v>
      </c>
      <c r="C197" s="1222">
        <v>56</v>
      </c>
      <c r="D197" s="1222">
        <v>7</v>
      </c>
      <c r="E197" s="1222">
        <v>5</v>
      </c>
      <c r="F197" s="1222"/>
      <c r="G197" s="1222"/>
      <c r="H197" s="1222"/>
      <c r="I197" s="1223">
        <v>6602.3</v>
      </c>
      <c r="J197" s="384"/>
    </row>
    <row r="198" spans="2:10" ht="29" x14ac:dyDescent="0.2">
      <c r="B198" s="1258" t="s">
        <v>1102</v>
      </c>
      <c r="C198" s="1259">
        <v>56</v>
      </c>
      <c r="D198" s="1259">
        <v>7</v>
      </c>
      <c r="E198" s="1259">
        <v>5</v>
      </c>
      <c r="F198" s="1259">
        <v>4290000</v>
      </c>
      <c r="G198" s="1222"/>
      <c r="H198" s="1222"/>
      <c r="I198" s="1223">
        <v>6602.3</v>
      </c>
      <c r="J198" s="384"/>
    </row>
    <row r="199" spans="2:10" ht="53" x14ac:dyDescent="0.2">
      <c r="B199" s="1224" t="s">
        <v>774</v>
      </c>
      <c r="C199" s="1225">
        <v>56</v>
      </c>
      <c r="D199" s="1225">
        <v>7</v>
      </c>
      <c r="E199" s="1225">
        <v>5</v>
      </c>
      <c r="F199" s="1225">
        <v>4299901</v>
      </c>
      <c r="G199" s="1257"/>
      <c r="H199" s="1257"/>
      <c r="I199" s="1235">
        <v>6602.3</v>
      </c>
      <c r="J199" s="384"/>
    </row>
    <row r="200" spans="2:10" ht="15" x14ac:dyDescent="0.2">
      <c r="B200" s="1226" t="s">
        <v>1125</v>
      </c>
      <c r="C200" s="1227">
        <v>56</v>
      </c>
      <c r="D200" s="1227">
        <v>7</v>
      </c>
      <c r="E200" s="1227">
        <v>5</v>
      </c>
      <c r="F200" s="1227">
        <v>4299901</v>
      </c>
      <c r="G200" s="1227">
        <v>600</v>
      </c>
      <c r="H200" s="1271"/>
      <c r="I200" s="1229">
        <v>6602.3</v>
      </c>
      <c r="J200" s="384"/>
    </row>
    <row r="201" spans="2:10" ht="53" x14ac:dyDescent="0.2">
      <c r="B201" s="1230" t="s">
        <v>1135</v>
      </c>
      <c r="C201" s="1231">
        <v>56</v>
      </c>
      <c r="D201" s="1231">
        <v>7</v>
      </c>
      <c r="E201" s="1231">
        <v>5</v>
      </c>
      <c r="F201" s="1231">
        <v>4299901</v>
      </c>
      <c r="G201" s="1231">
        <v>611</v>
      </c>
      <c r="H201" s="1230">
        <v>241</v>
      </c>
      <c r="I201" s="1232">
        <v>6602.3</v>
      </c>
      <c r="J201" s="384"/>
    </row>
    <row r="202" spans="2:10" ht="15" x14ac:dyDescent="0.2">
      <c r="B202" s="1233" t="s">
        <v>78</v>
      </c>
      <c r="C202" s="1234">
        <v>56</v>
      </c>
      <c r="D202" s="1234">
        <v>7</v>
      </c>
      <c r="E202" s="1234">
        <v>5</v>
      </c>
      <c r="F202" s="1234">
        <v>4299901</v>
      </c>
      <c r="G202" s="1234"/>
      <c r="H202" s="1234">
        <v>211</v>
      </c>
      <c r="I202" s="1235">
        <v>4906.1000000000004</v>
      </c>
      <c r="J202" s="384"/>
    </row>
    <row r="203" spans="2:10" ht="15" x14ac:dyDescent="0.2">
      <c r="B203" s="1233" t="s">
        <v>83</v>
      </c>
      <c r="C203" s="1234">
        <v>56</v>
      </c>
      <c r="D203" s="1234">
        <v>7</v>
      </c>
      <c r="E203" s="1234">
        <v>5</v>
      </c>
      <c r="F203" s="1234">
        <v>4299901</v>
      </c>
      <c r="G203" s="1234"/>
      <c r="H203" s="1234">
        <v>212</v>
      </c>
      <c r="I203" s="1236">
        <v>4.8</v>
      </c>
      <c r="J203" s="384"/>
    </row>
    <row r="204" spans="2:10" ht="15" x14ac:dyDescent="0.2">
      <c r="B204" s="1233" t="s">
        <v>84</v>
      </c>
      <c r="C204" s="1234">
        <v>56</v>
      </c>
      <c r="D204" s="1234">
        <v>7</v>
      </c>
      <c r="E204" s="1234">
        <v>5</v>
      </c>
      <c r="F204" s="1234">
        <v>4299901</v>
      </c>
      <c r="G204" s="1234"/>
      <c r="H204" s="1234">
        <v>213</v>
      </c>
      <c r="I204" s="1235">
        <v>1481.6</v>
      </c>
      <c r="J204" s="384"/>
    </row>
    <row r="205" spans="2:10" ht="15" x14ac:dyDescent="0.2">
      <c r="B205" s="1233" t="s">
        <v>85</v>
      </c>
      <c r="C205" s="1234">
        <v>56</v>
      </c>
      <c r="D205" s="1234">
        <v>7</v>
      </c>
      <c r="E205" s="1234">
        <v>5</v>
      </c>
      <c r="F205" s="1234">
        <v>4299901</v>
      </c>
      <c r="G205" s="1234"/>
      <c r="H205" s="1234">
        <v>221</v>
      </c>
      <c r="I205" s="1236">
        <v>31.7</v>
      </c>
      <c r="J205" s="384"/>
    </row>
    <row r="206" spans="2:10" ht="15" x14ac:dyDescent="0.2">
      <c r="B206" s="1233" t="s">
        <v>86</v>
      </c>
      <c r="C206" s="1234">
        <v>56</v>
      </c>
      <c r="D206" s="1234">
        <v>7</v>
      </c>
      <c r="E206" s="1234">
        <v>5</v>
      </c>
      <c r="F206" s="1234">
        <v>4299901</v>
      </c>
      <c r="G206" s="1234"/>
      <c r="H206" s="1234">
        <v>222</v>
      </c>
      <c r="I206" s="1236">
        <v>0</v>
      </c>
      <c r="J206" s="384"/>
    </row>
    <row r="207" spans="2:10" ht="15" x14ac:dyDescent="0.2">
      <c r="B207" s="1233" t="s">
        <v>87</v>
      </c>
      <c r="C207" s="1234">
        <v>56</v>
      </c>
      <c r="D207" s="1234">
        <v>7</v>
      </c>
      <c r="E207" s="1234">
        <v>5</v>
      </c>
      <c r="F207" s="1234">
        <v>4299901</v>
      </c>
      <c r="G207" s="1234"/>
      <c r="H207" s="1234">
        <v>223</v>
      </c>
      <c r="I207" s="1236">
        <v>0</v>
      </c>
      <c r="J207" s="384"/>
    </row>
    <row r="208" spans="2:10" ht="15" x14ac:dyDescent="0.2">
      <c r="B208" s="1233" t="s">
        <v>111</v>
      </c>
      <c r="C208" s="1234">
        <v>56</v>
      </c>
      <c r="D208" s="1234">
        <v>7</v>
      </c>
      <c r="E208" s="1234">
        <v>5</v>
      </c>
      <c r="F208" s="1234">
        <v>4299901</v>
      </c>
      <c r="G208" s="1234"/>
      <c r="H208" s="1234">
        <v>224</v>
      </c>
      <c r="I208" s="1236">
        <v>0</v>
      </c>
      <c r="J208" s="384"/>
    </row>
    <row r="209" spans="2:10" ht="15" x14ac:dyDescent="0.2">
      <c r="B209" s="1233" t="s">
        <v>90</v>
      </c>
      <c r="C209" s="1234">
        <v>56</v>
      </c>
      <c r="D209" s="1234">
        <v>7</v>
      </c>
      <c r="E209" s="1234">
        <v>5</v>
      </c>
      <c r="F209" s="1234">
        <v>4299901</v>
      </c>
      <c r="G209" s="1234"/>
      <c r="H209" s="1234">
        <v>225</v>
      </c>
      <c r="I209" s="1236">
        <v>0</v>
      </c>
      <c r="J209" s="384"/>
    </row>
    <row r="210" spans="2:10" ht="15" x14ac:dyDescent="0.2">
      <c r="B210" s="1233" t="s">
        <v>91</v>
      </c>
      <c r="C210" s="1234">
        <v>56</v>
      </c>
      <c r="D210" s="1234">
        <v>7</v>
      </c>
      <c r="E210" s="1234">
        <v>5</v>
      </c>
      <c r="F210" s="1234">
        <v>4299901</v>
      </c>
      <c r="G210" s="1234"/>
      <c r="H210" s="1234">
        <v>226</v>
      </c>
      <c r="I210" s="1272">
        <v>135</v>
      </c>
      <c r="J210" s="384"/>
    </row>
    <row r="211" spans="2:10" ht="15" x14ac:dyDescent="0.2">
      <c r="B211" s="1233" t="s">
        <v>94</v>
      </c>
      <c r="C211" s="1234">
        <v>56</v>
      </c>
      <c r="D211" s="1234">
        <v>7</v>
      </c>
      <c r="E211" s="1234">
        <v>5</v>
      </c>
      <c r="F211" s="1234">
        <v>4299901</v>
      </c>
      <c r="G211" s="1234"/>
      <c r="H211" s="1234">
        <v>290</v>
      </c>
      <c r="I211" s="1236">
        <v>7.9</v>
      </c>
      <c r="J211" s="384"/>
    </row>
    <row r="212" spans="2:10" ht="15" x14ac:dyDescent="0.2">
      <c r="B212" s="1233" t="s">
        <v>94</v>
      </c>
      <c r="C212" s="1234">
        <v>56</v>
      </c>
      <c r="D212" s="1234">
        <v>7</v>
      </c>
      <c r="E212" s="1234">
        <v>5</v>
      </c>
      <c r="F212" s="1234">
        <v>4299901</v>
      </c>
      <c r="G212" s="1234"/>
      <c r="H212" s="1234">
        <v>290</v>
      </c>
      <c r="I212" s="1236">
        <v>0</v>
      </c>
      <c r="J212" s="384"/>
    </row>
    <row r="213" spans="2:10" ht="15" x14ac:dyDescent="0.2">
      <c r="B213" s="1233" t="s">
        <v>96</v>
      </c>
      <c r="C213" s="1234">
        <v>56</v>
      </c>
      <c r="D213" s="1234">
        <v>7</v>
      </c>
      <c r="E213" s="1234">
        <v>5</v>
      </c>
      <c r="F213" s="1234">
        <v>4299901</v>
      </c>
      <c r="G213" s="1234"/>
      <c r="H213" s="1234">
        <v>310</v>
      </c>
      <c r="I213" s="1273">
        <v>35.200000000000003</v>
      </c>
      <c r="J213" s="384"/>
    </row>
    <row r="214" spans="2:10" ht="15" x14ac:dyDescent="0.2">
      <c r="B214" s="1233" t="s">
        <v>97</v>
      </c>
      <c r="C214" s="1234">
        <v>56</v>
      </c>
      <c r="D214" s="1234">
        <v>7</v>
      </c>
      <c r="E214" s="1234">
        <v>5</v>
      </c>
      <c r="F214" s="1234">
        <v>4299901</v>
      </c>
      <c r="G214" s="1234"/>
      <c r="H214" s="1234">
        <v>340</v>
      </c>
      <c r="I214" s="1272">
        <v>0</v>
      </c>
      <c r="J214" s="384"/>
    </row>
    <row r="215" spans="2:10" ht="15" x14ac:dyDescent="0.2">
      <c r="B215" s="1230" t="s">
        <v>767</v>
      </c>
      <c r="C215" s="1237">
        <v>56</v>
      </c>
      <c r="D215" s="1237">
        <v>7</v>
      </c>
      <c r="E215" s="1237">
        <v>5</v>
      </c>
      <c r="F215" s="1237">
        <v>4290000</v>
      </c>
      <c r="G215" s="1237">
        <v>1</v>
      </c>
      <c r="H215" s="1237">
        <v>241</v>
      </c>
      <c r="I215" s="1274">
        <v>0</v>
      </c>
      <c r="J215" s="384"/>
    </row>
    <row r="216" spans="2:10" ht="16" x14ac:dyDescent="0.2">
      <c r="B216" s="1275" t="s">
        <v>1136</v>
      </c>
      <c r="C216" s="1276">
        <v>56</v>
      </c>
      <c r="D216" s="1276">
        <v>7</v>
      </c>
      <c r="E216" s="1276">
        <v>9</v>
      </c>
      <c r="F216" s="1276">
        <v>4360400</v>
      </c>
      <c r="G216" s="1276">
        <v>340</v>
      </c>
      <c r="H216" s="1276">
        <v>290</v>
      </c>
      <c r="I216" s="1277">
        <v>536</v>
      </c>
      <c r="J216" s="384"/>
    </row>
    <row r="217" spans="2:10" ht="18" x14ac:dyDescent="0.2">
      <c r="B217" s="1278" t="s">
        <v>1104</v>
      </c>
      <c r="C217" s="1279">
        <v>56</v>
      </c>
      <c r="D217" s="1279">
        <v>8</v>
      </c>
      <c r="E217" s="1198"/>
      <c r="F217" s="1205"/>
      <c r="G217" s="1205"/>
      <c r="H217" s="1205"/>
      <c r="I217" s="1206">
        <v>1088615.5379999999</v>
      </c>
      <c r="J217" s="384"/>
    </row>
    <row r="218" spans="2:10" ht="18" x14ac:dyDescent="0.2">
      <c r="B218" s="1278" t="s">
        <v>1137</v>
      </c>
      <c r="C218" s="1279">
        <v>56</v>
      </c>
      <c r="D218" s="1279">
        <v>8</v>
      </c>
      <c r="E218" s="1279">
        <v>1</v>
      </c>
      <c r="F218" s="1205"/>
      <c r="G218" s="1205"/>
      <c r="H218" s="1205"/>
      <c r="I218" s="1206">
        <v>1056074.0970000001</v>
      </c>
      <c r="J218" s="384"/>
    </row>
    <row r="219" spans="2:10" ht="15" x14ac:dyDescent="0.2">
      <c r="B219" s="1280" t="s">
        <v>1125</v>
      </c>
      <c r="C219" s="1281">
        <v>56</v>
      </c>
      <c r="D219" s="1281">
        <v>8</v>
      </c>
      <c r="E219" s="1281">
        <v>1</v>
      </c>
      <c r="F219" s="1281"/>
      <c r="G219" s="1281">
        <v>600</v>
      </c>
      <c r="H219" s="1282"/>
      <c r="I219" s="1283">
        <v>987191.19700000004</v>
      </c>
      <c r="J219" s="384"/>
    </row>
    <row r="220" spans="2:10" ht="40" x14ac:dyDescent="0.2">
      <c r="B220" s="1211" t="s">
        <v>764</v>
      </c>
      <c r="C220" s="1212">
        <v>56</v>
      </c>
      <c r="D220" s="1212">
        <v>8</v>
      </c>
      <c r="E220" s="1213">
        <v>1</v>
      </c>
      <c r="F220" s="1213"/>
      <c r="G220" s="1213">
        <v>611</v>
      </c>
      <c r="H220" s="1213">
        <v>241</v>
      </c>
      <c r="I220" s="1214">
        <v>788375.397</v>
      </c>
      <c r="J220" s="384"/>
    </row>
    <row r="221" spans="2:10" ht="15" x14ac:dyDescent="0.2">
      <c r="B221" s="1215" t="s">
        <v>78</v>
      </c>
      <c r="C221" s="1209">
        <v>56</v>
      </c>
      <c r="D221" s="1209">
        <v>8</v>
      </c>
      <c r="E221" s="1209">
        <v>1</v>
      </c>
      <c r="F221" s="1209"/>
      <c r="G221" s="1209"/>
      <c r="H221" s="1209">
        <v>211</v>
      </c>
      <c r="I221" s="1210">
        <v>524094.2</v>
      </c>
      <c r="J221" s="384"/>
    </row>
    <row r="222" spans="2:10" ht="15" x14ac:dyDescent="0.2">
      <c r="B222" s="1215" t="s">
        <v>83</v>
      </c>
      <c r="C222" s="1209">
        <v>56</v>
      </c>
      <c r="D222" s="1209">
        <v>8</v>
      </c>
      <c r="E222" s="1209">
        <v>1</v>
      </c>
      <c r="F222" s="1209"/>
      <c r="G222" s="1209"/>
      <c r="H222" s="1209">
        <v>212</v>
      </c>
      <c r="I222" s="1216">
        <v>107</v>
      </c>
      <c r="J222" s="384"/>
    </row>
    <row r="223" spans="2:10" ht="15" x14ac:dyDescent="0.2">
      <c r="B223" s="1215" t="s">
        <v>84</v>
      </c>
      <c r="C223" s="1209">
        <v>56</v>
      </c>
      <c r="D223" s="1209">
        <v>8</v>
      </c>
      <c r="E223" s="1209">
        <v>1</v>
      </c>
      <c r="F223" s="1209"/>
      <c r="G223" s="1209"/>
      <c r="H223" s="1209">
        <v>213</v>
      </c>
      <c r="I223" s="1210">
        <v>158276.28</v>
      </c>
      <c r="J223" s="384"/>
    </row>
    <row r="224" spans="2:10" ht="15" x14ac:dyDescent="0.2">
      <c r="B224" s="1215" t="s">
        <v>85</v>
      </c>
      <c r="C224" s="1209">
        <v>56</v>
      </c>
      <c r="D224" s="1209">
        <v>8</v>
      </c>
      <c r="E224" s="1209">
        <v>1</v>
      </c>
      <c r="F224" s="1209"/>
      <c r="G224" s="1209"/>
      <c r="H224" s="1209">
        <v>221</v>
      </c>
      <c r="I224" s="1216">
        <v>603.5</v>
      </c>
      <c r="J224" s="384"/>
    </row>
    <row r="225" spans="2:10" ht="15" x14ac:dyDescent="0.2">
      <c r="B225" s="1215" t="s">
        <v>86</v>
      </c>
      <c r="C225" s="1209">
        <v>56</v>
      </c>
      <c r="D225" s="1209">
        <v>8</v>
      </c>
      <c r="E225" s="1209">
        <v>1</v>
      </c>
      <c r="F225" s="1209"/>
      <c r="G225" s="1209"/>
      <c r="H225" s="1209">
        <v>222</v>
      </c>
      <c r="I225" s="1216">
        <v>568</v>
      </c>
      <c r="J225" s="384"/>
    </row>
    <row r="226" spans="2:10" ht="15" x14ac:dyDescent="0.2">
      <c r="B226" s="1215" t="s">
        <v>87</v>
      </c>
      <c r="C226" s="1209">
        <v>56</v>
      </c>
      <c r="D226" s="1209">
        <v>8</v>
      </c>
      <c r="E226" s="1209">
        <v>1</v>
      </c>
      <c r="F226" s="1209"/>
      <c r="G226" s="1209"/>
      <c r="H226" s="1209">
        <v>223</v>
      </c>
      <c r="I226" s="1210">
        <v>15008.4</v>
      </c>
      <c r="J226" s="384"/>
    </row>
    <row r="227" spans="2:10" ht="15" x14ac:dyDescent="0.2">
      <c r="B227" s="1215" t="s">
        <v>111</v>
      </c>
      <c r="C227" s="1209">
        <v>56</v>
      </c>
      <c r="D227" s="1209">
        <v>8</v>
      </c>
      <c r="E227" s="1209">
        <v>1</v>
      </c>
      <c r="F227" s="1209"/>
      <c r="G227" s="1209"/>
      <c r="H227" s="1209">
        <v>224</v>
      </c>
      <c r="I227" s="1210">
        <v>1602.4</v>
      </c>
      <c r="J227" s="384"/>
    </row>
    <row r="228" spans="2:10" ht="15" x14ac:dyDescent="0.2">
      <c r="B228" s="1215" t="s">
        <v>90</v>
      </c>
      <c r="C228" s="1209">
        <v>56</v>
      </c>
      <c r="D228" s="1209">
        <v>8</v>
      </c>
      <c r="E228" s="1209">
        <v>1</v>
      </c>
      <c r="F228" s="1209"/>
      <c r="G228" s="1209"/>
      <c r="H228" s="1209">
        <v>225</v>
      </c>
      <c r="I228" s="1210">
        <v>36029.453999999998</v>
      </c>
      <c r="J228" s="384"/>
    </row>
    <row r="229" spans="2:10" ht="15" x14ac:dyDescent="0.2">
      <c r="B229" s="1215" t="s">
        <v>91</v>
      </c>
      <c r="C229" s="1209">
        <v>56</v>
      </c>
      <c r="D229" s="1209">
        <v>8</v>
      </c>
      <c r="E229" s="1209">
        <v>1</v>
      </c>
      <c r="F229" s="1209"/>
      <c r="G229" s="1209"/>
      <c r="H229" s="1209">
        <v>226</v>
      </c>
      <c r="I229" s="1210">
        <v>27199.105</v>
      </c>
      <c r="J229" s="384"/>
    </row>
    <row r="230" spans="2:10" ht="15" x14ac:dyDescent="0.2">
      <c r="B230" s="1215" t="s">
        <v>94</v>
      </c>
      <c r="C230" s="1209">
        <v>56</v>
      </c>
      <c r="D230" s="1209">
        <v>8</v>
      </c>
      <c r="E230" s="1209">
        <v>1</v>
      </c>
      <c r="F230" s="1209"/>
      <c r="G230" s="1209"/>
      <c r="H230" s="1209">
        <v>290</v>
      </c>
      <c r="I230" s="1210">
        <v>14144.404</v>
      </c>
      <c r="J230" s="384"/>
    </row>
    <row r="231" spans="2:10" ht="15" x14ac:dyDescent="0.2">
      <c r="B231" s="1215" t="s">
        <v>94</v>
      </c>
      <c r="C231" s="1209">
        <v>56</v>
      </c>
      <c r="D231" s="1209">
        <v>8</v>
      </c>
      <c r="E231" s="1209">
        <v>1</v>
      </c>
      <c r="F231" s="1209"/>
      <c r="G231" s="1209"/>
      <c r="H231" s="1209">
        <v>290</v>
      </c>
      <c r="I231" s="1216">
        <v>0</v>
      </c>
      <c r="J231" s="384"/>
    </row>
    <row r="232" spans="2:10" ht="15" x14ac:dyDescent="0.2">
      <c r="B232" s="1215" t="s">
        <v>96</v>
      </c>
      <c r="C232" s="1209">
        <v>56</v>
      </c>
      <c r="D232" s="1209">
        <v>8</v>
      </c>
      <c r="E232" s="1209">
        <v>1</v>
      </c>
      <c r="F232" s="1209"/>
      <c r="G232" s="1209"/>
      <c r="H232" s="1209">
        <v>310</v>
      </c>
      <c r="I232" s="1210">
        <v>5451.1080000000002</v>
      </c>
      <c r="J232" s="384"/>
    </row>
    <row r="233" spans="2:10" ht="15" x14ac:dyDescent="0.2">
      <c r="B233" s="1215" t="s">
        <v>97</v>
      </c>
      <c r="C233" s="1209">
        <v>56</v>
      </c>
      <c r="D233" s="1209">
        <v>8</v>
      </c>
      <c r="E233" s="1209">
        <v>1</v>
      </c>
      <c r="F233" s="1209"/>
      <c r="G233" s="1209"/>
      <c r="H233" s="1209">
        <v>340</v>
      </c>
      <c r="I233" s="1210">
        <v>5291.5460000000003</v>
      </c>
      <c r="J233" s="384"/>
    </row>
    <row r="234" spans="2:10" ht="15" x14ac:dyDescent="0.2">
      <c r="B234" s="1211" t="s">
        <v>767</v>
      </c>
      <c r="C234" s="1212">
        <v>56</v>
      </c>
      <c r="D234" s="1212">
        <v>8</v>
      </c>
      <c r="E234" s="1212">
        <v>1</v>
      </c>
      <c r="F234" s="1213"/>
      <c r="G234" s="1213">
        <v>612</v>
      </c>
      <c r="H234" s="1213">
        <v>241</v>
      </c>
      <c r="I234" s="1214">
        <v>198815.8</v>
      </c>
      <c r="J234" s="384"/>
    </row>
    <row r="235" spans="2:10" ht="113" x14ac:dyDescent="0.2">
      <c r="B235" s="1284" t="s">
        <v>1138</v>
      </c>
      <c r="C235" s="1285">
        <v>56</v>
      </c>
      <c r="D235" s="1285">
        <v>8</v>
      </c>
      <c r="E235" s="1285">
        <v>1</v>
      </c>
      <c r="F235" s="1201">
        <v>3315903</v>
      </c>
      <c r="G235" s="1201"/>
      <c r="H235" s="1244"/>
      <c r="I235" s="1265">
        <v>4087.5</v>
      </c>
      <c r="J235" s="384"/>
    </row>
    <row r="236" spans="2:10" ht="85" x14ac:dyDescent="0.2">
      <c r="B236" s="1286" t="s">
        <v>1139</v>
      </c>
      <c r="C236" s="315">
        <v>56</v>
      </c>
      <c r="D236" s="315">
        <v>8</v>
      </c>
      <c r="E236" s="315">
        <v>4</v>
      </c>
      <c r="F236" s="1287">
        <v>3315950</v>
      </c>
      <c r="G236" s="1244">
        <v>100</v>
      </c>
      <c r="H236" s="1244"/>
      <c r="I236" s="1265">
        <v>3191.9</v>
      </c>
      <c r="J236" s="384"/>
    </row>
    <row r="237" spans="2:10" ht="29" x14ac:dyDescent="0.2">
      <c r="B237" s="1286" t="s">
        <v>1099</v>
      </c>
      <c r="C237" s="1288">
        <v>56</v>
      </c>
      <c r="D237" s="1288">
        <v>8</v>
      </c>
      <c r="E237" s="1288">
        <v>4</v>
      </c>
      <c r="F237" s="1248">
        <v>3315950</v>
      </c>
      <c r="G237" s="1244">
        <v>200</v>
      </c>
      <c r="H237" s="1244"/>
      <c r="I237" s="1289">
        <v>895.6</v>
      </c>
      <c r="J237" s="384"/>
    </row>
    <row r="238" spans="2:10" ht="15" x14ac:dyDescent="0.2">
      <c r="B238" s="1286" t="s">
        <v>1114</v>
      </c>
      <c r="C238" s="1288">
        <v>56</v>
      </c>
      <c r="D238" s="1288">
        <v>8</v>
      </c>
      <c r="E238" s="1288">
        <v>4</v>
      </c>
      <c r="F238" s="1248">
        <v>3315950</v>
      </c>
      <c r="G238" s="1244">
        <v>800</v>
      </c>
      <c r="H238" s="1244"/>
      <c r="I238" s="1289">
        <v>0</v>
      </c>
      <c r="J238" s="384"/>
    </row>
    <row r="239" spans="2:10" ht="15" x14ac:dyDescent="0.2">
      <c r="B239" s="1247" t="s">
        <v>78</v>
      </c>
      <c r="C239" s="1288">
        <v>56</v>
      </c>
      <c r="D239" s="1288">
        <v>8</v>
      </c>
      <c r="E239" s="1288">
        <v>4</v>
      </c>
      <c r="F239" s="1248">
        <v>3315950</v>
      </c>
      <c r="G239" s="1248" t="s">
        <v>1140</v>
      </c>
      <c r="H239" s="1248">
        <v>211</v>
      </c>
      <c r="I239" s="1249">
        <v>2354.8000000000002</v>
      </c>
      <c r="J239" s="384"/>
    </row>
    <row r="240" spans="2:10" ht="15" x14ac:dyDescent="0.2">
      <c r="B240" s="1247" t="s">
        <v>84</v>
      </c>
      <c r="C240" s="1288">
        <v>56</v>
      </c>
      <c r="D240" s="1288">
        <v>8</v>
      </c>
      <c r="E240" s="1288">
        <v>4</v>
      </c>
      <c r="F240" s="1248">
        <v>3315950</v>
      </c>
      <c r="G240" s="1248">
        <v>121</v>
      </c>
      <c r="H240" s="1248">
        <v>213</v>
      </c>
      <c r="I240" s="1250">
        <v>711.1</v>
      </c>
      <c r="J240" s="384"/>
    </row>
    <row r="241" spans="2:10" ht="15" x14ac:dyDescent="0.2">
      <c r="B241" s="1247" t="s">
        <v>83</v>
      </c>
      <c r="C241" s="1288">
        <v>56</v>
      </c>
      <c r="D241" s="1288">
        <v>8</v>
      </c>
      <c r="E241" s="1288">
        <v>4</v>
      </c>
      <c r="F241" s="1248">
        <v>3315950</v>
      </c>
      <c r="G241" s="1248">
        <v>122</v>
      </c>
      <c r="H241" s="1248">
        <v>212</v>
      </c>
      <c r="I241" s="1250">
        <v>8</v>
      </c>
      <c r="J241" s="384"/>
    </row>
    <row r="242" spans="2:10" ht="15" x14ac:dyDescent="0.2">
      <c r="B242" s="1247" t="s">
        <v>86</v>
      </c>
      <c r="C242" s="1288">
        <v>56</v>
      </c>
      <c r="D242" s="1288">
        <v>8</v>
      </c>
      <c r="E242" s="1288">
        <v>4</v>
      </c>
      <c r="F242" s="1248">
        <v>3315950</v>
      </c>
      <c r="G242" s="1248">
        <v>122</v>
      </c>
      <c r="H242" s="1248">
        <v>222</v>
      </c>
      <c r="I242" s="1250">
        <v>18</v>
      </c>
      <c r="J242" s="384"/>
    </row>
    <row r="243" spans="2:10" ht="15" x14ac:dyDescent="0.2">
      <c r="B243" s="1247" t="s">
        <v>91</v>
      </c>
      <c r="C243" s="1288">
        <v>56</v>
      </c>
      <c r="D243" s="1288">
        <v>8</v>
      </c>
      <c r="E243" s="1288">
        <v>4</v>
      </c>
      <c r="F243" s="1248">
        <v>3315950</v>
      </c>
      <c r="G243" s="1248">
        <v>122</v>
      </c>
      <c r="H243" s="1248">
        <v>226</v>
      </c>
      <c r="I243" s="1250">
        <v>100</v>
      </c>
      <c r="J243" s="384"/>
    </row>
    <row r="244" spans="2:10" ht="15" x14ac:dyDescent="0.2">
      <c r="B244" s="1247" t="s">
        <v>90</v>
      </c>
      <c r="C244" s="1288">
        <v>56</v>
      </c>
      <c r="D244" s="1288">
        <v>8</v>
      </c>
      <c r="E244" s="1288">
        <v>4</v>
      </c>
      <c r="F244" s="1248">
        <v>3315950</v>
      </c>
      <c r="G244" s="1248">
        <v>244</v>
      </c>
      <c r="H244" s="1248">
        <v>225</v>
      </c>
      <c r="I244" s="1250">
        <v>50</v>
      </c>
      <c r="J244" s="384"/>
    </row>
    <row r="245" spans="2:10" ht="15" x14ac:dyDescent="0.2">
      <c r="B245" s="1247" t="s">
        <v>91</v>
      </c>
      <c r="C245" s="1288">
        <v>56</v>
      </c>
      <c r="D245" s="1288">
        <v>8</v>
      </c>
      <c r="E245" s="1288">
        <v>4</v>
      </c>
      <c r="F245" s="1248">
        <v>3315950</v>
      </c>
      <c r="G245" s="1248">
        <v>244</v>
      </c>
      <c r="H245" s="1248">
        <v>226</v>
      </c>
      <c r="I245" s="1250">
        <v>504.7</v>
      </c>
      <c r="J245" s="384"/>
    </row>
    <row r="246" spans="2:10" ht="15" x14ac:dyDescent="0.2">
      <c r="B246" s="1247" t="s">
        <v>96</v>
      </c>
      <c r="C246" s="1288">
        <v>56</v>
      </c>
      <c r="D246" s="1288">
        <v>8</v>
      </c>
      <c r="E246" s="1288">
        <v>4</v>
      </c>
      <c r="F246" s="1248">
        <v>3315950</v>
      </c>
      <c r="G246" s="1248">
        <v>244</v>
      </c>
      <c r="H246" s="1248">
        <v>310</v>
      </c>
      <c r="I246" s="1250">
        <v>121.9</v>
      </c>
      <c r="J246" s="384"/>
    </row>
    <row r="247" spans="2:10" ht="15" x14ac:dyDescent="0.2">
      <c r="B247" s="1247" t="s">
        <v>97</v>
      </c>
      <c r="C247" s="1288">
        <v>56</v>
      </c>
      <c r="D247" s="1288">
        <v>8</v>
      </c>
      <c r="E247" s="1288">
        <v>4</v>
      </c>
      <c r="F247" s="1248">
        <v>3315950</v>
      </c>
      <c r="G247" s="1248">
        <v>244</v>
      </c>
      <c r="H247" s="1248">
        <v>340</v>
      </c>
      <c r="I247" s="1250">
        <v>219</v>
      </c>
      <c r="J247" s="384"/>
    </row>
    <row r="248" spans="2:10" ht="15" x14ac:dyDescent="0.2">
      <c r="B248" s="1290" t="s">
        <v>970</v>
      </c>
      <c r="C248" s="1291">
        <v>56</v>
      </c>
      <c r="D248" s="1291">
        <v>8</v>
      </c>
      <c r="E248" s="1291">
        <v>1</v>
      </c>
      <c r="F248" s="1292">
        <v>3315903</v>
      </c>
      <c r="G248" s="1292">
        <v>530</v>
      </c>
      <c r="H248" s="1293"/>
      <c r="I248" s="1294">
        <v>4087.5</v>
      </c>
      <c r="J248" s="384"/>
    </row>
    <row r="249" spans="2:10" ht="15" x14ac:dyDescent="0.2">
      <c r="B249" s="1295" t="s">
        <v>124</v>
      </c>
      <c r="C249" s="1296">
        <v>56</v>
      </c>
      <c r="D249" s="1296">
        <v>8</v>
      </c>
      <c r="E249" s="1296">
        <v>1</v>
      </c>
      <c r="F249" s="1297">
        <v>3315903</v>
      </c>
      <c r="G249" s="1297">
        <v>530</v>
      </c>
      <c r="H249" s="1297">
        <v>211</v>
      </c>
      <c r="I249" s="1298">
        <v>2354.8000000000002</v>
      </c>
      <c r="J249" s="384"/>
    </row>
    <row r="250" spans="2:10" ht="15" x14ac:dyDescent="0.2">
      <c r="B250" s="1295" t="s">
        <v>83</v>
      </c>
      <c r="C250" s="1296">
        <v>56</v>
      </c>
      <c r="D250" s="1296">
        <v>8</v>
      </c>
      <c r="E250" s="1296">
        <v>1</v>
      </c>
      <c r="F250" s="1297">
        <v>3315903</v>
      </c>
      <c r="G250" s="1297">
        <v>530</v>
      </c>
      <c r="H250" s="1297">
        <v>212</v>
      </c>
      <c r="I250" s="1299">
        <v>8</v>
      </c>
      <c r="J250" s="384"/>
    </row>
    <row r="251" spans="2:10" ht="15" x14ac:dyDescent="0.2">
      <c r="B251" s="1295" t="s">
        <v>84</v>
      </c>
      <c r="C251" s="1296">
        <v>56</v>
      </c>
      <c r="D251" s="1296">
        <v>8</v>
      </c>
      <c r="E251" s="1296">
        <v>1</v>
      </c>
      <c r="F251" s="1297">
        <v>3315903</v>
      </c>
      <c r="G251" s="1297">
        <v>530</v>
      </c>
      <c r="H251" s="1297">
        <v>213</v>
      </c>
      <c r="I251" s="1299">
        <v>711.1</v>
      </c>
      <c r="J251" s="384"/>
    </row>
    <row r="252" spans="2:10" ht="15" x14ac:dyDescent="0.2">
      <c r="B252" s="1295" t="s">
        <v>86</v>
      </c>
      <c r="C252" s="1296">
        <v>56</v>
      </c>
      <c r="D252" s="1296">
        <v>8</v>
      </c>
      <c r="E252" s="1296">
        <v>1</v>
      </c>
      <c r="F252" s="1297">
        <v>3315903</v>
      </c>
      <c r="G252" s="1297">
        <v>530</v>
      </c>
      <c r="H252" s="1297">
        <v>222</v>
      </c>
      <c r="I252" s="1299">
        <v>18</v>
      </c>
      <c r="J252" s="384"/>
    </row>
    <row r="253" spans="2:10" ht="15" x14ac:dyDescent="0.2">
      <c r="B253" s="1295" t="s">
        <v>90</v>
      </c>
      <c r="C253" s="1296">
        <v>56</v>
      </c>
      <c r="D253" s="1296">
        <v>8</v>
      </c>
      <c r="E253" s="1296">
        <v>1</v>
      </c>
      <c r="F253" s="1297">
        <v>3315903</v>
      </c>
      <c r="G253" s="1297">
        <v>530</v>
      </c>
      <c r="H253" s="1297">
        <v>225</v>
      </c>
      <c r="I253" s="1299">
        <v>50</v>
      </c>
      <c r="J253" s="384"/>
    </row>
    <row r="254" spans="2:10" ht="15" x14ac:dyDescent="0.2">
      <c r="B254" s="1295" t="s">
        <v>91</v>
      </c>
      <c r="C254" s="1296">
        <v>56</v>
      </c>
      <c r="D254" s="1296">
        <v>8</v>
      </c>
      <c r="E254" s="1296">
        <v>1</v>
      </c>
      <c r="F254" s="1297">
        <v>3315903</v>
      </c>
      <c r="G254" s="1297">
        <v>530</v>
      </c>
      <c r="H254" s="1297">
        <v>226</v>
      </c>
      <c r="I254" s="1299">
        <v>604.70000000000005</v>
      </c>
      <c r="J254" s="384"/>
    </row>
    <row r="255" spans="2:10" ht="15" x14ac:dyDescent="0.2">
      <c r="B255" s="1295" t="s">
        <v>96</v>
      </c>
      <c r="C255" s="1296">
        <v>56</v>
      </c>
      <c r="D255" s="1296">
        <v>8</v>
      </c>
      <c r="E255" s="1296">
        <v>1</v>
      </c>
      <c r="F255" s="1297">
        <v>3315903</v>
      </c>
      <c r="G255" s="1297">
        <v>530</v>
      </c>
      <c r="H255" s="1297">
        <v>310</v>
      </c>
      <c r="I255" s="1299">
        <v>121.9</v>
      </c>
      <c r="J255" s="384"/>
    </row>
    <row r="256" spans="2:10" ht="15" x14ac:dyDescent="0.2">
      <c r="B256" s="1295" t="s">
        <v>97</v>
      </c>
      <c r="C256" s="1296">
        <v>56</v>
      </c>
      <c r="D256" s="1296">
        <v>8</v>
      </c>
      <c r="E256" s="1296">
        <v>1</v>
      </c>
      <c r="F256" s="1297">
        <v>3315903</v>
      </c>
      <c r="G256" s="1297">
        <v>530</v>
      </c>
      <c r="H256" s="1297">
        <v>340</v>
      </c>
      <c r="I256" s="1299">
        <v>219</v>
      </c>
      <c r="J256" s="384"/>
    </row>
    <row r="257" spans="2:10" x14ac:dyDescent="0.15">
      <c r="B257" s="1230" t="s">
        <v>1141</v>
      </c>
      <c r="C257" s="3039">
        <v>56</v>
      </c>
      <c r="D257" s="3039">
        <v>8</v>
      </c>
      <c r="E257" s="3039">
        <v>1</v>
      </c>
      <c r="F257" s="3039">
        <v>4400000</v>
      </c>
      <c r="G257" s="3037"/>
      <c r="H257" s="3037"/>
      <c r="I257" s="3038">
        <v>168561.4</v>
      </c>
      <c r="J257" s="2798"/>
    </row>
    <row r="258" spans="2:10" x14ac:dyDescent="0.15">
      <c r="B258" s="1230" t="s">
        <v>1142</v>
      </c>
      <c r="C258" s="3039"/>
      <c r="D258" s="3039"/>
      <c r="E258" s="3039"/>
      <c r="F258" s="3039"/>
      <c r="G258" s="3037"/>
      <c r="H258" s="3037"/>
      <c r="I258" s="3038"/>
      <c r="J258" s="2798"/>
    </row>
    <row r="259" spans="2:10" ht="15" x14ac:dyDescent="0.2">
      <c r="B259" s="1226" t="s">
        <v>1125</v>
      </c>
      <c r="C259" s="1227">
        <v>56</v>
      </c>
      <c r="D259" s="1227">
        <v>8</v>
      </c>
      <c r="E259" s="1227">
        <v>1</v>
      </c>
      <c r="F259" s="1227">
        <v>4400000</v>
      </c>
      <c r="G259" s="1300">
        <v>600</v>
      </c>
      <c r="H259" s="1300"/>
      <c r="I259" s="1229">
        <v>148876</v>
      </c>
      <c r="J259" s="384"/>
    </row>
    <row r="260" spans="2:10" ht="53" x14ac:dyDescent="0.2">
      <c r="B260" s="1230" t="s">
        <v>1135</v>
      </c>
      <c r="C260" s="1231">
        <v>56</v>
      </c>
      <c r="D260" s="1231">
        <v>8</v>
      </c>
      <c r="E260" s="1231">
        <v>1</v>
      </c>
      <c r="F260" s="1231">
        <v>4400000</v>
      </c>
      <c r="G260" s="1237">
        <v>611</v>
      </c>
      <c r="H260" s="1237">
        <v>241</v>
      </c>
      <c r="I260" s="1232">
        <v>66890.399999999994</v>
      </c>
      <c r="J260" s="384"/>
    </row>
    <row r="261" spans="2:10" ht="15" x14ac:dyDescent="0.2">
      <c r="B261" s="1233" t="s">
        <v>124</v>
      </c>
      <c r="C261" s="1234">
        <v>56</v>
      </c>
      <c r="D261" s="1234">
        <v>8</v>
      </c>
      <c r="E261" s="1234">
        <v>1</v>
      </c>
      <c r="F261" s="1234">
        <v>4400000</v>
      </c>
      <c r="G261" s="1237"/>
      <c r="H261" s="1234">
        <v>211</v>
      </c>
      <c r="I261" s="1301">
        <v>41956</v>
      </c>
      <c r="J261" s="384"/>
    </row>
    <row r="262" spans="2:10" ht="15" x14ac:dyDescent="0.2">
      <c r="B262" s="1233" t="s">
        <v>83</v>
      </c>
      <c r="C262" s="1234">
        <v>56</v>
      </c>
      <c r="D262" s="1234">
        <v>8</v>
      </c>
      <c r="E262" s="1234">
        <v>1</v>
      </c>
      <c r="F262" s="1234">
        <v>4400000</v>
      </c>
      <c r="G262" s="1234"/>
      <c r="H262" s="1234">
        <v>212</v>
      </c>
      <c r="I262" s="1302">
        <v>102</v>
      </c>
      <c r="J262" s="384"/>
    </row>
    <row r="263" spans="2:10" ht="15" x14ac:dyDescent="0.2">
      <c r="B263" s="1233" t="s">
        <v>84</v>
      </c>
      <c r="C263" s="1234">
        <v>56</v>
      </c>
      <c r="D263" s="1234">
        <v>8</v>
      </c>
      <c r="E263" s="1234">
        <v>1</v>
      </c>
      <c r="F263" s="1234">
        <v>4400000</v>
      </c>
      <c r="G263" s="1234"/>
      <c r="H263" s="1234">
        <v>213</v>
      </c>
      <c r="I263" s="1301">
        <v>12670.6</v>
      </c>
      <c r="J263" s="384"/>
    </row>
    <row r="264" spans="2:10" ht="15" x14ac:dyDescent="0.2">
      <c r="B264" s="1233" t="s">
        <v>85</v>
      </c>
      <c r="C264" s="1234">
        <v>56</v>
      </c>
      <c r="D264" s="1234">
        <v>8</v>
      </c>
      <c r="E264" s="1234">
        <v>1</v>
      </c>
      <c r="F264" s="1234">
        <v>4400000</v>
      </c>
      <c r="G264" s="1234"/>
      <c r="H264" s="1234">
        <v>221</v>
      </c>
      <c r="I264" s="1302">
        <v>218.3</v>
      </c>
      <c r="J264" s="384"/>
    </row>
    <row r="265" spans="2:10" ht="15" x14ac:dyDescent="0.2">
      <c r="B265" s="1233" t="s">
        <v>86</v>
      </c>
      <c r="C265" s="1234">
        <v>56</v>
      </c>
      <c r="D265" s="1234">
        <v>8</v>
      </c>
      <c r="E265" s="1234">
        <v>1</v>
      </c>
      <c r="F265" s="1234">
        <v>4400000</v>
      </c>
      <c r="G265" s="1234"/>
      <c r="H265" s="1234">
        <v>222</v>
      </c>
      <c r="I265" s="1302">
        <v>176</v>
      </c>
      <c r="J265" s="384"/>
    </row>
    <row r="266" spans="2:10" ht="15" x14ac:dyDescent="0.2">
      <c r="B266" s="1233" t="s">
        <v>87</v>
      </c>
      <c r="C266" s="1234">
        <v>56</v>
      </c>
      <c r="D266" s="1234">
        <v>8</v>
      </c>
      <c r="E266" s="1234">
        <v>1</v>
      </c>
      <c r="F266" s="1234">
        <v>4400000</v>
      </c>
      <c r="G266" s="1234"/>
      <c r="H266" s="1234">
        <v>223</v>
      </c>
      <c r="I266" s="1302">
        <v>471.6</v>
      </c>
      <c r="J266" s="384"/>
    </row>
    <row r="267" spans="2:10" ht="15" x14ac:dyDescent="0.2">
      <c r="B267" s="1233" t="s">
        <v>111</v>
      </c>
      <c r="C267" s="1234">
        <v>56</v>
      </c>
      <c r="D267" s="1234">
        <v>8</v>
      </c>
      <c r="E267" s="1234">
        <v>1</v>
      </c>
      <c r="F267" s="1234">
        <v>4400000</v>
      </c>
      <c r="G267" s="1234"/>
      <c r="H267" s="1234">
        <v>224</v>
      </c>
      <c r="I267" s="1302">
        <v>0</v>
      </c>
      <c r="J267" s="384"/>
    </row>
    <row r="268" spans="2:10" ht="15" x14ac:dyDescent="0.2">
      <c r="B268" s="1233" t="s">
        <v>90</v>
      </c>
      <c r="C268" s="1234">
        <v>56</v>
      </c>
      <c r="D268" s="1234">
        <v>8</v>
      </c>
      <c r="E268" s="1234">
        <v>1</v>
      </c>
      <c r="F268" s="1234">
        <v>4400000</v>
      </c>
      <c r="G268" s="1234"/>
      <c r="H268" s="1234">
        <v>225</v>
      </c>
      <c r="I268" s="1302">
        <v>45.353999999999999</v>
      </c>
      <c r="J268" s="384"/>
    </row>
    <row r="269" spans="2:10" ht="15" x14ac:dyDescent="0.2">
      <c r="B269" s="1233" t="s">
        <v>91</v>
      </c>
      <c r="C269" s="1234">
        <v>56</v>
      </c>
      <c r="D269" s="1234">
        <v>8</v>
      </c>
      <c r="E269" s="1234">
        <v>1</v>
      </c>
      <c r="F269" s="1234">
        <v>4400000</v>
      </c>
      <c r="G269" s="1234"/>
      <c r="H269" s="1234">
        <v>226</v>
      </c>
      <c r="I269" s="1301">
        <v>8263.232</v>
      </c>
      <c r="J269" s="384"/>
    </row>
    <row r="270" spans="2:10" ht="15" x14ac:dyDescent="0.2">
      <c r="B270" s="1233" t="s">
        <v>94</v>
      </c>
      <c r="C270" s="1234">
        <v>56</v>
      </c>
      <c r="D270" s="1234">
        <v>8</v>
      </c>
      <c r="E270" s="1234">
        <v>1</v>
      </c>
      <c r="F270" s="1234">
        <v>4400000</v>
      </c>
      <c r="G270" s="1234"/>
      <c r="H270" s="1234">
        <v>290</v>
      </c>
      <c r="I270" s="1302">
        <v>260.5</v>
      </c>
      <c r="J270" s="384"/>
    </row>
    <row r="271" spans="2:10" ht="15" x14ac:dyDescent="0.2">
      <c r="B271" s="1233" t="s">
        <v>94</v>
      </c>
      <c r="C271" s="1234">
        <v>56</v>
      </c>
      <c r="D271" s="1234">
        <v>8</v>
      </c>
      <c r="E271" s="1234">
        <v>1</v>
      </c>
      <c r="F271" s="1234">
        <v>4400000</v>
      </c>
      <c r="G271" s="1234"/>
      <c r="H271" s="1234">
        <v>290</v>
      </c>
      <c r="I271" s="1302">
        <v>0</v>
      </c>
      <c r="J271" s="384"/>
    </row>
    <row r="272" spans="2:10" ht="15" x14ac:dyDescent="0.2">
      <c r="B272" s="1233" t="s">
        <v>96</v>
      </c>
      <c r="C272" s="1234">
        <v>56</v>
      </c>
      <c r="D272" s="1234">
        <v>8</v>
      </c>
      <c r="E272" s="1234">
        <v>1</v>
      </c>
      <c r="F272" s="1234">
        <v>4400000</v>
      </c>
      <c r="G272" s="1234"/>
      <c r="H272" s="1234">
        <v>310</v>
      </c>
      <c r="I272" s="1301">
        <v>1862.2339999999999</v>
      </c>
      <c r="J272" s="384"/>
    </row>
    <row r="273" spans="2:10" ht="15" x14ac:dyDescent="0.2">
      <c r="B273" s="1233" t="s">
        <v>97</v>
      </c>
      <c r="C273" s="1234">
        <v>56</v>
      </c>
      <c r="D273" s="1234">
        <v>8</v>
      </c>
      <c r="E273" s="1234">
        <v>1</v>
      </c>
      <c r="F273" s="1234">
        <v>4400000</v>
      </c>
      <c r="G273" s="1234"/>
      <c r="H273" s="1234">
        <v>340</v>
      </c>
      <c r="I273" s="1302">
        <v>864.58</v>
      </c>
      <c r="J273" s="384"/>
    </row>
    <row r="274" spans="2:10" ht="15" x14ac:dyDescent="0.2">
      <c r="B274" s="1230" t="s">
        <v>767</v>
      </c>
      <c r="C274" s="1237">
        <v>56</v>
      </c>
      <c r="D274" s="1237">
        <v>8</v>
      </c>
      <c r="E274" s="1237">
        <v>1</v>
      </c>
      <c r="F274" s="1237">
        <v>4400000</v>
      </c>
      <c r="G274" s="1237">
        <v>612</v>
      </c>
      <c r="H274" s="1237">
        <v>241</v>
      </c>
      <c r="I274" s="1232">
        <v>81985.600000000006</v>
      </c>
      <c r="J274" s="384"/>
    </row>
    <row r="275" spans="2:10" ht="27" x14ac:dyDescent="0.2">
      <c r="B275" s="1303" t="s">
        <v>778</v>
      </c>
      <c r="C275" s="1304">
        <v>56</v>
      </c>
      <c r="D275" s="1304">
        <v>8</v>
      </c>
      <c r="E275" s="1304">
        <v>1</v>
      </c>
      <c r="F275" s="1304">
        <v>4400100</v>
      </c>
      <c r="G275" s="1304"/>
      <c r="H275" s="1305"/>
      <c r="I275" s="1306">
        <v>19685.400000000001</v>
      </c>
      <c r="J275" s="384"/>
    </row>
    <row r="276" spans="2:10" ht="29" x14ac:dyDescent="0.2">
      <c r="B276" s="1284" t="s">
        <v>1099</v>
      </c>
      <c r="C276" s="1307">
        <v>56</v>
      </c>
      <c r="D276" s="1307">
        <v>8</v>
      </c>
      <c r="E276" s="1307">
        <v>1</v>
      </c>
      <c r="F276" s="1307">
        <v>4400100</v>
      </c>
      <c r="G276" s="1307">
        <v>200</v>
      </c>
      <c r="H276" s="1240"/>
      <c r="I276" s="1308">
        <v>19685.400000000001</v>
      </c>
      <c r="J276" s="384"/>
    </row>
    <row r="277" spans="2:10" ht="15" x14ac:dyDescent="0.2">
      <c r="B277" s="1247" t="s">
        <v>91</v>
      </c>
      <c r="C277" s="1288">
        <v>56</v>
      </c>
      <c r="D277" s="1288">
        <v>8</v>
      </c>
      <c r="E277" s="1288">
        <v>1</v>
      </c>
      <c r="F277" s="1288">
        <v>4400100</v>
      </c>
      <c r="G277" s="1288">
        <v>244</v>
      </c>
      <c r="H277" s="1248">
        <v>226</v>
      </c>
      <c r="I277" s="1249">
        <v>18335.400000000001</v>
      </c>
      <c r="J277" s="384"/>
    </row>
    <row r="278" spans="2:10" ht="15" x14ac:dyDescent="0.2">
      <c r="B278" s="1247" t="s">
        <v>96</v>
      </c>
      <c r="C278" s="1288">
        <v>56</v>
      </c>
      <c r="D278" s="1288">
        <v>8</v>
      </c>
      <c r="E278" s="1288">
        <v>1</v>
      </c>
      <c r="F278" s="1288">
        <v>4400100</v>
      </c>
      <c r="G278" s="1288">
        <v>244</v>
      </c>
      <c r="H278" s="1248">
        <v>310</v>
      </c>
      <c r="I278" s="1249">
        <v>1350</v>
      </c>
      <c r="J278" s="384"/>
    </row>
    <row r="279" spans="2:10" ht="15" x14ac:dyDescent="0.2">
      <c r="B279" s="1309" t="s">
        <v>1108</v>
      </c>
      <c r="C279" s="1310">
        <v>56</v>
      </c>
      <c r="D279" s="1310">
        <v>8</v>
      </c>
      <c r="E279" s="1310">
        <v>1</v>
      </c>
      <c r="F279" s="1310">
        <v>4409900</v>
      </c>
      <c r="G279" s="1288"/>
      <c r="H279" s="1303"/>
      <c r="I279" s="1250"/>
      <c r="J279" s="384"/>
    </row>
    <row r="280" spans="2:10" ht="15" x14ac:dyDescent="0.2">
      <c r="B280" s="1311" t="s">
        <v>1125</v>
      </c>
      <c r="C280" s="1312">
        <v>56</v>
      </c>
      <c r="D280" s="1312">
        <v>8</v>
      </c>
      <c r="E280" s="1312">
        <v>1</v>
      </c>
      <c r="F280" s="1312">
        <v>4409900</v>
      </c>
      <c r="G280" s="1312">
        <v>600</v>
      </c>
      <c r="H280" s="1313"/>
      <c r="I280" s="1268">
        <v>44735.6</v>
      </c>
      <c r="J280" s="384"/>
    </row>
    <row r="281" spans="2:10" ht="53" x14ac:dyDescent="0.2">
      <c r="B281" s="1243" t="s">
        <v>1135</v>
      </c>
      <c r="C281" s="1245">
        <v>56</v>
      </c>
      <c r="D281" s="1245">
        <v>8</v>
      </c>
      <c r="E281" s="1245">
        <v>1</v>
      </c>
      <c r="F281" s="1245">
        <v>4409900</v>
      </c>
      <c r="G281" s="1245">
        <v>611</v>
      </c>
      <c r="H281" s="1244">
        <v>241</v>
      </c>
      <c r="I281" s="1265">
        <v>13175.6</v>
      </c>
      <c r="J281" s="384"/>
    </row>
    <row r="282" spans="2:10" ht="15" x14ac:dyDescent="0.2">
      <c r="B282" s="1247" t="s">
        <v>124</v>
      </c>
      <c r="C282" s="1248">
        <v>56</v>
      </c>
      <c r="D282" s="1248">
        <v>8</v>
      </c>
      <c r="E282" s="1248">
        <v>1</v>
      </c>
      <c r="F282" s="1248">
        <v>4409900</v>
      </c>
      <c r="G282" s="1248"/>
      <c r="H282" s="1248">
        <v>211</v>
      </c>
      <c r="I282" s="1249">
        <v>9471.7000000000007</v>
      </c>
      <c r="J282" s="384"/>
    </row>
    <row r="283" spans="2:10" ht="15" x14ac:dyDescent="0.2">
      <c r="B283" s="1247" t="s">
        <v>83</v>
      </c>
      <c r="C283" s="1248">
        <v>56</v>
      </c>
      <c r="D283" s="1248">
        <v>8</v>
      </c>
      <c r="E283" s="1248">
        <v>1</v>
      </c>
      <c r="F283" s="1248">
        <v>4409900</v>
      </c>
      <c r="G283" s="1248"/>
      <c r="H283" s="1248">
        <v>212</v>
      </c>
      <c r="I283" s="1250">
        <v>0</v>
      </c>
      <c r="J283" s="384"/>
    </row>
    <row r="284" spans="2:10" ht="15" x14ac:dyDescent="0.2">
      <c r="B284" s="1247" t="s">
        <v>84</v>
      </c>
      <c r="C284" s="1248">
        <v>56</v>
      </c>
      <c r="D284" s="1248">
        <v>8</v>
      </c>
      <c r="E284" s="1248">
        <v>1</v>
      </c>
      <c r="F284" s="1248">
        <v>4409900</v>
      </c>
      <c r="G284" s="1248"/>
      <c r="H284" s="1248">
        <v>213</v>
      </c>
      <c r="I284" s="1249">
        <v>2860.4</v>
      </c>
      <c r="J284" s="384"/>
    </row>
    <row r="285" spans="2:10" ht="15" x14ac:dyDescent="0.2">
      <c r="B285" s="1247" t="s">
        <v>85</v>
      </c>
      <c r="C285" s="1248">
        <v>56</v>
      </c>
      <c r="D285" s="1248">
        <v>8</v>
      </c>
      <c r="E285" s="1248">
        <v>1</v>
      </c>
      <c r="F285" s="1248">
        <v>4409900</v>
      </c>
      <c r="G285" s="1248"/>
      <c r="H285" s="1248">
        <v>221</v>
      </c>
      <c r="I285" s="1250">
        <v>14.5</v>
      </c>
      <c r="J285" s="384"/>
    </row>
    <row r="286" spans="2:10" ht="15" x14ac:dyDescent="0.2">
      <c r="B286" s="1247" t="s">
        <v>86</v>
      </c>
      <c r="C286" s="1248">
        <v>56</v>
      </c>
      <c r="D286" s="1248">
        <v>8</v>
      </c>
      <c r="E286" s="1248">
        <v>1</v>
      </c>
      <c r="F286" s="1248">
        <v>4409900</v>
      </c>
      <c r="G286" s="1248"/>
      <c r="H286" s="1248">
        <v>222</v>
      </c>
      <c r="I286" s="1250">
        <v>0</v>
      </c>
      <c r="J286" s="384"/>
    </row>
    <row r="287" spans="2:10" ht="15" x14ac:dyDescent="0.2">
      <c r="B287" s="1247" t="s">
        <v>87</v>
      </c>
      <c r="C287" s="1248">
        <v>56</v>
      </c>
      <c r="D287" s="1248">
        <v>8</v>
      </c>
      <c r="E287" s="1248">
        <v>1</v>
      </c>
      <c r="F287" s="1248">
        <v>4409900</v>
      </c>
      <c r="G287" s="1248"/>
      <c r="H287" s="1248">
        <v>223</v>
      </c>
      <c r="I287" s="1250">
        <v>283.89999999999998</v>
      </c>
      <c r="J287" s="384"/>
    </row>
    <row r="288" spans="2:10" ht="15" x14ac:dyDescent="0.2">
      <c r="B288" s="1247" t="s">
        <v>111</v>
      </c>
      <c r="C288" s="1248">
        <v>56</v>
      </c>
      <c r="D288" s="1248">
        <v>8</v>
      </c>
      <c r="E288" s="1248">
        <v>1</v>
      </c>
      <c r="F288" s="1248">
        <v>4409900</v>
      </c>
      <c r="G288" s="1248"/>
      <c r="H288" s="1248">
        <v>224</v>
      </c>
      <c r="I288" s="1250">
        <v>0</v>
      </c>
      <c r="J288" s="384"/>
    </row>
    <row r="289" spans="2:10" ht="15" x14ac:dyDescent="0.2">
      <c r="B289" s="1247" t="s">
        <v>90</v>
      </c>
      <c r="C289" s="1248">
        <v>56</v>
      </c>
      <c r="D289" s="1248">
        <v>8</v>
      </c>
      <c r="E289" s="1248">
        <v>1</v>
      </c>
      <c r="F289" s="1248">
        <v>4409900</v>
      </c>
      <c r="G289" s="1248"/>
      <c r="H289" s="1248">
        <v>225</v>
      </c>
      <c r="I289" s="1250">
        <v>0</v>
      </c>
      <c r="J289" s="384"/>
    </row>
    <row r="290" spans="2:10" ht="15" x14ac:dyDescent="0.2">
      <c r="B290" s="1247" t="s">
        <v>91</v>
      </c>
      <c r="C290" s="1248">
        <v>56</v>
      </c>
      <c r="D290" s="1248">
        <v>8</v>
      </c>
      <c r="E290" s="1248">
        <v>1</v>
      </c>
      <c r="F290" s="1248">
        <v>4409900</v>
      </c>
      <c r="G290" s="1248"/>
      <c r="H290" s="1248">
        <v>226</v>
      </c>
      <c r="I290" s="1250">
        <v>35.045999999999999</v>
      </c>
      <c r="J290" s="384"/>
    </row>
    <row r="291" spans="2:10" ht="15" x14ac:dyDescent="0.2">
      <c r="B291" s="1247" t="s">
        <v>94</v>
      </c>
      <c r="C291" s="1248">
        <v>56</v>
      </c>
      <c r="D291" s="1248">
        <v>8</v>
      </c>
      <c r="E291" s="1248">
        <v>1</v>
      </c>
      <c r="F291" s="1248">
        <v>4409900</v>
      </c>
      <c r="G291" s="1248"/>
      <c r="H291" s="1248">
        <v>290</v>
      </c>
      <c r="I291" s="1250">
        <v>186.1</v>
      </c>
      <c r="J291" s="384"/>
    </row>
    <row r="292" spans="2:10" ht="15" x14ac:dyDescent="0.2">
      <c r="B292" s="1247" t="s">
        <v>94</v>
      </c>
      <c r="C292" s="1248">
        <v>56</v>
      </c>
      <c r="D292" s="1248">
        <v>8</v>
      </c>
      <c r="E292" s="1248">
        <v>1</v>
      </c>
      <c r="F292" s="1248">
        <v>4409900</v>
      </c>
      <c r="G292" s="1248"/>
      <c r="H292" s="1248">
        <v>290</v>
      </c>
      <c r="I292" s="1314">
        <v>0</v>
      </c>
      <c r="J292" s="384"/>
    </row>
    <row r="293" spans="2:10" ht="15" x14ac:dyDescent="0.2">
      <c r="B293" s="1247" t="s">
        <v>96</v>
      </c>
      <c r="C293" s="1248">
        <v>56</v>
      </c>
      <c r="D293" s="1248">
        <v>8</v>
      </c>
      <c r="E293" s="1248">
        <v>1</v>
      </c>
      <c r="F293" s="1248">
        <v>4409900</v>
      </c>
      <c r="G293" s="1248"/>
      <c r="H293" s="1248">
        <v>310</v>
      </c>
      <c r="I293" s="1250">
        <v>323.95400000000001</v>
      </c>
      <c r="J293" s="384"/>
    </row>
    <row r="294" spans="2:10" ht="15" x14ac:dyDescent="0.2">
      <c r="B294" s="1247" t="s">
        <v>97</v>
      </c>
      <c r="C294" s="1248">
        <v>56</v>
      </c>
      <c r="D294" s="1248">
        <v>8</v>
      </c>
      <c r="E294" s="1248">
        <v>1</v>
      </c>
      <c r="F294" s="1248">
        <v>4409900</v>
      </c>
      <c r="G294" s="1248"/>
      <c r="H294" s="1248">
        <v>340</v>
      </c>
      <c r="I294" s="1250">
        <v>0</v>
      </c>
      <c r="J294" s="384"/>
    </row>
    <row r="295" spans="2:10" ht="15" x14ac:dyDescent="0.2">
      <c r="B295" s="1243" t="s">
        <v>767</v>
      </c>
      <c r="C295" s="1245">
        <v>56</v>
      </c>
      <c r="D295" s="1245">
        <v>8</v>
      </c>
      <c r="E295" s="1245">
        <v>1</v>
      </c>
      <c r="F295" s="1245">
        <v>4409900</v>
      </c>
      <c r="G295" s="1245">
        <v>612</v>
      </c>
      <c r="H295" s="1244">
        <v>241</v>
      </c>
      <c r="I295" s="1270">
        <v>31560</v>
      </c>
      <c r="J295" s="384"/>
    </row>
    <row r="296" spans="2:10" ht="66" x14ac:dyDescent="0.2">
      <c r="B296" s="1303" t="s">
        <v>788</v>
      </c>
      <c r="C296" s="1304">
        <v>56</v>
      </c>
      <c r="D296" s="1304">
        <v>8</v>
      </c>
      <c r="E296" s="1304">
        <v>1</v>
      </c>
      <c r="F296" s="1304">
        <v>4409901</v>
      </c>
      <c r="G296" s="1304"/>
      <c r="H296" s="1315"/>
      <c r="I296" s="1250"/>
      <c r="J296" s="384"/>
    </row>
    <row r="297" spans="2:10" ht="15" x14ac:dyDescent="0.2">
      <c r="B297" s="1311" t="s">
        <v>1125</v>
      </c>
      <c r="C297" s="1312">
        <v>56</v>
      </c>
      <c r="D297" s="1312">
        <v>8</v>
      </c>
      <c r="E297" s="1312">
        <v>1</v>
      </c>
      <c r="F297" s="1312">
        <v>4409901</v>
      </c>
      <c r="G297" s="1312">
        <v>600</v>
      </c>
      <c r="H297" s="1313"/>
      <c r="I297" s="1268">
        <v>65480.3</v>
      </c>
      <c r="J297" s="384"/>
    </row>
    <row r="298" spans="2:10" ht="53" x14ac:dyDescent="0.2">
      <c r="B298" s="1243" t="s">
        <v>1135</v>
      </c>
      <c r="C298" s="1245">
        <v>56</v>
      </c>
      <c r="D298" s="1245">
        <v>8</v>
      </c>
      <c r="E298" s="1245">
        <v>1</v>
      </c>
      <c r="F298" s="1245">
        <v>4409901</v>
      </c>
      <c r="G298" s="1245">
        <v>611</v>
      </c>
      <c r="H298" s="1244">
        <v>241</v>
      </c>
      <c r="I298" s="1265">
        <v>52054.7</v>
      </c>
      <c r="J298" s="384"/>
    </row>
    <row r="299" spans="2:10" ht="15" x14ac:dyDescent="0.2">
      <c r="B299" s="1247" t="s">
        <v>124</v>
      </c>
      <c r="C299" s="1248">
        <v>56</v>
      </c>
      <c r="D299" s="1248">
        <v>8</v>
      </c>
      <c r="E299" s="1248">
        <v>1</v>
      </c>
      <c r="F299" s="1248">
        <v>4409901</v>
      </c>
      <c r="G299" s="1248"/>
      <c r="H299" s="1248">
        <v>211</v>
      </c>
      <c r="I299" s="1249">
        <v>31345.1</v>
      </c>
      <c r="J299" s="384"/>
    </row>
    <row r="300" spans="2:10" ht="15" x14ac:dyDescent="0.2">
      <c r="B300" s="1247" t="s">
        <v>83</v>
      </c>
      <c r="C300" s="1248">
        <v>56</v>
      </c>
      <c r="D300" s="1248">
        <v>8</v>
      </c>
      <c r="E300" s="1248">
        <v>1</v>
      </c>
      <c r="F300" s="1248">
        <v>4409901</v>
      </c>
      <c r="G300" s="1248"/>
      <c r="H300" s="1248">
        <v>212</v>
      </c>
      <c r="I300" s="1250">
        <v>102</v>
      </c>
      <c r="J300" s="384"/>
    </row>
    <row r="301" spans="2:10" ht="15" x14ac:dyDescent="0.2">
      <c r="B301" s="1247" t="s">
        <v>84</v>
      </c>
      <c r="C301" s="1248">
        <v>56</v>
      </c>
      <c r="D301" s="1248">
        <v>8</v>
      </c>
      <c r="E301" s="1248">
        <v>1</v>
      </c>
      <c r="F301" s="1248">
        <v>4409901</v>
      </c>
      <c r="G301" s="1248"/>
      <c r="H301" s="1248">
        <v>213</v>
      </c>
      <c r="I301" s="1249">
        <v>9466.2000000000007</v>
      </c>
      <c r="J301" s="384"/>
    </row>
    <row r="302" spans="2:10" ht="15" x14ac:dyDescent="0.2">
      <c r="B302" s="1247" t="s">
        <v>85</v>
      </c>
      <c r="C302" s="1248">
        <v>56</v>
      </c>
      <c r="D302" s="1248">
        <v>8</v>
      </c>
      <c r="E302" s="1248">
        <v>1</v>
      </c>
      <c r="F302" s="1248">
        <v>4409901</v>
      </c>
      <c r="G302" s="1248"/>
      <c r="H302" s="1248">
        <v>221</v>
      </c>
      <c r="I302" s="1250">
        <v>185.1</v>
      </c>
      <c r="J302" s="384"/>
    </row>
    <row r="303" spans="2:10" ht="15" x14ac:dyDescent="0.2">
      <c r="B303" s="1247" t="s">
        <v>86</v>
      </c>
      <c r="C303" s="1248">
        <v>56</v>
      </c>
      <c r="D303" s="1248">
        <v>8</v>
      </c>
      <c r="E303" s="1248">
        <v>1</v>
      </c>
      <c r="F303" s="1248">
        <v>4409901</v>
      </c>
      <c r="G303" s="1248"/>
      <c r="H303" s="1248">
        <v>222</v>
      </c>
      <c r="I303" s="1250">
        <v>96</v>
      </c>
      <c r="J303" s="384"/>
    </row>
    <row r="304" spans="2:10" ht="15" x14ac:dyDescent="0.2">
      <c r="B304" s="1247" t="s">
        <v>87</v>
      </c>
      <c r="C304" s="1248">
        <v>56</v>
      </c>
      <c r="D304" s="1248">
        <v>8</v>
      </c>
      <c r="E304" s="1248">
        <v>1</v>
      </c>
      <c r="F304" s="1248">
        <v>4409901</v>
      </c>
      <c r="G304" s="1248"/>
      <c r="H304" s="1248">
        <v>223</v>
      </c>
      <c r="I304" s="1250">
        <v>187.7</v>
      </c>
      <c r="J304" s="384"/>
    </row>
    <row r="305" spans="2:10" ht="15" x14ac:dyDescent="0.2">
      <c r="B305" s="1247" t="s">
        <v>111</v>
      </c>
      <c r="C305" s="1248">
        <v>56</v>
      </c>
      <c r="D305" s="1248">
        <v>8</v>
      </c>
      <c r="E305" s="1248">
        <v>1</v>
      </c>
      <c r="F305" s="1248">
        <v>4409901</v>
      </c>
      <c r="G305" s="1248"/>
      <c r="H305" s="1248">
        <v>224</v>
      </c>
      <c r="I305" s="1250">
        <v>0</v>
      </c>
      <c r="J305" s="384"/>
    </row>
    <row r="306" spans="2:10" ht="15" x14ac:dyDescent="0.2">
      <c r="B306" s="1247" t="s">
        <v>90</v>
      </c>
      <c r="C306" s="1248">
        <v>56</v>
      </c>
      <c r="D306" s="1248">
        <v>8</v>
      </c>
      <c r="E306" s="1248">
        <v>1</v>
      </c>
      <c r="F306" s="1248">
        <v>4409901</v>
      </c>
      <c r="G306" s="1248"/>
      <c r="H306" s="1248">
        <v>225</v>
      </c>
      <c r="I306" s="1250">
        <v>35.299999999999997</v>
      </c>
      <c r="J306" s="384"/>
    </row>
    <row r="307" spans="2:10" ht="15" x14ac:dyDescent="0.2">
      <c r="B307" s="1247" t="s">
        <v>91</v>
      </c>
      <c r="C307" s="1248">
        <v>56</v>
      </c>
      <c r="D307" s="1248">
        <v>8</v>
      </c>
      <c r="E307" s="1248">
        <v>1</v>
      </c>
      <c r="F307" s="1248">
        <v>4409901</v>
      </c>
      <c r="G307" s="1248"/>
      <c r="H307" s="1248">
        <v>226</v>
      </c>
      <c r="I307" s="1249">
        <v>8193.14</v>
      </c>
      <c r="J307" s="384"/>
    </row>
    <row r="308" spans="2:10" ht="15" x14ac:dyDescent="0.2">
      <c r="B308" s="1247" t="s">
        <v>94</v>
      </c>
      <c r="C308" s="1248">
        <v>56</v>
      </c>
      <c r="D308" s="1248">
        <v>8</v>
      </c>
      <c r="E308" s="1248">
        <v>1</v>
      </c>
      <c r="F308" s="1248">
        <v>4409901</v>
      </c>
      <c r="G308" s="1248"/>
      <c r="H308" s="1248">
        <v>290</v>
      </c>
      <c r="I308" s="1250">
        <v>71.3</v>
      </c>
      <c r="J308" s="384"/>
    </row>
    <row r="309" spans="2:10" ht="15" x14ac:dyDescent="0.2">
      <c r="B309" s="1247" t="s">
        <v>94</v>
      </c>
      <c r="C309" s="1248">
        <v>56</v>
      </c>
      <c r="D309" s="1248">
        <v>8</v>
      </c>
      <c r="E309" s="1248">
        <v>1</v>
      </c>
      <c r="F309" s="1248">
        <v>4409901</v>
      </c>
      <c r="G309" s="1248"/>
      <c r="H309" s="1248">
        <v>290</v>
      </c>
      <c r="I309" s="1250">
        <v>0</v>
      </c>
      <c r="J309" s="384"/>
    </row>
    <row r="310" spans="2:10" ht="15" x14ac:dyDescent="0.2">
      <c r="B310" s="1247" t="s">
        <v>96</v>
      </c>
      <c r="C310" s="1248">
        <v>56</v>
      </c>
      <c r="D310" s="1248">
        <v>8</v>
      </c>
      <c r="E310" s="1248">
        <v>1</v>
      </c>
      <c r="F310" s="1248">
        <v>4409901</v>
      </c>
      <c r="G310" s="1248"/>
      <c r="H310" s="1248">
        <v>310</v>
      </c>
      <c r="I310" s="1249">
        <v>1538.28</v>
      </c>
      <c r="J310" s="384"/>
    </row>
    <row r="311" spans="2:10" ht="15" x14ac:dyDescent="0.2">
      <c r="B311" s="1247" t="s">
        <v>97</v>
      </c>
      <c r="C311" s="1248">
        <v>56</v>
      </c>
      <c r="D311" s="1248">
        <v>8</v>
      </c>
      <c r="E311" s="1248">
        <v>1</v>
      </c>
      <c r="F311" s="1248">
        <v>4409901</v>
      </c>
      <c r="G311" s="1248"/>
      <c r="H311" s="1248">
        <v>340</v>
      </c>
      <c r="I311" s="1250">
        <v>834.58</v>
      </c>
      <c r="J311" s="384"/>
    </row>
    <row r="312" spans="2:10" ht="15" x14ac:dyDescent="0.2">
      <c r="B312" s="1243" t="s">
        <v>767</v>
      </c>
      <c r="C312" s="1245">
        <v>56</v>
      </c>
      <c r="D312" s="1245">
        <v>8</v>
      </c>
      <c r="E312" s="1245">
        <v>1</v>
      </c>
      <c r="F312" s="1245">
        <v>4409901</v>
      </c>
      <c r="G312" s="1245">
        <v>612</v>
      </c>
      <c r="H312" s="1245">
        <v>241</v>
      </c>
      <c r="I312" s="1270">
        <v>13425.6</v>
      </c>
      <c r="J312" s="384"/>
    </row>
    <row r="313" spans="2:10" ht="27" x14ac:dyDescent="0.2">
      <c r="B313" s="1303" t="s">
        <v>789</v>
      </c>
      <c r="C313" s="1304">
        <v>56</v>
      </c>
      <c r="D313" s="1304">
        <v>8</v>
      </c>
      <c r="E313" s="1304">
        <v>1</v>
      </c>
      <c r="F313" s="1304">
        <v>4409902</v>
      </c>
      <c r="G313" s="1304"/>
      <c r="H313" s="1316"/>
      <c r="I313" s="1250"/>
      <c r="J313" s="384"/>
    </row>
    <row r="314" spans="2:10" ht="15" x14ac:dyDescent="0.2">
      <c r="B314" s="1311" t="s">
        <v>1125</v>
      </c>
      <c r="C314" s="1312">
        <v>56</v>
      </c>
      <c r="D314" s="1312">
        <v>8</v>
      </c>
      <c r="E314" s="1312">
        <v>1</v>
      </c>
      <c r="F314" s="1312">
        <v>4409902</v>
      </c>
      <c r="G314" s="1312">
        <v>600</v>
      </c>
      <c r="H314" s="1313"/>
      <c r="I314" s="1268">
        <v>38660.1</v>
      </c>
      <c r="J314" s="384"/>
    </row>
    <row r="315" spans="2:10" ht="53" x14ac:dyDescent="0.2">
      <c r="B315" s="1243" t="s">
        <v>1135</v>
      </c>
      <c r="C315" s="1245">
        <v>56</v>
      </c>
      <c r="D315" s="1245">
        <v>8</v>
      </c>
      <c r="E315" s="1245">
        <v>1</v>
      </c>
      <c r="F315" s="1245">
        <v>4409902</v>
      </c>
      <c r="G315" s="1245">
        <v>611</v>
      </c>
      <c r="H315" s="1244">
        <v>241</v>
      </c>
      <c r="I315" s="1265">
        <v>1660.1</v>
      </c>
      <c r="J315" s="384"/>
    </row>
    <row r="316" spans="2:10" ht="15" x14ac:dyDescent="0.2">
      <c r="B316" s="1247" t="s">
        <v>124</v>
      </c>
      <c r="C316" s="1248">
        <v>56</v>
      </c>
      <c r="D316" s="1248">
        <v>8</v>
      </c>
      <c r="E316" s="1248">
        <v>1</v>
      </c>
      <c r="F316" s="1248">
        <v>4409902</v>
      </c>
      <c r="G316" s="1248"/>
      <c r="H316" s="1248">
        <v>211</v>
      </c>
      <c r="I316" s="1249">
        <v>1139.2</v>
      </c>
      <c r="J316" s="384"/>
    </row>
    <row r="317" spans="2:10" ht="15" x14ac:dyDescent="0.2">
      <c r="B317" s="1247" t="s">
        <v>83</v>
      </c>
      <c r="C317" s="1248">
        <v>56</v>
      </c>
      <c r="D317" s="1248">
        <v>8</v>
      </c>
      <c r="E317" s="1248">
        <v>1</v>
      </c>
      <c r="F317" s="1248">
        <v>4409902</v>
      </c>
      <c r="G317" s="1248"/>
      <c r="H317" s="1248">
        <v>212</v>
      </c>
      <c r="I317" s="1250">
        <v>0</v>
      </c>
      <c r="J317" s="384"/>
    </row>
    <row r="318" spans="2:10" ht="15" x14ac:dyDescent="0.2">
      <c r="B318" s="1247" t="s">
        <v>84</v>
      </c>
      <c r="C318" s="1248">
        <v>56</v>
      </c>
      <c r="D318" s="1248">
        <v>8</v>
      </c>
      <c r="E318" s="1248">
        <v>1</v>
      </c>
      <c r="F318" s="1248">
        <v>4409902</v>
      </c>
      <c r="G318" s="1248"/>
      <c r="H318" s="1248">
        <v>213</v>
      </c>
      <c r="I318" s="1250">
        <v>344</v>
      </c>
      <c r="J318" s="384"/>
    </row>
    <row r="319" spans="2:10" ht="15" x14ac:dyDescent="0.2">
      <c r="B319" s="1247" t="s">
        <v>85</v>
      </c>
      <c r="C319" s="1248">
        <v>56</v>
      </c>
      <c r="D319" s="1248">
        <v>8</v>
      </c>
      <c r="E319" s="1248">
        <v>1</v>
      </c>
      <c r="F319" s="1248">
        <v>4409902</v>
      </c>
      <c r="G319" s="1248"/>
      <c r="H319" s="1248">
        <v>221</v>
      </c>
      <c r="I319" s="1250">
        <v>18.7</v>
      </c>
      <c r="J319" s="384"/>
    </row>
    <row r="320" spans="2:10" ht="15" x14ac:dyDescent="0.2">
      <c r="B320" s="1247" t="s">
        <v>86</v>
      </c>
      <c r="C320" s="1248">
        <v>56</v>
      </c>
      <c r="D320" s="1248">
        <v>8</v>
      </c>
      <c r="E320" s="1248">
        <v>1</v>
      </c>
      <c r="F320" s="1248">
        <v>4409902</v>
      </c>
      <c r="G320" s="1248"/>
      <c r="H320" s="1248">
        <v>222</v>
      </c>
      <c r="I320" s="1250">
        <v>80</v>
      </c>
      <c r="J320" s="384"/>
    </row>
    <row r="321" spans="2:10" ht="15" x14ac:dyDescent="0.2">
      <c r="B321" s="1247" t="s">
        <v>87</v>
      </c>
      <c r="C321" s="1248">
        <v>56</v>
      </c>
      <c r="D321" s="1248">
        <v>8</v>
      </c>
      <c r="E321" s="1248">
        <v>1</v>
      </c>
      <c r="F321" s="1248">
        <v>4409902</v>
      </c>
      <c r="G321" s="1248"/>
      <c r="H321" s="1248">
        <v>223</v>
      </c>
      <c r="I321" s="1250">
        <v>0</v>
      </c>
      <c r="J321" s="384"/>
    </row>
    <row r="322" spans="2:10" ht="15" x14ac:dyDescent="0.2">
      <c r="B322" s="1247" t="s">
        <v>111</v>
      </c>
      <c r="C322" s="1248">
        <v>56</v>
      </c>
      <c r="D322" s="1248">
        <v>8</v>
      </c>
      <c r="E322" s="1248">
        <v>1</v>
      </c>
      <c r="F322" s="1248">
        <v>4409902</v>
      </c>
      <c r="G322" s="1248"/>
      <c r="H322" s="1248">
        <v>224</v>
      </c>
      <c r="I322" s="1250">
        <v>0</v>
      </c>
      <c r="J322" s="384"/>
    </row>
    <row r="323" spans="2:10" ht="15" x14ac:dyDescent="0.2">
      <c r="B323" s="1247" t="s">
        <v>90</v>
      </c>
      <c r="C323" s="1248">
        <v>56</v>
      </c>
      <c r="D323" s="1248">
        <v>8</v>
      </c>
      <c r="E323" s="1248">
        <v>1</v>
      </c>
      <c r="F323" s="1248">
        <v>4409902</v>
      </c>
      <c r="G323" s="1248"/>
      <c r="H323" s="1248">
        <v>225</v>
      </c>
      <c r="I323" s="1250">
        <v>10.054</v>
      </c>
      <c r="J323" s="384"/>
    </row>
    <row r="324" spans="2:10" ht="15" x14ac:dyDescent="0.2">
      <c r="B324" s="1247" t="s">
        <v>91</v>
      </c>
      <c r="C324" s="1248">
        <v>56</v>
      </c>
      <c r="D324" s="1248">
        <v>8</v>
      </c>
      <c r="E324" s="1248">
        <v>1</v>
      </c>
      <c r="F324" s="1248">
        <v>4409902</v>
      </c>
      <c r="G324" s="1248"/>
      <c r="H324" s="1248">
        <v>226</v>
      </c>
      <c r="I324" s="1250">
        <v>35.045999999999999</v>
      </c>
      <c r="J324" s="384"/>
    </row>
    <row r="325" spans="2:10" ht="15" x14ac:dyDescent="0.2">
      <c r="B325" s="1247" t="s">
        <v>94</v>
      </c>
      <c r="C325" s="1248">
        <v>56</v>
      </c>
      <c r="D325" s="1248">
        <v>8</v>
      </c>
      <c r="E325" s="1248">
        <v>1</v>
      </c>
      <c r="F325" s="1248">
        <v>4409902</v>
      </c>
      <c r="G325" s="1248"/>
      <c r="H325" s="1248">
        <v>290</v>
      </c>
      <c r="I325" s="1250">
        <v>3.1</v>
      </c>
      <c r="J325" s="384"/>
    </row>
    <row r="326" spans="2:10" ht="15" x14ac:dyDescent="0.2">
      <c r="B326" s="1247" t="s">
        <v>94</v>
      </c>
      <c r="C326" s="1248">
        <v>56</v>
      </c>
      <c r="D326" s="1248">
        <v>8</v>
      </c>
      <c r="E326" s="1248">
        <v>1</v>
      </c>
      <c r="F326" s="1248">
        <v>4409902</v>
      </c>
      <c r="G326" s="1248"/>
      <c r="H326" s="1248">
        <v>290</v>
      </c>
      <c r="I326" s="1250">
        <v>0</v>
      </c>
      <c r="J326" s="384"/>
    </row>
    <row r="327" spans="2:10" ht="15" x14ac:dyDescent="0.2">
      <c r="B327" s="1247" t="s">
        <v>96</v>
      </c>
      <c r="C327" s="1248">
        <v>56</v>
      </c>
      <c r="D327" s="1248">
        <v>8</v>
      </c>
      <c r="E327" s="1248">
        <v>1</v>
      </c>
      <c r="F327" s="1248">
        <v>4409902</v>
      </c>
      <c r="G327" s="1248"/>
      <c r="H327" s="1248">
        <v>310</v>
      </c>
      <c r="I327" s="1251">
        <v>0</v>
      </c>
      <c r="J327" s="384"/>
    </row>
    <row r="328" spans="2:10" ht="15" x14ac:dyDescent="0.2">
      <c r="B328" s="1247" t="s">
        <v>97</v>
      </c>
      <c r="C328" s="1248">
        <v>56</v>
      </c>
      <c r="D328" s="1248">
        <v>8</v>
      </c>
      <c r="E328" s="1248">
        <v>1</v>
      </c>
      <c r="F328" s="1248">
        <v>4409902</v>
      </c>
      <c r="G328" s="1248"/>
      <c r="H328" s="1248">
        <v>340</v>
      </c>
      <c r="I328" s="1250">
        <v>30</v>
      </c>
      <c r="J328" s="384"/>
    </row>
    <row r="329" spans="2:10" ht="15" x14ac:dyDescent="0.2">
      <c r="B329" s="1243" t="s">
        <v>767</v>
      </c>
      <c r="C329" s="1244">
        <v>56</v>
      </c>
      <c r="D329" s="1244">
        <v>8</v>
      </c>
      <c r="E329" s="1244">
        <v>1</v>
      </c>
      <c r="F329" s="1244">
        <v>4409902</v>
      </c>
      <c r="G329" s="1244">
        <v>612</v>
      </c>
      <c r="H329" s="1244">
        <v>241</v>
      </c>
      <c r="I329" s="1270">
        <v>37000</v>
      </c>
      <c r="J329" s="384"/>
    </row>
    <row r="330" spans="2:10" ht="15" x14ac:dyDescent="0.2">
      <c r="B330" s="1257" t="s">
        <v>791</v>
      </c>
      <c r="C330" s="1222">
        <v>56</v>
      </c>
      <c r="D330" s="1222">
        <v>8</v>
      </c>
      <c r="E330" s="1222">
        <v>1</v>
      </c>
      <c r="F330" s="1222">
        <v>4410000</v>
      </c>
      <c r="G330" s="1222"/>
      <c r="H330" s="1234"/>
      <c r="I330" s="1236"/>
      <c r="J330" s="384"/>
    </row>
    <row r="331" spans="2:10" ht="27" x14ac:dyDescent="0.2">
      <c r="B331" s="1317" t="s">
        <v>792</v>
      </c>
      <c r="C331" s="1318">
        <v>56</v>
      </c>
      <c r="D331" s="1318">
        <v>8</v>
      </c>
      <c r="E331" s="1318">
        <v>1</v>
      </c>
      <c r="F331" s="1318">
        <v>4419900</v>
      </c>
      <c r="G331" s="1318"/>
      <c r="H331" s="1319"/>
      <c r="I331" s="1302"/>
      <c r="J331" s="384"/>
    </row>
    <row r="332" spans="2:10" ht="15" x14ac:dyDescent="0.2">
      <c r="B332" s="1226" t="s">
        <v>1125</v>
      </c>
      <c r="C332" s="1300">
        <v>56</v>
      </c>
      <c r="D332" s="1300">
        <v>8</v>
      </c>
      <c r="E332" s="1300">
        <v>1</v>
      </c>
      <c r="F332" s="1227">
        <v>4419900</v>
      </c>
      <c r="G332" s="1227">
        <v>600</v>
      </c>
      <c r="H332" s="1300"/>
      <c r="I332" s="1229">
        <v>124372.2</v>
      </c>
      <c r="J332" s="384"/>
    </row>
    <row r="333" spans="2:10" ht="53" x14ac:dyDescent="0.2">
      <c r="B333" s="1230" t="s">
        <v>1135</v>
      </c>
      <c r="C333" s="1231">
        <v>56</v>
      </c>
      <c r="D333" s="1231">
        <v>8</v>
      </c>
      <c r="E333" s="1231">
        <v>1</v>
      </c>
      <c r="F333" s="1231">
        <v>4419900</v>
      </c>
      <c r="G333" s="1231">
        <v>611</v>
      </c>
      <c r="H333" s="1237">
        <v>241</v>
      </c>
      <c r="I333" s="1232">
        <v>121008.2</v>
      </c>
      <c r="J333" s="384"/>
    </row>
    <row r="334" spans="2:10" ht="15" x14ac:dyDescent="0.2">
      <c r="B334" s="1233" t="s">
        <v>124</v>
      </c>
      <c r="C334" s="1234">
        <v>56</v>
      </c>
      <c r="D334" s="1234">
        <v>8</v>
      </c>
      <c r="E334" s="1234">
        <v>1</v>
      </c>
      <c r="F334" s="1234">
        <v>4419900</v>
      </c>
      <c r="G334" s="1234"/>
      <c r="H334" s="1234">
        <v>211</v>
      </c>
      <c r="I334" s="1235">
        <v>78044.5</v>
      </c>
      <c r="J334" s="384"/>
    </row>
    <row r="335" spans="2:10" ht="15" x14ac:dyDescent="0.2">
      <c r="B335" s="1233" t="s">
        <v>83</v>
      </c>
      <c r="C335" s="1234">
        <v>56</v>
      </c>
      <c r="D335" s="1234">
        <v>8</v>
      </c>
      <c r="E335" s="1234">
        <v>1</v>
      </c>
      <c r="F335" s="1234">
        <v>4419900</v>
      </c>
      <c r="G335" s="1234"/>
      <c r="H335" s="1234">
        <v>212</v>
      </c>
      <c r="I335" s="1236">
        <v>3</v>
      </c>
      <c r="J335" s="384"/>
    </row>
    <row r="336" spans="2:10" ht="15" x14ac:dyDescent="0.2">
      <c r="B336" s="1233" t="s">
        <v>84</v>
      </c>
      <c r="C336" s="1234">
        <v>56</v>
      </c>
      <c r="D336" s="1234">
        <v>8</v>
      </c>
      <c r="E336" s="1234">
        <v>1</v>
      </c>
      <c r="F336" s="1234">
        <v>4419900</v>
      </c>
      <c r="G336" s="1234"/>
      <c r="H336" s="1234">
        <v>213</v>
      </c>
      <c r="I336" s="1235">
        <v>23569.4</v>
      </c>
      <c r="J336" s="384"/>
    </row>
    <row r="337" spans="2:10" ht="15" x14ac:dyDescent="0.2">
      <c r="B337" s="1233" t="s">
        <v>85</v>
      </c>
      <c r="C337" s="1234">
        <v>56</v>
      </c>
      <c r="D337" s="1234">
        <v>8</v>
      </c>
      <c r="E337" s="1234">
        <v>1</v>
      </c>
      <c r="F337" s="1234">
        <v>4419900</v>
      </c>
      <c r="G337" s="1234"/>
      <c r="H337" s="1234">
        <v>221</v>
      </c>
      <c r="I337" s="1236">
        <v>183.6</v>
      </c>
      <c r="J337" s="384"/>
    </row>
    <row r="338" spans="2:10" ht="15" x14ac:dyDescent="0.2">
      <c r="B338" s="1233" t="s">
        <v>86</v>
      </c>
      <c r="C338" s="1234">
        <v>56</v>
      </c>
      <c r="D338" s="1234">
        <v>8</v>
      </c>
      <c r="E338" s="1234">
        <v>1</v>
      </c>
      <c r="F338" s="1234">
        <v>4419900</v>
      </c>
      <c r="G338" s="1234"/>
      <c r="H338" s="1234">
        <v>222</v>
      </c>
      <c r="I338" s="1236">
        <v>102</v>
      </c>
      <c r="J338" s="384"/>
    </row>
    <row r="339" spans="2:10" ht="15" x14ac:dyDescent="0.2">
      <c r="B339" s="1233" t="s">
        <v>87</v>
      </c>
      <c r="C339" s="1234">
        <v>56</v>
      </c>
      <c r="D339" s="1234">
        <v>8</v>
      </c>
      <c r="E339" s="1234">
        <v>1</v>
      </c>
      <c r="F339" s="1234">
        <v>4419900</v>
      </c>
      <c r="G339" s="1234"/>
      <c r="H339" s="1234">
        <v>223</v>
      </c>
      <c r="I339" s="1235">
        <v>3318.3</v>
      </c>
      <c r="J339" s="384"/>
    </row>
    <row r="340" spans="2:10" ht="15" x14ac:dyDescent="0.2">
      <c r="B340" s="1233" t="s">
        <v>111</v>
      </c>
      <c r="C340" s="1234">
        <v>56</v>
      </c>
      <c r="D340" s="1234">
        <v>8</v>
      </c>
      <c r="E340" s="1234">
        <v>1</v>
      </c>
      <c r="F340" s="1234">
        <v>4419900</v>
      </c>
      <c r="G340" s="1234"/>
      <c r="H340" s="1234">
        <v>224</v>
      </c>
      <c r="I340" s="1236">
        <v>0</v>
      </c>
      <c r="J340" s="384"/>
    </row>
    <row r="341" spans="2:10" ht="15" x14ac:dyDescent="0.2">
      <c r="B341" s="1233" t="s">
        <v>90</v>
      </c>
      <c r="C341" s="1234">
        <v>56</v>
      </c>
      <c r="D341" s="1234">
        <v>8</v>
      </c>
      <c r="E341" s="1234">
        <v>1</v>
      </c>
      <c r="F341" s="1234">
        <v>4419900</v>
      </c>
      <c r="G341" s="1234"/>
      <c r="H341" s="1234">
        <v>225</v>
      </c>
      <c r="I341" s="1235">
        <v>4136.7</v>
      </c>
      <c r="J341" s="384"/>
    </row>
    <row r="342" spans="2:10" ht="15" x14ac:dyDescent="0.2">
      <c r="B342" s="1233" t="s">
        <v>91</v>
      </c>
      <c r="C342" s="1234">
        <v>56</v>
      </c>
      <c r="D342" s="1234">
        <v>8</v>
      </c>
      <c r="E342" s="1234">
        <v>1</v>
      </c>
      <c r="F342" s="1234">
        <v>4419900</v>
      </c>
      <c r="G342" s="1234"/>
      <c r="H342" s="1234">
        <v>226</v>
      </c>
      <c r="I342" s="1235">
        <v>9659.8179999999993</v>
      </c>
      <c r="J342" s="384"/>
    </row>
    <row r="343" spans="2:10" ht="15" x14ac:dyDescent="0.2">
      <c r="B343" s="1233" t="s">
        <v>94</v>
      </c>
      <c r="C343" s="1234">
        <v>56</v>
      </c>
      <c r="D343" s="1234">
        <v>8</v>
      </c>
      <c r="E343" s="1234">
        <v>1</v>
      </c>
      <c r="F343" s="1234">
        <v>4419900</v>
      </c>
      <c r="G343" s="1234"/>
      <c r="H343" s="1234">
        <v>290</v>
      </c>
      <c r="I343" s="1235">
        <v>1169.0999999999999</v>
      </c>
      <c r="J343" s="384"/>
    </row>
    <row r="344" spans="2:10" ht="15" x14ac:dyDescent="0.2">
      <c r="B344" s="1233" t="s">
        <v>94</v>
      </c>
      <c r="C344" s="1234">
        <v>56</v>
      </c>
      <c r="D344" s="1234">
        <v>8</v>
      </c>
      <c r="E344" s="1234">
        <v>1</v>
      </c>
      <c r="F344" s="1234">
        <v>4419900</v>
      </c>
      <c r="G344" s="1234"/>
      <c r="H344" s="1234">
        <v>290</v>
      </c>
      <c r="I344" s="1236">
        <v>0</v>
      </c>
      <c r="J344" s="384"/>
    </row>
    <row r="345" spans="2:10" ht="15" x14ac:dyDescent="0.2">
      <c r="B345" s="1233" t="s">
        <v>96</v>
      </c>
      <c r="C345" s="1234">
        <v>56</v>
      </c>
      <c r="D345" s="1234">
        <v>8</v>
      </c>
      <c r="E345" s="1234">
        <v>1</v>
      </c>
      <c r="F345" s="1234">
        <v>4419900</v>
      </c>
      <c r="G345" s="1234"/>
      <c r="H345" s="1234">
        <v>310</v>
      </c>
      <c r="I345" s="1236">
        <v>487.37400000000002</v>
      </c>
      <c r="J345" s="384"/>
    </row>
    <row r="346" spans="2:10" ht="15" x14ac:dyDescent="0.2">
      <c r="B346" s="1233" t="s">
        <v>97</v>
      </c>
      <c r="C346" s="1234">
        <v>56</v>
      </c>
      <c r="D346" s="1234">
        <v>8</v>
      </c>
      <c r="E346" s="1234">
        <v>1</v>
      </c>
      <c r="F346" s="1234">
        <v>4419900</v>
      </c>
      <c r="G346" s="1234"/>
      <c r="H346" s="1234">
        <v>340</v>
      </c>
      <c r="I346" s="1236">
        <v>334.40800000000002</v>
      </c>
      <c r="J346" s="384"/>
    </row>
    <row r="347" spans="2:10" ht="15" x14ac:dyDescent="0.2">
      <c r="B347" s="1230" t="s">
        <v>767</v>
      </c>
      <c r="C347" s="1237">
        <v>56</v>
      </c>
      <c r="D347" s="1237">
        <v>8</v>
      </c>
      <c r="E347" s="1237">
        <v>1</v>
      </c>
      <c r="F347" s="1237">
        <v>4419900</v>
      </c>
      <c r="G347" s="1237">
        <v>612</v>
      </c>
      <c r="H347" s="1237">
        <v>241</v>
      </c>
      <c r="I347" s="1232">
        <v>3364</v>
      </c>
      <c r="J347" s="384"/>
    </row>
    <row r="348" spans="2:10" ht="53" x14ac:dyDescent="0.2">
      <c r="B348" s="1239" t="s">
        <v>1143</v>
      </c>
      <c r="C348" s="1313">
        <v>56</v>
      </c>
      <c r="D348" s="1313">
        <v>8</v>
      </c>
      <c r="E348" s="1313">
        <v>1</v>
      </c>
      <c r="F348" s="1312">
        <v>4419900</v>
      </c>
      <c r="G348" s="1312">
        <v>600</v>
      </c>
      <c r="H348" s="1240"/>
      <c r="I348" s="1308">
        <v>61854.8</v>
      </c>
      <c r="J348" s="384"/>
    </row>
    <row r="349" spans="2:10" ht="53" x14ac:dyDescent="0.2">
      <c r="B349" s="1243" t="s">
        <v>1135</v>
      </c>
      <c r="C349" s="1245">
        <v>56</v>
      </c>
      <c r="D349" s="1245">
        <v>8</v>
      </c>
      <c r="E349" s="1245">
        <v>1</v>
      </c>
      <c r="F349" s="1245">
        <v>4419900</v>
      </c>
      <c r="G349" s="1245">
        <v>611</v>
      </c>
      <c r="H349" s="1244">
        <v>241</v>
      </c>
      <c r="I349" s="1265">
        <v>61214.8</v>
      </c>
      <c r="J349" s="384"/>
    </row>
    <row r="350" spans="2:10" ht="15" x14ac:dyDescent="0.2">
      <c r="B350" s="1247" t="s">
        <v>124</v>
      </c>
      <c r="C350" s="1248">
        <v>56</v>
      </c>
      <c r="D350" s="1248">
        <v>8</v>
      </c>
      <c r="E350" s="1248">
        <v>1</v>
      </c>
      <c r="F350" s="1248">
        <v>4419900</v>
      </c>
      <c r="G350" s="1248"/>
      <c r="H350" s="1248">
        <v>211</v>
      </c>
      <c r="I350" s="1254">
        <v>42023.6</v>
      </c>
      <c r="J350" s="384"/>
    </row>
    <row r="351" spans="2:10" ht="15" x14ac:dyDescent="0.2">
      <c r="B351" s="1247" t="s">
        <v>83</v>
      </c>
      <c r="C351" s="1248">
        <v>56</v>
      </c>
      <c r="D351" s="1248">
        <v>8</v>
      </c>
      <c r="E351" s="1248">
        <v>1</v>
      </c>
      <c r="F351" s="1248">
        <v>4419900</v>
      </c>
      <c r="G351" s="1248"/>
      <c r="H351" s="1248">
        <v>212</v>
      </c>
      <c r="I351" s="1255">
        <v>3</v>
      </c>
      <c r="J351" s="384"/>
    </row>
    <row r="352" spans="2:10" ht="15" x14ac:dyDescent="0.2">
      <c r="B352" s="1247" t="s">
        <v>84</v>
      </c>
      <c r="C352" s="1248">
        <v>56</v>
      </c>
      <c r="D352" s="1248">
        <v>8</v>
      </c>
      <c r="E352" s="1248">
        <v>1</v>
      </c>
      <c r="F352" s="1248">
        <v>4419900</v>
      </c>
      <c r="G352" s="1248"/>
      <c r="H352" s="1248">
        <v>213</v>
      </c>
      <c r="I352" s="1254">
        <v>12691.1</v>
      </c>
      <c r="J352" s="384"/>
    </row>
    <row r="353" spans="2:10" ht="15" x14ac:dyDescent="0.2">
      <c r="B353" s="1247" t="s">
        <v>85</v>
      </c>
      <c r="C353" s="1248">
        <v>56</v>
      </c>
      <c r="D353" s="1248">
        <v>8</v>
      </c>
      <c r="E353" s="1248">
        <v>1</v>
      </c>
      <c r="F353" s="1248">
        <v>4419900</v>
      </c>
      <c r="G353" s="1248"/>
      <c r="H353" s="1248">
        <v>221</v>
      </c>
      <c r="I353" s="1255">
        <v>67.2</v>
      </c>
      <c r="J353" s="384"/>
    </row>
    <row r="354" spans="2:10" ht="15" x14ac:dyDescent="0.2">
      <c r="B354" s="1247" t="s">
        <v>86</v>
      </c>
      <c r="C354" s="1248">
        <v>56</v>
      </c>
      <c r="D354" s="1248">
        <v>8</v>
      </c>
      <c r="E354" s="1248">
        <v>1</v>
      </c>
      <c r="F354" s="1248">
        <v>4419900</v>
      </c>
      <c r="G354" s="1248"/>
      <c r="H354" s="1248">
        <v>222</v>
      </c>
      <c r="I354" s="1255">
        <v>84</v>
      </c>
      <c r="J354" s="384"/>
    </row>
    <row r="355" spans="2:10" ht="15" x14ac:dyDescent="0.2">
      <c r="B355" s="1247" t="s">
        <v>87</v>
      </c>
      <c r="C355" s="1248">
        <v>56</v>
      </c>
      <c r="D355" s="1248">
        <v>8</v>
      </c>
      <c r="E355" s="1248">
        <v>1</v>
      </c>
      <c r="F355" s="1248">
        <v>4419900</v>
      </c>
      <c r="G355" s="1248"/>
      <c r="H355" s="1248">
        <v>223</v>
      </c>
      <c r="I355" s="1254">
        <v>2021.6</v>
      </c>
      <c r="J355" s="384"/>
    </row>
    <row r="356" spans="2:10" ht="15" x14ac:dyDescent="0.2">
      <c r="B356" s="1247" t="s">
        <v>111</v>
      </c>
      <c r="C356" s="1248">
        <v>56</v>
      </c>
      <c r="D356" s="1248">
        <v>8</v>
      </c>
      <c r="E356" s="1248">
        <v>1</v>
      </c>
      <c r="F356" s="1248">
        <v>4419900</v>
      </c>
      <c r="G356" s="1248"/>
      <c r="H356" s="1248">
        <v>224</v>
      </c>
      <c r="I356" s="1255">
        <v>0</v>
      </c>
      <c r="J356" s="384"/>
    </row>
    <row r="357" spans="2:10" ht="15" x14ac:dyDescent="0.2">
      <c r="B357" s="1247" t="s">
        <v>90</v>
      </c>
      <c r="C357" s="1248">
        <v>56</v>
      </c>
      <c r="D357" s="1248">
        <v>8</v>
      </c>
      <c r="E357" s="1248">
        <v>1</v>
      </c>
      <c r="F357" s="1248">
        <v>4419900</v>
      </c>
      <c r="G357" s="1248"/>
      <c r="H357" s="1248">
        <v>225</v>
      </c>
      <c r="I357" s="1254">
        <v>2318</v>
      </c>
      <c r="J357" s="384"/>
    </row>
    <row r="358" spans="2:10" ht="15" x14ac:dyDescent="0.2">
      <c r="B358" s="1247" t="s">
        <v>91</v>
      </c>
      <c r="C358" s="1248">
        <v>56</v>
      </c>
      <c r="D358" s="1248">
        <v>8</v>
      </c>
      <c r="E358" s="1248">
        <v>1</v>
      </c>
      <c r="F358" s="1248">
        <v>4419900</v>
      </c>
      <c r="G358" s="1248"/>
      <c r="H358" s="1248">
        <v>226</v>
      </c>
      <c r="I358" s="1255">
        <v>680.54600000000005</v>
      </c>
      <c r="J358" s="384"/>
    </row>
    <row r="359" spans="2:10" ht="15" x14ac:dyDescent="0.2">
      <c r="B359" s="1247" t="s">
        <v>94</v>
      </c>
      <c r="C359" s="1248">
        <v>56</v>
      </c>
      <c r="D359" s="1248">
        <v>8</v>
      </c>
      <c r="E359" s="1248">
        <v>1</v>
      </c>
      <c r="F359" s="1248">
        <v>4419900</v>
      </c>
      <c r="G359" s="1248"/>
      <c r="H359" s="1248">
        <v>290</v>
      </c>
      <c r="I359" s="1255">
        <v>751.3</v>
      </c>
      <c r="J359" s="384"/>
    </row>
    <row r="360" spans="2:10" ht="15" x14ac:dyDescent="0.2">
      <c r="B360" s="1247" t="s">
        <v>94</v>
      </c>
      <c r="C360" s="1248">
        <v>56</v>
      </c>
      <c r="D360" s="1248">
        <v>8</v>
      </c>
      <c r="E360" s="1248">
        <v>1</v>
      </c>
      <c r="F360" s="1248">
        <v>4419900</v>
      </c>
      <c r="G360" s="1248"/>
      <c r="H360" s="1248">
        <v>290</v>
      </c>
      <c r="I360" s="1255">
        <v>0</v>
      </c>
      <c r="J360" s="384"/>
    </row>
    <row r="361" spans="2:10" ht="15" x14ac:dyDescent="0.2">
      <c r="B361" s="1247" t="s">
        <v>96</v>
      </c>
      <c r="C361" s="1248">
        <v>56</v>
      </c>
      <c r="D361" s="1248">
        <v>8</v>
      </c>
      <c r="E361" s="1248">
        <v>1</v>
      </c>
      <c r="F361" s="1248">
        <v>4419900</v>
      </c>
      <c r="G361" s="1248"/>
      <c r="H361" s="1248">
        <v>310</v>
      </c>
      <c r="I361" s="1255">
        <v>365</v>
      </c>
      <c r="J361" s="384"/>
    </row>
    <row r="362" spans="2:10" ht="15" x14ac:dyDescent="0.2">
      <c r="B362" s="1247" t="s">
        <v>97</v>
      </c>
      <c r="C362" s="1248">
        <v>56</v>
      </c>
      <c r="D362" s="1248">
        <v>8</v>
      </c>
      <c r="E362" s="1248">
        <v>1</v>
      </c>
      <c r="F362" s="1248">
        <v>4419900</v>
      </c>
      <c r="G362" s="1248"/>
      <c r="H362" s="1248">
        <v>340</v>
      </c>
      <c r="I362" s="1255">
        <v>209.45400000000001</v>
      </c>
      <c r="J362" s="384"/>
    </row>
    <row r="363" spans="2:10" ht="15" x14ac:dyDescent="0.2">
      <c r="B363" s="1243" t="s">
        <v>767</v>
      </c>
      <c r="C363" s="1244">
        <v>56</v>
      </c>
      <c r="D363" s="1244">
        <v>8</v>
      </c>
      <c r="E363" s="1244">
        <v>1</v>
      </c>
      <c r="F363" s="1244">
        <v>4419900</v>
      </c>
      <c r="G363" s="1244">
        <v>612</v>
      </c>
      <c r="H363" s="1244">
        <v>241</v>
      </c>
      <c r="I363" s="1252">
        <v>640</v>
      </c>
      <c r="J363" s="384"/>
    </row>
    <row r="364" spans="2:10" ht="40" x14ac:dyDescent="0.2">
      <c r="B364" s="1239" t="s">
        <v>1144</v>
      </c>
      <c r="C364" s="1313">
        <v>56</v>
      </c>
      <c r="D364" s="1313">
        <v>8</v>
      </c>
      <c r="E364" s="1313">
        <v>1</v>
      </c>
      <c r="F364" s="1312">
        <v>4419900</v>
      </c>
      <c r="G364" s="1312">
        <v>600</v>
      </c>
      <c r="H364" s="1240"/>
      <c r="I364" s="1308">
        <v>15410.1</v>
      </c>
      <c r="J364" s="384"/>
    </row>
    <row r="365" spans="2:10" ht="53" x14ac:dyDescent="0.2">
      <c r="B365" s="1243" t="s">
        <v>1135</v>
      </c>
      <c r="C365" s="1245">
        <v>56</v>
      </c>
      <c r="D365" s="1245">
        <v>8</v>
      </c>
      <c r="E365" s="1245">
        <v>1</v>
      </c>
      <c r="F365" s="1245">
        <v>4419900</v>
      </c>
      <c r="G365" s="1245">
        <v>611</v>
      </c>
      <c r="H365" s="1244">
        <v>241</v>
      </c>
      <c r="I365" s="1265">
        <v>13710.1</v>
      </c>
      <c r="J365" s="384"/>
    </row>
    <row r="366" spans="2:10" ht="15" x14ac:dyDescent="0.2">
      <c r="B366" s="1247" t="s">
        <v>124</v>
      </c>
      <c r="C366" s="1248">
        <v>56</v>
      </c>
      <c r="D366" s="1248">
        <v>8</v>
      </c>
      <c r="E366" s="1248">
        <v>1</v>
      </c>
      <c r="F366" s="1248">
        <v>4419900</v>
      </c>
      <c r="G366" s="1248"/>
      <c r="H366" s="1248">
        <v>211</v>
      </c>
      <c r="I366" s="1254">
        <v>8294.1</v>
      </c>
      <c r="J366" s="384"/>
    </row>
    <row r="367" spans="2:10" ht="15" x14ac:dyDescent="0.2">
      <c r="B367" s="1247" t="s">
        <v>83</v>
      </c>
      <c r="C367" s="1248">
        <v>56</v>
      </c>
      <c r="D367" s="1248">
        <v>8</v>
      </c>
      <c r="E367" s="1248">
        <v>1</v>
      </c>
      <c r="F367" s="1248">
        <v>4419900</v>
      </c>
      <c r="G367" s="1248"/>
      <c r="H367" s="1248">
        <v>212</v>
      </c>
      <c r="I367" s="1255">
        <v>0</v>
      </c>
      <c r="J367" s="384"/>
    </row>
    <row r="368" spans="2:10" ht="15" x14ac:dyDescent="0.2">
      <c r="B368" s="1247" t="s">
        <v>84</v>
      </c>
      <c r="C368" s="1248">
        <v>56</v>
      </c>
      <c r="D368" s="1248">
        <v>8</v>
      </c>
      <c r="E368" s="1248">
        <v>1</v>
      </c>
      <c r="F368" s="1248">
        <v>4419900</v>
      </c>
      <c r="G368" s="1248"/>
      <c r="H368" s="1248">
        <v>213</v>
      </c>
      <c r="I368" s="1254">
        <v>2504.8000000000002</v>
      </c>
      <c r="J368" s="384"/>
    </row>
    <row r="369" spans="2:10" ht="15" x14ac:dyDescent="0.2">
      <c r="B369" s="1247" t="s">
        <v>85</v>
      </c>
      <c r="C369" s="1248">
        <v>56</v>
      </c>
      <c r="D369" s="1248">
        <v>8</v>
      </c>
      <c r="E369" s="1248">
        <v>1</v>
      </c>
      <c r="F369" s="1248">
        <v>4419900</v>
      </c>
      <c r="G369" s="1248"/>
      <c r="H369" s="1248">
        <v>221</v>
      </c>
      <c r="I369" s="1255">
        <v>19.5</v>
      </c>
      <c r="J369" s="384"/>
    </row>
    <row r="370" spans="2:10" ht="15" x14ac:dyDescent="0.2">
      <c r="B370" s="1247" t="s">
        <v>86</v>
      </c>
      <c r="C370" s="1248">
        <v>56</v>
      </c>
      <c r="D370" s="1248">
        <v>8</v>
      </c>
      <c r="E370" s="1248">
        <v>1</v>
      </c>
      <c r="F370" s="1248">
        <v>4419900</v>
      </c>
      <c r="G370" s="1248"/>
      <c r="H370" s="1248">
        <v>222</v>
      </c>
      <c r="I370" s="1255">
        <v>18</v>
      </c>
      <c r="J370" s="384"/>
    </row>
    <row r="371" spans="2:10" ht="15" x14ac:dyDescent="0.2">
      <c r="B371" s="1247" t="s">
        <v>87</v>
      </c>
      <c r="C371" s="1248">
        <v>56</v>
      </c>
      <c r="D371" s="1248">
        <v>8</v>
      </c>
      <c r="E371" s="1248">
        <v>1</v>
      </c>
      <c r="F371" s="1248">
        <v>4419900</v>
      </c>
      <c r="G371" s="1248"/>
      <c r="H371" s="1248">
        <v>223</v>
      </c>
      <c r="I371" s="1255">
        <v>510.7</v>
      </c>
      <c r="J371" s="384"/>
    </row>
    <row r="372" spans="2:10" ht="15" x14ac:dyDescent="0.2">
      <c r="B372" s="1247" t="s">
        <v>111</v>
      </c>
      <c r="C372" s="1248">
        <v>56</v>
      </c>
      <c r="D372" s="1248">
        <v>8</v>
      </c>
      <c r="E372" s="1248">
        <v>1</v>
      </c>
      <c r="F372" s="1248">
        <v>4419900</v>
      </c>
      <c r="G372" s="1248"/>
      <c r="H372" s="1248">
        <v>224</v>
      </c>
      <c r="I372" s="1255">
        <v>0</v>
      </c>
      <c r="J372" s="384"/>
    </row>
    <row r="373" spans="2:10" ht="15" x14ac:dyDescent="0.2">
      <c r="B373" s="1247" t="s">
        <v>90</v>
      </c>
      <c r="C373" s="1248">
        <v>56</v>
      </c>
      <c r="D373" s="1248">
        <v>8</v>
      </c>
      <c r="E373" s="1248">
        <v>1</v>
      </c>
      <c r="F373" s="1248">
        <v>4419900</v>
      </c>
      <c r="G373" s="1248"/>
      <c r="H373" s="1248">
        <v>225</v>
      </c>
      <c r="I373" s="1254">
        <v>1298.7</v>
      </c>
      <c r="J373" s="384"/>
    </row>
    <row r="374" spans="2:10" ht="15" x14ac:dyDescent="0.2">
      <c r="B374" s="1247" t="s">
        <v>91</v>
      </c>
      <c r="C374" s="1248">
        <v>56</v>
      </c>
      <c r="D374" s="1248">
        <v>8</v>
      </c>
      <c r="E374" s="1248">
        <v>1</v>
      </c>
      <c r="F374" s="1248">
        <v>4419900</v>
      </c>
      <c r="G374" s="1248"/>
      <c r="H374" s="1248">
        <v>226</v>
      </c>
      <c r="I374" s="1255">
        <v>875.2</v>
      </c>
      <c r="J374" s="384"/>
    </row>
    <row r="375" spans="2:10" ht="15" x14ac:dyDescent="0.2">
      <c r="B375" s="1247" t="s">
        <v>94</v>
      </c>
      <c r="C375" s="1248">
        <v>56</v>
      </c>
      <c r="D375" s="1248">
        <v>8</v>
      </c>
      <c r="E375" s="1248">
        <v>1</v>
      </c>
      <c r="F375" s="1248">
        <v>4419900</v>
      </c>
      <c r="G375" s="1248"/>
      <c r="H375" s="1248">
        <v>290</v>
      </c>
      <c r="I375" s="1255">
        <v>164.1</v>
      </c>
      <c r="J375" s="384"/>
    </row>
    <row r="376" spans="2:10" ht="15" x14ac:dyDescent="0.2">
      <c r="B376" s="1247" t="s">
        <v>94</v>
      </c>
      <c r="C376" s="1248">
        <v>56</v>
      </c>
      <c r="D376" s="1248">
        <v>8</v>
      </c>
      <c r="E376" s="1248">
        <v>1</v>
      </c>
      <c r="F376" s="1248">
        <v>4419900</v>
      </c>
      <c r="G376" s="1248"/>
      <c r="H376" s="1248">
        <v>290</v>
      </c>
      <c r="I376" s="1255">
        <v>0</v>
      </c>
      <c r="J376" s="384"/>
    </row>
    <row r="377" spans="2:10" ht="15" x14ac:dyDescent="0.2">
      <c r="B377" s="1247" t="s">
        <v>96</v>
      </c>
      <c r="C377" s="1248">
        <v>56</v>
      </c>
      <c r="D377" s="1248">
        <v>8</v>
      </c>
      <c r="E377" s="1248">
        <v>1</v>
      </c>
      <c r="F377" s="1248">
        <v>4419900</v>
      </c>
      <c r="G377" s="1248"/>
      <c r="H377" s="1248">
        <v>310</v>
      </c>
      <c r="I377" s="1255">
        <v>0</v>
      </c>
      <c r="J377" s="384"/>
    </row>
    <row r="378" spans="2:10" ht="15" x14ac:dyDescent="0.2">
      <c r="B378" s="1247" t="s">
        <v>97</v>
      </c>
      <c r="C378" s="1248">
        <v>56</v>
      </c>
      <c r="D378" s="1248">
        <v>8</v>
      </c>
      <c r="E378" s="1248">
        <v>1</v>
      </c>
      <c r="F378" s="1248">
        <v>4419900</v>
      </c>
      <c r="G378" s="1248"/>
      <c r="H378" s="1248">
        <v>340</v>
      </c>
      <c r="I378" s="1255">
        <v>25</v>
      </c>
      <c r="J378" s="384"/>
    </row>
    <row r="379" spans="2:10" ht="15" x14ac:dyDescent="0.2">
      <c r="B379" s="1243" t="s">
        <v>767</v>
      </c>
      <c r="C379" s="1244">
        <v>56</v>
      </c>
      <c r="D379" s="1244">
        <v>8</v>
      </c>
      <c r="E379" s="1244">
        <v>1</v>
      </c>
      <c r="F379" s="1244">
        <v>4419900</v>
      </c>
      <c r="G379" s="1244">
        <v>612</v>
      </c>
      <c r="H379" s="1244">
        <v>241</v>
      </c>
      <c r="I379" s="1270">
        <v>1700</v>
      </c>
      <c r="J379" s="384"/>
    </row>
    <row r="380" spans="2:10" ht="53" x14ac:dyDescent="0.2">
      <c r="B380" s="1239" t="s">
        <v>1145</v>
      </c>
      <c r="C380" s="1313">
        <v>56</v>
      </c>
      <c r="D380" s="1313">
        <v>8</v>
      </c>
      <c r="E380" s="1313">
        <v>1</v>
      </c>
      <c r="F380" s="1312">
        <v>4419900</v>
      </c>
      <c r="G380" s="1312">
        <v>600</v>
      </c>
      <c r="H380" s="1240"/>
      <c r="I380" s="1308">
        <v>19705.400000000001</v>
      </c>
      <c r="J380" s="384"/>
    </row>
    <row r="381" spans="2:10" ht="53" x14ac:dyDescent="0.2">
      <c r="B381" s="1243" t="s">
        <v>1135</v>
      </c>
      <c r="C381" s="1245">
        <v>56</v>
      </c>
      <c r="D381" s="1245">
        <v>8</v>
      </c>
      <c r="E381" s="1245">
        <v>1</v>
      </c>
      <c r="F381" s="1245">
        <v>4419900</v>
      </c>
      <c r="G381" s="1245">
        <v>611</v>
      </c>
      <c r="H381" s="1244">
        <v>241</v>
      </c>
      <c r="I381" s="1265">
        <v>19205.400000000001</v>
      </c>
      <c r="J381" s="384"/>
    </row>
    <row r="382" spans="2:10" ht="15" x14ac:dyDescent="0.2">
      <c r="B382" s="1247" t="s">
        <v>124</v>
      </c>
      <c r="C382" s="1248">
        <v>56</v>
      </c>
      <c r="D382" s="1248">
        <v>8</v>
      </c>
      <c r="E382" s="1248">
        <v>1</v>
      </c>
      <c r="F382" s="1248">
        <v>4419900</v>
      </c>
      <c r="G382" s="1248"/>
      <c r="H382" s="1248">
        <v>211</v>
      </c>
      <c r="I382" s="1254">
        <v>13588.4</v>
      </c>
      <c r="J382" s="384"/>
    </row>
    <row r="383" spans="2:10" ht="15" x14ac:dyDescent="0.2">
      <c r="B383" s="1247" t="s">
        <v>83</v>
      </c>
      <c r="C383" s="1248">
        <v>56</v>
      </c>
      <c r="D383" s="1248">
        <v>8</v>
      </c>
      <c r="E383" s="1248">
        <v>1</v>
      </c>
      <c r="F383" s="1248">
        <v>4419900</v>
      </c>
      <c r="G383" s="1248"/>
      <c r="H383" s="1248">
        <v>212</v>
      </c>
      <c r="I383" s="1255">
        <v>0</v>
      </c>
      <c r="J383" s="384"/>
    </row>
    <row r="384" spans="2:10" ht="15" x14ac:dyDescent="0.2">
      <c r="B384" s="1247" t="s">
        <v>84</v>
      </c>
      <c r="C384" s="1248">
        <v>56</v>
      </c>
      <c r="D384" s="1248">
        <v>8</v>
      </c>
      <c r="E384" s="1248">
        <v>1</v>
      </c>
      <c r="F384" s="1248">
        <v>4419900</v>
      </c>
      <c r="G384" s="1248"/>
      <c r="H384" s="1248">
        <v>213</v>
      </c>
      <c r="I384" s="1254">
        <v>4103.7</v>
      </c>
      <c r="J384" s="384"/>
    </row>
    <row r="385" spans="2:10" ht="15" x14ac:dyDescent="0.2">
      <c r="B385" s="1247" t="s">
        <v>85</v>
      </c>
      <c r="C385" s="1248">
        <v>56</v>
      </c>
      <c r="D385" s="1248">
        <v>8</v>
      </c>
      <c r="E385" s="1248">
        <v>1</v>
      </c>
      <c r="F385" s="1248">
        <v>4419900</v>
      </c>
      <c r="G385" s="1248"/>
      <c r="H385" s="1248">
        <v>221</v>
      </c>
      <c r="I385" s="1255">
        <v>50.7</v>
      </c>
      <c r="J385" s="384"/>
    </row>
    <row r="386" spans="2:10" ht="15" x14ac:dyDescent="0.2">
      <c r="B386" s="1247" t="s">
        <v>86</v>
      </c>
      <c r="C386" s="1248">
        <v>56</v>
      </c>
      <c r="D386" s="1248">
        <v>8</v>
      </c>
      <c r="E386" s="1248">
        <v>1</v>
      </c>
      <c r="F386" s="1248">
        <v>4419900</v>
      </c>
      <c r="G386" s="1248"/>
      <c r="H386" s="1248">
        <v>222</v>
      </c>
      <c r="I386" s="1255">
        <v>0</v>
      </c>
      <c r="J386" s="384"/>
    </row>
    <row r="387" spans="2:10" ht="15" x14ac:dyDescent="0.2">
      <c r="B387" s="1247" t="s">
        <v>87</v>
      </c>
      <c r="C387" s="1248">
        <v>56</v>
      </c>
      <c r="D387" s="1248">
        <v>8</v>
      </c>
      <c r="E387" s="1248">
        <v>1</v>
      </c>
      <c r="F387" s="1248">
        <v>4419900</v>
      </c>
      <c r="G387" s="1248"/>
      <c r="H387" s="1248">
        <v>223</v>
      </c>
      <c r="I387" s="1255">
        <v>434.2</v>
      </c>
      <c r="J387" s="384"/>
    </row>
    <row r="388" spans="2:10" ht="15" x14ac:dyDescent="0.2">
      <c r="B388" s="1247" t="s">
        <v>111</v>
      </c>
      <c r="C388" s="1248">
        <v>56</v>
      </c>
      <c r="D388" s="1248">
        <v>8</v>
      </c>
      <c r="E388" s="1248">
        <v>1</v>
      </c>
      <c r="F388" s="1248">
        <v>4419900</v>
      </c>
      <c r="G388" s="1248"/>
      <c r="H388" s="1248">
        <v>224</v>
      </c>
      <c r="I388" s="1255">
        <v>0</v>
      </c>
      <c r="J388" s="384"/>
    </row>
    <row r="389" spans="2:10" ht="15" x14ac:dyDescent="0.2">
      <c r="B389" s="1247" t="s">
        <v>90</v>
      </c>
      <c r="C389" s="1248">
        <v>56</v>
      </c>
      <c r="D389" s="1248">
        <v>8</v>
      </c>
      <c r="E389" s="1248">
        <v>1</v>
      </c>
      <c r="F389" s="1248">
        <v>4419900</v>
      </c>
      <c r="G389" s="1248"/>
      <c r="H389" s="1248">
        <v>225</v>
      </c>
      <c r="I389" s="1255">
        <v>470</v>
      </c>
      <c r="J389" s="384"/>
    </row>
    <row r="390" spans="2:10" ht="15" x14ac:dyDescent="0.2">
      <c r="B390" s="1247" t="s">
        <v>91</v>
      </c>
      <c r="C390" s="1248">
        <v>56</v>
      </c>
      <c r="D390" s="1248">
        <v>8</v>
      </c>
      <c r="E390" s="1248">
        <v>1</v>
      </c>
      <c r="F390" s="1248">
        <v>4419900</v>
      </c>
      <c r="G390" s="1248"/>
      <c r="H390" s="1248">
        <v>226</v>
      </c>
      <c r="I390" s="1255">
        <v>350.02600000000001</v>
      </c>
      <c r="J390" s="384"/>
    </row>
    <row r="391" spans="2:10" ht="15" x14ac:dyDescent="0.2">
      <c r="B391" s="1247" t="s">
        <v>94</v>
      </c>
      <c r="C391" s="1248">
        <v>56</v>
      </c>
      <c r="D391" s="1248">
        <v>8</v>
      </c>
      <c r="E391" s="1248">
        <v>1</v>
      </c>
      <c r="F391" s="1248">
        <v>4419900</v>
      </c>
      <c r="G391" s="1248"/>
      <c r="H391" s="1248">
        <v>290</v>
      </c>
      <c r="I391" s="1255">
        <v>86</v>
      </c>
      <c r="J391" s="384"/>
    </row>
    <row r="392" spans="2:10" ht="15" x14ac:dyDescent="0.2">
      <c r="B392" s="1247" t="s">
        <v>94</v>
      </c>
      <c r="C392" s="1248">
        <v>56</v>
      </c>
      <c r="D392" s="1248">
        <v>8</v>
      </c>
      <c r="E392" s="1248">
        <v>1</v>
      </c>
      <c r="F392" s="1248">
        <v>4419900</v>
      </c>
      <c r="G392" s="1248"/>
      <c r="H392" s="1248">
        <v>290</v>
      </c>
      <c r="I392" s="1255">
        <v>0</v>
      </c>
      <c r="J392" s="384"/>
    </row>
    <row r="393" spans="2:10" ht="15" x14ac:dyDescent="0.2">
      <c r="B393" s="1247" t="s">
        <v>96</v>
      </c>
      <c r="C393" s="1248">
        <v>56</v>
      </c>
      <c r="D393" s="1248">
        <v>8</v>
      </c>
      <c r="E393" s="1248">
        <v>1</v>
      </c>
      <c r="F393" s="1248">
        <v>4419900</v>
      </c>
      <c r="G393" s="1248"/>
      <c r="H393" s="1248">
        <v>310</v>
      </c>
      <c r="I393" s="1255">
        <v>122.374</v>
      </c>
      <c r="J393" s="384"/>
    </row>
    <row r="394" spans="2:10" ht="15" x14ac:dyDescent="0.2">
      <c r="B394" s="1247" t="s">
        <v>97</v>
      </c>
      <c r="C394" s="1248">
        <v>56</v>
      </c>
      <c r="D394" s="1248">
        <v>8</v>
      </c>
      <c r="E394" s="1248">
        <v>1</v>
      </c>
      <c r="F394" s="1248">
        <v>4419900</v>
      </c>
      <c r="G394" s="1248"/>
      <c r="H394" s="1248">
        <v>340</v>
      </c>
      <c r="I394" s="1255">
        <v>0</v>
      </c>
      <c r="J394" s="384"/>
    </row>
    <row r="395" spans="2:10" ht="15" x14ac:dyDescent="0.2">
      <c r="B395" s="1243" t="s">
        <v>767</v>
      </c>
      <c r="C395" s="1244">
        <v>56</v>
      </c>
      <c r="D395" s="1244">
        <v>8</v>
      </c>
      <c r="E395" s="1244">
        <v>1</v>
      </c>
      <c r="F395" s="1244">
        <v>4419900</v>
      </c>
      <c r="G395" s="1244">
        <v>612</v>
      </c>
      <c r="H395" s="1244">
        <v>241</v>
      </c>
      <c r="I395" s="1252">
        <v>500</v>
      </c>
      <c r="J395" s="384"/>
    </row>
    <row r="396" spans="2:10" ht="40" x14ac:dyDescent="0.2">
      <c r="B396" s="1320" t="s">
        <v>1146</v>
      </c>
      <c r="C396" s="1321">
        <v>56</v>
      </c>
      <c r="D396" s="1321">
        <v>8</v>
      </c>
      <c r="E396" s="1321">
        <v>1</v>
      </c>
      <c r="F396" s="1322">
        <v>4419900</v>
      </c>
      <c r="G396" s="1322">
        <v>600</v>
      </c>
      <c r="H396" s="1323"/>
      <c r="I396" s="1324">
        <v>11027.8</v>
      </c>
      <c r="J396" s="384"/>
    </row>
    <row r="397" spans="2:10" ht="53" x14ac:dyDescent="0.2">
      <c r="B397" s="1325" t="s">
        <v>1135</v>
      </c>
      <c r="C397" s="1326">
        <v>56</v>
      </c>
      <c r="D397" s="1326">
        <v>8</v>
      </c>
      <c r="E397" s="1326">
        <v>1</v>
      </c>
      <c r="F397" s="1326">
        <v>4419900</v>
      </c>
      <c r="G397" s="1326">
        <v>611</v>
      </c>
      <c r="H397" s="1327">
        <v>241</v>
      </c>
      <c r="I397" s="1328">
        <v>10503.8</v>
      </c>
      <c r="J397" s="384"/>
    </row>
    <row r="398" spans="2:10" ht="15" x14ac:dyDescent="0.2">
      <c r="B398" s="1329" t="s">
        <v>124</v>
      </c>
      <c r="C398" s="1330">
        <v>56</v>
      </c>
      <c r="D398" s="1330">
        <v>8</v>
      </c>
      <c r="E398" s="1330">
        <v>1</v>
      </c>
      <c r="F398" s="1330">
        <v>4419900</v>
      </c>
      <c r="G398" s="1330"/>
      <c r="H398" s="1330">
        <v>211</v>
      </c>
      <c r="I398" s="1331">
        <v>7370.6</v>
      </c>
      <c r="J398" s="384"/>
    </row>
    <row r="399" spans="2:10" ht="15" x14ac:dyDescent="0.2">
      <c r="B399" s="1329" t="s">
        <v>83</v>
      </c>
      <c r="C399" s="1330">
        <v>56</v>
      </c>
      <c r="D399" s="1330">
        <v>8</v>
      </c>
      <c r="E399" s="1330">
        <v>1</v>
      </c>
      <c r="F399" s="1330">
        <v>4419900</v>
      </c>
      <c r="G399" s="1330"/>
      <c r="H399" s="1330">
        <v>212</v>
      </c>
      <c r="I399" s="1332">
        <v>0</v>
      </c>
      <c r="J399" s="384"/>
    </row>
    <row r="400" spans="2:10" ht="15" x14ac:dyDescent="0.2">
      <c r="B400" s="1329" t="s">
        <v>84</v>
      </c>
      <c r="C400" s="1330">
        <v>56</v>
      </c>
      <c r="D400" s="1330">
        <v>8</v>
      </c>
      <c r="E400" s="1330">
        <v>1</v>
      </c>
      <c r="F400" s="1330">
        <v>4419900</v>
      </c>
      <c r="G400" s="1330"/>
      <c r="H400" s="1330">
        <v>213</v>
      </c>
      <c r="I400" s="1331">
        <v>2225.9</v>
      </c>
      <c r="J400" s="384"/>
    </row>
    <row r="401" spans="2:10" ht="15" x14ac:dyDescent="0.2">
      <c r="B401" s="1329" t="s">
        <v>85</v>
      </c>
      <c r="C401" s="1330">
        <v>56</v>
      </c>
      <c r="D401" s="1330">
        <v>8</v>
      </c>
      <c r="E401" s="1330">
        <v>1</v>
      </c>
      <c r="F401" s="1330">
        <v>4419900</v>
      </c>
      <c r="G401" s="1330"/>
      <c r="H401" s="1330">
        <v>221</v>
      </c>
      <c r="I401" s="1332">
        <v>33.799999999999997</v>
      </c>
      <c r="J401" s="384"/>
    </row>
    <row r="402" spans="2:10" ht="15" x14ac:dyDescent="0.2">
      <c r="B402" s="1329" t="s">
        <v>86</v>
      </c>
      <c r="C402" s="1330">
        <v>56</v>
      </c>
      <c r="D402" s="1330">
        <v>8</v>
      </c>
      <c r="E402" s="1330">
        <v>1</v>
      </c>
      <c r="F402" s="1330">
        <v>4419900</v>
      </c>
      <c r="G402" s="1330"/>
      <c r="H402" s="1330">
        <v>222</v>
      </c>
      <c r="I402" s="1332">
        <v>0</v>
      </c>
      <c r="J402" s="384"/>
    </row>
    <row r="403" spans="2:10" ht="15" x14ac:dyDescent="0.2">
      <c r="B403" s="1329" t="s">
        <v>87</v>
      </c>
      <c r="C403" s="1330">
        <v>56</v>
      </c>
      <c r="D403" s="1330">
        <v>8</v>
      </c>
      <c r="E403" s="1330">
        <v>1</v>
      </c>
      <c r="F403" s="1330">
        <v>4419900</v>
      </c>
      <c r="G403" s="1330"/>
      <c r="H403" s="1330">
        <v>223</v>
      </c>
      <c r="I403" s="1332">
        <v>100</v>
      </c>
      <c r="J403" s="384"/>
    </row>
    <row r="404" spans="2:10" ht="15" x14ac:dyDescent="0.2">
      <c r="B404" s="1329" t="s">
        <v>111</v>
      </c>
      <c r="C404" s="1330">
        <v>56</v>
      </c>
      <c r="D404" s="1330">
        <v>8</v>
      </c>
      <c r="E404" s="1330">
        <v>1</v>
      </c>
      <c r="F404" s="1330">
        <v>4419900</v>
      </c>
      <c r="G404" s="1330"/>
      <c r="H404" s="1330">
        <v>224</v>
      </c>
      <c r="I404" s="1332">
        <v>0</v>
      </c>
      <c r="J404" s="384"/>
    </row>
    <row r="405" spans="2:10" ht="15" x14ac:dyDescent="0.2">
      <c r="B405" s="1329" t="s">
        <v>90</v>
      </c>
      <c r="C405" s="1330">
        <v>56</v>
      </c>
      <c r="D405" s="1330">
        <v>8</v>
      </c>
      <c r="E405" s="1330">
        <v>1</v>
      </c>
      <c r="F405" s="1330">
        <v>4419900</v>
      </c>
      <c r="G405" s="1330"/>
      <c r="H405" s="1330">
        <v>225</v>
      </c>
      <c r="I405" s="1332">
        <v>50</v>
      </c>
      <c r="J405" s="384"/>
    </row>
    <row r="406" spans="2:10" ht="15" x14ac:dyDescent="0.2">
      <c r="B406" s="1329" t="s">
        <v>91</v>
      </c>
      <c r="C406" s="1330">
        <v>56</v>
      </c>
      <c r="D406" s="1330">
        <v>8</v>
      </c>
      <c r="E406" s="1330">
        <v>1</v>
      </c>
      <c r="F406" s="1330">
        <v>4419900</v>
      </c>
      <c r="G406" s="1330"/>
      <c r="H406" s="1330">
        <v>226</v>
      </c>
      <c r="I406" s="1332">
        <v>542.04600000000005</v>
      </c>
      <c r="J406" s="384"/>
    </row>
    <row r="407" spans="2:10" ht="15" x14ac:dyDescent="0.2">
      <c r="B407" s="1329" t="s">
        <v>94</v>
      </c>
      <c r="C407" s="1330">
        <v>56</v>
      </c>
      <c r="D407" s="1330">
        <v>8</v>
      </c>
      <c r="E407" s="1330">
        <v>1</v>
      </c>
      <c r="F407" s="1330">
        <v>4419900</v>
      </c>
      <c r="G407" s="1330"/>
      <c r="H407" s="1330">
        <v>290</v>
      </c>
      <c r="I407" s="1332">
        <v>81.5</v>
      </c>
      <c r="J407" s="384"/>
    </row>
    <row r="408" spans="2:10" ht="15" x14ac:dyDescent="0.2">
      <c r="B408" s="1329" t="s">
        <v>94</v>
      </c>
      <c r="C408" s="1330">
        <v>56</v>
      </c>
      <c r="D408" s="1330">
        <v>8</v>
      </c>
      <c r="E408" s="1330">
        <v>1</v>
      </c>
      <c r="F408" s="1330">
        <v>4419900</v>
      </c>
      <c r="G408" s="1330"/>
      <c r="H408" s="1330">
        <v>290</v>
      </c>
      <c r="I408" s="1332">
        <v>0</v>
      </c>
      <c r="J408" s="384"/>
    </row>
    <row r="409" spans="2:10" ht="15" x14ac:dyDescent="0.2">
      <c r="B409" s="1329" t="s">
        <v>96</v>
      </c>
      <c r="C409" s="1330">
        <v>56</v>
      </c>
      <c r="D409" s="1330">
        <v>8</v>
      </c>
      <c r="E409" s="1330">
        <v>1</v>
      </c>
      <c r="F409" s="1330">
        <v>4419900</v>
      </c>
      <c r="G409" s="1330"/>
      <c r="H409" s="1330">
        <v>310</v>
      </c>
      <c r="I409" s="1332">
        <v>0</v>
      </c>
      <c r="J409" s="384"/>
    </row>
    <row r="410" spans="2:10" ht="15" x14ac:dyDescent="0.2">
      <c r="B410" s="1329" t="s">
        <v>97</v>
      </c>
      <c r="C410" s="1330">
        <v>56</v>
      </c>
      <c r="D410" s="1330">
        <v>8</v>
      </c>
      <c r="E410" s="1330">
        <v>1</v>
      </c>
      <c r="F410" s="1330">
        <v>4419900</v>
      </c>
      <c r="G410" s="1330"/>
      <c r="H410" s="1330">
        <v>340</v>
      </c>
      <c r="I410" s="1332">
        <v>99.953999999999994</v>
      </c>
      <c r="J410" s="384"/>
    </row>
    <row r="411" spans="2:10" ht="15" x14ac:dyDescent="0.2">
      <c r="B411" s="1325" t="s">
        <v>767</v>
      </c>
      <c r="C411" s="1327">
        <v>56</v>
      </c>
      <c r="D411" s="1327">
        <v>8</v>
      </c>
      <c r="E411" s="1327">
        <v>1</v>
      </c>
      <c r="F411" s="1327">
        <v>4419900</v>
      </c>
      <c r="G411" s="1327">
        <v>612</v>
      </c>
      <c r="H411" s="1327">
        <v>241</v>
      </c>
      <c r="I411" s="1333">
        <v>524</v>
      </c>
      <c r="J411" s="384"/>
    </row>
    <row r="412" spans="2:10" ht="27" x14ac:dyDescent="0.2">
      <c r="B412" s="1320" t="s">
        <v>1147</v>
      </c>
      <c r="C412" s="1321">
        <v>56</v>
      </c>
      <c r="D412" s="1321">
        <v>8</v>
      </c>
      <c r="E412" s="1321">
        <v>1</v>
      </c>
      <c r="F412" s="1322">
        <v>4419900</v>
      </c>
      <c r="G412" s="1322">
        <v>600</v>
      </c>
      <c r="H412" s="1323"/>
      <c r="I412" s="1324">
        <v>16374.1</v>
      </c>
      <c r="J412" s="384"/>
    </row>
    <row r="413" spans="2:10" ht="53" x14ac:dyDescent="0.2">
      <c r="B413" s="1325" t="s">
        <v>1135</v>
      </c>
      <c r="C413" s="1326">
        <v>56</v>
      </c>
      <c r="D413" s="1326">
        <v>8</v>
      </c>
      <c r="E413" s="1326">
        <v>1</v>
      </c>
      <c r="F413" s="1326">
        <v>4419900</v>
      </c>
      <c r="G413" s="1326">
        <v>611</v>
      </c>
      <c r="H413" s="1327">
        <v>241</v>
      </c>
      <c r="I413" s="1328">
        <v>16374.1</v>
      </c>
      <c r="J413" s="384"/>
    </row>
    <row r="414" spans="2:10" ht="15" x14ac:dyDescent="0.2">
      <c r="B414" s="1329" t="s">
        <v>124</v>
      </c>
      <c r="C414" s="1330">
        <v>56</v>
      </c>
      <c r="D414" s="1330">
        <v>8</v>
      </c>
      <c r="E414" s="1330">
        <v>1</v>
      </c>
      <c r="F414" s="1330">
        <v>4419900</v>
      </c>
      <c r="G414" s="1330"/>
      <c r="H414" s="1330">
        <v>211</v>
      </c>
      <c r="I414" s="1331">
        <v>6767.8</v>
      </c>
      <c r="J414" s="384"/>
    </row>
    <row r="415" spans="2:10" ht="15" x14ac:dyDescent="0.2">
      <c r="B415" s="1329" t="s">
        <v>83</v>
      </c>
      <c r="C415" s="1330">
        <v>56</v>
      </c>
      <c r="D415" s="1330">
        <v>8</v>
      </c>
      <c r="E415" s="1330">
        <v>1</v>
      </c>
      <c r="F415" s="1330">
        <v>4419900</v>
      </c>
      <c r="G415" s="1330"/>
      <c r="H415" s="1330">
        <v>212</v>
      </c>
      <c r="I415" s="1332">
        <v>0</v>
      </c>
      <c r="J415" s="384"/>
    </row>
    <row r="416" spans="2:10" ht="15" x14ac:dyDescent="0.2">
      <c r="B416" s="1329" t="s">
        <v>84</v>
      </c>
      <c r="C416" s="1330">
        <v>56</v>
      </c>
      <c r="D416" s="1330">
        <v>8</v>
      </c>
      <c r="E416" s="1330">
        <v>1</v>
      </c>
      <c r="F416" s="1330">
        <v>4419900</v>
      </c>
      <c r="G416" s="1330"/>
      <c r="H416" s="1330">
        <v>213</v>
      </c>
      <c r="I416" s="1331">
        <v>2043.9</v>
      </c>
      <c r="J416" s="384"/>
    </row>
    <row r="417" spans="2:10" ht="15" x14ac:dyDescent="0.2">
      <c r="B417" s="1329" t="s">
        <v>85</v>
      </c>
      <c r="C417" s="1330">
        <v>56</v>
      </c>
      <c r="D417" s="1330">
        <v>8</v>
      </c>
      <c r="E417" s="1330">
        <v>1</v>
      </c>
      <c r="F417" s="1330">
        <v>4419900</v>
      </c>
      <c r="G417" s="1330"/>
      <c r="H417" s="1330">
        <v>221</v>
      </c>
      <c r="I417" s="1332">
        <v>12.4</v>
      </c>
      <c r="J417" s="384"/>
    </row>
    <row r="418" spans="2:10" ht="15" x14ac:dyDescent="0.2">
      <c r="B418" s="1329" t="s">
        <v>86</v>
      </c>
      <c r="C418" s="1330">
        <v>56</v>
      </c>
      <c r="D418" s="1330">
        <v>8</v>
      </c>
      <c r="E418" s="1330">
        <v>1</v>
      </c>
      <c r="F418" s="1330">
        <v>4419900</v>
      </c>
      <c r="G418" s="1330"/>
      <c r="H418" s="1330">
        <v>222</v>
      </c>
      <c r="I418" s="1332">
        <v>0</v>
      </c>
      <c r="J418" s="384"/>
    </row>
    <row r="419" spans="2:10" ht="15" x14ac:dyDescent="0.2">
      <c r="B419" s="1329" t="s">
        <v>87</v>
      </c>
      <c r="C419" s="1330">
        <v>56</v>
      </c>
      <c r="D419" s="1330">
        <v>8</v>
      </c>
      <c r="E419" s="1330">
        <v>1</v>
      </c>
      <c r="F419" s="1330">
        <v>4419900</v>
      </c>
      <c r="G419" s="1330"/>
      <c r="H419" s="1330">
        <v>223</v>
      </c>
      <c r="I419" s="1332">
        <v>251.8</v>
      </c>
      <c r="J419" s="384"/>
    </row>
    <row r="420" spans="2:10" ht="15" x14ac:dyDescent="0.2">
      <c r="B420" s="1329" t="s">
        <v>111</v>
      </c>
      <c r="C420" s="1330">
        <v>56</v>
      </c>
      <c r="D420" s="1330">
        <v>8</v>
      </c>
      <c r="E420" s="1330">
        <v>1</v>
      </c>
      <c r="F420" s="1330">
        <v>4419900</v>
      </c>
      <c r="G420" s="1330"/>
      <c r="H420" s="1330">
        <v>224</v>
      </c>
      <c r="I420" s="1332">
        <v>0</v>
      </c>
      <c r="J420" s="384"/>
    </row>
    <row r="421" spans="2:10" ht="15" x14ac:dyDescent="0.2">
      <c r="B421" s="1329" t="s">
        <v>90</v>
      </c>
      <c r="C421" s="1330">
        <v>56</v>
      </c>
      <c r="D421" s="1330">
        <v>8</v>
      </c>
      <c r="E421" s="1330">
        <v>1</v>
      </c>
      <c r="F421" s="1330">
        <v>4419900</v>
      </c>
      <c r="G421" s="1330"/>
      <c r="H421" s="1330">
        <v>225</v>
      </c>
      <c r="I421" s="1332">
        <v>0</v>
      </c>
      <c r="J421" s="384"/>
    </row>
    <row r="422" spans="2:10" ht="15" x14ac:dyDescent="0.2">
      <c r="B422" s="1329" t="s">
        <v>91</v>
      </c>
      <c r="C422" s="1330">
        <v>56</v>
      </c>
      <c r="D422" s="1330">
        <v>8</v>
      </c>
      <c r="E422" s="1330">
        <v>1</v>
      </c>
      <c r="F422" s="1330">
        <v>4419900</v>
      </c>
      <c r="G422" s="1330"/>
      <c r="H422" s="1330">
        <v>226</v>
      </c>
      <c r="I422" s="1334">
        <v>7212</v>
      </c>
      <c r="J422" s="384"/>
    </row>
    <row r="423" spans="2:10" ht="15" x14ac:dyDescent="0.2">
      <c r="B423" s="1329" t="s">
        <v>94</v>
      </c>
      <c r="C423" s="1330">
        <v>56</v>
      </c>
      <c r="D423" s="1330">
        <v>8</v>
      </c>
      <c r="E423" s="1330">
        <v>1</v>
      </c>
      <c r="F423" s="1330">
        <v>4419900</v>
      </c>
      <c r="G423" s="1330"/>
      <c r="H423" s="1330">
        <v>290</v>
      </c>
      <c r="I423" s="1332">
        <v>86.2</v>
      </c>
      <c r="J423" s="384"/>
    </row>
    <row r="424" spans="2:10" ht="15" x14ac:dyDescent="0.2">
      <c r="B424" s="1329" t="s">
        <v>94</v>
      </c>
      <c r="C424" s="1330">
        <v>56</v>
      </c>
      <c r="D424" s="1330">
        <v>8</v>
      </c>
      <c r="E424" s="1330">
        <v>1</v>
      </c>
      <c r="F424" s="1330">
        <v>4419900</v>
      </c>
      <c r="G424" s="1330"/>
      <c r="H424" s="1330">
        <v>290</v>
      </c>
      <c r="I424" s="1332">
        <v>0</v>
      </c>
      <c r="J424" s="384"/>
    </row>
    <row r="425" spans="2:10" ht="15" x14ac:dyDescent="0.2">
      <c r="B425" s="1329" t="s">
        <v>96</v>
      </c>
      <c r="C425" s="1330">
        <v>56</v>
      </c>
      <c r="D425" s="1330">
        <v>8</v>
      </c>
      <c r="E425" s="1330">
        <v>1</v>
      </c>
      <c r="F425" s="1330">
        <v>4419900</v>
      </c>
      <c r="G425" s="1330"/>
      <c r="H425" s="1330">
        <v>310</v>
      </c>
      <c r="I425" s="1332">
        <v>0</v>
      </c>
      <c r="J425" s="384"/>
    </row>
    <row r="426" spans="2:10" ht="15" x14ac:dyDescent="0.2">
      <c r="B426" s="1329" t="s">
        <v>97</v>
      </c>
      <c r="C426" s="1330">
        <v>56</v>
      </c>
      <c r="D426" s="1330">
        <v>8</v>
      </c>
      <c r="E426" s="1330">
        <v>1</v>
      </c>
      <c r="F426" s="1330">
        <v>4419900</v>
      </c>
      <c r="G426" s="1330"/>
      <c r="H426" s="1330">
        <v>340</v>
      </c>
      <c r="I426" s="1332">
        <v>0</v>
      </c>
      <c r="J426" s="384"/>
    </row>
    <row r="427" spans="2:10" ht="15" x14ac:dyDescent="0.2">
      <c r="B427" s="1325" t="s">
        <v>767</v>
      </c>
      <c r="C427" s="1327">
        <v>56</v>
      </c>
      <c r="D427" s="1327">
        <v>8</v>
      </c>
      <c r="E427" s="1327">
        <v>1</v>
      </c>
      <c r="F427" s="1327">
        <v>4419900</v>
      </c>
      <c r="G427" s="1327">
        <v>612</v>
      </c>
      <c r="H427" s="1327">
        <v>241</v>
      </c>
      <c r="I427" s="1333">
        <v>0</v>
      </c>
      <c r="J427" s="384"/>
    </row>
    <row r="428" spans="2:10" ht="15" x14ac:dyDescent="0.2">
      <c r="B428" s="1257" t="s">
        <v>793</v>
      </c>
      <c r="C428" s="1222">
        <v>56</v>
      </c>
      <c r="D428" s="1222">
        <v>8</v>
      </c>
      <c r="E428" s="1222">
        <v>1</v>
      </c>
      <c r="F428" s="1222">
        <v>4420000</v>
      </c>
      <c r="G428" s="1222"/>
      <c r="H428" s="1335"/>
      <c r="I428" s="1336"/>
      <c r="J428" s="384"/>
    </row>
    <row r="429" spans="2:10" ht="40" x14ac:dyDescent="0.2">
      <c r="B429" s="1224" t="s">
        <v>794</v>
      </c>
      <c r="C429" s="1225">
        <v>56</v>
      </c>
      <c r="D429" s="1225">
        <v>8</v>
      </c>
      <c r="E429" s="1225">
        <v>1</v>
      </c>
      <c r="F429" s="1225">
        <v>4429900</v>
      </c>
      <c r="G429" s="1225"/>
      <c r="H429" s="1234"/>
      <c r="I429" s="1236"/>
      <c r="J429" s="384"/>
    </row>
    <row r="430" spans="2:10" ht="15" x14ac:dyDescent="0.2">
      <c r="B430" s="1226" t="s">
        <v>1125</v>
      </c>
      <c r="C430" s="1227">
        <v>56</v>
      </c>
      <c r="D430" s="1227">
        <v>8</v>
      </c>
      <c r="E430" s="1227">
        <v>1</v>
      </c>
      <c r="F430" s="1227">
        <v>4429900</v>
      </c>
      <c r="G430" s="1227">
        <v>600</v>
      </c>
      <c r="H430" s="1300"/>
      <c r="I430" s="1229">
        <v>80776.28</v>
      </c>
      <c r="J430" s="384"/>
    </row>
    <row r="431" spans="2:10" ht="53" x14ac:dyDescent="0.2">
      <c r="B431" s="1230" t="s">
        <v>1135</v>
      </c>
      <c r="C431" s="1231">
        <v>56</v>
      </c>
      <c r="D431" s="1231">
        <v>8</v>
      </c>
      <c r="E431" s="1231">
        <v>1</v>
      </c>
      <c r="F431" s="1231">
        <v>4429900</v>
      </c>
      <c r="G431" s="1231">
        <v>600</v>
      </c>
      <c r="H431" s="1237">
        <v>241</v>
      </c>
      <c r="I431" s="1232">
        <v>68325.279999999999</v>
      </c>
      <c r="J431" s="384"/>
    </row>
    <row r="432" spans="2:10" ht="15" x14ac:dyDescent="0.2">
      <c r="B432" s="1233" t="s">
        <v>78</v>
      </c>
      <c r="C432" s="1234">
        <v>56</v>
      </c>
      <c r="D432" s="1234">
        <v>8</v>
      </c>
      <c r="E432" s="1234">
        <v>1</v>
      </c>
      <c r="F432" s="1234">
        <v>4429900</v>
      </c>
      <c r="G432" s="1234"/>
      <c r="H432" s="1234">
        <v>211</v>
      </c>
      <c r="I432" s="1235">
        <v>39048.5</v>
      </c>
      <c r="J432" s="384"/>
    </row>
    <row r="433" spans="2:10" ht="15" x14ac:dyDescent="0.2">
      <c r="B433" s="1233" t="s">
        <v>103</v>
      </c>
      <c r="C433" s="1234">
        <v>56</v>
      </c>
      <c r="D433" s="1234">
        <v>8</v>
      </c>
      <c r="E433" s="1234">
        <v>1</v>
      </c>
      <c r="F433" s="1234">
        <v>4429900</v>
      </c>
      <c r="G433" s="1234"/>
      <c r="H433" s="1234">
        <v>212</v>
      </c>
      <c r="I433" s="1236">
        <v>2</v>
      </c>
      <c r="J433" s="384"/>
    </row>
    <row r="434" spans="2:10" ht="15" x14ac:dyDescent="0.2">
      <c r="B434" s="1233" t="s">
        <v>84</v>
      </c>
      <c r="C434" s="1234">
        <v>56</v>
      </c>
      <c r="D434" s="1234">
        <v>8</v>
      </c>
      <c r="E434" s="1234">
        <v>1</v>
      </c>
      <c r="F434" s="1234">
        <v>4429900</v>
      </c>
      <c r="G434" s="1234"/>
      <c r="H434" s="1234">
        <v>213</v>
      </c>
      <c r="I434" s="1235">
        <v>11792.68</v>
      </c>
      <c r="J434" s="384"/>
    </row>
    <row r="435" spans="2:10" ht="15" x14ac:dyDescent="0.2">
      <c r="B435" s="1233" t="s">
        <v>85</v>
      </c>
      <c r="C435" s="1234">
        <v>56</v>
      </c>
      <c r="D435" s="1234">
        <v>8</v>
      </c>
      <c r="E435" s="1234">
        <v>1</v>
      </c>
      <c r="F435" s="1234">
        <v>4429900</v>
      </c>
      <c r="G435" s="1234"/>
      <c r="H435" s="1234">
        <v>221</v>
      </c>
      <c r="I435" s="1236">
        <v>201.6</v>
      </c>
      <c r="J435" s="384"/>
    </row>
    <row r="436" spans="2:10" ht="15" x14ac:dyDescent="0.2">
      <c r="B436" s="1233" t="s">
        <v>86</v>
      </c>
      <c r="C436" s="1234">
        <v>56</v>
      </c>
      <c r="D436" s="1234">
        <v>8</v>
      </c>
      <c r="E436" s="1234">
        <v>1</v>
      </c>
      <c r="F436" s="1234">
        <v>4429900</v>
      </c>
      <c r="G436" s="1234"/>
      <c r="H436" s="1234">
        <v>222</v>
      </c>
      <c r="I436" s="1236">
        <v>40</v>
      </c>
      <c r="J436" s="384"/>
    </row>
    <row r="437" spans="2:10" ht="15" x14ac:dyDescent="0.2">
      <c r="B437" s="1233" t="s">
        <v>87</v>
      </c>
      <c r="C437" s="1234">
        <v>56</v>
      </c>
      <c r="D437" s="1234">
        <v>8</v>
      </c>
      <c r="E437" s="1234">
        <v>1</v>
      </c>
      <c r="F437" s="1234">
        <v>4429900</v>
      </c>
      <c r="G437" s="1234"/>
      <c r="H437" s="1234">
        <v>223</v>
      </c>
      <c r="I437" s="1235">
        <v>2681.6</v>
      </c>
      <c r="J437" s="384"/>
    </row>
    <row r="438" spans="2:10" ht="15" x14ac:dyDescent="0.2">
      <c r="B438" s="1233" t="s">
        <v>134</v>
      </c>
      <c r="C438" s="1234">
        <v>56</v>
      </c>
      <c r="D438" s="1234">
        <v>8</v>
      </c>
      <c r="E438" s="1234">
        <v>1</v>
      </c>
      <c r="F438" s="1234">
        <v>4429900</v>
      </c>
      <c r="G438" s="1234"/>
      <c r="H438" s="1234">
        <v>224</v>
      </c>
      <c r="I438" s="1236">
        <v>600</v>
      </c>
      <c r="J438" s="384"/>
    </row>
    <row r="439" spans="2:10" ht="15" x14ac:dyDescent="0.2">
      <c r="B439" s="1233" t="s">
        <v>90</v>
      </c>
      <c r="C439" s="1234">
        <v>56</v>
      </c>
      <c r="D439" s="1234">
        <v>8</v>
      </c>
      <c r="E439" s="1234">
        <v>1</v>
      </c>
      <c r="F439" s="1234">
        <v>4429900</v>
      </c>
      <c r="G439" s="1234"/>
      <c r="H439" s="1234">
        <v>225</v>
      </c>
      <c r="I439" s="1235">
        <v>10427</v>
      </c>
      <c r="J439" s="384"/>
    </row>
    <row r="440" spans="2:10" ht="15" x14ac:dyDescent="0.2">
      <c r="B440" s="1233" t="s">
        <v>91</v>
      </c>
      <c r="C440" s="1234">
        <v>56</v>
      </c>
      <c r="D440" s="1234">
        <v>8</v>
      </c>
      <c r="E440" s="1234">
        <v>1</v>
      </c>
      <c r="F440" s="1234">
        <v>4429900</v>
      </c>
      <c r="G440" s="1234"/>
      <c r="H440" s="1234">
        <v>226</v>
      </c>
      <c r="I440" s="1235">
        <v>1012.538</v>
      </c>
      <c r="J440" s="384"/>
    </row>
    <row r="441" spans="2:10" ht="15" x14ac:dyDescent="0.2">
      <c r="B441" s="1233" t="s">
        <v>94</v>
      </c>
      <c r="C441" s="1234">
        <v>56</v>
      </c>
      <c r="D441" s="1234">
        <v>8</v>
      </c>
      <c r="E441" s="1234">
        <v>1</v>
      </c>
      <c r="F441" s="1234">
        <v>4429900</v>
      </c>
      <c r="G441" s="1234"/>
      <c r="H441" s="1234">
        <v>290</v>
      </c>
      <c r="I441" s="1235">
        <v>1975.8040000000001</v>
      </c>
      <c r="J441" s="384"/>
    </row>
    <row r="442" spans="2:10" ht="15" x14ac:dyDescent="0.2">
      <c r="B442" s="1233" t="s">
        <v>94</v>
      </c>
      <c r="C442" s="1234">
        <v>56</v>
      </c>
      <c r="D442" s="1234">
        <v>8</v>
      </c>
      <c r="E442" s="1234">
        <v>1</v>
      </c>
      <c r="F442" s="1234">
        <v>4429900</v>
      </c>
      <c r="G442" s="1234"/>
      <c r="H442" s="1234">
        <v>290</v>
      </c>
      <c r="I442" s="1236">
        <v>0</v>
      </c>
      <c r="J442" s="384"/>
    </row>
    <row r="443" spans="2:10" ht="15" x14ac:dyDescent="0.2">
      <c r="B443" s="1233" t="s">
        <v>96</v>
      </c>
      <c r="C443" s="1234">
        <v>56</v>
      </c>
      <c r="D443" s="1234">
        <v>8</v>
      </c>
      <c r="E443" s="1234">
        <v>1</v>
      </c>
      <c r="F443" s="1234">
        <v>4429900</v>
      </c>
      <c r="G443" s="1234"/>
      <c r="H443" s="1234">
        <v>310</v>
      </c>
      <c r="I443" s="1236">
        <v>259.5</v>
      </c>
      <c r="J443" s="384"/>
    </row>
    <row r="444" spans="2:10" ht="15" x14ac:dyDescent="0.2">
      <c r="B444" s="1233" t="s">
        <v>97</v>
      </c>
      <c r="C444" s="1234">
        <v>56</v>
      </c>
      <c r="D444" s="1234">
        <v>8</v>
      </c>
      <c r="E444" s="1234">
        <v>1</v>
      </c>
      <c r="F444" s="1234">
        <v>4429900</v>
      </c>
      <c r="G444" s="1234"/>
      <c r="H444" s="1234">
        <v>340</v>
      </c>
      <c r="I444" s="1236">
        <v>284.05799999999999</v>
      </c>
      <c r="J444" s="384"/>
    </row>
    <row r="445" spans="2:10" ht="15" x14ac:dyDescent="0.2">
      <c r="B445" s="1230" t="s">
        <v>767</v>
      </c>
      <c r="C445" s="1237">
        <v>56</v>
      </c>
      <c r="D445" s="1237">
        <v>8</v>
      </c>
      <c r="E445" s="1237">
        <v>1</v>
      </c>
      <c r="F445" s="1237">
        <v>4429900</v>
      </c>
      <c r="G445" s="1237">
        <v>612</v>
      </c>
      <c r="H445" s="1237">
        <v>241</v>
      </c>
      <c r="I445" s="1337">
        <v>12451</v>
      </c>
      <c r="J445" s="384"/>
    </row>
    <row r="446" spans="2:10" ht="40" x14ac:dyDescent="0.2">
      <c r="B446" s="1239" t="s">
        <v>1148</v>
      </c>
      <c r="C446" s="1312">
        <v>56</v>
      </c>
      <c r="D446" s="1312">
        <v>8</v>
      </c>
      <c r="E446" s="1312">
        <v>1</v>
      </c>
      <c r="F446" s="1312">
        <v>4429900</v>
      </c>
      <c r="G446" s="1312">
        <v>600</v>
      </c>
      <c r="H446" s="1240"/>
      <c r="I446" s="1308">
        <v>59504.98</v>
      </c>
      <c r="J446" s="384"/>
    </row>
    <row r="447" spans="2:10" ht="53" x14ac:dyDescent="0.2">
      <c r="B447" s="1243" t="s">
        <v>1135</v>
      </c>
      <c r="C447" s="1245">
        <v>56</v>
      </c>
      <c r="D447" s="1245">
        <v>8</v>
      </c>
      <c r="E447" s="1245">
        <v>1</v>
      </c>
      <c r="F447" s="1245">
        <v>4429900</v>
      </c>
      <c r="G447" s="1245">
        <v>600</v>
      </c>
      <c r="H447" s="1244">
        <v>241</v>
      </c>
      <c r="I447" s="1265">
        <v>47053.98</v>
      </c>
      <c r="J447" s="384"/>
    </row>
    <row r="448" spans="2:10" ht="15" x14ac:dyDescent="0.2">
      <c r="B448" s="1247" t="s">
        <v>78</v>
      </c>
      <c r="C448" s="1248">
        <v>56</v>
      </c>
      <c r="D448" s="1248">
        <v>8</v>
      </c>
      <c r="E448" s="1248">
        <v>1</v>
      </c>
      <c r="F448" s="1248">
        <v>4429900</v>
      </c>
      <c r="G448" s="1248"/>
      <c r="H448" s="1248">
        <v>211</v>
      </c>
      <c r="I448" s="1254">
        <v>24830.3</v>
      </c>
      <c r="J448" s="384"/>
    </row>
    <row r="449" spans="2:10" ht="15" x14ac:dyDescent="0.2">
      <c r="B449" s="1247" t="s">
        <v>103</v>
      </c>
      <c r="C449" s="1248">
        <v>56</v>
      </c>
      <c r="D449" s="1248">
        <v>8</v>
      </c>
      <c r="E449" s="1248">
        <v>1</v>
      </c>
      <c r="F449" s="1248">
        <v>4429900</v>
      </c>
      <c r="G449" s="1248"/>
      <c r="H449" s="1248">
        <v>212</v>
      </c>
      <c r="I449" s="1255">
        <v>2</v>
      </c>
      <c r="J449" s="384"/>
    </row>
    <row r="450" spans="2:10" ht="15" x14ac:dyDescent="0.2">
      <c r="B450" s="1247" t="s">
        <v>84</v>
      </c>
      <c r="C450" s="1248">
        <v>56</v>
      </c>
      <c r="D450" s="1248">
        <v>8</v>
      </c>
      <c r="E450" s="1248">
        <v>1</v>
      </c>
      <c r="F450" s="1248">
        <v>4429900</v>
      </c>
      <c r="G450" s="1248"/>
      <c r="H450" s="1248">
        <v>213</v>
      </c>
      <c r="I450" s="1254">
        <v>7498.68</v>
      </c>
      <c r="J450" s="384"/>
    </row>
    <row r="451" spans="2:10" ht="15" x14ac:dyDescent="0.2">
      <c r="B451" s="1247" t="s">
        <v>85</v>
      </c>
      <c r="C451" s="1248">
        <v>56</v>
      </c>
      <c r="D451" s="1248">
        <v>8</v>
      </c>
      <c r="E451" s="1248">
        <v>1</v>
      </c>
      <c r="F451" s="1248">
        <v>4429900</v>
      </c>
      <c r="G451" s="1248"/>
      <c r="H451" s="1248">
        <v>221</v>
      </c>
      <c r="I451" s="1255">
        <v>123.6</v>
      </c>
      <c r="J451" s="384"/>
    </row>
    <row r="452" spans="2:10" ht="15" x14ac:dyDescent="0.2">
      <c r="B452" s="1247" t="s">
        <v>86</v>
      </c>
      <c r="C452" s="1248">
        <v>56</v>
      </c>
      <c r="D452" s="1248">
        <v>8</v>
      </c>
      <c r="E452" s="1248">
        <v>1</v>
      </c>
      <c r="F452" s="1248">
        <v>4429900</v>
      </c>
      <c r="G452" s="1248"/>
      <c r="H452" s="1248">
        <v>222</v>
      </c>
      <c r="I452" s="1255">
        <v>40</v>
      </c>
      <c r="J452" s="384"/>
    </row>
    <row r="453" spans="2:10" ht="15" x14ac:dyDescent="0.2">
      <c r="B453" s="1247" t="s">
        <v>87</v>
      </c>
      <c r="C453" s="1248">
        <v>56</v>
      </c>
      <c r="D453" s="1248">
        <v>8</v>
      </c>
      <c r="E453" s="1248">
        <v>1</v>
      </c>
      <c r="F453" s="1248">
        <v>4429900</v>
      </c>
      <c r="G453" s="1248"/>
      <c r="H453" s="1248">
        <v>223</v>
      </c>
      <c r="I453" s="1254">
        <v>2217.1999999999998</v>
      </c>
      <c r="J453" s="384"/>
    </row>
    <row r="454" spans="2:10" ht="15" x14ac:dyDescent="0.2">
      <c r="B454" s="1247" t="s">
        <v>134</v>
      </c>
      <c r="C454" s="1248">
        <v>56</v>
      </c>
      <c r="D454" s="1248">
        <v>8</v>
      </c>
      <c r="E454" s="1248">
        <v>1</v>
      </c>
      <c r="F454" s="1248">
        <v>4429900</v>
      </c>
      <c r="G454" s="1248"/>
      <c r="H454" s="1248">
        <v>224</v>
      </c>
      <c r="I454" s="1255">
        <v>0</v>
      </c>
      <c r="J454" s="384"/>
    </row>
    <row r="455" spans="2:10" ht="15" x14ac:dyDescent="0.2">
      <c r="B455" s="1247" t="s">
        <v>90</v>
      </c>
      <c r="C455" s="1248">
        <v>56</v>
      </c>
      <c r="D455" s="1248">
        <v>8</v>
      </c>
      <c r="E455" s="1248">
        <v>1</v>
      </c>
      <c r="F455" s="1248">
        <v>4429900</v>
      </c>
      <c r="G455" s="1248"/>
      <c r="H455" s="1248">
        <v>225</v>
      </c>
      <c r="I455" s="1254">
        <v>10187.200000000001</v>
      </c>
      <c r="J455" s="384"/>
    </row>
    <row r="456" spans="2:10" ht="15" x14ac:dyDescent="0.2">
      <c r="B456" s="1247" t="s">
        <v>91</v>
      </c>
      <c r="C456" s="1248">
        <v>56</v>
      </c>
      <c r="D456" s="1248">
        <v>8</v>
      </c>
      <c r="E456" s="1248">
        <v>1</v>
      </c>
      <c r="F456" s="1248">
        <v>4429900</v>
      </c>
      <c r="G456" s="1248"/>
      <c r="H456" s="1248">
        <v>226</v>
      </c>
      <c r="I456" s="1255">
        <v>148.64599999999999</v>
      </c>
      <c r="J456" s="384"/>
    </row>
    <row r="457" spans="2:10" ht="15" x14ac:dyDescent="0.2">
      <c r="B457" s="1247" t="s">
        <v>94</v>
      </c>
      <c r="C457" s="1248">
        <v>56</v>
      </c>
      <c r="D457" s="1248">
        <v>8</v>
      </c>
      <c r="E457" s="1248">
        <v>1</v>
      </c>
      <c r="F457" s="1248">
        <v>4429900</v>
      </c>
      <c r="G457" s="1248"/>
      <c r="H457" s="1248">
        <v>290</v>
      </c>
      <c r="I457" s="1254">
        <v>1796</v>
      </c>
      <c r="J457" s="384"/>
    </row>
    <row r="458" spans="2:10" ht="15" x14ac:dyDescent="0.2">
      <c r="B458" s="1247" t="s">
        <v>94</v>
      </c>
      <c r="C458" s="1248">
        <v>56</v>
      </c>
      <c r="D458" s="1248">
        <v>8</v>
      </c>
      <c r="E458" s="1248">
        <v>1</v>
      </c>
      <c r="F458" s="1248">
        <v>4429900</v>
      </c>
      <c r="G458" s="1248"/>
      <c r="H458" s="1248">
        <v>290</v>
      </c>
      <c r="I458" s="1255">
        <v>0</v>
      </c>
      <c r="J458" s="384"/>
    </row>
    <row r="459" spans="2:10" ht="15" x14ac:dyDescent="0.2">
      <c r="B459" s="1247" t="s">
        <v>96</v>
      </c>
      <c r="C459" s="1248">
        <v>56</v>
      </c>
      <c r="D459" s="1248">
        <v>8</v>
      </c>
      <c r="E459" s="1248">
        <v>1</v>
      </c>
      <c r="F459" s="1248">
        <v>4429900</v>
      </c>
      <c r="G459" s="1248"/>
      <c r="H459" s="1248">
        <v>310</v>
      </c>
      <c r="I459" s="1255">
        <v>0</v>
      </c>
      <c r="J459" s="384"/>
    </row>
    <row r="460" spans="2:10" ht="15" x14ac:dyDescent="0.2">
      <c r="B460" s="1247" t="s">
        <v>97</v>
      </c>
      <c r="C460" s="1248">
        <v>56</v>
      </c>
      <c r="D460" s="1248">
        <v>8</v>
      </c>
      <c r="E460" s="1248">
        <v>1</v>
      </c>
      <c r="F460" s="1248">
        <v>4429900</v>
      </c>
      <c r="G460" s="1248"/>
      <c r="H460" s="1248">
        <v>340</v>
      </c>
      <c r="I460" s="1255">
        <v>210.35400000000001</v>
      </c>
      <c r="J460" s="384"/>
    </row>
    <row r="461" spans="2:10" ht="15" x14ac:dyDescent="0.2">
      <c r="B461" s="1243" t="s">
        <v>767</v>
      </c>
      <c r="C461" s="1244">
        <v>56</v>
      </c>
      <c r="D461" s="1244">
        <v>8</v>
      </c>
      <c r="E461" s="1244">
        <v>1</v>
      </c>
      <c r="F461" s="1244">
        <v>4429900</v>
      </c>
      <c r="G461" s="1244">
        <v>612</v>
      </c>
      <c r="H461" s="1244">
        <v>241</v>
      </c>
      <c r="I461" s="1270">
        <v>12451</v>
      </c>
      <c r="J461" s="384"/>
    </row>
    <row r="462" spans="2:10" ht="40" x14ac:dyDescent="0.2">
      <c r="B462" s="1239" t="s">
        <v>1149</v>
      </c>
      <c r="C462" s="1312">
        <v>56</v>
      </c>
      <c r="D462" s="1312">
        <v>8</v>
      </c>
      <c r="E462" s="1312">
        <v>1</v>
      </c>
      <c r="F462" s="1312">
        <v>4429900</v>
      </c>
      <c r="G462" s="1312">
        <v>600</v>
      </c>
      <c r="H462" s="1240"/>
      <c r="I462" s="1308">
        <v>9741.2999999999993</v>
      </c>
      <c r="J462" s="384"/>
    </row>
    <row r="463" spans="2:10" ht="53" x14ac:dyDescent="0.2">
      <c r="B463" s="1243" t="s">
        <v>1135</v>
      </c>
      <c r="C463" s="1245">
        <v>56</v>
      </c>
      <c r="D463" s="1245">
        <v>8</v>
      </c>
      <c r="E463" s="1245">
        <v>1</v>
      </c>
      <c r="F463" s="1245">
        <v>4429900</v>
      </c>
      <c r="G463" s="1245">
        <v>600</v>
      </c>
      <c r="H463" s="1244">
        <v>241</v>
      </c>
      <c r="I463" s="1265">
        <v>9741.2999999999993</v>
      </c>
      <c r="J463" s="384"/>
    </row>
    <row r="464" spans="2:10" ht="15" x14ac:dyDescent="0.2">
      <c r="B464" s="1247" t="s">
        <v>78</v>
      </c>
      <c r="C464" s="1248">
        <v>56</v>
      </c>
      <c r="D464" s="1248">
        <v>8</v>
      </c>
      <c r="E464" s="1248">
        <v>1</v>
      </c>
      <c r="F464" s="1248">
        <v>4429900</v>
      </c>
      <c r="G464" s="1248"/>
      <c r="H464" s="1248">
        <v>211</v>
      </c>
      <c r="I464" s="1254">
        <v>6447.2</v>
      </c>
      <c r="J464" s="384"/>
    </row>
    <row r="465" spans="2:10" ht="15" x14ac:dyDescent="0.2">
      <c r="B465" s="1247" t="s">
        <v>103</v>
      </c>
      <c r="C465" s="1248">
        <v>56</v>
      </c>
      <c r="D465" s="1248">
        <v>8</v>
      </c>
      <c r="E465" s="1248">
        <v>1</v>
      </c>
      <c r="F465" s="1248">
        <v>4429900</v>
      </c>
      <c r="G465" s="1248"/>
      <c r="H465" s="1248">
        <v>212</v>
      </c>
      <c r="I465" s="1255">
        <v>0</v>
      </c>
      <c r="J465" s="384"/>
    </row>
    <row r="466" spans="2:10" ht="15" x14ac:dyDescent="0.2">
      <c r="B466" s="1247" t="s">
        <v>84</v>
      </c>
      <c r="C466" s="1248">
        <v>56</v>
      </c>
      <c r="D466" s="1248">
        <v>8</v>
      </c>
      <c r="E466" s="1248">
        <v>1</v>
      </c>
      <c r="F466" s="1248">
        <v>4429900</v>
      </c>
      <c r="G466" s="1248"/>
      <c r="H466" s="1248">
        <v>213</v>
      </c>
      <c r="I466" s="1254">
        <v>1947.1</v>
      </c>
      <c r="J466" s="384"/>
    </row>
    <row r="467" spans="2:10" ht="15" x14ac:dyDescent="0.2">
      <c r="B467" s="1247" t="s">
        <v>85</v>
      </c>
      <c r="C467" s="1248">
        <v>56</v>
      </c>
      <c r="D467" s="1248">
        <v>8</v>
      </c>
      <c r="E467" s="1248">
        <v>1</v>
      </c>
      <c r="F467" s="1248">
        <v>4429900</v>
      </c>
      <c r="G467" s="1248"/>
      <c r="H467" s="1248">
        <v>221</v>
      </c>
      <c r="I467" s="1255">
        <v>43.9</v>
      </c>
      <c r="J467" s="384"/>
    </row>
    <row r="468" spans="2:10" ht="15" x14ac:dyDescent="0.2">
      <c r="B468" s="1247" t="s">
        <v>86</v>
      </c>
      <c r="C468" s="1248">
        <v>56</v>
      </c>
      <c r="D468" s="1248">
        <v>8</v>
      </c>
      <c r="E468" s="1248">
        <v>1</v>
      </c>
      <c r="F468" s="1248">
        <v>4429900</v>
      </c>
      <c r="G468" s="1248"/>
      <c r="H468" s="1248">
        <v>222</v>
      </c>
      <c r="I468" s="1255">
        <v>0</v>
      </c>
      <c r="J468" s="384"/>
    </row>
    <row r="469" spans="2:10" ht="15" x14ac:dyDescent="0.2">
      <c r="B469" s="1247" t="s">
        <v>87</v>
      </c>
      <c r="C469" s="1248">
        <v>56</v>
      </c>
      <c r="D469" s="1248">
        <v>8</v>
      </c>
      <c r="E469" s="1248">
        <v>1</v>
      </c>
      <c r="F469" s="1248">
        <v>4429900</v>
      </c>
      <c r="G469" s="1248"/>
      <c r="H469" s="1248">
        <v>223</v>
      </c>
      <c r="I469" s="1255">
        <v>267.89999999999998</v>
      </c>
      <c r="J469" s="384"/>
    </row>
    <row r="470" spans="2:10" ht="15" x14ac:dyDescent="0.2">
      <c r="B470" s="1247" t="s">
        <v>134</v>
      </c>
      <c r="C470" s="1248">
        <v>56</v>
      </c>
      <c r="D470" s="1248">
        <v>8</v>
      </c>
      <c r="E470" s="1248">
        <v>1</v>
      </c>
      <c r="F470" s="1248">
        <v>4429900</v>
      </c>
      <c r="G470" s="1248"/>
      <c r="H470" s="1248">
        <v>224</v>
      </c>
      <c r="I470" s="1255">
        <v>0</v>
      </c>
      <c r="J470" s="384"/>
    </row>
    <row r="471" spans="2:10" ht="15" x14ac:dyDescent="0.2">
      <c r="B471" s="1247" t="s">
        <v>90</v>
      </c>
      <c r="C471" s="1248">
        <v>56</v>
      </c>
      <c r="D471" s="1248">
        <v>8</v>
      </c>
      <c r="E471" s="1248">
        <v>1</v>
      </c>
      <c r="F471" s="1248">
        <v>4429900</v>
      </c>
      <c r="G471" s="1248"/>
      <c r="H471" s="1248">
        <v>225</v>
      </c>
      <c r="I471" s="1255">
        <v>139.69999999999999</v>
      </c>
      <c r="J471" s="384"/>
    </row>
    <row r="472" spans="2:10" ht="15" x14ac:dyDescent="0.2">
      <c r="B472" s="1247" t="s">
        <v>91</v>
      </c>
      <c r="C472" s="1248">
        <v>56</v>
      </c>
      <c r="D472" s="1248">
        <v>8</v>
      </c>
      <c r="E472" s="1248">
        <v>1</v>
      </c>
      <c r="F472" s="1248">
        <v>4429900</v>
      </c>
      <c r="G472" s="1248"/>
      <c r="H472" s="1248">
        <v>226</v>
      </c>
      <c r="I472" s="1255">
        <v>620.79999999999995</v>
      </c>
      <c r="J472" s="384"/>
    </row>
    <row r="473" spans="2:10" ht="15" x14ac:dyDescent="0.2">
      <c r="B473" s="1247" t="s">
        <v>94</v>
      </c>
      <c r="C473" s="1248">
        <v>56</v>
      </c>
      <c r="D473" s="1248">
        <v>8</v>
      </c>
      <c r="E473" s="1248">
        <v>1</v>
      </c>
      <c r="F473" s="1248">
        <v>4429900</v>
      </c>
      <c r="G473" s="1248"/>
      <c r="H473" s="1248">
        <v>290</v>
      </c>
      <c r="I473" s="1255">
        <v>142.6</v>
      </c>
      <c r="J473" s="384"/>
    </row>
    <row r="474" spans="2:10" ht="15" x14ac:dyDescent="0.2">
      <c r="B474" s="1247" t="s">
        <v>94</v>
      </c>
      <c r="C474" s="1248">
        <v>56</v>
      </c>
      <c r="D474" s="1248">
        <v>8</v>
      </c>
      <c r="E474" s="1248">
        <v>1</v>
      </c>
      <c r="F474" s="1248">
        <v>4429900</v>
      </c>
      <c r="G474" s="1248"/>
      <c r="H474" s="1248">
        <v>290</v>
      </c>
      <c r="I474" s="1255">
        <v>0</v>
      </c>
      <c r="J474" s="384"/>
    </row>
    <row r="475" spans="2:10" ht="15" x14ac:dyDescent="0.2">
      <c r="B475" s="1247" t="s">
        <v>96</v>
      </c>
      <c r="C475" s="1248">
        <v>56</v>
      </c>
      <c r="D475" s="1248">
        <v>8</v>
      </c>
      <c r="E475" s="1248">
        <v>1</v>
      </c>
      <c r="F475" s="1248">
        <v>4429900</v>
      </c>
      <c r="G475" s="1248"/>
      <c r="H475" s="1248">
        <v>310</v>
      </c>
      <c r="I475" s="1255">
        <v>100.5</v>
      </c>
      <c r="J475" s="384"/>
    </row>
    <row r="476" spans="2:10" ht="15" x14ac:dyDescent="0.2">
      <c r="B476" s="1247" t="s">
        <v>97</v>
      </c>
      <c r="C476" s="1248">
        <v>56</v>
      </c>
      <c r="D476" s="1248">
        <v>8</v>
      </c>
      <c r="E476" s="1248">
        <v>1</v>
      </c>
      <c r="F476" s="1248">
        <v>4429900</v>
      </c>
      <c r="G476" s="1248"/>
      <c r="H476" s="1248">
        <v>340</v>
      </c>
      <c r="I476" s="1255">
        <v>31.6</v>
      </c>
      <c r="J476" s="384"/>
    </row>
    <row r="477" spans="2:10" ht="15" x14ac:dyDescent="0.2">
      <c r="B477" s="1243" t="s">
        <v>767</v>
      </c>
      <c r="C477" s="1244">
        <v>56</v>
      </c>
      <c r="D477" s="1244">
        <v>8</v>
      </c>
      <c r="E477" s="1244">
        <v>1</v>
      </c>
      <c r="F477" s="1244">
        <v>4429900</v>
      </c>
      <c r="G477" s="1244">
        <v>612</v>
      </c>
      <c r="H477" s="1244">
        <v>241</v>
      </c>
      <c r="I477" s="1252">
        <v>0</v>
      </c>
      <c r="J477" s="384"/>
    </row>
    <row r="478" spans="2:10" ht="40" x14ac:dyDescent="0.2">
      <c r="B478" s="1239" t="s">
        <v>1150</v>
      </c>
      <c r="C478" s="1312">
        <v>56</v>
      </c>
      <c r="D478" s="1312">
        <v>8</v>
      </c>
      <c r="E478" s="1312">
        <v>1</v>
      </c>
      <c r="F478" s="1312">
        <v>4429900</v>
      </c>
      <c r="G478" s="1312">
        <v>600</v>
      </c>
      <c r="H478" s="1240"/>
      <c r="I478" s="1308">
        <v>8194.7000000000007</v>
      </c>
      <c r="J478" s="384"/>
    </row>
    <row r="479" spans="2:10" ht="53" x14ac:dyDescent="0.2">
      <c r="B479" s="1243" t="s">
        <v>1135</v>
      </c>
      <c r="C479" s="1245">
        <v>56</v>
      </c>
      <c r="D479" s="1245">
        <v>8</v>
      </c>
      <c r="E479" s="1245">
        <v>1</v>
      </c>
      <c r="F479" s="1245">
        <v>4429900</v>
      </c>
      <c r="G479" s="1245">
        <v>600</v>
      </c>
      <c r="H479" s="1244">
        <v>241</v>
      </c>
      <c r="I479" s="1265">
        <v>8194.7000000000007</v>
      </c>
      <c r="J479" s="384"/>
    </row>
    <row r="480" spans="2:10" ht="15" x14ac:dyDescent="0.2">
      <c r="B480" s="1247" t="s">
        <v>78</v>
      </c>
      <c r="C480" s="1248">
        <v>56</v>
      </c>
      <c r="D480" s="1248">
        <v>8</v>
      </c>
      <c r="E480" s="1248">
        <v>1</v>
      </c>
      <c r="F480" s="1248">
        <v>4429900</v>
      </c>
      <c r="G480" s="1248"/>
      <c r="H480" s="1248">
        <v>211</v>
      </c>
      <c r="I480" s="1254">
        <v>5453.2</v>
      </c>
      <c r="J480" s="384"/>
    </row>
    <row r="481" spans="2:10" ht="15" x14ac:dyDescent="0.2">
      <c r="B481" s="1247" t="s">
        <v>103</v>
      </c>
      <c r="C481" s="1248">
        <v>56</v>
      </c>
      <c r="D481" s="1248">
        <v>8</v>
      </c>
      <c r="E481" s="1248">
        <v>1</v>
      </c>
      <c r="F481" s="1248">
        <v>4429900</v>
      </c>
      <c r="G481" s="1248"/>
      <c r="H481" s="1248">
        <v>212</v>
      </c>
      <c r="I481" s="1255">
        <v>0</v>
      </c>
      <c r="J481" s="384"/>
    </row>
    <row r="482" spans="2:10" ht="15" x14ac:dyDescent="0.2">
      <c r="B482" s="1247" t="s">
        <v>84</v>
      </c>
      <c r="C482" s="1248">
        <v>56</v>
      </c>
      <c r="D482" s="1248">
        <v>8</v>
      </c>
      <c r="E482" s="1248">
        <v>1</v>
      </c>
      <c r="F482" s="1248">
        <v>4429900</v>
      </c>
      <c r="G482" s="1248"/>
      <c r="H482" s="1248">
        <v>213</v>
      </c>
      <c r="I482" s="1254">
        <v>1646.9</v>
      </c>
      <c r="J482" s="384"/>
    </row>
    <row r="483" spans="2:10" ht="15" x14ac:dyDescent="0.2">
      <c r="B483" s="1247" t="s">
        <v>85</v>
      </c>
      <c r="C483" s="1248">
        <v>56</v>
      </c>
      <c r="D483" s="1248">
        <v>8</v>
      </c>
      <c r="E483" s="1248">
        <v>1</v>
      </c>
      <c r="F483" s="1248">
        <v>4429900</v>
      </c>
      <c r="G483" s="1248"/>
      <c r="H483" s="1248">
        <v>221</v>
      </c>
      <c r="I483" s="1255">
        <v>13.4</v>
      </c>
      <c r="J483" s="384"/>
    </row>
    <row r="484" spans="2:10" ht="15" x14ac:dyDescent="0.2">
      <c r="B484" s="1247" t="s">
        <v>86</v>
      </c>
      <c r="C484" s="1248">
        <v>56</v>
      </c>
      <c r="D484" s="1248">
        <v>8</v>
      </c>
      <c r="E484" s="1248">
        <v>1</v>
      </c>
      <c r="F484" s="1248">
        <v>4429900</v>
      </c>
      <c r="G484" s="1248"/>
      <c r="H484" s="1248">
        <v>222</v>
      </c>
      <c r="I484" s="1255">
        <v>0</v>
      </c>
      <c r="J484" s="384"/>
    </row>
    <row r="485" spans="2:10" ht="15" x14ac:dyDescent="0.2">
      <c r="B485" s="1247" t="s">
        <v>87</v>
      </c>
      <c r="C485" s="1248">
        <v>56</v>
      </c>
      <c r="D485" s="1248">
        <v>8</v>
      </c>
      <c r="E485" s="1248">
        <v>1</v>
      </c>
      <c r="F485" s="1248">
        <v>4429900</v>
      </c>
      <c r="G485" s="1248"/>
      <c r="H485" s="1248">
        <v>223</v>
      </c>
      <c r="I485" s="1255">
        <v>131.80000000000001</v>
      </c>
      <c r="J485" s="384"/>
    </row>
    <row r="486" spans="2:10" ht="15" x14ac:dyDescent="0.2">
      <c r="B486" s="1247" t="s">
        <v>134</v>
      </c>
      <c r="C486" s="1248">
        <v>56</v>
      </c>
      <c r="D486" s="1248">
        <v>8</v>
      </c>
      <c r="E486" s="1248">
        <v>1</v>
      </c>
      <c r="F486" s="1248">
        <v>4429900</v>
      </c>
      <c r="G486" s="1248"/>
      <c r="H486" s="1248">
        <v>224</v>
      </c>
      <c r="I486" s="1255">
        <v>600</v>
      </c>
      <c r="J486" s="384"/>
    </row>
    <row r="487" spans="2:10" ht="15" x14ac:dyDescent="0.2">
      <c r="B487" s="1247" t="s">
        <v>90</v>
      </c>
      <c r="C487" s="1248">
        <v>56</v>
      </c>
      <c r="D487" s="1248">
        <v>8</v>
      </c>
      <c r="E487" s="1248">
        <v>1</v>
      </c>
      <c r="F487" s="1248">
        <v>4429900</v>
      </c>
      <c r="G487" s="1248"/>
      <c r="H487" s="1248">
        <v>225</v>
      </c>
      <c r="I487" s="1255">
        <v>45</v>
      </c>
      <c r="J487" s="384"/>
    </row>
    <row r="488" spans="2:10" ht="15" x14ac:dyDescent="0.2">
      <c r="B488" s="1247" t="s">
        <v>91</v>
      </c>
      <c r="C488" s="1248">
        <v>56</v>
      </c>
      <c r="D488" s="1248">
        <v>8</v>
      </c>
      <c r="E488" s="1248">
        <v>1</v>
      </c>
      <c r="F488" s="1248">
        <v>4429900</v>
      </c>
      <c r="G488" s="1248"/>
      <c r="H488" s="1248">
        <v>226</v>
      </c>
      <c r="I488" s="1255">
        <v>165.04599999999999</v>
      </c>
      <c r="J488" s="384"/>
    </row>
    <row r="489" spans="2:10" ht="15" x14ac:dyDescent="0.2">
      <c r="B489" s="1247" t="s">
        <v>94</v>
      </c>
      <c r="C489" s="1248">
        <v>56</v>
      </c>
      <c r="D489" s="1248">
        <v>8</v>
      </c>
      <c r="E489" s="1248">
        <v>1</v>
      </c>
      <c r="F489" s="1248">
        <v>4429900</v>
      </c>
      <c r="G489" s="1248"/>
      <c r="H489" s="1248">
        <v>290</v>
      </c>
      <c r="I489" s="1255">
        <v>20.603999999999999</v>
      </c>
      <c r="J489" s="384"/>
    </row>
    <row r="490" spans="2:10" ht="15" x14ac:dyDescent="0.2">
      <c r="B490" s="1247" t="s">
        <v>94</v>
      </c>
      <c r="C490" s="1248">
        <v>56</v>
      </c>
      <c r="D490" s="1248">
        <v>8</v>
      </c>
      <c r="E490" s="1248">
        <v>1</v>
      </c>
      <c r="F490" s="1248">
        <v>4429900</v>
      </c>
      <c r="G490" s="1248"/>
      <c r="H490" s="1248">
        <v>290</v>
      </c>
      <c r="I490" s="1255">
        <v>0</v>
      </c>
      <c r="J490" s="384"/>
    </row>
    <row r="491" spans="2:10" ht="15" x14ac:dyDescent="0.2">
      <c r="B491" s="1247" t="s">
        <v>96</v>
      </c>
      <c r="C491" s="1248">
        <v>56</v>
      </c>
      <c r="D491" s="1248">
        <v>8</v>
      </c>
      <c r="E491" s="1248">
        <v>1</v>
      </c>
      <c r="F491" s="1248">
        <v>4429900</v>
      </c>
      <c r="G491" s="1248"/>
      <c r="H491" s="1248">
        <v>310</v>
      </c>
      <c r="I491" s="1255">
        <v>101</v>
      </c>
      <c r="J491" s="384"/>
    </row>
    <row r="492" spans="2:10" ht="15" x14ac:dyDescent="0.2">
      <c r="B492" s="1247" t="s">
        <v>97</v>
      </c>
      <c r="C492" s="1248">
        <v>56</v>
      </c>
      <c r="D492" s="1248">
        <v>8</v>
      </c>
      <c r="E492" s="1248">
        <v>1</v>
      </c>
      <c r="F492" s="1248">
        <v>4429900</v>
      </c>
      <c r="G492" s="1248"/>
      <c r="H492" s="1248">
        <v>340</v>
      </c>
      <c r="I492" s="1255">
        <v>17.75</v>
      </c>
      <c r="J492" s="384"/>
    </row>
    <row r="493" spans="2:10" ht="15" x14ac:dyDescent="0.2">
      <c r="B493" s="1243" t="s">
        <v>767</v>
      </c>
      <c r="C493" s="1244">
        <v>56</v>
      </c>
      <c r="D493" s="1244">
        <v>8</v>
      </c>
      <c r="E493" s="1244">
        <v>1</v>
      </c>
      <c r="F493" s="1244">
        <v>4429900</v>
      </c>
      <c r="G493" s="1244">
        <v>612</v>
      </c>
      <c r="H493" s="1244">
        <v>241</v>
      </c>
      <c r="I493" s="1252">
        <v>0</v>
      </c>
      <c r="J493" s="384"/>
    </row>
    <row r="494" spans="2:10" ht="40" x14ac:dyDescent="0.2">
      <c r="B494" s="1239" t="s">
        <v>1151</v>
      </c>
      <c r="C494" s="1312">
        <v>56</v>
      </c>
      <c r="D494" s="1312">
        <v>8</v>
      </c>
      <c r="E494" s="1312">
        <v>1</v>
      </c>
      <c r="F494" s="1312">
        <v>4429900</v>
      </c>
      <c r="G494" s="1312">
        <v>600</v>
      </c>
      <c r="H494" s="1240"/>
      <c r="I494" s="1308">
        <v>3335.3</v>
      </c>
      <c r="J494" s="384"/>
    </row>
    <row r="495" spans="2:10" ht="53" x14ac:dyDescent="0.2">
      <c r="B495" s="1243" t="s">
        <v>1135</v>
      </c>
      <c r="C495" s="1245">
        <v>56</v>
      </c>
      <c r="D495" s="1245">
        <v>8</v>
      </c>
      <c r="E495" s="1245">
        <v>1</v>
      </c>
      <c r="F495" s="1245">
        <v>4429900</v>
      </c>
      <c r="G495" s="1245">
        <v>600</v>
      </c>
      <c r="H495" s="1244">
        <v>241</v>
      </c>
      <c r="I495" s="1265">
        <v>3335.3</v>
      </c>
      <c r="J495" s="384"/>
    </row>
    <row r="496" spans="2:10" ht="15" x14ac:dyDescent="0.2">
      <c r="B496" s="1247" t="s">
        <v>78</v>
      </c>
      <c r="C496" s="1248">
        <v>56</v>
      </c>
      <c r="D496" s="1248">
        <v>8</v>
      </c>
      <c r="E496" s="1248">
        <v>1</v>
      </c>
      <c r="F496" s="1248">
        <v>4429900</v>
      </c>
      <c r="G496" s="1248"/>
      <c r="H496" s="1248">
        <v>211</v>
      </c>
      <c r="I496" s="1254">
        <v>2317.8000000000002</v>
      </c>
      <c r="J496" s="384"/>
    </row>
    <row r="497" spans="2:10" ht="15" x14ac:dyDescent="0.2">
      <c r="B497" s="1247" t="s">
        <v>103</v>
      </c>
      <c r="C497" s="1248">
        <v>56</v>
      </c>
      <c r="D497" s="1248">
        <v>8</v>
      </c>
      <c r="E497" s="1248">
        <v>1</v>
      </c>
      <c r="F497" s="1248">
        <v>4429900</v>
      </c>
      <c r="G497" s="1248"/>
      <c r="H497" s="1248">
        <v>212</v>
      </c>
      <c r="I497" s="1255">
        <v>0</v>
      </c>
      <c r="J497" s="384"/>
    </row>
    <row r="498" spans="2:10" ht="15" x14ac:dyDescent="0.2">
      <c r="B498" s="1247" t="s">
        <v>84</v>
      </c>
      <c r="C498" s="1248">
        <v>56</v>
      </c>
      <c r="D498" s="1248">
        <v>8</v>
      </c>
      <c r="E498" s="1248">
        <v>1</v>
      </c>
      <c r="F498" s="1248">
        <v>4429900</v>
      </c>
      <c r="G498" s="1248"/>
      <c r="H498" s="1248">
        <v>213</v>
      </c>
      <c r="I498" s="1255">
        <v>700</v>
      </c>
      <c r="J498" s="384"/>
    </row>
    <row r="499" spans="2:10" ht="15" x14ac:dyDescent="0.2">
      <c r="B499" s="1247" t="s">
        <v>85</v>
      </c>
      <c r="C499" s="1248">
        <v>56</v>
      </c>
      <c r="D499" s="1248">
        <v>8</v>
      </c>
      <c r="E499" s="1248">
        <v>1</v>
      </c>
      <c r="F499" s="1248">
        <v>4429900</v>
      </c>
      <c r="G499" s="1248"/>
      <c r="H499" s="1248">
        <v>221</v>
      </c>
      <c r="I499" s="1255">
        <v>20.7</v>
      </c>
      <c r="J499" s="384"/>
    </row>
    <row r="500" spans="2:10" ht="15" x14ac:dyDescent="0.2">
      <c r="B500" s="1247" t="s">
        <v>86</v>
      </c>
      <c r="C500" s="1248">
        <v>56</v>
      </c>
      <c r="D500" s="1248">
        <v>8</v>
      </c>
      <c r="E500" s="1248">
        <v>1</v>
      </c>
      <c r="F500" s="1248">
        <v>4429900</v>
      </c>
      <c r="G500" s="1248"/>
      <c r="H500" s="1248">
        <v>222</v>
      </c>
      <c r="I500" s="1255">
        <v>0</v>
      </c>
      <c r="J500" s="384"/>
    </row>
    <row r="501" spans="2:10" ht="15" x14ac:dyDescent="0.2">
      <c r="B501" s="1247" t="s">
        <v>87</v>
      </c>
      <c r="C501" s="1248">
        <v>56</v>
      </c>
      <c r="D501" s="1248">
        <v>8</v>
      </c>
      <c r="E501" s="1248">
        <v>1</v>
      </c>
      <c r="F501" s="1248">
        <v>4429900</v>
      </c>
      <c r="G501" s="1248"/>
      <c r="H501" s="1248">
        <v>223</v>
      </c>
      <c r="I501" s="1255">
        <v>64.7</v>
      </c>
      <c r="J501" s="384"/>
    </row>
    <row r="502" spans="2:10" ht="15" x14ac:dyDescent="0.2">
      <c r="B502" s="1247" t="s">
        <v>134</v>
      </c>
      <c r="C502" s="1248">
        <v>56</v>
      </c>
      <c r="D502" s="1248">
        <v>8</v>
      </c>
      <c r="E502" s="1248">
        <v>1</v>
      </c>
      <c r="F502" s="1248">
        <v>4429900</v>
      </c>
      <c r="G502" s="1248"/>
      <c r="H502" s="1248">
        <v>224</v>
      </c>
      <c r="I502" s="1255">
        <v>0</v>
      </c>
      <c r="J502" s="384"/>
    </row>
    <row r="503" spans="2:10" ht="15" x14ac:dyDescent="0.2">
      <c r="B503" s="1247" t="s">
        <v>90</v>
      </c>
      <c r="C503" s="1248">
        <v>56</v>
      </c>
      <c r="D503" s="1248">
        <v>8</v>
      </c>
      <c r="E503" s="1248">
        <v>1</v>
      </c>
      <c r="F503" s="1248">
        <v>4429900</v>
      </c>
      <c r="G503" s="1248"/>
      <c r="H503" s="1248">
        <v>225</v>
      </c>
      <c r="I503" s="1255">
        <v>55.1</v>
      </c>
      <c r="J503" s="384"/>
    </row>
    <row r="504" spans="2:10" ht="15" x14ac:dyDescent="0.2">
      <c r="B504" s="1247" t="s">
        <v>91</v>
      </c>
      <c r="C504" s="1248">
        <v>56</v>
      </c>
      <c r="D504" s="1248">
        <v>8</v>
      </c>
      <c r="E504" s="1248">
        <v>1</v>
      </c>
      <c r="F504" s="1248">
        <v>4429900</v>
      </c>
      <c r="G504" s="1248"/>
      <c r="H504" s="1248">
        <v>226</v>
      </c>
      <c r="I504" s="1255">
        <v>78.046000000000006</v>
      </c>
      <c r="J504" s="384"/>
    </row>
    <row r="505" spans="2:10" ht="15" x14ac:dyDescent="0.2">
      <c r="B505" s="1247" t="s">
        <v>94</v>
      </c>
      <c r="C505" s="1248">
        <v>56</v>
      </c>
      <c r="D505" s="1248">
        <v>8</v>
      </c>
      <c r="E505" s="1248">
        <v>1</v>
      </c>
      <c r="F505" s="1248">
        <v>4429900</v>
      </c>
      <c r="G505" s="1248"/>
      <c r="H505" s="1248">
        <v>290</v>
      </c>
      <c r="I505" s="1255">
        <v>16.600000000000001</v>
      </c>
      <c r="J505" s="384"/>
    </row>
    <row r="506" spans="2:10" ht="15" x14ac:dyDescent="0.2">
      <c r="B506" s="1247" t="s">
        <v>94</v>
      </c>
      <c r="C506" s="1248">
        <v>56</v>
      </c>
      <c r="D506" s="1248">
        <v>8</v>
      </c>
      <c r="E506" s="1248">
        <v>1</v>
      </c>
      <c r="F506" s="1248">
        <v>4429900</v>
      </c>
      <c r="G506" s="1248"/>
      <c r="H506" s="1248">
        <v>290</v>
      </c>
      <c r="I506" s="1255">
        <v>0</v>
      </c>
      <c r="J506" s="384"/>
    </row>
    <row r="507" spans="2:10" ht="15" x14ac:dyDescent="0.2">
      <c r="B507" s="1247" t="s">
        <v>96</v>
      </c>
      <c r="C507" s="1248">
        <v>56</v>
      </c>
      <c r="D507" s="1248">
        <v>8</v>
      </c>
      <c r="E507" s="1248">
        <v>1</v>
      </c>
      <c r="F507" s="1248">
        <v>4429900</v>
      </c>
      <c r="G507" s="1248"/>
      <c r="H507" s="1248">
        <v>310</v>
      </c>
      <c r="I507" s="1255">
        <v>58</v>
      </c>
      <c r="J507" s="384"/>
    </row>
    <row r="508" spans="2:10" ht="15" x14ac:dyDescent="0.2">
      <c r="B508" s="1247" t="s">
        <v>97</v>
      </c>
      <c r="C508" s="1248">
        <v>56</v>
      </c>
      <c r="D508" s="1248">
        <v>8</v>
      </c>
      <c r="E508" s="1248">
        <v>1</v>
      </c>
      <c r="F508" s="1248">
        <v>4429900</v>
      </c>
      <c r="G508" s="1248"/>
      <c r="H508" s="1248">
        <v>340</v>
      </c>
      <c r="I508" s="1255">
        <v>24.353999999999999</v>
      </c>
      <c r="J508" s="384"/>
    </row>
    <row r="509" spans="2:10" ht="15" x14ac:dyDescent="0.2">
      <c r="B509" s="1243" t="s">
        <v>767</v>
      </c>
      <c r="C509" s="1244">
        <v>56</v>
      </c>
      <c r="D509" s="1244">
        <v>8</v>
      </c>
      <c r="E509" s="1244">
        <v>1</v>
      </c>
      <c r="F509" s="1244">
        <v>4429900</v>
      </c>
      <c r="G509" s="1244">
        <v>612</v>
      </c>
      <c r="H509" s="1244">
        <v>241</v>
      </c>
      <c r="I509" s="1252">
        <v>0</v>
      </c>
      <c r="J509" s="384"/>
    </row>
    <row r="510" spans="2:10" ht="27" x14ac:dyDescent="0.2">
      <c r="B510" s="1257" t="s">
        <v>795</v>
      </c>
      <c r="C510" s="1222">
        <v>56</v>
      </c>
      <c r="D510" s="1222">
        <v>8</v>
      </c>
      <c r="E510" s="1222">
        <v>1</v>
      </c>
      <c r="F510" s="1222">
        <v>4430000</v>
      </c>
      <c r="G510" s="1222"/>
      <c r="H510" s="1234"/>
      <c r="I510" s="1236"/>
      <c r="J510" s="384"/>
    </row>
    <row r="511" spans="2:10" ht="53" x14ac:dyDescent="0.2">
      <c r="B511" s="1224" t="s">
        <v>796</v>
      </c>
      <c r="C511" s="1225">
        <v>56</v>
      </c>
      <c r="D511" s="1225">
        <v>8</v>
      </c>
      <c r="E511" s="1225">
        <v>1</v>
      </c>
      <c r="F511" s="1225">
        <v>4439900</v>
      </c>
      <c r="G511" s="1225"/>
      <c r="H511" s="1234"/>
      <c r="I511" s="1236"/>
      <c r="J511" s="384"/>
    </row>
    <row r="512" spans="2:10" ht="15" x14ac:dyDescent="0.2">
      <c r="B512" s="1226" t="s">
        <v>1125</v>
      </c>
      <c r="C512" s="1227">
        <v>56</v>
      </c>
      <c r="D512" s="1227">
        <v>8</v>
      </c>
      <c r="E512" s="1227">
        <v>1</v>
      </c>
      <c r="F512" s="1227">
        <v>4439900</v>
      </c>
      <c r="G512" s="1227">
        <v>600</v>
      </c>
      <c r="H512" s="1300"/>
      <c r="I512" s="1229">
        <v>633166.71699999995</v>
      </c>
      <c r="J512" s="384"/>
    </row>
    <row r="513" spans="2:10" ht="53" x14ac:dyDescent="0.2">
      <c r="B513" s="1230" t="s">
        <v>1135</v>
      </c>
      <c r="C513" s="1231">
        <v>56</v>
      </c>
      <c r="D513" s="1231">
        <v>8</v>
      </c>
      <c r="E513" s="1231">
        <v>1</v>
      </c>
      <c r="F513" s="1231">
        <v>4439900</v>
      </c>
      <c r="G513" s="1231">
        <v>611</v>
      </c>
      <c r="H513" s="1237">
        <v>241</v>
      </c>
      <c r="I513" s="1232">
        <v>532151.51699999999</v>
      </c>
      <c r="J513" s="384"/>
    </row>
    <row r="514" spans="2:10" ht="15" x14ac:dyDescent="0.2">
      <c r="B514" s="1233" t="s">
        <v>78</v>
      </c>
      <c r="C514" s="1234">
        <v>56</v>
      </c>
      <c r="D514" s="1234">
        <v>8</v>
      </c>
      <c r="E514" s="1234">
        <v>1</v>
      </c>
      <c r="F514" s="1234">
        <v>4439900</v>
      </c>
      <c r="G514" s="1234"/>
      <c r="H514" s="1234">
        <v>211</v>
      </c>
      <c r="I514" s="1235">
        <v>365045.2</v>
      </c>
      <c r="J514" s="384"/>
    </row>
    <row r="515" spans="2:10" ht="15" x14ac:dyDescent="0.2">
      <c r="B515" s="1233" t="s">
        <v>103</v>
      </c>
      <c r="C515" s="1234">
        <v>56</v>
      </c>
      <c r="D515" s="1234">
        <v>8</v>
      </c>
      <c r="E515" s="1234">
        <v>1</v>
      </c>
      <c r="F515" s="1234">
        <v>4439900</v>
      </c>
      <c r="G515" s="1234"/>
      <c r="H515" s="1234">
        <v>212</v>
      </c>
      <c r="I515" s="1236">
        <v>0</v>
      </c>
      <c r="J515" s="384"/>
    </row>
    <row r="516" spans="2:10" ht="15" x14ac:dyDescent="0.2">
      <c r="B516" s="1233" t="s">
        <v>84</v>
      </c>
      <c r="C516" s="1234">
        <v>56</v>
      </c>
      <c r="D516" s="1234">
        <v>8</v>
      </c>
      <c r="E516" s="1234">
        <v>1</v>
      </c>
      <c r="F516" s="1234">
        <v>4439900</v>
      </c>
      <c r="G516" s="1234"/>
      <c r="H516" s="1234">
        <v>213</v>
      </c>
      <c r="I516" s="1235">
        <v>110243.6</v>
      </c>
      <c r="J516" s="384"/>
    </row>
    <row r="517" spans="2:10" ht="15" x14ac:dyDescent="0.2">
      <c r="B517" s="1233" t="s">
        <v>85</v>
      </c>
      <c r="C517" s="1234">
        <v>56</v>
      </c>
      <c r="D517" s="1234">
        <v>8</v>
      </c>
      <c r="E517" s="1234">
        <v>1</v>
      </c>
      <c r="F517" s="1234">
        <v>4439900</v>
      </c>
      <c r="G517" s="1234"/>
      <c r="H517" s="1234">
        <v>221</v>
      </c>
      <c r="I517" s="1236">
        <v>0</v>
      </c>
      <c r="J517" s="384"/>
    </row>
    <row r="518" spans="2:10" ht="15" x14ac:dyDescent="0.2">
      <c r="B518" s="1233" t="s">
        <v>86</v>
      </c>
      <c r="C518" s="1234">
        <v>56</v>
      </c>
      <c r="D518" s="1234">
        <v>8</v>
      </c>
      <c r="E518" s="1234">
        <v>1</v>
      </c>
      <c r="F518" s="1234">
        <v>4439900</v>
      </c>
      <c r="G518" s="1234"/>
      <c r="H518" s="1234">
        <v>222</v>
      </c>
      <c r="I518" s="1236">
        <v>250</v>
      </c>
      <c r="J518" s="384"/>
    </row>
    <row r="519" spans="2:10" ht="15" x14ac:dyDescent="0.2">
      <c r="B519" s="1233" t="s">
        <v>87</v>
      </c>
      <c r="C519" s="1234">
        <v>56</v>
      </c>
      <c r="D519" s="1234">
        <v>8</v>
      </c>
      <c r="E519" s="1234">
        <v>1</v>
      </c>
      <c r="F519" s="1234">
        <v>4439900</v>
      </c>
      <c r="G519" s="1234"/>
      <c r="H519" s="1234">
        <v>223</v>
      </c>
      <c r="I519" s="1235">
        <v>8536.9</v>
      </c>
      <c r="J519" s="384"/>
    </row>
    <row r="520" spans="2:10" ht="15" x14ac:dyDescent="0.2">
      <c r="B520" s="1233" t="s">
        <v>134</v>
      </c>
      <c r="C520" s="1234">
        <v>56</v>
      </c>
      <c r="D520" s="1234">
        <v>8</v>
      </c>
      <c r="E520" s="1234">
        <v>1</v>
      </c>
      <c r="F520" s="1234">
        <v>4439900</v>
      </c>
      <c r="G520" s="1234"/>
      <c r="H520" s="1234">
        <v>224</v>
      </c>
      <c r="I520" s="1235">
        <v>1002.4</v>
      </c>
      <c r="J520" s="384"/>
    </row>
    <row r="521" spans="2:10" ht="15" x14ac:dyDescent="0.2">
      <c r="B521" s="1233" t="s">
        <v>90</v>
      </c>
      <c r="C521" s="1234">
        <v>56</v>
      </c>
      <c r="D521" s="1234">
        <v>8</v>
      </c>
      <c r="E521" s="1234">
        <v>1</v>
      </c>
      <c r="F521" s="1234">
        <v>4439900</v>
      </c>
      <c r="G521" s="1234"/>
      <c r="H521" s="1234">
        <v>225</v>
      </c>
      <c r="I521" s="1235">
        <v>21420.400000000001</v>
      </c>
      <c r="J521" s="384"/>
    </row>
    <row r="522" spans="2:10" ht="15" x14ac:dyDescent="0.2">
      <c r="B522" s="1233" t="s">
        <v>91</v>
      </c>
      <c r="C522" s="1234">
        <v>56</v>
      </c>
      <c r="D522" s="1234">
        <v>8</v>
      </c>
      <c r="E522" s="1234">
        <v>1</v>
      </c>
      <c r="F522" s="1234">
        <v>4439900</v>
      </c>
      <c r="G522" s="1234"/>
      <c r="H522" s="1234">
        <v>226</v>
      </c>
      <c r="I522" s="1235">
        <v>8263.5169999999998</v>
      </c>
      <c r="J522" s="384"/>
    </row>
    <row r="523" spans="2:10" ht="15" x14ac:dyDescent="0.2">
      <c r="B523" s="1233" t="s">
        <v>94</v>
      </c>
      <c r="C523" s="1234">
        <v>56</v>
      </c>
      <c r="D523" s="1234">
        <v>8</v>
      </c>
      <c r="E523" s="1234">
        <v>1</v>
      </c>
      <c r="F523" s="1234">
        <v>4439900</v>
      </c>
      <c r="G523" s="1234"/>
      <c r="H523" s="1234">
        <v>290</v>
      </c>
      <c r="I523" s="1235">
        <v>10739</v>
      </c>
      <c r="J523" s="384"/>
    </row>
    <row r="524" spans="2:10" ht="15" x14ac:dyDescent="0.2">
      <c r="B524" s="1233" t="s">
        <v>94</v>
      </c>
      <c r="C524" s="1234">
        <v>56</v>
      </c>
      <c r="D524" s="1234">
        <v>8</v>
      </c>
      <c r="E524" s="1234">
        <v>1</v>
      </c>
      <c r="F524" s="1234">
        <v>4439900</v>
      </c>
      <c r="G524" s="1234"/>
      <c r="H524" s="1234">
        <v>290</v>
      </c>
      <c r="I524" s="1236">
        <v>0</v>
      </c>
      <c r="J524" s="384"/>
    </row>
    <row r="525" spans="2:10" ht="15" x14ac:dyDescent="0.2">
      <c r="B525" s="1233" t="s">
        <v>96</v>
      </c>
      <c r="C525" s="1234">
        <v>56</v>
      </c>
      <c r="D525" s="1234">
        <v>8</v>
      </c>
      <c r="E525" s="1234">
        <v>1</v>
      </c>
      <c r="F525" s="1234">
        <v>4439900</v>
      </c>
      <c r="G525" s="1234"/>
      <c r="H525" s="1234">
        <v>310</v>
      </c>
      <c r="I525" s="1235">
        <v>2842</v>
      </c>
      <c r="J525" s="384"/>
    </row>
    <row r="526" spans="2:10" ht="15" x14ac:dyDescent="0.2">
      <c r="B526" s="1233" t="s">
        <v>97</v>
      </c>
      <c r="C526" s="1234">
        <v>56</v>
      </c>
      <c r="D526" s="1234">
        <v>8</v>
      </c>
      <c r="E526" s="1234">
        <v>1</v>
      </c>
      <c r="F526" s="1234">
        <v>4439900</v>
      </c>
      <c r="G526" s="1234"/>
      <c r="H526" s="1234">
        <v>340</v>
      </c>
      <c r="I526" s="1235">
        <v>3808.5</v>
      </c>
      <c r="J526" s="384"/>
    </row>
    <row r="527" spans="2:10" ht="15" x14ac:dyDescent="0.2">
      <c r="B527" s="1230" t="s">
        <v>767</v>
      </c>
      <c r="C527" s="1237">
        <v>56</v>
      </c>
      <c r="D527" s="1237">
        <v>8</v>
      </c>
      <c r="E527" s="1237">
        <v>1</v>
      </c>
      <c r="F527" s="1237">
        <v>4439900</v>
      </c>
      <c r="G527" s="1237">
        <v>612</v>
      </c>
      <c r="H527" s="1231">
        <v>241</v>
      </c>
      <c r="I527" s="1337">
        <v>101015.2</v>
      </c>
      <c r="J527" s="384"/>
    </row>
    <row r="528" spans="2:10" ht="39" x14ac:dyDescent="0.15">
      <c r="B528" s="1239" t="s">
        <v>1152</v>
      </c>
      <c r="C528" s="3015">
        <v>56</v>
      </c>
      <c r="D528" s="3015">
        <v>8</v>
      </c>
      <c r="E528" s="3015">
        <v>1</v>
      </c>
      <c r="F528" s="3015">
        <v>4439900</v>
      </c>
      <c r="G528" s="3015">
        <v>600</v>
      </c>
      <c r="H528" s="3016"/>
      <c r="I528" s="3011">
        <v>54407.1</v>
      </c>
      <c r="J528" s="2798"/>
    </row>
    <row r="529" spans="2:10" x14ac:dyDescent="0.15">
      <c r="B529" s="1239" t="s">
        <v>1153</v>
      </c>
      <c r="C529" s="3015"/>
      <c r="D529" s="3015"/>
      <c r="E529" s="3015"/>
      <c r="F529" s="3015"/>
      <c r="G529" s="3015"/>
      <c r="H529" s="3016"/>
      <c r="I529" s="3011"/>
      <c r="J529" s="2798"/>
    </row>
    <row r="530" spans="2:10" ht="53" x14ac:dyDescent="0.2">
      <c r="B530" s="1243" t="s">
        <v>1135</v>
      </c>
      <c r="C530" s="1245">
        <v>56</v>
      </c>
      <c r="D530" s="1245">
        <v>8</v>
      </c>
      <c r="E530" s="1245">
        <v>1</v>
      </c>
      <c r="F530" s="1245">
        <v>4439900</v>
      </c>
      <c r="G530" s="1245">
        <v>611</v>
      </c>
      <c r="H530" s="1244">
        <v>241</v>
      </c>
      <c r="I530" s="1265">
        <v>45971.1</v>
      </c>
      <c r="J530" s="384"/>
    </row>
    <row r="531" spans="2:10" ht="15" x14ac:dyDescent="0.2">
      <c r="B531" s="1247" t="s">
        <v>78</v>
      </c>
      <c r="C531" s="1248">
        <v>56</v>
      </c>
      <c r="D531" s="1248">
        <v>8</v>
      </c>
      <c r="E531" s="1248">
        <v>1</v>
      </c>
      <c r="F531" s="1248">
        <v>4439900</v>
      </c>
      <c r="G531" s="1248"/>
      <c r="H531" s="1248">
        <v>211</v>
      </c>
      <c r="I531" s="1254">
        <v>25091</v>
      </c>
      <c r="J531" s="384"/>
    </row>
    <row r="532" spans="2:10" ht="15" x14ac:dyDescent="0.2">
      <c r="B532" s="1247" t="s">
        <v>103</v>
      </c>
      <c r="C532" s="1248">
        <v>56</v>
      </c>
      <c r="D532" s="1248">
        <v>8</v>
      </c>
      <c r="E532" s="1248">
        <v>1</v>
      </c>
      <c r="F532" s="1248">
        <v>4439900</v>
      </c>
      <c r="G532" s="1248"/>
      <c r="H532" s="1248">
        <v>212</v>
      </c>
      <c r="I532" s="1255"/>
      <c r="J532" s="384"/>
    </row>
    <row r="533" spans="2:10" ht="15" x14ac:dyDescent="0.2">
      <c r="B533" s="1247" t="s">
        <v>84</v>
      </c>
      <c r="C533" s="1248">
        <v>56</v>
      </c>
      <c r="D533" s="1248">
        <v>8</v>
      </c>
      <c r="E533" s="1248">
        <v>1</v>
      </c>
      <c r="F533" s="1248">
        <v>4439900</v>
      </c>
      <c r="G533" s="1248"/>
      <c r="H533" s="1248">
        <v>213</v>
      </c>
      <c r="I533" s="1254">
        <v>7577.5</v>
      </c>
      <c r="J533" s="384"/>
    </row>
    <row r="534" spans="2:10" ht="15" x14ac:dyDescent="0.2">
      <c r="B534" s="1247" t="s">
        <v>85</v>
      </c>
      <c r="C534" s="1248">
        <v>56</v>
      </c>
      <c r="D534" s="1248">
        <v>8</v>
      </c>
      <c r="E534" s="1248">
        <v>1</v>
      </c>
      <c r="F534" s="1248">
        <v>4439900</v>
      </c>
      <c r="G534" s="1248"/>
      <c r="H534" s="1248">
        <v>221</v>
      </c>
      <c r="I534" s="1255"/>
      <c r="J534" s="384"/>
    </row>
    <row r="535" spans="2:10" ht="15" x14ac:dyDescent="0.2">
      <c r="B535" s="1247" t="s">
        <v>86</v>
      </c>
      <c r="C535" s="1248">
        <v>56</v>
      </c>
      <c r="D535" s="1248">
        <v>8</v>
      </c>
      <c r="E535" s="1248">
        <v>1</v>
      </c>
      <c r="F535" s="1248">
        <v>4439900</v>
      </c>
      <c r="G535" s="1248"/>
      <c r="H535" s="1248">
        <v>222</v>
      </c>
      <c r="I535" s="1255"/>
      <c r="J535" s="384"/>
    </row>
    <row r="536" spans="2:10" ht="15" x14ac:dyDescent="0.2">
      <c r="B536" s="1247" t="s">
        <v>87</v>
      </c>
      <c r="C536" s="1248">
        <v>56</v>
      </c>
      <c r="D536" s="1248">
        <v>8</v>
      </c>
      <c r="E536" s="1248">
        <v>1</v>
      </c>
      <c r="F536" s="1248">
        <v>4439900</v>
      </c>
      <c r="G536" s="1248"/>
      <c r="H536" s="1248">
        <v>223</v>
      </c>
      <c r="I536" s="1254">
        <v>2477.1</v>
      </c>
      <c r="J536" s="384"/>
    </row>
    <row r="537" spans="2:10" ht="15" x14ac:dyDescent="0.2">
      <c r="B537" s="1247" t="s">
        <v>134</v>
      </c>
      <c r="C537" s="1248">
        <v>56</v>
      </c>
      <c r="D537" s="1248">
        <v>8</v>
      </c>
      <c r="E537" s="1248">
        <v>1</v>
      </c>
      <c r="F537" s="1248">
        <v>4439900</v>
      </c>
      <c r="G537" s="1248"/>
      <c r="H537" s="1248">
        <v>224</v>
      </c>
      <c r="I537" s="1255"/>
      <c r="J537" s="384"/>
    </row>
    <row r="538" spans="2:10" ht="15" x14ac:dyDescent="0.2">
      <c r="B538" s="1247" t="s">
        <v>90</v>
      </c>
      <c r="C538" s="1248">
        <v>56</v>
      </c>
      <c r="D538" s="1248">
        <v>8</v>
      </c>
      <c r="E538" s="1248">
        <v>1</v>
      </c>
      <c r="F538" s="1248">
        <v>4439900</v>
      </c>
      <c r="G538" s="1248"/>
      <c r="H538" s="1248">
        <v>225</v>
      </c>
      <c r="I538" s="1254">
        <v>7550</v>
      </c>
      <c r="J538" s="384"/>
    </row>
    <row r="539" spans="2:10" ht="15" x14ac:dyDescent="0.2">
      <c r="B539" s="1247" t="s">
        <v>91</v>
      </c>
      <c r="C539" s="1248">
        <v>56</v>
      </c>
      <c r="D539" s="1248">
        <v>8</v>
      </c>
      <c r="E539" s="1248">
        <v>1</v>
      </c>
      <c r="F539" s="1248">
        <v>4439900</v>
      </c>
      <c r="G539" s="1248"/>
      <c r="H539" s="1248">
        <v>226</v>
      </c>
      <c r="I539" s="1255">
        <v>199</v>
      </c>
      <c r="J539" s="384"/>
    </row>
    <row r="540" spans="2:10" ht="15" x14ac:dyDescent="0.2">
      <c r="B540" s="1247" t="s">
        <v>94</v>
      </c>
      <c r="C540" s="1248">
        <v>56</v>
      </c>
      <c r="D540" s="1248">
        <v>8</v>
      </c>
      <c r="E540" s="1248">
        <v>1</v>
      </c>
      <c r="F540" s="1248">
        <v>4439900</v>
      </c>
      <c r="G540" s="1248"/>
      <c r="H540" s="1248">
        <v>290</v>
      </c>
      <c r="I540" s="1254">
        <v>2664.5</v>
      </c>
      <c r="J540" s="384"/>
    </row>
    <row r="541" spans="2:10" ht="15" x14ac:dyDescent="0.2">
      <c r="B541" s="1247" t="s">
        <v>94</v>
      </c>
      <c r="C541" s="1248">
        <v>56</v>
      </c>
      <c r="D541" s="1248">
        <v>8</v>
      </c>
      <c r="E541" s="1248">
        <v>1</v>
      </c>
      <c r="F541" s="1248">
        <v>4439900</v>
      </c>
      <c r="G541" s="1248"/>
      <c r="H541" s="1248">
        <v>290</v>
      </c>
      <c r="I541" s="1255"/>
      <c r="J541" s="384"/>
    </row>
    <row r="542" spans="2:10" ht="15" x14ac:dyDescent="0.2">
      <c r="B542" s="1247" t="s">
        <v>96</v>
      </c>
      <c r="C542" s="1248">
        <v>56</v>
      </c>
      <c r="D542" s="1248">
        <v>8</v>
      </c>
      <c r="E542" s="1248">
        <v>1</v>
      </c>
      <c r="F542" s="1248">
        <v>4439900</v>
      </c>
      <c r="G542" s="1248"/>
      <c r="H542" s="1248">
        <v>310</v>
      </c>
      <c r="I542" s="1255">
        <v>112</v>
      </c>
      <c r="J542" s="384"/>
    </row>
    <row r="543" spans="2:10" ht="15" x14ac:dyDescent="0.2">
      <c r="B543" s="1247" t="s">
        <v>97</v>
      </c>
      <c r="C543" s="1248">
        <v>56</v>
      </c>
      <c r="D543" s="1248">
        <v>8</v>
      </c>
      <c r="E543" s="1248">
        <v>1</v>
      </c>
      <c r="F543" s="1248">
        <v>4439900</v>
      </c>
      <c r="G543" s="1248"/>
      <c r="H543" s="1248">
        <v>340</v>
      </c>
      <c r="I543" s="1255">
        <v>300</v>
      </c>
      <c r="J543" s="384"/>
    </row>
    <row r="544" spans="2:10" ht="15" x14ac:dyDescent="0.2">
      <c r="B544" s="1243" t="s">
        <v>767</v>
      </c>
      <c r="C544" s="1244">
        <v>56</v>
      </c>
      <c r="D544" s="1244">
        <v>8</v>
      </c>
      <c r="E544" s="1244">
        <v>1</v>
      </c>
      <c r="F544" s="1244">
        <v>4439900</v>
      </c>
      <c r="G544" s="1244">
        <v>612</v>
      </c>
      <c r="H544" s="1245">
        <v>241</v>
      </c>
      <c r="I544" s="1270">
        <v>8436</v>
      </c>
      <c r="J544" s="384"/>
    </row>
    <row r="545" spans="2:10" ht="40" x14ac:dyDescent="0.2">
      <c r="B545" s="1239" t="s">
        <v>1154</v>
      </c>
      <c r="C545" s="1263">
        <v>56</v>
      </c>
      <c r="D545" s="1263">
        <v>8</v>
      </c>
      <c r="E545" s="1263">
        <v>1</v>
      </c>
      <c r="F545" s="1263">
        <v>4439900</v>
      </c>
      <c r="G545" s="1263">
        <v>600</v>
      </c>
      <c r="H545" s="1240"/>
      <c r="I545" s="1242">
        <v>38495.300000000003</v>
      </c>
      <c r="J545" s="384"/>
    </row>
    <row r="546" spans="2:10" ht="53" x14ac:dyDescent="0.2">
      <c r="B546" s="1243" t="s">
        <v>1135</v>
      </c>
      <c r="C546" s="1245">
        <v>56</v>
      </c>
      <c r="D546" s="1245">
        <v>8</v>
      </c>
      <c r="E546" s="1245">
        <v>1</v>
      </c>
      <c r="F546" s="1245">
        <v>4439900</v>
      </c>
      <c r="G546" s="1245">
        <v>611</v>
      </c>
      <c r="H546" s="1244">
        <v>241</v>
      </c>
      <c r="I546" s="1265">
        <v>36029.699999999997</v>
      </c>
      <c r="J546" s="384"/>
    </row>
    <row r="547" spans="2:10" ht="15" x14ac:dyDescent="0.2">
      <c r="B547" s="1247" t="s">
        <v>78</v>
      </c>
      <c r="C547" s="1248">
        <v>56</v>
      </c>
      <c r="D547" s="1248">
        <v>8</v>
      </c>
      <c r="E547" s="1248">
        <v>1</v>
      </c>
      <c r="F547" s="1248">
        <v>4439900</v>
      </c>
      <c r="G547" s="1248"/>
      <c r="H547" s="1248">
        <v>211</v>
      </c>
      <c r="I547" s="1254">
        <v>25611.200000000001</v>
      </c>
      <c r="J547" s="384"/>
    </row>
    <row r="548" spans="2:10" ht="15" x14ac:dyDescent="0.2">
      <c r="B548" s="1247" t="s">
        <v>103</v>
      </c>
      <c r="C548" s="1248">
        <v>56</v>
      </c>
      <c r="D548" s="1248">
        <v>8</v>
      </c>
      <c r="E548" s="1248">
        <v>1</v>
      </c>
      <c r="F548" s="1248">
        <v>4439900</v>
      </c>
      <c r="G548" s="1248"/>
      <c r="H548" s="1248">
        <v>212</v>
      </c>
      <c r="I548" s="1255"/>
      <c r="J548" s="384"/>
    </row>
    <row r="549" spans="2:10" ht="15" x14ac:dyDescent="0.2">
      <c r="B549" s="1247" t="s">
        <v>84</v>
      </c>
      <c r="C549" s="1248">
        <v>56</v>
      </c>
      <c r="D549" s="1248">
        <v>8</v>
      </c>
      <c r="E549" s="1248">
        <v>1</v>
      </c>
      <c r="F549" s="1248">
        <v>4439900</v>
      </c>
      <c r="G549" s="1248"/>
      <c r="H549" s="1248">
        <v>213</v>
      </c>
      <c r="I549" s="1254">
        <v>7734.6</v>
      </c>
      <c r="J549" s="384"/>
    </row>
    <row r="550" spans="2:10" ht="15" x14ac:dyDescent="0.2">
      <c r="B550" s="1247" t="s">
        <v>85</v>
      </c>
      <c r="C550" s="1248">
        <v>56</v>
      </c>
      <c r="D550" s="1248">
        <v>8</v>
      </c>
      <c r="E550" s="1248">
        <v>1</v>
      </c>
      <c r="F550" s="1248">
        <v>4439900</v>
      </c>
      <c r="G550" s="1248"/>
      <c r="H550" s="1248">
        <v>221</v>
      </c>
      <c r="I550" s="1255"/>
      <c r="J550" s="384"/>
    </row>
    <row r="551" spans="2:10" ht="15" x14ac:dyDescent="0.2">
      <c r="B551" s="1247" t="s">
        <v>86</v>
      </c>
      <c r="C551" s="1248">
        <v>56</v>
      </c>
      <c r="D551" s="1248">
        <v>8</v>
      </c>
      <c r="E551" s="1248">
        <v>1</v>
      </c>
      <c r="F551" s="1248">
        <v>4439900</v>
      </c>
      <c r="G551" s="1248"/>
      <c r="H551" s="1248">
        <v>222</v>
      </c>
      <c r="I551" s="1255"/>
      <c r="J551" s="384"/>
    </row>
    <row r="552" spans="2:10" ht="15" x14ac:dyDescent="0.2">
      <c r="B552" s="1247" t="s">
        <v>87</v>
      </c>
      <c r="C552" s="1248">
        <v>56</v>
      </c>
      <c r="D552" s="1248">
        <v>8</v>
      </c>
      <c r="E552" s="1248">
        <v>1</v>
      </c>
      <c r="F552" s="1248">
        <v>4439900</v>
      </c>
      <c r="G552" s="1248"/>
      <c r="H552" s="1248">
        <v>223</v>
      </c>
      <c r="I552" s="1254">
        <v>1211.5999999999999</v>
      </c>
      <c r="J552" s="384"/>
    </row>
    <row r="553" spans="2:10" ht="15" x14ac:dyDescent="0.2">
      <c r="B553" s="1247" t="s">
        <v>134</v>
      </c>
      <c r="C553" s="1248">
        <v>56</v>
      </c>
      <c r="D553" s="1248">
        <v>8</v>
      </c>
      <c r="E553" s="1248">
        <v>1</v>
      </c>
      <c r="F553" s="1248">
        <v>4439900</v>
      </c>
      <c r="G553" s="1248"/>
      <c r="H553" s="1248">
        <v>224</v>
      </c>
      <c r="I553" s="1255"/>
      <c r="J553" s="384"/>
    </row>
    <row r="554" spans="2:10" ht="15" x14ac:dyDescent="0.2">
      <c r="B554" s="1247" t="s">
        <v>90</v>
      </c>
      <c r="C554" s="1248">
        <v>56</v>
      </c>
      <c r="D554" s="1248">
        <v>8</v>
      </c>
      <c r="E554" s="1248">
        <v>1</v>
      </c>
      <c r="F554" s="1248">
        <v>4439900</v>
      </c>
      <c r="G554" s="1248"/>
      <c r="H554" s="1248">
        <v>225</v>
      </c>
      <c r="I554" s="1255">
        <v>131</v>
      </c>
      <c r="J554" s="384"/>
    </row>
    <row r="555" spans="2:10" ht="15" x14ac:dyDescent="0.2">
      <c r="B555" s="1247" t="s">
        <v>91</v>
      </c>
      <c r="C555" s="1248">
        <v>56</v>
      </c>
      <c r="D555" s="1248">
        <v>8</v>
      </c>
      <c r="E555" s="1248">
        <v>1</v>
      </c>
      <c r="F555" s="1248">
        <v>4439900</v>
      </c>
      <c r="G555" s="1248"/>
      <c r="H555" s="1248">
        <v>226</v>
      </c>
      <c r="I555" s="1255">
        <v>49</v>
      </c>
      <c r="J555" s="384"/>
    </row>
    <row r="556" spans="2:10" ht="15" x14ac:dyDescent="0.2">
      <c r="B556" s="1247" t="s">
        <v>94</v>
      </c>
      <c r="C556" s="1248">
        <v>56</v>
      </c>
      <c r="D556" s="1248">
        <v>8</v>
      </c>
      <c r="E556" s="1248">
        <v>1</v>
      </c>
      <c r="F556" s="1248">
        <v>4439900</v>
      </c>
      <c r="G556" s="1248"/>
      <c r="H556" s="1248">
        <v>290</v>
      </c>
      <c r="I556" s="1255">
        <v>992.3</v>
      </c>
      <c r="J556" s="384"/>
    </row>
    <row r="557" spans="2:10" ht="15" x14ac:dyDescent="0.2">
      <c r="B557" s="1247" t="s">
        <v>94</v>
      </c>
      <c r="C557" s="1248">
        <v>56</v>
      </c>
      <c r="D557" s="1248">
        <v>8</v>
      </c>
      <c r="E557" s="1248">
        <v>1</v>
      </c>
      <c r="F557" s="1248">
        <v>4439900</v>
      </c>
      <c r="G557" s="1248"/>
      <c r="H557" s="1248">
        <v>290</v>
      </c>
      <c r="I557" s="1255"/>
      <c r="J557" s="384"/>
    </row>
    <row r="558" spans="2:10" ht="15" x14ac:dyDescent="0.2">
      <c r="B558" s="1247" t="s">
        <v>96</v>
      </c>
      <c r="C558" s="1248">
        <v>56</v>
      </c>
      <c r="D558" s="1248">
        <v>8</v>
      </c>
      <c r="E558" s="1248">
        <v>1</v>
      </c>
      <c r="F558" s="1248">
        <v>4439900</v>
      </c>
      <c r="G558" s="1248"/>
      <c r="H558" s="1248">
        <v>310</v>
      </c>
      <c r="I558" s="1255">
        <v>100</v>
      </c>
      <c r="J558" s="384"/>
    </row>
    <row r="559" spans="2:10" ht="15" x14ac:dyDescent="0.2">
      <c r="B559" s="1247" t="s">
        <v>97</v>
      </c>
      <c r="C559" s="1248">
        <v>56</v>
      </c>
      <c r="D559" s="1248">
        <v>8</v>
      </c>
      <c r="E559" s="1248">
        <v>1</v>
      </c>
      <c r="F559" s="1248">
        <v>4439900</v>
      </c>
      <c r="G559" s="1248"/>
      <c r="H559" s="1248">
        <v>340</v>
      </c>
      <c r="I559" s="1255">
        <v>200</v>
      </c>
      <c r="J559" s="384"/>
    </row>
    <row r="560" spans="2:10" ht="15" x14ac:dyDescent="0.2">
      <c r="B560" s="1243" t="s">
        <v>767</v>
      </c>
      <c r="C560" s="1244">
        <v>56</v>
      </c>
      <c r="D560" s="1244">
        <v>8</v>
      </c>
      <c r="E560" s="1244">
        <v>1</v>
      </c>
      <c r="F560" s="1244">
        <v>4439900</v>
      </c>
      <c r="G560" s="1244">
        <v>612</v>
      </c>
      <c r="H560" s="1245">
        <v>241</v>
      </c>
      <c r="I560" s="1270">
        <v>2465.6</v>
      </c>
      <c r="J560" s="384"/>
    </row>
    <row r="561" spans="2:10" ht="53" x14ac:dyDescent="0.2">
      <c r="B561" s="1239" t="s">
        <v>1155</v>
      </c>
      <c r="C561" s="1263">
        <v>56</v>
      </c>
      <c r="D561" s="1263">
        <v>8</v>
      </c>
      <c r="E561" s="1263">
        <v>1</v>
      </c>
      <c r="F561" s="1263">
        <v>4439900</v>
      </c>
      <c r="G561" s="1263">
        <v>600</v>
      </c>
      <c r="H561" s="1240"/>
      <c r="I561" s="1242">
        <v>44735.199999999997</v>
      </c>
      <c r="J561" s="384"/>
    </row>
    <row r="562" spans="2:10" ht="53" x14ac:dyDescent="0.2">
      <c r="B562" s="1243" t="s">
        <v>1135</v>
      </c>
      <c r="C562" s="1245">
        <v>56</v>
      </c>
      <c r="D562" s="1245">
        <v>8</v>
      </c>
      <c r="E562" s="1245">
        <v>1</v>
      </c>
      <c r="F562" s="1245">
        <v>4439900</v>
      </c>
      <c r="G562" s="1245">
        <v>611</v>
      </c>
      <c r="H562" s="1244">
        <v>241</v>
      </c>
      <c r="I562" s="1265">
        <v>41390.6</v>
      </c>
      <c r="J562" s="384"/>
    </row>
    <row r="563" spans="2:10" ht="15" x14ac:dyDescent="0.2">
      <c r="B563" s="1247" t="s">
        <v>78</v>
      </c>
      <c r="C563" s="1248">
        <v>56</v>
      </c>
      <c r="D563" s="1248">
        <v>8</v>
      </c>
      <c r="E563" s="1248">
        <v>1</v>
      </c>
      <c r="F563" s="1248">
        <v>4439900</v>
      </c>
      <c r="G563" s="1248"/>
      <c r="H563" s="1248">
        <v>211</v>
      </c>
      <c r="I563" s="1254">
        <v>22028.3</v>
      </c>
      <c r="J563" s="384"/>
    </row>
    <row r="564" spans="2:10" ht="15" x14ac:dyDescent="0.2">
      <c r="B564" s="1247" t="s">
        <v>103</v>
      </c>
      <c r="C564" s="1248">
        <v>56</v>
      </c>
      <c r="D564" s="1248">
        <v>8</v>
      </c>
      <c r="E564" s="1248">
        <v>1</v>
      </c>
      <c r="F564" s="1248">
        <v>4439900</v>
      </c>
      <c r="G564" s="1248"/>
      <c r="H564" s="1248">
        <v>212</v>
      </c>
      <c r="I564" s="1255"/>
      <c r="J564" s="384"/>
    </row>
    <row r="565" spans="2:10" ht="15" x14ac:dyDescent="0.2">
      <c r="B565" s="1247" t="s">
        <v>84</v>
      </c>
      <c r="C565" s="1248">
        <v>56</v>
      </c>
      <c r="D565" s="1248">
        <v>8</v>
      </c>
      <c r="E565" s="1248">
        <v>1</v>
      </c>
      <c r="F565" s="1248">
        <v>4439900</v>
      </c>
      <c r="G565" s="1248"/>
      <c r="H565" s="1248">
        <v>213</v>
      </c>
      <c r="I565" s="1254">
        <v>6652.5</v>
      </c>
      <c r="J565" s="384"/>
    </row>
    <row r="566" spans="2:10" ht="15" x14ac:dyDescent="0.2">
      <c r="B566" s="1247" t="s">
        <v>85</v>
      </c>
      <c r="C566" s="1248">
        <v>56</v>
      </c>
      <c r="D566" s="1248">
        <v>8</v>
      </c>
      <c r="E566" s="1248">
        <v>1</v>
      </c>
      <c r="F566" s="1248">
        <v>4439900</v>
      </c>
      <c r="G566" s="1248"/>
      <c r="H566" s="1248">
        <v>221</v>
      </c>
      <c r="I566" s="1255"/>
      <c r="J566" s="384"/>
    </row>
    <row r="567" spans="2:10" ht="15" x14ac:dyDescent="0.2">
      <c r="B567" s="1247" t="s">
        <v>86</v>
      </c>
      <c r="C567" s="1248">
        <v>56</v>
      </c>
      <c r="D567" s="1248">
        <v>8</v>
      </c>
      <c r="E567" s="1248">
        <v>1</v>
      </c>
      <c r="F567" s="1248">
        <v>4439900</v>
      </c>
      <c r="G567" s="1248"/>
      <c r="H567" s="1248">
        <v>222</v>
      </c>
      <c r="I567" s="1255"/>
      <c r="J567" s="384"/>
    </row>
    <row r="568" spans="2:10" ht="15" x14ac:dyDescent="0.2">
      <c r="B568" s="1247" t="s">
        <v>87</v>
      </c>
      <c r="C568" s="1248">
        <v>56</v>
      </c>
      <c r="D568" s="1248">
        <v>8</v>
      </c>
      <c r="E568" s="1248">
        <v>1</v>
      </c>
      <c r="F568" s="1248">
        <v>4439900</v>
      </c>
      <c r="G568" s="1248"/>
      <c r="H568" s="1248">
        <v>223</v>
      </c>
      <c r="I568" s="1254">
        <v>1407.7</v>
      </c>
      <c r="J568" s="384"/>
    </row>
    <row r="569" spans="2:10" ht="15" x14ac:dyDescent="0.2">
      <c r="B569" s="1247" t="s">
        <v>134</v>
      </c>
      <c r="C569" s="1248">
        <v>56</v>
      </c>
      <c r="D569" s="1248">
        <v>8</v>
      </c>
      <c r="E569" s="1248">
        <v>1</v>
      </c>
      <c r="F569" s="1248">
        <v>4439900</v>
      </c>
      <c r="G569" s="1248"/>
      <c r="H569" s="1248">
        <v>224</v>
      </c>
      <c r="I569" s="1255"/>
      <c r="J569" s="384"/>
    </row>
    <row r="570" spans="2:10" ht="15" x14ac:dyDescent="0.2">
      <c r="B570" s="1247" t="s">
        <v>90</v>
      </c>
      <c r="C570" s="1248">
        <v>56</v>
      </c>
      <c r="D570" s="1248">
        <v>8</v>
      </c>
      <c r="E570" s="1248">
        <v>1</v>
      </c>
      <c r="F570" s="1248">
        <v>4439900</v>
      </c>
      <c r="G570" s="1248"/>
      <c r="H570" s="1248">
        <v>225</v>
      </c>
      <c r="I570" s="1254">
        <v>8127.7</v>
      </c>
      <c r="J570" s="384"/>
    </row>
    <row r="571" spans="2:10" ht="15" x14ac:dyDescent="0.2">
      <c r="B571" s="1247" t="s">
        <v>91</v>
      </c>
      <c r="C571" s="1248">
        <v>56</v>
      </c>
      <c r="D571" s="1248">
        <v>8</v>
      </c>
      <c r="E571" s="1248">
        <v>1</v>
      </c>
      <c r="F571" s="1248">
        <v>4439900</v>
      </c>
      <c r="G571" s="1248"/>
      <c r="H571" s="1248">
        <v>226</v>
      </c>
      <c r="I571" s="1255">
        <v>54</v>
      </c>
      <c r="J571" s="384"/>
    </row>
    <row r="572" spans="2:10" ht="15" x14ac:dyDescent="0.2">
      <c r="B572" s="1247" t="s">
        <v>94</v>
      </c>
      <c r="C572" s="1248">
        <v>56</v>
      </c>
      <c r="D572" s="1248">
        <v>8</v>
      </c>
      <c r="E572" s="1248">
        <v>1</v>
      </c>
      <c r="F572" s="1248">
        <v>4439900</v>
      </c>
      <c r="G572" s="1248"/>
      <c r="H572" s="1248">
        <v>290</v>
      </c>
      <c r="I572" s="1254">
        <v>2820.4</v>
      </c>
      <c r="J572" s="384"/>
    </row>
    <row r="573" spans="2:10" ht="15" x14ac:dyDescent="0.2">
      <c r="B573" s="1247" t="s">
        <v>94</v>
      </c>
      <c r="C573" s="1248">
        <v>56</v>
      </c>
      <c r="D573" s="1248">
        <v>8</v>
      </c>
      <c r="E573" s="1248">
        <v>1</v>
      </c>
      <c r="F573" s="1248">
        <v>4439900</v>
      </c>
      <c r="G573" s="1248"/>
      <c r="H573" s="1248">
        <v>290</v>
      </c>
      <c r="I573" s="1255"/>
      <c r="J573" s="384"/>
    </row>
    <row r="574" spans="2:10" ht="15" x14ac:dyDescent="0.2">
      <c r="B574" s="1247" t="s">
        <v>96</v>
      </c>
      <c r="C574" s="1248">
        <v>56</v>
      </c>
      <c r="D574" s="1248">
        <v>8</v>
      </c>
      <c r="E574" s="1248">
        <v>1</v>
      </c>
      <c r="F574" s="1248">
        <v>4439900</v>
      </c>
      <c r="G574" s="1248"/>
      <c r="H574" s="1248">
        <v>310</v>
      </c>
      <c r="I574" s="1255">
        <v>150</v>
      </c>
      <c r="J574" s="384"/>
    </row>
    <row r="575" spans="2:10" ht="15" x14ac:dyDescent="0.2">
      <c r="B575" s="1247" t="s">
        <v>97</v>
      </c>
      <c r="C575" s="1248">
        <v>56</v>
      </c>
      <c r="D575" s="1248">
        <v>8</v>
      </c>
      <c r="E575" s="1248">
        <v>1</v>
      </c>
      <c r="F575" s="1248">
        <v>4439900</v>
      </c>
      <c r="G575" s="1248"/>
      <c r="H575" s="1248">
        <v>340</v>
      </c>
      <c r="I575" s="1255">
        <v>150</v>
      </c>
      <c r="J575" s="384"/>
    </row>
    <row r="576" spans="2:10" ht="15" x14ac:dyDescent="0.2">
      <c r="B576" s="1243" t="s">
        <v>767</v>
      </c>
      <c r="C576" s="1244">
        <v>56</v>
      </c>
      <c r="D576" s="1244">
        <v>8</v>
      </c>
      <c r="E576" s="1244">
        <v>1</v>
      </c>
      <c r="F576" s="1244">
        <v>4439900</v>
      </c>
      <c r="G576" s="1244">
        <v>612</v>
      </c>
      <c r="H576" s="1245">
        <v>241</v>
      </c>
      <c r="I576" s="1270">
        <v>3344.6</v>
      </c>
      <c r="J576" s="384"/>
    </row>
    <row r="577" spans="2:10" ht="39" x14ac:dyDescent="0.15">
      <c r="B577" s="1239" t="s">
        <v>1156</v>
      </c>
      <c r="C577" s="3015">
        <v>56</v>
      </c>
      <c r="D577" s="3015">
        <v>8</v>
      </c>
      <c r="E577" s="3015">
        <v>1</v>
      </c>
      <c r="F577" s="3015">
        <v>4439900</v>
      </c>
      <c r="G577" s="3015"/>
      <c r="H577" s="3016"/>
      <c r="I577" s="3011">
        <v>27758.7</v>
      </c>
      <c r="J577" s="2798"/>
    </row>
    <row r="578" spans="2:10" x14ac:dyDescent="0.15">
      <c r="B578" s="1239" t="s">
        <v>1157</v>
      </c>
      <c r="C578" s="3015"/>
      <c r="D578" s="3015"/>
      <c r="E578" s="3015"/>
      <c r="F578" s="3015"/>
      <c r="G578" s="3015"/>
      <c r="H578" s="3016"/>
      <c r="I578" s="3011"/>
      <c r="J578" s="2798"/>
    </row>
    <row r="579" spans="2:10" ht="53" x14ac:dyDescent="0.2">
      <c r="B579" s="1243" t="s">
        <v>1135</v>
      </c>
      <c r="C579" s="1245">
        <v>56</v>
      </c>
      <c r="D579" s="1245">
        <v>8</v>
      </c>
      <c r="E579" s="1245">
        <v>1</v>
      </c>
      <c r="F579" s="1245">
        <v>4439900</v>
      </c>
      <c r="G579" s="1245">
        <v>611</v>
      </c>
      <c r="H579" s="1244">
        <v>241</v>
      </c>
      <c r="I579" s="1265">
        <v>27758.7</v>
      </c>
      <c r="J579" s="384"/>
    </row>
    <row r="580" spans="2:10" ht="15" x14ac:dyDescent="0.2">
      <c r="B580" s="1247" t="s">
        <v>78</v>
      </c>
      <c r="C580" s="1248">
        <v>56</v>
      </c>
      <c r="D580" s="1248">
        <v>8</v>
      </c>
      <c r="E580" s="1248">
        <v>1</v>
      </c>
      <c r="F580" s="1248">
        <v>4439900</v>
      </c>
      <c r="G580" s="1248"/>
      <c r="H580" s="1248">
        <v>211</v>
      </c>
      <c r="I580" s="1254">
        <v>19107.3</v>
      </c>
      <c r="J580" s="384"/>
    </row>
    <row r="581" spans="2:10" ht="15" x14ac:dyDescent="0.2">
      <c r="B581" s="1247" t="s">
        <v>103</v>
      </c>
      <c r="C581" s="1248">
        <v>56</v>
      </c>
      <c r="D581" s="1248">
        <v>8</v>
      </c>
      <c r="E581" s="1248">
        <v>1</v>
      </c>
      <c r="F581" s="1248">
        <v>4439900</v>
      </c>
      <c r="G581" s="1248"/>
      <c r="H581" s="1248">
        <v>212</v>
      </c>
      <c r="I581" s="1255"/>
      <c r="J581" s="384"/>
    </row>
    <row r="582" spans="2:10" ht="15" x14ac:dyDescent="0.2">
      <c r="B582" s="1247" t="s">
        <v>84</v>
      </c>
      <c r="C582" s="1248">
        <v>56</v>
      </c>
      <c r="D582" s="1248">
        <v>8</v>
      </c>
      <c r="E582" s="1248">
        <v>1</v>
      </c>
      <c r="F582" s="1248">
        <v>4439900</v>
      </c>
      <c r="G582" s="1248"/>
      <c r="H582" s="1248">
        <v>213</v>
      </c>
      <c r="I582" s="1254">
        <v>5770.4</v>
      </c>
      <c r="J582" s="384"/>
    </row>
    <row r="583" spans="2:10" ht="15" x14ac:dyDescent="0.2">
      <c r="B583" s="1247" t="s">
        <v>85</v>
      </c>
      <c r="C583" s="1248">
        <v>56</v>
      </c>
      <c r="D583" s="1248">
        <v>8</v>
      </c>
      <c r="E583" s="1248">
        <v>1</v>
      </c>
      <c r="F583" s="1248">
        <v>4439900</v>
      </c>
      <c r="G583" s="1248"/>
      <c r="H583" s="1248">
        <v>221</v>
      </c>
      <c r="I583" s="1255"/>
      <c r="J583" s="384"/>
    </row>
    <row r="584" spans="2:10" ht="15" x14ac:dyDescent="0.2">
      <c r="B584" s="1247" t="s">
        <v>86</v>
      </c>
      <c r="C584" s="1248">
        <v>56</v>
      </c>
      <c r="D584" s="1248">
        <v>8</v>
      </c>
      <c r="E584" s="1248">
        <v>1</v>
      </c>
      <c r="F584" s="1248">
        <v>4439900</v>
      </c>
      <c r="G584" s="1248"/>
      <c r="H584" s="1248">
        <v>222</v>
      </c>
      <c r="I584" s="1255"/>
      <c r="J584" s="384"/>
    </row>
    <row r="585" spans="2:10" ht="15" x14ac:dyDescent="0.2">
      <c r="B585" s="1247" t="s">
        <v>87</v>
      </c>
      <c r="C585" s="1248">
        <v>56</v>
      </c>
      <c r="D585" s="1248">
        <v>8</v>
      </c>
      <c r="E585" s="1248">
        <v>1</v>
      </c>
      <c r="F585" s="1248">
        <v>4439900</v>
      </c>
      <c r="G585" s="1248"/>
      <c r="H585" s="1248">
        <v>223</v>
      </c>
      <c r="I585" s="1255">
        <v>719.7</v>
      </c>
      <c r="J585" s="384"/>
    </row>
    <row r="586" spans="2:10" ht="15" x14ac:dyDescent="0.2">
      <c r="B586" s="1247" t="s">
        <v>134</v>
      </c>
      <c r="C586" s="1248">
        <v>56</v>
      </c>
      <c r="D586" s="1248">
        <v>8</v>
      </c>
      <c r="E586" s="1248">
        <v>1</v>
      </c>
      <c r="F586" s="1248">
        <v>4439900</v>
      </c>
      <c r="G586" s="1248"/>
      <c r="H586" s="1248">
        <v>224</v>
      </c>
      <c r="I586" s="1255"/>
      <c r="J586" s="384"/>
    </row>
    <row r="587" spans="2:10" ht="15" x14ac:dyDescent="0.2">
      <c r="B587" s="1247" t="s">
        <v>90</v>
      </c>
      <c r="C587" s="1248">
        <v>56</v>
      </c>
      <c r="D587" s="1248">
        <v>8</v>
      </c>
      <c r="E587" s="1248">
        <v>1</v>
      </c>
      <c r="F587" s="1248">
        <v>4439900</v>
      </c>
      <c r="G587" s="1248"/>
      <c r="H587" s="1248">
        <v>225</v>
      </c>
      <c r="I587" s="1255">
        <v>86.9</v>
      </c>
      <c r="J587" s="384"/>
    </row>
    <row r="588" spans="2:10" ht="15" x14ac:dyDescent="0.2">
      <c r="B588" s="1247" t="s">
        <v>91</v>
      </c>
      <c r="C588" s="1248">
        <v>56</v>
      </c>
      <c r="D588" s="1248">
        <v>8</v>
      </c>
      <c r="E588" s="1248">
        <v>1</v>
      </c>
      <c r="F588" s="1248">
        <v>4439900</v>
      </c>
      <c r="G588" s="1248"/>
      <c r="H588" s="1248">
        <v>226</v>
      </c>
      <c r="I588" s="1255">
        <v>47.2</v>
      </c>
      <c r="J588" s="384"/>
    </row>
    <row r="589" spans="2:10" ht="15" x14ac:dyDescent="0.2">
      <c r="B589" s="1338" t="s">
        <v>94</v>
      </c>
      <c r="C589" s="1339">
        <v>56</v>
      </c>
      <c r="D589" s="1339">
        <v>8</v>
      </c>
      <c r="E589" s="1339">
        <v>1</v>
      </c>
      <c r="F589" s="1339">
        <v>4439900</v>
      </c>
      <c r="G589" s="1339"/>
      <c r="H589" s="1339">
        <v>290</v>
      </c>
      <c r="I589" s="1340">
        <v>1727.2</v>
      </c>
      <c r="J589" s="384"/>
    </row>
    <row r="590" spans="2:10" ht="15" x14ac:dyDescent="0.2">
      <c r="B590" s="1247" t="s">
        <v>94</v>
      </c>
      <c r="C590" s="1248">
        <v>56</v>
      </c>
      <c r="D590" s="1248">
        <v>8</v>
      </c>
      <c r="E590" s="1248">
        <v>1</v>
      </c>
      <c r="F590" s="1248">
        <v>4439900</v>
      </c>
      <c r="G590" s="1248"/>
      <c r="H590" s="1248">
        <v>290</v>
      </c>
      <c r="I590" s="1255"/>
      <c r="J590" s="384"/>
    </row>
    <row r="591" spans="2:10" ht="15" x14ac:dyDescent="0.2">
      <c r="B591" s="1247" t="s">
        <v>96</v>
      </c>
      <c r="C591" s="1248">
        <v>56</v>
      </c>
      <c r="D591" s="1248">
        <v>8</v>
      </c>
      <c r="E591" s="1248">
        <v>1</v>
      </c>
      <c r="F591" s="1248">
        <v>4439900</v>
      </c>
      <c r="G591" s="1248"/>
      <c r="H591" s="1248">
        <v>310</v>
      </c>
      <c r="I591" s="1255">
        <v>100</v>
      </c>
      <c r="J591" s="384"/>
    </row>
    <row r="592" spans="2:10" ht="15" x14ac:dyDescent="0.2">
      <c r="B592" s="1247" t="s">
        <v>97</v>
      </c>
      <c r="C592" s="1248">
        <v>56</v>
      </c>
      <c r="D592" s="1248">
        <v>8</v>
      </c>
      <c r="E592" s="1248">
        <v>1</v>
      </c>
      <c r="F592" s="1248">
        <v>4439900</v>
      </c>
      <c r="G592" s="1248"/>
      <c r="H592" s="1248">
        <v>340</v>
      </c>
      <c r="I592" s="1255">
        <v>200</v>
      </c>
      <c r="J592" s="384"/>
    </row>
    <row r="593" spans="2:10" ht="15" x14ac:dyDescent="0.2">
      <c r="B593" s="1243" t="s">
        <v>767</v>
      </c>
      <c r="C593" s="1244">
        <v>56</v>
      </c>
      <c r="D593" s="1244">
        <v>8</v>
      </c>
      <c r="E593" s="1244">
        <v>1</v>
      </c>
      <c r="F593" s="1244">
        <v>4439900</v>
      </c>
      <c r="G593" s="1244">
        <v>612</v>
      </c>
      <c r="H593" s="1245">
        <v>241</v>
      </c>
      <c r="I593" s="1252">
        <v>0</v>
      </c>
      <c r="J593" s="384"/>
    </row>
    <row r="594" spans="2:10" ht="40" x14ac:dyDescent="0.2">
      <c r="B594" s="1239" t="s">
        <v>1158</v>
      </c>
      <c r="C594" s="1263">
        <v>56</v>
      </c>
      <c r="D594" s="1263">
        <v>8</v>
      </c>
      <c r="E594" s="1263">
        <v>1</v>
      </c>
      <c r="F594" s="1263">
        <v>4439900</v>
      </c>
      <c r="G594" s="1263">
        <v>600</v>
      </c>
      <c r="H594" s="1240"/>
      <c r="I594" s="1242">
        <v>21474.5</v>
      </c>
      <c r="J594" s="384"/>
    </row>
    <row r="595" spans="2:10" ht="53" x14ac:dyDescent="0.2">
      <c r="B595" s="1243" t="s">
        <v>1135</v>
      </c>
      <c r="C595" s="1245">
        <v>56</v>
      </c>
      <c r="D595" s="1245">
        <v>8</v>
      </c>
      <c r="E595" s="1245">
        <v>1</v>
      </c>
      <c r="F595" s="1245">
        <v>4439900</v>
      </c>
      <c r="G595" s="1245">
        <v>611</v>
      </c>
      <c r="H595" s="1244">
        <v>241</v>
      </c>
      <c r="I595" s="1265">
        <v>19151.099999999999</v>
      </c>
      <c r="J595" s="384"/>
    </row>
    <row r="596" spans="2:10" ht="15" x14ac:dyDescent="0.2">
      <c r="B596" s="1247" t="s">
        <v>78</v>
      </c>
      <c r="C596" s="1248">
        <v>56</v>
      </c>
      <c r="D596" s="1248">
        <v>8</v>
      </c>
      <c r="E596" s="1248">
        <v>1</v>
      </c>
      <c r="F596" s="1248">
        <v>4439900</v>
      </c>
      <c r="G596" s="1248"/>
      <c r="H596" s="1248">
        <v>211</v>
      </c>
      <c r="I596" s="1254">
        <v>13391.1</v>
      </c>
      <c r="J596" s="384"/>
    </row>
    <row r="597" spans="2:10" ht="15" x14ac:dyDescent="0.2">
      <c r="B597" s="1247" t="s">
        <v>103</v>
      </c>
      <c r="C597" s="1248">
        <v>56</v>
      </c>
      <c r="D597" s="1248">
        <v>8</v>
      </c>
      <c r="E597" s="1248">
        <v>1</v>
      </c>
      <c r="F597" s="1248">
        <v>4439900</v>
      </c>
      <c r="G597" s="1248"/>
      <c r="H597" s="1248">
        <v>212</v>
      </c>
      <c r="I597" s="1255"/>
      <c r="J597" s="384"/>
    </row>
    <row r="598" spans="2:10" ht="15" x14ac:dyDescent="0.2">
      <c r="B598" s="1247" t="s">
        <v>84</v>
      </c>
      <c r="C598" s="1248">
        <v>56</v>
      </c>
      <c r="D598" s="1248">
        <v>8</v>
      </c>
      <c r="E598" s="1248">
        <v>1</v>
      </c>
      <c r="F598" s="1248">
        <v>4439900</v>
      </c>
      <c r="G598" s="1248"/>
      <c r="H598" s="1248">
        <v>213</v>
      </c>
      <c r="I598" s="1254">
        <v>4044.1</v>
      </c>
      <c r="J598" s="384"/>
    </row>
    <row r="599" spans="2:10" ht="15" x14ac:dyDescent="0.2">
      <c r="B599" s="1247" t="s">
        <v>85</v>
      </c>
      <c r="C599" s="1248">
        <v>56</v>
      </c>
      <c r="D599" s="1248">
        <v>8</v>
      </c>
      <c r="E599" s="1248">
        <v>1</v>
      </c>
      <c r="F599" s="1248">
        <v>4439900</v>
      </c>
      <c r="G599" s="1248"/>
      <c r="H599" s="1248">
        <v>221</v>
      </c>
      <c r="I599" s="1255"/>
      <c r="J599" s="384"/>
    </row>
    <row r="600" spans="2:10" ht="15" x14ac:dyDescent="0.2">
      <c r="B600" s="1247" t="s">
        <v>86</v>
      </c>
      <c r="C600" s="1248">
        <v>56</v>
      </c>
      <c r="D600" s="1248">
        <v>8</v>
      </c>
      <c r="E600" s="1248">
        <v>1</v>
      </c>
      <c r="F600" s="1248">
        <v>4439900</v>
      </c>
      <c r="G600" s="1248"/>
      <c r="H600" s="1248">
        <v>222</v>
      </c>
      <c r="I600" s="1255"/>
      <c r="J600" s="384"/>
    </row>
    <row r="601" spans="2:10" ht="15" x14ac:dyDescent="0.2">
      <c r="B601" s="1247" t="s">
        <v>87</v>
      </c>
      <c r="C601" s="1248">
        <v>56</v>
      </c>
      <c r="D601" s="1248">
        <v>8</v>
      </c>
      <c r="E601" s="1248">
        <v>1</v>
      </c>
      <c r="F601" s="1248">
        <v>4439900</v>
      </c>
      <c r="G601" s="1248"/>
      <c r="H601" s="1248">
        <v>223</v>
      </c>
      <c r="I601" s="1255">
        <v>731.8</v>
      </c>
      <c r="J601" s="384"/>
    </row>
    <row r="602" spans="2:10" ht="15" x14ac:dyDescent="0.2">
      <c r="B602" s="1247" t="s">
        <v>134</v>
      </c>
      <c r="C602" s="1248">
        <v>56</v>
      </c>
      <c r="D602" s="1248">
        <v>8</v>
      </c>
      <c r="E602" s="1248">
        <v>1</v>
      </c>
      <c r="F602" s="1248">
        <v>4439900</v>
      </c>
      <c r="G602" s="1248"/>
      <c r="H602" s="1248">
        <v>224</v>
      </c>
      <c r="I602" s="1255"/>
      <c r="J602" s="384"/>
    </row>
    <row r="603" spans="2:10" ht="15" x14ac:dyDescent="0.2">
      <c r="B603" s="1247" t="s">
        <v>90</v>
      </c>
      <c r="C603" s="1248">
        <v>56</v>
      </c>
      <c r="D603" s="1248">
        <v>8</v>
      </c>
      <c r="E603" s="1248">
        <v>1</v>
      </c>
      <c r="F603" s="1248">
        <v>4439900</v>
      </c>
      <c r="G603" s="1248"/>
      <c r="H603" s="1248">
        <v>225</v>
      </c>
      <c r="I603" s="1272">
        <v>393.4</v>
      </c>
      <c r="J603" s="384"/>
    </row>
    <row r="604" spans="2:10" ht="15" x14ac:dyDescent="0.2">
      <c r="B604" s="1247" t="s">
        <v>91</v>
      </c>
      <c r="C604" s="1248">
        <v>56</v>
      </c>
      <c r="D604" s="1248">
        <v>8</v>
      </c>
      <c r="E604" s="1248">
        <v>1</v>
      </c>
      <c r="F604" s="1248">
        <v>4439900</v>
      </c>
      <c r="G604" s="1248"/>
      <c r="H604" s="1248">
        <v>226</v>
      </c>
      <c r="I604" s="1255">
        <v>43.2</v>
      </c>
      <c r="J604" s="384"/>
    </row>
    <row r="605" spans="2:10" ht="15" x14ac:dyDescent="0.2">
      <c r="B605" s="1247" t="s">
        <v>94</v>
      </c>
      <c r="C605" s="1248">
        <v>56</v>
      </c>
      <c r="D605" s="1248">
        <v>8</v>
      </c>
      <c r="E605" s="1248">
        <v>1</v>
      </c>
      <c r="F605" s="1248">
        <v>4439900</v>
      </c>
      <c r="G605" s="1248"/>
      <c r="H605" s="1248">
        <v>290</v>
      </c>
      <c r="I605" s="1255">
        <v>247.5</v>
      </c>
      <c r="J605" s="384"/>
    </row>
    <row r="606" spans="2:10" ht="15" x14ac:dyDescent="0.2">
      <c r="B606" s="1247" t="s">
        <v>94</v>
      </c>
      <c r="C606" s="1248">
        <v>56</v>
      </c>
      <c r="D606" s="1248">
        <v>8</v>
      </c>
      <c r="E606" s="1248">
        <v>1</v>
      </c>
      <c r="F606" s="1248">
        <v>4439900</v>
      </c>
      <c r="G606" s="1248"/>
      <c r="H606" s="1248">
        <v>290</v>
      </c>
      <c r="I606" s="1255"/>
      <c r="J606" s="384"/>
    </row>
    <row r="607" spans="2:10" ht="15" x14ac:dyDescent="0.2">
      <c r="B607" s="1247" t="s">
        <v>96</v>
      </c>
      <c r="C607" s="1248">
        <v>56</v>
      </c>
      <c r="D607" s="1248">
        <v>8</v>
      </c>
      <c r="E607" s="1248">
        <v>1</v>
      </c>
      <c r="F607" s="1248">
        <v>4439900</v>
      </c>
      <c r="G607" s="1248"/>
      <c r="H607" s="1248">
        <v>310</v>
      </c>
      <c r="I607" s="1255">
        <v>100</v>
      </c>
      <c r="J607" s="384"/>
    </row>
    <row r="608" spans="2:10" ht="15" x14ac:dyDescent="0.2">
      <c r="B608" s="1247" t="s">
        <v>97</v>
      </c>
      <c r="C608" s="1248">
        <v>56</v>
      </c>
      <c r="D608" s="1248">
        <v>8</v>
      </c>
      <c r="E608" s="1248">
        <v>1</v>
      </c>
      <c r="F608" s="1248">
        <v>4439900</v>
      </c>
      <c r="G608" s="1248"/>
      <c r="H608" s="1248">
        <v>340</v>
      </c>
      <c r="I608" s="1255">
        <v>200</v>
      </c>
      <c r="J608" s="384"/>
    </row>
    <row r="609" spans="2:10" ht="15" x14ac:dyDescent="0.2">
      <c r="B609" s="1243" t="s">
        <v>767</v>
      </c>
      <c r="C609" s="1244">
        <v>56</v>
      </c>
      <c r="D609" s="1244">
        <v>8</v>
      </c>
      <c r="E609" s="1244">
        <v>1</v>
      </c>
      <c r="F609" s="1244">
        <v>4439900</v>
      </c>
      <c r="G609" s="1244">
        <v>612</v>
      </c>
      <c r="H609" s="1245">
        <v>241</v>
      </c>
      <c r="I609" s="1270">
        <v>2323.4</v>
      </c>
      <c r="J609" s="384"/>
    </row>
    <row r="610" spans="2:10" ht="40" x14ac:dyDescent="0.2">
      <c r="B610" s="1239" t="s">
        <v>1159</v>
      </c>
      <c r="C610" s="1263">
        <v>56</v>
      </c>
      <c r="D610" s="1263">
        <v>8</v>
      </c>
      <c r="E610" s="1263">
        <v>1</v>
      </c>
      <c r="F610" s="1263">
        <v>4439900</v>
      </c>
      <c r="G610" s="1263">
        <v>600</v>
      </c>
      <c r="H610" s="1240"/>
      <c r="I610" s="1242">
        <v>25574.9</v>
      </c>
      <c r="J610" s="384"/>
    </row>
    <row r="611" spans="2:10" ht="53" x14ac:dyDescent="0.2">
      <c r="B611" s="1243" t="s">
        <v>1135</v>
      </c>
      <c r="C611" s="1245">
        <v>56</v>
      </c>
      <c r="D611" s="1245">
        <v>8</v>
      </c>
      <c r="E611" s="1245">
        <v>1</v>
      </c>
      <c r="F611" s="1245">
        <v>4439900</v>
      </c>
      <c r="G611" s="1245">
        <v>611</v>
      </c>
      <c r="H611" s="1244">
        <v>241</v>
      </c>
      <c r="I611" s="1265">
        <v>22773.8</v>
      </c>
      <c r="J611" s="384"/>
    </row>
    <row r="612" spans="2:10" ht="15" x14ac:dyDescent="0.2">
      <c r="B612" s="1247" t="s">
        <v>78</v>
      </c>
      <c r="C612" s="1248">
        <v>56</v>
      </c>
      <c r="D612" s="1248">
        <v>8</v>
      </c>
      <c r="E612" s="1248">
        <v>1</v>
      </c>
      <c r="F612" s="1248">
        <v>4439900</v>
      </c>
      <c r="G612" s="1248"/>
      <c r="H612" s="1248">
        <v>211</v>
      </c>
      <c r="I612" s="1254">
        <v>17032.400000000001</v>
      </c>
      <c r="J612" s="384"/>
    </row>
    <row r="613" spans="2:10" ht="15" x14ac:dyDescent="0.2">
      <c r="B613" s="1247" t="s">
        <v>103</v>
      </c>
      <c r="C613" s="1248">
        <v>56</v>
      </c>
      <c r="D613" s="1248">
        <v>8</v>
      </c>
      <c r="E613" s="1248">
        <v>1</v>
      </c>
      <c r="F613" s="1248">
        <v>4439900</v>
      </c>
      <c r="G613" s="1248"/>
      <c r="H613" s="1248">
        <v>212</v>
      </c>
      <c r="I613" s="1255"/>
      <c r="J613" s="384"/>
    </row>
    <row r="614" spans="2:10" ht="15" x14ac:dyDescent="0.2">
      <c r="B614" s="1247" t="s">
        <v>84</v>
      </c>
      <c r="C614" s="1248">
        <v>56</v>
      </c>
      <c r="D614" s="1248">
        <v>8</v>
      </c>
      <c r="E614" s="1248">
        <v>1</v>
      </c>
      <c r="F614" s="1248">
        <v>4439900</v>
      </c>
      <c r="G614" s="1248"/>
      <c r="H614" s="1248">
        <v>213</v>
      </c>
      <c r="I614" s="1254">
        <v>5143.8</v>
      </c>
      <c r="J614" s="384"/>
    </row>
    <row r="615" spans="2:10" ht="15" x14ac:dyDescent="0.2">
      <c r="B615" s="1247" t="s">
        <v>85</v>
      </c>
      <c r="C615" s="1248">
        <v>56</v>
      </c>
      <c r="D615" s="1248">
        <v>8</v>
      </c>
      <c r="E615" s="1248">
        <v>1</v>
      </c>
      <c r="F615" s="1248">
        <v>4439900</v>
      </c>
      <c r="G615" s="1248"/>
      <c r="H615" s="1248">
        <v>221</v>
      </c>
      <c r="I615" s="1255"/>
      <c r="J615" s="384"/>
    </row>
    <row r="616" spans="2:10" ht="15" x14ac:dyDescent="0.2">
      <c r="B616" s="1247" t="s">
        <v>86</v>
      </c>
      <c r="C616" s="1248">
        <v>56</v>
      </c>
      <c r="D616" s="1248">
        <v>8</v>
      </c>
      <c r="E616" s="1248">
        <v>1</v>
      </c>
      <c r="F616" s="1248">
        <v>4439900</v>
      </c>
      <c r="G616" s="1248"/>
      <c r="H616" s="1248">
        <v>222</v>
      </c>
      <c r="I616" s="1255"/>
      <c r="J616" s="384"/>
    </row>
    <row r="617" spans="2:10" ht="15" x14ac:dyDescent="0.2">
      <c r="B617" s="1247" t="s">
        <v>87</v>
      </c>
      <c r="C617" s="1248">
        <v>56</v>
      </c>
      <c r="D617" s="1248">
        <v>8</v>
      </c>
      <c r="E617" s="1248">
        <v>1</v>
      </c>
      <c r="F617" s="1248">
        <v>4439900</v>
      </c>
      <c r="G617" s="1248"/>
      <c r="H617" s="1248">
        <v>223</v>
      </c>
      <c r="I617" s="1255"/>
      <c r="J617" s="384"/>
    </row>
    <row r="618" spans="2:10" ht="15" x14ac:dyDescent="0.2">
      <c r="B618" s="1247" t="s">
        <v>134</v>
      </c>
      <c r="C618" s="1248">
        <v>56</v>
      </c>
      <c r="D618" s="1248">
        <v>8</v>
      </c>
      <c r="E618" s="1248">
        <v>1</v>
      </c>
      <c r="F618" s="1248">
        <v>4439900</v>
      </c>
      <c r="G618" s="1248"/>
      <c r="H618" s="1248">
        <v>224</v>
      </c>
      <c r="I618" s="1255"/>
      <c r="J618" s="384"/>
    </row>
    <row r="619" spans="2:10" ht="15" x14ac:dyDescent="0.2">
      <c r="B619" s="1247" t="s">
        <v>90</v>
      </c>
      <c r="C619" s="1248">
        <v>56</v>
      </c>
      <c r="D619" s="1248">
        <v>8</v>
      </c>
      <c r="E619" s="1248">
        <v>1</v>
      </c>
      <c r="F619" s="1248">
        <v>4439900</v>
      </c>
      <c r="G619" s="1248"/>
      <c r="H619" s="1248">
        <v>225</v>
      </c>
      <c r="I619" s="1255"/>
      <c r="J619" s="384"/>
    </row>
    <row r="620" spans="2:10" ht="15" x14ac:dyDescent="0.2">
      <c r="B620" s="1247" t="s">
        <v>91</v>
      </c>
      <c r="C620" s="1248">
        <v>56</v>
      </c>
      <c r="D620" s="1248">
        <v>8</v>
      </c>
      <c r="E620" s="1248">
        <v>1</v>
      </c>
      <c r="F620" s="1248">
        <v>4439900</v>
      </c>
      <c r="G620" s="1248"/>
      <c r="H620" s="1248">
        <v>226</v>
      </c>
      <c r="I620" s="1255">
        <v>120</v>
      </c>
      <c r="J620" s="384"/>
    </row>
    <row r="621" spans="2:10" ht="15" x14ac:dyDescent="0.2">
      <c r="B621" s="1233" t="s">
        <v>1160</v>
      </c>
      <c r="C621" s="1225">
        <v>56</v>
      </c>
      <c r="D621" s="1225">
        <v>8</v>
      </c>
      <c r="E621" s="1225">
        <v>1</v>
      </c>
      <c r="F621" s="1225">
        <v>1125151</v>
      </c>
      <c r="G621" s="1341" t="s">
        <v>1161</v>
      </c>
      <c r="H621" s="1234"/>
      <c r="I621" s="1272">
        <v>100</v>
      </c>
      <c r="J621" s="384"/>
    </row>
    <row r="622" spans="2:10" ht="15" x14ac:dyDescent="0.2">
      <c r="B622" s="1247" t="s">
        <v>94</v>
      </c>
      <c r="C622" s="1248">
        <v>56</v>
      </c>
      <c r="D622" s="1248">
        <v>8</v>
      </c>
      <c r="E622" s="1248">
        <v>1</v>
      </c>
      <c r="F622" s="1248">
        <v>4439900</v>
      </c>
      <c r="G622" s="1248"/>
      <c r="H622" s="1248">
        <v>290</v>
      </c>
      <c r="I622" s="1255">
        <v>47.6</v>
      </c>
      <c r="J622" s="384"/>
    </row>
    <row r="623" spans="2:10" ht="15" x14ac:dyDescent="0.2">
      <c r="B623" s="1247" t="s">
        <v>94</v>
      </c>
      <c r="C623" s="1248">
        <v>56</v>
      </c>
      <c r="D623" s="1248">
        <v>8</v>
      </c>
      <c r="E623" s="1248">
        <v>1</v>
      </c>
      <c r="F623" s="1248">
        <v>4439900</v>
      </c>
      <c r="G623" s="1248"/>
      <c r="H623" s="1248">
        <v>290</v>
      </c>
      <c r="I623" s="1255"/>
      <c r="J623" s="384"/>
    </row>
    <row r="624" spans="2:10" ht="15" x14ac:dyDescent="0.2">
      <c r="B624" s="1247" t="s">
        <v>96</v>
      </c>
      <c r="C624" s="1248">
        <v>56</v>
      </c>
      <c r="D624" s="1248">
        <v>8</v>
      </c>
      <c r="E624" s="1248">
        <v>1</v>
      </c>
      <c r="F624" s="1248">
        <v>4439900</v>
      </c>
      <c r="G624" s="1248"/>
      <c r="H624" s="1248">
        <v>310</v>
      </c>
      <c r="I624" s="1255">
        <v>50</v>
      </c>
      <c r="J624" s="384"/>
    </row>
    <row r="625" spans="2:10" ht="15" x14ac:dyDescent="0.2">
      <c r="B625" s="1247" t="s">
        <v>97</v>
      </c>
      <c r="C625" s="1248">
        <v>56</v>
      </c>
      <c r="D625" s="1248">
        <v>8</v>
      </c>
      <c r="E625" s="1248">
        <v>1</v>
      </c>
      <c r="F625" s="1248">
        <v>4439900</v>
      </c>
      <c r="G625" s="1248"/>
      <c r="H625" s="1248">
        <v>340</v>
      </c>
      <c r="I625" s="1255">
        <v>380</v>
      </c>
      <c r="J625" s="384"/>
    </row>
    <row r="626" spans="2:10" ht="15" x14ac:dyDescent="0.2">
      <c r="B626" s="1243" t="s">
        <v>767</v>
      </c>
      <c r="C626" s="1244">
        <v>56</v>
      </c>
      <c r="D626" s="1244">
        <v>8</v>
      </c>
      <c r="E626" s="1244">
        <v>1</v>
      </c>
      <c r="F626" s="1244">
        <v>4439900</v>
      </c>
      <c r="G626" s="1244">
        <v>612</v>
      </c>
      <c r="H626" s="1245">
        <v>241</v>
      </c>
      <c r="I626" s="1270">
        <v>2801.1</v>
      </c>
      <c r="J626" s="384"/>
    </row>
    <row r="627" spans="2:10" ht="27" x14ac:dyDescent="0.2">
      <c r="B627" s="1239" t="s">
        <v>1162</v>
      </c>
      <c r="C627" s="1263">
        <v>56</v>
      </c>
      <c r="D627" s="1263">
        <v>8</v>
      </c>
      <c r="E627" s="1263">
        <v>1</v>
      </c>
      <c r="F627" s="1263">
        <v>4439900</v>
      </c>
      <c r="G627" s="1263">
        <v>600</v>
      </c>
      <c r="H627" s="1240"/>
      <c r="I627" s="1242">
        <v>25210.1</v>
      </c>
      <c r="J627" s="384"/>
    </row>
    <row r="628" spans="2:10" ht="53" x14ac:dyDescent="0.2">
      <c r="B628" s="1243" t="s">
        <v>1135</v>
      </c>
      <c r="C628" s="1245">
        <v>56</v>
      </c>
      <c r="D628" s="1245">
        <v>8</v>
      </c>
      <c r="E628" s="1245">
        <v>1</v>
      </c>
      <c r="F628" s="1245">
        <v>4439900</v>
      </c>
      <c r="G628" s="1245">
        <v>611</v>
      </c>
      <c r="H628" s="1244">
        <v>241</v>
      </c>
      <c r="I628" s="1265">
        <v>22980.1</v>
      </c>
      <c r="J628" s="384"/>
    </row>
    <row r="629" spans="2:10" ht="15" x14ac:dyDescent="0.2">
      <c r="B629" s="1247" t="s">
        <v>78</v>
      </c>
      <c r="C629" s="1248">
        <v>56</v>
      </c>
      <c r="D629" s="1248">
        <v>8</v>
      </c>
      <c r="E629" s="1248">
        <v>1</v>
      </c>
      <c r="F629" s="1248">
        <v>4439900</v>
      </c>
      <c r="G629" s="1248"/>
      <c r="H629" s="1248">
        <v>211</v>
      </c>
      <c r="I629" s="1254">
        <v>15801.5</v>
      </c>
      <c r="J629" s="384"/>
    </row>
    <row r="630" spans="2:10" ht="15" x14ac:dyDescent="0.2">
      <c r="B630" s="1247" t="s">
        <v>103</v>
      </c>
      <c r="C630" s="1248">
        <v>56</v>
      </c>
      <c r="D630" s="1248">
        <v>8</v>
      </c>
      <c r="E630" s="1248">
        <v>1</v>
      </c>
      <c r="F630" s="1248">
        <v>4439900</v>
      </c>
      <c r="G630" s="1248"/>
      <c r="H630" s="1248">
        <v>212</v>
      </c>
      <c r="I630" s="1255"/>
      <c r="J630" s="384"/>
    </row>
    <row r="631" spans="2:10" ht="15" x14ac:dyDescent="0.2">
      <c r="B631" s="1247" t="s">
        <v>84</v>
      </c>
      <c r="C631" s="1248">
        <v>56</v>
      </c>
      <c r="D631" s="1248">
        <v>8</v>
      </c>
      <c r="E631" s="1248">
        <v>1</v>
      </c>
      <c r="F631" s="1248">
        <v>4439900</v>
      </c>
      <c r="G631" s="1248"/>
      <c r="H631" s="1248">
        <v>213</v>
      </c>
      <c r="I631" s="1254">
        <v>4772.1000000000004</v>
      </c>
      <c r="J631" s="384"/>
    </row>
    <row r="632" spans="2:10" ht="15" x14ac:dyDescent="0.2">
      <c r="B632" s="1247" t="s">
        <v>85</v>
      </c>
      <c r="C632" s="1248">
        <v>56</v>
      </c>
      <c r="D632" s="1248">
        <v>8</v>
      </c>
      <c r="E632" s="1248">
        <v>1</v>
      </c>
      <c r="F632" s="1248">
        <v>4439900</v>
      </c>
      <c r="G632" s="1248"/>
      <c r="H632" s="1248">
        <v>221</v>
      </c>
      <c r="I632" s="1255"/>
      <c r="J632" s="384"/>
    </row>
    <row r="633" spans="2:10" ht="15" x14ac:dyDescent="0.2">
      <c r="B633" s="1247" t="s">
        <v>86</v>
      </c>
      <c r="C633" s="1248">
        <v>56</v>
      </c>
      <c r="D633" s="1248">
        <v>8</v>
      </c>
      <c r="E633" s="1248">
        <v>1</v>
      </c>
      <c r="F633" s="1248">
        <v>4439900</v>
      </c>
      <c r="G633" s="1248"/>
      <c r="H633" s="1248">
        <v>222</v>
      </c>
      <c r="I633" s="1255"/>
      <c r="J633" s="384"/>
    </row>
    <row r="634" spans="2:10" ht="15" x14ac:dyDescent="0.2">
      <c r="B634" s="1247" t="s">
        <v>87</v>
      </c>
      <c r="C634" s="1248">
        <v>56</v>
      </c>
      <c r="D634" s="1248">
        <v>8</v>
      </c>
      <c r="E634" s="1248">
        <v>1</v>
      </c>
      <c r="F634" s="1248">
        <v>4439900</v>
      </c>
      <c r="G634" s="1248"/>
      <c r="H634" s="1248">
        <v>223</v>
      </c>
      <c r="I634" s="1255">
        <v>610.1</v>
      </c>
      <c r="J634" s="384"/>
    </row>
    <row r="635" spans="2:10" ht="15" x14ac:dyDescent="0.2">
      <c r="B635" s="1247" t="s">
        <v>134</v>
      </c>
      <c r="C635" s="1248">
        <v>56</v>
      </c>
      <c r="D635" s="1248">
        <v>8</v>
      </c>
      <c r="E635" s="1248">
        <v>1</v>
      </c>
      <c r="F635" s="1248">
        <v>4439900</v>
      </c>
      <c r="G635" s="1248"/>
      <c r="H635" s="1248">
        <v>224</v>
      </c>
      <c r="I635" s="1255"/>
      <c r="J635" s="384"/>
    </row>
    <row r="636" spans="2:10" ht="15" x14ac:dyDescent="0.2">
      <c r="B636" s="1247" t="s">
        <v>90</v>
      </c>
      <c r="C636" s="1248">
        <v>56</v>
      </c>
      <c r="D636" s="1248">
        <v>8</v>
      </c>
      <c r="E636" s="1248">
        <v>1</v>
      </c>
      <c r="F636" s="1248">
        <v>4439900</v>
      </c>
      <c r="G636" s="1248"/>
      <c r="H636" s="1248">
        <v>225</v>
      </c>
      <c r="I636" s="1255">
        <v>121</v>
      </c>
      <c r="J636" s="384"/>
    </row>
    <row r="637" spans="2:10" ht="15" x14ac:dyDescent="0.2">
      <c r="B637" s="1247" t="s">
        <v>91</v>
      </c>
      <c r="C637" s="1248">
        <v>56</v>
      </c>
      <c r="D637" s="1248">
        <v>8</v>
      </c>
      <c r="E637" s="1248">
        <v>1</v>
      </c>
      <c r="F637" s="1248">
        <v>4439900</v>
      </c>
      <c r="G637" s="1248"/>
      <c r="H637" s="1248">
        <v>226</v>
      </c>
      <c r="I637" s="1255">
        <v>54</v>
      </c>
      <c r="J637" s="384"/>
    </row>
    <row r="638" spans="2:10" ht="15" x14ac:dyDescent="0.2">
      <c r="B638" s="1247" t="s">
        <v>94</v>
      </c>
      <c r="C638" s="1248">
        <v>56</v>
      </c>
      <c r="D638" s="1248">
        <v>8</v>
      </c>
      <c r="E638" s="1248">
        <v>1</v>
      </c>
      <c r="F638" s="1248">
        <v>4439900</v>
      </c>
      <c r="G638" s="1248"/>
      <c r="H638" s="1248">
        <v>290</v>
      </c>
      <c r="I638" s="1254">
        <v>1321.4</v>
      </c>
      <c r="J638" s="384"/>
    </row>
    <row r="639" spans="2:10" ht="15" x14ac:dyDescent="0.2">
      <c r="B639" s="1247" t="s">
        <v>94</v>
      </c>
      <c r="C639" s="1248">
        <v>56</v>
      </c>
      <c r="D639" s="1248">
        <v>8</v>
      </c>
      <c r="E639" s="1248">
        <v>1</v>
      </c>
      <c r="F639" s="1248">
        <v>4439900</v>
      </c>
      <c r="G639" s="1248"/>
      <c r="H639" s="1248">
        <v>290</v>
      </c>
      <c r="I639" s="1255"/>
      <c r="J639" s="384"/>
    </row>
    <row r="640" spans="2:10" ht="15" x14ac:dyDescent="0.2">
      <c r="B640" s="1247" t="s">
        <v>96</v>
      </c>
      <c r="C640" s="1248">
        <v>56</v>
      </c>
      <c r="D640" s="1248">
        <v>8</v>
      </c>
      <c r="E640" s="1248">
        <v>1</v>
      </c>
      <c r="F640" s="1248">
        <v>4439900</v>
      </c>
      <c r="G640" s="1248"/>
      <c r="H640" s="1248">
        <v>310</v>
      </c>
      <c r="I640" s="1255"/>
      <c r="J640" s="384"/>
    </row>
    <row r="641" spans="2:10" ht="15" x14ac:dyDescent="0.2">
      <c r="B641" s="1247" t="s">
        <v>97</v>
      </c>
      <c r="C641" s="1248">
        <v>56</v>
      </c>
      <c r="D641" s="1248">
        <v>8</v>
      </c>
      <c r="E641" s="1248">
        <v>1</v>
      </c>
      <c r="F641" s="1248">
        <v>4439900</v>
      </c>
      <c r="G641" s="1248"/>
      <c r="H641" s="1248">
        <v>340</v>
      </c>
      <c r="I641" s="1255">
        <v>300</v>
      </c>
      <c r="J641" s="384"/>
    </row>
    <row r="642" spans="2:10" ht="15" x14ac:dyDescent="0.2">
      <c r="B642" s="1243" t="s">
        <v>767</v>
      </c>
      <c r="C642" s="1244">
        <v>56</v>
      </c>
      <c r="D642" s="1244">
        <v>8</v>
      </c>
      <c r="E642" s="1244">
        <v>1</v>
      </c>
      <c r="F642" s="1244">
        <v>4439900</v>
      </c>
      <c r="G642" s="1244">
        <v>612</v>
      </c>
      <c r="H642" s="1245">
        <v>241</v>
      </c>
      <c r="I642" s="1270">
        <v>2230</v>
      </c>
      <c r="J642" s="384"/>
    </row>
    <row r="643" spans="2:10" ht="40" x14ac:dyDescent="0.2">
      <c r="B643" s="1239" t="s">
        <v>1163</v>
      </c>
      <c r="C643" s="1263">
        <v>56</v>
      </c>
      <c r="D643" s="1263">
        <v>8</v>
      </c>
      <c r="E643" s="1263">
        <v>1</v>
      </c>
      <c r="F643" s="1263">
        <v>4439900</v>
      </c>
      <c r="G643" s="1263">
        <v>600</v>
      </c>
      <c r="H643" s="1240"/>
      <c r="I643" s="1242">
        <v>56703.7</v>
      </c>
      <c r="J643" s="384"/>
    </row>
    <row r="644" spans="2:10" ht="53" x14ac:dyDescent="0.2">
      <c r="B644" s="1243" t="s">
        <v>1135</v>
      </c>
      <c r="C644" s="1245">
        <v>56</v>
      </c>
      <c r="D644" s="1245">
        <v>8</v>
      </c>
      <c r="E644" s="1245">
        <v>1</v>
      </c>
      <c r="F644" s="1245">
        <v>4439900</v>
      </c>
      <c r="G644" s="1245">
        <v>611</v>
      </c>
      <c r="H644" s="1244">
        <v>241</v>
      </c>
      <c r="I644" s="1265">
        <v>56583.7</v>
      </c>
      <c r="J644" s="384"/>
    </row>
    <row r="645" spans="2:10" ht="15" x14ac:dyDescent="0.2">
      <c r="B645" s="1247" t="s">
        <v>78</v>
      </c>
      <c r="C645" s="1248">
        <v>56</v>
      </c>
      <c r="D645" s="1248">
        <v>8</v>
      </c>
      <c r="E645" s="1248">
        <v>1</v>
      </c>
      <c r="F645" s="1248">
        <v>4439900</v>
      </c>
      <c r="G645" s="1248"/>
      <c r="H645" s="1248">
        <v>211</v>
      </c>
      <c r="I645" s="1254">
        <v>42800.800000000003</v>
      </c>
      <c r="J645" s="384"/>
    </row>
    <row r="646" spans="2:10" ht="15" x14ac:dyDescent="0.2">
      <c r="B646" s="1247" t="s">
        <v>103</v>
      </c>
      <c r="C646" s="1248">
        <v>56</v>
      </c>
      <c r="D646" s="1248">
        <v>8</v>
      </c>
      <c r="E646" s="1248">
        <v>1</v>
      </c>
      <c r="F646" s="1248">
        <v>4439900</v>
      </c>
      <c r="G646" s="1248"/>
      <c r="H646" s="1248">
        <v>212</v>
      </c>
      <c r="I646" s="1255"/>
      <c r="J646" s="384"/>
    </row>
    <row r="647" spans="2:10" ht="15" x14ac:dyDescent="0.2">
      <c r="B647" s="1247" t="s">
        <v>84</v>
      </c>
      <c r="C647" s="1248">
        <v>56</v>
      </c>
      <c r="D647" s="1248">
        <v>8</v>
      </c>
      <c r="E647" s="1248">
        <v>1</v>
      </c>
      <c r="F647" s="1248">
        <v>4439900</v>
      </c>
      <c r="G647" s="1248"/>
      <c r="H647" s="1248">
        <v>213</v>
      </c>
      <c r="I647" s="1254">
        <v>12925.8</v>
      </c>
      <c r="J647" s="384"/>
    </row>
    <row r="648" spans="2:10" ht="15" x14ac:dyDescent="0.2">
      <c r="B648" s="1247" t="s">
        <v>85</v>
      </c>
      <c r="C648" s="1248">
        <v>56</v>
      </c>
      <c r="D648" s="1248">
        <v>8</v>
      </c>
      <c r="E648" s="1248">
        <v>1</v>
      </c>
      <c r="F648" s="1248">
        <v>4439900</v>
      </c>
      <c r="G648" s="1248"/>
      <c r="H648" s="1248">
        <v>221</v>
      </c>
      <c r="I648" s="1255"/>
      <c r="J648" s="384"/>
    </row>
    <row r="649" spans="2:10" ht="15" x14ac:dyDescent="0.2">
      <c r="B649" s="1247" t="s">
        <v>86</v>
      </c>
      <c r="C649" s="1248">
        <v>56</v>
      </c>
      <c r="D649" s="1248">
        <v>8</v>
      </c>
      <c r="E649" s="1248">
        <v>1</v>
      </c>
      <c r="F649" s="1248">
        <v>4439900</v>
      </c>
      <c r="G649" s="1248"/>
      <c r="H649" s="1248">
        <v>222</v>
      </c>
      <c r="I649" s="1255"/>
      <c r="J649" s="384"/>
    </row>
    <row r="650" spans="2:10" ht="15" x14ac:dyDescent="0.2">
      <c r="B650" s="1247" t="s">
        <v>87</v>
      </c>
      <c r="C650" s="1248">
        <v>56</v>
      </c>
      <c r="D650" s="1248">
        <v>8</v>
      </c>
      <c r="E650" s="1248">
        <v>1</v>
      </c>
      <c r="F650" s="1248">
        <v>4439900</v>
      </c>
      <c r="G650" s="1248"/>
      <c r="H650" s="1248">
        <v>223</v>
      </c>
      <c r="I650" s="1255"/>
      <c r="J650" s="384"/>
    </row>
    <row r="651" spans="2:10" ht="15" x14ac:dyDescent="0.2">
      <c r="B651" s="1247" t="s">
        <v>134</v>
      </c>
      <c r="C651" s="1248">
        <v>56</v>
      </c>
      <c r="D651" s="1248">
        <v>8</v>
      </c>
      <c r="E651" s="1248">
        <v>1</v>
      </c>
      <c r="F651" s="1248">
        <v>4439900</v>
      </c>
      <c r="G651" s="1248"/>
      <c r="H651" s="1248">
        <v>224</v>
      </c>
      <c r="I651" s="1255"/>
      <c r="J651" s="384"/>
    </row>
    <row r="652" spans="2:10" ht="15" x14ac:dyDescent="0.2">
      <c r="B652" s="1247" t="s">
        <v>90</v>
      </c>
      <c r="C652" s="1248">
        <v>56</v>
      </c>
      <c r="D652" s="1248">
        <v>8</v>
      </c>
      <c r="E652" s="1248">
        <v>1</v>
      </c>
      <c r="F652" s="1248">
        <v>4439900</v>
      </c>
      <c r="G652" s="1248"/>
      <c r="H652" s="1248">
        <v>225</v>
      </c>
      <c r="I652" s="1255"/>
      <c r="J652" s="384"/>
    </row>
    <row r="653" spans="2:10" ht="15" x14ac:dyDescent="0.2">
      <c r="B653" s="1247" t="s">
        <v>91</v>
      </c>
      <c r="C653" s="1248">
        <v>56</v>
      </c>
      <c r="D653" s="1248">
        <v>8</v>
      </c>
      <c r="E653" s="1248">
        <v>1</v>
      </c>
      <c r="F653" s="1248">
        <v>4439900</v>
      </c>
      <c r="G653" s="1248"/>
      <c r="H653" s="1248">
        <v>226</v>
      </c>
      <c r="I653" s="1255">
        <v>197</v>
      </c>
      <c r="J653" s="384"/>
    </row>
    <row r="654" spans="2:10" ht="15" x14ac:dyDescent="0.2">
      <c r="B654" s="1233" t="s">
        <v>94</v>
      </c>
      <c r="C654" s="1234">
        <v>56</v>
      </c>
      <c r="D654" s="1234">
        <v>8</v>
      </c>
      <c r="E654" s="1234">
        <v>1</v>
      </c>
      <c r="F654" s="1234">
        <v>4439900</v>
      </c>
      <c r="G654" s="1234"/>
      <c r="H654" s="1234">
        <v>290</v>
      </c>
      <c r="I654" s="1272">
        <v>10.1</v>
      </c>
      <c r="J654" s="384"/>
    </row>
    <row r="655" spans="2:10" ht="15" x14ac:dyDescent="0.2">
      <c r="B655" s="1247" t="s">
        <v>94</v>
      </c>
      <c r="C655" s="1248">
        <v>56</v>
      </c>
      <c r="D655" s="1248">
        <v>8</v>
      </c>
      <c r="E655" s="1248">
        <v>1</v>
      </c>
      <c r="F655" s="1248">
        <v>4439900</v>
      </c>
      <c r="G655" s="1248"/>
      <c r="H655" s="1248">
        <v>290</v>
      </c>
      <c r="I655" s="1255"/>
      <c r="J655" s="384"/>
    </row>
    <row r="656" spans="2:10" ht="15" x14ac:dyDescent="0.2">
      <c r="B656" s="1247" t="s">
        <v>96</v>
      </c>
      <c r="C656" s="1248">
        <v>56</v>
      </c>
      <c r="D656" s="1248">
        <v>8</v>
      </c>
      <c r="E656" s="1248">
        <v>1</v>
      </c>
      <c r="F656" s="1248">
        <v>4439900</v>
      </c>
      <c r="G656" s="1248"/>
      <c r="H656" s="1248">
        <v>310</v>
      </c>
      <c r="I656" s="1255">
        <v>150</v>
      </c>
      <c r="J656" s="384"/>
    </row>
    <row r="657" spans="2:10" ht="15" x14ac:dyDescent="0.2">
      <c r="B657" s="1247" t="s">
        <v>97</v>
      </c>
      <c r="C657" s="1248">
        <v>56</v>
      </c>
      <c r="D657" s="1248">
        <v>8</v>
      </c>
      <c r="E657" s="1248">
        <v>1</v>
      </c>
      <c r="F657" s="1248">
        <v>4439900</v>
      </c>
      <c r="G657" s="1248"/>
      <c r="H657" s="1248">
        <v>340</v>
      </c>
      <c r="I657" s="1255">
        <v>500</v>
      </c>
      <c r="J657" s="384"/>
    </row>
    <row r="658" spans="2:10" ht="15" x14ac:dyDescent="0.2">
      <c r="B658" s="1243" t="s">
        <v>767</v>
      </c>
      <c r="C658" s="1244">
        <v>56</v>
      </c>
      <c r="D658" s="1244">
        <v>8</v>
      </c>
      <c r="E658" s="1244">
        <v>1</v>
      </c>
      <c r="F658" s="1244">
        <v>4439900</v>
      </c>
      <c r="G658" s="1244">
        <v>612</v>
      </c>
      <c r="H658" s="1245">
        <v>241</v>
      </c>
      <c r="I658" s="1252">
        <v>120</v>
      </c>
      <c r="J658" s="384"/>
    </row>
    <row r="659" spans="2:10" ht="40" x14ac:dyDescent="0.2">
      <c r="B659" s="1239" t="s">
        <v>1164</v>
      </c>
      <c r="C659" s="1263">
        <v>56</v>
      </c>
      <c r="D659" s="1263">
        <v>8</v>
      </c>
      <c r="E659" s="1263">
        <v>1</v>
      </c>
      <c r="F659" s="1263">
        <v>4439900</v>
      </c>
      <c r="G659" s="1263">
        <v>600</v>
      </c>
      <c r="H659" s="1240"/>
      <c r="I659" s="1242">
        <v>20334.900000000001</v>
      </c>
      <c r="J659" s="384"/>
    </row>
    <row r="660" spans="2:10" ht="53" x14ac:dyDescent="0.2">
      <c r="B660" s="1243" t="s">
        <v>1135</v>
      </c>
      <c r="C660" s="1245">
        <v>56</v>
      </c>
      <c r="D660" s="1245">
        <v>8</v>
      </c>
      <c r="E660" s="1245">
        <v>1</v>
      </c>
      <c r="F660" s="1245">
        <v>4439900</v>
      </c>
      <c r="G660" s="1245">
        <v>611</v>
      </c>
      <c r="H660" s="1244">
        <v>241</v>
      </c>
      <c r="I660" s="1265">
        <v>19634.900000000001</v>
      </c>
      <c r="J660" s="384"/>
    </row>
    <row r="661" spans="2:10" ht="15" x14ac:dyDescent="0.2">
      <c r="B661" s="1247" t="s">
        <v>78</v>
      </c>
      <c r="C661" s="1248">
        <v>56</v>
      </c>
      <c r="D661" s="1248">
        <v>8</v>
      </c>
      <c r="E661" s="1248">
        <v>1</v>
      </c>
      <c r="F661" s="1248">
        <v>4439900</v>
      </c>
      <c r="G661" s="1248"/>
      <c r="H661" s="1248">
        <v>211</v>
      </c>
      <c r="I661" s="1254">
        <v>14600.7</v>
      </c>
      <c r="J661" s="384"/>
    </row>
    <row r="662" spans="2:10" ht="15" x14ac:dyDescent="0.2">
      <c r="B662" s="1247" t="s">
        <v>103</v>
      </c>
      <c r="C662" s="1248">
        <v>56</v>
      </c>
      <c r="D662" s="1248">
        <v>8</v>
      </c>
      <c r="E662" s="1248">
        <v>1</v>
      </c>
      <c r="F662" s="1248">
        <v>4439900</v>
      </c>
      <c r="G662" s="1248"/>
      <c r="H662" s="1248">
        <v>212</v>
      </c>
      <c r="I662" s="1255"/>
      <c r="J662" s="384"/>
    </row>
    <row r="663" spans="2:10" ht="15" x14ac:dyDescent="0.2">
      <c r="B663" s="1247" t="s">
        <v>84</v>
      </c>
      <c r="C663" s="1248">
        <v>56</v>
      </c>
      <c r="D663" s="1248">
        <v>8</v>
      </c>
      <c r="E663" s="1248">
        <v>1</v>
      </c>
      <c r="F663" s="1248">
        <v>4439900</v>
      </c>
      <c r="G663" s="1248"/>
      <c r="H663" s="1248">
        <v>213</v>
      </c>
      <c r="I663" s="1254">
        <v>4409.3999999999996</v>
      </c>
      <c r="J663" s="384"/>
    </row>
    <row r="664" spans="2:10" ht="15" x14ac:dyDescent="0.2">
      <c r="B664" s="1247" t="s">
        <v>85</v>
      </c>
      <c r="C664" s="1248">
        <v>56</v>
      </c>
      <c r="D664" s="1248">
        <v>8</v>
      </c>
      <c r="E664" s="1248">
        <v>1</v>
      </c>
      <c r="F664" s="1248">
        <v>4439900</v>
      </c>
      <c r="G664" s="1248"/>
      <c r="H664" s="1248">
        <v>221</v>
      </c>
      <c r="I664" s="1255"/>
      <c r="J664" s="384"/>
    </row>
    <row r="665" spans="2:10" ht="15" x14ac:dyDescent="0.2">
      <c r="B665" s="1247" t="s">
        <v>86</v>
      </c>
      <c r="C665" s="1248">
        <v>56</v>
      </c>
      <c r="D665" s="1248">
        <v>8</v>
      </c>
      <c r="E665" s="1248">
        <v>1</v>
      </c>
      <c r="F665" s="1248">
        <v>4439900</v>
      </c>
      <c r="G665" s="1248"/>
      <c r="H665" s="1248">
        <v>222</v>
      </c>
      <c r="I665" s="1255"/>
      <c r="J665" s="384"/>
    </row>
    <row r="666" spans="2:10" ht="15" x14ac:dyDescent="0.2">
      <c r="B666" s="1247" t="s">
        <v>87</v>
      </c>
      <c r="C666" s="1248">
        <v>56</v>
      </c>
      <c r="D666" s="1248">
        <v>8</v>
      </c>
      <c r="E666" s="1248">
        <v>1</v>
      </c>
      <c r="F666" s="1248">
        <v>4439900</v>
      </c>
      <c r="G666" s="1248"/>
      <c r="H666" s="1248">
        <v>223</v>
      </c>
      <c r="I666" s="1255">
        <v>148.1</v>
      </c>
      <c r="J666" s="384"/>
    </row>
    <row r="667" spans="2:10" ht="15" x14ac:dyDescent="0.2">
      <c r="B667" s="1247" t="s">
        <v>134</v>
      </c>
      <c r="C667" s="1248">
        <v>56</v>
      </c>
      <c r="D667" s="1248">
        <v>8</v>
      </c>
      <c r="E667" s="1248">
        <v>1</v>
      </c>
      <c r="F667" s="1248">
        <v>4439900</v>
      </c>
      <c r="G667" s="1248"/>
      <c r="H667" s="1248">
        <v>224</v>
      </c>
      <c r="I667" s="1255"/>
      <c r="J667" s="384"/>
    </row>
    <row r="668" spans="2:10" ht="15" x14ac:dyDescent="0.2">
      <c r="B668" s="1247" t="s">
        <v>90</v>
      </c>
      <c r="C668" s="1248">
        <v>56</v>
      </c>
      <c r="D668" s="1248">
        <v>8</v>
      </c>
      <c r="E668" s="1248">
        <v>1</v>
      </c>
      <c r="F668" s="1248">
        <v>4439900</v>
      </c>
      <c r="G668" s="1248"/>
      <c r="H668" s="1248">
        <v>225</v>
      </c>
      <c r="I668" s="1255">
        <v>115</v>
      </c>
      <c r="J668" s="384"/>
    </row>
    <row r="669" spans="2:10" ht="15" x14ac:dyDescent="0.2">
      <c r="B669" s="1247" t="s">
        <v>91</v>
      </c>
      <c r="C669" s="1248">
        <v>56</v>
      </c>
      <c r="D669" s="1248">
        <v>8</v>
      </c>
      <c r="E669" s="1248">
        <v>1</v>
      </c>
      <c r="F669" s="1248">
        <v>4439900</v>
      </c>
      <c r="G669" s="1248"/>
      <c r="H669" s="1248">
        <v>226</v>
      </c>
      <c r="I669" s="1255">
        <v>42.5</v>
      </c>
      <c r="J669" s="384"/>
    </row>
    <row r="670" spans="2:10" ht="15" x14ac:dyDescent="0.2">
      <c r="B670" s="1247" t="s">
        <v>94</v>
      </c>
      <c r="C670" s="1248">
        <v>56</v>
      </c>
      <c r="D670" s="1248">
        <v>8</v>
      </c>
      <c r="E670" s="1248">
        <v>1</v>
      </c>
      <c r="F670" s="1248">
        <v>4439900</v>
      </c>
      <c r="G670" s="1248"/>
      <c r="H670" s="1248">
        <v>290</v>
      </c>
      <c r="I670" s="1255">
        <v>119.2</v>
      </c>
      <c r="J670" s="384"/>
    </row>
    <row r="671" spans="2:10" ht="15" x14ac:dyDescent="0.2">
      <c r="B671" s="1247" t="s">
        <v>94</v>
      </c>
      <c r="C671" s="1248">
        <v>56</v>
      </c>
      <c r="D671" s="1248">
        <v>8</v>
      </c>
      <c r="E671" s="1248">
        <v>1</v>
      </c>
      <c r="F671" s="1248">
        <v>4439900</v>
      </c>
      <c r="G671" s="1248"/>
      <c r="H671" s="1248">
        <v>290</v>
      </c>
      <c r="I671" s="1255"/>
      <c r="J671" s="384"/>
    </row>
    <row r="672" spans="2:10" ht="15" x14ac:dyDescent="0.2">
      <c r="B672" s="1247" t="s">
        <v>96</v>
      </c>
      <c r="C672" s="1248">
        <v>56</v>
      </c>
      <c r="D672" s="1248">
        <v>8</v>
      </c>
      <c r="E672" s="1248">
        <v>1</v>
      </c>
      <c r="F672" s="1248">
        <v>4439900</v>
      </c>
      <c r="G672" s="1248"/>
      <c r="H672" s="1248">
        <v>310</v>
      </c>
      <c r="I672" s="1255">
        <v>200</v>
      </c>
      <c r="J672" s="384"/>
    </row>
    <row r="673" spans="2:10" ht="15" x14ac:dyDescent="0.2">
      <c r="B673" s="1247" t="s">
        <v>97</v>
      </c>
      <c r="C673" s="1248">
        <v>56</v>
      </c>
      <c r="D673" s="1248">
        <v>8</v>
      </c>
      <c r="E673" s="1248">
        <v>1</v>
      </c>
      <c r="F673" s="1248">
        <v>4439900</v>
      </c>
      <c r="G673" s="1248"/>
      <c r="H673" s="1248">
        <v>340</v>
      </c>
      <c r="I673" s="1255"/>
      <c r="J673" s="384"/>
    </row>
    <row r="674" spans="2:10" ht="15" x14ac:dyDescent="0.2">
      <c r="B674" s="1243" t="s">
        <v>767</v>
      </c>
      <c r="C674" s="1244">
        <v>56</v>
      </c>
      <c r="D674" s="1244">
        <v>8</v>
      </c>
      <c r="E674" s="1244">
        <v>1</v>
      </c>
      <c r="F674" s="1244">
        <v>4439900</v>
      </c>
      <c r="G674" s="1244">
        <v>612</v>
      </c>
      <c r="H674" s="1245">
        <v>241</v>
      </c>
      <c r="I674" s="1252">
        <v>700</v>
      </c>
      <c r="J674" s="384"/>
    </row>
    <row r="675" spans="2:10" ht="40" x14ac:dyDescent="0.2">
      <c r="B675" s="1239" t="s">
        <v>1165</v>
      </c>
      <c r="C675" s="1263">
        <v>56</v>
      </c>
      <c r="D675" s="1263">
        <v>8</v>
      </c>
      <c r="E675" s="1263">
        <v>1</v>
      </c>
      <c r="F675" s="1263">
        <v>4439900</v>
      </c>
      <c r="G675" s="1263">
        <v>600</v>
      </c>
      <c r="H675" s="1240"/>
      <c r="I675" s="1242">
        <v>10786.8</v>
      </c>
      <c r="J675" s="384"/>
    </row>
    <row r="676" spans="2:10" ht="53" x14ac:dyDescent="0.2">
      <c r="B676" s="1243" t="s">
        <v>1135</v>
      </c>
      <c r="C676" s="1245">
        <v>56</v>
      </c>
      <c r="D676" s="1245">
        <v>8</v>
      </c>
      <c r="E676" s="1245">
        <v>1</v>
      </c>
      <c r="F676" s="1245">
        <v>4439900</v>
      </c>
      <c r="G676" s="1245">
        <v>611</v>
      </c>
      <c r="H676" s="1244">
        <v>241</v>
      </c>
      <c r="I676" s="1265">
        <v>10086.799999999999</v>
      </c>
      <c r="J676" s="384"/>
    </row>
    <row r="677" spans="2:10" ht="15" x14ac:dyDescent="0.2">
      <c r="B677" s="1247" t="s">
        <v>78</v>
      </c>
      <c r="C677" s="1248">
        <v>56</v>
      </c>
      <c r="D677" s="1248">
        <v>8</v>
      </c>
      <c r="E677" s="1248">
        <v>1</v>
      </c>
      <c r="F677" s="1248">
        <v>4439900</v>
      </c>
      <c r="G677" s="1248"/>
      <c r="H677" s="1248">
        <v>211</v>
      </c>
      <c r="I677" s="1254">
        <v>7507.4</v>
      </c>
      <c r="J677" s="384"/>
    </row>
    <row r="678" spans="2:10" ht="15" x14ac:dyDescent="0.2">
      <c r="B678" s="1247" t="s">
        <v>103</v>
      </c>
      <c r="C678" s="1248">
        <v>56</v>
      </c>
      <c r="D678" s="1248">
        <v>8</v>
      </c>
      <c r="E678" s="1248">
        <v>1</v>
      </c>
      <c r="F678" s="1248">
        <v>4439900</v>
      </c>
      <c r="G678" s="1248"/>
      <c r="H678" s="1248">
        <v>212</v>
      </c>
      <c r="I678" s="1255"/>
      <c r="J678" s="384"/>
    </row>
    <row r="679" spans="2:10" ht="15" x14ac:dyDescent="0.2">
      <c r="B679" s="1247" t="s">
        <v>84</v>
      </c>
      <c r="C679" s="1248">
        <v>56</v>
      </c>
      <c r="D679" s="1248">
        <v>8</v>
      </c>
      <c r="E679" s="1248">
        <v>1</v>
      </c>
      <c r="F679" s="1248">
        <v>4439900</v>
      </c>
      <c r="G679" s="1248"/>
      <c r="H679" s="1248">
        <v>213</v>
      </c>
      <c r="I679" s="1254">
        <v>2267.1999999999998</v>
      </c>
      <c r="J679" s="384"/>
    </row>
    <row r="680" spans="2:10" ht="15" x14ac:dyDescent="0.2">
      <c r="B680" s="1247" t="s">
        <v>85</v>
      </c>
      <c r="C680" s="1248">
        <v>56</v>
      </c>
      <c r="D680" s="1248">
        <v>8</v>
      </c>
      <c r="E680" s="1248">
        <v>1</v>
      </c>
      <c r="F680" s="1248">
        <v>4439900</v>
      </c>
      <c r="G680" s="1248"/>
      <c r="H680" s="1248">
        <v>221</v>
      </c>
      <c r="I680" s="1255"/>
      <c r="J680" s="384"/>
    </row>
    <row r="681" spans="2:10" ht="15" x14ac:dyDescent="0.2">
      <c r="B681" s="1247" t="s">
        <v>86</v>
      </c>
      <c r="C681" s="1248">
        <v>56</v>
      </c>
      <c r="D681" s="1248">
        <v>8</v>
      </c>
      <c r="E681" s="1248">
        <v>1</v>
      </c>
      <c r="F681" s="1248">
        <v>4439900</v>
      </c>
      <c r="G681" s="1248"/>
      <c r="H681" s="1248">
        <v>222</v>
      </c>
      <c r="I681" s="1255"/>
      <c r="J681" s="384"/>
    </row>
    <row r="682" spans="2:10" ht="15" x14ac:dyDescent="0.2">
      <c r="B682" s="1247" t="s">
        <v>87</v>
      </c>
      <c r="C682" s="1248">
        <v>56</v>
      </c>
      <c r="D682" s="1248">
        <v>8</v>
      </c>
      <c r="E682" s="1248">
        <v>1</v>
      </c>
      <c r="F682" s="1248">
        <v>4439900</v>
      </c>
      <c r="G682" s="1248"/>
      <c r="H682" s="1248">
        <v>223</v>
      </c>
      <c r="I682" s="1255"/>
      <c r="J682" s="384"/>
    </row>
    <row r="683" spans="2:10" ht="15" x14ac:dyDescent="0.2">
      <c r="B683" s="1247" t="s">
        <v>134</v>
      </c>
      <c r="C683" s="1248">
        <v>56</v>
      </c>
      <c r="D683" s="1248">
        <v>8</v>
      </c>
      <c r="E683" s="1248">
        <v>1</v>
      </c>
      <c r="F683" s="1248">
        <v>4439900</v>
      </c>
      <c r="G683" s="1248"/>
      <c r="H683" s="1248">
        <v>224</v>
      </c>
      <c r="I683" s="1255"/>
      <c r="J683" s="384"/>
    </row>
    <row r="684" spans="2:10" ht="15" x14ac:dyDescent="0.2">
      <c r="B684" s="1247" t="s">
        <v>90</v>
      </c>
      <c r="C684" s="1248">
        <v>56</v>
      </c>
      <c r="D684" s="1248">
        <v>8</v>
      </c>
      <c r="E684" s="1248">
        <v>1</v>
      </c>
      <c r="F684" s="1248">
        <v>4439900</v>
      </c>
      <c r="G684" s="1248"/>
      <c r="H684" s="1248">
        <v>225</v>
      </c>
      <c r="I684" s="1255">
        <v>50</v>
      </c>
      <c r="J684" s="384"/>
    </row>
    <row r="685" spans="2:10" ht="15" x14ac:dyDescent="0.2">
      <c r="B685" s="1247" t="s">
        <v>91</v>
      </c>
      <c r="C685" s="1248">
        <v>56</v>
      </c>
      <c r="D685" s="1248">
        <v>8</v>
      </c>
      <c r="E685" s="1248">
        <v>1</v>
      </c>
      <c r="F685" s="1248">
        <v>4439900</v>
      </c>
      <c r="G685" s="1248"/>
      <c r="H685" s="1248">
        <v>226</v>
      </c>
      <c r="I685" s="1255">
        <v>42.7</v>
      </c>
      <c r="J685" s="384"/>
    </row>
    <row r="686" spans="2:10" ht="15" x14ac:dyDescent="0.2">
      <c r="B686" s="1247" t="s">
        <v>94</v>
      </c>
      <c r="C686" s="1248">
        <v>56</v>
      </c>
      <c r="D686" s="1248">
        <v>8</v>
      </c>
      <c r="E686" s="1248">
        <v>1</v>
      </c>
      <c r="F686" s="1248">
        <v>4439900</v>
      </c>
      <c r="G686" s="1248"/>
      <c r="H686" s="1248">
        <v>290</v>
      </c>
      <c r="I686" s="1255">
        <v>17.3</v>
      </c>
      <c r="J686" s="384"/>
    </row>
    <row r="687" spans="2:10" ht="15" x14ac:dyDescent="0.2">
      <c r="B687" s="1247" t="s">
        <v>94</v>
      </c>
      <c r="C687" s="1248">
        <v>56</v>
      </c>
      <c r="D687" s="1248">
        <v>8</v>
      </c>
      <c r="E687" s="1248">
        <v>1</v>
      </c>
      <c r="F687" s="1248">
        <v>4439900</v>
      </c>
      <c r="G687" s="1248"/>
      <c r="H687" s="1248">
        <v>290</v>
      </c>
      <c r="I687" s="1255"/>
      <c r="J687" s="384"/>
    </row>
    <row r="688" spans="2:10" ht="15" x14ac:dyDescent="0.2">
      <c r="B688" s="1247" t="s">
        <v>96</v>
      </c>
      <c r="C688" s="1248">
        <v>56</v>
      </c>
      <c r="D688" s="1248">
        <v>8</v>
      </c>
      <c r="E688" s="1248">
        <v>1</v>
      </c>
      <c r="F688" s="1248">
        <v>4439900</v>
      </c>
      <c r="G688" s="1248"/>
      <c r="H688" s="1248">
        <v>310</v>
      </c>
      <c r="I688" s="1255">
        <v>40</v>
      </c>
      <c r="J688" s="384"/>
    </row>
    <row r="689" spans="2:10" ht="15" x14ac:dyDescent="0.2">
      <c r="B689" s="1247" t="s">
        <v>97</v>
      </c>
      <c r="C689" s="1248">
        <v>56</v>
      </c>
      <c r="D689" s="1248">
        <v>8</v>
      </c>
      <c r="E689" s="1248">
        <v>1</v>
      </c>
      <c r="F689" s="1248">
        <v>4439900</v>
      </c>
      <c r="G689" s="1248"/>
      <c r="H689" s="1248">
        <v>340</v>
      </c>
      <c r="I689" s="1255">
        <v>162.19999999999999</v>
      </c>
      <c r="J689" s="384"/>
    </row>
    <row r="690" spans="2:10" ht="15" x14ac:dyDescent="0.2">
      <c r="B690" s="1243" t="s">
        <v>767</v>
      </c>
      <c r="C690" s="1244">
        <v>56</v>
      </c>
      <c r="D690" s="1244">
        <v>8</v>
      </c>
      <c r="E690" s="1244">
        <v>1</v>
      </c>
      <c r="F690" s="1244">
        <v>4439900</v>
      </c>
      <c r="G690" s="1244">
        <v>612</v>
      </c>
      <c r="H690" s="1245">
        <v>241</v>
      </c>
      <c r="I690" s="1252">
        <v>700</v>
      </c>
      <c r="J690" s="384"/>
    </row>
    <row r="691" spans="2:10" ht="40" x14ac:dyDescent="0.2">
      <c r="B691" s="1239" t="s">
        <v>1166</v>
      </c>
      <c r="C691" s="1263">
        <v>56</v>
      </c>
      <c r="D691" s="1263">
        <v>8</v>
      </c>
      <c r="E691" s="1263">
        <v>1</v>
      </c>
      <c r="F691" s="1263">
        <v>4439900</v>
      </c>
      <c r="G691" s="1263">
        <v>600</v>
      </c>
      <c r="H691" s="1240"/>
      <c r="I691" s="1242">
        <v>11183.6</v>
      </c>
      <c r="J691" s="384"/>
    </row>
    <row r="692" spans="2:10" ht="53" x14ac:dyDescent="0.2">
      <c r="B692" s="1243" t="s">
        <v>1135</v>
      </c>
      <c r="C692" s="1245">
        <v>56</v>
      </c>
      <c r="D692" s="1245">
        <v>8</v>
      </c>
      <c r="E692" s="1245">
        <v>1</v>
      </c>
      <c r="F692" s="1245">
        <v>4439900</v>
      </c>
      <c r="G692" s="1245">
        <v>611</v>
      </c>
      <c r="H692" s="1244">
        <v>241</v>
      </c>
      <c r="I692" s="1265">
        <v>10483.6</v>
      </c>
      <c r="J692" s="384"/>
    </row>
    <row r="693" spans="2:10" ht="15" x14ac:dyDescent="0.2">
      <c r="B693" s="1247" t="s">
        <v>78</v>
      </c>
      <c r="C693" s="1248">
        <v>56</v>
      </c>
      <c r="D693" s="1248">
        <v>8</v>
      </c>
      <c r="E693" s="1248">
        <v>1</v>
      </c>
      <c r="F693" s="1248">
        <v>4439900</v>
      </c>
      <c r="G693" s="1248"/>
      <c r="H693" s="1248">
        <v>211</v>
      </c>
      <c r="I693" s="1254">
        <v>7580.2</v>
      </c>
      <c r="J693" s="384"/>
    </row>
    <row r="694" spans="2:10" ht="15" x14ac:dyDescent="0.2">
      <c r="B694" s="1247" t="s">
        <v>103</v>
      </c>
      <c r="C694" s="1248">
        <v>56</v>
      </c>
      <c r="D694" s="1248">
        <v>8</v>
      </c>
      <c r="E694" s="1248">
        <v>1</v>
      </c>
      <c r="F694" s="1248">
        <v>4439900</v>
      </c>
      <c r="G694" s="1248"/>
      <c r="H694" s="1248">
        <v>212</v>
      </c>
      <c r="I694" s="1255"/>
      <c r="J694" s="384"/>
    </row>
    <row r="695" spans="2:10" ht="15" x14ac:dyDescent="0.2">
      <c r="B695" s="1247" t="s">
        <v>84</v>
      </c>
      <c r="C695" s="1248">
        <v>56</v>
      </c>
      <c r="D695" s="1248">
        <v>8</v>
      </c>
      <c r="E695" s="1248">
        <v>1</v>
      </c>
      <c r="F695" s="1248">
        <v>4439900</v>
      </c>
      <c r="G695" s="1248"/>
      <c r="H695" s="1248">
        <v>213</v>
      </c>
      <c r="I695" s="1254">
        <v>2289.1999999999998</v>
      </c>
      <c r="J695" s="384"/>
    </row>
    <row r="696" spans="2:10" ht="15" x14ac:dyDescent="0.2">
      <c r="B696" s="1247" t="s">
        <v>85</v>
      </c>
      <c r="C696" s="1248">
        <v>56</v>
      </c>
      <c r="D696" s="1248">
        <v>8</v>
      </c>
      <c r="E696" s="1248">
        <v>1</v>
      </c>
      <c r="F696" s="1248">
        <v>4439900</v>
      </c>
      <c r="G696" s="1248"/>
      <c r="H696" s="1248">
        <v>221</v>
      </c>
      <c r="I696" s="1255"/>
      <c r="J696" s="384"/>
    </row>
    <row r="697" spans="2:10" ht="15" x14ac:dyDescent="0.2">
      <c r="B697" s="1247" t="s">
        <v>86</v>
      </c>
      <c r="C697" s="1248">
        <v>56</v>
      </c>
      <c r="D697" s="1248">
        <v>8</v>
      </c>
      <c r="E697" s="1248">
        <v>1</v>
      </c>
      <c r="F697" s="1248">
        <v>4439900</v>
      </c>
      <c r="G697" s="1248"/>
      <c r="H697" s="1248">
        <v>222</v>
      </c>
      <c r="I697" s="1255"/>
      <c r="J697" s="384"/>
    </row>
    <row r="698" spans="2:10" ht="15" x14ac:dyDescent="0.2">
      <c r="B698" s="1247" t="s">
        <v>87</v>
      </c>
      <c r="C698" s="1248">
        <v>56</v>
      </c>
      <c r="D698" s="1248">
        <v>8</v>
      </c>
      <c r="E698" s="1248">
        <v>1</v>
      </c>
      <c r="F698" s="1248">
        <v>4439900</v>
      </c>
      <c r="G698" s="1248"/>
      <c r="H698" s="1248">
        <v>223</v>
      </c>
      <c r="I698" s="1255">
        <v>185</v>
      </c>
      <c r="J698" s="384"/>
    </row>
    <row r="699" spans="2:10" ht="15" x14ac:dyDescent="0.2">
      <c r="B699" s="1247" t="s">
        <v>134</v>
      </c>
      <c r="C699" s="1248">
        <v>56</v>
      </c>
      <c r="D699" s="1248">
        <v>8</v>
      </c>
      <c r="E699" s="1248">
        <v>1</v>
      </c>
      <c r="F699" s="1248">
        <v>4439900</v>
      </c>
      <c r="G699" s="1248"/>
      <c r="H699" s="1248">
        <v>224</v>
      </c>
      <c r="I699" s="1255"/>
      <c r="J699" s="384"/>
    </row>
    <row r="700" spans="2:10" ht="15" x14ac:dyDescent="0.2">
      <c r="B700" s="1247" t="s">
        <v>90</v>
      </c>
      <c r="C700" s="1248">
        <v>56</v>
      </c>
      <c r="D700" s="1248">
        <v>8</v>
      </c>
      <c r="E700" s="1248">
        <v>1</v>
      </c>
      <c r="F700" s="1248">
        <v>4439900</v>
      </c>
      <c r="G700" s="1248"/>
      <c r="H700" s="1248">
        <v>225</v>
      </c>
      <c r="I700" s="1255">
        <v>95.7</v>
      </c>
      <c r="J700" s="384"/>
    </row>
    <row r="701" spans="2:10" ht="15" x14ac:dyDescent="0.2">
      <c r="B701" s="1247" t="s">
        <v>91</v>
      </c>
      <c r="C701" s="1248">
        <v>56</v>
      </c>
      <c r="D701" s="1248">
        <v>8</v>
      </c>
      <c r="E701" s="1248">
        <v>1</v>
      </c>
      <c r="F701" s="1248">
        <v>4439900</v>
      </c>
      <c r="G701" s="1248"/>
      <c r="H701" s="1248">
        <v>226</v>
      </c>
      <c r="I701" s="1255">
        <v>173</v>
      </c>
      <c r="J701" s="384"/>
    </row>
    <row r="702" spans="2:10" ht="15" x14ac:dyDescent="0.2">
      <c r="B702" s="1247" t="s">
        <v>94</v>
      </c>
      <c r="C702" s="1248">
        <v>56</v>
      </c>
      <c r="D702" s="1248">
        <v>8</v>
      </c>
      <c r="E702" s="1248">
        <v>1</v>
      </c>
      <c r="F702" s="1248">
        <v>4439900</v>
      </c>
      <c r="G702" s="1248"/>
      <c r="H702" s="1248">
        <v>290</v>
      </c>
      <c r="I702" s="1255">
        <v>5.5</v>
      </c>
      <c r="J702" s="384"/>
    </row>
    <row r="703" spans="2:10" ht="15" x14ac:dyDescent="0.2">
      <c r="B703" s="1247" t="s">
        <v>94</v>
      </c>
      <c r="C703" s="1248">
        <v>56</v>
      </c>
      <c r="D703" s="1248">
        <v>8</v>
      </c>
      <c r="E703" s="1248">
        <v>1</v>
      </c>
      <c r="F703" s="1248">
        <v>4439900</v>
      </c>
      <c r="G703" s="1248"/>
      <c r="H703" s="1248">
        <v>290</v>
      </c>
      <c r="I703" s="1255"/>
      <c r="J703" s="384"/>
    </row>
    <row r="704" spans="2:10" ht="15" x14ac:dyDescent="0.2">
      <c r="B704" s="1247" t="s">
        <v>96</v>
      </c>
      <c r="C704" s="1248">
        <v>56</v>
      </c>
      <c r="D704" s="1248">
        <v>8</v>
      </c>
      <c r="E704" s="1248">
        <v>1</v>
      </c>
      <c r="F704" s="1248">
        <v>4439900</v>
      </c>
      <c r="G704" s="1248"/>
      <c r="H704" s="1248">
        <v>310</v>
      </c>
      <c r="I704" s="1255">
        <v>35</v>
      </c>
      <c r="J704" s="384"/>
    </row>
    <row r="705" spans="2:10" ht="15" x14ac:dyDescent="0.2">
      <c r="B705" s="1247" t="s">
        <v>97</v>
      </c>
      <c r="C705" s="1248">
        <v>56</v>
      </c>
      <c r="D705" s="1248">
        <v>8</v>
      </c>
      <c r="E705" s="1248">
        <v>1</v>
      </c>
      <c r="F705" s="1248">
        <v>4439900</v>
      </c>
      <c r="G705" s="1248"/>
      <c r="H705" s="1248">
        <v>340</v>
      </c>
      <c r="I705" s="1255">
        <v>120</v>
      </c>
      <c r="J705" s="384"/>
    </row>
    <row r="706" spans="2:10" ht="15" x14ac:dyDescent="0.2">
      <c r="B706" s="1243" t="s">
        <v>767</v>
      </c>
      <c r="C706" s="1244">
        <v>56</v>
      </c>
      <c r="D706" s="1244">
        <v>8</v>
      </c>
      <c r="E706" s="1244">
        <v>1</v>
      </c>
      <c r="F706" s="1244">
        <v>4439900</v>
      </c>
      <c r="G706" s="1244">
        <v>612</v>
      </c>
      <c r="H706" s="1245">
        <v>241</v>
      </c>
      <c r="I706" s="1252">
        <v>700</v>
      </c>
      <c r="J706" s="384"/>
    </row>
    <row r="707" spans="2:10" ht="40" x14ac:dyDescent="0.2">
      <c r="B707" s="1239" t="s">
        <v>1167</v>
      </c>
      <c r="C707" s="1263">
        <v>56</v>
      </c>
      <c r="D707" s="1263">
        <v>8</v>
      </c>
      <c r="E707" s="1263">
        <v>1</v>
      </c>
      <c r="F707" s="1263">
        <v>4439900</v>
      </c>
      <c r="G707" s="1263">
        <v>600</v>
      </c>
      <c r="H707" s="1240"/>
      <c r="I707" s="1242">
        <v>84374.59</v>
      </c>
      <c r="J707" s="384"/>
    </row>
    <row r="708" spans="2:10" ht="53" x14ac:dyDescent="0.2">
      <c r="B708" s="1243" t="s">
        <v>1135</v>
      </c>
      <c r="C708" s="1245">
        <v>56</v>
      </c>
      <c r="D708" s="1245">
        <v>8</v>
      </c>
      <c r="E708" s="1245">
        <v>1</v>
      </c>
      <c r="F708" s="1245">
        <v>4439900</v>
      </c>
      <c r="G708" s="1245">
        <v>611</v>
      </c>
      <c r="H708" s="1244">
        <v>241</v>
      </c>
      <c r="I708" s="1265">
        <v>39790.79</v>
      </c>
      <c r="J708" s="384"/>
    </row>
    <row r="709" spans="2:10" ht="15" x14ac:dyDescent="0.2">
      <c r="B709" s="1247" t="s">
        <v>78</v>
      </c>
      <c r="C709" s="1248">
        <v>56</v>
      </c>
      <c r="D709" s="1248">
        <v>8</v>
      </c>
      <c r="E709" s="1248">
        <v>1</v>
      </c>
      <c r="F709" s="1248">
        <v>4439900</v>
      </c>
      <c r="G709" s="1248"/>
      <c r="H709" s="1248">
        <v>211</v>
      </c>
      <c r="I709" s="1254">
        <v>27281.599999999999</v>
      </c>
      <c r="J709" s="384"/>
    </row>
    <row r="710" spans="2:10" ht="15" x14ac:dyDescent="0.2">
      <c r="B710" s="1247" t="s">
        <v>103</v>
      </c>
      <c r="C710" s="1248">
        <v>56</v>
      </c>
      <c r="D710" s="1248">
        <v>8</v>
      </c>
      <c r="E710" s="1248">
        <v>1</v>
      </c>
      <c r="F710" s="1248">
        <v>4439900</v>
      </c>
      <c r="G710" s="1248"/>
      <c r="H710" s="1248">
        <v>212</v>
      </c>
      <c r="I710" s="1255"/>
      <c r="J710" s="384"/>
    </row>
    <row r="711" spans="2:10" ht="15" x14ac:dyDescent="0.2">
      <c r="B711" s="1247" t="s">
        <v>84</v>
      </c>
      <c r="C711" s="1248">
        <v>56</v>
      </c>
      <c r="D711" s="1248">
        <v>8</v>
      </c>
      <c r="E711" s="1248">
        <v>1</v>
      </c>
      <c r="F711" s="1248">
        <v>4439900</v>
      </c>
      <c r="G711" s="1248"/>
      <c r="H711" s="1248">
        <v>213</v>
      </c>
      <c r="I711" s="1254">
        <v>8239</v>
      </c>
      <c r="J711" s="384"/>
    </row>
    <row r="712" spans="2:10" ht="15" x14ac:dyDescent="0.2">
      <c r="B712" s="1247" t="s">
        <v>85</v>
      </c>
      <c r="C712" s="1248">
        <v>56</v>
      </c>
      <c r="D712" s="1248">
        <v>8</v>
      </c>
      <c r="E712" s="1248">
        <v>1</v>
      </c>
      <c r="F712" s="1248">
        <v>4439900</v>
      </c>
      <c r="G712" s="1248"/>
      <c r="H712" s="1248">
        <v>221</v>
      </c>
      <c r="I712" s="1255"/>
      <c r="J712" s="384"/>
    </row>
    <row r="713" spans="2:10" ht="15" x14ac:dyDescent="0.2">
      <c r="B713" s="1247" t="s">
        <v>86</v>
      </c>
      <c r="C713" s="1248">
        <v>56</v>
      </c>
      <c r="D713" s="1248">
        <v>8</v>
      </c>
      <c r="E713" s="1248">
        <v>1</v>
      </c>
      <c r="F713" s="1248">
        <v>4439900</v>
      </c>
      <c r="G713" s="1248"/>
      <c r="H713" s="1248">
        <v>222</v>
      </c>
      <c r="I713" s="1255">
        <v>50</v>
      </c>
      <c r="J713" s="384"/>
    </row>
    <row r="714" spans="2:10" ht="15" x14ac:dyDescent="0.2">
      <c r="B714" s="1247" t="s">
        <v>87</v>
      </c>
      <c r="C714" s="1248">
        <v>56</v>
      </c>
      <c r="D714" s="1248">
        <v>8</v>
      </c>
      <c r="E714" s="1248">
        <v>1</v>
      </c>
      <c r="F714" s="1248">
        <v>4439900</v>
      </c>
      <c r="G714" s="1248"/>
      <c r="H714" s="1248">
        <v>223</v>
      </c>
      <c r="I714" s="1255">
        <v>430.3</v>
      </c>
      <c r="J714" s="384"/>
    </row>
    <row r="715" spans="2:10" ht="15" x14ac:dyDescent="0.2">
      <c r="B715" s="1247" t="s">
        <v>134</v>
      </c>
      <c r="C715" s="1248">
        <v>56</v>
      </c>
      <c r="D715" s="1248">
        <v>8</v>
      </c>
      <c r="E715" s="1248">
        <v>1</v>
      </c>
      <c r="F715" s="1248">
        <v>4439900</v>
      </c>
      <c r="G715" s="1248"/>
      <c r="H715" s="1248">
        <v>224</v>
      </c>
      <c r="I715" s="1255"/>
      <c r="J715" s="384"/>
    </row>
    <row r="716" spans="2:10" ht="15" x14ac:dyDescent="0.2">
      <c r="B716" s="1247" t="s">
        <v>90</v>
      </c>
      <c r="C716" s="1248">
        <v>56</v>
      </c>
      <c r="D716" s="1248">
        <v>8</v>
      </c>
      <c r="E716" s="1248">
        <v>1</v>
      </c>
      <c r="F716" s="1248">
        <v>4439900</v>
      </c>
      <c r="G716" s="1248"/>
      <c r="H716" s="1248">
        <v>225</v>
      </c>
      <c r="I716" s="1255">
        <v>125</v>
      </c>
      <c r="J716" s="384"/>
    </row>
    <row r="717" spans="2:10" ht="15" x14ac:dyDescent="0.2">
      <c r="B717" s="1247" t="s">
        <v>91</v>
      </c>
      <c r="C717" s="1248">
        <v>56</v>
      </c>
      <c r="D717" s="1248">
        <v>8</v>
      </c>
      <c r="E717" s="1248">
        <v>1</v>
      </c>
      <c r="F717" s="1248">
        <v>4439900</v>
      </c>
      <c r="G717" s="1248"/>
      <c r="H717" s="1248">
        <v>226</v>
      </c>
      <c r="I717" s="1254">
        <v>2887.29</v>
      </c>
      <c r="J717" s="384"/>
    </row>
    <row r="718" spans="2:10" ht="15" x14ac:dyDescent="0.2">
      <c r="B718" s="1247" t="s">
        <v>94</v>
      </c>
      <c r="C718" s="1248">
        <v>56</v>
      </c>
      <c r="D718" s="1248">
        <v>8</v>
      </c>
      <c r="E718" s="1248">
        <v>1</v>
      </c>
      <c r="F718" s="1248">
        <v>4439900</v>
      </c>
      <c r="G718" s="1248"/>
      <c r="H718" s="1248">
        <v>290</v>
      </c>
      <c r="I718" s="1255">
        <v>351.6</v>
      </c>
      <c r="J718" s="384"/>
    </row>
    <row r="719" spans="2:10" ht="15" x14ac:dyDescent="0.2">
      <c r="B719" s="1247" t="s">
        <v>94</v>
      </c>
      <c r="C719" s="1248">
        <v>56</v>
      </c>
      <c r="D719" s="1248">
        <v>8</v>
      </c>
      <c r="E719" s="1248">
        <v>1</v>
      </c>
      <c r="F719" s="1248">
        <v>4439900</v>
      </c>
      <c r="G719" s="1248"/>
      <c r="H719" s="1248">
        <v>290</v>
      </c>
      <c r="I719" s="1255"/>
      <c r="J719" s="384"/>
    </row>
    <row r="720" spans="2:10" ht="15" x14ac:dyDescent="0.2">
      <c r="B720" s="1247" t="s">
        <v>96</v>
      </c>
      <c r="C720" s="1248">
        <v>56</v>
      </c>
      <c r="D720" s="1248">
        <v>8</v>
      </c>
      <c r="E720" s="1248">
        <v>1</v>
      </c>
      <c r="F720" s="1248">
        <v>4439900</v>
      </c>
      <c r="G720" s="1248"/>
      <c r="H720" s="1248">
        <v>310</v>
      </c>
      <c r="I720" s="1255">
        <v>350</v>
      </c>
      <c r="J720" s="384"/>
    </row>
    <row r="721" spans="2:10" ht="15" x14ac:dyDescent="0.2">
      <c r="B721" s="1247" t="s">
        <v>97</v>
      </c>
      <c r="C721" s="1248">
        <v>56</v>
      </c>
      <c r="D721" s="1248">
        <v>8</v>
      </c>
      <c r="E721" s="1248">
        <v>1</v>
      </c>
      <c r="F721" s="1248">
        <v>4439900</v>
      </c>
      <c r="G721" s="1248"/>
      <c r="H721" s="1248">
        <v>340</v>
      </c>
      <c r="I721" s="1255">
        <v>76</v>
      </c>
      <c r="J721" s="384"/>
    </row>
    <row r="722" spans="2:10" ht="15" x14ac:dyDescent="0.2">
      <c r="B722" s="1243" t="s">
        <v>767</v>
      </c>
      <c r="C722" s="1244">
        <v>56</v>
      </c>
      <c r="D722" s="1244">
        <v>8</v>
      </c>
      <c r="E722" s="1244">
        <v>1</v>
      </c>
      <c r="F722" s="1244">
        <v>4439900</v>
      </c>
      <c r="G722" s="1244">
        <v>612</v>
      </c>
      <c r="H722" s="1245">
        <v>241</v>
      </c>
      <c r="I722" s="1270">
        <v>44583.8</v>
      </c>
      <c r="J722" s="384"/>
    </row>
    <row r="723" spans="2:10" ht="27" x14ac:dyDescent="0.2">
      <c r="B723" s="1239" t="s">
        <v>1168</v>
      </c>
      <c r="C723" s="1263">
        <v>56</v>
      </c>
      <c r="D723" s="1263">
        <v>8</v>
      </c>
      <c r="E723" s="1263">
        <v>1</v>
      </c>
      <c r="F723" s="1263">
        <v>4439900</v>
      </c>
      <c r="G723" s="1263">
        <v>600</v>
      </c>
      <c r="H723" s="1240"/>
      <c r="I723" s="1242">
        <v>4322.5</v>
      </c>
      <c r="J723" s="384"/>
    </row>
    <row r="724" spans="2:10" ht="53" x14ac:dyDescent="0.2">
      <c r="B724" s="1243" t="s">
        <v>1135</v>
      </c>
      <c r="C724" s="1245">
        <v>56</v>
      </c>
      <c r="D724" s="1245">
        <v>8</v>
      </c>
      <c r="E724" s="1245">
        <v>1</v>
      </c>
      <c r="F724" s="1245">
        <v>4439900</v>
      </c>
      <c r="G724" s="1245">
        <v>611</v>
      </c>
      <c r="H724" s="1244">
        <v>241</v>
      </c>
      <c r="I724" s="1265">
        <v>4322.5</v>
      </c>
      <c r="J724" s="384"/>
    </row>
    <row r="725" spans="2:10" ht="15" x14ac:dyDescent="0.2">
      <c r="B725" s="1247" t="s">
        <v>78</v>
      </c>
      <c r="C725" s="1248">
        <v>56</v>
      </c>
      <c r="D725" s="1248">
        <v>8</v>
      </c>
      <c r="E725" s="1248">
        <v>1</v>
      </c>
      <c r="F725" s="1248">
        <v>4439900</v>
      </c>
      <c r="G725" s="1248"/>
      <c r="H725" s="1248">
        <v>211</v>
      </c>
      <c r="I725" s="1254">
        <v>2995.6</v>
      </c>
      <c r="J725" s="384"/>
    </row>
    <row r="726" spans="2:10" ht="15" x14ac:dyDescent="0.2">
      <c r="B726" s="1247" t="s">
        <v>103</v>
      </c>
      <c r="C726" s="1248">
        <v>56</v>
      </c>
      <c r="D726" s="1248">
        <v>8</v>
      </c>
      <c r="E726" s="1248">
        <v>1</v>
      </c>
      <c r="F726" s="1248">
        <v>4439900</v>
      </c>
      <c r="G726" s="1248"/>
      <c r="H726" s="1248">
        <v>212</v>
      </c>
      <c r="I726" s="1255"/>
      <c r="J726" s="384"/>
    </row>
    <row r="727" spans="2:10" ht="15" x14ac:dyDescent="0.2">
      <c r="B727" s="1247" t="s">
        <v>84</v>
      </c>
      <c r="C727" s="1248">
        <v>56</v>
      </c>
      <c r="D727" s="1248">
        <v>8</v>
      </c>
      <c r="E727" s="1248">
        <v>1</v>
      </c>
      <c r="F727" s="1248">
        <v>4439900</v>
      </c>
      <c r="G727" s="1248"/>
      <c r="H727" s="1248">
        <v>213</v>
      </c>
      <c r="I727" s="1255">
        <v>904.7</v>
      </c>
      <c r="J727" s="384"/>
    </row>
    <row r="728" spans="2:10" ht="15" x14ac:dyDescent="0.2">
      <c r="B728" s="1247" t="s">
        <v>85</v>
      </c>
      <c r="C728" s="1248">
        <v>56</v>
      </c>
      <c r="D728" s="1248">
        <v>8</v>
      </c>
      <c r="E728" s="1248">
        <v>1</v>
      </c>
      <c r="F728" s="1248">
        <v>4439900</v>
      </c>
      <c r="G728" s="1248"/>
      <c r="H728" s="1248">
        <v>221</v>
      </c>
      <c r="I728" s="1255"/>
      <c r="J728" s="384"/>
    </row>
    <row r="729" spans="2:10" ht="15" x14ac:dyDescent="0.2">
      <c r="B729" s="1247" t="s">
        <v>86</v>
      </c>
      <c r="C729" s="1248">
        <v>56</v>
      </c>
      <c r="D729" s="1248">
        <v>8</v>
      </c>
      <c r="E729" s="1248">
        <v>1</v>
      </c>
      <c r="F729" s="1248">
        <v>4439900</v>
      </c>
      <c r="G729" s="1248"/>
      <c r="H729" s="1248">
        <v>222</v>
      </c>
      <c r="I729" s="1255"/>
      <c r="J729" s="384"/>
    </row>
    <row r="730" spans="2:10" ht="15" x14ac:dyDescent="0.2">
      <c r="B730" s="1247" t="s">
        <v>87</v>
      </c>
      <c r="C730" s="1248">
        <v>56</v>
      </c>
      <c r="D730" s="1248">
        <v>8</v>
      </c>
      <c r="E730" s="1248">
        <v>1</v>
      </c>
      <c r="F730" s="1248">
        <v>4439900</v>
      </c>
      <c r="G730" s="1248"/>
      <c r="H730" s="1248">
        <v>223</v>
      </c>
      <c r="I730" s="1255"/>
      <c r="J730" s="384"/>
    </row>
    <row r="731" spans="2:10" ht="15" x14ac:dyDescent="0.2">
      <c r="B731" s="1247" t="s">
        <v>134</v>
      </c>
      <c r="C731" s="1248">
        <v>56</v>
      </c>
      <c r="D731" s="1248">
        <v>8</v>
      </c>
      <c r="E731" s="1248">
        <v>1</v>
      </c>
      <c r="F731" s="1248">
        <v>4439900</v>
      </c>
      <c r="G731" s="1248"/>
      <c r="H731" s="1248">
        <v>224</v>
      </c>
      <c r="I731" s="1255"/>
      <c r="J731" s="384"/>
    </row>
    <row r="732" spans="2:10" ht="15" x14ac:dyDescent="0.2">
      <c r="B732" s="1247" t="s">
        <v>90</v>
      </c>
      <c r="C732" s="1248">
        <v>56</v>
      </c>
      <c r="D732" s="1248">
        <v>8</v>
      </c>
      <c r="E732" s="1248">
        <v>1</v>
      </c>
      <c r="F732" s="1248">
        <v>4439900</v>
      </c>
      <c r="G732" s="1248"/>
      <c r="H732" s="1248">
        <v>225</v>
      </c>
      <c r="I732" s="1255"/>
      <c r="J732" s="384"/>
    </row>
    <row r="733" spans="2:10" ht="15" x14ac:dyDescent="0.2">
      <c r="B733" s="1247" t="s">
        <v>91</v>
      </c>
      <c r="C733" s="1248">
        <v>56</v>
      </c>
      <c r="D733" s="1248">
        <v>8</v>
      </c>
      <c r="E733" s="1248">
        <v>1</v>
      </c>
      <c r="F733" s="1248">
        <v>4439900</v>
      </c>
      <c r="G733" s="1248"/>
      <c r="H733" s="1248">
        <v>226</v>
      </c>
      <c r="I733" s="1255">
        <v>413</v>
      </c>
      <c r="J733" s="384"/>
    </row>
    <row r="734" spans="2:10" ht="15" x14ac:dyDescent="0.2">
      <c r="B734" s="1247" t="s">
        <v>94</v>
      </c>
      <c r="C734" s="1248">
        <v>56</v>
      </c>
      <c r="D734" s="1248">
        <v>8</v>
      </c>
      <c r="E734" s="1248">
        <v>1</v>
      </c>
      <c r="F734" s="1248">
        <v>4439900</v>
      </c>
      <c r="G734" s="1248"/>
      <c r="H734" s="1248">
        <v>290</v>
      </c>
      <c r="I734" s="1255">
        <v>9.1999999999999993</v>
      </c>
      <c r="J734" s="384"/>
    </row>
    <row r="735" spans="2:10" ht="15" x14ac:dyDescent="0.2">
      <c r="B735" s="1247" t="s">
        <v>94</v>
      </c>
      <c r="C735" s="1248">
        <v>56</v>
      </c>
      <c r="D735" s="1248">
        <v>8</v>
      </c>
      <c r="E735" s="1248">
        <v>1</v>
      </c>
      <c r="F735" s="1248">
        <v>4439900</v>
      </c>
      <c r="G735" s="1248"/>
      <c r="H735" s="1248">
        <v>290</v>
      </c>
      <c r="I735" s="1255"/>
      <c r="J735" s="384"/>
    </row>
    <row r="736" spans="2:10" ht="15" x14ac:dyDescent="0.2">
      <c r="B736" s="1233" t="s">
        <v>96</v>
      </c>
      <c r="C736" s="1234">
        <v>56</v>
      </c>
      <c r="D736" s="1234">
        <v>8</v>
      </c>
      <c r="E736" s="1234">
        <v>1</v>
      </c>
      <c r="F736" s="1234">
        <v>4439900</v>
      </c>
      <c r="G736" s="1234"/>
      <c r="H736" s="1234">
        <v>310</v>
      </c>
      <c r="I736" s="1273">
        <v>0</v>
      </c>
      <c r="J736" s="384"/>
    </row>
    <row r="737" spans="2:10" ht="15" x14ac:dyDescent="0.2">
      <c r="B737" s="1247" t="s">
        <v>97</v>
      </c>
      <c r="C737" s="1248">
        <v>56</v>
      </c>
      <c r="D737" s="1248">
        <v>8</v>
      </c>
      <c r="E737" s="1248">
        <v>1</v>
      </c>
      <c r="F737" s="1248">
        <v>4439900</v>
      </c>
      <c r="G737" s="1248"/>
      <c r="H737" s="1248">
        <v>340</v>
      </c>
      <c r="I737" s="1255"/>
      <c r="J737" s="384"/>
    </row>
    <row r="738" spans="2:10" ht="15" x14ac:dyDescent="0.2">
      <c r="B738" s="1243" t="s">
        <v>767</v>
      </c>
      <c r="C738" s="1244">
        <v>56</v>
      </c>
      <c r="D738" s="1244">
        <v>8</v>
      </c>
      <c r="E738" s="1244">
        <v>1</v>
      </c>
      <c r="F738" s="1244">
        <v>4439900</v>
      </c>
      <c r="G738" s="1244">
        <v>612</v>
      </c>
      <c r="H738" s="1245">
        <v>241</v>
      </c>
      <c r="I738" s="1252">
        <v>0</v>
      </c>
      <c r="J738" s="384"/>
    </row>
    <row r="739" spans="2:10" ht="40" x14ac:dyDescent="0.2">
      <c r="B739" s="1239" t="s">
        <v>1169</v>
      </c>
      <c r="C739" s="1263">
        <v>56</v>
      </c>
      <c r="D739" s="1263">
        <v>8</v>
      </c>
      <c r="E739" s="1263">
        <v>1</v>
      </c>
      <c r="F739" s="1263">
        <v>4439900</v>
      </c>
      <c r="G739" s="1263">
        <v>600</v>
      </c>
      <c r="H739" s="1240"/>
      <c r="I739" s="1242">
        <v>27113.1</v>
      </c>
      <c r="J739" s="384"/>
    </row>
    <row r="740" spans="2:10" ht="53" x14ac:dyDescent="0.2">
      <c r="B740" s="1243" t="s">
        <v>1135</v>
      </c>
      <c r="C740" s="1245">
        <v>56</v>
      </c>
      <c r="D740" s="1245">
        <v>8</v>
      </c>
      <c r="E740" s="1245">
        <v>1</v>
      </c>
      <c r="F740" s="1245">
        <v>4439900</v>
      </c>
      <c r="G740" s="1245">
        <v>611</v>
      </c>
      <c r="H740" s="1244">
        <v>241</v>
      </c>
      <c r="I740" s="1265">
        <v>21938.5</v>
      </c>
      <c r="J740" s="384"/>
    </row>
    <row r="741" spans="2:10" ht="15" x14ac:dyDescent="0.2">
      <c r="B741" s="1247" t="s">
        <v>78</v>
      </c>
      <c r="C741" s="1248">
        <v>56</v>
      </c>
      <c r="D741" s="1248">
        <v>8</v>
      </c>
      <c r="E741" s="1248">
        <v>1</v>
      </c>
      <c r="F741" s="1248">
        <v>4439900</v>
      </c>
      <c r="G741" s="1248"/>
      <c r="H741" s="1248">
        <v>211</v>
      </c>
      <c r="I741" s="1254">
        <v>15793.8</v>
      </c>
      <c r="J741" s="384"/>
    </row>
    <row r="742" spans="2:10" ht="15" x14ac:dyDescent="0.2">
      <c r="B742" s="1247" t="s">
        <v>103</v>
      </c>
      <c r="C742" s="1248">
        <v>56</v>
      </c>
      <c r="D742" s="1248">
        <v>8</v>
      </c>
      <c r="E742" s="1248">
        <v>1</v>
      </c>
      <c r="F742" s="1248">
        <v>4439900</v>
      </c>
      <c r="G742" s="1248"/>
      <c r="H742" s="1248">
        <v>212</v>
      </c>
      <c r="I742" s="1255"/>
      <c r="J742" s="384"/>
    </row>
    <row r="743" spans="2:10" ht="15" x14ac:dyDescent="0.2">
      <c r="B743" s="1247" t="s">
        <v>84</v>
      </c>
      <c r="C743" s="1248">
        <v>56</v>
      </c>
      <c r="D743" s="1248">
        <v>8</v>
      </c>
      <c r="E743" s="1248">
        <v>1</v>
      </c>
      <c r="F743" s="1248">
        <v>4439900</v>
      </c>
      <c r="G743" s="1248"/>
      <c r="H743" s="1248">
        <v>213</v>
      </c>
      <c r="I743" s="1254">
        <v>4769.7</v>
      </c>
      <c r="J743" s="384"/>
    </row>
    <row r="744" spans="2:10" ht="15" x14ac:dyDescent="0.2">
      <c r="B744" s="1247" t="s">
        <v>85</v>
      </c>
      <c r="C744" s="1248">
        <v>56</v>
      </c>
      <c r="D744" s="1248">
        <v>8</v>
      </c>
      <c r="E744" s="1248">
        <v>1</v>
      </c>
      <c r="F744" s="1248">
        <v>4439900</v>
      </c>
      <c r="G744" s="1248"/>
      <c r="H744" s="1248">
        <v>221</v>
      </c>
      <c r="I744" s="1255"/>
      <c r="J744" s="384"/>
    </row>
    <row r="745" spans="2:10" ht="15" x14ac:dyDescent="0.2">
      <c r="B745" s="1247" t="s">
        <v>86</v>
      </c>
      <c r="C745" s="1248">
        <v>56</v>
      </c>
      <c r="D745" s="1248">
        <v>8</v>
      </c>
      <c r="E745" s="1248">
        <v>1</v>
      </c>
      <c r="F745" s="1248">
        <v>4439900</v>
      </c>
      <c r="G745" s="1248"/>
      <c r="H745" s="1248">
        <v>222</v>
      </c>
      <c r="I745" s="1255"/>
      <c r="J745" s="384"/>
    </row>
    <row r="746" spans="2:10" ht="15" x14ac:dyDescent="0.2">
      <c r="B746" s="1247" t="s">
        <v>87</v>
      </c>
      <c r="C746" s="1248">
        <v>56</v>
      </c>
      <c r="D746" s="1248">
        <v>8</v>
      </c>
      <c r="E746" s="1248">
        <v>1</v>
      </c>
      <c r="F746" s="1248">
        <v>4439900</v>
      </c>
      <c r="G746" s="1248"/>
      <c r="H746" s="1248">
        <v>223</v>
      </c>
      <c r="I746" s="1255"/>
      <c r="J746" s="384"/>
    </row>
    <row r="747" spans="2:10" ht="15" x14ac:dyDescent="0.2">
      <c r="B747" s="1247" t="s">
        <v>134</v>
      </c>
      <c r="C747" s="1248">
        <v>56</v>
      </c>
      <c r="D747" s="1248">
        <v>8</v>
      </c>
      <c r="E747" s="1248">
        <v>1</v>
      </c>
      <c r="F747" s="1248">
        <v>4439900</v>
      </c>
      <c r="G747" s="1248"/>
      <c r="H747" s="1248">
        <v>224</v>
      </c>
      <c r="I747" s="1255"/>
      <c r="J747" s="384"/>
    </row>
    <row r="748" spans="2:10" ht="15" x14ac:dyDescent="0.2">
      <c r="B748" s="1247" t="s">
        <v>90</v>
      </c>
      <c r="C748" s="1248">
        <v>56</v>
      </c>
      <c r="D748" s="1248">
        <v>8</v>
      </c>
      <c r="E748" s="1248">
        <v>1</v>
      </c>
      <c r="F748" s="1248">
        <v>4439900</v>
      </c>
      <c r="G748" s="1248"/>
      <c r="H748" s="1248">
        <v>225</v>
      </c>
      <c r="I748" s="1255">
        <v>40</v>
      </c>
      <c r="J748" s="384"/>
    </row>
    <row r="749" spans="2:10" ht="15" x14ac:dyDescent="0.2">
      <c r="B749" s="1247" t="s">
        <v>91</v>
      </c>
      <c r="C749" s="1248">
        <v>56</v>
      </c>
      <c r="D749" s="1248">
        <v>8</v>
      </c>
      <c r="E749" s="1248">
        <v>1</v>
      </c>
      <c r="F749" s="1248">
        <v>4439900</v>
      </c>
      <c r="G749" s="1248"/>
      <c r="H749" s="1248">
        <v>226</v>
      </c>
      <c r="I749" s="1254">
        <v>1032.8</v>
      </c>
      <c r="J749" s="384"/>
    </row>
    <row r="750" spans="2:10" ht="15" x14ac:dyDescent="0.2">
      <c r="B750" s="1247" t="s">
        <v>94</v>
      </c>
      <c r="C750" s="1248">
        <v>56</v>
      </c>
      <c r="D750" s="1248">
        <v>8</v>
      </c>
      <c r="E750" s="1248">
        <v>1</v>
      </c>
      <c r="F750" s="1248">
        <v>4439900</v>
      </c>
      <c r="G750" s="1248"/>
      <c r="H750" s="1248">
        <v>290</v>
      </c>
      <c r="I750" s="1255">
        <v>2.2000000000000002</v>
      </c>
      <c r="J750" s="384"/>
    </row>
    <row r="751" spans="2:10" ht="15" x14ac:dyDescent="0.2">
      <c r="B751" s="1247" t="s">
        <v>94</v>
      </c>
      <c r="C751" s="1248">
        <v>56</v>
      </c>
      <c r="D751" s="1248">
        <v>8</v>
      </c>
      <c r="E751" s="1248">
        <v>1</v>
      </c>
      <c r="F751" s="1248">
        <v>4439900</v>
      </c>
      <c r="G751" s="1248"/>
      <c r="H751" s="1248">
        <v>290</v>
      </c>
      <c r="I751" s="1255"/>
      <c r="J751" s="384"/>
    </row>
    <row r="752" spans="2:10" ht="15" x14ac:dyDescent="0.2">
      <c r="B752" s="1247" t="s">
        <v>96</v>
      </c>
      <c r="C752" s="1248">
        <v>56</v>
      </c>
      <c r="D752" s="1248">
        <v>8</v>
      </c>
      <c r="E752" s="1248">
        <v>1</v>
      </c>
      <c r="F752" s="1248">
        <v>4439900</v>
      </c>
      <c r="G752" s="1248"/>
      <c r="H752" s="1248">
        <v>310</v>
      </c>
      <c r="I752" s="1256">
        <v>300</v>
      </c>
      <c r="J752" s="384"/>
    </row>
    <row r="753" spans="2:10" ht="15" x14ac:dyDescent="0.2">
      <c r="B753" s="1247" t="s">
        <v>97</v>
      </c>
      <c r="C753" s="1248">
        <v>56</v>
      </c>
      <c r="D753" s="1248">
        <v>8</v>
      </c>
      <c r="E753" s="1248">
        <v>1</v>
      </c>
      <c r="F753" s="1248">
        <v>4439900</v>
      </c>
      <c r="G753" s="1248"/>
      <c r="H753" s="1248">
        <v>340</v>
      </c>
      <c r="I753" s="1255"/>
      <c r="J753" s="384"/>
    </row>
    <row r="754" spans="2:10" ht="15" x14ac:dyDescent="0.2">
      <c r="B754" s="1243" t="s">
        <v>767</v>
      </c>
      <c r="C754" s="1244">
        <v>56</v>
      </c>
      <c r="D754" s="1244">
        <v>8</v>
      </c>
      <c r="E754" s="1244">
        <v>1</v>
      </c>
      <c r="F754" s="1244">
        <v>4439900</v>
      </c>
      <c r="G754" s="1244">
        <v>612</v>
      </c>
      <c r="H754" s="1245">
        <v>241</v>
      </c>
      <c r="I754" s="1270">
        <v>5174.6000000000004</v>
      </c>
      <c r="J754" s="384"/>
    </row>
    <row r="755" spans="2:10" ht="40" x14ac:dyDescent="0.2">
      <c r="B755" s="1239" t="s">
        <v>1170</v>
      </c>
      <c r="C755" s="1263">
        <v>56</v>
      </c>
      <c r="D755" s="1263">
        <v>8</v>
      </c>
      <c r="E755" s="1263">
        <v>1</v>
      </c>
      <c r="F755" s="1263">
        <v>4439900</v>
      </c>
      <c r="G755" s="1263">
        <v>600</v>
      </c>
      <c r="H755" s="1240"/>
      <c r="I755" s="1242">
        <v>29375.599999999999</v>
      </c>
      <c r="J755" s="384"/>
    </row>
    <row r="756" spans="2:10" ht="53" x14ac:dyDescent="0.2">
      <c r="B756" s="1243" t="s">
        <v>1135</v>
      </c>
      <c r="C756" s="1245">
        <v>56</v>
      </c>
      <c r="D756" s="1245">
        <v>8</v>
      </c>
      <c r="E756" s="1245">
        <v>1</v>
      </c>
      <c r="F756" s="1245">
        <v>4439900</v>
      </c>
      <c r="G756" s="1245">
        <v>611</v>
      </c>
      <c r="H756" s="1244">
        <v>241</v>
      </c>
      <c r="I756" s="1265">
        <v>23210.6</v>
      </c>
      <c r="J756" s="384"/>
    </row>
    <row r="757" spans="2:10" ht="15" x14ac:dyDescent="0.2">
      <c r="B757" s="1247" t="s">
        <v>78</v>
      </c>
      <c r="C757" s="1248">
        <v>56</v>
      </c>
      <c r="D757" s="1248">
        <v>8</v>
      </c>
      <c r="E757" s="1248">
        <v>1</v>
      </c>
      <c r="F757" s="1248">
        <v>4439900</v>
      </c>
      <c r="G757" s="1248"/>
      <c r="H757" s="1248">
        <v>211</v>
      </c>
      <c r="I757" s="1254">
        <v>17262.400000000001</v>
      </c>
      <c r="J757" s="384"/>
    </row>
    <row r="758" spans="2:10" ht="15" x14ac:dyDescent="0.2">
      <c r="B758" s="1247" t="s">
        <v>103</v>
      </c>
      <c r="C758" s="1248">
        <v>56</v>
      </c>
      <c r="D758" s="1248">
        <v>8</v>
      </c>
      <c r="E758" s="1248">
        <v>1</v>
      </c>
      <c r="F758" s="1248">
        <v>4439900</v>
      </c>
      <c r="G758" s="1248"/>
      <c r="H758" s="1248">
        <v>212</v>
      </c>
      <c r="I758" s="1255"/>
      <c r="J758" s="384"/>
    </row>
    <row r="759" spans="2:10" ht="15" x14ac:dyDescent="0.2">
      <c r="B759" s="1247" t="s">
        <v>84</v>
      </c>
      <c r="C759" s="1248">
        <v>56</v>
      </c>
      <c r="D759" s="1248">
        <v>8</v>
      </c>
      <c r="E759" s="1248">
        <v>1</v>
      </c>
      <c r="F759" s="1248">
        <v>4439900</v>
      </c>
      <c r="G759" s="1248"/>
      <c r="H759" s="1248">
        <v>213</v>
      </c>
      <c r="I759" s="1254">
        <v>5213.2</v>
      </c>
      <c r="J759" s="384"/>
    </row>
    <row r="760" spans="2:10" ht="15" x14ac:dyDescent="0.2">
      <c r="B760" s="1247" t="s">
        <v>85</v>
      </c>
      <c r="C760" s="1248">
        <v>56</v>
      </c>
      <c r="D760" s="1248">
        <v>8</v>
      </c>
      <c r="E760" s="1248">
        <v>1</v>
      </c>
      <c r="F760" s="1248">
        <v>4439900</v>
      </c>
      <c r="G760" s="1248"/>
      <c r="H760" s="1248">
        <v>221</v>
      </c>
      <c r="I760" s="1255"/>
      <c r="J760" s="384"/>
    </row>
    <row r="761" spans="2:10" ht="15" x14ac:dyDescent="0.2">
      <c r="B761" s="1247" t="s">
        <v>86</v>
      </c>
      <c r="C761" s="1248">
        <v>56</v>
      </c>
      <c r="D761" s="1248">
        <v>8</v>
      </c>
      <c r="E761" s="1248">
        <v>1</v>
      </c>
      <c r="F761" s="1248">
        <v>4439900</v>
      </c>
      <c r="G761" s="1248"/>
      <c r="H761" s="1248">
        <v>222</v>
      </c>
      <c r="I761" s="1255"/>
      <c r="J761" s="384"/>
    </row>
    <row r="762" spans="2:10" ht="15" x14ac:dyDescent="0.2">
      <c r="B762" s="1233" t="s">
        <v>87</v>
      </c>
      <c r="C762" s="1234">
        <v>56</v>
      </c>
      <c r="D762" s="1234">
        <v>8</v>
      </c>
      <c r="E762" s="1234">
        <v>1</v>
      </c>
      <c r="F762" s="1234">
        <v>4439900</v>
      </c>
      <c r="G762" s="1234"/>
      <c r="H762" s="1234">
        <v>223</v>
      </c>
      <c r="I762" s="1272">
        <v>148.69999999999999</v>
      </c>
      <c r="J762" s="384"/>
    </row>
    <row r="763" spans="2:10" ht="15" x14ac:dyDescent="0.2">
      <c r="B763" s="1247" t="s">
        <v>134</v>
      </c>
      <c r="C763" s="1248">
        <v>56</v>
      </c>
      <c r="D763" s="1248">
        <v>8</v>
      </c>
      <c r="E763" s="1248">
        <v>1</v>
      </c>
      <c r="F763" s="1248">
        <v>4439900</v>
      </c>
      <c r="G763" s="1248"/>
      <c r="H763" s="1248">
        <v>224</v>
      </c>
      <c r="I763" s="1255">
        <v>160</v>
      </c>
      <c r="J763" s="384"/>
    </row>
    <row r="764" spans="2:10" ht="15" x14ac:dyDescent="0.2">
      <c r="B764" s="1247" t="s">
        <v>90</v>
      </c>
      <c r="C764" s="1248">
        <v>56</v>
      </c>
      <c r="D764" s="1248">
        <v>8</v>
      </c>
      <c r="E764" s="1248">
        <v>1</v>
      </c>
      <c r="F764" s="1248">
        <v>4439900</v>
      </c>
      <c r="G764" s="1248"/>
      <c r="H764" s="1248">
        <v>225</v>
      </c>
      <c r="I764" s="1255">
        <v>50</v>
      </c>
      <c r="J764" s="384"/>
    </row>
    <row r="765" spans="2:10" ht="15" x14ac:dyDescent="0.2">
      <c r="B765" s="1247" t="s">
        <v>91</v>
      </c>
      <c r="C765" s="1248">
        <v>56</v>
      </c>
      <c r="D765" s="1248">
        <v>8</v>
      </c>
      <c r="E765" s="1248">
        <v>1</v>
      </c>
      <c r="F765" s="1248">
        <v>4439900</v>
      </c>
      <c r="G765" s="1248"/>
      <c r="H765" s="1248">
        <v>226</v>
      </c>
      <c r="I765" s="1255">
        <v>50</v>
      </c>
      <c r="J765" s="384"/>
    </row>
    <row r="766" spans="2:10" ht="15" x14ac:dyDescent="0.2">
      <c r="B766" s="1247" t="s">
        <v>94</v>
      </c>
      <c r="C766" s="1248">
        <v>56</v>
      </c>
      <c r="D766" s="1248">
        <v>8</v>
      </c>
      <c r="E766" s="1248">
        <v>1</v>
      </c>
      <c r="F766" s="1248">
        <v>4439900</v>
      </c>
      <c r="G766" s="1248"/>
      <c r="H766" s="1248">
        <v>290</v>
      </c>
      <c r="I766" s="1255">
        <v>26.3</v>
      </c>
      <c r="J766" s="384"/>
    </row>
    <row r="767" spans="2:10" ht="15" x14ac:dyDescent="0.2">
      <c r="B767" s="1247" t="s">
        <v>94</v>
      </c>
      <c r="C767" s="1248">
        <v>56</v>
      </c>
      <c r="D767" s="1248">
        <v>8</v>
      </c>
      <c r="E767" s="1248">
        <v>1</v>
      </c>
      <c r="F767" s="1248">
        <v>4439900</v>
      </c>
      <c r="G767" s="1248"/>
      <c r="H767" s="1248">
        <v>290</v>
      </c>
      <c r="I767" s="1255"/>
      <c r="J767" s="384"/>
    </row>
    <row r="768" spans="2:10" ht="15" x14ac:dyDescent="0.2">
      <c r="B768" s="1247" t="s">
        <v>96</v>
      </c>
      <c r="C768" s="1248">
        <v>56</v>
      </c>
      <c r="D768" s="1248">
        <v>8</v>
      </c>
      <c r="E768" s="1248">
        <v>1</v>
      </c>
      <c r="F768" s="1248">
        <v>4439900</v>
      </c>
      <c r="G768" s="1248"/>
      <c r="H768" s="1248">
        <v>310</v>
      </c>
      <c r="I768" s="1255">
        <v>100</v>
      </c>
      <c r="J768" s="384"/>
    </row>
    <row r="769" spans="2:10" ht="15" x14ac:dyDescent="0.2">
      <c r="B769" s="1247" t="s">
        <v>97</v>
      </c>
      <c r="C769" s="1248">
        <v>56</v>
      </c>
      <c r="D769" s="1248">
        <v>8</v>
      </c>
      <c r="E769" s="1248">
        <v>1</v>
      </c>
      <c r="F769" s="1248">
        <v>4439900</v>
      </c>
      <c r="G769" s="1248"/>
      <c r="H769" s="1248">
        <v>340</v>
      </c>
      <c r="I769" s="1255">
        <v>200</v>
      </c>
      <c r="J769" s="384"/>
    </row>
    <row r="770" spans="2:10" ht="15" x14ac:dyDescent="0.2">
      <c r="B770" s="1243" t="s">
        <v>767</v>
      </c>
      <c r="C770" s="1244">
        <v>56</v>
      </c>
      <c r="D770" s="1244">
        <v>8</v>
      </c>
      <c r="E770" s="1244">
        <v>1</v>
      </c>
      <c r="F770" s="1244">
        <v>4439900</v>
      </c>
      <c r="G770" s="1244">
        <v>612</v>
      </c>
      <c r="H770" s="1245">
        <v>241</v>
      </c>
      <c r="I770" s="1270">
        <v>6165</v>
      </c>
      <c r="J770" s="384"/>
    </row>
    <row r="771" spans="2:10" ht="40" x14ac:dyDescent="0.2">
      <c r="B771" s="1239" t="s">
        <v>1171</v>
      </c>
      <c r="C771" s="1263">
        <v>56</v>
      </c>
      <c r="D771" s="1263">
        <v>8</v>
      </c>
      <c r="E771" s="1263">
        <v>1</v>
      </c>
      <c r="F771" s="1263">
        <v>4439900</v>
      </c>
      <c r="G771" s="1263">
        <v>600</v>
      </c>
      <c r="H771" s="1240"/>
      <c r="I771" s="1242">
        <v>11424.4</v>
      </c>
      <c r="J771" s="384"/>
    </row>
    <row r="772" spans="2:10" ht="53" x14ac:dyDescent="0.2">
      <c r="B772" s="1243" t="s">
        <v>1135</v>
      </c>
      <c r="C772" s="1245">
        <v>56</v>
      </c>
      <c r="D772" s="1245">
        <v>8</v>
      </c>
      <c r="E772" s="1245">
        <v>1</v>
      </c>
      <c r="F772" s="1245">
        <v>4439900</v>
      </c>
      <c r="G772" s="1245">
        <v>611</v>
      </c>
      <c r="H772" s="1244">
        <v>241</v>
      </c>
      <c r="I772" s="1265">
        <v>11424.4</v>
      </c>
      <c r="J772" s="384"/>
    </row>
    <row r="773" spans="2:10" ht="15" x14ac:dyDescent="0.2">
      <c r="B773" s="1247" t="s">
        <v>78</v>
      </c>
      <c r="C773" s="1248">
        <v>56</v>
      </c>
      <c r="D773" s="1248">
        <v>8</v>
      </c>
      <c r="E773" s="1248">
        <v>1</v>
      </c>
      <c r="F773" s="1248">
        <v>4439900</v>
      </c>
      <c r="G773" s="1248"/>
      <c r="H773" s="1248">
        <v>211</v>
      </c>
      <c r="I773" s="1254">
        <v>5069.8</v>
      </c>
      <c r="J773" s="384"/>
    </row>
    <row r="774" spans="2:10" ht="15" x14ac:dyDescent="0.2">
      <c r="B774" s="1247" t="s">
        <v>103</v>
      </c>
      <c r="C774" s="1248">
        <v>56</v>
      </c>
      <c r="D774" s="1248">
        <v>8</v>
      </c>
      <c r="E774" s="1248">
        <v>1</v>
      </c>
      <c r="F774" s="1248">
        <v>4439900</v>
      </c>
      <c r="G774" s="1248"/>
      <c r="H774" s="1248">
        <v>212</v>
      </c>
      <c r="I774" s="1255"/>
      <c r="J774" s="384"/>
    </row>
    <row r="775" spans="2:10" ht="15" x14ac:dyDescent="0.2">
      <c r="B775" s="1247" t="s">
        <v>84</v>
      </c>
      <c r="C775" s="1248">
        <v>56</v>
      </c>
      <c r="D775" s="1248">
        <v>8</v>
      </c>
      <c r="E775" s="1248">
        <v>1</v>
      </c>
      <c r="F775" s="1248">
        <v>4439900</v>
      </c>
      <c r="G775" s="1248"/>
      <c r="H775" s="1248">
        <v>213</v>
      </c>
      <c r="I775" s="1254">
        <v>1531.1</v>
      </c>
      <c r="J775" s="384"/>
    </row>
    <row r="776" spans="2:10" ht="15" x14ac:dyDescent="0.2">
      <c r="B776" s="1247" t="s">
        <v>85</v>
      </c>
      <c r="C776" s="1248">
        <v>56</v>
      </c>
      <c r="D776" s="1248">
        <v>8</v>
      </c>
      <c r="E776" s="1248">
        <v>1</v>
      </c>
      <c r="F776" s="1248">
        <v>4439900</v>
      </c>
      <c r="G776" s="1248"/>
      <c r="H776" s="1248">
        <v>221</v>
      </c>
      <c r="I776" s="1255"/>
      <c r="J776" s="384"/>
    </row>
    <row r="777" spans="2:10" ht="15" x14ac:dyDescent="0.2">
      <c r="B777" s="1247" t="s">
        <v>86</v>
      </c>
      <c r="C777" s="1248">
        <v>56</v>
      </c>
      <c r="D777" s="1248">
        <v>8</v>
      </c>
      <c r="E777" s="1248">
        <v>1</v>
      </c>
      <c r="F777" s="1248">
        <v>4439900</v>
      </c>
      <c r="G777" s="1248"/>
      <c r="H777" s="1248">
        <v>222</v>
      </c>
      <c r="I777" s="1255"/>
      <c r="J777" s="384"/>
    </row>
    <row r="778" spans="2:10" ht="15" x14ac:dyDescent="0.2">
      <c r="B778" s="1247" t="s">
        <v>87</v>
      </c>
      <c r="C778" s="1248">
        <v>56</v>
      </c>
      <c r="D778" s="1248">
        <v>8</v>
      </c>
      <c r="E778" s="1248">
        <v>1</v>
      </c>
      <c r="F778" s="1248">
        <v>4439900</v>
      </c>
      <c r="G778" s="1248"/>
      <c r="H778" s="1248">
        <v>223</v>
      </c>
      <c r="I778" s="1255">
        <v>80.3</v>
      </c>
      <c r="J778" s="384"/>
    </row>
    <row r="779" spans="2:10" ht="15" x14ac:dyDescent="0.2">
      <c r="B779" s="1247" t="s">
        <v>134</v>
      </c>
      <c r="C779" s="1248">
        <v>56</v>
      </c>
      <c r="D779" s="1248">
        <v>8</v>
      </c>
      <c r="E779" s="1248">
        <v>1</v>
      </c>
      <c r="F779" s="1248">
        <v>4439900</v>
      </c>
      <c r="G779" s="1248"/>
      <c r="H779" s="1248">
        <v>224</v>
      </c>
      <c r="I779" s="1255"/>
      <c r="J779" s="384"/>
    </row>
    <row r="780" spans="2:10" ht="15" x14ac:dyDescent="0.2">
      <c r="B780" s="1247" t="s">
        <v>90</v>
      </c>
      <c r="C780" s="1248">
        <v>56</v>
      </c>
      <c r="D780" s="1248">
        <v>8</v>
      </c>
      <c r="E780" s="1248">
        <v>1</v>
      </c>
      <c r="F780" s="1248">
        <v>4439900</v>
      </c>
      <c r="G780" s="1248"/>
      <c r="H780" s="1248">
        <v>225</v>
      </c>
      <c r="I780" s="1254">
        <v>4404</v>
      </c>
      <c r="J780" s="384"/>
    </row>
    <row r="781" spans="2:10" ht="15" x14ac:dyDescent="0.2">
      <c r="B781" s="1247" t="s">
        <v>91</v>
      </c>
      <c r="C781" s="1248">
        <v>56</v>
      </c>
      <c r="D781" s="1248">
        <v>8</v>
      </c>
      <c r="E781" s="1248">
        <v>1</v>
      </c>
      <c r="F781" s="1248">
        <v>4439900</v>
      </c>
      <c r="G781" s="1248"/>
      <c r="H781" s="1248">
        <v>226</v>
      </c>
      <c r="I781" s="1255">
        <v>156</v>
      </c>
      <c r="J781" s="384"/>
    </row>
    <row r="782" spans="2:10" ht="15" x14ac:dyDescent="0.2">
      <c r="B782" s="1247" t="s">
        <v>94</v>
      </c>
      <c r="C782" s="1248">
        <v>56</v>
      </c>
      <c r="D782" s="1248">
        <v>8</v>
      </c>
      <c r="E782" s="1248">
        <v>1</v>
      </c>
      <c r="F782" s="1248">
        <v>4439900</v>
      </c>
      <c r="G782" s="1248"/>
      <c r="H782" s="1248">
        <v>290</v>
      </c>
      <c r="I782" s="1255">
        <v>13.2</v>
      </c>
      <c r="J782" s="384"/>
    </row>
    <row r="783" spans="2:10" ht="15" x14ac:dyDescent="0.2">
      <c r="B783" s="1247" t="s">
        <v>94</v>
      </c>
      <c r="C783" s="1248">
        <v>56</v>
      </c>
      <c r="D783" s="1248">
        <v>8</v>
      </c>
      <c r="E783" s="1248">
        <v>1</v>
      </c>
      <c r="F783" s="1248">
        <v>4439900</v>
      </c>
      <c r="G783" s="1248"/>
      <c r="H783" s="1248">
        <v>290</v>
      </c>
      <c r="I783" s="1255"/>
      <c r="J783" s="384"/>
    </row>
    <row r="784" spans="2:10" ht="15" x14ac:dyDescent="0.2">
      <c r="B784" s="1247" t="s">
        <v>96</v>
      </c>
      <c r="C784" s="1248">
        <v>56</v>
      </c>
      <c r="D784" s="1248">
        <v>8</v>
      </c>
      <c r="E784" s="1248">
        <v>1</v>
      </c>
      <c r="F784" s="1248">
        <v>4439900</v>
      </c>
      <c r="G784" s="1248"/>
      <c r="H784" s="1248">
        <v>310</v>
      </c>
      <c r="I784" s="1255">
        <v>170</v>
      </c>
      <c r="J784" s="384"/>
    </row>
    <row r="785" spans="2:10" ht="15" x14ac:dyDescent="0.2">
      <c r="B785" s="1247" t="s">
        <v>97</v>
      </c>
      <c r="C785" s="1248">
        <v>56</v>
      </c>
      <c r="D785" s="1248">
        <v>8</v>
      </c>
      <c r="E785" s="1248">
        <v>1</v>
      </c>
      <c r="F785" s="1248">
        <v>4439900</v>
      </c>
      <c r="G785" s="1248"/>
      <c r="H785" s="1248">
        <v>340</v>
      </c>
      <c r="I785" s="1255">
        <v>0</v>
      </c>
      <c r="J785" s="384"/>
    </row>
    <row r="786" spans="2:10" ht="15" x14ac:dyDescent="0.2">
      <c r="B786" s="1243" t="s">
        <v>767</v>
      </c>
      <c r="C786" s="1244">
        <v>56</v>
      </c>
      <c r="D786" s="1244">
        <v>8</v>
      </c>
      <c r="E786" s="1244">
        <v>1</v>
      </c>
      <c r="F786" s="1244">
        <v>4439900</v>
      </c>
      <c r="G786" s="1244">
        <v>612</v>
      </c>
      <c r="H786" s="1245">
        <v>241</v>
      </c>
      <c r="I786" s="1252">
        <v>0</v>
      </c>
      <c r="J786" s="384"/>
    </row>
    <row r="787" spans="2:10" ht="40" x14ac:dyDescent="0.2">
      <c r="B787" s="1239" t="s">
        <v>1172</v>
      </c>
      <c r="C787" s="1263">
        <v>56</v>
      </c>
      <c r="D787" s="1263">
        <v>8</v>
      </c>
      <c r="E787" s="1263">
        <v>1</v>
      </c>
      <c r="F787" s="1263">
        <v>4439900</v>
      </c>
      <c r="G787" s="1263">
        <v>600</v>
      </c>
      <c r="H787" s="1240"/>
      <c r="I787" s="1242">
        <v>5658.2</v>
      </c>
      <c r="J787" s="384"/>
    </row>
    <row r="788" spans="2:10" ht="53" x14ac:dyDescent="0.2">
      <c r="B788" s="1243" t="s">
        <v>1135</v>
      </c>
      <c r="C788" s="1245">
        <v>56</v>
      </c>
      <c r="D788" s="1245">
        <v>8</v>
      </c>
      <c r="E788" s="1245">
        <v>1</v>
      </c>
      <c r="F788" s="1245">
        <v>4439900</v>
      </c>
      <c r="G788" s="1245">
        <v>611</v>
      </c>
      <c r="H788" s="1244">
        <v>241</v>
      </c>
      <c r="I788" s="1265">
        <v>5658.2</v>
      </c>
      <c r="J788" s="384"/>
    </row>
    <row r="789" spans="2:10" ht="15" x14ac:dyDescent="0.2">
      <c r="B789" s="1247" t="s">
        <v>78</v>
      </c>
      <c r="C789" s="1248">
        <v>56</v>
      </c>
      <c r="D789" s="1248">
        <v>8</v>
      </c>
      <c r="E789" s="1248">
        <v>1</v>
      </c>
      <c r="F789" s="1248">
        <v>4439900</v>
      </c>
      <c r="G789" s="1248"/>
      <c r="H789" s="1248">
        <v>211</v>
      </c>
      <c r="I789" s="1249">
        <v>4107.6000000000004</v>
      </c>
      <c r="J789" s="384"/>
    </row>
    <row r="790" spans="2:10" ht="15" x14ac:dyDescent="0.2">
      <c r="B790" s="1247" t="s">
        <v>103</v>
      </c>
      <c r="C790" s="1248">
        <v>56</v>
      </c>
      <c r="D790" s="1248">
        <v>8</v>
      </c>
      <c r="E790" s="1248">
        <v>1</v>
      </c>
      <c r="F790" s="1248">
        <v>4439900</v>
      </c>
      <c r="G790" s="1248"/>
      <c r="H790" s="1248">
        <v>212</v>
      </c>
      <c r="I790" s="1314"/>
      <c r="J790" s="384"/>
    </row>
    <row r="791" spans="2:10" ht="15" x14ac:dyDescent="0.2">
      <c r="B791" s="1247" t="s">
        <v>84</v>
      </c>
      <c r="C791" s="1248">
        <v>56</v>
      </c>
      <c r="D791" s="1248">
        <v>8</v>
      </c>
      <c r="E791" s="1248">
        <v>1</v>
      </c>
      <c r="F791" s="1248">
        <v>4439900</v>
      </c>
      <c r="G791" s="1248"/>
      <c r="H791" s="1248">
        <v>213</v>
      </c>
      <c r="I791" s="1249">
        <v>1240.5</v>
      </c>
      <c r="J791" s="384"/>
    </row>
    <row r="792" spans="2:10" ht="15" x14ac:dyDescent="0.2">
      <c r="B792" s="1247" t="s">
        <v>85</v>
      </c>
      <c r="C792" s="1248">
        <v>56</v>
      </c>
      <c r="D792" s="1248">
        <v>8</v>
      </c>
      <c r="E792" s="1248">
        <v>1</v>
      </c>
      <c r="F792" s="1248">
        <v>4439900</v>
      </c>
      <c r="G792" s="1248"/>
      <c r="H792" s="1248">
        <v>221</v>
      </c>
      <c r="I792" s="1250"/>
      <c r="J792" s="384"/>
    </row>
    <row r="793" spans="2:10" ht="15" x14ac:dyDescent="0.2">
      <c r="B793" s="1247" t="s">
        <v>86</v>
      </c>
      <c r="C793" s="1248">
        <v>56</v>
      </c>
      <c r="D793" s="1248">
        <v>8</v>
      </c>
      <c r="E793" s="1248">
        <v>1</v>
      </c>
      <c r="F793" s="1248">
        <v>4439900</v>
      </c>
      <c r="G793" s="1248"/>
      <c r="H793" s="1248">
        <v>222</v>
      </c>
      <c r="I793" s="1250"/>
      <c r="J793" s="384"/>
    </row>
    <row r="794" spans="2:10" ht="15" x14ac:dyDescent="0.2">
      <c r="B794" s="1247" t="s">
        <v>87</v>
      </c>
      <c r="C794" s="1248">
        <v>56</v>
      </c>
      <c r="D794" s="1248">
        <v>8</v>
      </c>
      <c r="E794" s="1248">
        <v>1</v>
      </c>
      <c r="F794" s="1248">
        <v>4439900</v>
      </c>
      <c r="G794" s="1248"/>
      <c r="H794" s="1248">
        <v>223</v>
      </c>
      <c r="I794" s="1250"/>
      <c r="J794" s="384"/>
    </row>
    <row r="795" spans="2:10" ht="15" x14ac:dyDescent="0.2">
      <c r="B795" s="1247" t="s">
        <v>134</v>
      </c>
      <c r="C795" s="1248">
        <v>56</v>
      </c>
      <c r="D795" s="1248">
        <v>8</v>
      </c>
      <c r="E795" s="1248">
        <v>1</v>
      </c>
      <c r="F795" s="1248">
        <v>4439900</v>
      </c>
      <c r="G795" s="1248"/>
      <c r="H795" s="1248">
        <v>224</v>
      </c>
      <c r="I795" s="1250">
        <v>62.4</v>
      </c>
      <c r="J795" s="384"/>
    </row>
    <row r="796" spans="2:10" ht="15" x14ac:dyDescent="0.2">
      <c r="B796" s="1247" t="s">
        <v>90</v>
      </c>
      <c r="C796" s="1248">
        <v>56</v>
      </c>
      <c r="D796" s="1248">
        <v>8</v>
      </c>
      <c r="E796" s="1248">
        <v>1</v>
      </c>
      <c r="F796" s="1248">
        <v>4439900</v>
      </c>
      <c r="G796" s="1248"/>
      <c r="H796" s="1248">
        <v>225</v>
      </c>
      <c r="I796" s="1250">
        <v>25</v>
      </c>
      <c r="J796" s="384"/>
    </row>
    <row r="797" spans="2:10" ht="15" x14ac:dyDescent="0.2">
      <c r="B797" s="1247" t="s">
        <v>91</v>
      </c>
      <c r="C797" s="1248">
        <v>56</v>
      </c>
      <c r="D797" s="1248">
        <v>8</v>
      </c>
      <c r="E797" s="1248">
        <v>1</v>
      </c>
      <c r="F797" s="1248">
        <v>4439900</v>
      </c>
      <c r="G797" s="1248"/>
      <c r="H797" s="1248">
        <v>226</v>
      </c>
      <c r="I797" s="1250">
        <v>37</v>
      </c>
      <c r="J797" s="384"/>
    </row>
    <row r="798" spans="2:10" ht="15" x14ac:dyDescent="0.2">
      <c r="B798" s="1247" t="s">
        <v>94</v>
      </c>
      <c r="C798" s="1248">
        <v>56</v>
      </c>
      <c r="D798" s="1248">
        <v>8</v>
      </c>
      <c r="E798" s="1248">
        <v>1</v>
      </c>
      <c r="F798" s="1248">
        <v>4439900</v>
      </c>
      <c r="G798" s="1248"/>
      <c r="H798" s="1248">
        <v>290</v>
      </c>
      <c r="I798" s="1250">
        <v>15.7</v>
      </c>
      <c r="J798" s="384"/>
    </row>
    <row r="799" spans="2:10" ht="15" x14ac:dyDescent="0.2">
      <c r="B799" s="1247" t="s">
        <v>94</v>
      </c>
      <c r="C799" s="1248">
        <v>56</v>
      </c>
      <c r="D799" s="1248">
        <v>8</v>
      </c>
      <c r="E799" s="1248">
        <v>1</v>
      </c>
      <c r="F799" s="1248">
        <v>4439900</v>
      </c>
      <c r="G799" s="1248"/>
      <c r="H799" s="1248">
        <v>290</v>
      </c>
      <c r="I799" s="1250"/>
      <c r="J799" s="384"/>
    </row>
    <row r="800" spans="2:10" ht="15" x14ac:dyDescent="0.2">
      <c r="B800" s="1247" t="s">
        <v>96</v>
      </c>
      <c r="C800" s="1248">
        <v>56</v>
      </c>
      <c r="D800" s="1248">
        <v>8</v>
      </c>
      <c r="E800" s="1248">
        <v>1</v>
      </c>
      <c r="F800" s="1248">
        <v>4439900</v>
      </c>
      <c r="G800" s="1248"/>
      <c r="H800" s="1248">
        <v>310</v>
      </c>
      <c r="I800" s="1250">
        <v>150</v>
      </c>
      <c r="J800" s="384"/>
    </row>
    <row r="801" spans="2:10" ht="15" x14ac:dyDescent="0.2">
      <c r="B801" s="1247" t="s">
        <v>97</v>
      </c>
      <c r="C801" s="1248">
        <v>56</v>
      </c>
      <c r="D801" s="1248">
        <v>8</v>
      </c>
      <c r="E801" s="1248">
        <v>1</v>
      </c>
      <c r="F801" s="1248">
        <v>4439900</v>
      </c>
      <c r="G801" s="1248"/>
      <c r="H801" s="1248">
        <v>340</v>
      </c>
      <c r="I801" s="1250">
        <v>20</v>
      </c>
      <c r="J801" s="384"/>
    </row>
    <row r="802" spans="2:10" ht="15" x14ac:dyDescent="0.2">
      <c r="B802" s="1243" t="s">
        <v>767</v>
      </c>
      <c r="C802" s="1244">
        <v>56</v>
      </c>
      <c r="D802" s="1244">
        <v>8</v>
      </c>
      <c r="E802" s="1244">
        <v>1</v>
      </c>
      <c r="F802" s="1244">
        <v>4439900</v>
      </c>
      <c r="G802" s="1244">
        <v>612</v>
      </c>
      <c r="H802" s="1245">
        <v>241</v>
      </c>
      <c r="I802" s="1252">
        <v>0</v>
      </c>
      <c r="J802" s="384"/>
    </row>
    <row r="803" spans="2:10" ht="40" x14ac:dyDescent="0.2">
      <c r="B803" s="1239" t="s">
        <v>1173</v>
      </c>
      <c r="C803" s="1263">
        <v>56</v>
      </c>
      <c r="D803" s="1263">
        <v>8</v>
      </c>
      <c r="E803" s="1263">
        <v>1</v>
      </c>
      <c r="F803" s="1263">
        <v>4439900</v>
      </c>
      <c r="G803" s="1263">
        <v>600</v>
      </c>
      <c r="H803" s="1240"/>
      <c r="I803" s="1242">
        <v>8609.7999999999993</v>
      </c>
      <c r="J803" s="384"/>
    </row>
    <row r="804" spans="2:10" ht="53" x14ac:dyDescent="0.2">
      <c r="B804" s="1243" t="s">
        <v>1135</v>
      </c>
      <c r="C804" s="1245">
        <v>56</v>
      </c>
      <c r="D804" s="1245">
        <v>8</v>
      </c>
      <c r="E804" s="1245">
        <v>1</v>
      </c>
      <c r="F804" s="1245">
        <v>4439900</v>
      </c>
      <c r="G804" s="1245">
        <v>611</v>
      </c>
      <c r="H804" s="1244">
        <v>241</v>
      </c>
      <c r="I804" s="1265">
        <v>8609.7999999999993</v>
      </c>
      <c r="J804" s="384"/>
    </row>
    <row r="805" spans="2:10" ht="15" x14ac:dyDescent="0.2">
      <c r="B805" s="1247" t="s">
        <v>78</v>
      </c>
      <c r="C805" s="1248">
        <v>56</v>
      </c>
      <c r="D805" s="1248">
        <v>8</v>
      </c>
      <c r="E805" s="1248">
        <v>1</v>
      </c>
      <c r="F805" s="1248">
        <v>4439900</v>
      </c>
      <c r="G805" s="1248"/>
      <c r="H805" s="1248">
        <v>211</v>
      </c>
      <c r="I805" s="1249">
        <v>6439.4</v>
      </c>
      <c r="J805" s="384"/>
    </row>
    <row r="806" spans="2:10" ht="15" x14ac:dyDescent="0.2">
      <c r="B806" s="1247" t="s">
        <v>103</v>
      </c>
      <c r="C806" s="1248">
        <v>56</v>
      </c>
      <c r="D806" s="1248">
        <v>8</v>
      </c>
      <c r="E806" s="1248">
        <v>1</v>
      </c>
      <c r="F806" s="1248">
        <v>4439900</v>
      </c>
      <c r="G806" s="1248"/>
      <c r="H806" s="1248">
        <v>212</v>
      </c>
      <c r="I806" s="1314"/>
      <c r="J806" s="384"/>
    </row>
    <row r="807" spans="2:10" ht="15" x14ac:dyDescent="0.2">
      <c r="B807" s="1247" t="s">
        <v>84</v>
      </c>
      <c r="C807" s="1248">
        <v>56</v>
      </c>
      <c r="D807" s="1248">
        <v>8</v>
      </c>
      <c r="E807" s="1248">
        <v>1</v>
      </c>
      <c r="F807" s="1248">
        <v>4439900</v>
      </c>
      <c r="G807" s="1248"/>
      <c r="H807" s="1248">
        <v>213</v>
      </c>
      <c r="I807" s="1249">
        <v>1944.7</v>
      </c>
      <c r="J807" s="384"/>
    </row>
    <row r="808" spans="2:10" ht="15" x14ac:dyDescent="0.2">
      <c r="B808" s="1247" t="s">
        <v>85</v>
      </c>
      <c r="C808" s="1248">
        <v>56</v>
      </c>
      <c r="D808" s="1248">
        <v>8</v>
      </c>
      <c r="E808" s="1248">
        <v>1</v>
      </c>
      <c r="F808" s="1248">
        <v>4439900</v>
      </c>
      <c r="G808" s="1248"/>
      <c r="H808" s="1248">
        <v>221</v>
      </c>
      <c r="I808" s="1250"/>
      <c r="J808" s="384"/>
    </row>
    <row r="809" spans="2:10" ht="15" x14ac:dyDescent="0.2">
      <c r="B809" s="1247" t="s">
        <v>86</v>
      </c>
      <c r="C809" s="1248">
        <v>56</v>
      </c>
      <c r="D809" s="1248">
        <v>8</v>
      </c>
      <c r="E809" s="1248">
        <v>1</v>
      </c>
      <c r="F809" s="1248">
        <v>4439900</v>
      </c>
      <c r="G809" s="1248"/>
      <c r="H809" s="1248">
        <v>222</v>
      </c>
      <c r="I809" s="1250"/>
      <c r="J809" s="384"/>
    </row>
    <row r="810" spans="2:10" ht="15" x14ac:dyDescent="0.2">
      <c r="B810" s="1247" t="s">
        <v>87</v>
      </c>
      <c r="C810" s="1248">
        <v>56</v>
      </c>
      <c r="D810" s="1248">
        <v>8</v>
      </c>
      <c r="E810" s="1248">
        <v>1</v>
      </c>
      <c r="F810" s="1248">
        <v>4439900</v>
      </c>
      <c r="G810" s="1248"/>
      <c r="H810" s="1248">
        <v>223</v>
      </c>
      <c r="I810" s="1250"/>
      <c r="J810" s="384"/>
    </row>
    <row r="811" spans="2:10" ht="15" x14ac:dyDescent="0.2">
      <c r="B811" s="1247" t="s">
        <v>134</v>
      </c>
      <c r="C811" s="1248">
        <v>56</v>
      </c>
      <c r="D811" s="1248">
        <v>8</v>
      </c>
      <c r="E811" s="1248">
        <v>1</v>
      </c>
      <c r="F811" s="1248">
        <v>4439900</v>
      </c>
      <c r="G811" s="1248"/>
      <c r="H811" s="1248">
        <v>224</v>
      </c>
      <c r="I811" s="1250"/>
      <c r="J811" s="384"/>
    </row>
    <row r="812" spans="2:10" ht="15" x14ac:dyDescent="0.2">
      <c r="B812" s="1247" t="s">
        <v>90</v>
      </c>
      <c r="C812" s="1248">
        <v>56</v>
      </c>
      <c r="D812" s="1248">
        <v>8</v>
      </c>
      <c r="E812" s="1248">
        <v>1</v>
      </c>
      <c r="F812" s="1248">
        <v>4439900</v>
      </c>
      <c r="G812" s="1248"/>
      <c r="H812" s="1248">
        <v>225</v>
      </c>
      <c r="I812" s="1250"/>
      <c r="J812" s="384"/>
    </row>
    <row r="813" spans="2:10" ht="15" x14ac:dyDescent="0.2">
      <c r="B813" s="1247" t="s">
        <v>91</v>
      </c>
      <c r="C813" s="1248">
        <v>56</v>
      </c>
      <c r="D813" s="1248">
        <v>8</v>
      </c>
      <c r="E813" s="1248">
        <v>1</v>
      </c>
      <c r="F813" s="1248">
        <v>4439900</v>
      </c>
      <c r="G813" s="1248"/>
      <c r="H813" s="1248">
        <v>226</v>
      </c>
      <c r="I813" s="1250">
        <v>35</v>
      </c>
      <c r="J813" s="384"/>
    </row>
    <row r="814" spans="2:10" ht="15" x14ac:dyDescent="0.2">
      <c r="B814" s="1247" t="s">
        <v>94</v>
      </c>
      <c r="C814" s="1248">
        <v>56</v>
      </c>
      <c r="D814" s="1248">
        <v>8</v>
      </c>
      <c r="E814" s="1248">
        <v>1</v>
      </c>
      <c r="F814" s="1248">
        <v>4439900</v>
      </c>
      <c r="G814" s="1248"/>
      <c r="H814" s="1248">
        <v>290</v>
      </c>
      <c r="I814" s="1250">
        <v>20.7</v>
      </c>
      <c r="J814" s="384"/>
    </row>
    <row r="815" spans="2:10" ht="15" x14ac:dyDescent="0.2">
      <c r="B815" s="1247" t="s">
        <v>94</v>
      </c>
      <c r="C815" s="1248">
        <v>56</v>
      </c>
      <c r="D815" s="1248">
        <v>8</v>
      </c>
      <c r="E815" s="1248">
        <v>1</v>
      </c>
      <c r="F815" s="1248">
        <v>4439900</v>
      </c>
      <c r="G815" s="1248"/>
      <c r="H815" s="1248">
        <v>290</v>
      </c>
      <c r="I815" s="1250"/>
      <c r="J815" s="384"/>
    </row>
    <row r="816" spans="2:10" ht="15" x14ac:dyDescent="0.2">
      <c r="B816" s="1247" t="s">
        <v>96</v>
      </c>
      <c r="C816" s="1248">
        <v>56</v>
      </c>
      <c r="D816" s="1248">
        <v>8</v>
      </c>
      <c r="E816" s="1248">
        <v>1</v>
      </c>
      <c r="F816" s="1248">
        <v>4439900</v>
      </c>
      <c r="G816" s="1248"/>
      <c r="H816" s="1248">
        <v>310</v>
      </c>
      <c r="I816" s="1250">
        <v>170</v>
      </c>
      <c r="J816" s="384"/>
    </row>
    <row r="817" spans="2:10" ht="15" x14ac:dyDescent="0.2">
      <c r="B817" s="1247" t="s">
        <v>97</v>
      </c>
      <c r="C817" s="1248">
        <v>56</v>
      </c>
      <c r="D817" s="1248">
        <v>8</v>
      </c>
      <c r="E817" s="1248">
        <v>1</v>
      </c>
      <c r="F817" s="1248">
        <v>4439900</v>
      </c>
      <c r="G817" s="1248"/>
      <c r="H817" s="1248">
        <v>340</v>
      </c>
      <c r="I817" s="1250"/>
      <c r="J817" s="384"/>
    </row>
    <row r="818" spans="2:10" ht="15" x14ac:dyDescent="0.2">
      <c r="B818" s="1243" t="s">
        <v>767</v>
      </c>
      <c r="C818" s="1244">
        <v>56</v>
      </c>
      <c r="D818" s="1244">
        <v>8</v>
      </c>
      <c r="E818" s="1244">
        <v>1</v>
      </c>
      <c r="F818" s="1244">
        <v>4439900</v>
      </c>
      <c r="G818" s="1244">
        <v>612</v>
      </c>
      <c r="H818" s="1245">
        <v>241</v>
      </c>
      <c r="I818" s="1252">
        <v>0</v>
      </c>
      <c r="J818" s="384"/>
    </row>
    <row r="819" spans="2:10" ht="40" x14ac:dyDescent="0.2">
      <c r="B819" s="1239" t="s">
        <v>1174</v>
      </c>
      <c r="C819" s="1263">
        <v>56</v>
      </c>
      <c r="D819" s="1263">
        <v>8</v>
      </c>
      <c r="E819" s="1263">
        <v>1</v>
      </c>
      <c r="F819" s="1263">
        <v>4439900</v>
      </c>
      <c r="G819" s="1263">
        <v>600</v>
      </c>
      <c r="H819" s="1240"/>
      <c r="I819" s="1242">
        <v>9001.1</v>
      </c>
      <c r="J819" s="384"/>
    </row>
    <row r="820" spans="2:10" ht="53" x14ac:dyDescent="0.2">
      <c r="B820" s="1243" t="s">
        <v>1135</v>
      </c>
      <c r="C820" s="1245">
        <v>56</v>
      </c>
      <c r="D820" s="1245">
        <v>8</v>
      </c>
      <c r="E820" s="1245">
        <v>1</v>
      </c>
      <c r="F820" s="1245">
        <v>4439900</v>
      </c>
      <c r="G820" s="1245">
        <v>611</v>
      </c>
      <c r="H820" s="1244">
        <v>241</v>
      </c>
      <c r="I820" s="1265">
        <v>9001.1</v>
      </c>
      <c r="J820" s="384"/>
    </row>
    <row r="821" spans="2:10" ht="15" x14ac:dyDescent="0.2">
      <c r="B821" s="1247" t="s">
        <v>78</v>
      </c>
      <c r="C821" s="1248">
        <v>56</v>
      </c>
      <c r="D821" s="1248">
        <v>8</v>
      </c>
      <c r="E821" s="1248">
        <v>1</v>
      </c>
      <c r="F821" s="1248">
        <v>4439900</v>
      </c>
      <c r="G821" s="1248"/>
      <c r="H821" s="1248">
        <v>211</v>
      </c>
      <c r="I821" s="1249">
        <v>6740.5</v>
      </c>
      <c r="J821" s="384"/>
    </row>
    <row r="822" spans="2:10" ht="15" x14ac:dyDescent="0.2">
      <c r="B822" s="1247" t="s">
        <v>103</v>
      </c>
      <c r="C822" s="1248">
        <v>56</v>
      </c>
      <c r="D822" s="1248">
        <v>8</v>
      </c>
      <c r="E822" s="1248">
        <v>1</v>
      </c>
      <c r="F822" s="1248">
        <v>4439900</v>
      </c>
      <c r="G822" s="1248"/>
      <c r="H822" s="1248">
        <v>212</v>
      </c>
      <c r="I822" s="1314"/>
      <c r="J822" s="384"/>
    </row>
    <row r="823" spans="2:10" ht="15" x14ac:dyDescent="0.2">
      <c r="B823" s="1247" t="s">
        <v>84</v>
      </c>
      <c r="C823" s="1248">
        <v>56</v>
      </c>
      <c r="D823" s="1248">
        <v>8</v>
      </c>
      <c r="E823" s="1248">
        <v>1</v>
      </c>
      <c r="F823" s="1248">
        <v>4439900</v>
      </c>
      <c r="G823" s="1248"/>
      <c r="H823" s="1248">
        <v>213</v>
      </c>
      <c r="I823" s="1249">
        <v>2035.6</v>
      </c>
      <c r="J823" s="384"/>
    </row>
    <row r="824" spans="2:10" ht="15" x14ac:dyDescent="0.2">
      <c r="B824" s="1247" t="s">
        <v>85</v>
      </c>
      <c r="C824" s="1248">
        <v>56</v>
      </c>
      <c r="D824" s="1248">
        <v>8</v>
      </c>
      <c r="E824" s="1248">
        <v>1</v>
      </c>
      <c r="F824" s="1248">
        <v>4439900</v>
      </c>
      <c r="G824" s="1248"/>
      <c r="H824" s="1248">
        <v>221</v>
      </c>
      <c r="I824" s="1250"/>
      <c r="J824" s="384"/>
    </row>
    <row r="825" spans="2:10" ht="15" x14ac:dyDescent="0.2">
      <c r="B825" s="1247" t="s">
        <v>86</v>
      </c>
      <c r="C825" s="1248">
        <v>56</v>
      </c>
      <c r="D825" s="1248">
        <v>8</v>
      </c>
      <c r="E825" s="1248">
        <v>1</v>
      </c>
      <c r="F825" s="1248">
        <v>4439900</v>
      </c>
      <c r="G825" s="1248"/>
      <c r="H825" s="1248">
        <v>222</v>
      </c>
      <c r="I825" s="1250"/>
      <c r="J825" s="384"/>
    </row>
    <row r="826" spans="2:10" ht="15" x14ac:dyDescent="0.2">
      <c r="B826" s="1247" t="s">
        <v>87</v>
      </c>
      <c r="C826" s="1248">
        <v>56</v>
      </c>
      <c r="D826" s="1248">
        <v>8</v>
      </c>
      <c r="E826" s="1248">
        <v>1</v>
      </c>
      <c r="F826" s="1248">
        <v>4439900</v>
      </c>
      <c r="G826" s="1248"/>
      <c r="H826" s="1248">
        <v>223</v>
      </c>
      <c r="I826" s="1250"/>
      <c r="J826" s="384"/>
    </row>
    <row r="827" spans="2:10" ht="15" x14ac:dyDescent="0.2">
      <c r="B827" s="1247" t="s">
        <v>134</v>
      </c>
      <c r="C827" s="1248">
        <v>56</v>
      </c>
      <c r="D827" s="1248">
        <v>8</v>
      </c>
      <c r="E827" s="1248">
        <v>1</v>
      </c>
      <c r="F827" s="1248">
        <v>4439900</v>
      </c>
      <c r="G827" s="1248"/>
      <c r="H827" s="1248">
        <v>224</v>
      </c>
      <c r="I827" s="1250"/>
      <c r="J827" s="384"/>
    </row>
    <row r="828" spans="2:10" ht="15" x14ac:dyDescent="0.2">
      <c r="B828" s="1247" t="s">
        <v>90</v>
      </c>
      <c r="C828" s="1248">
        <v>56</v>
      </c>
      <c r="D828" s="1248">
        <v>8</v>
      </c>
      <c r="E828" s="1248">
        <v>1</v>
      </c>
      <c r="F828" s="1248">
        <v>4439900</v>
      </c>
      <c r="G828" s="1248"/>
      <c r="H828" s="1248">
        <v>225</v>
      </c>
      <c r="I828" s="1250"/>
      <c r="J828" s="384"/>
    </row>
    <row r="829" spans="2:10" ht="15" x14ac:dyDescent="0.2">
      <c r="B829" s="1247" t="s">
        <v>91</v>
      </c>
      <c r="C829" s="1248">
        <v>56</v>
      </c>
      <c r="D829" s="1248">
        <v>8</v>
      </c>
      <c r="E829" s="1248">
        <v>1</v>
      </c>
      <c r="F829" s="1248">
        <v>4439900</v>
      </c>
      <c r="G829" s="1248"/>
      <c r="H829" s="1248">
        <v>226</v>
      </c>
      <c r="I829" s="1250">
        <v>35</v>
      </c>
      <c r="J829" s="384"/>
    </row>
    <row r="830" spans="2:10" ht="15" x14ac:dyDescent="0.2">
      <c r="B830" s="1247" t="s">
        <v>94</v>
      </c>
      <c r="C830" s="1248">
        <v>56</v>
      </c>
      <c r="D830" s="1248">
        <v>8</v>
      </c>
      <c r="E830" s="1248">
        <v>1</v>
      </c>
      <c r="F830" s="1248">
        <v>4439900</v>
      </c>
      <c r="G830" s="1248"/>
      <c r="H830" s="1248">
        <v>290</v>
      </c>
      <c r="I830" s="1250">
        <v>20</v>
      </c>
      <c r="J830" s="384"/>
    </row>
    <row r="831" spans="2:10" ht="15" x14ac:dyDescent="0.2">
      <c r="B831" s="1247" t="s">
        <v>94</v>
      </c>
      <c r="C831" s="1248">
        <v>56</v>
      </c>
      <c r="D831" s="1248">
        <v>8</v>
      </c>
      <c r="E831" s="1248">
        <v>1</v>
      </c>
      <c r="F831" s="1248">
        <v>4439900</v>
      </c>
      <c r="G831" s="1248"/>
      <c r="H831" s="1248">
        <v>290</v>
      </c>
      <c r="I831" s="1250"/>
      <c r="J831" s="384"/>
    </row>
    <row r="832" spans="2:10" ht="15" x14ac:dyDescent="0.2">
      <c r="B832" s="1247" t="s">
        <v>96</v>
      </c>
      <c r="C832" s="1248">
        <v>56</v>
      </c>
      <c r="D832" s="1248">
        <v>8</v>
      </c>
      <c r="E832" s="1248">
        <v>1</v>
      </c>
      <c r="F832" s="1248">
        <v>4439900</v>
      </c>
      <c r="G832" s="1248"/>
      <c r="H832" s="1248">
        <v>310</v>
      </c>
      <c r="I832" s="1251">
        <v>165</v>
      </c>
      <c r="J832" s="384"/>
    </row>
    <row r="833" spans="2:10" ht="15" x14ac:dyDescent="0.2">
      <c r="B833" s="1247" t="s">
        <v>97</v>
      </c>
      <c r="C833" s="1248">
        <v>56</v>
      </c>
      <c r="D833" s="1248">
        <v>8</v>
      </c>
      <c r="E833" s="1248">
        <v>1</v>
      </c>
      <c r="F833" s="1248">
        <v>4439900</v>
      </c>
      <c r="G833" s="1248"/>
      <c r="H833" s="1248">
        <v>340</v>
      </c>
      <c r="I833" s="1250">
        <v>5</v>
      </c>
      <c r="J833" s="384"/>
    </row>
    <row r="834" spans="2:10" ht="15" x14ac:dyDescent="0.2">
      <c r="B834" s="1243" t="s">
        <v>767</v>
      </c>
      <c r="C834" s="1244">
        <v>56</v>
      </c>
      <c r="D834" s="1244">
        <v>8</v>
      </c>
      <c r="E834" s="1244">
        <v>1</v>
      </c>
      <c r="F834" s="1244">
        <v>4439900</v>
      </c>
      <c r="G834" s="1244">
        <v>612</v>
      </c>
      <c r="H834" s="1245">
        <v>241</v>
      </c>
      <c r="I834" s="1252">
        <v>0</v>
      </c>
      <c r="J834" s="384"/>
    </row>
    <row r="835" spans="2:10" ht="27" x14ac:dyDescent="0.2">
      <c r="B835" s="1239" t="s">
        <v>1175</v>
      </c>
      <c r="C835" s="1263">
        <v>56</v>
      </c>
      <c r="D835" s="1263">
        <v>8</v>
      </c>
      <c r="E835" s="1263">
        <v>1</v>
      </c>
      <c r="F835" s="1263">
        <v>4439900</v>
      </c>
      <c r="G835" s="1263">
        <v>600</v>
      </c>
      <c r="H835" s="1240"/>
      <c r="I835" s="1242">
        <v>10361.200000000001</v>
      </c>
      <c r="J835" s="384"/>
    </row>
    <row r="836" spans="2:10" ht="53" x14ac:dyDescent="0.2">
      <c r="B836" s="1243" t="s">
        <v>1135</v>
      </c>
      <c r="C836" s="1245">
        <v>56</v>
      </c>
      <c r="D836" s="1245">
        <v>8</v>
      </c>
      <c r="E836" s="1245">
        <v>1</v>
      </c>
      <c r="F836" s="1245">
        <v>4439900</v>
      </c>
      <c r="G836" s="1245">
        <v>611</v>
      </c>
      <c r="H836" s="1244">
        <v>241</v>
      </c>
      <c r="I836" s="1265">
        <v>10361.200000000001</v>
      </c>
      <c r="J836" s="384"/>
    </row>
    <row r="837" spans="2:10" ht="15" x14ac:dyDescent="0.2">
      <c r="B837" s="1247" t="s">
        <v>78</v>
      </c>
      <c r="C837" s="1248">
        <v>56</v>
      </c>
      <c r="D837" s="1248">
        <v>8</v>
      </c>
      <c r="E837" s="1248">
        <v>1</v>
      </c>
      <c r="F837" s="1248">
        <v>4439900</v>
      </c>
      <c r="G837" s="1248"/>
      <c r="H837" s="1248">
        <v>211</v>
      </c>
      <c r="I837" s="1249">
        <v>7521.5</v>
      </c>
      <c r="J837" s="384"/>
    </row>
    <row r="838" spans="2:10" ht="15" x14ac:dyDescent="0.2">
      <c r="B838" s="1247" t="s">
        <v>103</v>
      </c>
      <c r="C838" s="1248">
        <v>56</v>
      </c>
      <c r="D838" s="1248">
        <v>8</v>
      </c>
      <c r="E838" s="1248">
        <v>1</v>
      </c>
      <c r="F838" s="1248">
        <v>4439900</v>
      </c>
      <c r="G838" s="1248"/>
      <c r="H838" s="1248">
        <v>212</v>
      </c>
      <c r="I838" s="1314"/>
      <c r="J838" s="384"/>
    </row>
    <row r="839" spans="2:10" ht="15" x14ac:dyDescent="0.2">
      <c r="B839" s="1247" t="s">
        <v>84</v>
      </c>
      <c r="C839" s="1248">
        <v>56</v>
      </c>
      <c r="D839" s="1248">
        <v>8</v>
      </c>
      <c r="E839" s="1248">
        <v>1</v>
      </c>
      <c r="F839" s="1248">
        <v>4439900</v>
      </c>
      <c r="G839" s="1248"/>
      <c r="H839" s="1248">
        <v>213</v>
      </c>
      <c r="I839" s="1249">
        <v>2271.5</v>
      </c>
      <c r="J839" s="384"/>
    </row>
    <row r="840" spans="2:10" ht="15" x14ac:dyDescent="0.2">
      <c r="B840" s="1247" t="s">
        <v>85</v>
      </c>
      <c r="C840" s="1248">
        <v>56</v>
      </c>
      <c r="D840" s="1248">
        <v>8</v>
      </c>
      <c r="E840" s="1248">
        <v>1</v>
      </c>
      <c r="F840" s="1248">
        <v>4439900</v>
      </c>
      <c r="G840" s="1248"/>
      <c r="H840" s="1248">
        <v>221</v>
      </c>
      <c r="I840" s="1250"/>
      <c r="J840" s="384"/>
    </row>
    <row r="841" spans="2:10" ht="15" x14ac:dyDescent="0.2">
      <c r="B841" s="1247" t="s">
        <v>86</v>
      </c>
      <c r="C841" s="1248">
        <v>56</v>
      </c>
      <c r="D841" s="1248">
        <v>8</v>
      </c>
      <c r="E841" s="1248">
        <v>1</v>
      </c>
      <c r="F841" s="1248">
        <v>4439900</v>
      </c>
      <c r="G841" s="1248"/>
      <c r="H841" s="1248">
        <v>222</v>
      </c>
      <c r="I841" s="1250">
        <v>200</v>
      </c>
      <c r="J841" s="384"/>
    </row>
    <row r="842" spans="2:10" ht="15" x14ac:dyDescent="0.2">
      <c r="B842" s="1247" t="s">
        <v>87</v>
      </c>
      <c r="C842" s="1248">
        <v>56</v>
      </c>
      <c r="D842" s="1248">
        <v>8</v>
      </c>
      <c r="E842" s="1248">
        <v>1</v>
      </c>
      <c r="F842" s="1248">
        <v>4439900</v>
      </c>
      <c r="G842" s="1248"/>
      <c r="H842" s="1248">
        <v>223</v>
      </c>
      <c r="I842" s="1250"/>
      <c r="J842" s="384"/>
    </row>
    <row r="843" spans="2:10" ht="15" x14ac:dyDescent="0.2">
      <c r="B843" s="1247" t="s">
        <v>134</v>
      </c>
      <c r="C843" s="1248">
        <v>56</v>
      </c>
      <c r="D843" s="1248">
        <v>8</v>
      </c>
      <c r="E843" s="1248">
        <v>1</v>
      </c>
      <c r="F843" s="1248">
        <v>4439900</v>
      </c>
      <c r="G843" s="1248"/>
      <c r="H843" s="1248">
        <v>224</v>
      </c>
      <c r="I843" s="1250"/>
      <c r="J843" s="384"/>
    </row>
    <row r="844" spans="2:10" ht="15" x14ac:dyDescent="0.2">
      <c r="B844" s="1247" t="s">
        <v>90</v>
      </c>
      <c r="C844" s="1248">
        <v>56</v>
      </c>
      <c r="D844" s="1248">
        <v>8</v>
      </c>
      <c r="E844" s="1248">
        <v>1</v>
      </c>
      <c r="F844" s="1248">
        <v>4439900</v>
      </c>
      <c r="G844" s="1248"/>
      <c r="H844" s="1248">
        <v>225</v>
      </c>
      <c r="I844" s="1250"/>
      <c r="J844" s="384"/>
    </row>
    <row r="845" spans="2:10" ht="15" x14ac:dyDescent="0.2">
      <c r="B845" s="1247" t="s">
        <v>91</v>
      </c>
      <c r="C845" s="1248">
        <v>56</v>
      </c>
      <c r="D845" s="1248">
        <v>8</v>
      </c>
      <c r="E845" s="1248">
        <v>1</v>
      </c>
      <c r="F845" s="1248">
        <v>4439900</v>
      </c>
      <c r="G845" s="1248"/>
      <c r="H845" s="1248">
        <v>226</v>
      </c>
      <c r="I845" s="1250">
        <v>260.2</v>
      </c>
      <c r="J845" s="384"/>
    </row>
    <row r="846" spans="2:10" ht="15" x14ac:dyDescent="0.2">
      <c r="B846" s="1247" t="s">
        <v>94</v>
      </c>
      <c r="C846" s="1248">
        <v>56</v>
      </c>
      <c r="D846" s="1248">
        <v>8</v>
      </c>
      <c r="E846" s="1248">
        <v>1</v>
      </c>
      <c r="F846" s="1248">
        <v>4439900</v>
      </c>
      <c r="G846" s="1248"/>
      <c r="H846" s="1248">
        <v>290</v>
      </c>
      <c r="I846" s="1250">
        <v>18</v>
      </c>
      <c r="J846" s="384"/>
    </row>
    <row r="847" spans="2:10" ht="15" x14ac:dyDescent="0.2">
      <c r="B847" s="1247" t="s">
        <v>94</v>
      </c>
      <c r="C847" s="1248">
        <v>56</v>
      </c>
      <c r="D847" s="1248">
        <v>8</v>
      </c>
      <c r="E847" s="1248">
        <v>1</v>
      </c>
      <c r="F847" s="1248">
        <v>4439900</v>
      </c>
      <c r="G847" s="1248"/>
      <c r="H847" s="1248">
        <v>290</v>
      </c>
      <c r="I847" s="1250"/>
      <c r="J847" s="384"/>
    </row>
    <row r="848" spans="2:10" ht="15" x14ac:dyDescent="0.2">
      <c r="B848" s="1247" t="s">
        <v>96</v>
      </c>
      <c r="C848" s="1248">
        <v>56</v>
      </c>
      <c r="D848" s="1248">
        <v>8</v>
      </c>
      <c r="E848" s="1248">
        <v>1</v>
      </c>
      <c r="F848" s="1248">
        <v>4439900</v>
      </c>
      <c r="G848" s="1248"/>
      <c r="H848" s="1248">
        <v>310</v>
      </c>
      <c r="I848" s="1250">
        <v>30</v>
      </c>
      <c r="J848" s="384"/>
    </row>
    <row r="849" spans="2:10" ht="15" x14ac:dyDescent="0.2">
      <c r="B849" s="1247" t="s">
        <v>97</v>
      </c>
      <c r="C849" s="1248">
        <v>56</v>
      </c>
      <c r="D849" s="1248">
        <v>8</v>
      </c>
      <c r="E849" s="1248">
        <v>1</v>
      </c>
      <c r="F849" s="1248">
        <v>4439900</v>
      </c>
      <c r="G849" s="1248"/>
      <c r="H849" s="1248">
        <v>340</v>
      </c>
      <c r="I849" s="1250">
        <v>60</v>
      </c>
      <c r="J849" s="384"/>
    </row>
    <row r="850" spans="2:10" ht="15" x14ac:dyDescent="0.2">
      <c r="B850" s="1243" t="s">
        <v>767</v>
      </c>
      <c r="C850" s="1244">
        <v>56</v>
      </c>
      <c r="D850" s="1244">
        <v>8</v>
      </c>
      <c r="E850" s="1244">
        <v>1</v>
      </c>
      <c r="F850" s="1244">
        <v>4439900</v>
      </c>
      <c r="G850" s="1244">
        <v>612</v>
      </c>
      <c r="H850" s="1245">
        <v>241</v>
      </c>
      <c r="I850" s="1252">
        <v>0</v>
      </c>
      <c r="J850" s="384"/>
    </row>
    <row r="851" spans="2:10" ht="40" x14ac:dyDescent="0.2">
      <c r="B851" s="1239" t="s">
        <v>1176</v>
      </c>
      <c r="C851" s="1263">
        <v>56</v>
      </c>
      <c r="D851" s="1263">
        <v>8</v>
      </c>
      <c r="E851" s="1263">
        <v>1</v>
      </c>
      <c r="F851" s="1263">
        <v>4439900</v>
      </c>
      <c r="G851" s="1263">
        <v>600</v>
      </c>
      <c r="H851" s="1240"/>
      <c r="I851" s="1242">
        <v>8549.9</v>
      </c>
      <c r="J851" s="384"/>
    </row>
    <row r="852" spans="2:10" ht="53" x14ac:dyDescent="0.2">
      <c r="B852" s="1243" t="s">
        <v>1135</v>
      </c>
      <c r="C852" s="1245">
        <v>56</v>
      </c>
      <c r="D852" s="1245">
        <v>8</v>
      </c>
      <c r="E852" s="1245">
        <v>1</v>
      </c>
      <c r="F852" s="1245">
        <v>4439900</v>
      </c>
      <c r="G852" s="1245">
        <v>611</v>
      </c>
      <c r="H852" s="1244">
        <v>241</v>
      </c>
      <c r="I852" s="1265">
        <v>8549.9</v>
      </c>
      <c r="J852" s="384"/>
    </row>
    <row r="853" spans="2:10" ht="15" x14ac:dyDescent="0.2">
      <c r="B853" s="1247" t="s">
        <v>78</v>
      </c>
      <c r="C853" s="1248">
        <v>56</v>
      </c>
      <c r="D853" s="1248">
        <v>8</v>
      </c>
      <c r="E853" s="1248">
        <v>1</v>
      </c>
      <c r="F853" s="1248">
        <v>4439900</v>
      </c>
      <c r="G853" s="1248"/>
      <c r="H853" s="1248">
        <v>211</v>
      </c>
      <c r="I853" s="1249">
        <v>6376.8</v>
      </c>
      <c r="J853" s="384"/>
    </row>
    <row r="854" spans="2:10" ht="15" x14ac:dyDescent="0.2">
      <c r="B854" s="1247" t="s">
        <v>103</v>
      </c>
      <c r="C854" s="1248">
        <v>56</v>
      </c>
      <c r="D854" s="1248">
        <v>8</v>
      </c>
      <c r="E854" s="1248">
        <v>1</v>
      </c>
      <c r="F854" s="1248">
        <v>4439900</v>
      </c>
      <c r="G854" s="1248"/>
      <c r="H854" s="1248">
        <v>212</v>
      </c>
      <c r="I854" s="1314"/>
      <c r="J854" s="384"/>
    </row>
    <row r="855" spans="2:10" ht="15" x14ac:dyDescent="0.2">
      <c r="B855" s="1247" t="s">
        <v>84</v>
      </c>
      <c r="C855" s="1248">
        <v>56</v>
      </c>
      <c r="D855" s="1248">
        <v>8</v>
      </c>
      <c r="E855" s="1248">
        <v>1</v>
      </c>
      <c r="F855" s="1248">
        <v>4439900</v>
      </c>
      <c r="G855" s="1248"/>
      <c r="H855" s="1248">
        <v>213</v>
      </c>
      <c r="I855" s="1249">
        <v>1925.8</v>
      </c>
      <c r="J855" s="384"/>
    </row>
    <row r="856" spans="2:10" ht="15" x14ac:dyDescent="0.2">
      <c r="B856" s="1247" t="s">
        <v>85</v>
      </c>
      <c r="C856" s="1248">
        <v>56</v>
      </c>
      <c r="D856" s="1248">
        <v>8</v>
      </c>
      <c r="E856" s="1248">
        <v>1</v>
      </c>
      <c r="F856" s="1248">
        <v>4439900</v>
      </c>
      <c r="G856" s="1248"/>
      <c r="H856" s="1248">
        <v>221</v>
      </c>
      <c r="I856" s="1250"/>
      <c r="J856" s="384"/>
    </row>
    <row r="857" spans="2:10" ht="15" x14ac:dyDescent="0.2">
      <c r="B857" s="1247" t="s">
        <v>86</v>
      </c>
      <c r="C857" s="1248">
        <v>56</v>
      </c>
      <c r="D857" s="1248">
        <v>8</v>
      </c>
      <c r="E857" s="1248">
        <v>1</v>
      </c>
      <c r="F857" s="1248">
        <v>4439900</v>
      </c>
      <c r="G857" s="1248"/>
      <c r="H857" s="1248">
        <v>222</v>
      </c>
      <c r="I857" s="1250"/>
      <c r="J857" s="384"/>
    </row>
    <row r="858" spans="2:10" ht="15" x14ac:dyDescent="0.2">
      <c r="B858" s="1247" t="s">
        <v>87</v>
      </c>
      <c r="C858" s="1248">
        <v>56</v>
      </c>
      <c r="D858" s="1248">
        <v>8</v>
      </c>
      <c r="E858" s="1248">
        <v>1</v>
      </c>
      <c r="F858" s="1248">
        <v>4439900</v>
      </c>
      <c r="G858" s="1248"/>
      <c r="H858" s="1248">
        <v>223</v>
      </c>
      <c r="I858" s="1250"/>
      <c r="J858" s="384"/>
    </row>
    <row r="859" spans="2:10" ht="15" x14ac:dyDescent="0.2">
      <c r="B859" s="1247" t="s">
        <v>134</v>
      </c>
      <c r="C859" s="1248">
        <v>56</v>
      </c>
      <c r="D859" s="1248">
        <v>8</v>
      </c>
      <c r="E859" s="1248">
        <v>1</v>
      </c>
      <c r="F859" s="1248">
        <v>4439900</v>
      </c>
      <c r="G859" s="1248"/>
      <c r="H859" s="1248">
        <v>224</v>
      </c>
      <c r="I859" s="1250"/>
      <c r="J859" s="384"/>
    </row>
    <row r="860" spans="2:10" ht="15" x14ac:dyDescent="0.2">
      <c r="B860" s="1247" t="s">
        <v>90</v>
      </c>
      <c r="C860" s="1248">
        <v>56</v>
      </c>
      <c r="D860" s="1248">
        <v>8</v>
      </c>
      <c r="E860" s="1248">
        <v>1</v>
      </c>
      <c r="F860" s="1248">
        <v>4439900</v>
      </c>
      <c r="G860" s="1248"/>
      <c r="H860" s="1248">
        <v>225</v>
      </c>
      <c r="I860" s="1250">
        <v>25</v>
      </c>
      <c r="J860" s="384"/>
    </row>
    <row r="861" spans="2:10" ht="15" x14ac:dyDescent="0.2">
      <c r="B861" s="1247" t="s">
        <v>91</v>
      </c>
      <c r="C861" s="1248">
        <v>56</v>
      </c>
      <c r="D861" s="1248">
        <v>8</v>
      </c>
      <c r="E861" s="1248">
        <v>1</v>
      </c>
      <c r="F861" s="1248">
        <v>4439900</v>
      </c>
      <c r="G861" s="1248"/>
      <c r="H861" s="1248">
        <v>226</v>
      </c>
      <c r="I861" s="1250">
        <v>37.1</v>
      </c>
      <c r="J861" s="384"/>
    </row>
    <row r="862" spans="2:10" ht="15" x14ac:dyDescent="0.2">
      <c r="B862" s="1247" t="s">
        <v>94</v>
      </c>
      <c r="C862" s="1248">
        <v>56</v>
      </c>
      <c r="D862" s="1248">
        <v>8</v>
      </c>
      <c r="E862" s="1248">
        <v>1</v>
      </c>
      <c r="F862" s="1248">
        <v>4439900</v>
      </c>
      <c r="G862" s="1248"/>
      <c r="H862" s="1248">
        <v>290</v>
      </c>
      <c r="I862" s="1250">
        <v>15.2</v>
      </c>
      <c r="J862" s="384"/>
    </row>
    <row r="863" spans="2:10" ht="15" x14ac:dyDescent="0.2">
      <c r="B863" s="1247" t="s">
        <v>94</v>
      </c>
      <c r="C863" s="1248">
        <v>56</v>
      </c>
      <c r="D863" s="1248">
        <v>8</v>
      </c>
      <c r="E863" s="1248">
        <v>1</v>
      </c>
      <c r="F863" s="1248">
        <v>4439900</v>
      </c>
      <c r="G863" s="1248"/>
      <c r="H863" s="1248">
        <v>290</v>
      </c>
      <c r="I863" s="1250"/>
      <c r="J863" s="384"/>
    </row>
    <row r="864" spans="2:10" ht="15" x14ac:dyDescent="0.2">
      <c r="B864" s="1247" t="s">
        <v>96</v>
      </c>
      <c r="C864" s="1248">
        <v>56</v>
      </c>
      <c r="D864" s="1248">
        <v>8</v>
      </c>
      <c r="E864" s="1248">
        <v>1</v>
      </c>
      <c r="F864" s="1248">
        <v>4439900</v>
      </c>
      <c r="G864" s="1248"/>
      <c r="H864" s="1248">
        <v>310</v>
      </c>
      <c r="I864" s="1250">
        <v>170</v>
      </c>
      <c r="J864" s="384"/>
    </row>
    <row r="865" spans="2:10" ht="15" x14ac:dyDescent="0.2">
      <c r="B865" s="1247" t="s">
        <v>97</v>
      </c>
      <c r="C865" s="1248">
        <v>56</v>
      </c>
      <c r="D865" s="1248">
        <v>8</v>
      </c>
      <c r="E865" s="1248">
        <v>1</v>
      </c>
      <c r="F865" s="1248">
        <v>4439900</v>
      </c>
      <c r="G865" s="1248"/>
      <c r="H865" s="1248">
        <v>340</v>
      </c>
      <c r="I865" s="1250"/>
      <c r="J865" s="384"/>
    </row>
    <row r="866" spans="2:10" ht="15" x14ac:dyDescent="0.2">
      <c r="B866" s="1243" t="s">
        <v>767</v>
      </c>
      <c r="C866" s="1244">
        <v>56</v>
      </c>
      <c r="D866" s="1244">
        <v>8</v>
      </c>
      <c r="E866" s="1244">
        <v>1</v>
      </c>
      <c r="F866" s="1244">
        <v>4439900</v>
      </c>
      <c r="G866" s="1244">
        <v>612</v>
      </c>
      <c r="H866" s="1245">
        <v>241</v>
      </c>
      <c r="I866" s="1252">
        <v>0</v>
      </c>
      <c r="J866" s="384"/>
    </row>
    <row r="867" spans="2:10" ht="27" x14ac:dyDescent="0.2">
      <c r="B867" s="1239" t="s">
        <v>1177</v>
      </c>
      <c r="C867" s="1263">
        <v>56</v>
      </c>
      <c r="D867" s="1263">
        <v>8</v>
      </c>
      <c r="E867" s="1263">
        <v>1</v>
      </c>
      <c r="F867" s="1263">
        <v>4439900</v>
      </c>
      <c r="G867" s="1263">
        <v>600</v>
      </c>
      <c r="H867" s="1240"/>
      <c r="I867" s="1242">
        <v>19859.900000000001</v>
      </c>
      <c r="J867" s="384"/>
    </row>
    <row r="868" spans="2:10" ht="53" x14ac:dyDescent="0.2">
      <c r="B868" s="1243" t="s">
        <v>1135</v>
      </c>
      <c r="C868" s="1245">
        <v>56</v>
      </c>
      <c r="D868" s="1245">
        <v>8</v>
      </c>
      <c r="E868" s="1245">
        <v>1</v>
      </c>
      <c r="F868" s="1245">
        <v>4439900</v>
      </c>
      <c r="G868" s="1245">
        <v>611</v>
      </c>
      <c r="H868" s="1244">
        <v>241</v>
      </c>
      <c r="I868" s="1265">
        <v>3213.8</v>
      </c>
      <c r="J868" s="384"/>
    </row>
    <row r="869" spans="2:10" ht="15" x14ac:dyDescent="0.2">
      <c r="B869" s="1247" t="s">
        <v>78</v>
      </c>
      <c r="C869" s="1248">
        <v>56</v>
      </c>
      <c r="D869" s="1248">
        <v>8</v>
      </c>
      <c r="E869" s="1248">
        <v>1</v>
      </c>
      <c r="F869" s="1248">
        <v>4439900</v>
      </c>
      <c r="G869" s="1248"/>
      <c r="H869" s="1248">
        <v>211</v>
      </c>
      <c r="I869" s="1249">
        <v>1732.5</v>
      </c>
      <c r="J869" s="384"/>
    </row>
    <row r="870" spans="2:10" ht="15" x14ac:dyDescent="0.2">
      <c r="B870" s="1247" t="s">
        <v>103</v>
      </c>
      <c r="C870" s="1248">
        <v>56</v>
      </c>
      <c r="D870" s="1248">
        <v>8</v>
      </c>
      <c r="E870" s="1248">
        <v>1</v>
      </c>
      <c r="F870" s="1248">
        <v>4439900</v>
      </c>
      <c r="G870" s="1248"/>
      <c r="H870" s="1248">
        <v>212</v>
      </c>
      <c r="I870" s="1314"/>
      <c r="J870" s="384"/>
    </row>
    <row r="871" spans="2:10" ht="15" x14ac:dyDescent="0.2">
      <c r="B871" s="1247" t="s">
        <v>84</v>
      </c>
      <c r="C871" s="1248">
        <v>56</v>
      </c>
      <c r="D871" s="1248">
        <v>8</v>
      </c>
      <c r="E871" s="1248">
        <v>1</v>
      </c>
      <c r="F871" s="1248">
        <v>4439900</v>
      </c>
      <c r="G871" s="1248"/>
      <c r="H871" s="1248">
        <v>213</v>
      </c>
      <c r="I871" s="1250">
        <v>523.20000000000005</v>
      </c>
      <c r="J871" s="384"/>
    </row>
    <row r="872" spans="2:10" ht="15" x14ac:dyDescent="0.2">
      <c r="B872" s="1247" t="s">
        <v>85</v>
      </c>
      <c r="C872" s="1248">
        <v>56</v>
      </c>
      <c r="D872" s="1248">
        <v>8</v>
      </c>
      <c r="E872" s="1248">
        <v>1</v>
      </c>
      <c r="F872" s="1248">
        <v>4439900</v>
      </c>
      <c r="G872" s="1248"/>
      <c r="H872" s="1248">
        <v>221</v>
      </c>
      <c r="I872" s="1250"/>
      <c r="J872" s="384"/>
    </row>
    <row r="873" spans="2:10" ht="15" x14ac:dyDescent="0.2">
      <c r="B873" s="1247" t="s">
        <v>86</v>
      </c>
      <c r="C873" s="1248">
        <v>56</v>
      </c>
      <c r="D873" s="1248">
        <v>8</v>
      </c>
      <c r="E873" s="1248">
        <v>1</v>
      </c>
      <c r="F873" s="1248">
        <v>4439900</v>
      </c>
      <c r="G873" s="1248"/>
      <c r="H873" s="1248">
        <v>222</v>
      </c>
      <c r="I873" s="1250"/>
      <c r="J873" s="384"/>
    </row>
    <row r="874" spans="2:10" ht="15" x14ac:dyDescent="0.2">
      <c r="B874" s="1247" t="s">
        <v>87</v>
      </c>
      <c r="C874" s="1248">
        <v>56</v>
      </c>
      <c r="D874" s="1248">
        <v>8</v>
      </c>
      <c r="E874" s="1248">
        <v>1</v>
      </c>
      <c r="F874" s="1248">
        <v>4439900</v>
      </c>
      <c r="G874" s="1248"/>
      <c r="H874" s="1248">
        <v>223</v>
      </c>
      <c r="I874" s="1250"/>
      <c r="J874" s="384"/>
    </row>
    <row r="875" spans="2:10" ht="15" x14ac:dyDescent="0.2">
      <c r="B875" s="1247" t="s">
        <v>134</v>
      </c>
      <c r="C875" s="1248">
        <v>56</v>
      </c>
      <c r="D875" s="1248">
        <v>8</v>
      </c>
      <c r="E875" s="1248">
        <v>1</v>
      </c>
      <c r="F875" s="1248">
        <v>4439900</v>
      </c>
      <c r="G875" s="1248"/>
      <c r="H875" s="1248">
        <v>224</v>
      </c>
      <c r="I875" s="1250">
        <v>720</v>
      </c>
      <c r="J875" s="384"/>
    </row>
    <row r="876" spans="2:10" ht="15" x14ac:dyDescent="0.2">
      <c r="B876" s="1247" t="s">
        <v>90</v>
      </c>
      <c r="C876" s="1248">
        <v>56</v>
      </c>
      <c r="D876" s="1248">
        <v>8</v>
      </c>
      <c r="E876" s="1248">
        <v>1</v>
      </c>
      <c r="F876" s="1248">
        <v>4439900</v>
      </c>
      <c r="G876" s="1248"/>
      <c r="H876" s="1248">
        <v>225</v>
      </c>
      <c r="I876" s="1250">
        <v>0</v>
      </c>
      <c r="J876" s="384"/>
    </row>
    <row r="877" spans="2:10" ht="15" x14ac:dyDescent="0.2">
      <c r="B877" s="1247" t="s">
        <v>91</v>
      </c>
      <c r="C877" s="1248">
        <v>56</v>
      </c>
      <c r="D877" s="1248">
        <v>8</v>
      </c>
      <c r="E877" s="1248">
        <v>1</v>
      </c>
      <c r="F877" s="1248">
        <v>4439900</v>
      </c>
      <c r="G877" s="1248"/>
      <c r="H877" s="1248">
        <v>226</v>
      </c>
      <c r="I877" s="1250">
        <v>165</v>
      </c>
      <c r="J877" s="384"/>
    </row>
    <row r="878" spans="2:10" ht="15" x14ac:dyDescent="0.2">
      <c r="B878" s="1247" t="s">
        <v>94</v>
      </c>
      <c r="C878" s="1248">
        <v>56</v>
      </c>
      <c r="D878" s="1248">
        <v>8</v>
      </c>
      <c r="E878" s="1248">
        <v>1</v>
      </c>
      <c r="F878" s="1248">
        <v>4439900</v>
      </c>
      <c r="G878" s="1248"/>
      <c r="H878" s="1248">
        <v>290</v>
      </c>
      <c r="I878" s="1250">
        <v>4.0999999999999996</v>
      </c>
      <c r="J878" s="384"/>
    </row>
    <row r="879" spans="2:10" ht="15" x14ac:dyDescent="0.2">
      <c r="B879" s="1247" t="s">
        <v>94</v>
      </c>
      <c r="C879" s="1248">
        <v>56</v>
      </c>
      <c r="D879" s="1248">
        <v>8</v>
      </c>
      <c r="E879" s="1248">
        <v>1</v>
      </c>
      <c r="F879" s="1248">
        <v>4439900</v>
      </c>
      <c r="G879" s="1248"/>
      <c r="H879" s="1248">
        <v>290</v>
      </c>
      <c r="I879" s="1250"/>
      <c r="J879" s="384"/>
    </row>
    <row r="880" spans="2:10" ht="15" x14ac:dyDescent="0.2">
      <c r="B880" s="1247" t="s">
        <v>96</v>
      </c>
      <c r="C880" s="1248">
        <v>56</v>
      </c>
      <c r="D880" s="1248">
        <v>8</v>
      </c>
      <c r="E880" s="1248">
        <v>1</v>
      </c>
      <c r="F880" s="1248">
        <v>4439900</v>
      </c>
      <c r="G880" s="1248"/>
      <c r="H880" s="1248">
        <v>310</v>
      </c>
      <c r="I880" s="1251"/>
      <c r="J880" s="384"/>
    </row>
    <row r="881" spans="2:10" ht="15" x14ac:dyDescent="0.2">
      <c r="B881" s="1247" t="s">
        <v>97</v>
      </c>
      <c r="C881" s="1248">
        <v>56</v>
      </c>
      <c r="D881" s="1248">
        <v>8</v>
      </c>
      <c r="E881" s="1248">
        <v>1</v>
      </c>
      <c r="F881" s="1248">
        <v>4439900</v>
      </c>
      <c r="G881" s="1248"/>
      <c r="H881" s="1248">
        <v>340</v>
      </c>
      <c r="I881" s="1250">
        <v>69</v>
      </c>
      <c r="J881" s="384"/>
    </row>
    <row r="882" spans="2:10" ht="15" x14ac:dyDescent="0.2">
      <c r="B882" s="1243" t="s">
        <v>767</v>
      </c>
      <c r="C882" s="1244">
        <v>56</v>
      </c>
      <c r="D882" s="1244">
        <v>8</v>
      </c>
      <c r="E882" s="1244">
        <v>1</v>
      </c>
      <c r="F882" s="1244">
        <v>4439900</v>
      </c>
      <c r="G882" s="1244">
        <v>612</v>
      </c>
      <c r="H882" s="1245">
        <v>241</v>
      </c>
      <c r="I882" s="1270">
        <v>16646.099999999999</v>
      </c>
      <c r="J882" s="384"/>
    </row>
    <row r="883" spans="2:10" ht="40" x14ac:dyDescent="0.2">
      <c r="B883" s="1239" t="s">
        <v>1178</v>
      </c>
      <c r="C883" s="1263">
        <v>56</v>
      </c>
      <c r="D883" s="1263">
        <v>8</v>
      </c>
      <c r="E883" s="1263">
        <v>1</v>
      </c>
      <c r="F883" s="1263">
        <v>4439900</v>
      </c>
      <c r="G883" s="1263">
        <v>600</v>
      </c>
      <c r="H883" s="1240"/>
      <c r="I883" s="1242">
        <v>70032.126999999993</v>
      </c>
      <c r="J883" s="384"/>
    </row>
    <row r="884" spans="2:10" ht="53" x14ac:dyDescent="0.2">
      <c r="B884" s="1243" t="s">
        <v>1135</v>
      </c>
      <c r="C884" s="1245">
        <v>56</v>
      </c>
      <c r="D884" s="1245">
        <v>8</v>
      </c>
      <c r="E884" s="1245">
        <v>1</v>
      </c>
      <c r="F884" s="1245">
        <v>4439900</v>
      </c>
      <c r="G884" s="1245">
        <v>611</v>
      </c>
      <c r="H884" s="1244">
        <v>241</v>
      </c>
      <c r="I884" s="1265">
        <v>66107.126999999993</v>
      </c>
      <c r="J884" s="384"/>
    </row>
    <row r="885" spans="2:10" ht="15" x14ac:dyDescent="0.2">
      <c r="B885" s="1247" t="s">
        <v>78</v>
      </c>
      <c r="C885" s="1248">
        <v>56</v>
      </c>
      <c r="D885" s="1248">
        <v>8</v>
      </c>
      <c r="E885" s="1248">
        <v>1</v>
      </c>
      <c r="F885" s="1248">
        <v>4439900</v>
      </c>
      <c r="G885" s="1248"/>
      <c r="H885" s="1248">
        <v>211</v>
      </c>
      <c r="I885" s="1249">
        <v>48002.6</v>
      </c>
      <c r="J885" s="384"/>
    </row>
    <row r="886" spans="2:10" ht="15" x14ac:dyDescent="0.2">
      <c r="B886" s="1247" t="s">
        <v>103</v>
      </c>
      <c r="C886" s="1248">
        <v>56</v>
      </c>
      <c r="D886" s="1248">
        <v>8</v>
      </c>
      <c r="E886" s="1248">
        <v>1</v>
      </c>
      <c r="F886" s="1248">
        <v>4439900</v>
      </c>
      <c r="G886" s="1248"/>
      <c r="H886" s="1248">
        <v>212</v>
      </c>
      <c r="I886" s="1314"/>
      <c r="J886" s="384"/>
    </row>
    <row r="887" spans="2:10" ht="15" x14ac:dyDescent="0.2">
      <c r="B887" s="1247" t="s">
        <v>84</v>
      </c>
      <c r="C887" s="1248">
        <v>56</v>
      </c>
      <c r="D887" s="1248">
        <v>8</v>
      </c>
      <c r="E887" s="1248">
        <v>1</v>
      </c>
      <c r="F887" s="1248">
        <v>4439900</v>
      </c>
      <c r="G887" s="1248"/>
      <c r="H887" s="1248">
        <v>213</v>
      </c>
      <c r="I887" s="1249">
        <v>14496.9</v>
      </c>
      <c r="J887" s="384"/>
    </row>
    <row r="888" spans="2:10" ht="15" x14ac:dyDescent="0.2">
      <c r="B888" s="1247" t="s">
        <v>85</v>
      </c>
      <c r="C888" s="1248">
        <v>56</v>
      </c>
      <c r="D888" s="1248">
        <v>8</v>
      </c>
      <c r="E888" s="1248">
        <v>1</v>
      </c>
      <c r="F888" s="1248">
        <v>4439900</v>
      </c>
      <c r="G888" s="1248"/>
      <c r="H888" s="1248">
        <v>221</v>
      </c>
      <c r="I888" s="1250"/>
      <c r="J888" s="384"/>
    </row>
    <row r="889" spans="2:10" ht="15" x14ac:dyDescent="0.2">
      <c r="B889" s="1247" t="s">
        <v>86</v>
      </c>
      <c r="C889" s="1248">
        <v>56</v>
      </c>
      <c r="D889" s="1248">
        <v>8</v>
      </c>
      <c r="E889" s="1248">
        <v>1</v>
      </c>
      <c r="F889" s="1248">
        <v>4439900</v>
      </c>
      <c r="G889" s="1248"/>
      <c r="H889" s="1248">
        <v>222</v>
      </c>
      <c r="I889" s="1250"/>
      <c r="J889" s="384"/>
    </row>
    <row r="890" spans="2:10" ht="15" x14ac:dyDescent="0.2">
      <c r="B890" s="1247" t="s">
        <v>87</v>
      </c>
      <c r="C890" s="1248">
        <v>56</v>
      </c>
      <c r="D890" s="1248">
        <v>8</v>
      </c>
      <c r="E890" s="1248">
        <v>1</v>
      </c>
      <c r="F890" s="1248">
        <v>4439900</v>
      </c>
      <c r="G890" s="1248"/>
      <c r="H890" s="1248">
        <v>223</v>
      </c>
      <c r="I890" s="1250">
        <v>363.3</v>
      </c>
      <c r="J890" s="384"/>
    </row>
    <row r="891" spans="2:10" ht="15" x14ac:dyDescent="0.2">
      <c r="B891" s="1247" t="s">
        <v>134</v>
      </c>
      <c r="C891" s="1248">
        <v>56</v>
      </c>
      <c r="D891" s="1248">
        <v>8</v>
      </c>
      <c r="E891" s="1248">
        <v>1</v>
      </c>
      <c r="F891" s="1248">
        <v>4439900</v>
      </c>
      <c r="G891" s="1248"/>
      <c r="H891" s="1248">
        <v>224</v>
      </c>
      <c r="I891" s="1250"/>
      <c r="J891" s="384"/>
    </row>
    <row r="892" spans="2:10" ht="15" x14ac:dyDescent="0.2">
      <c r="B892" s="1247" t="s">
        <v>90</v>
      </c>
      <c r="C892" s="1248">
        <v>56</v>
      </c>
      <c r="D892" s="1248">
        <v>8</v>
      </c>
      <c r="E892" s="1248">
        <v>1</v>
      </c>
      <c r="F892" s="1248">
        <v>4439900</v>
      </c>
      <c r="G892" s="1248"/>
      <c r="H892" s="1248">
        <v>225</v>
      </c>
      <c r="I892" s="1250">
        <v>35.700000000000003</v>
      </c>
      <c r="J892" s="384"/>
    </row>
    <row r="893" spans="2:10" ht="15" x14ac:dyDescent="0.2">
      <c r="B893" s="1247" t="s">
        <v>91</v>
      </c>
      <c r="C893" s="1248">
        <v>56</v>
      </c>
      <c r="D893" s="1248">
        <v>8</v>
      </c>
      <c r="E893" s="1248">
        <v>1</v>
      </c>
      <c r="F893" s="1248">
        <v>4439900</v>
      </c>
      <c r="G893" s="1248"/>
      <c r="H893" s="1248">
        <v>226</v>
      </c>
      <c r="I893" s="1249">
        <v>2098.527</v>
      </c>
      <c r="J893" s="384"/>
    </row>
    <row r="894" spans="2:10" ht="15" x14ac:dyDescent="0.2">
      <c r="B894" s="1247" t="s">
        <v>94</v>
      </c>
      <c r="C894" s="1248">
        <v>56</v>
      </c>
      <c r="D894" s="1248">
        <v>8</v>
      </c>
      <c r="E894" s="1248">
        <v>1</v>
      </c>
      <c r="F894" s="1248">
        <v>4439900</v>
      </c>
      <c r="G894" s="1248"/>
      <c r="H894" s="1248">
        <v>290</v>
      </c>
      <c r="I894" s="1250">
        <v>243.8</v>
      </c>
      <c r="J894" s="384"/>
    </row>
    <row r="895" spans="2:10" ht="15" x14ac:dyDescent="0.2">
      <c r="B895" s="1247" t="s">
        <v>94</v>
      </c>
      <c r="C895" s="1248">
        <v>56</v>
      </c>
      <c r="D895" s="1248">
        <v>8</v>
      </c>
      <c r="E895" s="1248">
        <v>1</v>
      </c>
      <c r="F895" s="1248">
        <v>4439900</v>
      </c>
      <c r="G895" s="1248"/>
      <c r="H895" s="1248">
        <v>290</v>
      </c>
      <c r="I895" s="1250"/>
      <c r="J895" s="384"/>
    </row>
    <row r="896" spans="2:10" ht="15" x14ac:dyDescent="0.2">
      <c r="B896" s="1247" t="s">
        <v>96</v>
      </c>
      <c r="C896" s="1248">
        <v>56</v>
      </c>
      <c r="D896" s="1248">
        <v>8</v>
      </c>
      <c r="E896" s="1248">
        <v>1</v>
      </c>
      <c r="F896" s="1248">
        <v>4439900</v>
      </c>
      <c r="G896" s="1248"/>
      <c r="H896" s="1248">
        <v>310</v>
      </c>
      <c r="I896" s="1251"/>
      <c r="J896" s="384"/>
    </row>
    <row r="897" spans="2:10" ht="15" x14ac:dyDescent="0.2">
      <c r="B897" s="1247" t="s">
        <v>97</v>
      </c>
      <c r="C897" s="1248">
        <v>56</v>
      </c>
      <c r="D897" s="1248">
        <v>8</v>
      </c>
      <c r="E897" s="1248">
        <v>1</v>
      </c>
      <c r="F897" s="1248">
        <v>4439900</v>
      </c>
      <c r="G897" s="1248"/>
      <c r="H897" s="1248">
        <v>340</v>
      </c>
      <c r="I897" s="1250">
        <v>866.3</v>
      </c>
      <c r="J897" s="384"/>
    </row>
    <row r="898" spans="2:10" ht="15" x14ac:dyDescent="0.2">
      <c r="B898" s="1243" t="s">
        <v>767</v>
      </c>
      <c r="C898" s="1244">
        <v>56</v>
      </c>
      <c r="D898" s="1244">
        <v>8</v>
      </c>
      <c r="E898" s="1244">
        <v>1</v>
      </c>
      <c r="F898" s="1244">
        <v>4439900</v>
      </c>
      <c r="G898" s="1244">
        <v>612</v>
      </c>
      <c r="H898" s="1245">
        <v>241</v>
      </c>
      <c r="I898" s="1270">
        <v>3925</v>
      </c>
      <c r="J898" s="384"/>
    </row>
    <row r="899" spans="2:10" ht="27" x14ac:dyDescent="0.2">
      <c r="B899" s="1239" t="s">
        <v>1179</v>
      </c>
      <c r="C899" s="1263">
        <v>56</v>
      </c>
      <c r="D899" s="1263">
        <v>8</v>
      </c>
      <c r="E899" s="1263">
        <v>1</v>
      </c>
      <c r="F899" s="1263">
        <v>4439900</v>
      </c>
      <c r="G899" s="1263">
        <v>600</v>
      </c>
      <c r="H899" s="1240"/>
      <c r="I899" s="1242">
        <v>7819.5</v>
      </c>
      <c r="J899" s="384"/>
    </row>
    <row r="900" spans="2:10" ht="53" x14ac:dyDescent="0.2">
      <c r="B900" s="1243" t="s">
        <v>1135</v>
      </c>
      <c r="C900" s="1245">
        <v>56</v>
      </c>
      <c r="D900" s="1245">
        <v>8</v>
      </c>
      <c r="E900" s="1245">
        <v>1</v>
      </c>
      <c r="F900" s="1245">
        <v>4439900</v>
      </c>
      <c r="G900" s="1245">
        <v>611</v>
      </c>
      <c r="H900" s="1244">
        <v>241</v>
      </c>
      <c r="I900" s="1265">
        <v>7119.5</v>
      </c>
      <c r="J900" s="384"/>
    </row>
    <row r="901" spans="2:10" ht="15" x14ac:dyDescent="0.2">
      <c r="B901" s="1247" t="s">
        <v>78</v>
      </c>
      <c r="C901" s="1248">
        <v>56</v>
      </c>
      <c r="D901" s="1248">
        <v>8</v>
      </c>
      <c r="E901" s="1248">
        <v>1</v>
      </c>
      <c r="F901" s="1248">
        <v>4439900</v>
      </c>
      <c r="G901" s="1248"/>
      <c r="H901" s="1248">
        <v>211</v>
      </c>
      <c r="I901" s="1249">
        <v>5169.2</v>
      </c>
      <c r="J901" s="384"/>
    </row>
    <row r="902" spans="2:10" ht="15" x14ac:dyDescent="0.2">
      <c r="B902" s="1247" t="s">
        <v>103</v>
      </c>
      <c r="C902" s="1248">
        <v>56</v>
      </c>
      <c r="D902" s="1248">
        <v>8</v>
      </c>
      <c r="E902" s="1248">
        <v>1</v>
      </c>
      <c r="F902" s="1248">
        <v>4439900</v>
      </c>
      <c r="G902" s="1248"/>
      <c r="H902" s="1248">
        <v>212</v>
      </c>
      <c r="I902" s="1314"/>
      <c r="J902" s="384"/>
    </row>
    <row r="903" spans="2:10" ht="15" x14ac:dyDescent="0.2">
      <c r="B903" s="1247" t="s">
        <v>84</v>
      </c>
      <c r="C903" s="1248">
        <v>56</v>
      </c>
      <c r="D903" s="1248">
        <v>8</v>
      </c>
      <c r="E903" s="1248">
        <v>1</v>
      </c>
      <c r="F903" s="1248">
        <v>4439900</v>
      </c>
      <c r="G903" s="1248"/>
      <c r="H903" s="1248">
        <v>213</v>
      </c>
      <c r="I903" s="1249">
        <v>1561.1</v>
      </c>
      <c r="J903" s="384"/>
    </row>
    <row r="904" spans="2:10" ht="15" x14ac:dyDescent="0.2">
      <c r="B904" s="1247" t="s">
        <v>85</v>
      </c>
      <c r="C904" s="1248">
        <v>56</v>
      </c>
      <c r="D904" s="1248">
        <v>8</v>
      </c>
      <c r="E904" s="1248">
        <v>1</v>
      </c>
      <c r="F904" s="1248">
        <v>4439900</v>
      </c>
      <c r="G904" s="1248"/>
      <c r="H904" s="1248">
        <v>221</v>
      </c>
      <c r="I904" s="1250"/>
      <c r="J904" s="384"/>
    </row>
    <row r="905" spans="2:10" ht="15" x14ac:dyDescent="0.2">
      <c r="B905" s="1247" t="s">
        <v>86</v>
      </c>
      <c r="C905" s="1248">
        <v>56</v>
      </c>
      <c r="D905" s="1248">
        <v>8</v>
      </c>
      <c r="E905" s="1248">
        <v>1</v>
      </c>
      <c r="F905" s="1248">
        <v>4439900</v>
      </c>
      <c r="G905" s="1248"/>
      <c r="H905" s="1248">
        <v>222</v>
      </c>
      <c r="I905" s="1250"/>
      <c r="J905" s="384"/>
    </row>
    <row r="906" spans="2:10" ht="15" x14ac:dyDescent="0.2">
      <c r="B906" s="1247" t="s">
        <v>87</v>
      </c>
      <c r="C906" s="1248">
        <v>56</v>
      </c>
      <c r="D906" s="1248">
        <v>8</v>
      </c>
      <c r="E906" s="1248">
        <v>1</v>
      </c>
      <c r="F906" s="1248">
        <v>4439900</v>
      </c>
      <c r="G906" s="1248"/>
      <c r="H906" s="1248">
        <v>223</v>
      </c>
      <c r="I906" s="1250">
        <v>23.2</v>
      </c>
      <c r="J906" s="384"/>
    </row>
    <row r="907" spans="2:10" ht="15" x14ac:dyDescent="0.2">
      <c r="B907" s="1247" t="s">
        <v>134</v>
      </c>
      <c r="C907" s="1248">
        <v>56</v>
      </c>
      <c r="D907" s="1248">
        <v>8</v>
      </c>
      <c r="E907" s="1248">
        <v>1</v>
      </c>
      <c r="F907" s="1248">
        <v>4439900</v>
      </c>
      <c r="G907" s="1248"/>
      <c r="H907" s="1248">
        <v>224</v>
      </c>
      <c r="I907" s="1236">
        <v>60</v>
      </c>
      <c r="J907" s="384"/>
    </row>
    <row r="908" spans="2:10" ht="15" x14ac:dyDescent="0.2">
      <c r="B908" s="1247" t="s">
        <v>90</v>
      </c>
      <c r="C908" s="1248">
        <v>56</v>
      </c>
      <c r="D908" s="1248">
        <v>8</v>
      </c>
      <c r="E908" s="1248">
        <v>1</v>
      </c>
      <c r="F908" s="1248">
        <v>4439900</v>
      </c>
      <c r="G908" s="1248"/>
      <c r="H908" s="1248">
        <v>225</v>
      </c>
      <c r="I908" s="1250">
        <v>45</v>
      </c>
      <c r="J908" s="384"/>
    </row>
    <row r="909" spans="2:10" ht="15" x14ac:dyDescent="0.2">
      <c r="B909" s="1247" t="s">
        <v>91</v>
      </c>
      <c r="C909" s="1248">
        <v>56</v>
      </c>
      <c r="D909" s="1248">
        <v>8</v>
      </c>
      <c r="E909" s="1248">
        <v>1</v>
      </c>
      <c r="F909" s="1248">
        <v>4439900</v>
      </c>
      <c r="G909" s="1248"/>
      <c r="H909" s="1248">
        <v>226</v>
      </c>
      <c r="I909" s="1250">
        <v>35</v>
      </c>
      <c r="J909" s="384"/>
    </row>
    <row r="910" spans="2:10" ht="15" x14ac:dyDescent="0.2">
      <c r="B910" s="1247" t="s">
        <v>94</v>
      </c>
      <c r="C910" s="1248">
        <v>56</v>
      </c>
      <c r="D910" s="1248">
        <v>8</v>
      </c>
      <c r="E910" s="1248">
        <v>1</v>
      </c>
      <c r="F910" s="1248">
        <v>4439900</v>
      </c>
      <c r="G910" s="1248"/>
      <c r="H910" s="1248">
        <v>290</v>
      </c>
      <c r="I910" s="1250">
        <v>26</v>
      </c>
      <c r="J910" s="384"/>
    </row>
    <row r="911" spans="2:10" ht="15" x14ac:dyDescent="0.2">
      <c r="B911" s="1247" t="s">
        <v>94</v>
      </c>
      <c r="C911" s="1248">
        <v>56</v>
      </c>
      <c r="D911" s="1248">
        <v>8</v>
      </c>
      <c r="E911" s="1248">
        <v>1</v>
      </c>
      <c r="F911" s="1248">
        <v>4439900</v>
      </c>
      <c r="G911" s="1248"/>
      <c r="H911" s="1248">
        <v>290</v>
      </c>
      <c r="I911" s="1250"/>
      <c r="J911" s="384"/>
    </row>
    <row r="912" spans="2:10" ht="15" x14ac:dyDescent="0.2">
      <c r="B912" s="1247" t="s">
        <v>96</v>
      </c>
      <c r="C912" s="1248">
        <v>56</v>
      </c>
      <c r="D912" s="1248">
        <v>8</v>
      </c>
      <c r="E912" s="1248">
        <v>1</v>
      </c>
      <c r="F912" s="1248">
        <v>4439900</v>
      </c>
      <c r="G912" s="1248"/>
      <c r="H912" s="1248">
        <v>310</v>
      </c>
      <c r="I912" s="1250">
        <v>200</v>
      </c>
      <c r="J912" s="384"/>
    </row>
    <row r="913" spans="2:10" ht="15" x14ac:dyDescent="0.2">
      <c r="B913" s="1247" t="s">
        <v>97</v>
      </c>
      <c r="C913" s="1248">
        <v>56</v>
      </c>
      <c r="D913" s="1248">
        <v>8</v>
      </c>
      <c r="E913" s="1248">
        <v>1</v>
      </c>
      <c r="F913" s="1248">
        <v>4439900</v>
      </c>
      <c r="G913" s="1248"/>
      <c r="H913" s="1248">
        <v>340</v>
      </c>
      <c r="I913" s="1250"/>
      <c r="J913" s="384"/>
    </row>
    <row r="914" spans="2:10" ht="15" x14ac:dyDescent="0.2">
      <c r="B914" s="1243" t="s">
        <v>767</v>
      </c>
      <c r="C914" s="1244">
        <v>56</v>
      </c>
      <c r="D914" s="1244">
        <v>8</v>
      </c>
      <c r="E914" s="1244">
        <v>1</v>
      </c>
      <c r="F914" s="1244">
        <v>4439900</v>
      </c>
      <c r="G914" s="1244">
        <v>612</v>
      </c>
      <c r="H914" s="1245">
        <v>241</v>
      </c>
      <c r="I914" s="1252">
        <v>700</v>
      </c>
      <c r="J914" s="384"/>
    </row>
    <row r="915" spans="2:10" ht="29" x14ac:dyDescent="0.2">
      <c r="B915" s="1309" t="s">
        <v>1180</v>
      </c>
      <c r="C915" s="1310">
        <v>56</v>
      </c>
      <c r="D915" s="1310">
        <v>8</v>
      </c>
      <c r="E915" s="1310">
        <v>1</v>
      </c>
      <c r="F915" s="1310">
        <v>5221400</v>
      </c>
      <c r="G915" s="1310"/>
      <c r="H915" s="1310"/>
      <c r="I915" s="1342">
        <v>9097.5</v>
      </c>
      <c r="J915" s="384"/>
    </row>
    <row r="916" spans="2:10" ht="57" x14ac:dyDescent="0.2">
      <c r="B916" s="1284" t="s">
        <v>1181</v>
      </c>
      <c r="C916" s="1307">
        <v>56</v>
      </c>
      <c r="D916" s="1307">
        <v>8</v>
      </c>
      <c r="E916" s="1307">
        <v>1</v>
      </c>
      <c r="F916" s="1307">
        <v>5221440</v>
      </c>
      <c r="G916" s="1307"/>
      <c r="H916" s="1307"/>
      <c r="I916" s="1343">
        <v>9097.5</v>
      </c>
      <c r="J916" s="384"/>
    </row>
    <row r="917" spans="2:10" ht="43" x14ac:dyDescent="0.2">
      <c r="B917" s="1284" t="s">
        <v>1110</v>
      </c>
      <c r="C917" s="1307">
        <v>56</v>
      </c>
      <c r="D917" s="1307">
        <v>8</v>
      </c>
      <c r="E917" s="1307">
        <v>1</v>
      </c>
      <c r="F917" s="1307">
        <v>5221441</v>
      </c>
      <c r="G917" s="1307"/>
      <c r="H917" s="1307"/>
      <c r="I917" s="1343">
        <v>9097.5</v>
      </c>
      <c r="J917" s="384"/>
    </row>
    <row r="918" spans="2:10" ht="43" x14ac:dyDescent="0.2">
      <c r="B918" s="1284" t="s">
        <v>1094</v>
      </c>
      <c r="C918" s="1307">
        <v>56</v>
      </c>
      <c r="D918" s="1307">
        <v>8</v>
      </c>
      <c r="E918" s="1307">
        <v>1</v>
      </c>
      <c r="F918" s="1307">
        <v>5221441</v>
      </c>
      <c r="G918" s="1307">
        <v>630</v>
      </c>
      <c r="H918" s="1307"/>
      <c r="I918" s="1343">
        <v>9097.5</v>
      </c>
      <c r="J918" s="384"/>
    </row>
    <row r="919" spans="2:10" ht="15" x14ac:dyDescent="0.2">
      <c r="B919" s="1344" t="s">
        <v>181</v>
      </c>
      <c r="C919" s="1307">
        <v>56</v>
      </c>
      <c r="D919" s="1307">
        <v>8</v>
      </c>
      <c r="E919" s="1307">
        <v>1</v>
      </c>
      <c r="F919" s="1307">
        <v>5221441</v>
      </c>
      <c r="G919" s="1307">
        <v>630</v>
      </c>
      <c r="H919" s="1307">
        <v>242</v>
      </c>
      <c r="I919" s="1343">
        <v>4076.1</v>
      </c>
      <c r="J919" s="384"/>
    </row>
    <row r="920" spans="2:10" ht="15" x14ac:dyDescent="0.2">
      <c r="B920" s="1344" t="s">
        <v>185</v>
      </c>
      <c r="C920" s="1307">
        <v>56</v>
      </c>
      <c r="D920" s="1307">
        <v>8</v>
      </c>
      <c r="E920" s="1307">
        <v>1</v>
      </c>
      <c r="F920" s="1307">
        <v>5221441</v>
      </c>
      <c r="G920" s="1307">
        <v>630</v>
      </c>
      <c r="H920" s="1307">
        <v>242</v>
      </c>
      <c r="I920" s="1345">
        <v>842.1</v>
      </c>
      <c r="J920" s="384"/>
    </row>
    <row r="921" spans="2:10" ht="15" x14ac:dyDescent="0.2">
      <c r="B921" s="1344" t="s">
        <v>186</v>
      </c>
      <c r="C921" s="1307">
        <v>56</v>
      </c>
      <c r="D921" s="1307">
        <v>8</v>
      </c>
      <c r="E921" s="1307">
        <v>1</v>
      </c>
      <c r="F921" s="1307">
        <v>5221441</v>
      </c>
      <c r="G921" s="1307">
        <v>630</v>
      </c>
      <c r="H921" s="1307">
        <v>242</v>
      </c>
      <c r="I921" s="1345">
        <v>571.76</v>
      </c>
      <c r="J921" s="384"/>
    </row>
    <row r="922" spans="2:10" ht="15" x14ac:dyDescent="0.2">
      <c r="B922" s="1344" t="s">
        <v>187</v>
      </c>
      <c r="C922" s="1307">
        <v>56</v>
      </c>
      <c r="D922" s="1307">
        <v>8</v>
      </c>
      <c r="E922" s="1307">
        <v>1</v>
      </c>
      <c r="F922" s="1307">
        <v>5221441</v>
      </c>
      <c r="G922" s="1307">
        <v>630</v>
      </c>
      <c r="H922" s="1307">
        <v>242</v>
      </c>
      <c r="I922" s="1345">
        <v>474.8</v>
      </c>
      <c r="J922" s="384"/>
    </row>
    <row r="923" spans="2:10" ht="15" x14ac:dyDescent="0.2">
      <c r="B923" s="1344" t="s">
        <v>1182</v>
      </c>
      <c r="C923" s="1307">
        <v>56</v>
      </c>
      <c r="D923" s="1307">
        <v>8</v>
      </c>
      <c r="E923" s="1307">
        <v>1</v>
      </c>
      <c r="F923" s="1307">
        <v>5221441</v>
      </c>
      <c r="G923" s="1307">
        <v>630</v>
      </c>
      <c r="H923" s="1307">
        <v>242</v>
      </c>
      <c r="I923" s="1345">
        <v>327.60000000000002</v>
      </c>
      <c r="J923" s="384"/>
    </row>
    <row r="924" spans="2:10" ht="15" x14ac:dyDescent="0.2">
      <c r="B924" s="1344" t="s">
        <v>189</v>
      </c>
      <c r="C924" s="1307">
        <v>56</v>
      </c>
      <c r="D924" s="1307">
        <v>8</v>
      </c>
      <c r="E924" s="1307">
        <v>1</v>
      </c>
      <c r="F924" s="1307">
        <v>5221441</v>
      </c>
      <c r="G924" s="1307">
        <v>630</v>
      </c>
      <c r="H924" s="1307">
        <v>242</v>
      </c>
      <c r="I924" s="1345">
        <v>306.89999999999998</v>
      </c>
      <c r="J924" s="384"/>
    </row>
    <row r="925" spans="2:10" ht="15" x14ac:dyDescent="0.2">
      <c r="B925" s="1344" t="s">
        <v>190</v>
      </c>
      <c r="C925" s="1307">
        <v>56</v>
      </c>
      <c r="D925" s="1307">
        <v>8</v>
      </c>
      <c r="E925" s="1307">
        <v>1</v>
      </c>
      <c r="F925" s="1307">
        <v>5221441</v>
      </c>
      <c r="G925" s="1307">
        <v>630</v>
      </c>
      <c r="H925" s="1307">
        <v>242</v>
      </c>
      <c r="I925" s="1345">
        <v>849</v>
      </c>
      <c r="J925" s="384"/>
    </row>
    <row r="926" spans="2:10" ht="15" x14ac:dyDescent="0.2">
      <c r="B926" s="1344" t="s">
        <v>191</v>
      </c>
      <c r="C926" s="1307">
        <v>56</v>
      </c>
      <c r="D926" s="1307">
        <v>8</v>
      </c>
      <c r="E926" s="1307">
        <v>1</v>
      </c>
      <c r="F926" s="1307">
        <v>5221441</v>
      </c>
      <c r="G926" s="1307">
        <v>630</v>
      </c>
      <c r="H926" s="1307">
        <v>242</v>
      </c>
      <c r="I926" s="1345">
        <v>953.9</v>
      </c>
      <c r="J926" s="384"/>
    </row>
    <row r="927" spans="2:10" ht="15" x14ac:dyDescent="0.2">
      <c r="B927" s="1344" t="s">
        <v>1183</v>
      </c>
      <c r="C927" s="1307">
        <v>56</v>
      </c>
      <c r="D927" s="1307">
        <v>8</v>
      </c>
      <c r="E927" s="1307">
        <v>1</v>
      </c>
      <c r="F927" s="1307">
        <v>5221441</v>
      </c>
      <c r="G927" s="1307">
        <v>630</v>
      </c>
      <c r="H927" s="1307">
        <v>242</v>
      </c>
      <c r="I927" s="1345">
        <v>311.89999999999998</v>
      </c>
      <c r="J927" s="384"/>
    </row>
    <row r="928" spans="2:10" ht="15" x14ac:dyDescent="0.2">
      <c r="B928" s="1344" t="s">
        <v>193</v>
      </c>
      <c r="C928" s="1307">
        <v>56</v>
      </c>
      <c r="D928" s="1307">
        <v>8</v>
      </c>
      <c r="E928" s="1307">
        <v>1</v>
      </c>
      <c r="F928" s="1307">
        <v>5221441</v>
      </c>
      <c r="G928" s="1307">
        <v>630</v>
      </c>
      <c r="H928" s="1307">
        <v>242</v>
      </c>
      <c r="I928" s="1345">
        <v>383.44</v>
      </c>
      <c r="J928" s="384"/>
    </row>
    <row r="929" spans="2:10" ht="43" x14ac:dyDescent="0.2">
      <c r="B929" s="1284" t="s">
        <v>1111</v>
      </c>
      <c r="C929" s="1310">
        <v>56</v>
      </c>
      <c r="D929" s="1310">
        <v>8</v>
      </c>
      <c r="E929" s="1310">
        <v>1</v>
      </c>
      <c r="F929" s="1310">
        <v>5241100</v>
      </c>
      <c r="G929" s="1310"/>
      <c r="H929" s="1310"/>
      <c r="I929" s="1342">
        <v>40000</v>
      </c>
      <c r="J929" s="384"/>
    </row>
    <row r="930" spans="2:10" ht="43" x14ac:dyDescent="0.2">
      <c r="B930" s="1284" t="s">
        <v>1094</v>
      </c>
      <c r="C930" s="1310">
        <v>56</v>
      </c>
      <c r="D930" s="1310">
        <v>8</v>
      </c>
      <c r="E930" s="1310">
        <v>1</v>
      </c>
      <c r="F930" s="1307">
        <v>5241100</v>
      </c>
      <c r="G930" s="1307">
        <v>612</v>
      </c>
      <c r="H930" s="1307">
        <v>241</v>
      </c>
      <c r="I930" s="1343">
        <v>40000</v>
      </c>
      <c r="J930" s="384"/>
    </row>
    <row r="931" spans="2:10" ht="29" x14ac:dyDescent="0.2">
      <c r="B931" s="1346" t="s">
        <v>1112</v>
      </c>
      <c r="C931" s="1347">
        <v>56</v>
      </c>
      <c r="D931" s="1347">
        <v>8</v>
      </c>
      <c r="E931" s="1347">
        <v>4</v>
      </c>
      <c r="F931" s="1347"/>
      <c r="G931" s="1347"/>
      <c r="H931" s="1348"/>
      <c r="I931" s="1349">
        <v>28453.940999999999</v>
      </c>
      <c r="J931" s="384"/>
    </row>
    <row r="932" spans="2:10" ht="57" x14ac:dyDescent="0.2">
      <c r="B932" s="1346" t="s">
        <v>1184</v>
      </c>
      <c r="C932" s="1348">
        <v>56</v>
      </c>
      <c r="D932" s="1348">
        <v>8</v>
      </c>
      <c r="E932" s="1348">
        <v>4</v>
      </c>
      <c r="F932" s="1348">
        <v>20400</v>
      </c>
      <c r="G932" s="1348"/>
      <c r="H932" s="1348"/>
      <c r="I932" s="1349">
        <v>28453.940999999999</v>
      </c>
      <c r="J932" s="384"/>
    </row>
    <row r="933" spans="2:10" ht="15" x14ac:dyDescent="0.2">
      <c r="B933" s="1286" t="s">
        <v>1113</v>
      </c>
      <c r="C933" s="1350">
        <v>56</v>
      </c>
      <c r="D933" s="1350">
        <v>8</v>
      </c>
      <c r="E933" s="1350">
        <v>4</v>
      </c>
      <c r="F933" s="1350">
        <v>20400</v>
      </c>
      <c r="G933" s="1350">
        <v>0</v>
      </c>
      <c r="H933" s="1350">
        <v>0</v>
      </c>
      <c r="I933" s="1254">
        <v>28453.940999999999</v>
      </c>
      <c r="J933" s="384"/>
    </row>
    <row r="934" spans="2:10" ht="85" x14ac:dyDescent="0.2">
      <c r="B934" s="1286" t="s">
        <v>1139</v>
      </c>
      <c r="C934" s="1350">
        <v>56</v>
      </c>
      <c r="D934" s="1350">
        <v>8</v>
      </c>
      <c r="E934" s="1350">
        <v>4</v>
      </c>
      <c r="F934" s="1350">
        <v>20400</v>
      </c>
      <c r="G934" s="1350">
        <v>100</v>
      </c>
      <c r="H934" s="1350"/>
      <c r="I934" s="1351">
        <v>24557.940999999999</v>
      </c>
      <c r="J934" s="384"/>
    </row>
    <row r="935" spans="2:10" ht="29" x14ac:dyDescent="0.2">
      <c r="B935" s="1286" t="s">
        <v>1099</v>
      </c>
      <c r="C935" s="1350">
        <v>56</v>
      </c>
      <c r="D935" s="1350">
        <v>8</v>
      </c>
      <c r="E935" s="1350">
        <v>4</v>
      </c>
      <c r="F935" s="1350">
        <v>20400</v>
      </c>
      <c r="G935" s="1350">
        <v>200</v>
      </c>
      <c r="H935" s="1350"/>
      <c r="I935" s="1351">
        <v>3239</v>
      </c>
      <c r="J935" s="384"/>
    </row>
    <row r="936" spans="2:10" ht="15" x14ac:dyDescent="0.2">
      <c r="B936" s="1286" t="s">
        <v>1114</v>
      </c>
      <c r="C936" s="1350">
        <v>56</v>
      </c>
      <c r="D936" s="1350">
        <v>8</v>
      </c>
      <c r="E936" s="1350">
        <v>4</v>
      </c>
      <c r="F936" s="1350">
        <v>20400</v>
      </c>
      <c r="G936" s="1350">
        <v>800</v>
      </c>
      <c r="H936" s="1350"/>
      <c r="I936" s="1352">
        <v>657</v>
      </c>
      <c r="J936" s="384"/>
    </row>
    <row r="937" spans="2:10" ht="15" x14ac:dyDescent="0.2">
      <c r="B937" s="1353"/>
      <c r="C937" s="1354"/>
      <c r="D937" s="1354"/>
      <c r="E937" s="1354"/>
      <c r="F937" s="1354"/>
      <c r="G937" s="1354"/>
      <c r="H937" s="1355"/>
      <c r="I937" s="1356"/>
      <c r="J937" s="384"/>
    </row>
    <row r="938" spans="2:10" ht="15" x14ac:dyDescent="0.2">
      <c r="B938" s="1247" t="s">
        <v>78</v>
      </c>
      <c r="C938" s="1248">
        <v>56</v>
      </c>
      <c r="D938" s="1248">
        <v>8</v>
      </c>
      <c r="E938" s="1248">
        <v>4</v>
      </c>
      <c r="F938" s="1248">
        <v>20400</v>
      </c>
      <c r="G938" s="1248">
        <v>121</v>
      </c>
      <c r="H938" s="1248">
        <v>211</v>
      </c>
      <c r="I938" s="1254">
        <v>18192</v>
      </c>
      <c r="J938" s="384"/>
    </row>
    <row r="939" spans="2:10" ht="15" x14ac:dyDescent="0.2">
      <c r="B939" s="1247" t="s">
        <v>84</v>
      </c>
      <c r="C939" s="1248">
        <v>56</v>
      </c>
      <c r="D939" s="1248">
        <v>8</v>
      </c>
      <c r="E939" s="1248">
        <v>4</v>
      </c>
      <c r="F939" s="1248">
        <v>20400</v>
      </c>
      <c r="G939" s="1248">
        <v>121</v>
      </c>
      <c r="H939" s="1248">
        <v>213</v>
      </c>
      <c r="I939" s="1254">
        <v>5494</v>
      </c>
      <c r="J939" s="384"/>
    </row>
    <row r="940" spans="2:10" ht="15" x14ac:dyDescent="0.2">
      <c r="B940" s="1247" t="s">
        <v>83</v>
      </c>
      <c r="C940" s="1248">
        <v>56</v>
      </c>
      <c r="D940" s="1248">
        <v>8</v>
      </c>
      <c r="E940" s="1248">
        <v>4</v>
      </c>
      <c r="F940" s="1248">
        <v>20400</v>
      </c>
      <c r="G940" s="1248">
        <v>122</v>
      </c>
      <c r="H940" s="1248">
        <v>212</v>
      </c>
      <c r="I940" s="1255">
        <v>10</v>
      </c>
      <c r="J940" s="384"/>
    </row>
    <row r="941" spans="2:10" ht="15" x14ac:dyDescent="0.2">
      <c r="B941" s="1247" t="s">
        <v>86</v>
      </c>
      <c r="C941" s="1248">
        <v>56</v>
      </c>
      <c r="D941" s="1248">
        <v>8</v>
      </c>
      <c r="E941" s="1248">
        <v>4</v>
      </c>
      <c r="F941" s="1248">
        <v>20400</v>
      </c>
      <c r="G941" s="1248">
        <v>122</v>
      </c>
      <c r="H941" s="1248">
        <v>222</v>
      </c>
      <c r="I941" s="1255">
        <v>360.75099999999998</v>
      </c>
      <c r="J941" s="384"/>
    </row>
    <row r="942" spans="2:10" ht="15" x14ac:dyDescent="0.2">
      <c r="B942" s="1247" t="s">
        <v>91</v>
      </c>
      <c r="C942" s="1248">
        <v>56</v>
      </c>
      <c r="D942" s="1248">
        <v>8</v>
      </c>
      <c r="E942" s="1248">
        <v>4</v>
      </c>
      <c r="F942" s="1248">
        <v>20400</v>
      </c>
      <c r="G942" s="1248">
        <v>122</v>
      </c>
      <c r="H942" s="1248">
        <v>226</v>
      </c>
      <c r="I942" s="1255">
        <v>501.19</v>
      </c>
      <c r="J942" s="384"/>
    </row>
    <row r="943" spans="2:10" ht="15" x14ac:dyDescent="0.2">
      <c r="B943" s="1247" t="s">
        <v>85</v>
      </c>
      <c r="C943" s="1248">
        <v>56</v>
      </c>
      <c r="D943" s="1248">
        <v>8</v>
      </c>
      <c r="E943" s="1248">
        <v>4</v>
      </c>
      <c r="F943" s="1248">
        <v>20400</v>
      </c>
      <c r="G943" s="1248">
        <v>244</v>
      </c>
      <c r="H943" s="1248">
        <v>221</v>
      </c>
      <c r="I943" s="1255">
        <v>563</v>
      </c>
      <c r="J943" s="384"/>
    </row>
    <row r="944" spans="2:10" ht="15" x14ac:dyDescent="0.2">
      <c r="B944" s="1247" t="s">
        <v>87</v>
      </c>
      <c r="C944" s="1248">
        <v>56</v>
      </c>
      <c r="D944" s="1248">
        <v>8</v>
      </c>
      <c r="E944" s="1248">
        <v>4</v>
      </c>
      <c r="F944" s="1248">
        <v>20400</v>
      </c>
      <c r="G944" s="1248">
        <v>244</v>
      </c>
      <c r="H944" s="1248">
        <v>223</v>
      </c>
      <c r="I944" s="1255">
        <v>343</v>
      </c>
      <c r="J944" s="384"/>
    </row>
    <row r="945" spans="2:10" ht="15" x14ac:dyDescent="0.2">
      <c r="B945" s="1247" t="s">
        <v>90</v>
      </c>
      <c r="C945" s="1248">
        <v>56</v>
      </c>
      <c r="D945" s="1248">
        <v>8</v>
      </c>
      <c r="E945" s="1248">
        <v>4</v>
      </c>
      <c r="F945" s="1248">
        <v>20400</v>
      </c>
      <c r="G945" s="1248">
        <v>244</v>
      </c>
      <c r="H945" s="1248">
        <v>225</v>
      </c>
      <c r="I945" s="1255">
        <v>120</v>
      </c>
      <c r="J945" s="384"/>
    </row>
    <row r="946" spans="2:10" ht="15" x14ac:dyDescent="0.2">
      <c r="B946" s="1247" t="s">
        <v>91</v>
      </c>
      <c r="C946" s="1248">
        <v>56</v>
      </c>
      <c r="D946" s="1248">
        <v>8</v>
      </c>
      <c r="E946" s="1248">
        <v>4</v>
      </c>
      <c r="F946" s="1248">
        <v>20400</v>
      </c>
      <c r="G946" s="1248">
        <v>244</v>
      </c>
      <c r="H946" s="1248">
        <v>226</v>
      </c>
      <c r="I946" s="1255">
        <v>600</v>
      </c>
      <c r="J946" s="384"/>
    </row>
    <row r="947" spans="2:10" ht="15" x14ac:dyDescent="0.2">
      <c r="B947" s="1247" t="s">
        <v>96</v>
      </c>
      <c r="C947" s="1248">
        <v>56</v>
      </c>
      <c r="D947" s="1248">
        <v>8</v>
      </c>
      <c r="E947" s="1248">
        <v>4</v>
      </c>
      <c r="F947" s="1248">
        <v>20400</v>
      </c>
      <c r="G947" s="1248">
        <v>244</v>
      </c>
      <c r="H947" s="1248">
        <v>310</v>
      </c>
      <c r="I947" s="1255">
        <v>800</v>
      </c>
      <c r="J947" s="384"/>
    </row>
    <row r="948" spans="2:10" ht="15" x14ac:dyDescent="0.2">
      <c r="B948" s="1247" t="s">
        <v>97</v>
      </c>
      <c r="C948" s="1248">
        <v>56</v>
      </c>
      <c r="D948" s="1248">
        <v>8</v>
      </c>
      <c r="E948" s="1248">
        <v>4</v>
      </c>
      <c r="F948" s="1248">
        <v>20400</v>
      </c>
      <c r="G948" s="1248">
        <v>244</v>
      </c>
      <c r="H948" s="1248">
        <v>340</v>
      </c>
      <c r="I948" s="1255">
        <v>813</v>
      </c>
      <c r="J948" s="384"/>
    </row>
    <row r="949" spans="2:10" ht="15" x14ac:dyDescent="0.2">
      <c r="B949" s="1247" t="s">
        <v>94</v>
      </c>
      <c r="C949" s="1248">
        <v>56</v>
      </c>
      <c r="D949" s="1248">
        <v>8</v>
      </c>
      <c r="E949" s="1248">
        <v>4</v>
      </c>
      <c r="F949" s="1248">
        <v>20400</v>
      </c>
      <c r="G949" s="1248">
        <v>851</v>
      </c>
      <c r="H949" s="1248">
        <v>290</v>
      </c>
      <c r="I949" s="1255">
        <v>499.7</v>
      </c>
      <c r="J949" s="384"/>
    </row>
    <row r="950" spans="2:10" ht="15" x14ac:dyDescent="0.2">
      <c r="B950" s="1247" t="s">
        <v>94</v>
      </c>
      <c r="C950" s="1248">
        <v>56</v>
      </c>
      <c r="D950" s="1248">
        <v>8</v>
      </c>
      <c r="E950" s="1248">
        <v>4</v>
      </c>
      <c r="F950" s="1248">
        <v>20400</v>
      </c>
      <c r="G950" s="1248">
        <v>852</v>
      </c>
      <c r="H950" s="1248">
        <v>290</v>
      </c>
      <c r="I950" s="1255">
        <v>157.30000000000001</v>
      </c>
      <c r="J950" s="384"/>
    </row>
    <row r="951" spans="2:10" ht="15" x14ac:dyDescent="0.2">
      <c r="B951" s="1357" t="s">
        <v>1116</v>
      </c>
      <c r="C951" s="1358">
        <v>56</v>
      </c>
      <c r="D951" s="1358">
        <v>10</v>
      </c>
      <c r="E951" s="1358"/>
      <c r="F951" s="1358"/>
      <c r="G951" s="1358"/>
      <c r="H951" s="1358"/>
      <c r="I951" s="1359">
        <v>220</v>
      </c>
      <c r="J951" s="384"/>
    </row>
    <row r="952" spans="2:10" ht="15" x14ac:dyDescent="0.2">
      <c r="B952" s="1284" t="s">
        <v>1117</v>
      </c>
      <c r="C952" s="1360">
        <v>56</v>
      </c>
      <c r="D952" s="1360">
        <v>10</v>
      </c>
      <c r="E952" s="1360">
        <v>0</v>
      </c>
      <c r="F952" s="1360"/>
      <c r="G952" s="1360"/>
      <c r="H952" s="1360"/>
      <c r="I952" s="1255">
        <v>220</v>
      </c>
      <c r="J952" s="384"/>
    </row>
    <row r="953" spans="2:10" ht="29" x14ac:dyDescent="0.2">
      <c r="B953" s="1284" t="s">
        <v>1118</v>
      </c>
      <c r="C953" s="1360">
        <v>56</v>
      </c>
      <c r="D953" s="1360">
        <v>10</v>
      </c>
      <c r="E953" s="1360">
        <v>0</v>
      </c>
      <c r="F953" s="1360">
        <v>5200000</v>
      </c>
      <c r="G953" s="1360"/>
      <c r="H953" s="1360"/>
      <c r="I953" s="1255">
        <v>220</v>
      </c>
      <c r="J953" s="384"/>
    </row>
    <row r="954" spans="2:10" ht="57" x14ac:dyDescent="0.2">
      <c r="B954" s="1284" t="s">
        <v>1185</v>
      </c>
      <c r="C954" s="1360">
        <v>56</v>
      </c>
      <c r="D954" s="1360">
        <v>10</v>
      </c>
      <c r="E954" s="1360">
        <v>0</v>
      </c>
      <c r="F954" s="1360">
        <v>5205500</v>
      </c>
      <c r="G954" s="1360"/>
      <c r="H954" s="1360"/>
      <c r="I954" s="1255">
        <v>220</v>
      </c>
      <c r="J954" s="384"/>
    </row>
    <row r="955" spans="2:10" ht="29" x14ac:dyDescent="0.2">
      <c r="B955" s="1284" t="s">
        <v>1186</v>
      </c>
      <c r="C955" s="1360">
        <v>56</v>
      </c>
      <c r="D955" s="1360">
        <v>10</v>
      </c>
      <c r="E955" s="1360">
        <v>0</v>
      </c>
      <c r="F955" s="1360">
        <v>5205501</v>
      </c>
      <c r="G955" s="1360"/>
      <c r="H955" s="1360"/>
      <c r="I955" s="1255">
        <v>220</v>
      </c>
      <c r="J955" s="384"/>
    </row>
    <row r="956" spans="2:10" ht="15" x14ac:dyDescent="0.2">
      <c r="B956" s="1284" t="s">
        <v>1187</v>
      </c>
      <c r="C956" s="1360">
        <v>56</v>
      </c>
      <c r="D956" s="1360">
        <v>10</v>
      </c>
      <c r="E956" s="1360">
        <v>0</v>
      </c>
      <c r="F956" s="1360">
        <v>5205501</v>
      </c>
      <c r="G956" s="1360">
        <v>313</v>
      </c>
      <c r="H956" s="1360">
        <v>262</v>
      </c>
      <c r="I956" s="1255">
        <v>220</v>
      </c>
      <c r="J956" s="384"/>
    </row>
    <row r="957" spans="2:10" ht="49" x14ac:dyDescent="0.2">
      <c r="B957" s="1361" t="s">
        <v>1188</v>
      </c>
      <c r="C957" s="1360">
        <v>56</v>
      </c>
      <c r="D957" s="1360">
        <v>1</v>
      </c>
      <c r="E957" s="1360">
        <v>13</v>
      </c>
      <c r="F957" s="1360">
        <v>5240500</v>
      </c>
      <c r="G957" s="1360">
        <v>612</v>
      </c>
      <c r="H957" s="1360">
        <v>241</v>
      </c>
      <c r="I957" s="1255">
        <v>90</v>
      </c>
      <c r="J957" s="384"/>
    </row>
    <row r="958" spans="2:10" ht="49" x14ac:dyDescent="0.2">
      <c r="B958" s="1361" t="s">
        <v>1189</v>
      </c>
      <c r="C958" s="1360">
        <v>56</v>
      </c>
      <c r="D958" s="1360">
        <v>1</v>
      </c>
      <c r="E958" s="1360">
        <v>13</v>
      </c>
      <c r="F958" s="1360">
        <v>5240600</v>
      </c>
      <c r="G958" s="1360">
        <v>612</v>
      </c>
      <c r="H958" s="1360">
        <v>241</v>
      </c>
      <c r="I958" s="1255">
        <v>270</v>
      </c>
      <c r="J958" s="384"/>
    </row>
    <row r="959" spans="2:10" ht="65" x14ac:dyDescent="0.2">
      <c r="B959" s="1361" t="s">
        <v>1190</v>
      </c>
      <c r="C959" s="1360">
        <v>56</v>
      </c>
      <c r="D959" s="1360">
        <v>8</v>
      </c>
      <c r="E959" s="1360">
        <v>1</v>
      </c>
      <c r="F959" s="315">
        <v>4401601</v>
      </c>
      <c r="G959" s="1362" t="s">
        <v>1191</v>
      </c>
      <c r="H959" s="315">
        <v>251</v>
      </c>
      <c r="I959" s="1255"/>
      <c r="J959" s="384"/>
    </row>
    <row r="960" spans="2:10" ht="65" x14ac:dyDescent="0.2">
      <c r="B960" s="1361" t="s">
        <v>1192</v>
      </c>
      <c r="C960" s="1360">
        <v>56</v>
      </c>
      <c r="D960" s="1360">
        <v>8</v>
      </c>
      <c r="E960" s="1360">
        <v>1</v>
      </c>
      <c r="F960" s="315">
        <v>4401602</v>
      </c>
      <c r="G960" s="1362" t="s">
        <v>1193</v>
      </c>
      <c r="H960" s="315">
        <v>252</v>
      </c>
      <c r="I960" s="1255"/>
      <c r="J960" s="384"/>
    </row>
    <row r="961" spans="2:10" ht="37" x14ac:dyDescent="0.2">
      <c r="B961" s="1361" t="s">
        <v>1194</v>
      </c>
      <c r="C961" s="1363">
        <v>56</v>
      </c>
      <c r="D961" s="1363">
        <v>1</v>
      </c>
      <c r="E961" s="1363">
        <v>13</v>
      </c>
      <c r="F961" s="1174">
        <v>5240300</v>
      </c>
      <c r="G961" s="1174">
        <v>612</v>
      </c>
      <c r="H961" s="1174">
        <v>241</v>
      </c>
      <c r="I961" s="1255">
        <v>120</v>
      </c>
      <c r="J961" s="384"/>
    </row>
    <row r="962" spans="2:10" ht="16" x14ac:dyDescent="0.2">
      <c r="B962" s="1361"/>
      <c r="C962" s="1360"/>
      <c r="D962" s="1360"/>
      <c r="E962" s="1360"/>
      <c r="F962" s="315"/>
      <c r="G962" s="1362"/>
      <c r="H962" s="315"/>
      <c r="I962" s="1255"/>
      <c r="J962" s="384"/>
    </row>
    <row r="963" spans="2:10" ht="15" x14ac:dyDescent="0.2">
      <c r="B963" s="1022"/>
      <c r="C963" s="1022"/>
      <c r="D963" s="1022"/>
      <c r="E963" s="1022"/>
      <c r="F963" s="1022"/>
      <c r="G963" s="1022"/>
      <c r="H963" s="1022"/>
      <c r="I963" s="1022"/>
      <c r="J963" s="384"/>
    </row>
    <row r="964" spans="2:10" ht="15" x14ac:dyDescent="0.2">
      <c r="B964" s="3040" t="s">
        <v>1195</v>
      </c>
      <c r="C964" s="3040"/>
      <c r="D964" s="3040"/>
      <c r="E964" s="3040"/>
      <c r="F964" s="3040"/>
      <c r="G964" s="3040"/>
      <c r="H964" s="3040"/>
      <c r="I964" s="3040"/>
      <c r="J964" s="384"/>
    </row>
    <row r="965" spans="2:10" ht="15" x14ac:dyDescent="0.2">
      <c r="B965" s="3040" t="s">
        <v>804</v>
      </c>
      <c r="C965" s="3040"/>
      <c r="D965" s="3040"/>
      <c r="E965" s="3040"/>
      <c r="F965" s="3040"/>
      <c r="G965" s="3040"/>
      <c r="H965" s="3040"/>
      <c r="I965" s="3040"/>
      <c r="J965" s="384"/>
    </row>
    <row r="966" spans="2:10" ht="15" x14ac:dyDescent="0.2">
      <c r="B966" s="1022"/>
      <c r="C966" s="1022"/>
      <c r="D966" s="1022"/>
      <c r="E966" s="1022"/>
      <c r="F966" s="1022"/>
      <c r="G966" s="1022"/>
      <c r="H966" s="1022"/>
      <c r="I966" s="1022"/>
      <c r="J966" s="384"/>
    </row>
    <row r="967" spans="2:10" ht="15" x14ac:dyDescent="0.2">
      <c r="B967" s="1022"/>
      <c r="C967" s="1022"/>
      <c r="D967" s="1022"/>
      <c r="E967" s="1022"/>
      <c r="F967" s="1022"/>
      <c r="G967" s="1022"/>
      <c r="H967" s="1022"/>
      <c r="I967" s="1022"/>
      <c r="J967" s="384"/>
    </row>
    <row r="968" spans="2:10" ht="16" thickBot="1" x14ac:dyDescent="0.25">
      <c r="B968" s="1022"/>
      <c r="C968" s="1022"/>
      <c r="D968" s="1022"/>
      <c r="E968" s="1022"/>
      <c r="F968" s="1022"/>
      <c r="G968" s="1022"/>
      <c r="H968" s="1022"/>
      <c r="I968" s="1022"/>
      <c r="J968" s="384"/>
    </row>
    <row r="969" spans="2:10" ht="16" thickBot="1" x14ac:dyDescent="0.25">
      <c r="B969" s="1022"/>
      <c r="C969" s="1022"/>
      <c r="D969" s="1022"/>
      <c r="E969" s="1022"/>
      <c r="F969" s="1022"/>
      <c r="G969" s="1022"/>
      <c r="H969" s="1191">
        <v>211</v>
      </c>
      <c r="I969" s="1189">
        <v>638922.1</v>
      </c>
      <c r="J969" s="384"/>
    </row>
    <row r="970" spans="2:10" ht="16" thickBot="1" x14ac:dyDescent="0.25">
      <c r="B970" s="1022"/>
      <c r="C970" s="1022"/>
      <c r="D970" s="1022"/>
      <c r="E970" s="1022"/>
      <c r="F970" s="1022"/>
      <c r="G970" s="1022"/>
      <c r="H970" s="1192">
        <v>212</v>
      </c>
      <c r="I970" s="729">
        <v>480.2</v>
      </c>
      <c r="J970" s="384"/>
    </row>
    <row r="971" spans="2:10" ht="16" thickBot="1" x14ac:dyDescent="0.25">
      <c r="B971" s="1022"/>
      <c r="C971" s="1022"/>
      <c r="D971" s="1022"/>
      <c r="E971" s="1022"/>
      <c r="F971" s="1022"/>
      <c r="G971" s="1022"/>
      <c r="H971" s="1192">
        <v>213</v>
      </c>
      <c r="I971" s="732">
        <v>192954.28</v>
      </c>
      <c r="J971" s="384"/>
    </row>
    <row r="972" spans="2:10" ht="16" thickBot="1" x14ac:dyDescent="0.25">
      <c r="B972" s="1022"/>
      <c r="C972" s="1022"/>
      <c r="D972" s="1022"/>
      <c r="E972" s="1022"/>
      <c r="F972" s="1022"/>
      <c r="G972" s="1022"/>
      <c r="H972" s="1192">
        <v>221</v>
      </c>
      <c r="I972" s="729">
        <v>749.7</v>
      </c>
      <c r="J972" s="384"/>
    </row>
    <row r="973" spans="2:10" ht="16" thickBot="1" x14ac:dyDescent="0.25">
      <c r="B973" s="1022"/>
      <c r="C973" s="1022"/>
      <c r="D973" s="1022"/>
      <c r="E973" s="1022"/>
      <c r="F973" s="1022"/>
      <c r="G973" s="1022"/>
      <c r="H973" s="1192">
        <v>222</v>
      </c>
      <c r="I973" s="729">
        <v>798</v>
      </c>
      <c r="J973" s="384"/>
    </row>
    <row r="974" spans="2:10" ht="16" thickBot="1" x14ac:dyDescent="0.25">
      <c r="B974" s="1022"/>
      <c r="C974" s="1022"/>
      <c r="D974" s="1022"/>
      <c r="E974" s="1022"/>
      <c r="F974" s="1022"/>
      <c r="G974" s="1022"/>
      <c r="H974" s="1192">
        <v>223</v>
      </c>
      <c r="I974" s="732">
        <v>17140.650000000001</v>
      </c>
      <c r="J974" s="384"/>
    </row>
    <row r="975" spans="2:10" ht="16" thickBot="1" x14ac:dyDescent="0.25">
      <c r="B975" s="1022"/>
      <c r="C975" s="1022"/>
      <c r="D975" s="1022"/>
      <c r="E975" s="1022"/>
      <c r="F975" s="1022"/>
      <c r="G975" s="1022"/>
      <c r="H975" s="1192">
        <v>224</v>
      </c>
      <c r="I975" s="732">
        <v>1758.4</v>
      </c>
      <c r="J975" s="384"/>
    </row>
    <row r="976" spans="2:10" ht="16" thickBot="1" x14ac:dyDescent="0.25">
      <c r="B976" s="1022"/>
      <c r="C976" s="1022"/>
      <c r="D976" s="1022"/>
      <c r="E976" s="1022"/>
      <c r="F976" s="1022"/>
      <c r="G976" s="1022"/>
      <c r="H976" s="1192">
        <v>225</v>
      </c>
      <c r="I976" s="732">
        <v>44594.853999999999</v>
      </c>
      <c r="J976" s="384"/>
    </row>
    <row r="977" spans="2:10" ht="16" thickBot="1" x14ac:dyDescent="0.25">
      <c r="B977" s="1022"/>
      <c r="C977" s="1022"/>
      <c r="D977" s="1022"/>
      <c r="E977" s="1022"/>
      <c r="F977" s="1022"/>
      <c r="G977" s="1022"/>
      <c r="H977" s="1192">
        <v>226</v>
      </c>
      <c r="I977" s="732">
        <v>29332.404999999999</v>
      </c>
      <c r="J977" s="384"/>
    </row>
    <row r="978" spans="2:10" ht="16" thickBot="1" x14ac:dyDescent="0.25">
      <c r="B978" s="1022"/>
      <c r="C978" s="1022"/>
      <c r="D978" s="1022"/>
      <c r="E978" s="1022"/>
      <c r="F978" s="1022"/>
      <c r="G978" s="1022"/>
      <c r="H978" s="1192">
        <v>290</v>
      </c>
      <c r="I978" s="732">
        <v>21871.804</v>
      </c>
      <c r="J978" s="384"/>
    </row>
    <row r="979" spans="2:10" ht="16" thickBot="1" x14ac:dyDescent="0.25">
      <c r="B979" s="1022"/>
      <c r="C979" s="1022"/>
      <c r="D979" s="1022"/>
      <c r="E979" s="1022"/>
      <c r="F979" s="1022"/>
      <c r="G979" s="1022"/>
      <c r="H979" s="1192">
        <v>290</v>
      </c>
      <c r="I979" s="729">
        <v>647.97</v>
      </c>
      <c r="J979" s="384"/>
    </row>
    <row r="980" spans="2:10" ht="16" thickBot="1" x14ac:dyDescent="0.25">
      <c r="B980" s="1022"/>
      <c r="C980" s="1022"/>
      <c r="D980" s="1022"/>
      <c r="E980" s="1022"/>
      <c r="F980" s="1022"/>
      <c r="G980" s="1022"/>
      <c r="H980" s="1192">
        <v>310</v>
      </c>
      <c r="I980" s="732">
        <v>6995.308</v>
      </c>
      <c r="J980" s="384"/>
    </row>
    <row r="981" spans="2:10" ht="16" thickBot="1" x14ac:dyDescent="0.25">
      <c r="B981" s="1022"/>
      <c r="C981" s="1022"/>
      <c r="D981" s="1022"/>
      <c r="E981" s="1022"/>
      <c r="F981" s="1022"/>
      <c r="G981" s="1022"/>
      <c r="H981" s="1192">
        <v>340</v>
      </c>
      <c r="I981" s="732">
        <v>5678.5460000000003</v>
      </c>
      <c r="J981" s="384"/>
    </row>
    <row r="982" spans="2:10" ht="16" thickBot="1" x14ac:dyDescent="0.25">
      <c r="B982" s="1022"/>
      <c r="C982" s="1022"/>
      <c r="D982" s="1022"/>
      <c r="E982" s="1022"/>
      <c r="F982" s="1190" t="e">
        <v>#REF!</v>
      </c>
      <c r="G982" s="1022"/>
      <c r="H982" s="1188"/>
      <c r="I982" s="1193">
        <v>961924.21699999995</v>
      </c>
      <c r="J982" s="384"/>
    </row>
  </sheetData>
  <mergeCells count="37">
    <mergeCell ref="I577:I578"/>
    <mergeCell ref="J577:J578"/>
    <mergeCell ref="B964:I964"/>
    <mergeCell ref="B965:I965"/>
    <mergeCell ref="C577:C578"/>
    <mergeCell ref="D577:D578"/>
    <mergeCell ref="E577:E578"/>
    <mergeCell ref="F577:F578"/>
    <mergeCell ref="G577:G578"/>
    <mergeCell ref="H577:H578"/>
    <mergeCell ref="H257:H258"/>
    <mergeCell ref="I257:I258"/>
    <mergeCell ref="J257:J258"/>
    <mergeCell ref="C528:C529"/>
    <mergeCell ref="D528:D529"/>
    <mergeCell ref="E528:E529"/>
    <mergeCell ref="F528:F529"/>
    <mergeCell ref="G528:G529"/>
    <mergeCell ref="H528:H529"/>
    <mergeCell ref="I528:I529"/>
    <mergeCell ref="J528:J529"/>
    <mergeCell ref="C257:C258"/>
    <mergeCell ref="D257:D258"/>
    <mergeCell ref="E257:E258"/>
    <mergeCell ref="F257:F258"/>
    <mergeCell ref="G257:G258"/>
    <mergeCell ref="B2:I2"/>
    <mergeCell ref="B3:I3"/>
    <mergeCell ref="B4:I4"/>
    <mergeCell ref="B6:B7"/>
    <mergeCell ref="C6:C7"/>
    <mergeCell ref="D6:D7"/>
    <mergeCell ref="E6:E7"/>
    <mergeCell ref="F6:F7"/>
    <mergeCell ref="G6:G7"/>
    <mergeCell ref="H6:H7"/>
    <mergeCell ref="I6:I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topLeftCell="A45" workbookViewId="0">
      <selection activeCell="E59" sqref="E59"/>
    </sheetView>
  </sheetViews>
  <sheetFormatPr baseColWidth="10" defaultColWidth="8.83203125" defaultRowHeight="13" x14ac:dyDescent="0.15"/>
  <cols>
    <col min="1" max="2" width="8.83203125" style="288"/>
    <col min="3" max="3" width="47.83203125" style="288" customWidth="1"/>
    <col min="4" max="4" width="8.83203125" style="288"/>
    <col min="5" max="5" width="13.1640625" style="288" customWidth="1"/>
    <col min="6" max="12" width="8.83203125" style="288"/>
    <col min="13" max="13" width="11.5" style="288" bestFit="1" customWidth="1"/>
    <col min="14" max="14" width="10.1640625" style="288" bestFit="1" customWidth="1"/>
    <col min="15" max="16384" width="8.83203125" style="288"/>
  </cols>
  <sheetData>
    <row r="2" spans="2:10" ht="14" x14ac:dyDescent="0.15">
      <c r="B2" s="3045" t="s">
        <v>826</v>
      </c>
      <c r="C2" s="3045"/>
      <c r="D2" s="3045"/>
      <c r="E2" s="3045"/>
      <c r="F2" s="3045"/>
      <c r="G2" s="3045"/>
      <c r="H2" s="3045"/>
      <c r="I2" s="3045"/>
      <c r="J2" s="3045"/>
    </row>
    <row r="3" spans="2:10" ht="14" x14ac:dyDescent="0.15">
      <c r="B3" s="3045" t="s">
        <v>827</v>
      </c>
      <c r="C3" s="3045"/>
      <c r="D3" s="3045"/>
      <c r="E3" s="3045"/>
      <c r="F3" s="3045"/>
      <c r="G3" s="3045"/>
      <c r="H3" s="3045"/>
      <c r="I3" s="3045"/>
      <c r="J3" s="3045"/>
    </row>
    <row r="4" spans="2:10" ht="14" x14ac:dyDescent="0.15">
      <c r="B4" s="3045" t="s">
        <v>828</v>
      </c>
      <c r="C4" s="3045"/>
      <c r="D4" s="3045"/>
      <c r="E4" s="3045"/>
      <c r="F4" s="3045"/>
      <c r="G4" s="3045"/>
      <c r="H4" s="3045"/>
      <c r="I4" s="3045"/>
      <c r="J4" s="3045"/>
    </row>
    <row r="5" spans="2:10" ht="15" thickBot="1" x14ac:dyDescent="0.2">
      <c r="B5" s="495"/>
    </row>
    <row r="6" spans="2:10" ht="57" thickBot="1" x14ac:dyDescent="0.2">
      <c r="B6" s="491" t="s">
        <v>732</v>
      </c>
      <c r="C6" s="492" t="s">
        <v>733</v>
      </c>
      <c r="D6" s="492" t="s">
        <v>734</v>
      </c>
      <c r="E6" s="492" t="s">
        <v>829</v>
      </c>
      <c r="F6" s="492" t="s">
        <v>735</v>
      </c>
      <c r="G6" s="492" t="s">
        <v>736</v>
      </c>
      <c r="H6" s="492" t="s">
        <v>737</v>
      </c>
      <c r="I6" s="492" t="s">
        <v>738</v>
      </c>
      <c r="J6" s="492" t="s">
        <v>739</v>
      </c>
    </row>
    <row r="7" spans="2:10" ht="15" thickBot="1" x14ac:dyDescent="0.2">
      <c r="B7" s="493">
        <v>1</v>
      </c>
      <c r="C7" s="494">
        <v>2</v>
      </c>
      <c r="D7" s="494">
        <v>3</v>
      </c>
      <c r="E7" s="494">
        <v>4</v>
      </c>
      <c r="F7" s="494">
        <v>5</v>
      </c>
      <c r="G7" s="494">
        <v>6</v>
      </c>
      <c r="H7" s="494">
        <v>7</v>
      </c>
      <c r="I7" s="494">
        <v>8</v>
      </c>
      <c r="J7" s="494">
        <v>9</v>
      </c>
    </row>
    <row r="8" spans="2:10" ht="84.75" customHeight="1" thickBot="1" x14ac:dyDescent="0.2">
      <c r="B8" s="493">
        <v>1</v>
      </c>
      <c r="C8" s="494" t="s">
        <v>740</v>
      </c>
      <c r="D8" s="494" t="s">
        <v>741</v>
      </c>
      <c r="E8" s="494">
        <v>0.8</v>
      </c>
      <c r="F8" s="494">
        <v>1</v>
      </c>
      <c r="G8" s="494">
        <v>1.5</v>
      </c>
      <c r="H8" s="494">
        <v>2.2999999999999998</v>
      </c>
      <c r="I8" s="494">
        <v>3.4</v>
      </c>
      <c r="J8" s="494">
        <v>5.0999999999999996</v>
      </c>
    </row>
    <row r="9" spans="2:10" ht="84.75" customHeight="1" thickBot="1" x14ac:dyDescent="0.2">
      <c r="B9" s="493"/>
      <c r="C9" s="494"/>
      <c r="D9" s="494"/>
      <c r="E9" s="494"/>
      <c r="F9" s="494"/>
      <c r="G9" s="494"/>
      <c r="H9" s="494"/>
      <c r="I9" s="494"/>
      <c r="J9" s="494"/>
    </row>
    <row r="10" spans="2:10" ht="60.75" customHeight="1" thickBot="1" x14ac:dyDescent="0.2">
      <c r="B10" s="493">
        <v>2</v>
      </c>
      <c r="C10" s="494" t="s">
        <v>742</v>
      </c>
      <c r="D10" s="494" t="s">
        <v>741</v>
      </c>
      <c r="E10" s="494">
        <v>0.5</v>
      </c>
      <c r="F10" s="494">
        <v>0.8</v>
      </c>
      <c r="G10" s="494">
        <v>0.9</v>
      </c>
      <c r="H10" s="494">
        <v>1.1000000000000001</v>
      </c>
      <c r="I10" s="494">
        <v>1.3</v>
      </c>
      <c r="J10" s="494">
        <v>1.6</v>
      </c>
    </row>
    <row r="11" spans="2:10" ht="62.25" customHeight="1" thickBot="1" x14ac:dyDescent="0.2">
      <c r="B11" s="493">
        <v>3</v>
      </c>
      <c r="C11" s="494" t="s">
        <v>743</v>
      </c>
      <c r="D11" s="494" t="s">
        <v>741</v>
      </c>
      <c r="E11" s="494">
        <v>8.3000000000000007</v>
      </c>
      <c r="F11" s="494">
        <v>11.8</v>
      </c>
      <c r="G11" s="494">
        <v>15.8</v>
      </c>
      <c r="H11" s="494">
        <v>18.2</v>
      </c>
      <c r="I11" s="494">
        <v>19.2</v>
      </c>
      <c r="J11" s="494">
        <v>22.6</v>
      </c>
    </row>
    <row r="12" spans="2:10" ht="39.75" customHeight="1" thickBot="1" x14ac:dyDescent="0.2">
      <c r="B12" s="493">
        <v>4</v>
      </c>
      <c r="C12" s="494" t="s">
        <v>744</v>
      </c>
      <c r="D12" s="494" t="s">
        <v>741</v>
      </c>
      <c r="E12" s="494">
        <v>0.4</v>
      </c>
      <c r="F12" s="494">
        <v>0.5</v>
      </c>
      <c r="G12" s="494">
        <v>0.9</v>
      </c>
      <c r="H12" s="494">
        <v>1.4</v>
      </c>
      <c r="I12" s="494">
        <v>1.9</v>
      </c>
      <c r="J12" s="494">
        <v>2.4</v>
      </c>
    </row>
    <row r="13" spans="2:10" ht="43" thickBot="1" x14ac:dyDescent="0.2">
      <c r="B13" s="493">
        <v>5</v>
      </c>
      <c r="C13" s="494" t="s">
        <v>745</v>
      </c>
      <c r="D13" s="494" t="s">
        <v>741</v>
      </c>
      <c r="E13" s="494">
        <v>7.0000000000000007E-2</v>
      </c>
      <c r="F13" s="494">
        <v>0.1</v>
      </c>
      <c r="G13" s="494">
        <v>0.2</v>
      </c>
      <c r="H13" s="494">
        <v>0.4</v>
      </c>
      <c r="I13" s="494">
        <v>0.5</v>
      </c>
      <c r="J13" s="494">
        <v>0.6</v>
      </c>
    </row>
    <row r="14" spans="2:10" ht="43" thickBot="1" x14ac:dyDescent="0.2">
      <c r="B14" s="493">
        <v>6</v>
      </c>
      <c r="C14" s="494" t="s">
        <v>746</v>
      </c>
      <c r="D14" s="494" t="s">
        <v>741</v>
      </c>
      <c r="E14" s="494">
        <v>1</v>
      </c>
      <c r="F14" s="494">
        <v>2</v>
      </c>
      <c r="G14" s="494">
        <v>3</v>
      </c>
      <c r="H14" s="494">
        <v>4</v>
      </c>
      <c r="I14" s="494">
        <v>5</v>
      </c>
      <c r="J14" s="494">
        <v>6</v>
      </c>
    </row>
    <row r="15" spans="2:10" ht="63.75" customHeight="1" thickBot="1" x14ac:dyDescent="0.2">
      <c r="B15" s="493">
        <v>7</v>
      </c>
      <c r="C15" s="494" t="s">
        <v>747</v>
      </c>
      <c r="D15" s="494" t="s">
        <v>741</v>
      </c>
      <c r="E15" s="494">
        <v>7.3</v>
      </c>
      <c r="F15" s="494">
        <v>9.4</v>
      </c>
      <c r="G15" s="494">
        <v>12.1</v>
      </c>
      <c r="H15" s="494">
        <v>14.6</v>
      </c>
      <c r="I15" s="494">
        <v>17.399999999999999</v>
      </c>
      <c r="J15" s="494">
        <v>20</v>
      </c>
    </row>
    <row r="16" spans="2:10" ht="71" thickBot="1" x14ac:dyDescent="0.2">
      <c r="B16" s="493">
        <v>8</v>
      </c>
      <c r="C16" s="494" t="s">
        <v>748</v>
      </c>
      <c r="D16" s="494" t="s">
        <v>741</v>
      </c>
      <c r="E16" s="494">
        <v>4</v>
      </c>
      <c r="F16" s="494">
        <v>4.4000000000000004</v>
      </c>
      <c r="G16" s="494">
        <v>6.6</v>
      </c>
      <c r="H16" s="494">
        <v>10</v>
      </c>
      <c r="I16" s="494">
        <v>15.1</v>
      </c>
      <c r="J16" s="494">
        <v>19.7</v>
      </c>
    </row>
    <row r="17" spans="2:13" ht="15" thickBot="1" x14ac:dyDescent="0.2">
      <c r="B17" s="3046">
        <v>9</v>
      </c>
      <c r="C17" s="3046" t="s">
        <v>830</v>
      </c>
      <c r="D17" s="494" t="s">
        <v>749</v>
      </c>
      <c r="E17" s="494">
        <v>0</v>
      </c>
      <c r="F17" s="494">
        <v>80</v>
      </c>
      <c r="G17" s="494">
        <v>85</v>
      </c>
      <c r="H17" s="494">
        <v>75</v>
      </c>
      <c r="I17" s="494">
        <v>80</v>
      </c>
      <c r="J17" s="494">
        <v>85</v>
      </c>
    </row>
    <row r="18" spans="2:13" ht="57" customHeight="1" thickBot="1" x14ac:dyDescent="0.2">
      <c r="B18" s="3047"/>
      <c r="C18" s="3047"/>
      <c r="D18" s="494" t="s">
        <v>741</v>
      </c>
      <c r="E18" s="494">
        <v>0</v>
      </c>
      <c r="F18" s="494">
        <v>1.23</v>
      </c>
      <c r="G18" s="494">
        <v>1.32</v>
      </c>
      <c r="H18" s="494">
        <v>1.1499999999999999</v>
      </c>
      <c r="I18" s="494">
        <v>1.23</v>
      </c>
      <c r="J18" s="494">
        <v>1.32</v>
      </c>
    </row>
    <row r="19" spans="2:13" ht="15" thickBot="1" x14ac:dyDescent="0.2">
      <c r="B19" s="3046">
        <v>10</v>
      </c>
      <c r="C19" s="3046" t="s">
        <v>831</v>
      </c>
      <c r="D19" s="494" t="s">
        <v>749</v>
      </c>
      <c r="E19" s="494">
        <v>0</v>
      </c>
      <c r="F19" s="494">
        <v>19</v>
      </c>
      <c r="G19" s="494">
        <v>29</v>
      </c>
      <c r="H19" s="494">
        <v>31</v>
      </c>
      <c r="I19" s="494">
        <v>33</v>
      </c>
      <c r="J19" s="494">
        <v>30</v>
      </c>
    </row>
    <row r="20" spans="2:13" ht="87" customHeight="1" thickBot="1" x14ac:dyDescent="0.2">
      <c r="B20" s="3047"/>
      <c r="C20" s="3047"/>
      <c r="D20" s="494" t="s">
        <v>741</v>
      </c>
      <c r="E20" s="494">
        <v>0</v>
      </c>
      <c r="F20" s="494">
        <v>0.28999999999999998</v>
      </c>
      <c r="G20" s="494">
        <v>0.45</v>
      </c>
      <c r="H20" s="494">
        <v>0.48</v>
      </c>
      <c r="I20" s="494">
        <v>0.51</v>
      </c>
      <c r="J20" s="494">
        <v>0.46</v>
      </c>
    </row>
    <row r="21" spans="2:13" ht="15" thickBot="1" x14ac:dyDescent="0.2">
      <c r="B21" s="3046">
        <v>11</v>
      </c>
      <c r="C21" s="3046" t="s">
        <v>750</v>
      </c>
      <c r="D21" s="494" t="s">
        <v>749</v>
      </c>
      <c r="E21" s="494">
        <v>0</v>
      </c>
      <c r="F21" s="494">
        <v>80</v>
      </c>
      <c r="G21" s="494">
        <v>85</v>
      </c>
      <c r="H21" s="494">
        <v>75</v>
      </c>
      <c r="I21" s="494">
        <v>80</v>
      </c>
      <c r="J21" s="494">
        <v>85</v>
      </c>
    </row>
    <row r="22" spans="2:13" ht="59.25" customHeight="1" thickBot="1" x14ac:dyDescent="0.2">
      <c r="B22" s="3047"/>
      <c r="C22" s="3047"/>
      <c r="D22" s="494" t="s">
        <v>741</v>
      </c>
      <c r="E22" s="494">
        <v>0</v>
      </c>
      <c r="F22" s="494">
        <v>1.24</v>
      </c>
      <c r="G22" s="494">
        <v>1.31</v>
      </c>
      <c r="H22" s="494">
        <v>1.1599999999999999</v>
      </c>
      <c r="I22" s="494">
        <v>1.24</v>
      </c>
      <c r="J22" s="494">
        <v>1.31</v>
      </c>
    </row>
    <row r="23" spans="2:13" ht="25.5" customHeight="1" thickBot="1" x14ac:dyDescent="0.2">
      <c r="B23" s="3046">
        <v>12</v>
      </c>
      <c r="C23" s="3046" t="s">
        <v>751</v>
      </c>
      <c r="D23" s="494" t="s">
        <v>749</v>
      </c>
      <c r="E23" s="494">
        <v>1</v>
      </c>
      <c r="F23" s="494">
        <v>6</v>
      </c>
      <c r="G23" s="494">
        <v>6</v>
      </c>
      <c r="H23" s="494">
        <v>6</v>
      </c>
      <c r="I23" s="494">
        <v>6</v>
      </c>
      <c r="J23" s="494">
        <v>6</v>
      </c>
    </row>
    <row r="24" spans="2:13" ht="37.5" customHeight="1" thickBot="1" x14ac:dyDescent="0.2">
      <c r="B24" s="3047"/>
      <c r="C24" s="3047"/>
      <c r="D24" s="494" t="s">
        <v>741</v>
      </c>
      <c r="E24" s="494">
        <v>0.02</v>
      </c>
      <c r="F24" s="494">
        <v>0.1</v>
      </c>
      <c r="G24" s="494">
        <v>0.1</v>
      </c>
      <c r="H24" s="494">
        <v>0.1</v>
      </c>
      <c r="I24" s="494">
        <v>0.1</v>
      </c>
      <c r="J24" s="494">
        <v>0.1</v>
      </c>
    </row>
    <row r="25" spans="2:13" ht="50.25" customHeight="1" thickBot="1" x14ac:dyDescent="0.2">
      <c r="B25" s="493">
        <v>13</v>
      </c>
      <c r="C25" s="494" t="s">
        <v>752</v>
      </c>
      <c r="D25" s="494" t="s">
        <v>832</v>
      </c>
      <c r="E25" s="494">
        <v>5</v>
      </c>
      <c r="F25" s="494">
        <v>6</v>
      </c>
      <c r="G25" s="494">
        <v>7</v>
      </c>
      <c r="H25" s="494">
        <v>8</v>
      </c>
      <c r="I25" s="494">
        <v>9</v>
      </c>
      <c r="J25" s="494">
        <v>11</v>
      </c>
    </row>
    <row r="26" spans="2:13" ht="28.5" customHeight="1" thickBot="1" x14ac:dyDescent="0.2">
      <c r="B26" s="3046">
        <v>14</v>
      </c>
      <c r="C26" s="3046" t="s">
        <v>753</v>
      </c>
      <c r="D26" s="494" t="s">
        <v>749</v>
      </c>
      <c r="E26" s="494">
        <v>0</v>
      </c>
      <c r="F26" s="494">
        <v>500</v>
      </c>
      <c r="G26" s="494">
        <v>850</v>
      </c>
      <c r="H26" s="494">
        <v>950</v>
      </c>
      <c r="I26" s="494">
        <v>1000</v>
      </c>
      <c r="J26" s="494">
        <v>1000</v>
      </c>
    </row>
    <row r="27" spans="2:13" ht="63" customHeight="1" thickBot="1" x14ac:dyDescent="0.2">
      <c r="B27" s="3047"/>
      <c r="C27" s="3047"/>
      <c r="D27" s="494" t="s">
        <v>741</v>
      </c>
      <c r="E27" s="494">
        <v>0</v>
      </c>
      <c r="F27" s="494">
        <v>8.5</v>
      </c>
      <c r="G27" s="494">
        <v>9.5</v>
      </c>
      <c r="H27" s="494">
        <v>10.5</v>
      </c>
      <c r="I27" s="494">
        <v>11.5</v>
      </c>
      <c r="J27" s="494">
        <v>12.5</v>
      </c>
    </row>
    <row r="28" spans="2:13" ht="90.75" customHeight="1" thickBot="1" x14ac:dyDescent="0.2">
      <c r="B28" s="3044" t="s">
        <v>833</v>
      </c>
      <c r="C28" s="3044"/>
      <c r="D28" s="3044"/>
      <c r="E28" s="3044"/>
      <c r="F28" s="3044"/>
      <c r="G28" s="3044"/>
      <c r="H28" s="3044"/>
      <c r="I28" s="3044"/>
      <c r="J28" s="3044"/>
    </row>
    <row r="29" spans="2:13" ht="30.75" customHeight="1" x14ac:dyDescent="0.2">
      <c r="B29" s="327"/>
      <c r="E29" s="3042" t="s">
        <v>1089</v>
      </c>
      <c r="F29" s="1168">
        <v>2014</v>
      </c>
      <c r="G29" s="1168">
        <v>2015</v>
      </c>
      <c r="H29" s="1168">
        <v>2016</v>
      </c>
      <c r="I29" s="1168">
        <v>2017</v>
      </c>
      <c r="J29" s="1168">
        <v>2018</v>
      </c>
    </row>
    <row r="30" spans="2:13" ht="17" thickBot="1" x14ac:dyDescent="0.25">
      <c r="E30" s="3043"/>
      <c r="F30" s="1169" t="s">
        <v>1090</v>
      </c>
      <c r="G30" s="1169" t="s">
        <v>1091</v>
      </c>
      <c r="H30" s="1169" t="s">
        <v>1091</v>
      </c>
      <c r="I30" s="1169" t="s">
        <v>1091</v>
      </c>
      <c r="J30" s="1169" t="s">
        <v>1091</v>
      </c>
    </row>
    <row r="32" spans="2:13" ht="48" x14ac:dyDescent="0.2">
      <c r="B32" s="1164">
        <v>1</v>
      </c>
      <c r="C32" s="1165" t="s">
        <v>1079</v>
      </c>
      <c r="D32" s="1166" t="s">
        <v>1080</v>
      </c>
      <c r="E32" s="1166">
        <v>14</v>
      </c>
      <c r="F32" s="1166">
        <v>15</v>
      </c>
      <c r="G32" s="1166">
        <v>16.5</v>
      </c>
      <c r="H32" s="1166">
        <v>17</v>
      </c>
      <c r="I32" s="1166">
        <v>17.5</v>
      </c>
      <c r="J32" s="1166">
        <v>18</v>
      </c>
      <c r="M32" s="288">
        <f>M33*1.0078</f>
        <v>537258.18000000005</v>
      </c>
    </row>
    <row r="33" spans="2:14" ht="64" x14ac:dyDescent="0.2">
      <c r="B33" s="1164">
        <v>2</v>
      </c>
      <c r="C33" s="1165" t="s">
        <v>563</v>
      </c>
      <c r="D33" s="1166" t="s">
        <v>1080</v>
      </c>
      <c r="E33" s="1166">
        <v>0.2</v>
      </c>
      <c r="F33" s="1166">
        <v>0.78</v>
      </c>
      <c r="G33" s="1166">
        <v>1.5</v>
      </c>
      <c r="H33" s="1166">
        <v>2.2999999999999998</v>
      </c>
      <c r="I33" s="1166">
        <v>3.4</v>
      </c>
      <c r="J33" s="1166">
        <v>5.0999999999999996</v>
      </c>
      <c r="M33" s="1170">
        <v>533100</v>
      </c>
      <c r="N33" s="1170">
        <v>2900000</v>
      </c>
    </row>
    <row r="34" spans="2:14" ht="45.75" customHeight="1" x14ac:dyDescent="0.2">
      <c r="B34" s="1164"/>
      <c r="C34" s="1165"/>
      <c r="D34" s="1166"/>
      <c r="E34" s="1166"/>
      <c r="F34" s="1166"/>
      <c r="G34" s="1166"/>
      <c r="H34" s="1166"/>
      <c r="I34" s="1166"/>
      <c r="J34" s="1166"/>
      <c r="M34" s="288">
        <f>M33*N34/N33</f>
        <v>183.82758620689654</v>
      </c>
      <c r="N34" s="288">
        <v>1000</v>
      </c>
    </row>
    <row r="35" spans="2:14" ht="64" x14ac:dyDescent="0.2">
      <c r="B35" s="1164">
        <v>3</v>
      </c>
      <c r="C35" s="1165" t="s">
        <v>564</v>
      </c>
      <c r="D35" s="1166" t="s">
        <v>1080</v>
      </c>
      <c r="E35" s="1166">
        <v>0.5</v>
      </c>
      <c r="F35" s="1166">
        <v>0.62</v>
      </c>
      <c r="G35" s="1166">
        <v>0.9</v>
      </c>
      <c r="H35" s="1166">
        <v>1.1000000000000001</v>
      </c>
      <c r="I35" s="1166">
        <v>1.3</v>
      </c>
      <c r="J35" s="1166">
        <v>1.6</v>
      </c>
    </row>
    <row r="36" spans="2:14" ht="48" x14ac:dyDescent="0.2">
      <c r="B36" s="1164">
        <v>4</v>
      </c>
      <c r="C36" s="1165" t="s">
        <v>565</v>
      </c>
      <c r="D36" s="1166" t="s">
        <v>1080</v>
      </c>
      <c r="E36" s="1166">
        <v>6.3</v>
      </c>
      <c r="F36" s="1166">
        <v>11.8</v>
      </c>
      <c r="G36" s="1166">
        <v>15.8</v>
      </c>
      <c r="H36" s="1166">
        <v>18.2</v>
      </c>
      <c r="I36" s="1166">
        <v>19.2</v>
      </c>
      <c r="J36" s="1166">
        <v>22.6</v>
      </c>
      <c r="M36" s="288">
        <f>M34</f>
        <v>183.82758620689654</v>
      </c>
      <c r="N36" s="288">
        <v>100</v>
      </c>
    </row>
    <row r="37" spans="2:14" ht="32" x14ac:dyDescent="0.2">
      <c r="B37" s="1164">
        <v>5</v>
      </c>
      <c r="C37" s="1165" t="s">
        <v>566</v>
      </c>
      <c r="D37" s="1166" t="s">
        <v>1080</v>
      </c>
      <c r="E37" s="1166">
        <v>0.1</v>
      </c>
      <c r="F37" s="1166">
        <v>0.26</v>
      </c>
      <c r="G37" s="1166">
        <v>0.9</v>
      </c>
      <c r="H37" s="1166">
        <v>1.4</v>
      </c>
      <c r="I37" s="1166">
        <v>1.9</v>
      </c>
      <c r="J37" s="1166">
        <v>2.4</v>
      </c>
      <c r="M37" s="288">
        <f>M36*N37/N36</f>
        <v>1.4338551724137931</v>
      </c>
      <c r="N37" s="288">
        <v>0.78</v>
      </c>
    </row>
    <row r="38" spans="2:14" ht="48" x14ac:dyDescent="0.2">
      <c r="B38" s="1164">
        <v>6</v>
      </c>
      <c r="C38" s="1165" t="s">
        <v>567</v>
      </c>
      <c r="D38" s="1166" t="s">
        <v>1080</v>
      </c>
      <c r="E38" s="1166">
        <v>0.5</v>
      </c>
      <c r="F38" s="1166">
        <v>0.05</v>
      </c>
      <c r="G38" s="1166">
        <v>0.2</v>
      </c>
      <c r="H38" s="1166">
        <v>0.4</v>
      </c>
      <c r="I38" s="1166">
        <v>0.5</v>
      </c>
      <c r="J38" s="1166">
        <v>0.6</v>
      </c>
      <c r="M38" s="288">
        <f>N38*M39/N39</f>
        <v>537258.18000000005</v>
      </c>
      <c r="N38" s="288">
        <v>2900000</v>
      </c>
    </row>
    <row r="39" spans="2:14" ht="48" x14ac:dyDescent="0.2">
      <c r="B39" s="1164">
        <v>7</v>
      </c>
      <c r="C39" s="1165" t="s">
        <v>568</v>
      </c>
      <c r="D39" s="1166" t="s">
        <v>1080</v>
      </c>
      <c r="E39" s="1166">
        <v>1</v>
      </c>
      <c r="F39" s="1166">
        <v>1</v>
      </c>
      <c r="G39" s="1166">
        <v>3</v>
      </c>
      <c r="H39" s="1166">
        <v>4</v>
      </c>
      <c r="I39" s="1166">
        <v>5</v>
      </c>
      <c r="J39" s="1166">
        <v>6</v>
      </c>
      <c r="M39" s="288">
        <f>M36*1.0078</f>
        <v>185.26144137931033</v>
      </c>
      <c r="N39" s="288">
        <v>1000</v>
      </c>
    </row>
    <row r="40" spans="2:14" ht="48" x14ac:dyDescent="0.2">
      <c r="B40" s="1164">
        <v>8</v>
      </c>
      <c r="C40" s="1165" t="s">
        <v>569</v>
      </c>
      <c r="D40" s="1166" t="s">
        <v>1080</v>
      </c>
      <c r="E40" s="1166">
        <v>7.3</v>
      </c>
      <c r="F40" s="1166">
        <v>7.3</v>
      </c>
      <c r="G40" s="1166">
        <v>8.3000000000000007</v>
      </c>
      <c r="H40" s="1166">
        <v>9.4</v>
      </c>
      <c r="I40" s="1166">
        <v>12.1</v>
      </c>
      <c r="J40" s="1166">
        <v>14.6</v>
      </c>
    </row>
    <row r="41" spans="2:14" ht="80" x14ac:dyDescent="0.2">
      <c r="B41" s="1164">
        <v>9</v>
      </c>
      <c r="C41" s="1165" t="s">
        <v>570</v>
      </c>
      <c r="D41" s="1166" t="s">
        <v>1080</v>
      </c>
      <c r="E41" s="1166">
        <v>4</v>
      </c>
      <c r="F41" s="1166">
        <v>4</v>
      </c>
      <c r="G41" s="1166">
        <v>4.4000000000000004</v>
      </c>
      <c r="H41" s="1166">
        <v>6.6</v>
      </c>
      <c r="I41" s="1166">
        <v>10</v>
      </c>
      <c r="J41" s="1166">
        <v>15.1</v>
      </c>
    </row>
    <row r="42" spans="2:14" ht="48" x14ac:dyDescent="0.2">
      <c r="B42" s="1164">
        <v>10</v>
      </c>
      <c r="C42" s="1165" t="s">
        <v>1081</v>
      </c>
      <c r="D42" s="1166" t="s">
        <v>1080</v>
      </c>
      <c r="E42" s="1166">
        <v>4.5</v>
      </c>
      <c r="F42" s="1166">
        <v>4.5</v>
      </c>
      <c r="G42" s="1166">
        <v>5.0999999999999996</v>
      </c>
      <c r="H42" s="1166">
        <v>7.4</v>
      </c>
      <c r="I42" s="1166">
        <v>8.6</v>
      </c>
      <c r="J42" s="1166">
        <v>9</v>
      </c>
    </row>
    <row r="44" spans="2:14" ht="47.25" customHeight="1" x14ac:dyDescent="0.2">
      <c r="B44" s="3041">
        <v>1</v>
      </c>
      <c r="C44" s="2781" t="s">
        <v>1082</v>
      </c>
      <c r="D44" s="1166" t="s">
        <v>571</v>
      </c>
      <c r="E44" s="1166">
        <v>30</v>
      </c>
      <c r="F44" s="1166">
        <v>75</v>
      </c>
      <c r="G44" s="1166">
        <v>80</v>
      </c>
      <c r="H44" s="1166">
        <v>80</v>
      </c>
      <c r="I44" s="1166">
        <v>80</v>
      </c>
      <c r="J44" s="1166">
        <v>80</v>
      </c>
    </row>
    <row r="45" spans="2:14" ht="16" x14ac:dyDescent="0.15">
      <c r="B45" s="3041"/>
      <c r="C45" s="2781"/>
      <c r="D45" s="1167" t="s">
        <v>1080</v>
      </c>
      <c r="E45" s="1167">
        <v>0.66</v>
      </c>
      <c r="F45" s="1167">
        <v>1.65</v>
      </c>
      <c r="G45" s="1167">
        <v>1.76</v>
      </c>
      <c r="H45" s="1167">
        <v>1.76</v>
      </c>
      <c r="I45" s="1167">
        <v>1.76</v>
      </c>
      <c r="J45" s="1167">
        <v>1.76</v>
      </c>
    </row>
    <row r="46" spans="2:14" ht="78.75" customHeight="1" x14ac:dyDescent="0.2">
      <c r="B46" s="3041">
        <v>2</v>
      </c>
      <c r="C46" s="2781" t="s">
        <v>1083</v>
      </c>
      <c r="D46" s="1166" t="s">
        <v>571</v>
      </c>
      <c r="E46" s="1166">
        <v>10</v>
      </c>
      <c r="F46" s="1166">
        <v>30</v>
      </c>
      <c r="G46" s="1166">
        <v>31</v>
      </c>
      <c r="H46" s="1166">
        <v>33</v>
      </c>
      <c r="I46" s="1166">
        <v>30</v>
      </c>
      <c r="J46" s="1166">
        <v>19</v>
      </c>
    </row>
    <row r="47" spans="2:14" ht="16" x14ac:dyDescent="0.15">
      <c r="B47" s="3041"/>
      <c r="C47" s="2781"/>
      <c r="D47" s="1167" t="s">
        <v>1080</v>
      </c>
      <c r="E47" s="1167">
        <v>0.22</v>
      </c>
      <c r="F47" s="1167">
        <v>0.66</v>
      </c>
      <c r="G47" s="1167">
        <v>0.68</v>
      </c>
      <c r="H47" s="1167">
        <v>0.73</v>
      </c>
      <c r="I47" s="1167">
        <v>0.66</v>
      </c>
      <c r="J47" s="1167">
        <v>0.42</v>
      </c>
    </row>
    <row r="48" spans="2:14" ht="47.25" customHeight="1" x14ac:dyDescent="0.2">
      <c r="B48" s="3041">
        <v>3</v>
      </c>
      <c r="C48" s="2781" t="s">
        <v>1084</v>
      </c>
      <c r="D48" s="1166" t="s">
        <v>571</v>
      </c>
      <c r="E48" s="1166">
        <v>30</v>
      </c>
      <c r="F48" s="1166">
        <v>30</v>
      </c>
      <c r="G48" s="1166">
        <v>75</v>
      </c>
      <c r="H48" s="1166">
        <v>80</v>
      </c>
      <c r="I48" s="1166">
        <v>85</v>
      </c>
      <c r="J48" s="1166">
        <v>80</v>
      </c>
    </row>
    <row r="49" spans="2:10" ht="16" x14ac:dyDescent="0.15">
      <c r="B49" s="3041"/>
      <c r="C49" s="2781"/>
      <c r="D49" s="1167" t="s">
        <v>1080</v>
      </c>
      <c r="E49" s="1167">
        <v>0.66</v>
      </c>
      <c r="F49" s="1167">
        <v>0.66</v>
      </c>
      <c r="G49" s="1167">
        <v>1.65</v>
      </c>
      <c r="H49" s="1167">
        <v>1.76</v>
      </c>
      <c r="I49" s="1167">
        <v>1.87</v>
      </c>
      <c r="J49" s="1167">
        <v>1.76</v>
      </c>
    </row>
    <row r="50" spans="2:10" ht="47.25" customHeight="1" x14ac:dyDescent="0.2">
      <c r="B50" s="3041">
        <v>4</v>
      </c>
      <c r="C50" s="2781" t="s">
        <v>1085</v>
      </c>
      <c r="D50" s="1166" t="s">
        <v>571</v>
      </c>
      <c r="E50" s="1166">
        <v>1</v>
      </c>
      <c r="F50" s="1166">
        <v>0</v>
      </c>
      <c r="G50" s="1166">
        <v>6</v>
      </c>
      <c r="H50" s="1166">
        <v>6</v>
      </c>
      <c r="I50" s="1166">
        <v>6</v>
      </c>
      <c r="J50" s="1166">
        <v>6</v>
      </c>
    </row>
    <row r="51" spans="2:10" ht="16" x14ac:dyDescent="0.15">
      <c r="B51" s="3041"/>
      <c r="C51" s="2781"/>
      <c r="D51" s="1167" t="s">
        <v>1080</v>
      </c>
      <c r="E51" s="1167">
        <v>0.02</v>
      </c>
      <c r="F51" s="1167">
        <v>0</v>
      </c>
      <c r="G51" s="1167">
        <v>0.13</v>
      </c>
      <c r="H51" s="1167">
        <v>0.13</v>
      </c>
      <c r="I51" s="1167">
        <v>0.13</v>
      </c>
      <c r="J51" s="1167">
        <v>0.13</v>
      </c>
    </row>
    <row r="52" spans="2:10" ht="48" x14ac:dyDescent="0.2">
      <c r="B52" s="1164">
        <v>5</v>
      </c>
      <c r="C52" s="1165" t="s">
        <v>1086</v>
      </c>
      <c r="D52" s="1166" t="s">
        <v>1087</v>
      </c>
      <c r="E52" s="1166">
        <v>5</v>
      </c>
      <c r="F52" s="1166">
        <v>6</v>
      </c>
      <c r="G52" s="1166">
        <v>7</v>
      </c>
      <c r="H52" s="1166">
        <v>8</v>
      </c>
      <c r="I52" s="1166">
        <v>9</v>
      </c>
      <c r="J52" s="1166">
        <v>11</v>
      </c>
    </row>
    <row r="53" spans="2:10" ht="63" customHeight="1" x14ac:dyDescent="0.2">
      <c r="B53" s="3041">
        <v>6</v>
      </c>
      <c r="C53" s="2781" t="s">
        <v>1088</v>
      </c>
      <c r="D53" s="1166" t="s">
        <v>571</v>
      </c>
      <c r="E53" s="1166">
        <v>289</v>
      </c>
      <c r="F53" s="1166">
        <v>950</v>
      </c>
      <c r="G53" s="1166">
        <v>850</v>
      </c>
      <c r="H53" s="1166">
        <v>950</v>
      </c>
      <c r="I53" s="1166">
        <v>1000</v>
      </c>
      <c r="J53" s="1166">
        <v>500</v>
      </c>
    </row>
    <row r="54" spans="2:10" ht="16" x14ac:dyDescent="0.15">
      <c r="B54" s="3041"/>
      <c r="C54" s="2781"/>
      <c r="D54" s="1167" t="s">
        <v>1080</v>
      </c>
      <c r="E54" s="1167">
        <v>6.36</v>
      </c>
      <c r="F54" s="1167">
        <v>20.93</v>
      </c>
      <c r="G54" s="1167">
        <v>18.73</v>
      </c>
      <c r="H54" s="1167">
        <v>20.93</v>
      </c>
      <c r="I54" s="1167">
        <v>22.03</v>
      </c>
      <c r="J54" s="1167">
        <v>11.02</v>
      </c>
    </row>
  </sheetData>
  <mergeCells count="25">
    <mergeCell ref="B3:J3"/>
    <mergeCell ref="B2:J2"/>
    <mergeCell ref="B23:B24"/>
    <mergeCell ref="C23:C24"/>
    <mergeCell ref="B26:B27"/>
    <mergeCell ref="C26:C27"/>
    <mergeCell ref="B28:J28"/>
    <mergeCell ref="B4:J4"/>
    <mergeCell ref="B17:B18"/>
    <mergeCell ref="C17:C18"/>
    <mergeCell ref="B19:B20"/>
    <mergeCell ref="C19:C20"/>
    <mergeCell ref="B21:B22"/>
    <mergeCell ref="C21:C22"/>
    <mergeCell ref="B50:B51"/>
    <mergeCell ref="C50:C51"/>
    <mergeCell ref="B53:B54"/>
    <mergeCell ref="C53:C54"/>
    <mergeCell ref="E29:E30"/>
    <mergeCell ref="B44:B45"/>
    <mergeCell ref="C44:C45"/>
    <mergeCell ref="B46:B47"/>
    <mergeCell ref="C46:C47"/>
    <mergeCell ref="B48:B49"/>
    <mergeCell ref="C48:C49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05"/>
  <sheetViews>
    <sheetView topLeftCell="A7" zoomScale="85" zoomScaleNormal="85" zoomScalePageLayoutView="85" workbookViewId="0">
      <selection activeCell="M33" sqref="M33"/>
    </sheetView>
  </sheetViews>
  <sheetFormatPr baseColWidth="10" defaultColWidth="8.83203125" defaultRowHeight="13" x14ac:dyDescent="0.15"/>
  <cols>
    <col min="1" max="1" width="8.83203125" style="288"/>
    <col min="2" max="2" width="11.5" style="288" customWidth="1"/>
    <col min="3" max="3" width="64.33203125" style="288" customWidth="1"/>
    <col min="4" max="7" width="8.83203125" style="288"/>
    <col min="8" max="8" width="11.6640625" style="288" bestFit="1" customWidth="1"/>
    <col min="9" max="11" width="8.83203125" style="288"/>
    <col min="12" max="12" width="11.6640625" style="288" bestFit="1" customWidth="1"/>
    <col min="13" max="14" width="8.83203125" style="288"/>
    <col min="15" max="15" width="11.1640625" style="288" customWidth="1"/>
    <col min="16" max="16" width="11.6640625" style="288" bestFit="1" customWidth="1"/>
    <col min="17" max="16384" width="8.83203125" style="288"/>
  </cols>
  <sheetData>
    <row r="2" spans="2:16" ht="17" x14ac:dyDescent="0.2">
      <c r="B2" s="3055" t="s">
        <v>991</v>
      </c>
      <c r="C2" s="3055"/>
      <c r="D2" s="3055"/>
      <c r="E2" s="3055"/>
      <c r="F2" s="3055"/>
      <c r="G2" s="3055"/>
    </row>
    <row r="3" spans="2:16" ht="17" x14ac:dyDescent="0.2">
      <c r="B3" s="3056" t="s">
        <v>1004</v>
      </c>
      <c r="C3" s="3056"/>
      <c r="D3" s="3056"/>
      <c r="E3" s="3056"/>
      <c r="F3" s="3056"/>
      <c r="G3" s="3056"/>
    </row>
    <row r="4" spans="2:16" ht="17" x14ac:dyDescent="0.2">
      <c r="B4" s="1049"/>
    </row>
    <row r="5" spans="2:16" ht="18" thickBot="1" x14ac:dyDescent="0.25">
      <c r="B5" s="3052" t="s">
        <v>1005</v>
      </c>
      <c r="C5" s="3052"/>
    </row>
    <row r="6" spans="2:16" ht="17" x14ac:dyDescent="0.2">
      <c r="B6" s="3050" t="s">
        <v>919</v>
      </c>
      <c r="C6" s="3050" t="s">
        <v>263</v>
      </c>
      <c r="D6" s="1050">
        <v>2012</v>
      </c>
      <c r="E6" s="3048" t="s">
        <v>978</v>
      </c>
      <c r="F6" s="3048" t="s">
        <v>979</v>
      </c>
      <c r="G6" s="3048" t="s">
        <v>731</v>
      </c>
    </row>
    <row r="7" spans="2:16" ht="18" thickBot="1" x14ac:dyDescent="0.25">
      <c r="B7" s="3051"/>
      <c r="C7" s="3051"/>
      <c r="D7" s="1051" t="s">
        <v>977</v>
      </c>
      <c r="E7" s="3049"/>
      <c r="F7" s="3049"/>
      <c r="G7" s="3049"/>
    </row>
    <row r="8" spans="2:16" ht="35" thickBot="1" x14ac:dyDescent="0.25">
      <c r="B8" s="1052">
        <v>1</v>
      </c>
      <c r="C8" s="1053" t="s">
        <v>980</v>
      </c>
      <c r="D8" s="1054">
        <v>1935</v>
      </c>
      <c r="E8" s="1054">
        <v>1902</v>
      </c>
      <c r="F8" s="1054">
        <v>1955</v>
      </c>
      <c r="G8" s="1054">
        <v>1958</v>
      </c>
      <c r="H8" s="288">
        <v>1960</v>
      </c>
    </row>
    <row r="9" spans="2:16" ht="35" thickBot="1" x14ac:dyDescent="0.25">
      <c r="B9" s="1052">
        <v>2</v>
      </c>
      <c r="C9" s="1053" t="s">
        <v>981</v>
      </c>
      <c r="D9" s="1055">
        <v>297.55</v>
      </c>
      <c r="E9" s="1055">
        <v>307.8</v>
      </c>
      <c r="F9" s="1055">
        <v>306.88</v>
      </c>
      <c r="G9" s="1055">
        <v>307.76</v>
      </c>
      <c r="H9" s="288">
        <v>308.74</v>
      </c>
    </row>
    <row r="10" spans="2:16" ht="18" thickBot="1" x14ac:dyDescent="0.25">
      <c r="B10" s="1052">
        <v>3</v>
      </c>
      <c r="C10" s="1053" t="s">
        <v>281</v>
      </c>
      <c r="D10" s="1055">
        <v>34</v>
      </c>
      <c r="E10" s="1055">
        <v>30</v>
      </c>
      <c r="F10" s="1055">
        <v>33</v>
      </c>
      <c r="G10" s="1055">
        <v>33</v>
      </c>
      <c r="H10" s="288">
        <v>35</v>
      </c>
      <c r="O10" s="288" t="s">
        <v>1202</v>
      </c>
      <c r="P10" s="288" t="s">
        <v>1203</v>
      </c>
    </row>
    <row r="11" spans="2:16" ht="35" thickBot="1" x14ac:dyDescent="0.25">
      <c r="B11" s="1052">
        <v>4</v>
      </c>
      <c r="C11" s="1053" t="s">
        <v>982</v>
      </c>
      <c r="D11" s="1055">
        <v>764</v>
      </c>
      <c r="E11" s="1055">
        <v>746</v>
      </c>
      <c r="F11" s="1055">
        <v>739</v>
      </c>
      <c r="G11" s="1055">
        <v>751</v>
      </c>
      <c r="H11" s="288">
        <v>755</v>
      </c>
      <c r="N11" s="288" t="s">
        <v>1198</v>
      </c>
      <c r="O11" s="1411">
        <v>711138</v>
      </c>
      <c r="P11" s="1411">
        <v>4672</v>
      </c>
    </row>
    <row r="12" spans="2:16" ht="35" thickBot="1" x14ac:dyDescent="0.25">
      <c r="B12" s="1052">
        <v>5</v>
      </c>
      <c r="C12" s="1053" t="s">
        <v>983</v>
      </c>
      <c r="D12" s="1055">
        <v>191.1</v>
      </c>
      <c r="E12" s="1055">
        <v>218.58</v>
      </c>
      <c r="F12" s="1055">
        <v>187.35</v>
      </c>
      <c r="G12" s="1055">
        <v>188.69</v>
      </c>
      <c r="H12" s="288">
        <v>191.47</v>
      </c>
      <c r="N12" s="288" t="s">
        <v>1199</v>
      </c>
      <c r="O12" s="1411">
        <v>102051</v>
      </c>
      <c r="P12" s="1411">
        <v>997</v>
      </c>
    </row>
    <row r="13" spans="2:16" ht="17" x14ac:dyDescent="0.2">
      <c r="B13" s="1083"/>
      <c r="N13" s="288" t="s">
        <v>1200</v>
      </c>
      <c r="O13" s="1411">
        <v>98418</v>
      </c>
      <c r="P13" s="1411">
        <v>332</v>
      </c>
    </row>
    <row r="14" spans="2:16" ht="18" thickBot="1" x14ac:dyDescent="0.25">
      <c r="B14" s="3052" t="s">
        <v>984</v>
      </c>
      <c r="C14" s="3052"/>
      <c r="N14" s="288" t="s">
        <v>1201</v>
      </c>
      <c r="O14" s="1411">
        <v>59697</v>
      </c>
      <c r="P14" s="1411">
        <v>3937</v>
      </c>
    </row>
    <row r="15" spans="2:16" ht="17" x14ac:dyDescent="0.2">
      <c r="B15" s="3050" t="s">
        <v>919</v>
      </c>
      <c r="C15" s="3050" t="s">
        <v>263</v>
      </c>
      <c r="D15" s="1050">
        <v>2012</v>
      </c>
      <c r="E15" s="3048" t="s">
        <v>978</v>
      </c>
      <c r="F15" s="3048" t="s">
        <v>979</v>
      </c>
      <c r="G15" s="3048" t="s">
        <v>731</v>
      </c>
      <c r="O15" s="291">
        <f>SUM(O11:O14)</f>
        <v>971304</v>
      </c>
      <c r="P15" s="291">
        <f>SUM(P11:P14)</f>
        <v>9938</v>
      </c>
    </row>
    <row r="16" spans="2:16" ht="18" thickBot="1" x14ac:dyDescent="0.25">
      <c r="B16" s="3051"/>
      <c r="C16" s="3051"/>
      <c r="D16" s="1051" t="s">
        <v>977</v>
      </c>
      <c r="E16" s="3049"/>
      <c r="F16" s="3049"/>
      <c r="G16" s="3049"/>
    </row>
    <row r="17" spans="2:16" ht="18" thickBot="1" x14ac:dyDescent="0.2">
      <c r="B17" s="1058">
        <v>1</v>
      </c>
      <c r="C17" s="1053" t="s">
        <v>985</v>
      </c>
      <c r="D17" s="1057">
        <v>154</v>
      </c>
      <c r="E17" s="1057">
        <v>162</v>
      </c>
      <c r="F17" s="1057">
        <v>157</v>
      </c>
      <c r="G17" s="1057">
        <v>157</v>
      </c>
      <c r="H17" s="1099">
        <f>H9*1000/H8</f>
        <v>157.5204081632653</v>
      </c>
      <c r="O17" s="288">
        <f>O15</f>
        <v>971304</v>
      </c>
      <c r="P17" s="288">
        <v>100</v>
      </c>
    </row>
    <row r="18" spans="2:16" ht="18" thickBot="1" x14ac:dyDescent="0.2">
      <c r="B18" s="1058">
        <v>2</v>
      </c>
      <c r="C18" s="1053" t="s">
        <v>986</v>
      </c>
      <c r="D18" s="1057">
        <v>250</v>
      </c>
      <c r="E18" s="1057">
        <v>293</v>
      </c>
      <c r="F18" s="1057">
        <v>254</v>
      </c>
      <c r="G18" s="1057">
        <v>251</v>
      </c>
      <c r="H18" s="1099">
        <f>H12*1000/H11</f>
        <v>253.60264900662253</v>
      </c>
      <c r="O18" s="288">
        <f>P15</f>
        <v>9938</v>
      </c>
      <c r="P18" s="288">
        <f>O18*P17/O17</f>
        <v>1.0231606170673651</v>
      </c>
    </row>
    <row r="19" spans="2:16" ht="18" thickBot="1" x14ac:dyDescent="0.25">
      <c r="B19" s="1058">
        <v>3</v>
      </c>
      <c r="C19" s="1053" t="s">
        <v>987</v>
      </c>
      <c r="D19" s="1059">
        <v>55</v>
      </c>
      <c r="E19" s="1059">
        <v>55</v>
      </c>
      <c r="F19" s="1059">
        <v>55</v>
      </c>
      <c r="G19" s="1059">
        <v>56</v>
      </c>
      <c r="H19" s="1099">
        <v>56</v>
      </c>
    </row>
    <row r="20" spans="2:16" ht="17" x14ac:dyDescent="0.2">
      <c r="B20" s="1083"/>
      <c r="O20" s="288">
        <v>2963918</v>
      </c>
      <c r="P20" s="288">
        <f>O17</f>
        <v>971304</v>
      </c>
    </row>
    <row r="21" spans="2:16" ht="17" x14ac:dyDescent="0.2">
      <c r="B21" s="3055" t="s">
        <v>988</v>
      </c>
      <c r="C21" s="3055"/>
      <c r="O21" s="288">
        <v>1000</v>
      </c>
      <c r="P21" s="288">
        <f>O21*P20/O20</f>
        <v>327.7094710447455</v>
      </c>
    </row>
    <row r="22" spans="2:16" ht="18" thickBot="1" x14ac:dyDescent="0.25">
      <c r="B22" s="1095" t="s">
        <v>699</v>
      </c>
    </row>
    <row r="23" spans="2:16" ht="17" x14ac:dyDescent="0.2">
      <c r="B23" s="3050" t="s">
        <v>919</v>
      </c>
      <c r="C23" s="3050" t="s">
        <v>263</v>
      </c>
      <c r="D23" s="1050">
        <v>2012</v>
      </c>
      <c r="E23" s="3048" t="s">
        <v>978</v>
      </c>
      <c r="F23" s="3048" t="s">
        <v>979</v>
      </c>
      <c r="G23" s="3048" t="s">
        <v>731</v>
      </c>
      <c r="N23" s="292"/>
      <c r="O23" s="292" t="s">
        <v>1202</v>
      </c>
      <c r="P23" s="292" t="s">
        <v>1203</v>
      </c>
    </row>
    <row r="24" spans="2:16" ht="18" thickBot="1" x14ac:dyDescent="0.25">
      <c r="B24" s="3051"/>
      <c r="C24" s="3051"/>
      <c r="D24" s="1051" t="s">
        <v>977</v>
      </c>
      <c r="E24" s="3049"/>
      <c r="F24" s="3049"/>
      <c r="G24" s="3049"/>
      <c r="N24" s="292" t="s">
        <v>653</v>
      </c>
      <c r="O24" s="292"/>
      <c r="P24" s="292"/>
    </row>
    <row r="25" spans="2:16" ht="52" thickBot="1" x14ac:dyDescent="0.25">
      <c r="B25" s="1058">
        <v>1</v>
      </c>
      <c r="C25" s="1053" t="s">
        <v>989</v>
      </c>
      <c r="D25" s="1059">
        <v>4</v>
      </c>
      <c r="E25" s="1059">
        <v>3</v>
      </c>
      <c r="F25" s="1059">
        <v>3</v>
      </c>
      <c r="G25" s="1059">
        <v>3</v>
      </c>
      <c r="H25" s="288">
        <v>2</v>
      </c>
      <c r="N25" s="292" t="s">
        <v>655</v>
      </c>
      <c r="O25" s="292"/>
      <c r="P25" s="292"/>
    </row>
    <row r="26" spans="2:16" ht="35" thickBot="1" x14ac:dyDescent="0.25">
      <c r="B26" s="1058">
        <v>2</v>
      </c>
      <c r="C26" s="1053" t="s">
        <v>275</v>
      </c>
      <c r="D26" s="1059">
        <v>70</v>
      </c>
      <c r="E26" s="1059">
        <v>70</v>
      </c>
      <c r="F26" s="1059">
        <v>70</v>
      </c>
      <c r="G26" s="1059">
        <v>70</v>
      </c>
      <c r="H26" s="288">
        <v>70</v>
      </c>
      <c r="N26" s="292" t="s">
        <v>1204</v>
      </c>
      <c r="O26" s="292"/>
      <c r="P26" s="292"/>
    </row>
    <row r="27" spans="2:16" ht="52" thickBot="1" x14ac:dyDescent="0.25">
      <c r="B27" s="1058">
        <v>3</v>
      </c>
      <c r="C27" s="1053" t="s">
        <v>990</v>
      </c>
      <c r="D27" s="1059">
        <v>24</v>
      </c>
      <c r="E27" s="1059">
        <v>24</v>
      </c>
      <c r="F27" s="1059">
        <v>24</v>
      </c>
      <c r="G27" s="1059">
        <v>24</v>
      </c>
      <c r="H27" s="288">
        <v>24</v>
      </c>
      <c r="N27" s="292" t="s">
        <v>531</v>
      </c>
      <c r="O27" s="292"/>
      <c r="P27" s="292"/>
    </row>
    <row r="28" spans="2:16" ht="17" x14ac:dyDescent="0.2">
      <c r="B28" s="1083"/>
    </row>
    <row r="29" spans="2:16" ht="17" x14ac:dyDescent="0.2">
      <c r="B29" s="1083"/>
    </row>
    <row r="30" spans="2:16" ht="17" x14ac:dyDescent="0.2">
      <c r="B30" s="3055" t="s">
        <v>991</v>
      </c>
      <c r="C30" s="3055"/>
      <c r="D30" s="3055"/>
      <c r="E30" s="3055"/>
      <c r="F30" s="3055"/>
      <c r="G30" s="3055"/>
    </row>
    <row r="31" spans="2:16" ht="17" x14ac:dyDescent="0.2">
      <c r="B31" s="3056" t="s">
        <v>992</v>
      </c>
      <c r="C31" s="3056"/>
      <c r="D31" s="3056"/>
      <c r="E31" s="3056"/>
      <c r="F31" s="3056"/>
      <c r="G31" s="3056"/>
    </row>
    <row r="32" spans="2:16" ht="17" x14ac:dyDescent="0.2">
      <c r="B32" s="1071"/>
    </row>
    <row r="33" spans="2:8" ht="18" thickBot="1" x14ac:dyDescent="0.25">
      <c r="B33" s="1095"/>
    </row>
    <row r="34" spans="2:8" ht="52" thickBot="1" x14ac:dyDescent="0.25">
      <c r="B34" s="1060" t="s">
        <v>919</v>
      </c>
      <c r="C34" s="1061" t="s">
        <v>263</v>
      </c>
      <c r="D34" s="1062" t="s">
        <v>677</v>
      </c>
      <c r="E34" s="1062" t="s">
        <v>978</v>
      </c>
      <c r="F34" s="1062" t="s">
        <v>979</v>
      </c>
      <c r="G34" s="1062" t="s">
        <v>731</v>
      </c>
    </row>
    <row r="35" spans="2:8" ht="35" thickBot="1" x14ac:dyDescent="0.25">
      <c r="B35" s="1063">
        <v>1</v>
      </c>
      <c r="C35" s="1064" t="s">
        <v>993</v>
      </c>
      <c r="D35" s="1059">
        <v>48.55</v>
      </c>
      <c r="E35" s="1059">
        <v>48.97</v>
      </c>
      <c r="F35" s="1059">
        <v>49.29</v>
      </c>
      <c r="G35" s="1059">
        <v>49.6</v>
      </c>
      <c r="H35" s="288">
        <v>49.8</v>
      </c>
    </row>
    <row r="36" spans="2:8" ht="35" thickBot="1" x14ac:dyDescent="0.25">
      <c r="B36" s="1063">
        <v>2</v>
      </c>
      <c r="C36" s="1064" t="s">
        <v>994</v>
      </c>
      <c r="D36" s="1059">
        <v>383.43</v>
      </c>
      <c r="E36" s="1059">
        <v>388.08</v>
      </c>
      <c r="F36" s="1059">
        <v>389.42</v>
      </c>
      <c r="G36" s="1059">
        <v>390.75</v>
      </c>
      <c r="H36" s="288">
        <v>392.01</v>
      </c>
    </row>
    <row r="37" spans="2:8" ht="52" thickBot="1" x14ac:dyDescent="0.25">
      <c r="B37" s="1063">
        <v>3</v>
      </c>
      <c r="C37" s="1064" t="s">
        <v>995</v>
      </c>
      <c r="D37" s="1059">
        <v>1019.67</v>
      </c>
      <c r="E37" s="1059">
        <v>1075.3699999999999</v>
      </c>
      <c r="F37" s="1059">
        <v>1078.72</v>
      </c>
      <c r="G37" s="1059">
        <v>1086.79</v>
      </c>
      <c r="H37" s="288">
        <v>1092.81</v>
      </c>
    </row>
    <row r="38" spans="2:8" ht="35" thickBot="1" x14ac:dyDescent="0.25">
      <c r="B38" s="1063">
        <v>4</v>
      </c>
      <c r="C38" s="1064" t="s">
        <v>996</v>
      </c>
      <c r="D38" s="1059">
        <v>39.479999999999997</v>
      </c>
      <c r="E38" s="1059">
        <v>40.880000000000003</v>
      </c>
      <c r="F38" s="1059">
        <v>41.7</v>
      </c>
      <c r="G38" s="1059">
        <v>42.54</v>
      </c>
      <c r="H38" s="288">
        <v>42.54</v>
      </c>
    </row>
    <row r="39" spans="2:8" ht="17" x14ac:dyDescent="0.2">
      <c r="B39" s="1096"/>
    </row>
    <row r="40" spans="2:8" ht="17" x14ac:dyDescent="0.2">
      <c r="B40" s="3055" t="s">
        <v>984</v>
      </c>
      <c r="C40" s="3055"/>
    </row>
    <row r="41" spans="2:8" ht="18" thickBot="1" x14ac:dyDescent="0.25">
      <c r="B41" s="1095"/>
    </row>
    <row r="42" spans="2:8" ht="52" thickBot="1" x14ac:dyDescent="0.25">
      <c r="C42" s="1065" t="s">
        <v>263</v>
      </c>
      <c r="D42" s="1062" t="s">
        <v>677</v>
      </c>
      <c r="E42" s="1062" t="s">
        <v>978</v>
      </c>
      <c r="F42" s="1062" t="s">
        <v>979</v>
      </c>
      <c r="G42" s="1062" t="s">
        <v>731</v>
      </c>
    </row>
    <row r="43" spans="2:8" ht="52" thickBot="1" x14ac:dyDescent="0.25">
      <c r="C43" s="1067" t="s">
        <v>997</v>
      </c>
      <c r="D43" s="1068">
        <v>1286.7</v>
      </c>
      <c r="E43" s="1068">
        <v>1302.3</v>
      </c>
      <c r="F43" s="1068">
        <v>1306.8</v>
      </c>
      <c r="G43" s="1068">
        <v>1311.3</v>
      </c>
      <c r="H43" s="288">
        <v>1315.5</v>
      </c>
    </row>
    <row r="44" spans="2:8" ht="52" thickBot="1" x14ac:dyDescent="0.25">
      <c r="C44" s="1067" t="s">
        <v>998</v>
      </c>
      <c r="D44" s="1059">
        <v>52</v>
      </c>
      <c r="E44" s="1059">
        <v>52</v>
      </c>
      <c r="F44" s="1059">
        <v>52</v>
      </c>
      <c r="G44" s="1059">
        <v>52</v>
      </c>
      <c r="H44" s="288">
        <v>52</v>
      </c>
    </row>
    <row r="45" spans="2:8" ht="18" thickBot="1" x14ac:dyDescent="0.25">
      <c r="C45" s="1067" t="s">
        <v>999</v>
      </c>
      <c r="D45" s="1059">
        <v>13.1</v>
      </c>
      <c r="E45" s="1059">
        <v>13.2</v>
      </c>
      <c r="F45" s="1059">
        <v>13.2</v>
      </c>
      <c r="G45" s="1059">
        <v>13.2</v>
      </c>
      <c r="H45" s="288">
        <v>13.2</v>
      </c>
    </row>
    <row r="46" spans="2:8" ht="35" thickBot="1" x14ac:dyDescent="0.25">
      <c r="C46" s="1067" t="s">
        <v>1000</v>
      </c>
      <c r="D46" s="1059">
        <v>5.4</v>
      </c>
      <c r="E46" s="1059">
        <v>5.5</v>
      </c>
      <c r="F46" s="1059">
        <v>5.6</v>
      </c>
      <c r="G46" s="1059">
        <v>5.7</v>
      </c>
      <c r="H46" s="288">
        <v>5.9</v>
      </c>
    </row>
    <row r="47" spans="2:8" ht="17" x14ac:dyDescent="0.2">
      <c r="B47" s="1096"/>
    </row>
    <row r="48" spans="2:8" ht="17" x14ac:dyDescent="0.2">
      <c r="B48" s="3055" t="s">
        <v>988</v>
      </c>
      <c r="C48" s="3055"/>
    </row>
    <row r="49" spans="2:12" ht="18" thickBot="1" x14ac:dyDescent="0.25">
      <c r="B49" s="1095"/>
    </row>
    <row r="50" spans="2:12" ht="52" thickBot="1" x14ac:dyDescent="0.25">
      <c r="C50" s="1065" t="s">
        <v>263</v>
      </c>
      <c r="D50" s="1062" t="s">
        <v>677</v>
      </c>
      <c r="E50" s="1062" t="s">
        <v>978</v>
      </c>
      <c r="F50" s="1062" t="s">
        <v>979</v>
      </c>
      <c r="G50" s="1062" t="s">
        <v>731</v>
      </c>
    </row>
    <row r="51" spans="2:12" ht="69" thickBot="1" x14ac:dyDescent="0.25">
      <c r="C51" s="1067" t="s">
        <v>1001</v>
      </c>
      <c r="D51" s="1059">
        <v>2</v>
      </c>
      <c r="E51" s="1059">
        <v>2</v>
      </c>
      <c r="F51" s="1059">
        <v>2</v>
      </c>
      <c r="G51" s="1059">
        <v>2</v>
      </c>
      <c r="H51" s="288">
        <v>2</v>
      </c>
    </row>
    <row r="52" spans="2:12" ht="35" thickBot="1" x14ac:dyDescent="0.25">
      <c r="C52" s="1067" t="s">
        <v>319</v>
      </c>
      <c r="D52" s="1059">
        <v>70</v>
      </c>
      <c r="E52" s="1059">
        <v>70</v>
      </c>
      <c r="F52" s="1059">
        <v>70</v>
      </c>
      <c r="G52" s="1059">
        <v>70</v>
      </c>
      <c r="H52" s="288">
        <v>70</v>
      </c>
    </row>
    <row r="53" spans="2:12" ht="52" thickBot="1" x14ac:dyDescent="0.25">
      <c r="C53" s="1067" t="s">
        <v>1002</v>
      </c>
      <c r="D53" s="1059">
        <v>112.3</v>
      </c>
      <c r="E53" s="1059">
        <v>97.1</v>
      </c>
      <c r="F53" s="1059">
        <v>118.8</v>
      </c>
      <c r="G53" s="1059">
        <v>130.6</v>
      </c>
      <c r="H53" s="288">
        <v>135</v>
      </c>
    </row>
    <row r="54" spans="2:12" ht="17" x14ac:dyDescent="0.2">
      <c r="B54" s="1095"/>
    </row>
    <row r="55" spans="2:12" ht="17" x14ac:dyDescent="0.2">
      <c r="B55" s="1095"/>
    </row>
    <row r="56" spans="2:12" ht="17" x14ac:dyDescent="0.2">
      <c r="B56" s="3055" t="s">
        <v>991</v>
      </c>
      <c r="C56" s="3055"/>
      <c r="D56" s="3055"/>
      <c r="E56" s="3055"/>
      <c r="F56" s="3055"/>
    </row>
    <row r="57" spans="2:12" ht="17" x14ac:dyDescent="0.2">
      <c r="B57" s="3056" t="s">
        <v>1003</v>
      </c>
      <c r="C57" s="3056"/>
      <c r="D57" s="3056"/>
      <c r="E57" s="3056"/>
      <c r="F57" s="3056"/>
    </row>
    <row r="58" spans="2:12" ht="17" x14ac:dyDescent="0.2">
      <c r="B58" s="1094"/>
    </row>
    <row r="59" spans="2:12" ht="17" x14ac:dyDescent="0.2">
      <c r="B59" s="3055" t="s">
        <v>1005</v>
      </c>
      <c r="C59" s="3055"/>
    </row>
    <row r="60" spans="2:12" ht="18" thickBot="1" x14ac:dyDescent="0.25">
      <c r="B60" s="1095"/>
    </row>
    <row r="61" spans="2:12" ht="52" thickBot="1" x14ac:dyDescent="0.25">
      <c r="B61" s="1079" t="s">
        <v>919</v>
      </c>
      <c r="C61" s="1080" t="s">
        <v>263</v>
      </c>
      <c r="D61" s="1081" t="s">
        <v>677</v>
      </c>
      <c r="E61" s="1081" t="s">
        <v>978</v>
      </c>
      <c r="F61" s="1081" t="s">
        <v>979</v>
      </c>
      <c r="G61" s="1081" t="s">
        <v>731</v>
      </c>
    </row>
    <row r="62" spans="2:12" ht="35" thickBot="1" x14ac:dyDescent="0.25">
      <c r="B62" s="1063">
        <v>1</v>
      </c>
      <c r="C62" s="1064" t="s">
        <v>1007</v>
      </c>
      <c r="D62" s="1055">
        <v>299</v>
      </c>
      <c r="E62" s="1055">
        <v>295</v>
      </c>
      <c r="F62" s="1055">
        <v>299</v>
      </c>
      <c r="G62" s="1055">
        <v>309</v>
      </c>
      <c r="H62" s="288">
        <v>312</v>
      </c>
      <c r="L62" s="288">
        <f>G62*1000/G71</f>
        <v>347.58155230596174</v>
      </c>
    </row>
    <row r="63" spans="2:12" ht="18" thickBot="1" x14ac:dyDescent="0.25">
      <c r="B63" s="1082">
        <v>41640</v>
      </c>
      <c r="C63" s="1064" t="s">
        <v>1008</v>
      </c>
      <c r="D63" s="1055">
        <v>125</v>
      </c>
      <c r="E63" s="1055">
        <v>192</v>
      </c>
      <c r="F63" s="1055">
        <v>195</v>
      </c>
      <c r="G63" s="1055">
        <v>201</v>
      </c>
      <c r="H63" s="288">
        <f>H62-H64</f>
        <v>202</v>
      </c>
    </row>
    <row r="64" spans="2:12" ht="35" thickBot="1" x14ac:dyDescent="0.25">
      <c r="B64" s="1082">
        <v>41671</v>
      </c>
      <c r="C64" s="1064" t="s">
        <v>1009</v>
      </c>
      <c r="D64" s="1055">
        <v>90</v>
      </c>
      <c r="E64" s="1055">
        <v>103</v>
      </c>
      <c r="F64" s="1055">
        <v>105</v>
      </c>
      <c r="G64" s="1055">
        <v>108</v>
      </c>
      <c r="H64" s="288">
        <v>110</v>
      </c>
      <c r="L64" s="288">
        <f>H62*1000/L62</f>
        <v>897.63106796116506</v>
      </c>
    </row>
    <row r="65" spans="2:8" ht="18" thickBot="1" x14ac:dyDescent="0.25">
      <c r="B65" s="1063">
        <v>2</v>
      </c>
      <c r="C65" s="1064" t="s">
        <v>1010</v>
      </c>
      <c r="D65" s="1055">
        <v>183</v>
      </c>
      <c r="E65" s="1055">
        <v>195</v>
      </c>
      <c r="F65" s="1055">
        <v>191</v>
      </c>
      <c r="G65" s="1055">
        <v>219</v>
      </c>
      <c r="H65" s="288">
        <v>239</v>
      </c>
    </row>
    <row r="66" spans="2:8" ht="35" thickBot="1" x14ac:dyDescent="0.25">
      <c r="B66" s="1063" t="s">
        <v>12</v>
      </c>
      <c r="C66" s="1064" t="s">
        <v>1011</v>
      </c>
      <c r="D66" s="1055">
        <v>37</v>
      </c>
      <c r="E66" s="1055">
        <v>39</v>
      </c>
      <c r="F66" s="1055">
        <v>38</v>
      </c>
      <c r="G66" s="1055">
        <v>44</v>
      </c>
      <c r="H66" s="288">
        <v>48</v>
      </c>
    </row>
    <row r="67" spans="2:8" ht="17" x14ac:dyDescent="0.2">
      <c r="B67" s="1096"/>
    </row>
    <row r="68" spans="2:8" ht="17" x14ac:dyDescent="0.2">
      <c r="B68" s="3055" t="s">
        <v>984</v>
      </c>
      <c r="C68" s="3055"/>
    </row>
    <row r="69" spans="2:8" ht="18" thickBot="1" x14ac:dyDescent="0.25">
      <c r="B69" s="1095"/>
    </row>
    <row r="70" spans="2:8" ht="52" thickBot="1" x14ac:dyDescent="0.25">
      <c r="B70" s="1075" t="s">
        <v>1012</v>
      </c>
      <c r="C70" s="1073" t="s">
        <v>263</v>
      </c>
      <c r="D70" s="1081" t="s">
        <v>677</v>
      </c>
      <c r="E70" s="1081" t="s">
        <v>978</v>
      </c>
      <c r="F70" s="1081" t="s">
        <v>979</v>
      </c>
      <c r="G70" s="1081" t="s">
        <v>731</v>
      </c>
    </row>
    <row r="71" spans="2:8" ht="35" thickBot="1" x14ac:dyDescent="0.25">
      <c r="B71" s="1074">
        <v>1</v>
      </c>
      <c r="C71" s="1053" t="s">
        <v>1013</v>
      </c>
      <c r="D71" s="1059">
        <v>858</v>
      </c>
      <c r="E71" s="1059">
        <v>849</v>
      </c>
      <c r="F71" s="1059">
        <v>860</v>
      </c>
      <c r="G71" s="1059">
        <v>889</v>
      </c>
      <c r="H71" s="288">
        <v>897</v>
      </c>
    </row>
    <row r="72" spans="2:8" ht="52" thickBot="1" x14ac:dyDescent="0.25">
      <c r="B72" s="1074">
        <v>2</v>
      </c>
      <c r="C72" s="1053" t="s">
        <v>1014</v>
      </c>
      <c r="D72" s="1059">
        <v>48</v>
      </c>
      <c r="E72" s="1059">
        <v>48</v>
      </c>
      <c r="F72" s="1059">
        <v>48</v>
      </c>
      <c r="G72" s="1059">
        <v>48</v>
      </c>
      <c r="H72" s="288">
        <v>48</v>
      </c>
    </row>
    <row r="73" spans="2:8" ht="35" thickBot="1" x14ac:dyDescent="0.25">
      <c r="B73" s="1074">
        <v>3</v>
      </c>
      <c r="C73" s="1053" t="s">
        <v>1015</v>
      </c>
      <c r="D73" s="1059">
        <v>15</v>
      </c>
      <c r="E73" s="1059">
        <v>20</v>
      </c>
      <c r="F73" s="1059">
        <v>25</v>
      </c>
      <c r="G73" s="1059">
        <v>30</v>
      </c>
      <c r="H73" s="288">
        <v>40</v>
      </c>
    </row>
    <row r="74" spans="2:8" ht="17" x14ac:dyDescent="0.2">
      <c r="B74" s="1095"/>
    </row>
    <row r="75" spans="2:8" ht="17" x14ac:dyDescent="0.2">
      <c r="B75" s="3055" t="s">
        <v>988</v>
      </c>
      <c r="C75" s="3055"/>
    </row>
    <row r="76" spans="2:8" ht="18" thickBot="1" x14ac:dyDescent="0.25">
      <c r="B76" s="1071"/>
    </row>
    <row r="77" spans="2:8" ht="52" thickBot="1" x14ac:dyDescent="0.25">
      <c r="B77" s="1070" t="s">
        <v>919</v>
      </c>
      <c r="C77" s="1073" t="s">
        <v>263</v>
      </c>
      <c r="D77" s="1081" t="s">
        <v>677</v>
      </c>
      <c r="E77" s="1081" t="s">
        <v>978</v>
      </c>
      <c r="F77" s="1081" t="s">
        <v>979</v>
      </c>
      <c r="G77" s="1081" t="s">
        <v>731</v>
      </c>
    </row>
    <row r="78" spans="2:8" ht="69" thickBot="1" x14ac:dyDescent="0.25">
      <c r="B78" s="1074">
        <v>1</v>
      </c>
      <c r="C78" s="1053" t="s">
        <v>1001</v>
      </c>
      <c r="D78" s="1055">
        <v>1</v>
      </c>
      <c r="E78" s="1055">
        <v>1</v>
      </c>
      <c r="F78" s="1055">
        <v>1</v>
      </c>
      <c r="G78" s="1055">
        <v>1</v>
      </c>
      <c r="H78" s="288">
        <v>0</v>
      </c>
    </row>
    <row r="79" spans="2:8" ht="35" thickBot="1" x14ac:dyDescent="0.25">
      <c r="B79" s="1074">
        <v>2</v>
      </c>
      <c r="C79" s="1053" t="s">
        <v>297</v>
      </c>
      <c r="D79" s="1055">
        <v>50</v>
      </c>
      <c r="E79" s="1055">
        <v>50</v>
      </c>
      <c r="F79" s="1055">
        <v>45</v>
      </c>
      <c r="G79" s="1055">
        <v>43</v>
      </c>
      <c r="H79" s="288">
        <v>40</v>
      </c>
    </row>
    <row r="80" spans="2:8" ht="18" thickBot="1" x14ac:dyDescent="0.25">
      <c r="B80" s="1074">
        <v>3</v>
      </c>
      <c r="C80" s="1053" t="s">
        <v>1016</v>
      </c>
      <c r="D80" s="1055">
        <v>41.8</v>
      </c>
      <c r="E80" s="1055">
        <v>65</v>
      </c>
      <c r="F80" s="1055">
        <v>65</v>
      </c>
      <c r="G80" s="1055">
        <v>65</v>
      </c>
      <c r="H80" s="288">
        <v>65</v>
      </c>
    </row>
    <row r="81" spans="2:8" ht="17" x14ac:dyDescent="0.2">
      <c r="B81" s="1096"/>
    </row>
    <row r="82" spans="2:8" ht="17" x14ac:dyDescent="0.2">
      <c r="B82" s="3055" t="s">
        <v>991</v>
      </c>
      <c r="C82" s="3055"/>
      <c r="D82" s="3055"/>
      <c r="E82" s="3055"/>
      <c r="F82" s="3055"/>
      <c r="G82" s="3055"/>
    </row>
    <row r="83" spans="2:8" ht="17" x14ac:dyDescent="0.2">
      <c r="B83" s="3056" t="s">
        <v>1017</v>
      </c>
      <c r="C83" s="3056"/>
      <c r="D83" s="3056"/>
      <c r="E83" s="3056"/>
      <c r="F83" s="3056"/>
      <c r="G83" s="3056"/>
    </row>
    <row r="84" spans="2:8" ht="17" x14ac:dyDescent="0.2">
      <c r="B84" s="1095"/>
    </row>
    <row r="85" spans="2:8" ht="18" thickBot="1" x14ac:dyDescent="0.25">
      <c r="B85" s="3052" t="s">
        <v>1005</v>
      </c>
      <c r="C85" s="3052"/>
    </row>
    <row r="86" spans="2:8" ht="52" thickBot="1" x14ac:dyDescent="0.25">
      <c r="B86" s="1065" t="s">
        <v>919</v>
      </c>
      <c r="C86" s="1061" t="s">
        <v>263</v>
      </c>
      <c r="D86" s="1062" t="s">
        <v>677</v>
      </c>
      <c r="E86" s="1062" t="s">
        <v>978</v>
      </c>
      <c r="F86" s="1062" t="s">
        <v>979</v>
      </c>
      <c r="G86" s="1062" t="s">
        <v>731</v>
      </c>
    </row>
    <row r="87" spans="2:8" ht="52" thickBot="1" x14ac:dyDescent="0.25">
      <c r="B87" s="1074" t="s">
        <v>6</v>
      </c>
      <c r="C87" s="1053" t="s">
        <v>1018</v>
      </c>
      <c r="D87" s="1059">
        <v>612</v>
      </c>
      <c r="E87" s="1059">
        <v>637</v>
      </c>
      <c r="F87" s="1059">
        <v>672</v>
      </c>
      <c r="G87" s="1059">
        <v>693</v>
      </c>
      <c r="H87" s="288">
        <v>719</v>
      </c>
    </row>
    <row r="88" spans="2:8" ht="17" x14ac:dyDescent="0.2">
      <c r="B88" s="1096"/>
    </row>
    <row r="89" spans="2:8" ht="17" x14ac:dyDescent="0.2">
      <c r="B89" s="3055" t="s">
        <v>984</v>
      </c>
      <c r="C89" s="3055"/>
    </row>
    <row r="90" spans="2:8" ht="18" thickBot="1" x14ac:dyDescent="0.25">
      <c r="B90" s="1095"/>
    </row>
    <row r="91" spans="2:8" ht="52" thickBot="1" x14ac:dyDescent="0.25">
      <c r="B91" s="1084" t="s">
        <v>919</v>
      </c>
      <c r="C91" s="1085" t="s">
        <v>263</v>
      </c>
      <c r="D91" s="1062" t="s">
        <v>677</v>
      </c>
      <c r="E91" s="1062" t="s">
        <v>978</v>
      </c>
      <c r="F91" s="1062" t="s">
        <v>979</v>
      </c>
      <c r="G91" s="1062" t="s">
        <v>731</v>
      </c>
    </row>
    <row r="92" spans="2:8" ht="35" thickBot="1" x14ac:dyDescent="0.25">
      <c r="B92" s="1074">
        <v>1</v>
      </c>
      <c r="C92" s="1053" t="s">
        <v>1019</v>
      </c>
      <c r="D92" s="1055">
        <v>4</v>
      </c>
      <c r="E92" s="1055">
        <v>4</v>
      </c>
      <c r="F92" s="1055">
        <v>4</v>
      </c>
      <c r="G92" s="1055">
        <v>4</v>
      </c>
      <c r="H92" s="288">
        <v>4</v>
      </c>
    </row>
    <row r="93" spans="2:8" ht="18" thickBot="1" x14ac:dyDescent="0.25">
      <c r="B93" s="1074">
        <v>2</v>
      </c>
      <c r="C93" s="1076" t="s">
        <v>1020</v>
      </c>
      <c r="D93" s="1055">
        <v>22</v>
      </c>
      <c r="E93" s="1055">
        <v>22</v>
      </c>
      <c r="F93" s="1055">
        <v>22</v>
      </c>
      <c r="G93" s="1055">
        <v>22</v>
      </c>
      <c r="H93" s="288">
        <v>22</v>
      </c>
    </row>
    <row r="94" spans="2:8" ht="17" x14ac:dyDescent="0.2">
      <c r="B94" s="1096"/>
    </row>
    <row r="95" spans="2:8" ht="17" x14ac:dyDescent="0.2">
      <c r="B95" s="3055" t="s">
        <v>988</v>
      </c>
      <c r="C95" s="3055"/>
    </row>
    <row r="96" spans="2:8" ht="18" thickBot="1" x14ac:dyDescent="0.25">
      <c r="B96" s="1095"/>
    </row>
    <row r="97" spans="2:8" ht="52" thickBot="1" x14ac:dyDescent="0.25">
      <c r="B97" s="1065" t="s">
        <v>919</v>
      </c>
      <c r="C97" s="1061" t="s">
        <v>263</v>
      </c>
      <c r="D97" s="1062" t="s">
        <v>677</v>
      </c>
      <c r="E97" s="1062" t="s">
        <v>978</v>
      </c>
      <c r="F97" s="1062" t="s">
        <v>979</v>
      </c>
      <c r="G97" s="1062" t="s">
        <v>731</v>
      </c>
    </row>
    <row r="98" spans="2:8" ht="69" thickBot="1" x14ac:dyDescent="0.25">
      <c r="B98" s="1074">
        <v>1</v>
      </c>
      <c r="C98" s="1076" t="s">
        <v>1021</v>
      </c>
      <c r="D98" s="1055">
        <v>1</v>
      </c>
      <c r="E98" s="1055">
        <v>1</v>
      </c>
      <c r="F98" s="1055">
        <v>1</v>
      </c>
      <c r="G98" s="1055">
        <v>1</v>
      </c>
      <c r="H98" s="288">
        <v>0</v>
      </c>
    </row>
    <row r="99" spans="2:8" ht="35" thickBot="1" x14ac:dyDescent="0.25">
      <c r="B99" s="1074">
        <v>2</v>
      </c>
      <c r="C99" s="1076" t="s">
        <v>1022</v>
      </c>
      <c r="D99" s="1055">
        <v>40</v>
      </c>
      <c r="E99" s="1055">
        <v>40</v>
      </c>
      <c r="F99" s="1055">
        <v>40</v>
      </c>
      <c r="G99" s="1055">
        <v>40</v>
      </c>
      <c r="H99" s="288">
        <v>35</v>
      </c>
    </row>
    <row r="100" spans="2:8" ht="35" thickBot="1" x14ac:dyDescent="0.25">
      <c r="B100" s="1074">
        <v>3</v>
      </c>
      <c r="C100" s="1076" t="s">
        <v>1023</v>
      </c>
      <c r="D100" s="1055">
        <v>98</v>
      </c>
      <c r="E100" s="1055">
        <v>98</v>
      </c>
      <c r="F100" s="1055">
        <v>98</v>
      </c>
      <c r="G100" s="1055">
        <v>98</v>
      </c>
      <c r="H100" s="288">
        <v>97</v>
      </c>
    </row>
    <row r="101" spans="2:8" ht="69" thickBot="1" x14ac:dyDescent="0.25">
      <c r="B101" s="1074">
        <v>4</v>
      </c>
      <c r="C101" s="1076" t="s">
        <v>1024</v>
      </c>
      <c r="D101" s="1055">
        <v>5.55</v>
      </c>
      <c r="E101" s="1055">
        <v>10.46</v>
      </c>
      <c r="F101" s="1055">
        <v>4.87</v>
      </c>
      <c r="G101" s="1055">
        <v>7.29</v>
      </c>
      <c r="H101" s="288">
        <v>7.09</v>
      </c>
    </row>
    <row r="102" spans="2:8" ht="17" x14ac:dyDescent="0.2">
      <c r="B102" s="1096"/>
    </row>
    <row r="103" spans="2:8" ht="17" x14ac:dyDescent="0.2">
      <c r="B103" s="3055" t="s">
        <v>991</v>
      </c>
      <c r="C103" s="3055"/>
      <c r="D103" s="3055"/>
      <c r="E103" s="3055"/>
      <c r="F103" s="3055"/>
      <c r="G103" s="3055"/>
    </row>
    <row r="104" spans="2:8" ht="17" x14ac:dyDescent="0.2">
      <c r="B104" s="3056" t="s">
        <v>1027</v>
      </c>
      <c r="C104" s="3056"/>
      <c r="D104" s="3056"/>
      <c r="E104" s="3056"/>
      <c r="F104" s="3056"/>
      <c r="G104" s="3056"/>
    </row>
    <row r="105" spans="2:8" ht="17" x14ac:dyDescent="0.2">
      <c r="B105" s="1094"/>
    </row>
    <row r="106" spans="2:8" ht="17" x14ac:dyDescent="0.2">
      <c r="B106" s="3055" t="s">
        <v>1005</v>
      </c>
      <c r="C106" s="3055"/>
    </row>
    <row r="107" spans="2:8" ht="18" thickBot="1" x14ac:dyDescent="0.25">
      <c r="B107" s="1095"/>
    </row>
    <row r="108" spans="2:8" ht="17" x14ac:dyDescent="0.2">
      <c r="B108" s="3064" t="s">
        <v>919</v>
      </c>
      <c r="C108" s="3064" t="s">
        <v>263</v>
      </c>
      <c r="D108" s="1087">
        <v>2012</v>
      </c>
      <c r="E108" s="3053" t="s">
        <v>978</v>
      </c>
      <c r="F108" s="3053" t="s">
        <v>979</v>
      </c>
      <c r="G108" s="3053" t="s">
        <v>731</v>
      </c>
    </row>
    <row r="109" spans="2:8" ht="18" thickBot="1" x14ac:dyDescent="0.25">
      <c r="B109" s="3065"/>
      <c r="C109" s="3065"/>
      <c r="D109" s="1088" t="s">
        <v>977</v>
      </c>
      <c r="E109" s="3054"/>
      <c r="F109" s="3054"/>
      <c r="G109" s="3054"/>
    </row>
    <row r="110" spans="2:8" ht="34" x14ac:dyDescent="0.15">
      <c r="B110" s="3070">
        <v>1</v>
      </c>
      <c r="C110" s="1077" t="s">
        <v>340</v>
      </c>
      <c r="D110" s="3068">
        <v>1223</v>
      </c>
      <c r="E110" s="3068">
        <v>1208</v>
      </c>
      <c r="F110" s="3068">
        <v>1231</v>
      </c>
      <c r="G110" s="3066">
        <v>1251</v>
      </c>
      <c r="H110" s="3027">
        <v>1271</v>
      </c>
    </row>
    <row r="111" spans="2:8" ht="18" thickBot="1" x14ac:dyDescent="0.2">
      <c r="B111" s="3071"/>
      <c r="C111" s="1053" t="s">
        <v>552</v>
      </c>
      <c r="D111" s="3069"/>
      <c r="E111" s="3069"/>
      <c r="F111" s="3069"/>
      <c r="G111" s="3067"/>
      <c r="H111" s="3027"/>
    </row>
    <row r="112" spans="2:8" ht="17" x14ac:dyDescent="0.2">
      <c r="B112" s="1096"/>
    </row>
    <row r="113" spans="2:8" ht="17" x14ac:dyDescent="0.2">
      <c r="B113" s="3055" t="s">
        <v>984</v>
      </c>
      <c r="C113" s="3055"/>
    </row>
    <row r="114" spans="2:8" ht="18" thickBot="1" x14ac:dyDescent="0.25">
      <c r="B114" s="1095"/>
    </row>
    <row r="115" spans="2:8" ht="17" x14ac:dyDescent="0.2">
      <c r="B115" s="3058" t="s">
        <v>919</v>
      </c>
      <c r="C115" s="3060" t="s">
        <v>263</v>
      </c>
      <c r="D115" s="1087">
        <v>2012</v>
      </c>
      <c r="E115" s="3053" t="s">
        <v>978</v>
      </c>
      <c r="F115" s="3053" t="s">
        <v>979</v>
      </c>
      <c r="G115" s="3053" t="s">
        <v>731</v>
      </c>
    </row>
    <row r="116" spans="2:8" ht="18" thickBot="1" x14ac:dyDescent="0.25">
      <c r="B116" s="3059"/>
      <c r="C116" s="3061"/>
      <c r="D116" s="1088" t="s">
        <v>977</v>
      </c>
      <c r="E116" s="3054"/>
      <c r="F116" s="3054"/>
      <c r="G116" s="3054"/>
    </row>
    <row r="117" spans="2:8" ht="69" thickBot="1" x14ac:dyDescent="0.25">
      <c r="B117" s="1063">
        <v>1</v>
      </c>
      <c r="C117" s="1064" t="s">
        <v>1028</v>
      </c>
      <c r="D117" s="1059">
        <v>1.2</v>
      </c>
      <c r="E117" s="1059">
        <v>1.2</v>
      </c>
      <c r="F117" s="1059">
        <v>1.2</v>
      </c>
      <c r="G117" s="1059">
        <v>1.2</v>
      </c>
      <c r="H117" s="288">
        <v>1.2</v>
      </c>
    </row>
    <row r="118" spans="2:8" ht="52" thickBot="1" x14ac:dyDescent="0.25">
      <c r="B118" s="1063">
        <v>2</v>
      </c>
      <c r="C118" s="1064" t="s">
        <v>1029</v>
      </c>
      <c r="D118" s="1059">
        <v>21</v>
      </c>
      <c r="E118" s="1059">
        <v>21</v>
      </c>
      <c r="F118" s="1059">
        <v>21</v>
      </c>
      <c r="G118" s="1059">
        <v>21</v>
      </c>
      <c r="H118" s="288">
        <v>21</v>
      </c>
    </row>
    <row r="119" spans="2:8" ht="52" thickBot="1" x14ac:dyDescent="0.25">
      <c r="B119" s="1063">
        <v>3</v>
      </c>
      <c r="C119" s="1064" t="s">
        <v>1030</v>
      </c>
      <c r="D119" s="1059">
        <v>28</v>
      </c>
      <c r="E119" s="1059">
        <v>28</v>
      </c>
      <c r="F119" s="1059">
        <v>28</v>
      </c>
      <c r="G119" s="1059">
        <v>28</v>
      </c>
      <c r="H119" s="288">
        <v>28</v>
      </c>
    </row>
    <row r="120" spans="2:8" ht="17" x14ac:dyDescent="0.2">
      <c r="B120" s="1096"/>
    </row>
    <row r="121" spans="2:8" ht="17" x14ac:dyDescent="0.2">
      <c r="B121" s="3055" t="s">
        <v>988</v>
      </c>
      <c r="C121" s="3055"/>
    </row>
    <row r="122" spans="2:8" ht="18" thickBot="1" x14ac:dyDescent="0.25">
      <c r="B122" s="1095"/>
    </row>
    <row r="123" spans="2:8" ht="17" x14ac:dyDescent="0.2">
      <c r="B123" s="3062" t="s">
        <v>919</v>
      </c>
      <c r="C123" s="3064" t="s">
        <v>263</v>
      </c>
      <c r="D123" s="1087">
        <v>2012</v>
      </c>
      <c r="E123" s="3053" t="s">
        <v>978</v>
      </c>
      <c r="F123" s="3053" t="s">
        <v>979</v>
      </c>
      <c r="G123" s="3053" t="s">
        <v>731</v>
      </c>
    </row>
    <row r="124" spans="2:8" ht="18" thickBot="1" x14ac:dyDescent="0.25">
      <c r="B124" s="3063"/>
      <c r="C124" s="3065"/>
      <c r="D124" s="1088" t="s">
        <v>977</v>
      </c>
      <c r="E124" s="3054"/>
      <c r="F124" s="3054"/>
      <c r="G124" s="3054"/>
    </row>
    <row r="125" spans="2:8" ht="69" thickBot="1" x14ac:dyDescent="0.25">
      <c r="B125" s="1063">
        <v>1</v>
      </c>
      <c r="C125" s="1053" t="s">
        <v>1021</v>
      </c>
      <c r="D125" s="1059">
        <v>1</v>
      </c>
      <c r="E125" s="1059">
        <v>1</v>
      </c>
      <c r="F125" s="1059">
        <v>1</v>
      </c>
      <c r="G125" s="1059">
        <v>1</v>
      </c>
      <c r="H125" s="288">
        <v>1</v>
      </c>
    </row>
    <row r="126" spans="2:8" ht="35" thickBot="1" x14ac:dyDescent="0.25">
      <c r="B126" s="1063">
        <v>2</v>
      </c>
      <c r="C126" s="1053" t="s">
        <v>1025</v>
      </c>
      <c r="D126" s="1059">
        <v>48</v>
      </c>
      <c r="E126" s="1059">
        <v>48</v>
      </c>
      <c r="F126" s="1059">
        <v>48</v>
      </c>
      <c r="G126" s="1059">
        <v>48</v>
      </c>
      <c r="H126" s="288">
        <v>48</v>
      </c>
    </row>
    <row r="127" spans="2:8" ht="35" thickBot="1" x14ac:dyDescent="0.25">
      <c r="B127" s="1063">
        <v>3</v>
      </c>
      <c r="C127" s="1053" t="s">
        <v>1026</v>
      </c>
      <c r="D127" s="1059">
        <v>87</v>
      </c>
      <c r="E127" s="1059">
        <v>87</v>
      </c>
      <c r="F127" s="1059">
        <v>87</v>
      </c>
      <c r="G127" s="1059">
        <v>87</v>
      </c>
      <c r="H127" s="288">
        <v>87</v>
      </c>
    </row>
    <row r="128" spans="2:8" ht="35" thickBot="1" x14ac:dyDescent="0.25">
      <c r="B128" s="1063">
        <v>4</v>
      </c>
      <c r="C128" s="1053" t="s">
        <v>1031</v>
      </c>
      <c r="D128" s="1059">
        <v>2</v>
      </c>
      <c r="E128" s="1059">
        <v>2</v>
      </c>
      <c r="F128" s="1059">
        <v>2</v>
      </c>
      <c r="G128" s="1059">
        <v>2</v>
      </c>
      <c r="H128" s="288">
        <v>2</v>
      </c>
    </row>
    <row r="129" spans="2:8" ht="17" x14ac:dyDescent="0.2">
      <c r="B129" s="1096"/>
    </row>
    <row r="130" spans="2:8" ht="17" x14ac:dyDescent="0.2">
      <c r="B130" s="3055" t="s">
        <v>1032</v>
      </c>
      <c r="C130" s="3055"/>
      <c r="D130" s="3055"/>
      <c r="E130" s="3055"/>
      <c r="F130" s="3055"/>
      <c r="G130" s="3055"/>
    </row>
    <row r="131" spans="2:8" ht="17" x14ac:dyDescent="0.2">
      <c r="B131" s="3056" t="s">
        <v>1033</v>
      </c>
      <c r="C131" s="3056"/>
      <c r="D131" s="3056"/>
      <c r="E131" s="3056"/>
      <c r="F131" s="3056"/>
      <c r="G131" s="3056"/>
    </row>
    <row r="132" spans="2:8" ht="17" x14ac:dyDescent="0.2">
      <c r="B132" s="1083"/>
    </row>
    <row r="133" spans="2:8" ht="18" thickBot="1" x14ac:dyDescent="0.25">
      <c r="B133" s="3052" t="s">
        <v>1034</v>
      </c>
      <c r="C133" s="3052"/>
    </row>
    <row r="134" spans="2:8" ht="17" x14ac:dyDescent="0.2">
      <c r="B134" s="3064" t="s">
        <v>919</v>
      </c>
      <c r="C134" s="3064" t="s">
        <v>263</v>
      </c>
      <c r="D134" s="1087">
        <v>2012</v>
      </c>
      <c r="E134" s="1087">
        <v>2013</v>
      </c>
      <c r="F134" s="3053" t="s">
        <v>979</v>
      </c>
      <c r="G134" s="3053" t="s">
        <v>731</v>
      </c>
    </row>
    <row r="135" spans="2:8" ht="18" thickBot="1" x14ac:dyDescent="0.25">
      <c r="B135" s="3065"/>
      <c r="C135" s="3065"/>
      <c r="D135" s="1088" t="s">
        <v>977</v>
      </c>
      <c r="E135" s="1088" t="s">
        <v>977</v>
      </c>
      <c r="F135" s="3054"/>
      <c r="G135" s="3054"/>
    </row>
    <row r="136" spans="2:8" ht="35" thickBot="1" x14ac:dyDescent="0.25">
      <c r="B136" s="1063" t="s">
        <v>6</v>
      </c>
      <c r="C136" s="1053" t="s">
        <v>1035</v>
      </c>
      <c r="D136" s="1059">
        <v>430</v>
      </c>
      <c r="E136" s="1059">
        <v>450</v>
      </c>
      <c r="F136" s="1059">
        <v>500</v>
      </c>
      <c r="G136" s="1059">
        <v>500</v>
      </c>
      <c r="H136" s="288">
        <v>500</v>
      </c>
    </row>
    <row r="137" spans="2:8" ht="52" thickBot="1" x14ac:dyDescent="0.25">
      <c r="B137" s="1063" t="s">
        <v>9</v>
      </c>
      <c r="C137" s="1064" t="s">
        <v>1036</v>
      </c>
      <c r="D137" s="1059">
        <v>95</v>
      </c>
      <c r="E137" s="1059">
        <v>92</v>
      </c>
      <c r="F137" s="1059">
        <v>93</v>
      </c>
      <c r="G137" s="1059">
        <v>93</v>
      </c>
      <c r="H137" s="288">
        <v>93</v>
      </c>
    </row>
    <row r="138" spans="2:8" ht="18" thickBot="1" x14ac:dyDescent="0.25">
      <c r="B138" s="1063" t="s">
        <v>10</v>
      </c>
      <c r="C138" s="1064" t="s">
        <v>333</v>
      </c>
      <c r="D138" s="1059">
        <v>4</v>
      </c>
      <c r="E138" s="1059">
        <v>4</v>
      </c>
      <c r="F138" s="1059">
        <v>4</v>
      </c>
      <c r="G138" s="1059">
        <v>4</v>
      </c>
      <c r="H138" s="288">
        <v>4</v>
      </c>
    </row>
    <row r="139" spans="2:8" ht="18" thickBot="1" x14ac:dyDescent="0.25">
      <c r="B139" s="1063" t="s">
        <v>11</v>
      </c>
      <c r="C139" s="1064" t="s">
        <v>334</v>
      </c>
      <c r="D139" s="1059">
        <v>91</v>
      </c>
      <c r="E139" s="1059">
        <v>88</v>
      </c>
      <c r="F139" s="1059">
        <v>89</v>
      </c>
      <c r="G139" s="1059">
        <v>89</v>
      </c>
      <c r="H139" s="288">
        <v>89</v>
      </c>
    </row>
    <row r="140" spans="2:8" ht="52" thickBot="1" x14ac:dyDescent="0.25">
      <c r="B140" s="1063" t="s">
        <v>12</v>
      </c>
      <c r="C140" s="1064" t="s">
        <v>1037</v>
      </c>
      <c r="D140" s="1059">
        <v>12</v>
      </c>
      <c r="E140" s="1059">
        <v>12</v>
      </c>
      <c r="F140" s="1059">
        <v>12</v>
      </c>
      <c r="G140" s="1059">
        <v>12</v>
      </c>
      <c r="H140" s="288">
        <v>12</v>
      </c>
    </row>
    <row r="141" spans="2:8" ht="86" thickBot="1" x14ac:dyDescent="0.25">
      <c r="B141" s="1063" t="s">
        <v>1006</v>
      </c>
      <c r="C141" s="1064" t="s">
        <v>1038</v>
      </c>
      <c r="D141" s="1059">
        <v>33</v>
      </c>
      <c r="E141" s="1059">
        <v>35</v>
      </c>
      <c r="F141" s="1059">
        <v>35</v>
      </c>
      <c r="G141" s="1059">
        <v>35</v>
      </c>
      <c r="H141" s="288">
        <v>40</v>
      </c>
    </row>
    <row r="142" spans="2:8" ht="17" x14ac:dyDescent="0.2">
      <c r="B142" s="1071"/>
    </row>
    <row r="143" spans="2:8" ht="17" x14ac:dyDescent="0.2">
      <c r="B143" s="3055" t="s">
        <v>984</v>
      </c>
      <c r="C143" s="3055"/>
    </row>
    <row r="144" spans="2:8" ht="18" thickBot="1" x14ac:dyDescent="0.25">
      <c r="B144" s="1071"/>
    </row>
    <row r="145" spans="2:8" ht="17" x14ac:dyDescent="0.2">
      <c r="B145" s="3064" t="s">
        <v>919</v>
      </c>
      <c r="C145" s="3064" t="s">
        <v>263</v>
      </c>
      <c r="D145" s="1087">
        <v>2012</v>
      </c>
      <c r="E145" s="1087">
        <v>2013</v>
      </c>
      <c r="F145" s="3053" t="s">
        <v>979</v>
      </c>
      <c r="G145" s="3053" t="s">
        <v>731</v>
      </c>
    </row>
    <row r="146" spans="2:8" ht="18" thickBot="1" x14ac:dyDescent="0.25">
      <c r="B146" s="3065"/>
      <c r="C146" s="3065"/>
      <c r="D146" s="1088" t="s">
        <v>977</v>
      </c>
      <c r="E146" s="1088" t="s">
        <v>977</v>
      </c>
      <c r="F146" s="3054"/>
      <c r="G146" s="3054"/>
    </row>
    <row r="147" spans="2:8" ht="35" thickBot="1" x14ac:dyDescent="0.25">
      <c r="B147" s="1056">
        <v>1</v>
      </c>
      <c r="C147" s="1053" t="s">
        <v>1039</v>
      </c>
      <c r="D147" s="1059">
        <v>20</v>
      </c>
      <c r="E147" s="1059">
        <v>20</v>
      </c>
      <c r="F147" s="1059">
        <v>20</v>
      </c>
      <c r="G147" s="1059">
        <v>20</v>
      </c>
      <c r="H147" s="288">
        <v>20</v>
      </c>
    </row>
    <row r="148" spans="2:8" ht="52" thickBot="1" x14ac:dyDescent="0.25">
      <c r="B148" s="1056">
        <v>2</v>
      </c>
      <c r="C148" s="1076" t="s">
        <v>1040</v>
      </c>
      <c r="D148" s="1059">
        <v>25</v>
      </c>
      <c r="E148" s="1059">
        <v>25</v>
      </c>
      <c r="F148" s="1059">
        <v>25</v>
      </c>
      <c r="G148" s="1059">
        <v>25</v>
      </c>
      <c r="H148" s="288">
        <v>25</v>
      </c>
    </row>
    <row r="149" spans="2:8" ht="52" thickBot="1" x14ac:dyDescent="0.25">
      <c r="B149" s="1056">
        <v>3</v>
      </c>
      <c r="C149" s="1076" t="s">
        <v>1041</v>
      </c>
      <c r="D149" s="1059">
        <v>310</v>
      </c>
      <c r="E149" s="1059">
        <v>350</v>
      </c>
      <c r="F149" s="1059">
        <v>350</v>
      </c>
      <c r="G149" s="1059">
        <v>350</v>
      </c>
      <c r="H149" s="288">
        <v>350</v>
      </c>
    </row>
    <row r="150" spans="2:8" ht="52" thickBot="1" x14ac:dyDescent="0.25">
      <c r="B150" s="1056">
        <v>4</v>
      </c>
      <c r="C150" s="1064" t="s">
        <v>1042</v>
      </c>
      <c r="D150" s="1059">
        <v>76</v>
      </c>
      <c r="E150" s="1059">
        <v>80</v>
      </c>
      <c r="F150" s="1059">
        <v>80</v>
      </c>
      <c r="G150" s="1059">
        <v>80</v>
      </c>
      <c r="H150" s="288">
        <v>80</v>
      </c>
    </row>
    <row r="151" spans="2:8" ht="17" x14ac:dyDescent="0.2">
      <c r="B151" s="3057" t="s">
        <v>988</v>
      </c>
      <c r="C151" s="3057"/>
    </row>
    <row r="152" spans="2:8" ht="18" thickBot="1" x14ac:dyDescent="0.25">
      <c r="B152" s="1071"/>
    </row>
    <row r="153" spans="2:8" ht="17" x14ac:dyDescent="0.2">
      <c r="B153" s="3064" t="s">
        <v>919</v>
      </c>
      <c r="C153" s="3064" t="s">
        <v>263</v>
      </c>
      <c r="D153" s="1087">
        <v>2012</v>
      </c>
      <c r="E153" s="1087">
        <v>2013</v>
      </c>
      <c r="F153" s="3053" t="s">
        <v>979</v>
      </c>
      <c r="G153" s="3053" t="s">
        <v>731</v>
      </c>
    </row>
    <row r="154" spans="2:8" ht="18" thickBot="1" x14ac:dyDescent="0.25">
      <c r="B154" s="3065"/>
      <c r="C154" s="3065"/>
      <c r="D154" s="1088" t="s">
        <v>977</v>
      </c>
      <c r="E154" s="1088" t="s">
        <v>977</v>
      </c>
      <c r="F154" s="3054"/>
      <c r="G154" s="3054"/>
    </row>
    <row r="155" spans="2:8" ht="69" thickBot="1" x14ac:dyDescent="0.25">
      <c r="B155" s="1056">
        <v>1</v>
      </c>
      <c r="C155" s="1064" t="s">
        <v>1021</v>
      </c>
      <c r="D155" s="1059">
        <v>0</v>
      </c>
      <c r="E155" s="1059">
        <v>0</v>
      </c>
      <c r="F155" s="1059">
        <v>0</v>
      </c>
      <c r="G155" s="1059">
        <v>0</v>
      </c>
      <c r="H155" s="288">
        <v>0</v>
      </c>
    </row>
    <row r="156" spans="2:8" ht="35" thickBot="1" x14ac:dyDescent="0.25">
      <c r="B156" s="1056">
        <v>2</v>
      </c>
      <c r="C156" s="1064" t="s">
        <v>1025</v>
      </c>
      <c r="D156" s="1059">
        <v>0</v>
      </c>
      <c r="E156" s="1059">
        <v>0</v>
      </c>
      <c r="F156" s="1059">
        <v>0</v>
      </c>
      <c r="G156" s="1059">
        <v>0</v>
      </c>
      <c r="H156" s="288">
        <v>0</v>
      </c>
    </row>
    <row r="157" spans="2:8" ht="35" thickBot="1" x14ac:dyDescent="0.25">
      <c r="B157" s="1056">
        <v>3</v>
      </c>
      <c r="C157" s="1064" t="s">
        <v>1043</v>
      </c>
      <c r="D157" s="1059">
        <v>89</v>
      </c>
      <c r="E157" s="1059">
        <v>89</v>
      </c>
      <c r="F157" s="1059">
        <v>89</v>
      </c>
      <c r="G157" s="1059">
        <v>89</v>
      </c>
      <c r="H157" s="288">
        <v>89</v>
      </c>
    </row>
    <row r="158" spans="2:8" ht="52" thickBot="1" x14ac:dyDescent="0.25">
      <c r="B158" s="1056">
        <v>4</v>
      </c>
      <c r="C158" s="1064" t="s">
        <v>1044</v>
      </c>
      <c r="D158" s="1059">
        <v>43</v>
      </c>
      <c r="E158" s="1059">
        <v>45</v>
      </c>
      <c r="F158" s="1059">
        <v>45</v>
      </c>
      <c r="G158" s="1059">
        <v>45</v>
      </c>
      <c r="H158" s="288">
        <v>45</v>
      </c>
    </row>
    <row r="159" spans="2:8" ht="17" x14ac:dyDescent="0.2">
      <c r="B159" s="1071"/>
    </row>
    <row r="160" spans="2:8" ht="17" x14ac:dyDescent="0.2">
      <c r="B160" s="3055" t="s">
        <v>991</v>
      </c>
      <c r="C160" s="3055"/>
      <c r="D160" s="3055"/>
      <c r="E160" s="3055"/>
      <c r="F160" s="3055"/>
      <c r="G160" s="3055"/>
    </row>
    <row r="161" spans="2:8" ht="17" x14ac:dyDescent="0.2">
      <c r="B161" s="3056" t="s">
        <v>1045</v>
      </c>
      <c r="C161" s="3056"/>
      <c r="D161" s="3056"/>
      <c r="E161" s="3056"/>
      <c r="F161" s="3056"/>
      <c r="G161" s="3056"/>
    </row>
    <row r="162" spans="2:8" ht="17" x14ac:dyDescent="0.2">
      <c r="B162" s="1095"/>
    </row>
    <row r="163" spans="2:8" ht="17" x14ac:dyDescent="0.2">
      <c r="B163" s="3055" t="s">
        <v>1005</v>
      </c>
      <c r="C163" s="3055"/>
    </row>
    <row r="164" spans="2:8" ht="18" thickBot="1" x14ac:dyDescent="0.25">
      <c r="B164" s="1071"/>
    </row>
    <row r="165" spans="2:8" ht="52" thickBot="1" x14ac:dyDescent="0.25">
      <c r="B165" s="1075" t="s">
        <v>919</v>
      </c>
      <c r="C165" s="1072" t="s">
        <v>263</v>
      </c>
      <c r="D165" s="1081" t="s">
        <v>677</v>
      </c>
      <c r="E165" s="1081" t="s">
        <v>978</v>
      </c>
      <c r="F165" s="1081" t="s">
        <v>979</v>
      </c>
      <c r="G165" s="1097" t="s">
        <v>731</v>
      </c>
      <c r="H165" s="290">
        <v>2016</v>
      </c>
    </row>
    <row r="166" spans="2:8" ht="52" thickBot="1" x14ac:dyDescent="0.25">
      <c r="B166" s="1086" t="s">
        <v>6</v>
      </c>
      <c r="C166" s="1064" t="s">
        <v>1046</v>
      </c>
      <c r="D166" s="1059">
        <v>60</v>
      </c>
      <c r="E166" s="1059">
        <v>62</v>
      </c>
      <c r="F166" s="1059">
        <v>63</v>
      </c>
      <c r="G166" s="1098">
        <v>63</v>
      </c>
      <c r="H166" s="290">
        <v>65</v>
      </c>
    </row>
    <row r="167" spans="2:8" ht="35" thickBot="1" x14ac:dyDescent="0.25">
      <c r="B167" s="1086" t="s">
        <v>7</v>
      </c>
      <c r="C167" s="1064" t="s">
        <v>1047</v>
      </c>
      <c r="D167" s="1059" t="s">
        <v>1048</v>
      </c>
      <c r="E167" s="1059">
        <v>15</v>
      </c>
      <c r="F167" s="1059">
        <v>16</v>
      </c>
      <c r="G167" s="1098">
        <v>16</v>
      </c>
      <c r="H167" s="290">
        <v>15</v>
      </c>
    </row>
    <row r="168" spans="2:8" ht="52" thickBot="1" x14ac:dyDescent="0.25">
      <c r="B168" s="1086">
        <v>2</v>
      </c>
      <c r="C168" s="1064" t="s">
        <v>1049</v>
      </c>
      <c r="D168" s="1059">
        <v>32</v>
      </c>
      <c r="E168" s="1059">
        <v>32</v>
      </c>
      <c r="F168" s="1059">
        <v>33</v>
      </c>
      <c r="G168" s="1098">
        <v>33</v>
      </c>
      <c r="H168" s="290">
        <v>35</v>
      </c>
    </row>
    <row r="169" spans="2:8" ht="35" thickBot="1" x14ac:dyDescent="0.25">
      <c r="B169" s="1086" t="s">
        <v>10</v>
      </c>
      <c r="C169" s="1064" t="s">
        <v>1050</v>
      </c>
      <c r="D169" s="1059" t="s">
        <v>1051</v>
      </c>
      <c r="E169" s="1059">
        <v>24</v>
      </c>
      <c r="F169" s="1059">
        <v>25</v>
      </c>
      <c r="G169" s="1098">
        <v>25</v>
      </c>
      <c r="H169" s="290">
        <v>27</v>
      </c>
    </row>
    <row r="170" spans="2:8" ht="35" thickBot="1" x14ac:dyDescent="0.25">
      <c r="B170" s="1090">
        <v>41672</v>
      </c>
      <c r="C170" s="1064" t="s">
        <v>1052</v>
      </c>
      <c r="D170" s="1059">
        <v>8</v>
      </c>
      <c r="E170" s="1059">
        <v>8</v>
      </c>
      <c r="F170" s="1059">
        <v>8</v>
      </c>
      <c r="G170" s="1098">
        <v>8</v>
      </c>
      <c r="H170" s="290">
        <v>8</v>
      </c>
    </row>
    <row r="171" spans="2:8" ht="17" x14ac:dyDescent="0.2">
      <c r="B171" s="1071"/>
    </row>
    <row r="172" spans="2:8" ht="17" x14ac:dyDescent="0.2">
      <c r="B172" s="3055" t="s">
        <v>984</v>
      </c>
      <c r="C172" s="3055"/>
    </row>
    <row r="173" spans="2:8" ht="18" thickBot="1" x14ac:dyDescent="0.25">
      <c r="B173" s="1095"/>
    </row>
    <row r="174" spans="2:8" ht="52" thickBot="1" x14ac:dyDescent="0.25">
      <c r="B174" s="1070" t="s">
        <v>919</v>
      </c>
      <c r="C174" s="1072" t="s">
        <v>263</v>
      </c>
      <c r="D174" s="1081" t="s">
        <v>677</v>
      </c>
      <c r="E174" s="1081" t="s">
        <v>978</v>
      </c>
      <c r="F174" s="1081" t="s">
        <v>979</v>
      </c>
      <c r="G174" s="1081" t="s">
        <v>731</v>
      </c>
    </row>
    <row r="175" spans="2:8" ht="52" thickBot="1" x14ac:dyDescent="0.25">
      <c r="B175" s="1074">
        <v>1</v>
      </c>
      <c r="C175" s="1053" t="s">
        <v>1053</v>
      </c>
      <c r="D175" s="1059">
        <v>81</v>
      </c>
      <c r="E175" s="1059">
        <v>83</v>
      </c>
      <c r="F175" s="1059">
        <v>85</v>
      </c>
      <c r="G175" s="1059">
        <v>85</v>
      </c>
      <c r="H175" s="288">
        <v>87</v>
      </c>
    </row>
    <row r="176" spans="2:8" ht="17" x14ac:dyDescent="0.2">
      <c r="B176" s="1096"/>
    </row>
    <row r="177" spans="2:8" ht="17" x14ac:dyDescent="0.2">
      <c r="B177" s="3055" t="s">
        <v>988</v>
      </c>
      <c r="C177" s="3055"/>
    </row>
    <row r="178" spans="2:8" ht="18" thickBot="1" x14ac:dyDescent="0.25">
      <c r="B178" s="1095"/>
    </row>
    <row r="179" spans="2:8" ht="52" thickBot="1" x14ac:dyDescent="0.25">
      <c r="B179" s="1075" t="s">
        <v>919</v>
      </c>
      <c r="C179" s="1072" t="s">
        <v>1054</v>
      </c>
      <c r="D179" s="1081" t="s">
        <v>677</v>
      </c>
      <c r="E179" s="1081" t="s">
        <v>978</v>
      </c>
      <c r="F179" s="1081" t="s">
        <v>979</v>
      </c>
      <c r="G179" s="1081" t="s">
        <v>731</v>
      </c>
    </row>
    <row r="180" spans="2:8" ht="35" thickBot="1" x14ac:dyDescent="0.25">
      <c r="B180" s="1063" t="s">
        <v>6</v>
      </c>
      <c r="C180" s="1064" t="s">
        <v>1055</v>
      </c>
      <c r="D180" s="1059">
        <v>15</v>
      </c>
      <c r="E180" s="1059">
        <v>15</v>
      </c>
      <c r="F180" s="1059">
        <v>16</v>
      </c>
      <c r="G180" s="1059">
        <v>16</v>
      </c>
      <c r="H180" s="288">
        <v>16</v>
      </c>
    </row>
    <row r="181" spans="2:8" ht="35" thickBot="1" x14ac:dyDescent="0.25">
      <c r="B181" s="1063" t="s">
        <v>9</v>
      </c>
      <c r="C181" s="1064" t="s">
        <v>1056</v>
      </c>
      <c r="D181" s="1059">
        <v>15</v>
      </c>
      <c r="E181" s="1059">
        <v>15</v>
      </c>
      <c r="F181" s="1059">
        <v>16</v>
      </c>
      <c r="G181" s="1059">
        <v>16</v>
      </c>
      <c r="H181" s="288">
        <v>16</v>
      </c>
    </row>
    <row r="182" spans="2:8" ht="18" thickBot="1" x14ac:dyDescent="0.25">
      <c r="B182" s="1063" t="s">
        <v>12</v>
      </c>
      <c r="C182" s="1064" t="s">
        <v>1057</v>
      </c>
      <c r="D182" s="1059">
        <v>2</v>
      </c>
      <c r="E182" s="1059">
        <v>2</v>
      </c>
      <c r="F182" s="1059">
        <v>2</v>
      </c>
      <c r="G182" s="1059">
        <v>2</v>
      </c>
      <c r="H182" s="288">
        <v>2</v>
      </c>
    </row>
    <row r="183" spans="2:8" ht="52" thickBot="1" x14ac:dyDescent="0.25">
      <c r="B183" s="1063" t="s">
        <v>1006</v>
      </c>
      <c r="C183" s="1064" t="s">
        <v>1058</v>
      </c>
      <c r="D183" s="1059">
        <v>0</v>
      </c>
      <c r="E183" s="1059">
        <v>0</v>
      </c>
      <c r="F183" s="1059">
        <v>0</v>
      </c>
      <c r="G183" s="1059">
        <v>0</v>
      </c>
      <c r="H183" s="288">
        <v>0</v>
      </c>
    </row>
    <row r="184" spans="2:8" ht="17" x14ac:dyDescent="0.2">
      <c r="B184" s="1078"/>
    </row>
    <row r="185" spans="2:8" ht="17" x14ac:dyDescent="0.2">
      <c r="B185" s="1071"/>
    </row>
    <row r="186" spans="2:8" ht="17" x14ac:dyDescent="0.2">
      <c r="B186" s="3055" t="s">
        <v>991</v>
      </c>
      <c r="C186" s="3055"/>
      <c r="D186" s="3055"/>
      <c r="E186" s="3055"/>
      <c r="F186" s="3055"/>
      <c r="G186" s="3055"/>
    </row>
    <row r="187" spans="2:8" ht="17" x14ac:dyDescent="0.2">
      <c r="B187" s="3056" t="s">
        <v>1059</v>
      </c>
      <c r="C187" s="3056"/>
      <c r="D187" s="3056"/>
      <c r="E187" s="3056"/>
      <c r="F187" s="3056"/>
      <c r="G187" s="3056"/>
    </row>
    <row r="188" spans="2:8" ht="17" x14ac:dyDescent="0.2">
      <c r="B188" s="1083"/>
    </row>
    <row r="189" spans="2:8" ht="17" x14ac:dyDescent="0.2">
      <c r="B189" s="3055" t="s">
        <v>1005</v>
      </c>
      <c r="C189" s="3055"/>
    </row>
    <row r="190" spans="2:8" ht="18" thickBot="1" x14ac:dyDescent="0.25">
      <c r="B190" s="1095"/>
    </row>
    <row r="191" spans="2:8" ht="52" thickBot="1" x14ac:dyDescent="0.25">
      <c r="B191" s="1091" t="s">
        <v>919</v>
      </c>
      <c r="C191" s="1092" t="s">
        <v>1060</v>
      </c>
      <c r="D191" s="1062" t="s">
        <v>677</v>
      </c>
      <c r="E191" s="1062" t="s">
        <v>978</v>
      </c>
      <c r="F191" s="1062" t="s">
        <v>979</v>
      </c>
      <c r="G191" s="1062" t="s">
        <v>731</v>
      </c>
    </row>
    <row r="192" spans="2:8" ht="35" thickBot="1" x14ac:dyDescent="0.25">
      <c r="B192" s="1074" t="s">
        <v>6</v>
      </c>
      <c r="C192" s="1053" t="s">
        <v>1061</v>
      </c>
      <c r="D192" s="1059">
        <v>5</v>
      </c>
      <c r="E192" s="1059">
        <v>5</v>
      </c>
      <c r="F192" s="1059">
        <v>5</v>
      </c>
      <c r="G192" s="1059">
        <v>5</v>
      </c>
      <c r="H192" s="288">
        <v>5</v>
      </c>
    </row>
    <row r="193" spans="2:8" ht="52" thickBot="1" x14ac:dyDescent="0.25">
      <c r="B193" s="1074" t="s">
        <v>9</v>
      </c>
      <c r="C193" s="1053" t="s">
        <v>1062</v>
      </c>
      <c r="D193" s="1059">
        <v>15</v>
      </c>
      <c r="E193" s="1059">
        <v>15</v>
      </c>
      <c r="F193" s="1059">
        <v>15</v>
      </c>
      <c r="G193" s="1059">
        <v>15</v>
      </c>
      <c r="H193" s="288">
        <v>15</v>
      </c>
    </row>
    <row r="194" spans="2:8" ht="35" thickBot="1" x14ac:dyDescent="0.25">
      <c r="B194" s="1074" t="s">
        <v>12</v>
      </c>
      <c r="C194" s="1053" t="s">
        <v>1063</v>
      </c>
      <c r="D194" s="1059">
        <v>15</v>
      </c>
      <c r="E194" s="1059">
        <v>15</v>
      </c>
      <c r="F194" s="1059">
        <v>15</v>
      </c>
      <c r="G194" s="1059">
        <v>15</v>
      </c>
      <c r="H194" s="288">
        <v>15</v>
      </c>
    </row>
    <row r="195" spans="2:8" ht="17" x14ac:dyDescent="0.2">
      <c r="B195" s="1096"/>
    </row>
    <row r="196" spans="2:8" ht="17" x14ac:dyDescent="0.2">
      <c r="B196" s="3055" t="s">
        <v>984</v>
      </c>
      <c r="C196" s="3055"/>
    </row>
    <row r="197" spans="2:8" ht="18" thickBot="1" x14ac:dyDescent="0.25">
      <c r="B197" s="1095"/>
    </row>
    <row r="198" spans="2:8" ht="52" thickBot="1" x14ac:dyDescent="0.25">
      <c r="B198" s="1060" t="s">
        <v>1064</v>
      </c>
      <c r="C198" s="1061" t="s">
        <v>1060</v>
      </c>
      <c r="D198" s="1062" t="s">
        <v>677</v>
      </c>
      <c r="E198" s="1062" t="s">
        <v>978</v>
      </c>
      <c r="F198" s="1062" t="s">
        <v>979</v>
      </c>
      <c r="G198" s="1062" t="s">
        <v>731</v>
      </c>
    </row>
    <row r="199" spans="2:8" ht="35" thickBot="1" x14ac:dyDescent="0.25">
      <c r="B199" s="1074" t="s">
        <v>6</v>
      </c>
      <c r="C199" s="1053" t="s">
        <v>1065</v>
      </c>
      <c r="D199" s="1093">
        <v>2.0000000000000001E-4</v>
      </c>
      <c r="E199" s="1093">
        <v>2.0000000000000001E-4</v>
      </c>
      <c r="F199" s="1093">
        <v>2.0000000000000001E-4</v>
      </c>
      <c r="G199" s="1093">
        <v>2.0000000000000001E-4</v>
      </c>
      <c r="H199" s="288">
        <v>0.02</v>
      </c>
    </row>
    <row r="200" spans="2:8" ht="52" thickBot="1" x14ac:dyDescent="0.25">
      <c r="B200" s="1074" t="s">
        <v>9</v>
      </c>
      <c r="C200" s="1053" t="s">
        <v>1066</v>
      </c>
      <c r="D200" s="1093">
        <v>2.0000000000000001E-4</v>
      </c>
      <c r="E200" s="1093">
        <v>2.0000000000000001E-4</v>
      </c>
      <c r="F200" s="1093">
        <v>2.0000000000000001E-4</v>
      </c>
      <c r="G200" s="1093">
        <v>2.0000000000000001E-4</v>
      </c>
      <c r="H200" s="288">
        <v>0.02</v>
      </c>
    </row>
    <row r="201" spans="2:8" ht="17" x14ac:dyDescent="0.2">
      <c r="B201" s="1096"/>
    </row>
    <row r="202" spans="2:8" ht="18" thickBot="1" x14ac:dyDescent="0.25">
      <c r="B202" s="3052" t="s">
        <v>988</v>
      </c>
      <c r="C202" s="3052"/>
    </row>
    <row r="203" spans="2:8" ht="52" thickBot="1" x14ac:dyDescent="0.25">
      <c r="B203" s="1065" t="s">
        <v>919</v>
      </c>
      <c r="C203" s="1061" t="s">
        <v>263</v>
      </c>
      <c r="D203" s="1062" t="s">
        <v>677</v>
      </c>
      <c r="E203" s="1062" t="s">
        <v>978</v>
      </c>
      <c r="F203" s="1062" t="s">
        <v>979</v>
      </c>
      <c r="G203" s="1062" t="s">
        <v>731</v>
      </c>
    </row>
    <row r="204" spans="2:8" ht="52" thickBot="1" x14ac:dyDescent="0.25">
      <c r="B204" s="1074" t="s">
        <v>6</v>
      </c>
      <c r="C204" s="1053" t="s">
        <v>1067</v>
      </c>
      <c r="D204" s="1055">
        <v>0</v>
      </c>
      <c r="E204" s="1055">
        <v>0</v>
      </c>
      <c r="F204" s="1055">
        <v>0</v>
      </c>
      <c r="G204" s="1055">
        <v>0</v>
      </c>
      <c r="H204" s="288">
        <v>0</v>
      </c>
    </row>
    <row r="205" spans="2:8" ht="17" x14ac:dyDescent="0.2">
      <c r="B205" s="1096"/>
    </row>
  </sheetData>
  <mergeCells count="87">
    <mergeCell ref="B56:F56"/>
    <mergeCell ref="B31:G31"/>
    <mergeCell ref="B40:C40"/>
    <mergeCell ref="B48:C48"/>
    <mergeCell ref="G108:G109"/>
    <mergeCell ref="B68:C68"/>
    <mergeCell ref="B75:C75"/>
    <mergeCell ref="H110:H111"/>
    <mergeCell ref="B85:C85"/>
    <mergeCell ref="B89:C89"/>
    <mergeCell ref="B95:C95"/>
    <mergeCell ref="B106:C106"/>
    <mergeCell ref="C108:C109"/>
    <mergeCell ref="B108:B109"/>
    <mergeCell ref="G110:G111"/>
    <mergeCell ref="F110:F111"/>
    <mergeCell ref="D110:D111"/>
    <mergeCell ref="E110:E111"/>
    <mergeCell ref="B110:B111"/>
    <mergeCell ref="B134:B135"/>
    <mergeCell ref="B202:C202"/>
    <mergeCell ref="B186:G186"/>
    <mergeCell ref="B145:B146"/>
    <mergeCell ref="C145:C146"/>
    <mergeCell ref="F145:F146"/>
    <mergeCell ref="B196:C196"/>
    <mergeCell ref="B189:C189"/>
    <mergeCell ref="C134:C135"/>
    <mergeCell ref="B177:C177"/>
    <mergeCell ref="B163:C163"/>
    <mergeCell ref="B153:B154"/>
    <mergeCell ref="B187:G187"/>
    <mergeCell ref="G134:G135"/>
    <mergeCell ref="B172:C172"/>
    <mergeCell ref="C153:C154"/>
    <mergeCell ref="B121:C121"/>
    <mergeCell ref="B133:C133"/>
    <mergeCell ref="B113:C113"/>
    <mergeCell ref="G123:G124"/>
    <mergeCell ref="B131:G131"/>
    <mergeCell ref="B130:G130"/>
    <mergeCell ref="B115:B116"/>
    <mergeCell ref="C115:C116"/>
    <mergeCell ref="E115:E116"/>
    <mergeCell ref="F115:F116"/>
    <mergeCell ref="G115:G116"/>
    <mergeCell ref="B123:B124"/>
    <mergeCell ref="C123:C124"/>
    <mergeCell ref="E123:E124"/>
    <mergeCell ref="F123:F124"/>
    <mergeCell ref="G153:G154"/>
    <mergeCell ref="B151:C151"/>
    <mergeCell ref="B161:G161"/>
    <mergeCell ref="B160:G160"/>
    <mergeCell ref="B143:C143"/>
    <mergeCell ref="F153:F154"/>
    <mergeCell ref="G145:G146"/>
    <mergeCell ref="F134:F135"/>
    <mergeCell ref="B2:G2"/>
    <mergeCell ref="B3:G3"/>
    <mergeCell ref="B5:C5"/>
    <mergeCell ref="E108:E109"/>
    <mergeCell ref="C6:C7"/>
    <mergeCell ref="B82:G82"/>
    <mergeCell ref="F108:F109"/>
    <mergeCell ref="C15:C16"/>
    <mergeCell ref="B21:C21"/>
    <mergeCell ref="B104:G104"/>
    <mergeCell ref="B103:G103"/>
    <mergeCell ref="B83:G83"/>
    <mergeCell ref="B59:C59"/>
    <mergeCell ref="B57:F57"/>
    <mergeCell ref="B30:G30"/>
    <mergeCell ref="F15:F16"/>
    <mergeCell ref="G15:G16"/>
    <mergeCell ref="B23:B24"/>
    <mergeCell ref="F6:F7"/>
    <mergeCell ref="C23:C24"/>
    <mergeCell ref="E23:E24"/>
    <mergeCell ref="F23:F24"/>
    <mergeCell ref="G23:G24"/>
    <mergeCell ref="B6:B7"/>
    <mergeCell ref="E15:E16"/>
    <mergeCell ref="E6:E7"/>
    <mergeCell ref="B14:C14"/>
    <mergeCell ref="G6:G7"/>
    <mergeCell ref="B15:B16"/>
  </mergeCell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Q62"/>
  <sheetViews>
    <sheetView workbookViewId="0">
      <selection activeCell="K21" sqref="K21"/>
    </sheetView>
  </sheetViews>
  <sheetFormatPr baseColWidth="10" defaultColWidth="8.83203125" defaultRowHeight="13" x14ac:dyDescent="0.15"/>
  <sheetData>
    <row r="5" spans="3:17" x14ac:dyDescent="0.15">
      <c r="C5">
        <v>2012</v>
      </c>
      <c r="D5">
        <v>2013</v>
      </c>
      <c r="E5">
        <v>2014</v>
      </c>
      <c r="F5">
        <v>2015</v>
      </c>
      <c r="G5">
        <v>2016</v>
      </c>
    </row>
    <row r="6" spans="3:17" ht="144" x14ac:dyDescent="0.2">
      <c r="J6" s="1026" t="s">
        <v>972</v>
      </c>
      <c r="K6" s="315">
        <v>275</v>
      </c>
      <c r="L6" s="315">
        <v>489</v>
      </c>
      <c r="M6" s="315">
        <v>590</v>
      </c>
      <c r="N6" s="315">
        <v>605</v>
      </c>
      <c r="O6" s="315">
        <v>650</v>
      </c>
      <c r="P6" s="315">
        <v>695</v>
      </c>
      <c r="Q6" s="315">
        <v>725</v>
      </c>
    </row>
    <row r="7" spans="3:17" ht="16" x14ac:dyDescent="0.15">
      <c r="C7">
        <v>183</v>
      </c>
      <c r="D7">
        <v>195</v>
      </c>
      <c r="E7">
        <v>191</v>
      </c>
      <c r="F7">
        <v>219</v>
      </c>
      <c r="G7">
        <v>239</v>
      </c>
      <c r="K7" s="1027">
        <v>350</v>
      </c>
      <c r="L7" s="316">
        <v>59</v>
      </c>
      <c r="M7" s="316">
        <v>65</v>
      </c>
      <c r="N7" s="316">
        <v>70</v>
      </c>
      <c r="O7" s="316">
        <v>75</v>
      </c>
      <c r="P7" s="316">
        <v>80</v>
      </c>
      <c r="Q7" s="316">
        <v>85</v>
      </c>
    </row>
    <row r="8" spans="3:17" ht="16" x14ac:dyDescent="0.15">
      <c r="C8">
        <v>37</v>
      </c>
      <c r="D8">
        <v>39</v>
      </c>
      <c r="E8">
        <v>38</v>
      </c>
      <c r="F8">
        <v>44</v>
      </c>
      <c r="G8">
        <v>48</v>
      </c>
      <c r="K8" s="1027"/>
      <c r="L8" s="316"/>
      <c r="M8" s="316"/>
      <c r="N8" s="316">
        <v>150</v>
      </c>
      <c r="O8" s="316">
        <v>200</v>
      </c>
      <c r="P8" s="316">
        <v>200</v>
      </c>
      <c r="Q8" s="316">
        <v>300</v>
      </c>
    </row>
    <row r="9" spans="3:17" ht="16" x14ac:dyDescent="0.15">
      <c r="K9" s="1028"/>
      <c r="L9" s="1029">
        <v>41</v>
      </c>
      <c r="M9" s="1029">
        <v>20</v>
      </c>
      <c r="N9" s="1029">
        <v>30</v>
      </c>
      <c r="O9" s="1029" t="s">
        <v>973</v>
      </c>
      <c r="P9" s="1029" t="s">
        <v>973</v>
      </c>
      <c r="Q9" s="1029" t="s">
        <v>973</v>
      </c>
    </row>
    <row r="10" spans="3:17" ht="17" thickBot="1" x14ac:dyDescent="0.25">
      <c r="C10" s="1023">
        <v>575</v>
      </c>
      <c r="D10" s="1023">
        <v>585</v>
      </c>
      <c r="E10" s="1023">
        <v>590</v>
      </c>
      <c r="F10" s="1023">
        <v>595</v>
      </c>
      <c r="G10" s="1023">
        <v>600</v>
      </c>
      <c r="K10" s="1030">
        <f>SUM(K6:K9)</f>
        <v>625</v>
      </c>
      <c r="L10" s="1030">
        <f t="shared" ref="L10:Q10" si="0">SUM(L6:L9)</f>
        <v>589</v>
      </c>
      <c r="M10" s="1030">
        <f t="shared" si="0"/>
        <v>675</v>
      </c>
      <c r="N10" s="1030">
        <f t="shared" si="0"/>
        <v>855</v>
      </c>
      <c r="O10" s="1030">
        <f t="shared" si="0"/>
        <v>925</v>
      </c>
      <c r="P10" s="1030">
        <f t="shared" si="0"/>
        <v>975</v>
      </c>
      <c r="Q10" s="1030">
        <f t="shared" si="0"/>
        <v>1110</v>
      </c>
    </row>
    <row r="11" spans="3:17" ht="17" thickBot="1" x14ac:dyDescent="0.25">
      <c r="C11" s="1024">
        <v>85</v>
      </c>
      <c r="D11" s="1024">
        <v>95</v>
      </c>
      <c r="E11" s="1023">
        <v>100</v>
      </c>
      <c r="F11" s="1023">
        <v>105</v>
      </c>
      <c r="G11" s="1023">
        <v>110</v>
      </c>
    </row>
    <row r="12" spans="3:17" ht="17" thickBot="1" x14ac:dyDescent="0.25">
      <c r="C12" s="1024">
        <v>90</v>
      </c>
      <c r="D12" s="1024">
        <v>100</v>
      </c>
      <c r="E12" s="1024">
        <v>105</v>
      </c>
      <c r="F12" s="1024">
        <v>107</v>
      </c>
      <c r="G12" s="1024">
        <v>110</v>
      </c>
    </row>
    <row r="14" spans="3:17" ht="15" thickBot="1" x14ac:dyDescent="0.2">
      <c r="C14" s="1015">
        <v>3</v>
      </c>
      <c r="D14" s="1015">
        <v>4</v>
      </c>
      <c r="E14" s="1015">
        <v>5</v>
      </c>
      <c r="F14" s="1015">
        <v>6</v>
      </c>
      <c r="G14" s="1015">
        <v>6</v>
      </c>
    </row>
    <row r="15" spans="3:17" ht="15" thickBot="1" x14ac:dyDescent="0.2">
      <c r="C15" s="1014">
        <v>9</v>
      </c>
      <c r="D15" s="1014">
        <v>9</v>
      </c>
      <c r="E15" s="1014">
        <v>9</v>
      </c>
      <c r="F15" s="1014">
        <v>10</v>
      </c>
      <c r="G15" s="1014">
        <v>11</v>
      </c>
    </row>
    <row r="17" spans="3:14" ht="17" thickBot="1" x14ac:dyDescent="0.25">
      <c r="C17" s="1023">
        <v>30</v>
      </c>
      <c r="D17" s="1023">
        <v>30</v>
      </c>
      <c r="E17" s="1023">
        <v>31</v>
      </c>
      <c r="F17" s="1023">
        <v>31</v>
      </c>
      <c r="G17" s="1023">
        <v>31</v>
      </c>
    </row>
    <row r="18" spans="3:14" ht="17" thickBot="1" x14ac:dyDescent="0.25">
      <c r="C18" s="1024">
        <v>18</v>
      </c>
      <c r="D18" s="1024">
        <v>20</v>
      </c>
      <c r="E18" s="1024">
        <v>20</v>
      </c>
      <c r="F18" s="1024">
        <v>21</v>
      </c>
      <c r="G18" s="1024">
        <v>21</v>
      </c>
    </row>
    <row r="20" spans="3:14" ht="17" thickBot="1" x14ac:dyDescent="0.25">
      <c r="C20" s="1023">
        <v>1</v>
      </c>
      <c r="D20" s="1023">
        <v>2</v>
      </c>
      <c r="E20" s="1023">
        <v>2</v>
      </c>
      <c r="F20" s="1023">
        <v>2</v>
      </c>
      <c r="G20" s="1023">
        <v>2</v>
      </c>
    </row>
    <row r="21" spans="3:14" ht="17" thickBot="1" x14ac:dyDescent="0.25">
      <c r="C21" s="1024">
        <v>0</v>
      </c>
      <c r="D21" s="1024">
        <v>0</v>
      </c>
      <c r="E21" s="1024">
        <v>0</v>
      </c>
      <c r="F21" s="1024">
        <v>0</v>
      </c>
      <c r="G21" s="1024">
        <v>0</v>
      </c>
    </row>
    <row r="24" spans="3:14" x14ac:dyDescent="0.15">
      <c r="C24" s="1025">
        <f>SUM(C7:C23)</f>
        <v>1031</v>
      </c>
      <c r="D24" s="1025">
        <f>SUM(D7:D23)</f>
        <v>1079</v>
      </c>
      <c r="E24" s="1025">
        <f>SUM(E7:E23)</f>
        <v>1091</v>
      </c>
      <c r="F24" s="1025">
        <f>SUM(F7:F23)</f>
        <v>1140</v>
      </c>
      <c r="G24" s="1025">
        <f>SUM(G7:G23)</f>
        <v>1178</v>
      </c>
    </row>
    <row r="30" spans="3:14" ht="16" x14ac:dyDescent="0.2">
      <c r="I30" t="s">
        <v>974</v>
      </c>
      <c r="J30" s="1033">
        <v>1677</v>
      </c>
      <c r="K30" s="1034">
        <v>1938</v>
      </c>
      <c r="L30" s="1034">
        <v>2058</v>
      </c>
      <c r="M30" s="1034">
        <v>2093</v>
      </c>
      <c r="N30" s="1031">
        <v>2128</v>
      </c>
    </row>
    <row r="31" spans="3:14" ht="17" thickBot="1" x14ac:dyDescent="0.25">
      <c r="I31" t="s">
        <v>975</v>
      </c>
      <c r="J31" s="1032">
        <v>122731</v>
      </c>
      <c r="K31" s="1032">
        <v>124669</v>
      </c>
      <c r="L31" s="1032">
        <v>126727</v>
      </c>
      <c r="M31" s="1032">
        <v>128820</v>
      </c>
      <c r="N31" s="1032">
        <v>130948</v>
      </c>
    </row>
    <row r="32" spans="3:14" x14ac:dyDescent="0.15">
      <c r="J32" s="1036">
        <v>70</v>
      </c>
      <c r="K32" s="1037">
        <v>101</v>
      </c>
      <c r="L32" s="1037">
        <v>50</v>
      </c>
      <c r="M32" s="1037">
        <v>100</v>
      </c>
      <c r="N32" s="1037">
        <v>100</v>
      </c>
    </row>
    <row r="33" spans="10:14" ht="14" thickBot="1" x14ac:dyDescent="0.2">
      <c r="J33" s="1035">
        <v>18353</v>
      </c>
      <c r="K33" s="1035">
        <v>18454</v>
      </c>
      <c r="L33" s="1035">
        <v>18504</v>
      </c>
      <c r="M33" s="1035">
        <v>18604</v>
      </c>
      <c r="N33" s="1035">
        <v>18704</v>
      </c>
    </row>
    <row r="34" spans="10:14" ht="15" thickBot="1" x14ac:dyDescent="0.2">
      <c r="J34" s="1038">
        <v>15</v>
      </c>
      <c r="K34" s="1038">
        <v>30</v>
      </c>
      <c r="L34" s="1038">
        <v>20</v>
      </c>
      <c r="M34" s="1038">
        <v>25</v>
      </c>
      <c r="N34" s="1038">
        <v>30</v>
      </c>
    </row>
    <row r="35" spans="10:14" ht="15" thickBot="1" x14ac:dyDescent="0.2">
      <c r="J35" s="1038">
        <v>8128</v>
      </c>
      <c r="K35" s="1038">
        <v>8158</v>
      </c>
      <c r="L35" s="1038">
        <v>8178</v>
      </c>
      <c r="M35" s="1038">
        <v>8203</v>
      </c>
      <c r="N35" s="1038">
        <v>8233</v>
      </c>
    </row>
    <row r="36" spans="10:14" ht="17" thickBot="1" x14ac:dyDescent="0.25">
      <c r="J36" s="1032">
        <v>600</v>
      </c>
      <c r="K36" s="1032">
        <v>300</v>
      </c>
      <c r="L36" s="1032">
        <v>30</v>
      </c>
      <c r="M36" s="1032">
        <v>150</v>
      </c>
      <c r="N36" s="1032">
        <v>200</v>
      </c>
    </row>
    <row r="37" spans="10:14" ht="17" thickBot="1" x14ac:dyDescent="0.25">
      <c r="J37" s="1032">
        <v>1171</v>
      </c>
      <c r="K37" s="1032">
        <v>1471</v>
      </c>
      <c r="L37" s="1032">
        <v>1501</v>
      </c>
      <c r="M37" s="1032">
        <v>1651</v>
      </c>
      <c r="N37" s="1032">
        <v>1851</v>
      </c>
    </row>
    <row r="40" spans="10:14" x14ac:dyDescent="0.15">
      <c r="J40">
        <f t="shared" ref="J40:N41" si="1">J30+J32+J34+J36</f>
        <v>2362</v>
      </c>
      <c r="K40">
        <f t="shared" si="1"/>
        <v>2369</v>
      </c>
      <c r="L40">
        <f t="shared" si="1"/>
        <v>2158</v>
      </c>
      <c r="M40">
        <f t="shared" si="1"/>
        <v>2368</v>
      </c>
      <c r="N40">
        <f t="shared" si="1"/>
        <v>2458</v>
      </c>
    </row>
    <row r="41" spans="10:14" x14ac:dyDescent="0.15">
      <c r="J41">
        <f t="shared" si="1"/>
        <v>150383</v>
      </c>
      <c r="K41">
        <f t="shared" si="1"/>
        <v>152752</v>
      </c>
      <c r="L41">
        <f t="shared" si="1"/>
        <v>154910</v>
      </c>
      <c r="M41">
        <f t="shared" si="1"/>
        <v>157278</v>
      </c>
      <c r="N41">
        <f t="shared" si="1"/>
        <v>159736</v>
      </c>
    </row>
    <row r="43" spans="10:14" x14ac:dyDescent="0.15">
      <c r="J43">
        <f>J41</f>
        <v>150383</v>
      </c>
      <c r="K43">
        <f>J41+K40</f>
        <v>152752</v>
      </c>
      <c r="L43">
        <f>K41+L40</f>
        <v>154910</v>
      </c>
      <c r="M43">
        <f>L41+M40</f>
        <v>157278</v>
      </c>
      <c r="N43">
        <f>M41+N40</f>
        <v>159736</v>
      </c>
    </row>
    <row r="44" spans="10:14" x14ac:dyDescent="0.15">
      <c r="K44">
        <f>100-(J43*100/K43)</f>
        <v>1.5508798575468745</v>
      </c>
      <c r="L44">
        <f>100-(K43*100/L43)</f>
        <v>1.393066942095416</v>
      </c>
      <c r="M44">
        <f>100-(L43*100/M43)</f>
        <v>1.5056142626432205</v>
      </c>
      <c r="N44">
        <f>100-(M43*100/N43)</f>
        <v>1.5387890018530612</v>
      </c>
    </row>
    <row r="49" spans="10:14" ht="17" thickBot="1" x14ac:dyDescent="0.25">
      <c r="J49" s="1023">
        <v>700500</v>
      </c>
      <c r="K49" s="1023">
        <v>706650</v>
      </c>
      <c r="L49" s="1023">
        <v>716500</v>
      </c>
      <c r="M49" s="1023">
        <v>726250</v>
      </c>
      <c r="N49" s="1023">
        <v>736250</v>
      </c>
    </row>
    <row r="50" spans="10:14" ht="15" thickBot="1" x14ac:dyDescent="0.2">
      <c r="J50" s="1015">
        <v>99901</v>
      </c>
      <c r="K50" s="1015">
        <v>100951</v>
      </c>
      <c r="L50" s="1015">
        <v>102051</v>
      </c>
      <c r="M50" s="1015">
        <v>103051</v>
      </c>
      <c r="N50" s="1015">
        <v>104000</v>
      </c>
    </row>
    <row r="51" spans="10:14" ht="17" thickBot="1" x14ac:dyDescent="0.25">
      <c r="J51" s="1023">
        <v>97756</v>
      </c>
      <c r="K51" s="1023">
        <v>98418</v>
      </c>
      <c r="L51" s="1023">
        <v>99418</v>
      </c>
      <c r="M51" s="1015">
        <v>100468</v>
      </c>
      <c r="N51" s="1015">
        <v>101568</v>
      </c>
    </row>
    <row r="52" spans="10:14" ht="17" thickBot="1" x14ac:dyDescent="0.25">
      <c r="J52" s="1023">
        <v>50852</v>
      </c>
      <c r="K52" s="1023">
        <v>52452</v>
      </c>
      <c r="L52" s="1023">
        <v>54452</v>
      </c>
      <c r="M52" s="1023">
        <v>56452</v>
      </c>
      <c r="N52" s="1023">
        <v>58952</v>
      </c>
    </row>
    <row r="54" spans="10:14" x14ac:dyDescent="0.15">
      <c r="J54">
        <f>SUM(J49:J53)</f>
        <v>949009</v>
      </c>
      <c r="K54">
        <f>SUM(K49:K53)</f>
        <v>958471</v>
      </c>
      <c r="L54">
        <f>SUM(L49:L53)</f>
        <v>972421</v>
      </c>
      <c r="M54">
        <f>SUM(M49:M53)</f>
        <v>986221</v>
      </c>
      <c r="N54">
        <f>SUM(N49:N53)</f>
        <v>1000770</v>
      </c>
    </row>
    <row r="55" spans="10:14" x14ac:dyDescent="0.15">
      <c r="K55">
        <f>K54*100/J54-100</f>
        <v>0.99704007022062058</v>
      </c>
      <c r="L55">
        <f>L54*100/K54-100</f>
        <v>1.4554430963482474</v>
      </c>
      <c r="M55">
        <f>M54*100/L54-100</f>
        <v>1.4191384184422162</v>
      </c>
      <c r="N55">
        <f>N54*100/M54-100</f>
        <v>1.4752271549683087</v>
      </c>
    </row>
    <row r="60" spans="10:14" x14ac:dyDescent="0.15">
      <c r="J60">
        <v>612</v>
      </c>
      <c r="K60">
        <v>637</v>
      </c>
      <c r="L60">
        <v>672</v>
      </c>
      <c r="M60">
        <v>693</v>
      </c>
      <c r="N60">
        <v>719</v>
      </c>
    </row>
    <row r="61" spans="10:14" x14ac:dyDescent="0.15">
      <c r="J61">
        <v>1223</v>
      </c>
      <c r="K61">
        <v>1208</v>
      </c>
      <c r="L61">
        <v>1231</v>
      </c>
      <c r="M61">
        <v>1251</v>
      </c>
      <c r="N61">
        <v>1271</v>
      </c>
    </row>
    <row r="62" spans="10:14" x14ac:dyDescent="0.15">
      <c r="J62">
        <f>SUM(J60:J61)</f>
        <v>1835</v>
      </c>
      <c r="K62">
        <f>SUM(K60:K61)</f>
        <v>1845</v>
      </c>
      <c r="L62">
        <f>SUM(L60:L61)</f>
        <v>1903</v>
      </c>
      <c r="M62">
        <f>SUM(M60:M61)</f>
        <v>1944</v>
      </c>
      <c r="N62">
        <f>SUM(N60:N61)</f>
        <v>1990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:AM132"/>
  <sheetViews>
    <sheetView view="pageBreakPreview" topLeftCell="A29" zoomScale="70" zoomScaleNormal="40" zoomScaleSheetLayoutView="70" zoomScalePageLayoutView="40" workbookViewId="0">
      <selection activeCell="F50" sqref="F50"/>
    </sheetView>
  </sheetViews>
  <sheetFormatPr baseColWidth="10" defaultColWidth="8.83203125" defaultRowHeight="14" x14ac:dyDescent="0.15"/>
  <cols>
    <col min="1" max="1" width="8.83203125" style="1372"/>
    <col min="2" max="2" width="1" style="1372" customWidth="1"/>
    <col min="3" max="3" width="14" style="1370" customWidth="1"/>
    <col min="4" max="4" width="16.6640625" style="1370" customWidth="1"/>
    <col min="5" max="5" width="46.6640625" style="1370" customWidth="1"/>
    <col min="6" max="6" width="15.6640625" style="1371" customWidth="1"/>
    <col min="7" max="16" width="12" style="1371" customWidth="1"/>
    <col min="17" max="17" width="0.6640625" style="1371" customWidth="1"/>
    <col min="18" max="19" width="44.6640625" style="1372" customWidth="1"/>
    <col min="20" max="20" width="31.5" style="1372" customWidth="1"/>
    <col min="21" max="21" width="20.33203125" style="1372" bestFit="1" customWidth="1"/>
    <col min="22" max="22" width="27" style="1372" customWidth="1"/>
    <col min="23" max="23" width="24.83203125" style="1372" bestFit="1" customWidth="1"/>
    <col min="24" max="25" width="15.33203125" style="1372" customWidth="1"/>
    <col min="26" max="26" width="19.5" style="1372" customWidth="1"/>
    <col min="27" max="27" width="14.6640625" style="1372" customWidth="1"/>
    <col min="28" max="32" width="20.5" style="1372" customWidth="1"/>
    <col min="33" max="33" width="13.5" style="1372" customWidth="1"/>
    <col min="34" max="34" width="13.33203125" style="1372" customWidth="1"/>
    <col min="35" max="35" width="12.5" style="1372" customWidth="1"/>
    <col min="36" max="36" width="21.6640625" style="1372" customWidth="1"/>
    <col min="37" max="16384" width="8.83203125" style="1372"/>
  </cols>
  <sheetData>
    <row r="2" spans="3:34" ht="15" customHeight="1" x14ac:dyDescent="0.15"/>
    <row r="3" spans="3:34" x14ac:dyDescent="0.15">
      <c r="N3" s="2821" t="s">
        <v>351</v>
      </c>
      <c r="O3" s="2821"/>
      <c r="P3" s="2821"/>
      <c r="Q3" s="2646"/>
    </row>
    <row r="4" spans="3:34" ht="26.25" customHeight="1" x14ac:dyDescent="0.15">
      <c r="K4" s="2824" t="s">
        <v>1823</v>
      </c>
      <c r="L4" s="2824"/>
      <c r="M4" s="2824"/>
      <c r="N4" s="2824"/>
      <c r="O4" s="2824"/>
      <c r="P4" s="2824"/>
      <c r="Q4" s="2647"/>
    </row>
    <row r="5" spans="3:34" x14ac:dyDescent="0.15">
      <c r="J5" s="2647"/>
      <c r="K5" s="2824"/>
      <c r="L5" s="2824"/>
      <c r="M5" s="2824"/>
      <c r="N5" s="2824"/>
      <c r="O5" s="2824"/>
      <c r="P5" s="2824"/>
      <c r="Q5" s="2647"/>
      <c r="U5" s="1372">
        <v>497</v>
      </c>
      <c r="V5" s="1372">
        <v>100</v>
      </c>
    </row>
    <row r="6" spans="3:34" ht="26.25" customHeight="1" x14ac:dyDescent="0.15">
      <c r="N6" s="1373"/>
      <c r="O6" s="1373"/>
      <c r="P6" s="2697"/>
      <c r="Q6" s="2646"/>
      <c r="U6" s="1372">
        <v>517</v>
      </c>
      <c r="V6" s="1372">
        <f>U6*V5/U5</f>
        <v>104.02414486921529</v>
      </c>
    </row>
    <row r="7" spans="3:34" x14ac:dyDescent="0.15">
      <c r="C7" s="2822" t="s">
        <v>352</v>
      </c>
      <c r="D7" s="2822"/>
      <c r="E7" s="2822" t="s">
        <v>353</v>
      </c>
      <c r="F7" s="2823" t="s">
        <v>354</v>
      </c>
      <c r="G7" s="2823" t="s">
        <v>355</v>
      </c>
      <c r="H7" s="2823"/>
      <c r="I7" s="2823"/>
      <c r="J7" s="2823"/>
      <c r="K7" s="2823"/>
      <c r="L7" s="2823"/>
      <c r="M7" s="2823" t="s">
        <v>1</v>
      </c>
      <c r="N7" s="2823"/>
      <c r="O7" s="2823"/>
      <c r="P7" s="2823" t="s">
        <v>356</v>
      </c>
      <c r="Q7" s="2672"/>
    </row>
    <row r="8" spans="3:34" x14ac:dyDescent="0.15">
      <c r="C8" s="2822"/>
      <c r="D8" s="2822"/>
      <c r="E8" s="2822"/>
      <c r="F8" s="2823"/>
      <c r="G8" s="2823">
        <v>2014</v>
      </c>
      <c r="H8" s="2823"/>
      <c r="I8" s="2823">
        <v>2015</v>
      </c>
      <c r="J8" s="2823"/>
      <c r="K8" s="2823">
        <v>2016</v>
      </c>
      <c r="L8" s="2823"/>
      <c r="M8" s="2823">
        <v>2017</v>
      </c>
      <c r="N8" s="2823">
        <v>2018</v>
      </c>
      <c r="O8" s="2823">
        <v>2019</v>
      </c>
      <c r="P8" s="2823"/>
      <c r="Q8" s="2672"/>
    </row>
    <row r="9" spans="3:34" x14ac:dyDescent="0.15">
      <c r="C9" s="2822"/>
      <c r="D9" s="2822"/>
      <c r="E9" s="2822"/>
      <c r="F9" s="2823"/>
      <c r="G9" s="2698" t="s">
        <v>357</v>
      </c>
      <c r="H9" s="2698" t="s">
        <v>358</v>
      </c>
      <c r="I9" s="2698" t="s">
        <v>357</v>
      </c>
      <c r="J9" s="2698" t="s">
        <v>358</v>
      </c>
      <c r="K9" s="2698" t="s">
        <v>357</v>
      </c>
      <c r="L9" s="2698" t="s">
        <v>359</v>
      </c>
      <c r="M9" s="2823"/>
      <c r="N9" s="2823"/>
      <c r="O9" s="2823"/>
      <c r="P9" s="2823"/>
      <c r="Q9" s="2672"/>
    </row>
    <row r="10" spans="3:34" x14ac:dyDescent="0.15">
      <c r="C10" s="2807" t="s">
        <v>698</v>
      </c>
      <c r="D10" s="2807"/>
      <c r="E10" s="2808" t="s">
        <v>360</v>
      </c>
      <c r="F10" s="2808"/>
      <c r="G10" s="2808"/>
      <c r="H10" s="2808"/>
      <c r="I10" s="2808"/>
      <c r="J10" s="2808"/>
      <c r="K10" s="2808"/>
      <c r="L10" s="2808"/>
      <c r="M10" s="2808"/>
      <c r="N10" s="2808"/>
      <c r="O10" s="2808"/>
      <c r="P10" s="2808"/>
      <c r="Q10" s="2673"/>
      <c r="T10" s="2829" t="s">
        <v>636</v>
      </c>
      <c r="U10" s="2829"/>
      <c r="V10" s="2829"/>
      <c r="W10" s="2829"/>
      <c r="X10" s="2829"/>
      <c r="Y10" s="2829"/>
      <c r="Z10" s="2829"/>
      <c r="AA10" s="1372" t="s">
        <v>650</v>
      </c>
    </row>
    <row r="11" spans="3:34" ht="42" x14ac:dyDescent="0.15">
      <c r="C11" s="2809" t="s">
        <v>361</v>
      </c>
      <c r="D11" s="2809"/>
      <c r="E11" s="2695" t="s">
        <v>362</v>
      </c>
      <c r="F11" s="2699" t="s">
        <v>3</v>
      </c>
      <c r="G11" s="2720">
        <v>70</v>
      </c>
      <c r="H11" s="2720">
        <v>70</v>
      </c>
      <c r="I11" s="2720">
        <v>78</v>
      </c>
      <c r="J11" s="2720">
        <v>78</v>
      </c>
      <c r="K11" s="2720">
        <v>83</v>
      </c>
      <c r="L11" s="2720">
        <v>83</v>
      </c>
      <c r="M11" s="2720">
        <v>88</v>
      </c>
      <c r="N11" s="2720">
        <v>90</v>
      </c>
      <c r="O11" s="2720">
        <v>95</v>
      </c>
      <c r="P11" s="2720">
        <v>99</v>
      </c>
      <c r="Q11" s="2674"/>
      <c r="T11" s="1377" t="s">
        <v>5</v>
      </c>
      <c r="U11" s="1377" t="s">
        <v>17</v>
      </c>
      <c r="V11" s="1377" t="s">
        <v>57</v>
      </c>
      <c r="W11" s="1377" t="s">
        <v>67</v>
      </c>
      <c r="X11" s="1377" t="s">
        <v>632</v>
      </c>
      <c r="Y11" s="1377" t="s">
        <v>633</v>
      </c>
      <c r="Z11" s="1377" t="s">
        <v>634</v>
      </c>
      <c r="AA11" s="1378" t="str">
        <f>T11</f>
        <v>2012 год</v>
      </c>
      <c r="AB11" s="1378" t="str">
        <f t="shared" ref="AB11:AG11" si="0">U11</f>
        <v>2013 год</v>
      </c>
      <c r="AC11" s="1378" t="str">
        <f t="shared" si="0"/>
        <v>2014 год</v>
      </c>
      <c r="AD11" s="1378" t="str">
        <f t="shared" si="0"/>
        <v>2015 год</v>
      </c>
      <c r="AE11" s="1378" t="str">
        <f t="shared" si="0"/>
        <v>2016 год</v>
      </c>
      <c r="AF11" s="1378" t="str">
        <f t="shared" si="0"/>
        <v>2017 год</v>
      </c>
      <c r="AG11" s="1378" t="str">
        <f t="shared" si="0"/>
        <v>2018 год</v>
      </c>
    </row>
    <row r="12" spans="3:34" x14ac:dyDescent="0.15">
      <c r="C12" s="2810" t="s">
        <v>363</v>
      </c>
      <c r="D12" s="2810"/>
      <c r="E12" s="2811" t="s">
        <v>22</v>
      </c>
      <c r="F12" s="2811"/>
      <c r="G12" s="2811"/>
      <c r="H12" s="2811"/>
      <c r="I12" s="2811"/>
      <c r="J12" s="2811"/>
      <c r="K12" s="2811"/>
      <c r="L12" s="2811"/>
      <c r="M12" s="2811"/>
      <c r="N12" s="2811"/>
      <c r="O12" s="2811"/>
      <c r="P12" s="2811"/>
      <c r="Q12" s="2675"/>
      <c r="T12" s="1379">
        <v>464.9</v>
      </c>
      <c r="U12" s="1379">
        <v>479.7</v>
      </c>
      <c r="V12" s="1379">
        <v>495.6</v>
      </c>
      <c r="W12" s="1379">
        <v>512.9</v>
      </c>
      <c r="X12" s="1379">
        <v>532.4</v>
      </c>
      <c r="Y12" s="1379">
        <v>553.70000000000005</v>
      </c>
      <c r="Z12" s="1379">
        <v>577</v>
      </c>
      <c r="AA12" s="1380">
        <f>H16+H17</f>
        <v>2599</v>
      </c>
      <c r="AB12" s="1380">
        <f>J16+J17</f>
        <v>2898</v>
      </c>
      <c r="AC12" s="1380">
        <f>M16+M17</f>
        <v>2651</v>
      </c>
      <c r="AD12" s="1380">
        <f>N16+N17</f>
        <v>2651</v>
      </c>
      <c r="AE12" s="1380">
        <f>O16+O17</f>
        <v>2651</v>
      </c>
      <c r="AF12" s="1378"/>
      <c r="AG12" s="1378"/>
    </row>
    <row r="13" spans="3:34" ht="28" x14ac:dyDescent="0.2">
      <c r="C13" s="2806" t="s">
        <v>364</v>
      </c>
      <c r="D13" s="2695" t="s">
        <v>706</v>
      </c>
      <c r="E13" s="2695" t="s">
        <v>365</v>
      </c>
      <c r="F13" s="2699" t="s">
        <v>366</v>
      </c>
      <c r="G13" s="2720">
        <v>32</v>
      </c>
      <c r="H13" s="2720">
        <v>28</v>
      </c>
      <c r="I13" s="2720">
        <v>32</v>
      </c>
      <c r="J13" s="2720">
        <v>41</v>
      </c>
      <c r="K13" s="2720">
        <v>30</v>
      </c>
      <c r="L13" s="2720">
        <v>30</v>
      </c>
      <c r="M13" s="2720">
        <v>32</v>
      </c>
      <c r="N13" s="2720">
        <v>32</v>
      </c>
      <c r="O13" s="2720">
        <v>33</v>
      </c>
      <c r="P13" s="2720">
        <v>35</v>
      </c>
      <c r="Q13" s="2676"/>
      <c r="T13" s="2829" t="s">
        <v>637</v>
      </c>
      <c r="U13" s="2829"/>
      <c r="V13" s="2829"/>
      <c r="W13" s="2829"/>
      <c r="X13" s="2829"/>
      <c r="Y13" s="2829"/>
      <c r="Z13" s="2829"/>
      <c r="AA13" s="1372" t="s">
        <v>650</v>
      </c>
      <c r="AB13" s="1381">
        <v>2012</v>
      </c>
      <c r="AC13" s="1381">
        <v>2013</v>
      </c>
      <c r="AD13" s="1381">
        <v>2014</v>
      </c>
      <c r="AE13" s="1381">
        <v>2015</v>
      </c>
      <c r="AF13" s="1381">
        <v>2016</v>
      </c>
      <c r="AG13" s="1381">
        <v>2017</v>
      </c>
      <c r="AH13" s="1381">
        <v>2018</v>
      </c>
    </row>
    <row r="14" spans="3:34" ht="28" x14ac:dyDescent="0.2">
      <c r="C14" s="2806"/>
      <c r="D14" s="2695" t="s">
        <v>707</v>
      </c>
      <c r="E14" s="2695" t="s">
        <v>371</v>
      </c>
      <c r="F14" s="2699" t="s">
        <v>306</v>
      </c>
      <c r="G14" s="2720">
        <v>305</v>
      </c>
      <c r="H14" s="2720">
        <v>298.14999999999998</v>
      </c>
      <c r="I14" s="2720">
        <v>317.27</v>
      </c>
      <c r="J14" s="2720">
        <v>339.7</v>
      </c>
      <c r="K14" s="2720">
        <v>358.26</v>
      </c>
      <c r="L14" s="2720">
        <v>358.26</v>
      </c>
      <c r="M14" s="2720">
        <v>372.15</v>
      </c>
      <c r="N14" s="2720">
        <v>391.19</v>
      </c>
      <c r="O14" s="2720">
        <v>395</v>
      </c>
      <c r="P14" s="2720">
        <v>400</v>
      </c>
      <c r="Q14" s="2676"/>
      <c r="R14" s="1372">
        <v>520.53</v>
      </c>
      <c r="T14" s="1382"/>
      <c r="U14" s="1382"/>
      <c r="V14" s="1382"/>
      <c r="W14" s="1382"/>
      <c r="X14" s="1382"/>
      <c r="Y14" s="1382"/>
      <c r="Z14" s="1382"/>
      <c r="AB14" s="1381"/>
      <c r="AC14" s="1381"/>
      <c r="AD14" s="1381"/>
      <c r="AE14" s="1381"/>
      <c r="AF14" s="1381"/>
      <c r="AG14" s="1381"/>
      <c r="AH14" s="1381"/>
    </row>
    <row r="15" spans="3:34" ht="28" x14ac:dyDescent="0.2">
      <c r="C15" s="2806"/>
      <c r="D15" s="2695" t="s">
        <v>368</v>
      </c>
      <c r="E15" s="2695" t="s">
        <v>372</v>
      </c>
      <c r="F15" s="2699" t="s">
        <v>306</v>
      </c>
      <c r="G15" s="2720">
        <v>192</v>
      </c>
      <c r="H15" s="2720">
        <v>222.38</v>
      </c>
      <c r="I15" s="2720">
        <v>199.73</v>
      </c>
      <c r="J15" s="2720">
        <v>325.18</v>
      </c>
      <c r="K15" s="2720">
        <v>201.18</v>
      </c>
      <c r="L15" s="2720">
        <v>201.82</v>
      </c>
      <c r="M15" s="2720">
        <v>209.33</v>
      </c>
      <c r="N15" s="2720">
        <v>217.09</v>
      </c>
      <c r="O15" s="2720">
        <v>218</v>
      </c>
      <c r="P15" s="2720">
        <v>220</v>
      </c>
      <c r="Q15" s="2676"/>
      <c r="R15" s="1372">
        <f>R14-517.9</f>
        <v>2.6299999999999955</v>
      </c>
      <c r="T15" s="1382"/>
      <c r="U15" s="1382"/>
      <c r="V15" s="1382"/>
      <c r="W15" s="1382"/>
      <c r="X15" s="1382"/>
      <c r="Y15" s="1382"/>
      <c r="Z15" s="1382"/>
      <c r="AB15" s="1381"/>
      <c r="AC15" s="1381"/>
      <c r="AD15" s="1381"/>
      <c r="AE15" s="1381"/>
      <c r="AF15" s="1381"/>
      <c r="AG15" s="1381"/>
      <c r="AH15" s="1381"/>
    </row>
    <row r="16" spans="3:34" ht="28" x14ac:dyDescent="0.2">
      <c r="C16" s="2806" t="s">
        <v>370</v>
      </c>
      <c r="D16" s="2695" t="s">
        <v>705</v>
      </c>
      <c r="E16" s="2695" t="s">
        <v>367</v>
      </c>
      <c r="F16" s="2699" t="s">
        <v>366</v>
      </c>
      <c r="G16" s="2721">
        <v>1795</v>
      </c>
      <c r="H16" s="2721">
        <v>1866</v>
      </c>
      <c r="I16" s="2721">
        <v>1813</v>
      </c>
      <c r="J16" s="2721">
        <v>2031</v>
      </c>
      <c r="K16" s="2721">
        <v>1813</v>
      </c>
      <c r="L16" s="2721">
        <v>1813</v>
      </c>
      <c r="M16" s="2721">
        <v>1813</v>
      </c>
      <c r="N16" s="2721">
        <v>1813</v>
      </c>
      <c r="O16" s="2721">
        <v>1813</v>
      </c>
      <c r="P16" s="2721">
        <v>1850</v>
      </c>
      <c r="Q16" s="2677"/>
      <c r="R16" s="1372">
        <f>L14+L15</f>
        <v>560.07999999999993</v>
      </c>
      <c r="T16" s="1377" t="s">
        <v>5</v>
      </c>
      <c r="U16" s="1377" t="s">
        <v>17</v>
      </c>
      <c r="V16" s="1377" t="s">
        <v>57</v>
      </c>
      <c r="W16" s="1377" t="s">
        <v>67</v>
      </c>
      <c r="X16" s="1377" t="s">
        <v>632</v>
      </c>
      <c r="Y16" s="1377" t="s">
        <v>633</v>
      </c>
      <c r="Z16" s="1377" t="s">
        <v>634</v>
      </c>
      <c r="AB16" s="1383">
        <v>950.28200000000004</v>
      </c>
      <c r="AC16" s="1383">
        <v>959.90300000000002</v>
      </c>
      <c r="AD16" s="1383">
        <v>972.50300000000004</v>
      </c>
      <c r="AE16" s="1383">
        <v>986.00300000000004</v>
      </c>
      <c r="AF16" s="1384">
        <v>1005.72</v>
      </c>
      <c r="AG16" s="1378">
        <v>1025.8</v>
      </c>
      <c r="AH16" s="1378">
        <v>1046.3499999999999</v>
      </c>
    </row>
    <row r="17" spans="3:39" ht="28" x14ac:dyDescent="0.2">
      <c r="C17" s="2806"/>
      <c r="D17" s="2695" t="s">
        <v>704</v>
      </c>
      <c r="E17" s="2695" t="s">
        <v>369</v>
      </c>
      <c r="F17" s="2699" t="s">
        <v>366</v>
      </c>
      <c r="G17" s="2720">
        <v>688</v>
      </c>
      <c r="H17" s="2720">
        <v>733</v>
      </c>
      <c r="I17" s="2720">
        <v>804</v>
      </c>
      <c r="J17" s="2720">
        <v>867</v>
      </c>
      <c r="K17" s="2720">
        <v>838</v>
      </c>
      <c r="L17" s="2720">
        <v>838</v>
      </c>
      <c r="M17" s="2720">
        <v>838</v>
      </c>
      <c r="N17" s="2720">
        <v>838</v>
      </c>
      <c r="O17" s="2720">
        <v>838</v>
      </c>
      <c r="P17" s="2720">
        <v>850</v>
      </c>
      <c r="Q17" s="2676"/>
      <c r="R17" s="1372">
        <f>L16+L17</f>
        <v>2651</v>
      </c>
      <c r="T17" s="1379">
        <v>9.6999999999999993</v>
      </c>
      <c r="U17" s="1379">
        <v>17.5</v>
      </c>
      <c r="V17" s="1379">
        <v>33.299999999999997</v>
      </c>
      <c r="W17" s="1379">
        <v>66.599999999999994</v>
      </c>
      <c r="X17" s="1379">
        <v>139.9</v>
      </c>
      <c r="Y17" s="1379">
        <v>307.8</v>
      </c>
      <c r="Z17" s="1379">
        <v>708</v>
      </c>
      <c r="AB17" s="1385">
        <f t="shared" ref="AB17:AH17" si="1">T17*100/AB16</f>
        <v>1.0207496301097989</v>
      </c>
      <c r="AC17" s="1385">
        <f t="shared" si="1"/>
        <v>1.8231008758176608</v>
      </c>
      <c r="AD17" s="1385">
        <f t="shared" si="1"/>
        <v>3.4241539614787815</v>
      </c>
      <c r="AE17" s="1385">
        <f t="shared" si="1"/>
        <v>6.7545433431744106</v>
      </c>
      <c r="AF17" s="1385">
        <f t="shared" si="1"/>
        <v>13.910432327089051</v>
      </c>
      <c r="AG17" s="1385">
        <f t="shared" si="1"/>
        <v>30.005849093390527</v>
      </c>
      <c r="AH17" s="1385">
        <f t="shared" si="1"/>
        <v>67.663783628804893</v>
      </c>
    </row>
    <row r="18" spans="3:39" ht="42" x14ac:dyDescent="0.2">
      <c r="C18" s="2806"/>
      <c r="D18" s="2695" t="s">
        <v>708</v>
      </c>
      <c r="E18" s="2695" t="s">
        <v>695</v>
      </c>
      <c r="F18" s="2699" t="s">
        <v>3</v>
      </c>
      <c r="G18" s="2720">
        <v>80</v>
      </c>
      <c r="H18" s="2720">
        <v>80</v>
      </c>
      <c r="I18" s="2720">
        <v>83</v>
      </c>
      <c r="J18" s="2720">
        <v>83</v>
      </c>
      <c r="K18" s="2720">
        <v>100</v>
      </c>
      <c r="L18" s="2720">
        <v>100</v>
      </c>
      <c r="M18" s="2720">
        <v>100</v>
      </c>
      <c r="N18" s="2720">
        <v>100</v>
      </c>
      <c r="O18" s="2720">
        <v>100</v>
      </c>
      <c r="P18" s="2720">
        <v>100</v>
      </c>
      <c r="Q18" s="2676"/>
      <c r="T18" s="2830" t="s">
        <v>1206</v>
      </c>
      <c r="U18" s="2831"/>
      <c r="V18" s="2831"/>
      <c r="W18" s="2831"/>
      <c r="X18" s="2831"/>
      <c r="Y18" s="2831"/>
      <c r="Z18" s="2832"/>
      <c r="AA18" s="1372" t="s">
        <v>650</v>
      </c>
    </row>
    <row r="19" spans="3:39" x14ac:dyDescent="0.15">
      <c r="C19" s="2810" t="s">
        <v>373</v>
      </c>
      <c r="D19" s="2810"/>
      <c r="E19" s="2811" t="s">
        <v>23</v>
      </c>
      <c r="F19" s="2811"/>
      <c r="G19" s="2811"/>
      <c r="H19" s="2811"/>
      <c r="I19" s="2811"/>
      <c r="J19" s="2811"/>
      <c r="K19" s="2811"/>
      <c r="L19" s="2811"/>
      <c r="M19" s="2811"/>
      <c r="N19" s="2811"/>
      <c r="O19" s="2811"/>
      <c r="P19" s="2811"/>
      <c r="Q19" s="2675"/>
      <c r="T19" s="1386" t="s">
        <v>5</v>
      </c>
      <c r="U19" s="1386" t="s">
        <v>17</v>
      </c>
      <c r="V19" s="1386" t="s">
        <v>57</v>
      </c>
      <c r="W19" s="1386" t="s">
        <v>67</v>
      </c>
      <c r="X19" s="1386" t="s">
        <v>632</v>
      </c>
      <c r="Y19" s="1386" t="s">
        <v>633</v>
      </c>
      <c r="Z19" s="1386" t="s">
        <v>634</v>
      </c>
    </row>
    <row r="20" spans="3:39" ht="42" x14ac:dyDescent="0.2">
      <c r="C20" s="2806" t="s">
        <v>709</v>
      </c>
      <c r="D20" s="2806"/>
      <c r="E20" s="2695" t="s">
        <v>374</v>
      </c>
      <c r="F20" s="2699" t="s">
        <v>366</v>
      </c>
      <c r="G20" s="2720">
        <v>63</v>
      </c>
      <c r="H20" s="2720">
        <v>80</v>
      </c>
      <c r="I20" s="2720">
        <v>80</v>
      </c>
      <c r="J20" s="2720">
        <v>80</v>
      </c>
      <c r="K20" s="2720">
        <v>80</v>
      </c>
      <c r="L20" s="2720">
        <v>80</v>
      </c>
      <c r="M20" s="2720">
        <v>80</v>
      </c>
      <c r="N20" s="2720">
        <v>80</v>
      </c>
      <c r="O20" s="2720">
        <v>95</v>
      </c>
      <c r="P20" s="2720">
        <v>100</v>
      </c>
      <c r="Q20" s="2676"/>
      <c r="T20" s="1386"/>
      <c r="U20" s="1386"/>
      <c r="V20" s="1386"/>
      <c r="W20" s="1386"/>
      <c r="X20" s="1386"/>
      <c r="Y20" s="1386"/>
      <c r="Z20" s="1386"/>
      <c r="AD20" s="1387">
        <v>305</v>
      </c>
      <c r="AE20" s="1387">
        <v>305.3</v>
      </c>
      <c r="AF20" s="1387">
        <v>306.89999999999998</v>
      </c>
      <c r="AG20" s="1387">
        <v>307</v>
      </c>
      <c r="AH20" s="1387">
        <v>316</v>
      </c>
      <c r="AI20" s="1387">
        <v>316.8</v>
      </c>
      <c r="AJ20" s="1387">
        <v>324.39999999999998</v>
      </c>
      <c r="AK20" s="1387">
        <v>333.93</v>
      </c>
      <c r="AL20" s="1387">
        <v>346.2</v>
      </c>
      <c r="AM20" s="1387">
        <v>359.9</v>
      </c>
    </row>
    <row r="21" spans="3:39" ht="42" x14ac:dyDescent="0.2">
      <c r="C21" s="2806" t="s">
        <v>710</v>
      </c>
      <c r="D21" s="2806"/>
      <c r="E21" s="2695" t="s">
        <v>1207</v>
      </c>
      <c r="F21" s="2699" t="s">
        <v>702</v>
      </c>
      <c r="G21" s="2720">
        <v>38.799999999999997</v>
      </c>
      <c r="H21" s="2720">
        <v>50</v>
      </c>
      <c r="I21" s="2720">
        <v>41.4</v>
      </c>
      <c r="J21" s="2720">
        <v>41.4</v>
      </c>
      <c r="K21" s="2720">
        <v>44.3</v>
      </c>
      <c r="L21" s="2720">
        <v>44.3</v>
      </c>
      <c r="M21" s="2720">
        <v>47.4</v>
      </c>
      <c r="N21" s="2720">
        <v>50.9</v>
      </c>
      <c r="O21" s="2720">
        <v>52</v>
      </c>
      <c r="P21" s="2720">
        <v>60</v>
      </c>
      <c r="Q21" s="2676"/>
      <c r="T21" s="1379" t="s">
        <v>635</v>
      </c>
      <c r="U21" s="1379">
        <v>80</v>
      </c>
      <c r="V21" s="1379">
        <v>540</v>
      </c>
      <c r="W21" s="1379">
        <v>1015</v>
      </c>
      <c r="X21" s="1379">
        <v>1489</v>
      </c>
      <c r="Y21" s="1379">
        <v>1619</v>
      </c>
      <c r="Z21" s="1379">
        <v>1683</v>
      </c>
      <c r="AD21" s="1387">
        <v>141</v>
      </c>
      <c r="AE21" s="1387">
        <v>157.19999999999999</v>
      </c>
      <c r="AF21" s="1387">
        <v>141</v>
      </c>
      <c r="AG21" s="1387">
        <v>158</v>
      </c>
      <c r="AH21" s="1387">
        <v>162</v>
      </c>
      <c r="AI21" s="1387">
        <v>162.9</v>
      </c>
      <c r="AJ21" s="1387">
        <v>171.2</v>
      </c>
      <c r="AK21" s="1387">
        <v>178.97</v>
      </c>
      <c r="AL21" s="1387">
        <v>186.14</v>
      </c>
      <c r="AM21" s="1387">
        <v>193.8</v>
      </c>
    </row>
    <row r="22" spans="3:39" ht="42" x14ac:dyDescent="0.2">
      <c r="C22" s="2806" t="s">
        <v>377</v>
      </c>
      <c r="D22" s="2806"/>
      <c r="E22" s="2695" t="s">
        <v>378</v>
      </c>
      <c r="F22" s="2699" t="s">
        <v>366</v>
      </c>
      <c r="G22" s="2720">
        <v>15</v>
      </c>
      <c r="H22" s="2720">
        <v>15</v>
      </c>
      <c r="I22" s="2720">
        <v>15</v>
      </c>
      <c r="J22" s="2720">
        <v>15</v>
      </c>
      <c r="K22" s="2720">
        <v>16</v>
      </c>
      <c r="L22" s="2720">
        <v>16</v>
      </c>
      <c r="M22" s="2720">
        <v>17</v>
      </c>
      <c r="N22" s="2720">
        <v>17</v>
      </c>
      <c r="O22" s="2720">
        <v>18</v>
      </c>
      <c r="P22" s="2720">
        <v>20</v>
      </c>
      <c r="Q22" s="2676"/>
      <c r="T22" s="2825" t="s">
        <v>639</v>
      </c>
      <c r="U22" s="2826"/>
      <c r="V22" s="2826"/>
      <c r="W22" s="2826"/>
      <c r="X22" s="2826"/>
      <c r="Y22" s="2826"/>
      <c r="Z22" s="2827"/>
      <c r="AA22" s="1372" t="s">
        <v>650</v>
      </c>
    </row>
    <row r="23" spans="3:39" x14ac:dyDescent="0.15">
      <c r="C23" s="2810" t="s">
        <v>379</v>
      </c>
      <c r="D23" s="2810"/>
      <c r="E23" s="2820" t="s">
        <v>380</v>
      </c>
      <c r="F23" s="2820"/>
      <c r="G23" s="2820"/>
      <c r="H23" s="2820"/>
      <c r="I23" s="2820"/>
      <c r="J23" s="2820"/>
      <c r="K23" s="2820"/>
      <c r="L23" s="2820"/>
      <c r="M23" s="2820"/>
      <c r="N23" s="2820"/>
      <c r="O23" s="2820"/>
      <c r="P23" s="2820"/>
      <c r="Q23" s="2678"/>
      <c r="T23" s="1377" t="s">
        <v>5</v>
      </c>
      <c r="U23" s="1377" t="s">
        <v>17</v>
      </c>
      <c r="V23" s="1377" t="s">
        <v>57</v>
      </c>
      <c r="W23" s="1377" t="s">
        <v>67</v>
      </c>
      <c r="X23" s="1377" t="s">
        <v>632</v>
      </c>
      <c r="Y23" s="1377" t="s">
        <v>633</v>
      </c>
      <c r="Z23" s="1377" t="s">
        <v>634</v>
      </c>
      <c r="AD23" s="1388">
        <v>305</v>
      </c>
      <c r="AE23" s="1388">
        <v>305.3</v>
      </c>
      <c r="AF23" s="1388">
        <v>306.89999999999998</v>
      </c>
      <c r="AG23" s="1388">
        <v>307</v>
      </c>
      <c r="AH23" s="1388">
        <v>316</v>
      </c>
      <c r="AI23" s="1388">
        <v>316.8</v>
      </c>
      <c r="AJ23" s="1388">
        <v>324.39999999999998</v>
      </c>
      <c r="AK23" s="1388">
        <v>333.93</v>
      </c>
      <c r="AL23" s="1388">
        <v>346.2</v>
      </c>
      <c r="AM23" s="1388">
        <v>359.9</v>
      </c>
    </row>
    <row r="24" spans="3:39" ht="28" x14ac:dyDescent="0.2">
      <c r="C24" s="2806" t="s">
        <v>381</v>
      </c>
      <c r="D24" s="2806"/>
      <c r="E24" s="2695" t="s">
        <v>382</v>
      </c>
      <c r="F24" s="2699" t="s">
        <v>3</v>
      </c>
      <c r="G24" s="2720">
        <v>4</v>
      </c>
      <c r="H24" s="2720">
        <v>4</v>
      </c>
      <c r="I24" s="2720">
        <v>4.5</v>
      </c>
      <c r="J24" s="2720">
        <v>4.5</v>
      </c>
      <c r="K24" s="2720">
        <v>4</v>
      </c>
      <c r="L24" s="2720">
        <v>4</v>
      </c>
      <c r="M24" s="2720">
        <v>4</v>
      </c>
      <c r="N24" s="2720">
        <v>4.5</v>
      </c>
      <c r="O24" s="2720">
        <v>4.5</v>
      </c>
      <c r="P24" s="2720">
        <v>6</v>
      </c>
      <c r="Q24" s="2676"/>
      <c r="T24" s="1379">
        <v>22</v>
      </c>
      <c r="U24" s="1379">
        <v>24</v>
      </c>
      <c r="V24" s="1379">
        <v>26</v>
      </c>
      <c r="W24" s="1379">
        <v>28</v>
      </c>
      <c r="X24" s="1379">
        <v>31</v>
      </c>
      <c r="Y24" s="1379">
        <v>33</v>
      </c>
      <c r="Z24" s="1379">
        <v>34</v>
      </c>
      <c r="AD24" s="1388">
        <v>141</v>
      </c>
      <c r="AE24" s="1388">
        <v>157.19999999999999</v>
      </c>
      <c r="AF24" s="1388">
        <v>141</v>
      </c>
      <c r="AG24" s="1388">
        <v>158</v>
      </c>
      <c r="AH24" s="1388">
        <v>162</v>
      </c>
      <c r="AI24" s="1388">
        <v>162.9</v>
      </c>
      <c r="AJ24" s="1388">
        <v>171.2</v>
      </c>
      <c r="AK24" s="1388">
        <v>178.97</v>
      </c>
      <c r="AL24" s="1388">
        <v>186.14</v>
      </c>
      <c r="AM24" s="1388">
        <v>193.8</v>
      </c>
    </row>
    <row r="25" spans="3:39" ht="42" x14ac:dyDescent="0.2">
      <c r="C25" s="2806" t="s">
        <v>384</v>
      </c>
      <c r="D25" s="2806"/>
      <c r="E25" s="2695" t="s">
        <v>385</v>
      </c>
      <c r="F25" s="2699" t="s">
        <v>386</v>
      </c>
      <c r="G25" s="2720">
        <v>3</v>
      </c>
      <c r="H25" s="2720">
        <v>2.93</v>
      </c>
      <c r="I25" s="2720">
        <v>7</v>
      </c>
      <c r="J25" s="2720">
        <v>6.35</v>
      </c>
      <c r="K25" s="2720">
        <v>1.84</v>
      </c>
      <c r="L25" s="2720">
        <v>1.84</v>
      </c>
      <c r="M25" s="2720">
        <v>1.85</v>
      </c>
      <c r="N25" s="2720">
        <v>1.85</v>
      </c>
      <c r="O25" s="2720">
        <v>2</v>
      </c>
      <c r="P25" s="2720">
        <v>3</v>
      </c>
      <c r="Q25" s="2676"/>
      <c r="R25" s="1372">
        <v>98308</v>
      </c>
      <c r="S25" s="2318">
        <v>2963918</v>
      </c>
      <c r="T25" s="2825" t="s">
        <v>640</v>
      </c>
      <c r="U25" s="2826"/>
      <c r="V25" s="2826"/>
      <c r="W25" s="2826"/>
      <c r="X25" s="2826"/>
      <c r="Y25" s="2826"/>
      <c r="Z25" s="2827"/>
      <c r="AA25" s="1372" t="s">
        <v>650</v>
      </c>
    </row>
    <row r="26" spans="3:39" x14ac:dyDescent="0.15">
      <c r="C26" s="2807" t="s">
        <v>387</v>
      </c>
      <c r="D26" s="2807"/>
      <c r="E26" s="2808" t="s">
        <v>24</v>
      </c>
      <c r="F26" s="2808"/>
      <c r="G26" s="2808"/>
      <c r="H26" s="2808"/>
      <c r="I26" s="2808"/>
      <c r="J26" s="2808"/>
      <c r="K26" s="2808"/>
      <c r="L26" s="2808"/>
      <c r="M26" s="2808"/>
      <c r="N26" s="2808"/>
      <c r="O26" s="2808"/>
      <c r="P26" s="2808"/>
      <c r="Q26" s="2673"/>
      <c r="R26" s="1372">
        <f>R25*S26/S25</f>
        <v>33.168259040904637</v>
      </c>
      <c r="S26" s="1372">
        <v>1000</v>
      </c>
      <c r="T26" s="1377" t="s">
        <v>5</v>
      </c>
      <c r="U26" s="1377" t="s">
        <v>17</v>
      </c>
      <c r="V26" s="1377" t="s">
        <v>57</v>
      </c>
      <c r="W26" s="1377" t="s">
        <v>67</v>
      </c>
      <c r="X26" s="1377" t="s">
        <v>632</v>
      </c>
      <c r="Y26" s="1377" t="s">
        <v>633</v>
      </c>
      <c r="Z26" s="1377" t="s">
        <v>634</v>
      </c>
    </row>
    <row r="27" spans="3:39" ht="28" x14ac:dyDescent="0.2">
      <c r="C27" s="2809" t="s">
        <v>388</v>
      </c>
      <c r="D27" s="2809"/>
      <c r="E27" s="2695" t="s">
        <v>389</v>
      </c>
      <c r="F27" s="2699" t="s">
        <v>3</v>
      </c>
      <c r="G27" s="2720">
        <v>70</v>
      </c>
      <c r="H27" s="2720">
        <v>70</v>
      </c>
      <c r="I27" s="2720">
        <v>78</v>
      </c>
      <c r="J27" s="2720">
        <v>78</v>
      </c>
      <c r="K27" s="2720">
        <v>83</v>
      </c>
      <c r="L27" s="2720">
        <v>83</v>
      </c>
      <c r="M27" s="2720">
        <v>88</v>
      </c>
      <c r="N27" s="2720">
        <v>90</v>
      </c>
      <c r="O27" s="2720">
        <v>95</v>
      </c>
      <c r="P27" s="2720">
        <v>99</v>
      </c>
      <c r="Q27" s="2676"/>
      <c r="T27" s="1379">
        <v>352</v>
      </c>
      <c r="U27" s="1379">
        <v>371.3</v>
      </c>
      <c r="V27" s="1379">
        <v>392.9</v>
      </c>
      <c r="W27" s="1379">
        <v>417.6</v>
      </c>
      <c r="X27" s="1379">
        <v>446.8</v>
      </c>
      <c r="Y27" s="1379">
        <v>482.1</v>
      </c>
      <c r="Z27" s="1379">
        <v>525.5</v>
      </c>
    </row>
    <row r="28" spans="3:39" ht="28" x14ac:dyDescent="0.2">
      <c r="C28" s="2809" t="s">
        <v>390</v>
      </c>
      <c r="D28" s="2809"/>
      <c r="E28" s="2695" t="s">
        <v>391</v>
      </c>
      <c r="F28" s="2699" t="s">
        <v>3</v>
      </c>
      <c r="G28" s="2720">
        <v>70</v>
      </c>
      <c r="H28" s="2720">
        <v>70</v>
      </c>
      <c r="I28" s="2720">
        <v>78</v>
      </c>
      <c r="J28" s="2720">
        <v>78</v>
      </c>
      <c r="K28" s="2720">
        <v>83</v>
      </c>
      <c r="L28" s="2720">
        <v>83</v>
      </c>
      <c r="M28" s="2720">
        <v>88</v>
      </c>
      <c r="N28" s="2720">
        <v>90</v>
      </c>
      <c r="O28" s="2720">
        <v>95</v>
      </c>
      <c r="P28" s="2720">
        <v>99</v>
      </c>
      <c r="Q28" s="2676"/>
      <c r="S28" s="1372">
        <f>R25/S25*1000</f>
        <v>33.168259040904637</v>
      </c>
      <c r="T28" s="2840" t="s">
        <v>641</v>
      </c>
      <c r="U28" s="2841"/>
      <c r="V28" s="2841"/>
      <c r="W28" s="2841"/>
      <c r="X28" s="2841"/>
      <c r="Y28" s="2841"/>
      <c r="Z28" s="2842"/>
      <c r="AA28" s="1372" t="s">
        <v>650</v>
      </c>
    </row>
    <row r="29" spans="3:39" x14ac:dyDescent="0.15">
      <c r="C29" s="2810" t="s">
        <v>392</v>
      </c>
      <c r="D29" s="2810"/>
      <c r="E29" s="2820" t="s">
        <v>25</v>
      </c>
      <c r="F29" s="2820"/>
      <c r="G29" s="2820"/>
      <c r="H29" s="2820"/>
      <c r="I29" s="2820"/>
      <c r="J29" s="2820"/>
      <c r="K29" s="2820"/>
      <c r="L29" s="2820"/>
      <c r="M29" s="2820"/>
      <c r="N29" s="2820"/>
      <c r="O29" s="2820"/>
      <c r="P29" s="2820"/>
      <c r="Q29" s="2678"/>
      <c r="T29" s="1386" t="s">
        <v>5</v>
      </c>
      <c r="U29" s="1386" t="s">
        <v>17</v>
      </c>
      <c r="V29" s="1386" t="s">
        <v>57</v>
      </c>
      <c r="W29" s="1386" t="s">
        <v>67</v>
      </c>
      <c r="X29" s="1386" t="s">
        <v>632</v>
      </c>
      <c r="Y29" s="1386" t="s">
        <v>633</v>
      </c>
      <c r="Z29" s="1386" t="s">
        <v>634</v>
      </c>
    </row>
    <row r="30" spans="3:39" ht="28" x14ac:dyDescent="0.2">
      <c r="C30" s="2806" t="s">
        <v>364</v>
      </c>
      <c r="D30" s="2695" t="s">
        <v>393</v>
      </c>
      <c r="E30" s="2695" t="s">
        <v>394</v>
      </c>
      <c r="F30" s="2699" t="s">
        <v>926</v>
      </c>
      <c r="G30" s="2720">
        <v>386.2</v>
      </c>
      <c r="H30" s="2720">
        <v>234</v>
      </c>
      <c r="I30" s="2720">
        <v>431.41</v>
      </c>
      <c r="J30" s="2720">
        <v>406.5</v>
      </c>
      <c r="K30" s="2720">
        <v>419.65</v>
      </c>
      <c r="L30" s="2720">
        <v>419.65</v>
      </c>
      <c r="M30" s="2720">
        <v>441.35</v>
      </c>
      <c r="N30" s="2720">
        <v>467.95</v>
      </c>
      <c r="O30" s="2720">
        <v>470</v>
      </c>
      <c r="P30" s="2720">
        <v>490</v>
      </c>
      <c r="Q30" s="2676"/>
      <c r="R30" s="1372">
        <v>406.5</v>
      </c>
      <c r="T30" s="1379">
        <v>34.1</v>
      </c>
      <c r="U30" s="1379">
        <v>36.299999999999997</v>
      </c>
      <c r="V30" s="1379">
        <v>38.799999999999997</v>
      </c>
      <c r="W30" s="1379">
        <v>41.4</v>
      </c>
      <c r="X30" s="1379">
        <v>44.3</v>
      </c>
      <c r="Y30" s="1379">
        <v>47.4</v>
      </c>
      <c r="Z30" s="1379">
        <v>50.9</v>
      </c>
    </row>
    <row r="31" spans="3:39" ht="42" x14ac:dyDescent="0.2">
      <c r="C31" s="2806"/>
      <c r="D31" s="2695" t="s">
        <v>578</v>
      </c>
      <c r="E31" s="2695" t="s">
        <v>696</v>
      </c>
      <c r="F31" s="2699" t="s">
        <v>3</v>
      </c>
      <c r="G31" s="2720">
        <v>57</v>
      </c>
      <c r="H31" s="2720">
        <v>57</v>
      </c>
      <c r="I31" s="2720">
        <v>61</v>
      </c>
      <c r="J31" s="2720">
        <v>100</v>
      </c>
      <c r="K31" s="2720">
        <v>100</v>
      </c>
      <c r="L31" s="2720">
        <v>100</v>
      </c>
      <c r="M31" s="2720">
        <v>100</v>
      </c>
      <c r="N31" s="2720">
        <v>100</v>
      </c>
      <c r="O31" s="2720">
        <v>100</v>
      </c>
      <c r="P31" s="2720">
        <v>100</v>
      </c>
      <c r="Q31" s="2676"/>
      <c r="R31" s="1372">
        <v>170</v>
      </c>
      <c r="S31" s="1372">
        <f>R31*100/R30</f>
        <v>41.82041820418204</v>
      </c>
      <c r="T31" s="2825" t="s">
        <v>1208</v>
      </c>
      <c r="U31" s="2826"/>
      <c r="V31" s="2826"/>
      <c r="W31" s="2826"/>
      <c r="X31" s="2826"/>
      <c r="Y31" s="2826"/>
      <c r="Z31" s="2827"/>
      <c r="AA31" s="1372" t="s">
        <v>650</v>
      </c>
    </row>
    <row r="32" spans="3:39" ht="28" x14ac:dyDescent="0.2">
      <c r="C32" s="2806"/>
      <c r="D32" s="2695" t="s">
        <v>693</v>
      </c>
      <c r="E32" s="2695" t="s">
        <v>558</v>
      </c>
      <c r="F32" s="2699" t="s">
        <v>697</v>
      </c>
      <c r="G32" s="2720">
        <v>380</v>
      </c>
      <c r="H32" s="2720">
        <v>389.4</v>
      </c>
      <c r="I32" s="2720">
        <v>346.51</v>
      </c>
      <c r="J32" s="2720">
        <v>367.3</v>
      </c>
      <c r="K32" s="2720">
        <v>394.62</v>
      </c>
      <c r="L32" s="2720">
        <v>394.62</v>
      </c>
      <c r="M32" s="2720">
        <v>395.44</v>
      </c>
      <c r="N32" s="2720">
        <v>395.59</v>
      </c>
      <c r="O32" s="2720">
        <v>397</v>
      </c>
      <c r="P32" s="2720">
        <v>400</v>
      </c>
      <c r="Q32" s="2676"/>
      <c r="T32" s="1377" t="s">
        <v>5</v>
      </c>
      <c r="U32" s="1377" t="s">
        <v>17</v>
      </c>
      <c r="V32" s="1377" t="s">
        <v>57</v>
      </c>
      <c r="W32" s="1377" t="s">
        <v>67</v>
      </c>
      <c r="X32" s="1377" t="s">
        <v>632</v>
      </c>
      <c r="Y32" s="1377" t="s">
        <v>633</v>
      </c>
      <c r="Z32" s="1377" t="s">
        <v>634</v>
      </c>
    </row>
    <row r="33" spans="3:27" ht="28" x14ac:dyDescent="0.2">
      <c r="C33" s="2806" t="s">
        <v>398</v>
      </c>
      <c r="D33" s="2695" t="s">
        <v>399</v>
      </c>
      <c r="E33" s="2695" t="s">
        <v>1636</v>
      </c>
      <c r="F33" s="2699" t="s">
        <v>366</v>
      </c>
      <c r="G33" s="2720">
        <v>190</v>
      </c>
      <c r="H33" s="2720">
        <v>67</v>
      </c>
      <c r="I33" s="2720">
        <v>226</v>
      </c>
      <c r="J33" s="2720">
        <v>257</v>
      </c>
      <c r="K33" s="2720">
        <v>279</v>
      </c>
      <c r="L33" s="2720">
        <v>294</v>
      </c>
      <c r="M33" s="2720">
        <v>294</v>
      </c>
      <c r="N33" s="2720">
        <v>314</v>
      </c>
      <c r="O33" s="2720">
        <v>320</v>
      </c>
      <c r="P33" s="2720">
        <v>420</v>
      </c>
      <c r="Q33" s="2676"/>
      <c r="T33" s="1377"/>
      <c r="U33" s="1377"/>
      <c r="V33" s="1377"/>
      <c r="W33" s="1377"/>
      <c r="X33" s="1377"/>
      <c r="Y33" s="1377"/>
      <c r="Z33" s="1377"/>
    </row>
    <row r="34" spans="3:27" ht="28" x14ac:dyDescent="0.2">
      <c r="C34" s="2806"/>
      <c r="D34" s="2695" t="s">
        <v>711</v>
      </c>
      <c r="E34" s="2695" t="s">
        <v>1196</v>
      </c>
      <c r="F34" s="2699" t="s">
        <v>1197</v>
      </c>
      <c r="G34" s="2720">
        <v>33.299999999999997</v>
      </c>
      <c r="H34" s="2720">
        <v>33.299999999999997</v>
      </c>
      <c r="I34" s="2720">
        <v>66.599999999999994</v>
      </c>
      <c r="J34" s="2720">
        <v>100.53</v>
      </c>
      <c r="K34" s="2720">
        <v>139.9</v>
      </c>
      <c r="L34" s="2720">
        <v>139.9</v>
      </c>
      <c r="M34" s="2720">
        <v>307.8</v>
      </c>
      <c r="N34" s="2720">
        <v>708</v>
      </c>
      <c r="O34" s="2720">
        <v>800</v>
      </c>
      <c r="P34" s="2720">
        <v>900</v>
      </c>
      <c r="Q34" s="2676"/>
      <c r="T34" s="1379">
        <v>70</v>
      </c>
      <c r="U34" s="1379">
        <v>71</v>
      </c>
      <c r="V34" s="1379">
        <v>74</v>
      </c>
      <c r="W34" s="1379">
        <v>78</v>
      </c>
      <c r="X34" s="1379">
        <v>83</v>
      </c>
      <c r="Y34" s="1379">
        <v>88</v>
      </c>
      <c r="Z34" s="1379">
        <v>90</v>
      </c>
    </row>
    <row r="35" spans="3:27" x14ac:dyDescent="0.15">
      <c r="C35" s="2810" t="s">
        <v>401</v>
      </c>
      <c r="D35" s="2810"/>
      <c r="E35" s="2820" t="s">
        <v>26</v>
      </c>
      <c r="F35" s="2820"/>
      <c r="G35" s="2820"/>
      <c r="H35" s="2820"/>
      <c r="I35" s="2820"/>
      <c r="J35" s="2820"/>
      <c r="K35" s="2820"/>
      <c r="L35" s="2820"/>
      <c r="M35" s="2820"/>
      <c r="N35" s="2820"/>
      <c r="O35" s="2820"/>
      <c r="P35" s="2820"/>
      <c r="Q35" s="2678"/>
      <c r="T35" s="2825" t="s">
        <v>643</v>
      </c>
      <c r="U35" s="2826"/>
      <c r="V35" s="2826"/>
      <c r="W35" s="2826"/>
      <c r="X35" s="2826"/>
      <c r="Y35" s="2826"/>
      <c r="Z35" s="2827"/>
      <c r="AA35" s="1372" t="s">
        <v>650</v>
      </c>
    </row>
    <row r="36" spans="3:27" ht="70" x14ac:dyDescent="0.2">
      <c r="C36" s="2806" t="s">
        <v>402</v>
      </c>
      <c r="D36" s="2806"/>
      <c r="E36" s="2695" t="s">
        <v>690</v>
      </c>
      <c r="F36" s="2699" t="s">
        <v>3</v>
      </c>
      <c r="G36" s="2720">
        <v>32.01</v>
      </c>
      <c r="H36" s="2720">
        <v>32.01</v>
      </c>
      <c r="I36" s="2720">
        <v>32.799999999999997</v>
      </c>
      <c r="J36" s="2720">
        <v>34.43</v>
      </c>
      <c r="K36" s="2720">
        <v>33.590000000000003</v>
      </c>
      <c r="L36" s="2720">
        <v>33.590000000000003</v>
      </c>
      <c r="M36" s="2720">
        <v>34.409999999999997</v>
      </c>
      <c r="N36" s="2720">
        <v>35.25</v>
      </c>
      <c r="O36" s="2720">
        <v>38</v>
      </c>
      <c r="P36" s="2720">
        <v>50</v>
      </c>
      <c r="Q36" s="2676"/>
      <c r="T36" s="1377" t="s">
        <v>5</v>
      </c>
      <c r="U36" s="1377" t="s">
        <v>17</v>
      </c>
      <c r="V36" s="1377" t="s">
        <v>57</v>
      </c>
      <c r="W36" s="1377" t="s">
        <v>67</v>
      </c>
      <c r="X36" s="1377" t="s">
        <v>632</v>
      </c>
      <c r="Y36" s="1377" t="s">
        <v>633</v>
      </c>
      <c r="Z36" s="1377" t="s">
        <v>634</v>
      </c>
    </row>
    <row r="37" spans="3:27" ht="28" x14ac:dyDescent="0.2">
      <c r="C37" s="2806" t="s">
        <v>403</v>
      </c>
      <c r="D37" s="2806"/>
      <c r="E37" s="2695" t="s">
        <v>404</v>
      </c>
      <c r="F37" s="2699" t="s">
        <v>366</v>
      </c>
      <c r="G37" s="2720">
        <v>80</v>
      </c>
      <c r="H37" s="2720">
        <v>80</v>
      </c>
      <c r="I37" s="2720">
        <v>106</v>
      </c>
      <c r="J37" s="2720">
        <v>106</v>
      </c>
      <c r="K37" s="2720">
        <v>0</v>
      </c>
      <c r="L37" s="2720">
        <v>0</v>
      </c>
      <c r="M37" s="2720">
        <v>130</v>
      </c>
      <c r="N37" s="2720">
        <v>140</v>
      </c>
      <c r="O37" s="2720">
        <v>150</v>
      </c>
      <c r="P37" s="2720">
        <v>250</v>
      </c>
      <c r="Q37" s="2676"/>
      <c r="T37" s="1379">
        <v>30.5</v>
      </c>
      <c r="U37" s="1379">
        <v>31.24</v>
      </c>
      <c r="V37" s="1379">
        <v>32.01</v>
      </c>
      <c r="W37" s="1379">
        <v>32.79</v>
      </c>
      <c r="X37" s="1379">
        <v>33.590000000000003</v>
      </c>
      <c r="Y37" s="1379">
        <v>34.409999999999997</v>
      </c>
      <c r="Z37" s="1379">
        <v>35.25</v>
      </c>
    </row>
    <row r="38" spans="3:27" ht="84" x14ac:dyDescent="0.2">
      <c r="C38" s="2806" t="s">
        <v>694</v>
      </c>
      <c r="D38" s="2806"/>
      <c r="E38" s="2695" t="s">
        <v>700</v>
      </c>
      <c r="F38" s="2699" t="s">
        <v>366</v>
      </c>
      <c r="G38" s="2720">
        <v>540</v>
      </c>
      <c r="H38" s="2720">
        <v>240</v>
      </c>
      <c r="I38" s="2720">
        <v>1015</v>
      </c>
      <c r="J38" s="2720">
        <v>257</v>
      </c>
      <c r="K38" s="2720">
        <v>1489</v>
      </c>
      <c r="L38" s="2720">
        <v>1489</v>
      </c>
      <c r="M38" s="2721">
        <v>1619</v>
      </c>
      <c r="N38" s="2721">
        <v>1683</v>
      </c>
      <c r="O38" s="2720">
        <v>1700</v>
      </c>
      <c r="P38" s="2721">
        <v>2000</v>
      </c>
      <c r="Q38" s="2677"/>
      <c r="T38" s="1377" t="s">
        <v>5</v>
      </c>
      <c r="U38" s="1377" t="s">
        <v>17</v>
      </c>
      <c r="V38" s="1377" t="s">
        <v>57</v>
      </c>
      <c r="W38" s="1377" t="s">
        <v>67</v>
      </c>
      <c r="X38" s="1377" t="s">
        <v>632</v>
      </c>
      <c r="Y38" s="1377" t="s">
        <v>633</v>
      </c>
      <c r="Z38" s="1377" t="s">
        <v>634</v>
      </c>
    </row>
    <row r="39" spans="3:27" x14ac:dyDescent="0.15">
      <c r="C39" s="2810" t="s">
        <v>406</v>
      </c>
      <c r="D39" s="2810"/>
      <c r="E39" s="2820" t="s">
        <v>27</v>
      </c>
      <c r="F39" s="2820"/>
      <c r="G39" s="2820"/>
      <c r="H39" s="2820"/>
      <c r="I39" s="2820"/>
      <c r="J39" s="2820"/>
      <c r="K39" s="2820"/>
      <c r="L39" s="2820"/>
      <c r="M39" s="2820"/>
      <c r="N39" s="2820"/>
      <c r="O39" s="2820"/>
      <c r="P39" s="2820"/>
      <c r="Q39" s="2678"/>
      <c r="T39" s="1379">
        <v>27.6</v>
      </c>
      <c r="U39" s="1379">
        <v>36.700000000000003</v>
      </c>
      <c r="V39" s="1379">
        <v>45.8</v>
      </c>
      <c r="W39" s="1379">
        <v>54.9</v>
      </c>
      <c r="X39" s="1379">
        <v>64</v>
      </c>
      <c r="Y39" s="1379">
        <v>73.099999999999994</v>
      </c>
      <c r="Z39" s="1379">
        <v>82.2</v>
      </c>
    </row>
    <row r="40" spans="3:27" ht="42" x14ac:dyDescent="0.2">
      <c r="C40" s="2806" t="s">
        <v>407</v>
      </c>
      <c r="D40" s="2806"/>
      <c r="E40" s="2695" t="s">
        <v>652</v>
      </c>
      <c r="F40" s="2699" t="s">
        <v>3</v>
      </c>
      <c r="G40" s="359">
        <v>26</v>
      </c>
      <c r="H40" s="2720">
        <v>26</v>
      </c>
      <c r="I40" s="2720">
        <v>28</v>
      </c>
      <c r="J40" s="2720">
        <v>28</v>
      </c>
      <c r="K40" s="2720">
        <v>31</v>
      </c>
      <c r="L40" s="2720">
        <v>31</v>
      </c>
      <c r="M40" s="2720">
        <v>33</v>
      </c>
      <c r="N40" s="2720">
        <v>34</v>
      </c>
      <c r="O40" s="2720">
        <v>35</v>
      </c>
      <c r="P40" s="2720">
        <v>45</v>
      </c>
      <c r="Q40" s="2676"/>
      <c r="T40" s="1379"/>
      <c r="U40" s="1379"/>
      <c r="V40" s="1379"/>
      <c r="W40" s="1379"/>
      <c r="X40" s="1379"/>
      <c r="Y40" s="1379"/>
      <c r="Z40" s="1379"/>
    </row>
    <row r="41" spans="3:27" ht="16" x14ac:dyDescent="0.2">
      <c r="C41" s="2806" t="s">
        <v>396</v>
      </c>
      <c r="D41" s="2806"/>
      <c r="E41" s="2695" t="s">
        <v>972</v>
      </c>
      <c r="F41" s="2699" t="s">
        <v>555</v>
      </c>
      <c r="G41" s="2720">
        <v>500</v>
      </c>
      <c r="H41" s="2720">
        <v>605</v>
      </c>
      <c r="I41" s="2720">
        <v>500</v>
      </c>
      <c r="J41" s="2720">
        <v>449</v>
      </c>
      <c r="K41" s="2720">
        <v>450</v>
      </c>
      <c r="L41" s="2720">
        <v>450</v>
      </c>
      <c r="M41" s="2720">
        <v>450</v>
      </c>
      <c r="N41" s="2720">
        <v>450</v>
      </c>
      <c r="O41" s="2720">
        <v>470</v>
      </c>
      <c r="P41" s="2720">
        <v>500</v>
      </c>
      <c r="Q41" s="2676"/>
      <c r="T41" s="2825" t="s">
        <v>645</v>
      </c>
      <c r="U41" s="2826"/>
      <c r="V41" s="2826"/>
      <c r="W41" s="2826"/>
      <c r="X41" s="2826"/>
      <c r="Y41" s="2826"/>
      <c r="Z41" s="2827"/>
      <c r="AA41" s="1372" t="s">
        <v>650</v>
      </c>
    </row>
    <row r="42" spans="3:27" ht="42" x14ac:dyDescent="0.2">
      <c r="C42" s="2806" t="s">
        <v>651</v>
      </c>
      <c r="D42" s="2806"/>
      <c r="E42" s="2695" t="s">
        <v>1205</v>
      </c>
      <c r="F42" s="2699" t="s">
        <v>3</v>
      </c>
      <c r="G42" s="2720">
        <v>0.75</v>
      </c>
      <c r="H42" s="2720">
        <v>2.4700000000000002</v>
      </c>
      <c r="I42" s="2720">
        <v>1.39</v>
      </c>
      <c r="J42" s="2720">
        <v>1.39</v>
      </c>
      <c r="K42" s="2720">
        <v>1.5</v>
      </c>
      <c r="L42" s="2720">
        <v>1.5</v>
      </c>
      <c r="M42" s="2720">
        <v>1.6</v>
      </c>
      <c r="N42" s="2720">
        <v>1.6</v>
      </c>
      <c r="O42" s="2720">
        <v>1.6</v>
      </c>
      <c r="P42" s="2720">
        <v>1.8</v>
      </c>
      <c r="Q42" s="2676"/>
      <c r="T42" s="1382"/>
      <c r="U42" s="1382"/>
      <c r="V42" s="1382"/>
      <c r="W42" s="1382"/>
      <c r="X42" s="1382"/>
      <c r="Y42" s="1382"/>
      <c r="Z42" s="1382"/>
    </row>
    <row r="43" spans="3:27" x14ac:dyDescent="0.15">
      <c r="C43" s="2810" t="s">
        <v>410</v>
      </c>
      <c r="D43" s="2810"/>
      <c r="E43" s="2811" t="s">
        <v>29</v>
      </c>
      <c r="F43" s="2811"/>
      <c r="G43" s="2811"/>
      <c r="H43" s="2811"/>
      <c r="I43" s="2811"/>
      <c r="J43" s="2811"/>
      <c r="K43" s="2811"/>
      <c r="L43" s="2811"/>
      <c r="M43" s="2811"/>
      <c r="N43" s="2811"/>
      <c r="O43" s="2811"/>
      <c r="P43" s="2811"/>
      <c r="Q43" s="2675"/>
      <c r="T43" s="1377" t="s">
        <v>5</v>
      </c>
      <c r="U43" s="1377" t="s">
        <v>17</v>
      </c>
      <c r="V43" s="1377" t="s">
        <v>57</v>
      </c>
      <c r="W43" s="1377" t="s">
        <v>67</v>
      </c>
      <c r="X43" s="1377" t="s">
        <v>632</v>
      </c>
      <c r="Y43" s="1377" t="s">
        <v>633</v>
      </c>
      <c r="Z43" s="1377" t="s">
        <v>634</v>
      </c>
    </row>
    <row r="44" spans="3:27" ht="28" x14ac:dyDescent="0.2">
      <c r="C44" s="2806" t="s">
        <v>364</v>
      </c>
      <c r="D44" s="2695" t="s">
        <v>411</v>
      </c>
      <c r="E44" s="2695" t="s">
        <v>412</v>
      </c>
      <c r="F44" s="2699" t="s">
        <v>366</v>
      </c>
      <c r="G44" s="2721">
        <v>1080</v>
      </c>
      <c r="H44" s="2721">
        <v>1063</v>
      </c>
      <c r="I44" s="2720">
        <v>1065</v>
      </c>
      <c r="J44" s="2720">
        <v>1037</v>
      </c>
      <c r="K44" s="2720">
        <v>1037</v>
      </c>
      <c r="L44" s="2720">
        <v>1037</v>
      </c>
      <c r="M44" s="2720">
        <v>1037</v>
      </c>
      <c r="N44" s="2720">
        <v>1037</v>
      </c>
      <c r="O44" s="2720">
        <v>1037</v>
      </c>
      <c r="P44" s="2720">
        <v>1037</v>
      </c>
      <c r="Q44" s="2676"/>
      <c r="T44" s="1379">
        <v>41</v>
      </c>
      <c r="U44" s="1379">
        <v>49</v>
      </c>
      <c r="V44" s="1379">
        <v>57</v>
      </c>
      <c r="W44" s="1379">
        <v>61</v>
      </c>
      <c r="X44" s="1379">
        <v>69</v>
      </c>
      <c r="Y44" s="1379">
        <v>77</v>
      </c>
      <c r="Z44" s="1379">
        <v>85</v>
      </c>
    </row>
    <row r="45" spans="3:27" ht="28" x14ac:dyDescent="0.2">
      <c r="C45" s="2806"/>
      <c r="D45" s="2695" t="s">
        <v>413</v>
      </c>
      <c r="E45" s="2695" t="s">
        <v>657</v>
      </c>
      <c r="F45" s="2699" t="s">
        <v>3</v>
      </c>
      <c r="G45" s="2720">
        <v>1.2</v>
      </c>
      <c r="H45" s="2720">
        <v>1.39</v>
      </c>
      <c r="I45" s="2720">
        <v>1.36</v>
      </c>
      <c r="J45" s="2720">
        <v>1.36</v>
      </c>
      <c r="K45" s="2720">
        <v>1.2</v>
      </c>
      <c r="L45" s="2720">
        <v>1.2</v>
      </c>
      <c r="M45" s="2720">
        <v>1.3</v>
      </c>
      <c r="N45" s="2720">
        <v>1.3</v>
      </c>
      <c r="O45" s="2720">
        <v>1.3</v>
      </c>
      <c r="P45" s="2720">
        <v>2</v>
      </c>
      <c r="Q45" s="2676"/>
      <c r="T45" s="2825" t="s">
        <v>646</v>
      </c>
      <c r="U45" s="2826"/>
      <c r="V45" s="2826"/>
      <c r="W45" s="2826"/>
      <c r="X45" s="2826"/>
      <c r="Y45" s="2826"/>
      <c r="Z45" s="2827"/>
      <c r="AA45" s="1372" t="s">
        <v>650</v>
      </c>
    </row>
    <row r="46" spans="3:27" ht="28" x14ac:dyDescent="0.2">
      <c r="C46" s="2806"/>
      <c r="D46" s="2695" t="s">
        <v>415</v>
      </c>
      <c r="E46" s="2695" t="s">
        <v>617</v>
      </c>
      <c r="F46" s="2699" t="s">
        <v>366</v>
      </c>
      <c r="G46" s="2721">
        <v>2800</v>
      </c>
      <c r="H46" s="2721">
        <v>2686</v>
      </c>
      <c r="I46" s="2721">
        <v>2800</v>
      </c>
      <c r="J46" s="2721">
        <v>2351</v>
      </c>
      <c r="K46" s="2721">
        <v>2351</v>
      </c>
      <c r="L46" s="2721">
        <v>2351</v>
      </c>
      <c r="M46" s="2721">
        <v>2351</v>
      </c>
      <c r="N46" s="2721">
        <v>2360</v>
      </c>
      <c r="O46" s="2721">
        <v>2360</v>
      </c>
      <c r="P46" s="2721">
        <v>2500</v>
      </c>
      <c r="Q46" s="2677"/>
      <c r="T46" s="1377" t="s">
        <v>5</v>
      </c>
      <c r="U46" s="1377" t="s">
        <v>17</v>
      </c>
      <c r="V46" s="1377" t="s">
        <v>57</v>
      </c>
      <c r="W46" s="1377" t="s">
        <v>67</v>
      </c>
      <c r="X46" s="1377" t="s">
        <v>632</v>
      </c>
      <c r="Y46" s="1377" t="s">
        <v>633</v>
      </c>
      <c r="Z46" s="1377" t="s">
        <v>634</v>
      </c>
    </row>
    <row r="47" spans="3:27" ht="28" x14ac:dyDescent="0.2">
      <c r="C47" s="2806"/>
      <c r="D47" s="2695" t="s">
        <v>417</v>
      </c>
      <c r="E47" s="2695" t="s">
        <v>616</v>
      </c>
      <c r="F47" s="2699" t="s">
        <v>366</v>
      </c>
      <c r="G47" s="2720">
        <v>26</v>
      </c>
      <c r="H47" s="2720">
        <v>21</v>
      </c>
      <c r="I47" s="2720">
        <v>26</v>
      </c>
      <c r="J47" s="2720">
        <v>15</v>
      </c>
      <c r="K47" s="2720">
        <v>10</v>
      </c>
      <c r="L47" s="2720">
        <v>10</v>
      </c>
      <c r="M47" s="2720">
        <v>15</v>
      </c>
      <c r="N47" s="2720">
        <v>15</v>
      </c>
      <c r="O47" s="2720">
        <v>15</v>
      </c>
      <c r="P47" s="2720">
        <v>20</v>
      </c>
      <c r="Q47" s="2676"/>
      <c r="T47" s="1379">
        <v>87</v>
      </c>
      <c r="U47" s="1379">
        <v>91</v>
      </c>
      <c r="V47" s="1379">
        <v>93</v>
      </c>
      <c r="W47" s="1379">
        <v>95</v>
      </c>
      <c r="X47" s="1379">
        <v>97</v>
      </c>
      <c r="Y47" s="1379">
        <v>99</v>
      </c>
      <c r="Z47" s="1379">
        <v>100</v>
      </c>
    </row>
    <row r="48" spans="3:27" ht="42" x14ac:dyDescent="0.2">
      <c r="C48" s="2695" t="s">
        <v>419</v>
      </c>
      <c r="D48" s="2695" t="s">
        <v>420</v>
      </c>
      <c r="E48" s="2695" t="s">
        <v>703</v>
      </c>
      <c r="F48" s="2699" t="s">
        <v>3</v>
      </c>
      <c r="G48" s="2720">
        <v>21</v>
      </c>
      <c r="H48" s="2720">
        <v>23.4</v>
      </c>
      <c r="I48" s="2720">
        <v>45.8</v>
      </c>
      <c r="J48" s="2720">
        <v>29</v>
      </c>
      <c r="K48" s="2720">
        <v>64</v>
      </c>
      <c r="L48" s="2720">
        <v>64</v>
      </c>
      <c r="M48" s="2720">
        <v>73.099999999999994</v>
      </c>
      <c r="N48" s="2720">
        <v>82.2</v>
      </c>
      <c r="O48" s="2720">
        <v>90</v>
      </c>
      <c r="P48" s="2720">
        <v>100</v>
      </c>
      <c r="Q48" s="2676"/>
      <c r="T48" s="2825" t="s">
        <v>647</v>
      </c>
      <c r="U48" s="2826"/>
      <c r="V48" s="2826"/>
      <c r="W48" s="2826"/>
      <c r="X48" s="2826"/>
      <c r="Y48" s="2826"/>
      <c r="Z48" s="2827"/>
    </row>
    <row r="49" spans="3:27" x14ac:dyDescent="0.15">
      <c r="C49" s="2807" t="s">
        <v>630</v>
      </c>
      <c r="D49" s="2807"/>
      <c r="E49" s="2808" t="s">
        <v>30</v>
      </c>
      <c r="F49" s="2808"/>
      <c r="G49" s="2808"/>
      <c r="H49" s="2808"/>
      <c r="I49" s="2808"/>
      <c r="J49" s="2808"/>
      <c r="K49" s="2808"/>
      <c r="L49" s="2808"/>
      <c r="M49" s="2808"/>
      <c r="N49" s="2808"/>
      <c r="O49" s="2808"/>
      <c r="P49" s="2808"/>
      <c r="Q49" s="2673"/>
      <c r="T49" s="1377" t="s">
        <v>5</v>
      </c>
      <c r="U49" s="1377" t="s">
        <v>17</v>
      </c>
      <c r="V49" s="1377" t="s">
        <v>57</v>
      </c>
      <c r="W49" s="1377" t="s">
        <v>67</v>
      </c>
      <c r="X49" s="1377" t="s">
        <v>632</v>
      </c>
      <c r="Y49" s="1377" t="s">
        <v>633</v>
      </c>
      <c r="Z49" s="1377" t="s">
        <v>634</v>
      </c>
    </row>
    <row r="50" spans="3:27" ht="56" x14ac:dyDescent="0.2">
      <c r="C50" s="2809" t="s">
        <v>422</v>
      </c>
      <c r="D50" s="2809"/>
      <c r="E50" s="2695" t="s">
        <v>423</v>
      </c>
      <c r="F50" s="2699" t="s">
        <v>339</v>
      </c>
      <c r="G50" s="2721">
        <v>1850</v>
      </c>
      <c r="H50" s="2721">
        <v>2017</v>
      </c>
      <c r="I50" s="359">
        <v>1897</v>
      </c>
      <c r="J50" s="359">
        <v>2005</v>
      </c>
      <c r="K50" s="2722">
        <v>2010</v>
      </c>
      <c r="L50" s="2722">
        <v>2010</v>
      </c>
      <c r="M50" s="2722">
        <v>2030</v>
      </c>
      <c r="N50" s="2722">
        <v>2030</v>
      </c>
      <c r="O50" s="359">
        <v>2040</v>
      </c>
      <c r="P50" s="2722">
        <v>2100</v>
      </c>
      <c r="Q50" s="2679"/>
      <c r="T50" s="1379" t="s">
        <v>635</v>
      </c>
      <c r="U50" s="1379">
        <v>13</v>
      </c>
      <c r="V50" s="1379">
        <v>25</v>
      </c>
      <c r="W50" s="1379">
        <v>50</v>
      </c>
      <c r="X50" s="1379">
        <v>63</v>
      </c>
      <c r="Y50" s="1379">
        <v>88</v>
      </c>
      <c r="Z50" s="1379">
        <v>100</v>
      </c>
    </row>
    <row r="51" spans="3:27" x14ac:dyDescent="0.15">
      <c r="C51" s="2810" t="s">
        <v>424</v>
      </c>
      <c r="D51" s="2810"/>
      <c r="E51" s="2811" t="s">
        <v>31</v>
      </c>
      <c r="F51" s="2811"/>
      <c r="G51" s="2811"/>
      <c r="H51" s="2811"/>
      <c r="I51" s="2811"/>
      <c r="J51" s="2811"/>
      <c r="K51" s="2811"/>
      <c r="L51" s="2811"/>
      <c r="M51" s="2811"/>
      <c r="N51" s="2811"/>
      <c r="O51" s="2811"/>
      <c r="P51" s="2811"/>
      <c r="Q51" s="2675"/>
      <c r="T51" s="2825" t="s">
        <v>648</v>
      </c>
      <c r="U51" s="2826"/>
      <c r="V51" s="2826"/>
      <c r="W51" s="2826"/>
      <c r="X51" s="2826"/>
      <c r="Y51" s="2826"/>
      <c r="Z51" s="2827"/>
      <c r="AA51" s="1372" t="s">
        <v>650</v>
      </c>
    </row>
    <row r="52" spans="3:27" ht="28" x14ac:dyDescent="0.15">
      <c r="C52" s="2806" t="s">
        <v>425</v>
      </c>
      <c r="D52" s="2806"/>
      <c r="E52" s="2695" t="s">
        <v>426</v>
      </c>
      <c r="F52" s="2699" t="s">
        <v>366</v>
      </c>
      <c r="G52" s="2720">
        <v>4</v>
      </c>
      <c r="H52" s="2720">
        <v>4</v>
      </c>
      <c r="I52" s="2720">
        <v>4</v>
      </c>
      <c r="J52" s="2720">
        <v>4</v>
      </c>
      <c r="K52" s="2720">
        <v>4</v>
      </c>
      <c r="L52" s="2720">
        <v>4</v>
      </c>
      <c r="M52" s="2720">
        <v>4</v>
      </c>
      <c r="N52" s="2720">
        <v>4</v>
      </c>
      <c r="O52" s="2720">
        <v>4</v>
      </c>
      <c r="P52" s="2720">
        <v>4</v>
      </c>
      <c r="Q52" s="2680"/>
      <c r="T52" s="1377" t="s">
        <v>17</v>
      </c>
      <c r="U52" s="1377" t="s">
        <v>57</v>
      </c>
      <c r="V52" s="1377" t="s">
        <v>67</v>
      </c>
      <c r="W52" s="1377" t="s">
        <v>632</v>
      </c>
      <c r="X52" s="1377" t="s">
        <v>633</v>
      </c>
      <c r="Y52" s="1377" t="s">
        <v>634</v>
      </c>
      <c r="Z52" s="1284"/>
    </row>
    <row r="53" spans="3:27" ht="28" x14ac:dyDescent="0.15">
      <c r="C53" s="2806" t="s">
        <v>427</v>
      </c>
      <c r="D53" s="2806"/>
      <c r="E53" s="2695" t="s">
        <v>428</v>
      </c>
      <c r="F53" s="2699" t="s">
        <v>366</v>
      </c>
      <c r="G53" s="2720">
        <v>4</v>
      </c>
      <c r="H53" s="2720">
        <v>4</v>
      </c>
      <c r="I53" s="2720">
        <v>4</v>
      </c>
      <c r="J53" s="2720">
        <v>4</v>
      </c>
      <c r="K53" s="2720">
        <v>4</v>
      </c>
      <c r="L53" s="2720">
        <v>4</v>
      </c>
      <c r="M53" s="2720">
        <v>4</v>
      </c>
      <c r="N53" s="2720">
        <v>4</v>
      </c>
      <c r="O53" s="2720">
        <v>4</v>
      </c>
      <c r="P53" s="2720">
        <v>4</v>
      </c>
      <c r="Q53" s="2680"/>
      <c r="T53" s="1379">
        <v>2</v>
      </c>
      <c r="U53" s="1379">
        <v>3</v>
      </c>
      <c r="V53" s="1379">
        <v>5</v>
      </c>
      <c r="W53" s="1379">
        <v>6</v>
      </c>
      <c r="X53" s="1379">
        <v>7</v>
      </c>
      <c r="Y53" s="1379">
        <v>8</v>
      </c>
      <c r="Z53" s="1309"/>
    </row>
    <row r="54" spans="3:27" x14ac:dyDescent="0.15">
      <c r="C54" s="2810" t="s">
        <v>429</v>
      </c>
      <c r="D54" s="2810"/>
      <c r="E54" s="2811" t="s">
        <v>32</v>
      </c>
      <c r="F54" s="2811"/>
      <c r="G54" s="2811"/>
      <c r="H54" s="2811"/>
      <c r="I54" s="2811"/>
      <c r="J54" s="2811"/>
      <c r="K54" s="2811"/>
      <c r="L54" s="2811"/>
      <c r="M54" s="2811"/>
      <c r="N54" s="2811"/>
      <c r="O54" s="2811"/>
      <c r="P54" s="2811"/>
      <c r="Q54" s="2675"/>
      <c r="T54" s="1379">
        <v>2</v>
      </c>
      <c r="U54" s="1379">
        <v>3</v>
      </c>
      <c r="V54" s="1379">
        <v>5</v>
      </c>
      <c r="W54" s="1379">
        <v>6</v>
      </c>
      <c r="X54" s="1379">
        <v>7</v>
      </c>
      <c r="Y54" s="1379">
        <v>8</v>
      </c>
      <c r="Z54" s="1389">
        <v>900</v>
      </c>
    </row>
    <row r="55" spans="3:27" ht="56" x14ac:dyDescent="0.2">
      <c r="C55" s="2806" t="s">
        <v>430</v>
      </c>
      <c r="D55" s="2806"/>
      <c r="E55" s="2695" t="s">
        <v>431</v>
      </c>
      <c r="F55" s="2699" t="s">
        <v>366</v>
      </c>
      <c r="G55" s="2720">
        <v>12</v>
      </c>
      <c r="H55" s="2720">
        <v>12</v>
      </c>
      <c r="I55" s="2720">
        <v>12</v>
      </c>
      <c r="J55" s="2720">
        <v>12</v>
      </c>
      <c r="K55" s="2720">
        <v>12</v>
      </c>
      <c r="L55" s="2720">
        <v>12</v>
      </c>
      <c r="M55" s="2720">
        <v>12</v>
      </c>
      <c r="N55" s="2720">
        <v>12</v>
      </c>
      <c r="O55" s="2720">
        <v>12</v>
      </c>
      <c r="P55" s="2720">
        <v>14</v>
      </c>
      <c r="Q55" s="2676"/>
      <c r="T55" s="2828"/>
      <c r="U55" s="2828"/>
      <c r="V55" s="2828"/>
      <c r="W55" s="2828"/>
      <c r="X55" s="2828"/>
      <c r="Y55" s="2828"/>
      <c r="Z55" s="2828"/>
    </row>
    <row r="56" spans="3:27" ht="56" x14ac:dyDescent="0.2">
      <c r="C56" s="2806" t="s">
        <v>432</v>
      </c>
      <c r="D56" s="2806"/>
      <c r="E56" s="2695" t="s">
        <v>433</v>
      </c>
      <c r="F56" s="2699" t="s">
        <v>366</v>
      </c>
      <c r="G56" s="2720">
        <v>19</v>
      </c>
      <c r="H56" s="2720">
        <v>19</v>
      </c>
      <c r="I56" s="2720">
        <v>19</v>
      </c>
      <c r="J56" s="2720">
        <v>19</v>
      </c>
      <c r="K56" s="2720">
        <v>19</v>
      </c>
      <c r="L56" s="2720">
        <v>19</v>
      </c>
      <c r="M56" s="2720">
        <v>19</v>
      </c>
      <c r="N56" s="2720">
        <v>19</v>
      </c>
      <c r="O56" s="2720">
        <v>19</v>
      </c>
      <c r="P56" s="2720">
        <v>19</v>
      </c>
      <c r="Q56" s="2676"/>
      <c r="T56" s="1391"/>
      <c r="U56" s="1391"/>
      <c r="V56" s="1391"/>
      <c r="W56" s="1392">
        <v>1032204628.4</v>
      </c>
      <c r="X56" s="1392">
        <f>W56*X57/W57</f>
        <v>90.007677183567949</v>
      </c>
      <c r="Y56" s="1391"/>
      <c r="Z56" s="1391"/>
    </row>
    <row r="57" spans="3:27" ht="28" x14ac:dyDescent="0.2">
      <c r="C57" s="2806" t="s">
        <v>621</v>
      </c>
      <c r="D57" s="2806"/>
      <c r="E57" s="2695" t="s">
        <v>701</v>
      </c>
      <c r="F57" s="2699" t="s">
        <v>3</v>
      </c>
      <c r="G57" s="2720">
        <v>3</v>
      </c>
      <c r="H57" s="2720">
        <v>3</v>
      </c>
      <c r="I57" s="2720">
        <v>5</v>
      </c>
      <c r="J57" s="2720">
        <v>5</v>
      </c>
      <c r="K57" s="2720">
        <v>6</v>
      </c>
      <c r="L57" s="2720">
        <v>6</v>
      </c>
      <c r="M57" s="2720">
        <v>7</v>
      </c>
      <c r="N57" s="2720">
        <v>8</v>
      </c>
      <c r="O57" s="2720">
        <v>10</v>
      </c>
      <c r="P57" s="2720">
        <v>15</v>
      </c>
      <c r="Q57" s="2676"/>
      <c r="T57" s="1393"/>
      <c r="U57" s="1393"/>
      <c r="V57" s="1393"/>
      <c r="W57" s="1393">
        <v>1146796207.5</v>
      </c>
      <c r="X57" s="1393">
        <v>100</v>
      </c>
      <c r="Y57" s="1393"/>
      <c r="Z57" s="1393"/>
    </row>
    <row r="58" spans="3:27" x14ac:dyDescent="0.15">
      <c r="C58" s="2810" t="s">
        <v>434</v>
      </c>
      <c r="D58" s="2810"/>
      <c r="E58" s="2811" t="s">
        <v>34</v>
      </c>
      <c r="F58" s="2811"/>
      <c r="G58" s="2811"/>
      <c r="H58" s="2811"/>
      <c r="I58" s="2811"/>
      <c r="J58" s="2811"/>
      <c r="K58" s="2811"/>
      <c r="L58" s="2811"/>
      <c r="M58" s="2811"/>
      <c r="N58" s="2811"/>
      <c r="O58" s="2811"/>
      <c r="P58" s="2811"/>
      <c r="Q58" s="2675"/>
      <c r="T58" s="2833"/>
      <c r="U58" s="2833"/>
      <c r="V58" s="2833"/>
      <c r="W58" s="2833"/>
      <c r="X58" s="2833"/>
      <c r="Y58" s="2833"/>
      <c r="Z58" s="2833"/>
    </row>
    <row r="59" spans="3:27" ht="28" x14ac:dyDescent="0.2">
      <c r="C59" s="2806" t="s">
        <v>435</v>
      </c>
      <c r="D59" s="2806"/>
      <c r="E59" s="2695" t="s">
        <v>436</v>
      </c>
      <c r="F59" s="2699" t="s">
        <v>366</v>
      </c>
      <c r="G59" s="2720">
        <v>37</v>
      </c>
      <c r="H59" s="2720">
        <v>37</v>
      </c>
      <c r="I59" s="2720">
        <v>37</v>
      </c>
      <c r="J59" s="2720">
        <v>37</v>
      </c>
      <c r="K59" s="2720">
        <v>12</v>
      </c>
      <c r="L59" s="2720">
        <v>12</v>
      </c>
      <c r="M59" s="2720">
        <v>12</v>
      </c>
      <c r="N59" s="2720">
        <v>12</v>
      </c>
      <c r="O59" s="2720">
        <v>14</v>
      </c>
      <c r="P59" s="2720">
        <v>17</v>
      </c>
      <c r="Q59" s="2676"/>
      <c r="T59" s="2828"/>
      <c r="U59" s="2828"/>
      <c r="V59" s="2828"/>
      <c r="W59" s="2828"/>
      <c r="X59" s="2828"/>
      <c r="Y59" s="2828"/>
      <c r="Z59" s="2828"/>
    </row>
    <row r="60" spans="3:27" ht="42" x14ac:dyDescent="0.2">
      <c r="C60" s="2806" t="s">
        <v>437</v>
      </c>
      <c r="D60" s="2806"/>
      <c r="E60" s="2695" t="s">
        <v>438</v>
      </c>
      <c r="F60" s="2699" t="s">
        <v>366</v>
      </c>
      <c r="G60" s="2720">
        <v>15</v>
      </c>
      <c r="H60" s="2720">
        <v>15</v>
      </c>
      <c r="I60" s="2720">
        <v>15</v>
      </c>
      <c r="J60" s="2720">
        <v>15</v>
      </c>
      <c r="K60" s="2720">
        <v>7</v>
      </c>
      <c r="L60" s="2720">
        <v>7</v>
      </c>
      <c r="M60" s="2720">
        <v>8</v>
      </c>
      <c r="N60" s="2720">
        <v>8</v>
      </c>
      <c r="O60" s="2720">
        <v>8</v>
      </c>
      <c r="P60" s="2720">
        <v>10</v>
      </c>
      <c r="Q60" s="2676"/>
      <c r="T60" s="1391"/>
      <c r="U60" s="1391"/>
      <c r="V60" s="1391"/>
      <c r="W60" s="1391"/>
      <c r="X60" s="1391"/>
      <c r="Y60" s="1391"/>
      <c r="Z60" s="1391"/>
    </row>
    <row r="61" spans="3:27" ht="45" customHeight="1" x14ac:dyDescent="0.2">
      <c r="C61" s="2806" t="s">
        <v>439</v>
      </c>
      <c r="D61" s="2806"/>
      <c r="E61" s="2695" t="s">
        <v>440</v>
      </c>
      <c r="F61" s="2699" t="s">
        <v>366</v>
      </c>
      <c r="G61" s="2720">
        <v>80</v>
      </c>
      <c r="H61" s="2720">
        <v>107</v>
      </c>
      <c r="I61" s="2720">
        <v>80</v>
      </c>
      <c r="J61" s="2720">
        <v>93</v>
      </c>
      <c r="K61" s="2720">
        <v>80</v>
      </c>
      <c r="L61" s="2720">
        <v>80</v>
      </c>
      <c r="M61" s="2720">
        <v>85</v>
      </c>
      <c r="N61" s="2720">
        <v>85</v>
      </c>
      <c r="O61" s="2720">
        <v>85</v>
      </c>
      <c r="P61" s="2720">
        <v>95</v>
      </c>
      <c r="Q61" s="2676"/>
      <c r="T61" s="1393"/>
      <c r="U61" s="1393"/>
      <c r="V61" s="1393"/>
      <c r="W61" s="1393"/>
      <c r="X61" s="1393"/>
      <c r="Y61" s="1393"/>
      <c r="Z61" s="1393"/>
    </row>
    <row r="62" spans="3:27" x14ac:dyDescent="0.15">
      <c r="D62" s="2836" t="s">
        <v>618</v>
      </c>
      <c r="E62" s="2836"/>
      <c r="F62" s="2836"/>
      <c r="G62" s="2836"/>
      <c r="H62" s="2836"/>
      <c r="I62" s="2836"/>
      <c r="J62" s="2836"/>
      <c r="K62" s="2836"/>
      <c r="L62" s="2836"/>
      <c r="M62" s="2836"/>
      <c r="T62" s="2833"/>
      <c r="U62" s="2833"/>
      <c r="V62" s="2833"/>
      <c r="W62" s="2833"/>
      <c r="X62" s="2833"/>
      <c r="Y62" s="2833"/>
      <c r="Z62" s="2833"/>
    </row>
    <row r="63" spans="3:27" x14ac:dyDescent="0.15">
      <c r="T63" s="2828"/>
      <c r="U63" s="2828"/>
      <c r="V63" s="2828"/>
      <c r="W63" s="2828"/>
      <c r="X63" s="2828"/>
      <c r="Y63" s="2828"/>
      <c r="Z63" s="2828"/>
    </row>
    <row r="64" spans="3:27" x14ac:dyDescent="0.15">
      <c r="C64" s="2838" t="s">
        <v>1639</v>
      </c>
      <c r="D64" s="2838"/>
      <c r="E64" s="2838"/>
      <c r="F64" s="2838"/>
      <c r="G64" s="2838"/>
      <c r="H64" s="2838"/>
      <c r="I64" s="2838"/>
      <c r="T64" s="1390"/>
      <c r="U64" s="1390"/>
      <c r="V64" s="1390"/>
      <c r="W64" s="1390"/>
      <c r="X64" s="1390"/>
      <c r="Y64" s="1390"/>
      <c r="Z64" s="1390"/>
    </row>
    <row r="65" spans="3:26" ht="37.5" customHeight="1" x14ac:dyDescent="0.15">
      <c r="C65" s="2839" t="s">
        <v>1634</v>
      </c>
      <c r="D65" s="2839"/>
      <c r="E65" s="2839"/>
      <c r="F65" s="2839"/>
      <c r="G65" s="2839"/>
      <c r="H65" s="2839"/>
      <c r="I65" s="2839"/>
      <c r="J65" s="2839"/>
      <c r="K65" s="2839"/>
      <c r="L65" s="2839"/>
      <c r="M65" s="2723"/>
      <c r="N65" s="2723"/>
      <c r="T65" s="1391"/>
      <c r="U65" s="1391"/>
      <c r="V65" s="1391"/>
      <c r="W65" s="1391"/>
      <c r="X65" s="1391"/>
      <c r="Y65" s="1391"/>
      <c r="Z65" s="1394"/>
    </row>
    <row r="66" spans="3:26" ht="30" customHeight="1" x14ac:dyDescent="0.15">
      <c r="C66" s="2837" t="s">
        <v>1635</v>
      </c>
      <c r="D66" s="2837"/>
      <c r="E66" s="2837"/>
      <c r="F66" s="2837"/>
      <c r="G66" s="2837"/>
      <c r="H66" s="2837"/>
      <c r="I66" s="2837"/>
      <c r="J66" s="2837"/>
      <c r="K66" s="2837"/>
      <c r="L66" s="2837"/>
      <c r="M66" s="2724"/>
      <c r="N66" s="2724"/>
      <c r="T66" s="1393"/>
      <c r="U66" s="1393"/>
      <c r="V66" s="1393"/>
      <c r="W66" s="1393"/>
      <c r="X66" s="1393"/>
      <c r="Y66" s="1393"/>
      <c r="Z66" s="1395"/>
    </row>
    <row r="67" spans="3:26" ht="36" customHeight="1" x14ac:dyDescent="0.15">
      <c r="C67" s="2837" t="s">
        <v>1894</v>
      </c>
      <c r="D67" s="2837"/>
      <c r="E67" s="2837"/>
      <c r="F67" s="2837"/>
      <c r="G67" s="2837"/>
      <c r="H67" s="2837"/>
      <c r="I67" s="2837"/>
      <c r="J67" s="2837"/>
      <c r="K67" s="2837"/>
      <c r="L67" s="2837"/>
      <c r="M67" s="2837"/>
      <c r="N67" s="2837"/>
    </row>
    <row r="96" spans="5:22" x14ac:dyDescent="0.15">
      <c r="E96" s="1375"/>
      <c r="F96" s="2814">
        <v>2010</v>
      </c>
      <c r="G96" s="2815"/>
      <c r="H96" s="2816"/>
      <c r="I96" s="2814">
        <v>2011</v>
      </c>
      <c r="J96" s="2815"/>
      <c r="K96" s="2816"/>
      <c r="L96" s="2814">
        <v>2012</v>
      </c>
      <c r="M96" s="2815"/>
      <c r="N96" s="2816"/>
      <c r="O96" s="2814">
        <v>2013</v>
      </c>
      <c r="P96" s="2815"/>
      <c r="Q96" s="2815"/>
      <c r="R96" s="2816"/>
      <c r="S96" s="2297"/>
      <c r="T96" s="2814">
        <v>2014</v>
      </c>
      <c r="U96" s="2815"/>
      <c r="V96" s="2816"/>
    </row>
    <row r="97" spans="5:23" ht="28" x14ac:dyDescent="0.15">
      <c r="E97" s="1375"/>
      <c r="F97" s="1374" t="s">
        <v>598</v>
      </c>
      <c r="G97" s="2696" t="s">
        <v>599</v>
      </c>
      <c r="H97" s="2696" t="s">
        <v>602</v>
      </c>
      <c r="I97" s="2696" t="s">
        <v>598</v>
      </c>
      <c r="J97" s="2696" t="s">
        <v>599</v>
      </c>
      <c r="K97" s="2696" t="s">
        <v>602</v>
      </c>
      <c r="L97" s="2696" t="s">
        <v>598</v>
      </c>
      <c r="M97" s="2696" t="s">
        <v>599</v>
      </c>
      <c r="N97" s="2696" t="s">
        <v>602</v>
      </c>
      <c r="O97" s="2696" t="s">
        <v>598</v>
      </c>
      <c r="P97" s="2696" t="s">
        <v>599</v>
      </c>
      <c r="Q97" s="2645"/>
      <c r="R97" s="1380" t="s">
        <v>602</v>
      </c>
      <c r="S97" s="2315"/>
      <c r="T97" s="1396" t="s">
        <v>598</v>
      </c>
      <c r="U97" s="1396" t="s">
        <v>599</v>
      </c>
      <c r="V97" s="1380" t="s">
        <v>602</v>
      </c>
    </row>
    <row r="98" spans="5:23" x14ac:dyDescent="0.15">
      <c r="E98" s="1375" t="s">
        <v>596</v>
      </c>
      <c r="F98" s="1397">
        <v>7865</v>
      </c>
      <c r="G98" s="1397">
        <v>275</v>
      </c>
      <c r="H98" s="1398">
        <f>G98*100/F98</f>
        <v>3.4965034965034967</v>
      </c>
      <c r="I98" s="1397">
        <v>7576</v>
      </c>
      <c r="J98" s="1397">
        <v>489</v>
      </c>
      <c r="K98" s="1398">
        <f>J98*100/I98</f>
        <v>6.4545934530095037</v>
      </c>
      <c r="L98" s="1397">
        <v>7087</v>
      </c>
      <c r="M98" s="1397">
        <v>490</v>
      </c>
      <c r="N98" s="1398">
        <f>M98*100/L98</f>
        <v>6.914068011852688</v>
      </c>
      <c r="O98" s="1397">
        <v>6679</v>
      </c>
      <c r="P98" s="1397">
        <v>495</v>
      </c>
      <c r="Q98" s="1397"/>
      <c r="R98" s="1399">
        <f>P98*100/O98</f>
        <v>7.4112891151369968</v>
      </c>
      <c r="S98" s="1399"/>
      <c r="T98" s="1400">
        <v>6184</v>
      </c>
      <c r="U98" s="1400">
        <v>495</v>
      </c>
      <c r="V98" s="1399">
        <f>U98*100/T98</f>
        <v>8.0045278137128069</v>
      </c>
    </row>
    <row r="99" spans="5:23" x14ac:dyDescent="0.15">
      <c r="E99" s="1375" t="s">
        <v>529</v>
      </c>
      <c r="F99" s="1397">
        <v>2168</v>
      </c>
      <c r="G99" s="1397">
        <v>59</v>
      </c>
      <c r="H99" s="1398">
        <f>G99*100/F99</f>
        <v>2.7214022140221403</v>
      </c>
      <c r="I99" s="1397">
        <v>2093</v>
      </c>
      <c r="J99" s="1397">
        <v>210</v>
      </c>
      <c r="K99" s="1398">
        <f>J99*100/I99</f>
        <v>10.033444816053512</v>
      </c>
      <c r="L99" s="1397">
        <v>2000</v>
      </c>
      <c r="M99" s="1397">
        <v>100</v>
      </c>
      <c r="N99" s="1398">
        <f>M99*100/L99</f>
        <v>5</v>
      </c>
      <c r="O99" s="1397">
        <v>2000</v>
      </c>
      <c r="P99" s="1397">
        <v>100</v>
      </c>
      <c r="Q99" s="1397"/>
      <c r="R99" s="1399">
        <f>P99*100/O99</f>
        <v>5</v>
      </c>
      <c r="S99" s="1399"/>
      <c r="T99" s="1400">
        <v>2000</v>
      </c>
      <c r="U99" s="1400">
        <v>100</v>
      </c>
      <c r="V99" s="1399">
        <f>U99*100/T99</f>
        <v>5</v>
      </c>
    </row>
    <row r="100" spans="5:23" x14ac:dyDescent="0.15">
      <c r="E100" s="1375" t="s">
        <v>530</v>
      </c>
      <c r="F100" s="1397">
        <v>580</v>
      </c>
      <c r="G100" s="1397">
        <v>0</v>
      </c>
      <c r="H100" s="1398">
        <f>G100*100/F100</f>
        <v>0</v>
      </c>
      <c r="I100" s="1397">
        <v>580</v>
      </c>
      <c r="J100" s="1397"/>
      <c r="K100" s="1398">
        <f>J100*100/I100</f>
        <v>0</v>
      </c>
      <c r="L100" s="1397">
        <v>580</v>
      </c>
      <c r="M100" s="1397"/>
      <c r="N100" s="1398">
        <f>M100*100/L100</f>
        <v>0</v>
      </c>
      <c r="O100" s="1397">
        <v>600</v>
      </c>
      <c r="P100" s="1397">
        <v>10</v>
      </c>
      <c r="Q100" s="1397"/>
      <c r="R100" s="1399">
        <f>P100*100/O100</f>
        <v>1.6666666666666667</v>
      </c>
      <c r="S100" s="1399"/>
      <c r="T100" s="1400">
        <v>600</v>
      </c>
      <c r="U100" s="1400">
        <v>10</v>
      </c>
      <c r="V100" s="1399">
        <f>U100*100/T100</f>
        <v>1.6666666666666667</v>
      </c>
    </row>
    <row r="101" spans="5:23" x14ac:dyDescent="0.15">
      <c r="E101" s="1375" t="s">
        <v>597</v>
      </c>
      <c r="F101" s="1397">
        <v>0</v>
      </c>
      <c r="G101" s="1397">
        <v>0</v>
      </c>
      <c r="H101" s="1398">
        <v>0</v>
      </c>
      <c r="I101" s="1397">
        <v>0</v>
      </c>
      <c r="J101" s="1397">
        <v>0</v>
      </c>
      <c r="K101" s="1398">
        <v>0</v>
      </c>
      <c r="L101" s="1397">
        <v>0</v>
      </c>
      <c r="M101" s="1397">
        <v>0</v>
      </c>
      <c r="N101" s="1398">
        <v>0</v>
      </c>
      <c r="O101" s="1397">
        <v>0</v>
      </c>
      <c r="P101" s="1397">
        <v>0</v>
      </c>
      <c r="Q101" s="1397"/>
      <c r="R101" s="1399">
        <v>0</v>
      </c>
      <c r="S101" s="1399"/>
      <c r="T101" s="1400">
        <v>0</v>
      </c>
      <c r="U101" s="1400">
        <v>0</v>
      </c>
      <c r="V101" s="1399">
        <v>0</v>
      </c>
    </row>
    <row r="102" spans="5:23" x14ac:dyDescent="0.15">
      <c r="E102" s="1401" t="s">
        <v>575</v>
      </c>
      <c r="F102" s="1397">
        <f>SUM(F98:F101)</f>
        <v>10613</v>
      </c>
      <c r="G102" s="1397">
        <f t="shared" ref="G102:V102" si="2">SUM(G98:G101)</f>
        <v>334</v>
      </c>
      <c r="H102" s="1398">
        <f t="shared" si="2"/>
        <v>6.2179057105256366</v>
      </c>
      <c r="I102" s="1397">
        <f t="shared" si="2"/>
        <v>10249</v>
      </c>
      <c r="J102" s="1397">
        <f t="shared" si="2"/>
        <v>699</v>
      </c>
      <c r="K102" s="1398">
        <f t="shared" si="2"/>
        <v>16.488038269063015</v>
      </c>
      <c r="L102" s="1397">
        <f t="shared" si="2"/>
        <v>9667</v>
      </c>
      <c r="M102" s="1397">
        <f t="shared" si="2"/>
        <v>590</v>
      </c>
      <c r="N102" s="1398">
        <f>SUM(N98:N101)</f>
        <v>11.914068011852688</v>
      </c>
      <c r="O102" s="1397">
        <f t="shared" si="2"/>
        <v>9279</v>
      </c>
      <c r="P102" s="1397">
        <f t="shared" si="2"/>
        <v>605</v>
      </c>
      <c r="Q102" s="1397"/>
      <c r="R102" s="1398">
        <f t="shared" si="2"/>
        <v>14.077955781803663</v>
      </c>
      <c r="S102" s="1398"/>
      <c r="T102" s="1397">
        <f t="shared" si="2"/>
        <v>8784</v>
      </c>
      <c r="U102" s="1397">
        <f t="shared" si="2"/>
        <v>605</v>
      </c>
      <c r="V102" s="1398">
        <f t="shared" si="2"/>
        <v>14.671194480379473</v>
      </c>
    </row>
    <row r="103" spans="5:23" x14ac:dyDescent="0.15">
      <c r="E103" s="1402"/>
      <c r="F103" s="1403"/>
      <c r="G103" s="1403"/>
      <c r="H103" s="1403"/>
      <c r="I103" s="1403"/>
      <c r="J103" s="1403"/>
      <c r="K103" s="1403"/>
      <c r="L103" s="1403"/>
      <c r="M103" s="1403"/>
      <c r="N103" s="1403"/>
      <c r="O103" s="1403"/>
      <c r="P103" s="1403"/>
      <c r="Q103" s="1403"/>
      <c r="R103" s="1404"/>
      <c r="S103" s="1404"/>
      <c r="T103" s="1404"/>
      <c r="U103" s="1404"/>
      <c r="V103" s="1404"/>
    </row>
    <row r="105" spans="5:23" x14ac:dyDescent="0.15">
      <c r="E105" s="1375"/>
      <c r="F105" s="2814">
        <v>2010</v>
      </c>
      <c r="G105" s="2815"/>
      <c r="H105" s="2816"/>
      <c r="I105" s="2814">
        <v>2011</v>
      </c>
      <c r="J105" s="2815"/>
      <c r="K105" s="2816"/>
      <c r="L105" s="2814">
        <v>2012</v>
      </c>
      <c r="M105" s="2815"/>
      <c r="N105" s="2816"/>
      <c r="O105" s="2817">
        <v>2013</v>
      </c>
      <c r="P105" s="2818"/>
      <c r="Q105" s="2818"/>
      <c r="R105" s="2819"/>
      <c r="S105" s="2298"/>
      <c r="T105" s="2817">
        <v>2014</v>
      </c>
      <c r="U105" s="2818"/>
      <c r="V105" s="2819"/>
    </row>
    <row r="106" spans="5:23" x14ac:dyDescent="0.15">
      <c r="E106" s="1375"/>
      <c r="F106" s="1374" t="s">
        <v>600</v>
      </c>
      <c r="G106" s="2696" t="s">
        <v>601</v>
      </c>
      <c r="H106" s="2696" t="s">
        <v>603</v>
      </c>
      <c r="I106" s="2696" t="s">
        <v>600</v>
      </c>
      <c r="J106" s="2696" t="s">
        <v>601</v>
      </c>
      <c r="K106" s="2696" t="s">
        <v>603</v>
      </c>
      <c r="L106" s="2696" t="s">
        <v>600</v>
      </c>
      <c r="M106" s="2696" t="s">
        <v>601</v>
      </c>
      <c r="N106" s="2696" t="s">
        <v>603</v>
      </c>
      <c r="O106" s="2696" t="s">
        <v>600</v>
      </c>
      <c r="P106" s="2696" t="s">
        <v>601</v>
      </c>
      <c r="Q106" s="2645"/>
      <c r="R106" s="1380" t="s">
        <v>603</v>
      </c>
      <c r="S106" s="1380"/>
      <c r="T106" s="1374" t="s">
        <v>600</v>
      </c>
      <c r="U106" s="1374" t="s">
        <v>601</v>
      </c>
      <c r="V106" s="1380" t="s">
        <v>603</v>
      </c>
    </row>
    <row r="107" spans="5:23" x14ac:dyDescent="0.15">
      <c r="E107" s="1375" t="s">
        <v>596</v>
      </c>
      <c r="F107" s="1397">
        <v>152889</v>
      </c>
      <c r="G107" s="1397">
        <v>2740</v>
      </c>
      <c r="H107" s="1398">
        <f>G107*100/F107</f>
        <v>1.792149860356206</v>
      </c>
      <c r="I107" s="1397">
        <f>F107+G107</f>
        <v>155629</v>
      </c>
      <c r="J107" s="1397">
        <v>1545</v>
      </c>
      <c r="K107" s="1398">
        <f>J107*100/I107</f>
        <v>0.99274556798540114</v>
      </c>
      <c r="L107" s="1397">
        <f>I107+J107</f>
        <v>157174</v>
      </c>
      <c r="M107" s="1397">
        <v>1570</v>
      </c>
      <c r="N107" s="1398">
        <f>M107*100/L107</f>
        <v>0.99889294667056894</v>
      </c>
      <c r="O107" s="1397">
        <f>L107+M107</f>
        <v>158744</v>
      </c>
      <c r="P107" s="1397">
        <v>2000</v>
      </c>
      <c r="Q107" s="1397"/>
      <c r="R107" s="1399">
        <f>P107*100/O107</f>
        <v>1.2598901375800031</v>
      </c>
      <c r="S107" s="1399"/>
      <c r="T107" s="1400">
        <f>O107+P107</f>
        <v>160744</v>
      </c>
      <c r="U107" s="1400">
        <v>2000</v>
      </c>
      <c r="V107" s="1399">
        <f>U107*100/T107</f>
        <v>1.2442144030259294</v>
      </c>
    </row>
    <row r="108" spans="5:23" x14ac:dyDescent="0.15">
      <c r="E108" s="1375" t="s">
        <v>529</v>
      </c>
      <c r="F108" s="1397">
        <v>18008</v>
      </c>
      <c r="G108" s="1397">
        <v>236</v>
      </c>
      <c r="H108" s="1398">
        <f>G108*100/F108</f>
        <v>1.3105286539315859</v>
      </c>
      <c r="I108" s="1397">
        <f>F108+G108</f>
        <v>18244</v>
      </c>
      <c r="J108" s="1397">
        <v>39</v>
      </c>
      <c r="K108" s="1398">
        <f>J108*100/I108</f>
        <v>0.21376891032668274</v>
      </c>
      <c r="L108" s="1397">
        <f>I108+J108</f>
        <v>18283</v>
      </c>
      <c r="M108" s="1397">
        <v>50</v>
      </c>
      <c r="N108" s="1398">
        <f>M108*100/L108</f>
        <v>0.27347809440463816</v>
      </c>
      <c r="O108" s="1397">
        <f>L108+M108</f>
        <v>18333</v>
      </c>
      <c r="P108" s="1397">
        <v>50</v>
      </c>
      <c r="Q108" s="1397"/>
      <c r="R108" s="1399">
        <f>P108*100/O108</f>
        <v>0.2727322314951181</v>
      </c>
      <c r="S108" s="1399"/>
      <c r="T108" s="1400">
        <f>O108+P108</f>
        <v>18383</v>
      </c>
      <c r="U108" s="1400">
        <v>50</v>
      </c>
      <c r="V108" s="1399">
        <f>U108*100/T108</f>
        <v>0.27199042593700701</v>
      </c>
    </row>
    <row r="109" spans="5:23" x14ac:dyDescent="0.15">
      <c r="E109" s="1375" t="s">
        <v>530</v>
      </c>
      <c r="F109" s="1397">
        <v>6215</v>
      </c>
      <c r="G109" s="1397">
        <v>0</v>
      </c>
      <c r="H109" s="1398">
        <f>G109*100/F109</f>
        <v>0</v>
      </c>
      <c r="I109" s="1397">
        <f>F109+G109</f>
        <v>6215</v>
      </c>
      <c r="J109" s="1397">
        <v>10</v>
      </c>
      <c r="K109" s="1398">
        <f>J109*100/I109</f>
        <v>0.16090104585679807</v>
      </c>
      <c r="L109" s="1397">
        <f>I109+J109</f>
        <v>6225</v>
      </c>
      <c r="M109" s="1397">
        <v>0</v>
      </c>
      <c r="N109" s="1398">
        <f>M109*100/L109</f>
        <v>0</v>
      </c>
      <c r="O109" s="1397">
        <f>L109+M109</f>
        <v>6225</v>
      </c>
      <c r="P109" s="1397">
        <v>10</v>
      </c>
      <c r="Q109" s="1397"/>
      <c r="R109" s="1399">
        <f>P109*100/O109</f>
        <v>0.1606425702811245</v>
      </c>
      <c r="S109" s="1399"/>
      <c r="T109" s="1400">
        <f>O109+P109</f>
        <v>6235</v>
      </c>
      <c r="U109" s="1400">
        <v>10</v>
      </c>
      <c r="V109" s="1399">
        <f>U109*100/T109</f>
        <v>0.16038492381716118</v>
      </c>
      <c r="W109" s="1372">
        <v>6245</v>
      </c>
    </row>
    <row r="110" spans="5:23" x14ac:dyDescent="0.15">
      <c r="E110" s="1375" t="s">
        <v>597</v>
      </c>
      <c r="F110" s="1397">
        <v>0</v>
      </c>
      <c r="G110" s="1397">
        <v>0</v>
      </c>
      <c r="H110" s="1398">
        <v>0</v>
      </c>
      <c r="I110" s="1397">
        <f>F110+G110</f>
        <v>0</v>
      </c>
      <c r="J110" s="1397">
        <v>0</v>
      </c>
      <c r="K110" s="1398">
        <v>0</v>
      </c>
      <c r="L110" s="1397">
        <f>I110+J110</f>
        <v>0</v>
      </c>
      <c r="M110" s="1397">
        <v>230</v>
      </c>
      <c r="N110" s="1398">
        <v>0</v>
      </c>
      <c r="O110" s="1397">
        <f>L110+M110</f>
        <v>230</v>
      </c>
      <c r="P110" s="1397">
        <v>100</v>
      </c>
      <c r="Q110" s="1397"/>
      <c r="R110" s="1399">
        <f>P110*100/O110</f>
        <v>43.478260869565219</v>
      </c>
      <c r="S110" s="1399"/>
      <c r="T110" s="1400">
        <f>O110+P110</f>
        <v>330</v>
      </c>
      <c r="U110" s="1400">
        <v>100</v>
      </c>
      <c r="V110" s="1399">
        <f>U110*100/T110</f>
        <v>30.303030303030305</v>
      </c>
    </row>
    <row r="111" spans="5:23" x14ac:dyDescent="0.15">
      <c r="E111" s="1401" t="s">
        <v>575</v>
      </c>
      <c r="F111" s="1397">
        <f>SUM(F107:F110)</f>
        <v>177112</v>
      </c>
      <c r="G111" s="1397">
        <f t="shared" ref="G111:U111" si="3">SUM(G107:G110)</f>
        <v>2976</v>
      </c>
      <c r="H111" s="1398">
        <f t="shared" si="3"/>
        <v>3.102678514287792</v>
      </c>
      <c r="I111" s="1397">
        <f t="shared" si="3"/>
        <v>180088</v>
      </c>
      <c r="J111" s="1397">
        <f t="shared" si="3"/>
        <v>1594</v>
      </c>
      <c r="K111" s="1398">
        <f t="shared" si="3"/>
        <v>1.3674155241688819</v>
      </c>
      <c r="L111" s="1397">
        <f t="shared" si="3"/>
        <v>181682</v>
      </c>
      <c r="M111" s="1397">
        <f t="shared" si="3"/>
        <v>1850</v>
      </c>
      <c r="N111" s="1398">
        <f t="shared" si="3"/>
        <v>1.2723710410752072</v>
      </c>
      <c r="O111" s="1397">
        <f t="shared" si="3"/>
        <v>183532</v>
      </c>
      <c r="P111" s="1397">
        <f t="shared" si="3"/>
        <v>2160</v>
      </c>
      <c r="Q111" s="1397"/>
      <c r="R111" s="1398">
        <f>SUM(R107:R110)</f>
        <v>45.171525808921466</v>
      </c>
      <c r="S111" s="1398"/>
      <c r="T111" s="1397">
        <f t="shared" si="3"/>
        <v>185692</v>
      </c>
      <c r="U111" s="1397">
        <f t="shared" si="3"/>
        <v>2160</v>
      </c>
      <c r="V111" s="1398">
        <f>SUM(V107:V110)</f>
        <v>31.9796200558104</v>
      </c>
    </row>
    <row r="113" spans="5:36" x14ac:dyDescent="0.15">
      <c r="E113" s="1401" t="s">
        <v>263</v>
      </c>
      <c r="F113" s="2812">
        <v>2009</v>
      </c>
      <c r="G113" s="2812"/>
      <c r="H113" s="2812"/>
      <c r="I113" s="2812"/>
      <c r="J113" s="2813">
        <v>2010</v>
      </c>
      <c r="K113" s="2813"/>
      <c r="L113" s="2813"/>
      <c r="M113" s="2813"/>
      <c r="N113" s="2813"/>
      <c r="O113" s="2817">
        <v>2011</v>
      </c>
      <c r="P113" s="2818"/>
      <c r="Q113" s="2818"/>
      <c r="R113" s="2818"/>
      <c r="S113" s="2818"/>
      <c r="T113" s="2818"/>
      <c r="U113" s="2819"/>
      <c r="V113" s="2817">
        <v>2012</v>
      </c>
      <c r="W113" s="2818"/>
      <c r="X113" s="2818"/>
      <c r="Y113" s="2818"/>
      <c r="Z113" s="2819"/>
      <c r="AA113" s="2817">
        <v>2013</v>
      </c>
      <c r="AB113" s="2818"/>
      <c r="AC113" s="2818"/>
      <c r="AD113" s="2818"/>
      <c r="AE113" s="2819"/>
      <c r="AF113" s="2812">
        <v>2014</v>
      </c>
      <c r="AG113" s="2812"/>
      <c r="AH113" s="2812"/>
      <c r="AI113" s="2812"/>
      <c r="AJ113" s="2812"/>
    </row>
    <row r="114" spans="5:36" ht="28" x14ac:dyDescent="0.15">
      <c r="E114" s="1401"/>
      <c r="F114" s="1396"/>
      <c r="G114" s="2699" t="s">
        <v>607</v>
      </c>
      <c r="H114" s="2699" t="s">
        <v>608</v>
      </c>
      <c r="I114" s="2699" t="s">
        <v>609</v>
      </c>
      <c r="J114" s="2696"/>
      <c r="K114" s="2699" t="s">
        <v>607</v>
      </c>
      <c r="L114" s="2699" t="s">
        <v>608</v>
      </c>
      <c r="M114" s="2699" t="s">
        <v>609</v>
      </c>
      <c r="N114" s="2699" t="s">
        <v>610</v>
      </c>
      <c r="O114" s="2696"/>
      <c r="P114" s="2699" t="s">
        <v>607</v>
      </c>
      <c r="Q114" s="2648"/>
      <c r="R114" s="1378" t="s">
        <v>608</v>
      </c>
      <c r="S114" s="1378"/>
      <c r="T114" s="1378" t="s">
        <v>609</v>
      </c>
      <c r="U114" s="1378" t="s">
        <v>610</v>
      </c>
      <c r="V114" s="1380"/>
      <c r="W114" s="1378" t="s">
        <v>607</v>
      </c>
      <c r="X114" s="1378" t="s">
        <v>608</v>
      </c>
      <c r="Y114" s="1378" t="s">
        <v>609</v>
      </c>
      <c r="Z114" s="1378" t="s">
        <v>610</v>
      </c>
      <c r="AA114" s="1380"/>
      <c r="AB114" s="1378" t="s">
        <v>607</v>
      </c>
      <c r="AC114" s="1378" t="s">
        <v>608</v>
      </c>
      <c r="AD114" s="1378" t="s">
        <v>609</v>
      </c>
      <c r="AE114" s="1378" t="s">
        <v>610</v>
      </c>
      <c r="AF114" s="1380"/>
      <c r="AG114" s="1378" t="s">
        <v>607</v>
      </c>
      <c r="AH114" s="1378" t="s">
        <v>608</v>
      </c>
      <c r="AI114" s="1378" t="s">
        <v>609</v>
      </c>
      <c r="AJ114" s="1378" t="s">
        <v>610</v>
      </c>
    </row>
    <row r="115" spans="5:36" x14ac:dyDescent="0.15">
      <c r="E115" s="1405" t="s">
        <v>397</v>
      </c>
      <c r="F115" s="786">
        <v>9894900</v>
      </c>
      <c r="G115" s="1406"/>
      <c r="H115" s="1406"/>
      <c r="I115" s="1406"/>
      <c r="J115" s="786">
        <v>9753900</v>
      </c>
      <c r="K115" s="1406"/>
      <c r="L115" s="1406"/>
      <c r="M115" s="1406"/>
      <c r="N115" s="1406"/>
      <c r="O115" s="786">
        <v>9593800</v>
      </c>
      <c r="P115" s="1406"/>
      <c r="Q115" s="1406"/>
      <c r="R115" s="1407"/>
      <c r="S115" s="1407"/>
      <c r="T115" s="1407"/>
      <c r="U115" s="1407"/>
      <c r="V115" s="1408">
        <f>O115*1.05</f>
        <v>10073490</v>
      </c>
      <c r="W115" s="1407"/>
      <c r="X115" s="1407"/>
      <c r="Y115" s="1407"/>
      <c r="Z115" s="1407"/>
      <c r="AA115" s="1408">
        <f>V115*1.05</f>
        <v>10577164.5</v>
      </c>
      <c r="AB115" s="1407"/>
      <c r="AC115" s="1407"/>
      <c r="AD115" s="1407"/>
      <c r="AE115" s="1407"/>
      <c r="AF115" s="1408">
        <f>AA115*1.05</f>
        <v>11106022.725</v>
      </c>
      <c r="AG115" s="1407"/>
      <c r="AH115" s="1407"/>
      <c r="AI115" s="1407"/>
      <c r="AJ115" s="1407"/>
    </row>
    <row r="116" spans="5:36" x14ac:dyDescent="0.15">
      <c r="E116" s="1405" t="s">
        <v>604</v>
      </c>
      <c r="F116" s="786">
        <v>8158960</v>
      </c>
      <c r="G116" s="1406"/>
      <c r="H116" s="1406"/>
      <c r="I116" s="1406"/>
      <c r="J116" s="786">
        <v>8223984</v>
      </c>
      <c r="K116" s="1406">
        <f>(J116*100/F116)-100</f>
        <v>0.79696431898183562</v>
      </c>
      <c r="L116" s="1406">
        <f>J116/2900</f>
        <v>2835.8565517241377</v>
      </c>
      <c r="M116" s="1406">
        <f>J119/2700</f>
        <v>48.170370370370371</v>
      </c>
      <c r="N116" s="1406">
        <f>J117*100/J116</f>
        <v>0.43227224177478946</v>
      </c>
      <c r="O116" s="786">
        <v>8191064</v>
      </c>
      <c r="P116" s="1406">
        <f>(O116*100/J116)-100</f>
        <v>-0.40029260757316365</v>
      </c>
      <c r="Q116" s="1406"/>
      <c r="R116" s="1407">
        <f>O116/2900</f>
        <v>2824.5048275862068</v>
      </c>
      <c r="S116" s="1407"/>
      <c r="T116" s="1407">
        <f>O119/2700</f>
        <v>29.405555555555555</v>
      </c>
      <c r="U116" s="1407">
        <f>O117*100/O116</f>
        <v>0.43828249907460132</v>
      </c>
      <c r="V116" s="1408">
        <f>O116*1.01</f>
        <v>8272974.6399999997</v>
      </c>
      <c r="W116" s="1407">
        <f>(V116*100/O116)-100</f>
        <v>1</v>
      </c>
      <c r="X116" s="1407">
        <f>V116/2900</f>
        <v>2852.7498758620691</v>
      </c>
      <c r="Y116" s="1407">
        <f>V119/2700</f>
        <v>29.699611111111111</v>
      </c>
      <c r="Z116" s="1407">
        <f>V117*100/V116</f>
        <v>0.43828249907460132</v>
      </c>
      <c r="AA116" s="1408">
        <f>V116*1.01</f>
        <v>8355704.3864000002</v>
      </c>
      <c r="AB116" s="1407">
        <f>(AA116*100/V116)-100</f>
        <v>1</v>
      </c>
      <c r="AC116" s="1407">
        <f>AA116/2700</f>
        <v>3094.7053282962966</v>
      </c>
      <c r="AD116" s="1407">
        <f>AA119/2700</f>
        <v>29.996607222222224</v>
      </c>
      <c r="AE116" s="1407">
        <f>AA117*100/AA116</f>
        <v>0.43828249907460132</v>
      </c>
      <c r="AF116" s="1408">
        <f>AA116*1.01</f>
        <v>8439261.4302639998</v>
      </c>
      <c r="AG116" s="1407">
        <f>(AF116*100/AA116)-100</f>
        <v>1</v>
      </c>
      <c r="AH116" s="1407">
        <f>AF116/2700</f>
        <v>3125.6523815792593</v>
      </c>
      <c r="AI116" s="1407">
        <f>AF119/2700</f>
        <v>30.296573294444446</v>
      </c>
      <c r="AJ116" s="1407">
        <f>AF117*100/AF116</f>
        <v>0.43828249907460137</v>
      </c>
    </row>
    <row r="117" spans="5:36" ht="28" x14ac:dyDescent="0.15">
      <c r="E117" s="1405" t="s">
        <v>605</v>
      </c>
      <c r="F117" s="786">
        <v>34560</v>
      </c>
      <c r="G117" s="1406"/>
      <c r="H117" s="1406"/>
      <c r="I117" s="1406"/>
      <c r="J117" s="786">
        <v>35550</v>
      </c>
      <c r="K117" s="1406"/>
      <c r="L117" s="1406"/>
      <c r="M117" s="1406"/>
      <c r="N117" s="1406"/>
      <c r="O117" s="786">
        <v>35900</v>
      </c>
      <c r="P117" s="1406"/>
      <c r="Q117" s="1406"/>
      <c r="R117" s="1407"/>
      <c r="S117" s="1407"/>
      <c r="T117" s="1407"/>
      <c r="U117" s="1407"/>
      <c r="V117" s="1408">
        <f>O117*1.01</f>
        <v>36259</v>
      </c>
      <c r="W117" s="1407"/>
      <c r="X117" s="1407"/>
      <c r="Y117" s="1407"/>
      <c r="Z117" s="1407"/>
      <c r="AA117" s="1408">
        <f>V117*1.01</f>
        <v>36621.590000000004</v>
      </c>
      <c r="AB117" s="1407"/>
      <c r="AC117" s="1407"/>
      <c r="AD117" s="1407"/>
      <c r="AE117" s="1407"/>
      <c r="AF117" s="1408">
        <f>AA117*1.01</f>
        <v>36987.805900000007</v>
      </c>
      <c r="AG117" s="1407"/>
      <c r="AH117" s="1407"/>
      <c r="AI117" s="1407"/>
      <c r="AJ117" s="1407"/>
    </row>
    <row r="118" spans="5:36" x14ac:dyDescent="0.15">
      <c r="E118" s="1409" t="s">
        <v>412</v>
      </c>
      <c r="F118" s="786">
        <v>1084</v>
      </c>
      <c r="G118" s="1406"/>
      <c r="H118" s="1406"/>
      <c r="I118" s="1406"/>
      <c r="J118" s="786">
        <v>1084</v>
      </c>
      <c r="K118" s="1406"/>
      <c r="L118" s="1406"/>
      <c r="M118" s="1406"/>
      <c r="N118" s="1406"/>
      <c r="O118" s="786">
        <v>926</v>
      </c>
      <c r="P118" s="1406"/>
      <c r="Q118" s="1406"/>
      <c r="R118" s="1407"/>
      <c r="S118" s="1407"/>
      <c r="T118" s="1407"/>
      <c r="U118" s="1407"/>
      <c r="V118" s="1408">
        <f>O118</f>
        <v>926</v>
      </c>
      <c r="W118" s="1407"/>
      <c r="X118" s="1407"/>
      <c r="Y118" s="1407"/>
      <c r="Z118" s="1407"/>
      <c r="AA118" s="1408">
        <f>V118</f>
        <v>926</v>
      </c>
      <c r="AB118" s="1407"/>
      <c r="AC118" s="1407"/>
      <c r="AD118" s="1407"/>
      <c r="AE118" s="1407"/>
      <c r="AF118" s="1408">
        <f>AA118</f>
        <v>926</v>
      </c>
      <c r="AG118" s="1407"/>
      <c r="AH118" s="1407"/>
      <c r="AI118" s="1407"/>
      <c r="AJ118" s="1407"/>
    </row>
    <row r="119" spans="5:36" x14ac:dyDescent="0.15">
      <c r="E119" s="1409" t="s">
        <v>606</v>
      </c>
      <c r="F119" s="786">
        <v>135780</v>
      </c>
      <c r="G119" s="1406"/>
      <c r="H119" s="1406"/>
      <c r="I119" s="1406"/>
      <c r="J119" s="786">
        <v>130060</v>
      </c>
      <c r="K119" s="1406"/>
      <c r="L119" s="1406"/>
      <c r="M119" s="1406"/>
      <c r="N119" s="1406"/>
      <c r="O119" s="786">
        <v>79395</v>
      </c>
      <c r="P119" s="1406"/>
      <c r="Q119" s="1406"/>
      <c r="R119" s="1407"/>
      <c r="S119" s="1407"/>
      <c r="T119" s="1407"/>
      <c r="U119" s="1407"/>
      <c r="V119" s="1408">
        <f>O119*1.01</f>
        <v>80188.95</v>
      </c>
      <c r="W119" s="1407"/>
      <c r="X119" s="1407"/>
      <c r="Y119" s="1407"/>
      <c r="Z119" s="1407"/>
      <c r="AA119" s="1408">
        <f>V119*1.01</f>
        <v>80990.839500000002</v>
      </c>
      <c r="AB119" s="1407"/>
      <c r="AC119" s="1407"/>
      <c r="AD119" s="1407"/>
      <c r="AE119" s="1407"/>
      <c r="AF119" s="1408">
        <f>AA119*1.01</f>
        <v>81800.747895000008</v>
      </c>
      <c r="AG119" s="1407"/>
      <c r="AH119" s="1407"/>
      <c r="AI119" s="1407"/>
      <c r="AJ119" s="1407"/>
    </row>
    <row r="120" spans="5:36" x14ac:dyDescent="0.15">
      <c r="E120" s="1409" t="s">
        <v>421</v>
      </c>
      <c r="F120" s="786">
        <v>11</v>
      </c>
      <c r="G120" s="1406"/>
      <c r="H120" s="1406"/>
      <c r="I120" s="1406"/>
      <c r="J120" s="786">
        <v>14</v>
      </c>
      <c r="K120" s="1406"/>
      <c r="L120" s="1406"/>
      <c r="M120" s="1406"/>
      <c r="N120" s="1406"/>
      <c r="O120" s="786">
        <v>18</v>
      </c>
      <c r="P120" s="1406"/>
      <c r="Q120" s="1406"/>
      <c r="R120" s="1407"/>
      <c r="S120" s="1407"/>
      <c r="T120" s="1407"/>
      <c r="U120" s="1407"/>
      <c r="V120" s="1408">
        <v>25</v>
      </c>
      <c r="W120" s="1407"/>
      <c r="X120" s="1407"/>
      <c r="Y120" s="1407"/>
      <c r="Z120" s="1407"/>
      <c r="AA120" s="1408">
        <v>35</v>
      </c>
      <c r="AB120" s="1407"/>
      <c r="AC120" s="1407"/>
      <c r="AD120" s="1407"/>
      <c r="AE120" s="1407"/>
      <c r="AF120" s="1408">
        <v>45</v>
      </c>
      <c r="AG120" s="1407"/>
      <c r="AH120" s="1407"/>
      <c r="AI120" s="1407"/>
      <c r="AJ120" s="1407"/>
    </row>
    <row r="122" spans="5:36" ht="28" x14ac:dyDescent="0.15">
      <c r="E122" s="1375" t="s">
        <v>414</v>
      </c>
      <c r="V122" s="1372">
        <f>1000*8223984/2700000</f>
        <v>3045.92</v>
      </c>
    </row>
    <row r="123" spans="5:36" x14ac:dyDescent="0.15">
      <c r="E123" s="1375" t="s">
        <v>416</v>
      </c>
    </row>
    <row r="124" spans="5:36" ht="28" x14ac:dyDescent="0.15">
      <c r="E124" s="1375" t="s">
        <v>418</v>
      </c>
    </row>
    <row r="126" spans="5:36" x14ac:dyDescent="0.15">
      <c r="E126" s="1375"/>
      <c r="F126" s="2835">
        <v>2010</v>
      </c>
      <c r="G126" s="2835"/>
      <c r="H126" s="2835"/>
      <c r="I126" s="2835">
        <v>2011</v>
      </c>
      <c r="J126" s="2835"/>
      <c r="K126" s="2835"/>
      <c r="L126" s="2835">
        <v>2012</v>
      </c>
      <c r="M126" s="2835"/>
      <c r="N126" s="2835"/>
      <c r="O126" s="2834">
        <v>2013</v>
      </c>
      <c r="P126" s="2834"/>
      <c r="Q126" s="2834"/>
      <c r="R126" s="2834"/>
      <c r="S126" s="2316"/>
    </row>
    <row r="127" spans="5:36" x14ac:dyDescent="0.15">
      <c r="E127" s="1375"/>
      <c r="F127" s="1376" t="s">
        <v>613</v>
      </c>
      <c r="G127" s="2699" t="s">
        <v>614</v>
      </c>
      <c r="H127" s="2699" t="s">
        <v>615</v>
      </c>
      <c r="I127" s="2699" t="s">
        <v>613</v>
      </c>
      <c r="J127" s="2699" t="s">
        <v>614</v>
      </c>
      <c r="K127" s="2699" t="s">
        <v>615</v>
      </c>
      <c r="L127" s="2699" t="s">
        <v>613</v>
      </c>
      <c r="M127" s="2699" t="s">
        <v>614</v>
      </c>
      <c r="N127" s="2699" t="s">
        <v>615</v>
      </c>
      <c r="O127" s="2699" t="s">
        <v>613</v>
      </c>
      <c r="P127" s="2699" t="s">
        <v>614</v>
      </c>
      <c r="Q127" s="2648"/>
      <c r="R127" s="1410" t="s">
        <v>615</v>
      </c>
      <c r="S127" s="2316"/>
    </row>
    <row r="128" spans="5:36" x14ac:dyDescent="0.15">
      <c r="E128" s="1375" t="s">
        <v>532</v>
      </c>
      <c r="F128" s="1376"/>
      <c r="G128" s="2699"/>
      <c r="H128" s="2699"/>
      <c r="I128" s="2699"/>
      <c r="J128" s="2699"/>
      <c r="K128" s="2699"/>
      <c r="L128" s="2699"/>
      <c r="M128" s="2699"/>
      <c r="N128" s="2699"/>
      <c r="O128" s="2699"/>
      <c r="P128" s="2699"/>
      <c r="Q128" s="2648"/>
      <c r="R128" s="1378"/>
      <c r="S128" s="1404"/>
    </row>
    <row r="129" spans="5:19" x14ac:dyDescent="0.15">
      <c r="E129" s="1375" t="s">
        <v>533</v>
      </c>
      <c r="F129" s="1376"/>
      <c r="G129" s="2699"/>
      <c r="H129" s="2699"/>
      <c r="I129" s="2699"/>
      <c r="J129" s="2699"/>
      <c r="K129" s="2699"/>
      <c r="L129" s="2699"/>
      <c r="M129" s="2699"/>
      <c r="N129" s="2699"/>
      <c r="O129" s="2699"/>
      <c r="P129" s="2699"/>
      <c r="Q129" s="2648"/>
      <c r="R129" s="1378"/>
      <c r="S129" s="1404"/>
    </row>
    <row r="130" spans="5:19" x14ac:dyDescent="0.15">
      <c r="E130" s="1375" t="s">
        <v>611</v>
      </c>
      <c r="F130" s="1376"/>
      <c r="G130" s="2699"/>
      <c r="H130" s="2699"/>
      <c r="I130" s="2699"/>
      <c r="J130" s="2699"/>
      <c r="K130" s="2699"/>
      <c r="L130" s="2699"/>
      <c r="M130" s="2699"/>
      <c r="N130" s="2699"/>
      <c r="O130" s="2699"/>
      <c r="P130" s="2699"/>
      <c r="Q130" s="2648"/>
      <c r="R130" s="1378"/>
      <c r="S130" s="1404"/>
    </row>
    <row r="131" spans="5:19" x14ac:dyDescent="0.15">
      <c r="E131" s="1375" t="s">
        <v>612</v>
      </c>
      <c r="F131" s="1376"/>
      <c r="G131" s="2699"/>
      <c r="H131" s="2699"/>
      <c r="I131" s="2699"/>
      <c r="J131" s="2699"/>
      <c r="K131" s="2699"/>
      <c r="L131" s="2699"/>
      <c r="M131" s="2699"/>
      <c r="N131" s="2699"/>
      <c r="O131" s="2699"/>
      <c r="P131" s="2699"/>
      <c r="Q131" s="2648"/>
      <c r="R131" s="1378"/>
      <c r="S131" s="1404"/>
    </row>
    <row r="132" spans="5:19" x14ac:dyDescent="0.15">
      <c r="F132" s="1398">
        <v>230</v>
      </c>
      <c r="G132" s="1398">
        <v>4.7</v>
      </c>
      <c r="H132" s="1398">
        <f>G132*100/F132</f>
        <v>2.0434782608695654</v>
      </c>
      <c r="I132" s="1398">
        <v>234.7</v>
      </c>
      <c r="J132" s="1398">
        <v>8.6</v>
      </c>
      <c r="K132" s="1398">
        <f>J132*100/I132</f>
        <v>3.664252236898168</v>
      </c>
      <c r="L132" s="1398">
        <v>243.3</v>
      </c>
      <c r="M132" s="1398">
        <v>7</v>
      </c>
      <c r="N132" s="1398">
        <f>M132*100/L132</f>
        <v>2.8771064529387584</v>
      </c>
      <c r="O132" s="1398">
        <f>L132+M132</f>
        <v>250.3</v>
      </c>
      <c r="P132" s="1398">
        <v>7</v>
      </c>
      <c r="Q132" s="1398"/>
      <c r="R132" s="1384">
        <f>P132*100/O132</f>
        <v>2.7966440271673991</v>
      </c>
      <c r="S132" s="2317"/>
    </row>
  </sheetData>
  <mergeCells count="110">
    <mergeCell ref="T58:Z58"/>
    <mergeCell ref="T59:Z59"/>
    <mergeCell ref="C20:D20"/>
    <mergeCell ref="C36:D36"/>
    <mergeCell ref="C37:D37"/>
    <mergeCell ref="C26:D26"/>
    <mergeCell ref="C27:D27"/>
    <mergeCell ref="C28:D28"/>
    <mergeCell ref="C29:D29"/>
    <mergeCell ref="C51:D51"/>
    <mergeCell ref="E51:P51"/>
    <mergeCell ref="C39:D39"/>
    <mergeCell ref="C41:D41"/>
    <mergeCell ref="C38:D38"/>
    <mergeCell ref="C42:D42"/>
    <mergeCell ref="C43:D43"/>
    <mergeCell ref="T45:Z45"/>
    <mergeCell ref="E26:P26"/>
    <mergeCell ref="E29:P29"/>
    <mergeCell ref="E39:P39"/>
    <mergeCell ref="E43:P43"/>
    <mergeCell ref="T28:Z28"/>
    <mergeCell ref="T31:Z31"/>
    <mergeCell ref="T35:Z35"/>
    <mergeCell ref="T63:Z63"/>
    <mergeCell ref="T62:Z62"/>
    <mergeCell ref="O126:R126"/>
    <mergeCell ref="L126:N126"/>
    <mergeCell ref="I126:K126"/>
    <mergeCell ref="F126:H126"/>
    <mergeCell ref="D62:M62"/>
    <mergeCell ref="C67:N67"/>
    <mergeCell ref="C64:I64"/>
    <mergeCell ref="C65:L65"/>
    <mergeCell ref="C66:L66"/>
    <mergeCell ref="T41:Z41"/>
    <mergeCell ref="C57:D57"/>
    <mergeCell ref="T48:Z48"/>
    <mergeCell ref="C40:D40"/>
    <mergeCell ref="T51:Z51"/>
    <mergeCell ref="T55:Z55"/>
    <mergeCell ref="C10:D10"/>
    <mergeCell ref="E10:P10"/>
    <mergeCell ref="C11:D11"/>
    <mergeCell ref="C13:C15"/>
    <mergeCell ref="C19:D19"/>
    <mergeCell ref="E19:P19"/>
    <mergeCell ref="C16:C18"/>
    <mergeCell ref="T22:Z22"/>
    <mergeCell ref="T25:Z25"/>
    <mergeCell ref="C24:D24"/>
    <mergeCell ref="C25:D25"/>
    <mergeCell ref="T10:Z10"/>
    <mergeCell ref="T13:Z13"/>
    <mergeCell ref="T18:Z18"/>
    <mergeCell ref="C21:D21"/>
    <mergeCell ref="C22:D22"/>
    <mergeCell ref="C23:D23"/>
    <mergeCell ref="E23:P23"/>
    <mergeCell ref="C30:C32"/>
    <mergeCell ref="C33:C34"/>
    <mergeCell ref="C35:D35"/>
    <mergeCell ref="E35:P35"/>
    <mergeCell ref="N3:P3"/>
    <mergeCell ref="C7:D9"/>
    <mergeCell ref="E7:E9"/>
    <mergeCell ref="F7:F9"/>
    <mergeCell ref="G7:L7"/>
    <mergeCell ref="C12:D12"/>
    <mergeCell ref="E12:P12"/>
    <mergeCell ref="M8:M9"/>
    <mergeCell ref="M7:O7"/>
    <mergeCell ref="P7:P9"/>
    <mergeCell ref="G8:H8"/>
    <mergeCell ref="I8:J8"/>
    <mergeCell ref="K8:L8"/>
    <mergeCell ref="N8:N9"/>
    <mergeCell ref="O8:O9"/>
    <mergeCell ref="K4:P5"/>
    <mergeCell ref="AF113:AJ113"/>
    <mergeCell ref="J113:N113"/>
    <mergeCell ref="T96:V96"/>
    <mergeCell ref="O96:R96"/>
    <mergeCell ref="L96:N96"/>
    <mergeCell ref="I96:K96"/>
    <mergeCell ref="F113:I113"/>
    <mergeCell ref="AA113:AE113"/>
    <mergeCell ref="V113:Z113"/>
    <mergeCell ref="O113:U113"/>
    <mergeCell ref="I105:K105"/>
    <mergeCell ref="F105:H105"/>
    <mergeCell ref="F96:H96"/>
    <mergeCell ref="T105:V105"/>
    <mergeCell ref="O105:R105"/>
    <mergeCell ref="L105:N105"/>
    <mergeCell ref="C44:C47"/>
    <mergeCell ref="C49:D49"/>
    <mergeCell ref="E49:P49"/>
    <mergeCell ref="C50:D50"/>
    <mergeCell ref="C58:D58"/>
    <mergeCell ref="E58:P58"/>
    <mergeCell ref="C59:D59"/>
    <mergeCell ref="C60:D60"/>
    <mergeCell ref="C61:D61"/>
    <mergeCell ref="C52:D52"/>
    <mergeCell ref="C53:D53"/>
    <mergeCell ref="C54:D54"/>
    <mergeCell ref="E54:P54"/>
    <mergeCell ref="C55:D55"/>
    <mergeCell ref="C56:D56"/>
  </mergeCells>
  <printOptions horizontalCentered="1"/>
  <pageMargins left="0.31496062992125984" right="0.31496062992125984" top="0.39370078740157483" bottom="0.19685039370078741" header="0.31496062992125984" footer="0.31496062992125984"/>
  <pageSetup paperSize="9" scale="65" orientation="landscape" r:id="rId1"/>
  <rowBreaks count="2" manualBreakCount="2">
    <brk id="30" min="1" max="16" man="1"/>
    <brk id="48" min="1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2"/>
  <sheetViews>
    <sheetView workbookViewId="0">
      <selection activeCell="J9" sqref="J9"/>
    </sheetView>
  </sheetViews>
  <sheetFormatPr baseColWidth="10" defaultColWidth="8.83203125" defaultRowHeight="14" x14ac:dyDescent="0.15"/>
  <cols>
    <col min="1" max="1" width="44.6640625" style="820" customWidth="1"/>
    <col min="2" max="2" width="5.33203125" style="948" customWidth="1"/>
    <col min="3" max="3" width="4.6640625" style="948" customWidth="1"/>
    <col min="4" max="4" width="5.1640625" style="948" customWidth="1"/>
    <col min="5" max="5" width="10" style="948" customWidth="1"/>
    <col min="6" max="6" width="5" style="948" bestFit="1" customWidth="1"/>
    <col min="7" max="7" width="8.1640625" style="948" customWidth="1"/>
    <col min="8" max="8" width="15.5" style="822" customWidth="1"/>
    <col min="9" max="9" width="16.5" customWidth="1"/>
    <col min="10" max="10" width="19.33203125" customWidth="1"/>
    <col min="11" max="11" width="24.5" customWidth="1"/>
    <col min="12" max="12" width="13.1640625" customWidth="1"/>
  </cols>
  <sheetData>
    <row r="1" spans="1:12" x14ac:dyDescent="0.15">
      <c r="A1" s="3073" t="s">
        <v>68</v>
      </c>
      <c r="B1" s="3073"/>
      <c r="C1" s="3073"/>
      <c r="D1" s="3073"/>
      <c r="E1" s="3073"/>
      <c r="F1" s="3073"/>
      <c r="G1" s="3073"/>
      <c r="H1" s="3073"/>
    </row>
    <row r="2" spans="1:12" x14ac:dyDescent="0.15">
      <c r="A2" s="3073" t="s">
        <v>760</v>
      </c>
      <c r="B2" s="3073"/>
      <c r="C2" s="3073"/>
      <c r="D2" s="3073"/>
      <c r="E2" s="3073"/>
      <c r="F2" s="3073"/>
      <c r="G2" s="3073"/>
      <c r="H2" s="3073"/>
    </row>
    <row r="3" spans="1:12" x14ac:dyDescent="0.15">
      <c r="A3" s="3074" t="s">
        <v>69</v>
      </c>
      <c r="B3" s="3074"/>
      <c r="C3" s="3074"/>
      <c r="D3" s="3074"/>
      <c r="E3" s="3074"/>
      <c r="F3" s="3074"/>
      <c r="G3" s="3074"/>
      <c r="H3" s="3074"/>
    </row>
    <row r="4" spans="1:12" x14ac:dyDescent="0.15">
      <c r="B4" s="821"/>
      <c r="C4" s="821"/>
      <c r="D4" s="821"/>
      <c r="E4" s="821"/>
      <c r="F4" s="821"/>
      <c r="G4" s="821"/>
    </row>
    <row r="5" spans="1:12" x14ac:dyDescent="0.15">
      <c r="A5" s="823" t="s">
        <v>70</v>
      </c>
      <c r="B5" s="824" t="s">
        <v>71</v>
      </c>
      <c r="C5" s="824" t="s">
        <v>72</v>
      </c>
      <c r="D5" s="824" t="s">
        <v>73</v>
      </c>
      <c r="E5" s="824" t="s">
        <v>74</v>
      </c>
      <c r="F5" s="824" t="s">
        <v>75</v>
      </c>
      <c r="G5" s="825" t="s">
        <v>76</v>
      </c>
      <c r="H5" s="826" t="s">
        <v>17</v>
      </c>
      <c r="J5" s="998" t="s">
        <v>968</v>
      </c>
      <c r="K5" s="998" t="s">
        <v>954</v>
      </c>
      <c r="L5" s="998" t="s">
        <v>955</v>
      </c>
    </row>
    <row r="6" spans="1:12" x14ac:dyDescent="0.15">
      <c r="A6" s="827" t="s">
        <v>265</v>
      </c>
      <c r="B6" s="828" t="s">
        <v>79</v>
      </c>
      <c r="C6" s="828"/>
      <c r="D6" s="828"/>
      <c r="E6" s="828"/>
      <c r="F6" s="828"/>
      <c r="G6" s="829"/>
      <c r="H6" s="830" t="e">
        <f>H7+H78+H225+H227+H231</f>
        <v>#REF!</v>
      </c>
      <c r="I6" s="489"/>
      <c r="J6" s="489" t="e">
        <f>H27+H45+H63+H103+H172+H190+H208</f>
        <v>#REF!</v>
      </c>
      <c r="K6" s="999">
        <f>H223</f>
        <v>16090.8</v>
      </c>
      <c r="L6" s="489" t="e">
        <f>H41+H59+H77+H117+H186+H222</f>
        <v>#REF!</v>
      </c>
    </row>
    <row r="7" spans="1:12" x14ac:dyDescent="0.15">
      <c r="A7" s="831" t="s">
        <v>761</v>
      </c>
      <c r="B7" s="832" t="s">
        <v>79</v>
      </c>
      <c r="C7" s="832" t="s">
        <v>100</v>
      </c>
      <c r="D7" s="833"/>
      <c r="E7" s="833"/>
      <c r="F7" s="833"/>
      <c r="G7" s="833"/>
      <c r="H7" s="834" t="e">
        <f>H8</f>
        <v>#REF!</v>
      </c>
    </row>
    <row r="8" spans="1:12" x14ac:dyDescent="0.15">
      <c r="A8" s="835" t="s">
        <v>762</v>
      </c>
      <c r="B8" s="836" t="s">
        <v>79</v>
      </c>
      <c r="C8" s="836"/>
      <c r="D8" s="836"/>
      <c r="E8" s="836"/>
      <c r="F8" s="836" t="s">
        <v>763</v>
      </c>
      <c r="G8" s="837"/>
      <c r="H8" s="838" t="e">
        <f>H9+H23</f>
        <v>#REF!</v>
      </c>
    </row>
    <row r="9" spans="1:12" ht="42" x14ac:dyDescent="0.15">
      <c r="A9" s="839" t="s">
        <v>764</v>
      </c>
      <c r="B9" s="840"/>
      <c r="C9" s="840"/>
      <c r="D9" s="841"/>
      <c r="E9" s="841"/>
      <c r="F9" s="841" t="s">
        <v>765</v>
      </c>
      <c r="G9" s="841" t="s">
        <v>766</v>
      </c>
      <c r="H9" s="842" t="e">
        <f>H10+H11+H12+H13+H14+H15+H16+H17+H18+H19+H20+H21+H22</f>
        <v>#REF!</v>
      </c>
      <c r="J9" s="489" t="e">
        <f>H6-H227-H225</f>
        <v>#REF!</v>
      </c>
    </row>
    <row r="10" spans="1:12" x14ac:dyDescent="0.15">
      <c r="A10" s="843" t="s">
        <v>78</v>
      </c>
      <c r="B10" s="844" t="s">
        <v>79</v>
      </c>
      <c r="C10" s="844" t="s">
        <v>100</v>
      </c>
      <c r="D10" s="844"/>
      <c r="E10" s="844"/>
      <c r="F10" s="844"/>
      <c r="G10" s="844">
        <v>211</v>
      </c>
      <c r="H10" s="845" t="e">
        <f>H28+H46+H64</f>
        <v>#REF!</v>
      </c>
    </row>
    <row r="11" spans="1:12" x14ac:dyDescent="0.15">
      <c r="A11" s="843" t="s">
        <v>83</v>
      </c>
      <c r="B11" s="844" t="s">
        <v>79</v>
      </c>
      <c r="C11" s="844" t="s">
        <v>100</v>
      </c>
      <c r="D11" s="844"/>
      <c r="E11" s="844"/>
      <c r="F11" s="844"/>
      <c r="G11" s="844">
        <v>212</v>
      </c>
      <c r="H11" s="845" t="e">
        <f t="shared" ref="H11:H23" si="0">H29+H47+H65</f>
        <v>#REF!</v>
      </c>
    </row>
    <row r="12" spans="1:12" x14ac:dyDescent="0.15">
      <c r="A12" s="843" t="s">
        <v>84</v>
      </c>
      <c r="B12" s="844" t="s">
        <v>79</v>
      </c>
      <c r="C12" s="844" t="s">
        <v>100</v>
      </c>
      <c r="D12" s="844"/>
      <c r="E12" s="844"/>
      <c r="F12" s="844"/>
      <c r="G12" s="844">
        <v>213</v>
      </c>
      <c r="H12" s="845" t="e">
        <f t="shared" si="0"/>
        <v>#REF!</v>
      </c>
    </row>
    <row r="13" spans="1:12" x14ac:dyDescent="0.15">
      <c r="A13" s="843" t="s">
        <v>85</v>
      </c>
      <c r="B13" s="844" t="s">
        <v>79</v>
      </c>
      <c r="C13" s="844" t="s">
        <v>100</v>
      </c>
      <c r="D13" s="844"/>
      <c r="E13" s="844"/>
      <c r="F13" s="844"/>
      <c r="G13" s="844">
        <v>221</v>
      </c>
      <c r="H13" s="845" t="e">
        <f t="shared" si="0"/>
        <v>#REF!</v>
      </c>
    </row>
    <row r="14" spans="1:12" x14ac:dyDescent="0.15">
      <c r="A14" s="843" t="s">
        <v>86</v>
      </c>
      <c r="B14" s="844" t="s">
        <v>79</v>
      </c>
      <c r="C14" s="844" t="s">
        <v>100</v>
      </c>
      <c r="D14" s="844"/>
      <c r="E14" s="844"/>
      <c r="F14" s="844"/>
      <c r="G14" s="844">
        <v>222</v>
      </c>
      <c r="H14" s="845" t="e">
        <f t="shared" si="0"/>
        <v>#REF!</v>
      </c>
    </row>
    <row r="15" spans="1:12" x14ac:dyDescent="0.15">
      <c r="A15" s="843" t="s">
        <v>87</v>
      </c>
      <c r="B15" s="844" t="s">
        <v>79</v>
      </c>
      <c r="C15" s="844" t="s">
        <v>100</v>
      </c>
      <c r="D15" s="844"/>
      <c r="E15" s="844"/>
      <c r="F15" s="844"/>
      <c r="G15" s="844">
        <v>223</v>
      </c>
      <c r="H15" s="845" t="e">
        <f t="shared" si="0"/>
        <v>#REF!</v>
      </c>
    </row>
    <row r="16" spans="1:12" x14ac:dyDescent="0.15">
      <c r="A16" s="843" t="s">
        <v>111</v>
      </c>
      <c r="B16" s="844" t="s">
        <v>79</v>
      </c>
      <c r="C16" s="844" t="s">
        <v>100</v>
      </c>
      <c r="D16" s="844"/>
      <c r="E16" s="844"/>
      <c r="F16" s="844"/>
      <c r="G16" s="844">
        <v>224</v>
      </c>
      <c r="H16" s="845" t="e">
        <f t="shared" si="0"/>
        <v>#REF!</v>
      </c>
    </row>
    <row r="17" spans="1:8" x14ac:dyDescent="0.15">
      <c r="A17" s="843" t="s">
        <v>90</v>
      </c>
      <c r="B17" s="844" t="s">
        <v>79</v>
      </c>
      <c r="C17" s="844" t="s">
        <v>100</v>
      </c>
      <c r="D17" s="844"/>
      <c r="E17" s="844"/>
      <c r="F17" s="844"/>
      <c r="G17" s="844">
        <v>225</v>
      </c>
      <c r="H17" s="845" t="e">
        <f t="shared" si="0"/>
        <v>#REF!</v>
      </c>
    </row>
    <row r="18" spans="1:8" x14ac:dyDescent="0.15">
      <c r="A18" s="843" t="s">
        <v>91</v>
      </c>
      <c r="B18" s="844" t="s">
        <v>79</v>
      </c>
      <c r="C18" s="844" t="s">
        <v>100</v>
      </c>
      <c r="D18" s="844"/>
      <c r="E18" s="844"/>
      <c r="F18" s="844"/>
      <c r="G18" s="844">
        <v>226</v>
      </c>
      <c r="H18" s="845" t="e">
        <f t="shared" si="0"/>
        <v>#REF!</v>
      </c>
    </row>
    <row r="19" spans="1:8" x14ac:dyDescent="0.15">
      <c r="A19" s="843" t="s">
        <v>94</v>
      </c>
      <c r="B19" s="844" t="s">
        <v>79</v>
      </c>
      <c r="C19" s="844" t="s">
        <v>100</v>
      </c>
      <c r="D19" s="844"/>
      <c r="E19" s="844"/>
      <c r="F19" s="844"/>
      <c r="G19" s="844">
        <v>290</v>
      </c>
      <c r="H19" s="845" t="e">
        <f t="shared" si="0"/>
        <v>#REF!</v>
      </c>
    </row>
    <row r="20" spans="1:8" x14ac:dyDescent="0.15">
      <c r="A20" s="843" t="s">
        <v>94</v>
      </c>
      <c r="B20" s="844" t="s">
        <v>79</v>
      </c>
      <c r="C20" s="844" t="s">
        <v>100</v>
      </c>
      <c r="D20" s="844"/>
      <c r="E20" s="844"/>
      <c r="F20" s="844"/>
      <c r="G20" s="844">
        <v>290</v>
      </c>
      <c r="H20" s="845" t="e">
        <f t="shared" si="0"/>
        <v>#REF!</v>
      </c>
    </row>
    <row r="21" spans="1:8" x14ac:dyDescent="0.15">
      <c r="A21" s="843" t="s">
        <v>96</v>
      </c>
      <c r="B21" s="844" t="s">
        <v>79</v>
      </c>
      <c r="C21" s="844" t="s">
        <v>100</v>
      </c>
      <c r="D21" s="844"/>
      <c r="E21" s="844"/>
      <c r="F21" s="844"/>
      <c r="G21" s="844">
        <v>310</v>
      </c>
      <c r="H21" s="845" t="e">
        <f t="shared" si="0"/>
        <v>#REF!</v>
      </c>
    </row>
    <row r="22" spans="1:8" x14ac:dyDescent="0.15">
      <c r="A22" s="843" t="s">
        <v>97</v>
      </c>
      <c r="B22" s="844" t="s">
        <v>79</v>
      </c>
      <c r="C22" s="844" t="s">
        <v>100</v>
      </c>
      <c r="D22" s="844"/>
      <c r="E22" s="844"/>
      <c r="F22" s="844"/>
      <c r="G22" s="844">
        <v>340</v>
      </c>
      <c r="H22" s="845" t="e">
        <f t="shared" si="0"/>
        <v>#REF!</v>
      </c>
    </row>
    <row r="23" spans="1:8" x14ac:dyDescent="0.15">
      <c r="A23" s="839" t="s">
        <v>767</v>
      </c>
      <c r="B23" s="841" t="s">
        <v>79</v>
      </c>
      <c r="C23" s="841" t="s">
        <v>100</v>
      </c>
      <c r="D23" s="841"/>
      <c r="E23" s="841"/>
      <c r="F23" s="841" t="s">
        <v>768</v>
      </c>
      <c r="G23" s="846" t="s">
        <v>766</v>
      </c>
      <c r="H23" s="845" t="e">
        <f t="shared" si="0"/>
        <v>#REF!</v>
      </c>
    </row>
    <row r="24" spans="1:8" x14ac:dyDescent="0.15">
      <c r="A24" s="847" t="s">
        <v>769</v>
      </c>
      <c r="B24" s="848" t="s">
        <v>79</v>
      </c>
      <c r="C24" s="848" t="s">
        <v>100</v>
      </c>
      <c r="D24" s="848" t="s">
        <v>101</v>
      </c>
      <c r="E24" s="849">
        <v>4230000</v>
      </c>
      <c r="F24" s="848"/>
      <c r="G24" s="848"/>
      <c r="H24" s="850"/>
    </row>
    <row r="25" spans="1:8" ht="28" x14ac:dyDescent="0.15">
      <c r="A25" s="851" t="s">
        <v>770</v>
      </c>
      <c r="B25" s="852" t="s">
        <v>79</v>
      </c>
      <c r="C25" s="852" t="s">
        <v>100</v>
      </c>
      <c r="D25" s="852" t="s">
        <v>101</v>
      </c>
      <c r="E25" s="853">
        <v>4239902</v>
      </c>
      <c r="F25" s="848"/>
      <c r="G25" s="848"/>
      <c r="H25" s="850"/>
    </row>
    <row r="26" spans="1:8" x14ac:dyDescent="0.15">
      <c r="A26" s="854" t="s">
        <v>762</v>
      </c>
      <c r="B26" s="855" t="s">
        <v>79</v>
      </c>
      <c r="C26" s="855" t="s">
        <v>100</v>
      </c>
      <c r="D26" s="855" t="s">
        <v>101</v>
      </c>
      <c r="E26" s="856">
        <v>4239902</v>
      </c>
      <c r="F26" s="855" t="s">
        <v>763</v>
      </c>
      <c r="G26" s="857"/>
      <c r="H26" s="858" t="e">
        <f>H27+H41</f>
        <v>#REF!</v>
      </c>
    </row>
    <row r="27" spans="1:8" ht="42" x14ac:dyDescent="0.15">
      <c r="A27" s="859" t="s">
        <v>764</v>
      </c>
      <c r="B27" s="860" t="s">
        <v>79</v>
      </c>
      <c r="C27" s="860" t="s">
        <v>100</v>
      </c>
      <c r="D27" s="860" t="s">
        <v>101</v>
      </c>
      <c r="E27" s="861">
        <v>4239902</v>
      </c>
      <c r="F27" s="862" t="s">
        <v>765</v>
      </c>
      <c r="G27" s="862" t="s">
        <v>766</v>
      </c>
      <c r="H27" s="863" t="e">
        <f>H28+H29+H30+H31+H32+H33+H34+H35+H36+H37+H38+H39+H40</f>
        <v>#REF!</v>
      </c>
    </row>
    <row r="28" spans="1:8" x14ac:dyDescent="0.15">
      <c r="A28" s="864" t="s">
        <v>78</v>
      </c>
      <c r="B28" s="865" t="s">
        <v>79</v>
      </c>
      <c r="C28" s="865" t="s">
        <v>100</v>
      </c>
      <c r="D28" s="865" t="s">
        <v>101</v>
      </c>
      <c r="E28" s="865">
        <v>4239902</v>
      </c>
      <c r="F28" s="865"/>
      <c r="G28" s="865">
        <v>211</v>
      </c>
      <c r="H28" s="866" t="e">
        <f>'[8]Роспись 2013по БП'!H29</f>
        <v>#REF!</v>
      </c>
    </row>
    <row r="29" spans="1:8" x14ac:dyDescent="0.15">
      <c r="A29" s="864" t="s">
        <v>103</v>
      </c>
      <c r="B29" s="865" t="s">
        <v>79</v>
      </c>
      <c r="C29" s="865" t="s">
        <v>100</v>
      </c>
      <c r="D29" s="865" t="s">
        <v>101</v>
      </c>
      <c r="E29" s="865">
        <v>4239902</v>
      </c>
      <c r="F29" s="865"/>
      <c r="G29" s="865">
        <v>212</v>
      </c>
      <c r="H29" s="866" t="e">
        <f>'[8]Роспись 2013по БП'!H30</f>
        <v>#REF!</v>
      </c>
    </row>
    <row r="30" spans="1:8" x14ac:dyDescent="0.15">
      <c r="A30" s="864" t="s">
        <v>84</v>
      </c>
      <c r="B30" s="865" t="s">
        <v>79</v>
      </c>
      <c r="C30" s="865" t="s">
        <v>100</v>
      </c>
      <c r="D30" s="865" t="s">
        <v>101</v>
      </c>
      <c r="E30" s="865">
        <v>4239902</v>
      </c>
      <c r="F30" s="865"/>
      <c r="G30" s="865">
        <v>213</v>
      </c>
      <c r="H30" s="866" t="e">
        <f>'[8]Роспись 2013по БП'!H31</f>
        <v>#REF!</v>
      </c>
    </row>
    <row r="31" spans="1:8" x14ac:dyDescent="0.15">
      <c r="A31" s="864" t="s">
        <v>85</v>
      </c>
      <c r="B31" s="865" t="s">
        <v>79</v>
      </c>
      <c r="C31" s="865" t="s">
        <v>100</v>
      </c>
      <c r="D31" s="865" t="s">
        <v>101</v>
      </c>
      <c r="E31" s="865">
        <v>4239902</v>
      </c>
      <c r="F31" s="865"/>
      <c r="G31" s="865">
        <v>221</v>
      </c>
      <c r="H31" s="866" t="e">
        <f>'[8]Роспись 2013по БП'!H32</f>
        <v>#REF!</v>
      </c>
    </row>
    <row r="32" spans="1:8" x14ac:dyDescent="0.15">
      <c r="A32" s="864" t="s">
        <v>86</v>
      </c>
      <c r="B32" s="865" t="s">
        <v>79</v>
      </c>
      <c r="C32" s="865" t="s">
        <v>100</v>
      </c>
      <c r="D32" s="865" t="s">
        <v>101</v>
      </c>
      <c r="E32" s="865">
        <v>4239902</v>
      </c>
      <c r="F32" s="865"/>
      <c r="G32" s="865">
        <v>222</v>
      </c>
      <c r="H32" s="866" t="e">
        <f>'[8]Роспись 2013по БП'!H33</f>
        <v>#REF!</v>
      </c>
    </row>
    <row r="33" spans="1:8" x14ac:dyDescent="0.15">
      <c r="A33" s="864" t="s">
        <v>87</v>
      </c>
      <c r="B33" s="865" t="s">
        <v>79</v>
      </c>
      <c r="C33" s="865" t="s">
        <v>100</v>
      </c>
      <c r="D33" s="865" t="s">
        <v>101</v>
      </c>
      <c r="E33" s="865">
        <v>4239902</v>
      </c>
      <c r="F33" s="865"/>
      <c r="G33" s="865">
        <v>223</v>
      </c>
      <c r="H33" s="866" t="e">
        <f>'[8]Роспись 2013по БП'!H34</f>
        <v>#REF!</v>
      </c>
    </row>
    <row r="34" spans="1:8" x14ac:dyDescent="0.15">
      <c r="A34" s="864" t="s">
        <v>89</v>
      </c>
      <c r="B34" s="865" t="s">
        <v>79</v>
      </c>
      <c r="C34" s="865" t="s">
        <v>100</v>
      </c>
      <c r="D34" s="865" t="s">
        <v>101</v>
      </c>
      <c r="E34" s="865">
        <v>4239902</v>
      </c>
      <c r="F34" s="865"/>
      <c r="G34" s="865">
        <v>224</v>
      </c>
      <c r="H34" s="866" t="e">
        <f>'[8]Роспись 2013по БП'!H35</f>
        <v>#REF!</v>
      </c>
    </row>
    <row r="35" spans="1:8" x14ac:dyDescent="0.15">
      <c r="A35" s="864" t="s">
        <v>90</v>
      </c>
      <c r="B35" s="865" t="s">
        <v>79</v>
      </c>
      <c r="C35" s="865" t="s">
        <v>100</v>
      </c>
      <c r="D35" s="865" t="s">
        <v>101</v>
      </c>
      <c r="E35" s="865">
        <v>4239902</v>
      </c>
      <c r="F35" s="865"/>
      <c r="G35" s="865">
        <v>225</v>
      </c>
      <c r="H35" s="866" t="e">
        <f>'[8]Роспись 2013по БП'!H36</f>
        <v>#REF!</v>
      </c>
    </row>
    <row r="36" spans="1:8" x14ac:dyDescent="0.15">
      <c r="A36" s="864" t="s">
        <v>91</v>
      </c>
      <c r="B36" s="865" t="s">
        <v>79</v>
      </c>
      <c r="C36" s="865" t="s">
        <v>100</v>
      </c>
      <c r="D36" s="865" t="s">
        <v>101</v>
      </c>
      <c r="E36" s="865">
        <v>4239902</v>
      </c>
      <c r="F36" s="865"/>
      <c r="G36" s="865">
        <v>226</v>
      </c>
      <c r="H36" s="866" t="e">
        <f>'[8]Роспись 2013по БП'!H37</f>
        <v>#REF!</v>
      </c>
    </row>
    <row r="37" spans="1:8" x14ac:dyDescent="0.15">
      <c r="A37" s="864" t="s">
        <v>223</v>
      </c>
      <c r="B37" s="865" t="s">
        <v>79</v>
      </c>
      <c r="C37" s="865" t="s">
        <v>100</v>
      </c>
      <c r="D37" s="865" t="s">
        <v>101</v>
      </c>
      <c r="E37" s="865">
        <v>4239902</v>
      </c>
      <c r="F37" s="865"/>
      <c r="G37" s="865">
        <v>290</v>
      </c>
      <c r="H37" s="866" t="e">
        <f>'[8]Роспись 2013по БП'!H38</f>
        <v>#REF!</v>
      </c>
    </row>
    <row r="38" spans="1:8" x14ac:dyDescent="0.15">
      <c r="A38" s="864" t="s">
        <v>94</v>
      </c>
      <c r="B38" s="865" t="s">
        <v>79</v>
      </c>
      <c r="C38" s="865" t="s">
        <v>100</v>
      </c>
      <c r="D38" s="865" t="s">
        <v>101</v>
      </c>
      <c r="E38" s="865" t="s">
        <v>221</v>
      </c>
      <c r="F38" s="865"/>
      <c r="G38" s="865">
        <v>290</v>
      </c>
      <c r="H38" s="866" t="e">
        <f>'[8]Роспись 2013по БП'!H39</f>
        <v>#REF!</v>
      </c>
    </row>
    <row r="39" spans="1:8" x14ac:dyDescent="0.15">
      <c r="A39" s="864" t="s">
        <v>104</v>
      </c>
      <c r="B39" s="865" t="s">
        <v>79</v>
      </c>
      <c r="C39" s="865" t="s">
        <v>100</v>
      </c>
      <c r="D39" s="865" t="s">
        <v>101</v>
      </c>
      <c r="E39" s="865">
        <v>4239902</v>
      </c>
      <c r="F39" s="865"/>
      <c r="G39" s="865">
        <v>310</v>
      </c>
      <c r="H39" s="866" t="e">
        <f>'[8]Роспись 2013по БП'!H40</f>
        <v>#REF!</v>
      </c>
    </row>
    <row r="40" spans="1:8" x14ac:dyDescent="0.15">
      <c r="A40" s="864" t="s">
        <v>97</v>
      </c>
      <c r="B40" s="865" t="s">
        <v>79</v>
      </c>
      <c r="C40" s="865" t="s">
        <v>100</v>
      </c>
      <c r="D40" s="865" t="s">
        <v>101</v>
      </c>
      <c r="E40" s="865">
        <v>4239902</v>
      </c>
      <c r="F40" s="865"/>
      <c r="G40" s="865">
        <v>340</v>
      </c>
      <c r="H40" s="866" t="e">
        <f>'[8]Роспись 2013по БП'!H41</f>
        <v>#REF!</v>
      </c>
    </row>
    <row r="41" spans="1:8" x14ac:dyDescent="0.15">
      <c r="A41" s="859" t="s">
        <v>767</v>
      </c>
      <c r="B41" s="867"/>
      <c r="C41" s="867"/>
      <c r="D41" s="867"/>
      <c r="E41" s="867"/>
      <c r="F41" s="867" t="s">
        <v>768</v>
      </c>
      <c r="G41" s="868" t="s">
        <v>766</v>
      </c>
      <c r="H41" s="863" t="e">
        <f>'[8]Роспись 2013по БП'!H42</f>
        <v>#REF!</v>
      </c>
    </row>
    <row r="42" spans="1:8" x14ac:dyDescent="0.15">
      <c r="A42" s="869" t="s">
        <v>771</v>
      </c>
      <c r="B42" s="848" t="s">
        <v>79</v>
      </c>
      <c r="C42" s="848" t="s">
        <v>100</v>
      </c>
      <c r="D42" s="848" t="s">
        <v>110</v>
      </c>
      <c r="E42" s="852"/>
      <c r="F42" s="852"/>
      <c r="G42" s="870"/>
      <c r="H42" s="871"/>
    </row>
    <row r="43" spans="1:8" ht="56" x14ac:dyDescent="0.15">
      <c r="A43" s="851" t="s">
        <v>772</v>
      </c>
      <c r="B43" s="852" t="s">
        <v>79</v>
      </c>
      <c r="C43" s="852" t="s">
        <v>100</v>
      </c>
      <c r="D43" s="852" t="s">
        <v>110</v>
      </c>
      <c r="E43" s="853">
        <v>4270000</v>
      </c>
      <c r="F43" s="852"/>
      <c r="G43" s="870"/>
      <c r="H43" s="871"/>
    </row>
    <row r="44" spans="1:8" x14ac:dyDescent="0.15">
      <c r="A44" s="854" t="s">
        <v>762</v>
      </c>
      <c r="B44" s="855" t="s">
        <v>79</v>
      </c>
      <c r="C44" s="855" t="s">
        <v>100</v>
      </c>
      <c r="D44" s="855" t="s">
        <v>110</v>
      </c>
      <c r="E44" s="856">
        <v>4279902</v>
      </c>
      <c r="F44" s="855" t="s">
        <v>763</v>
      </c>
      <c r="G44" s="872"/>
      <c r="H44" s="858" t="e">
        <f>H45+H59</f>
        <v>#REF!</v>
      </c>
    </row>
    <row r="45" spans="1:8" ht="42" x14ac:dyDescent="0.15">
      <c r="A45" s="859" t="s">
        <v>764</v>
      </c>
      <c r="B45" s="860" t="s">
        <v>79</v>
      </c>
      <c r="C45" s="860" t="s">
        <v>100</v>
      </c>
      <c r="D45" s="860" t="s">
        <v>110</v>
      </c>
      <c r="E45" s="861">
        <v>4279902</v>
      </c>
      <c r="F45" s="860" t="s">
        <v>765</v>
      </c>
      <c r="G45" s="873" t="s">
        <v>766</v>
      </c>
      <c r="H45" s="863" t="e">
        <f>H46+H47+H48+H49+H50+H51+H52+H53+H54+H55+H56+H57+H58</f>
        <v>#REF!</v>
      </c>
    </row>
    <row r="46" spans="1:8" x14ac:dyDescent="0.15">
      <c r="A46" s="874" t="s">
        <v>78</v>
      </c>
      <c r="B46" s="875" t="s">
        <v>79</v>
      </c>
      <c r="C46" s="875" t="s">
        <v>100</v>
      </c>
      <c r="D46" s="875" t="s">
        <v>110</v>
      </c>
      <c r="E46" s="876">
        <v>4279902</v>
      </c>
      <c r="F46" s="875"/>
      <c r="G46" s="877">
        <v>211</v>
      </c>
      <c r="H46" s="866" t="e">
        <f>'[8]Роспись 2013по БП'!H111</f>
        <v>#REF!</v>
      </c>
    </row>
    <row r="47" spans="1:8" x14ac:dyDescent="0.15">
      <c r="A47" s="874" t="s">
        <v>83</v>
      </c>
      <c r="B47" s="875" t="s">
        <v>79</v>
      </c>
      <c r="C47" s="875" t="s">
        <v>100</v>
      </c>
      <c r="D47" s="875" t="s">
        <v>110</v>
      </c>
      <c r="E47" s="876">
        <v>4279902</v>
      </c>
      <c r="F47" s="875"/>
      <c r="G47" s="877">
        <v>212</v>
      </c>
      <c r="H47" s="866" t="e">
        <f>'[8]Роспись 2013по БП'!H112</f>
        <v>#REF!</v>
      </c>
    </row>
    <row r="48" spans="1:8" x14ac:dyDescent="0.15">
      <c r="A48" s="874" t="s">
        <v>84</v>
      </c>
      <c r="B48" s="875" t="s">
        <v>79</v>
      </c>
      <c r="C48" s="875" t="s">
        <v>100</v>
      </c>
      <c r="D48" s="875" t="s">
        <v>110</v>
      </c>
      <c r="E48" s="876">
        <v>4279902</v>
      </c>
      <c r="F48" s="875"/>
      <c r="G48" s="877">
        <v>213</v>
      </c>
      <c r="H48" s="866" t="e">
        <f>'[8]Роспись 2013по БП'!H113</f>
        <v>#REF!</v>
      </c>
    </row>
    <row r="49" spans="1:8" x14ac:dyDescent="0.15">
      <c r="A49" s="874" t="s">
        <v>85</v>
      </c>
      <c r="B49" s="875" t="s">
        <v>79</v>
      </c>
      <c r="C49" s="875" t="s">
        <v>100</v>
      </c>
      <c r="D49" s="875" t="s">
        <v>110</v>
      </c>
      <c r="E49" s="876">
        <v>4279902</v>
      </c>
      <c r="F49" s="875"/>
      <c r="G49" s="877">
        <v>221</v>
      </c>
      <c r="H49" s="866" t="e">
        <f>'[8]Роспись 2013по БП'!H114</f>
        <v>#REF!</v>
      </c>
    </row>
    <row r="50" spans="1:8" x14ac:dyDescent="0.15">
      <c r="A50" s="874" t="s">
        <v>86</v>
      </c>
      <c r="B50" s="875" t="s">
        <v>79</v>
      </c>
      <c r="C50" s="875" t="s">
        <v>100</v>
      </c>
      <c r="D50" s="875" t="s">
        <v>110</v>
      </c>
      <c r="E50" s="876">
        <v>4279902</v>
      </c>
      <c r="F50" s="875"/>
      <c r="G50" s="877">
        <v>222</v>
      </c>
      <c r="H50" s="866" t="e">
        <f>'[8]Роспись 2013по БП'!H115</f>
        <v>#REF!</v>
      </c>
    </row>
    <row r="51" spans="1:8" x14ac:dyDescent="0.15">
      <c r="A51" s="874" t="s">
        <v>87</v>
      </c>
      <c r="B51" s="875" t="s">
        <v>79</v>
      </c>
      <c r="C51" s="875" t="s">
        <v>100</v>
      </c>
      <c r="D51" s="875" t="s">
        <v>110</v>
      </c>
      <c r="E51" s="876">
        <v>4279902</v>
      </c>
      <c r="F51" s="875"/>
      <c r="G51" s="877">
        <v>223</v>
      </c>
      <c r="H51" s="866" t="e">
        <f>'[8]Роспись 2013по БП'!H116</f>
        <v>#REF!</v>
      </c>
    </row>
    <row r="52" spans="1:8" x14ac:dyDescent="0.15">
      <c r="A52" s="874" t="s">
        <v>111</v>
      </c>
      <c r="B52" s="875" t="s">
        <v>79</v>
      </c>
      <c r="C52" s="875" t="s">
        <v>100</v>
      </c>
      <c r="D52" s="875" t="s">
        <v>110</v>
      </c>
      <c r="E52" s="876">
        <v>4279902</v>
      </c>
      <c r="F52" s="875"/>
      <c r="G52" s="877">
        <v>224</v>
      </c>
      <c r="H52" s="866" t="e">
        <f>'[8]Роспись 2013по БП'!H117</f>
        <v>#REF!</v>
      </c>
    </row>
    <row r="53" spans="1:8" x14ac:dyDescent="0.15">
      <c r="A53" s="874" t="s">
        <v>90</v>
      </c>
      <c r="B53" s="875" t="s">
        <v>79</v>
      </c>
      <c r="C53" s="875" t="s">
        <v>100</v>
      </c>
      <c r="D53" s="875" t="s">
        <v>110</v>
      </c>
      <c r="E53" s="876">
        <v>4279902</v>
      </c>
      <c r="F53" s="875"/>
      <c r="G53" s="877">
        <v>225</v>
      </c>
      <c r="H53" s="866" t="e">
        <f>'[8]Роспись 2013по БП'!H118</f>
        <v>#REF!</v>
      </c>
    </row>
    <row r="54" spans="1:8" x14ac:dyDescent="0.15">
      <c r="A54" s="874" t="s">
        <v>91</v>
      </c>
      <c r="B54" s="875" t="s">
        <v>79</v>
      </c>
      <c r="C54" s="875" t="s">
        <v>100</v>
      </c>
      <c r="D54" s="875" t="s">
        <v>110</v>
      </c>
      <c r="E54" s="876">
        <v>4279902</v>
      </c>
      <c r="F54" s="875"/>
      <c r="G54" s="877">
        <v>226</v>
      </c>
      <c r="H54" s="866" t="e">
        <f>'[8]Роспись 2013по БП'!H119</f>
        <v>#REF!</v>
      </c>
    </row>
    <row r="55" spans="1:8" x14ac:dyDescent="0.15">
      <c r="A55" s="874" t="s">
        <v>94</v>
      </c>
      <c r="B55" s="875" t="s">
        <v>79</v>
      </c>
      <c r="C55" s="875" t="s">
        <v>100</v>
      </c>
      <c r="D55" s="875" t="s">
        <v>110</v>
      </c>
      <c r="E55" s="876">
        <v>4279902</v>
      </c>
      <c r="F55" s="875"/>
      <c r="G55" s="877">
        <v>290</v>
      </c>
      <c r="H55" s="866" t="e">
        <f>'[8]Роспись 2013по БП'!H120</f>
        <v>#REF!</v>
      </c>
    </row>
    <row r="56" spans="1:8" x14ac:dyDescent="0.15">
      <c r="A56" s="874" t="s">
        <v>94</v>
      </c>
      <c r="B56" s="875" t="s">
        <v>79</v>
      </c>
      <c r="C56" s="875" t="s">
        <v>100</v>
      </c>
      <c r="D56" s="875" t="s">
        <v>110</v>
      </c>
      <c r="E56" s="876">
        <v>4279902</v>
      </c>
      <c r="F56" s="875"/>
      <c r="G56" s="877" t="s">
        <v>95</v>
      </c>
      <c r="H56" s="866" t="e">
        <f>'[8]Роспись 2013по БП'!H121</f>
        <v>#REF!</v>
      </c>
    </row>
    <row r="57" spans="1:8" x14ac:dyDescent="0.15">
      <c r="A57" s="874" t="s">
        <v>96</v>
      </c>
      <c r="B57" s="875" t="s">
        <v>79</v>
      </c>
      <c r="C57" s="875" t="s">
        <v>100</v>
      </c>
      <c r="D57" s="875" t="s">
        <v>110</v>
      </c>
      <c r="E57" s="876">
        <v>4279902</v>
      </c>
      <c r="F57" s="875"/>
      <c r="G57" s="877">
        <v>310</v>
      </c>
      <c r="H57" s="866" t="e">
        <f>'[8]Роспись 2013по БП'!H122</f>
        <v>#REF!</v>
      </c>
    </row>
    <row r="58" spans="1:8" x14ac:dyDescent="0.15">
      <c r="A58" s="874" t="s">
        <v>97</v>
      </c>
      <c r="B58" s="875" t="s">
        <v>79</v>
      </c>
      <c r="C58" s="875" t="s">
        <v>100</v>
      </c>
      <c r="D58" s="875" t="s">
        <v>110</v>
      </c>
      <c r="E58" s="876">
        <v>4279902</v>
      </c>
      <c r="F58" s="875"/>
      <c r="G58" s="877">
        <v>340</v>
      </c>
      <c r="H58" s="866" t="e">
        <f>'[8]Роспись 2013по БП'!H123</f>
        <v>#REF!</v>
      </c>
    </row>
    <row r="59" spans="1:8" x14ac:dyDescent="0.15">
      <c r="A59" s="859" t="s">
        <v>767</v>
      </c>
      <c r="B59" s="867" t="s">
        <v>79</v>
      </c>
      <c r="C59" s="867" t="s">
        <v>100</v>
      </c>
      <c r="D59" s="867" t="s">
        <v>110</v>
      </c>
      <c r="E59" s="867" t="s">
        <v>224</v>
      </c>
      <c r="F59" s="867" t="s">
        <v>768</v>
      </c>
      <c r="G59" s="868" t="s">
        <v>766</v>
      </c>
      <c r="H59" s="863" t="e">
        <f>'[8]Роспись 2013по БП'!H124</f>
        <v>#REF!</v>
      </c>
    </row>
    <row r="60" spans="1:8" ht="28" x14ac:dyDescent="0.15">
      <c r="A60" s="878" t="s">
        <v>773</v>
      </c>
      <c r="B60" s="848" t="s">
        <v>79</v>
      </c>
      <c r="C60" s="848" t="s">
        <v>100</v>
      </c>
      <c r="D60" s="848" t="s">
        <v>117</v>
      </c>
      <c r="E60" s="848"/>
      <c r="F60" s="848"/>
      <c r="G60" s="848"/>
      <c r="H60" s="871"/>
    </row>
    <row r="61" spans="1:8" ht="56" x14ac:dyDescent="0.15">
      <c r="A61" s="851" t="s">
        <v>774</v>
      </c>
      <c r="B61" s="852" t="s">
        <v>79</v>
      </c>
      <c r="C61" s="852" t="s">
        <v>100</v>
      </c>
      <c r="D61" s="852" t="s">
        <v>117</v>
      </c>
      <c r="E61" s="853">
        <v>4299901</v>
      </c>
      <c r="F61" s="879"/>
      <c r="G61" s="879"/>
      <c r="H61" s="880"/>
    </row>
    <row r="62" spans="1:8" x14ac:dyDescent="0.15">
      <c r="A62" s="881" t="s">
        <v>762</v>
      </c>
      <c r="B62" s="882" t="s">
        <v>79</v>
      </c>
      <c r="C62" s="882" t="s">
        <v>100</v>
      </c>
      <c r="D62" s="882" t="s">
        <v>117</v>
      </c>
      <c r="E62" s="883">
        <v>4299901</v>
      </c>
      <c r="F62" s="882" t="s">
        <v>763</v>
      </c>
      <c r="G62" s="884"/>
      <c r="H62" s="858" t="e">
        <f>H63+H77</f>
        <v>#REF!</v>
      </c>
    </row>
    <row r="63" spans="1:8" ht="42" x14ac:dyDescent="0.15">
      <c r="A63" s="885" t="s">
        <v>775</v>
      </c>
      <c r="B63" s="860" t="s">
        <v>79</v>
      </c>
      <c r="C63" s="860" t="s">
        <v>100</v>
      </c>
      <c r="D63" s="860" t="s">
        <v>117</v>
      </c>
      <c r="E63" s="861">
        <v>4299901</v>
      </c>
      <c r="F63" s="886" t="s">
        <v>765</v>
      </c>
      <c r="G63" s="887">
        <v>241</v>
      </c>
      <c r="H63" s="863" t="e">
        <f>H64+H65+H66+H67+H68+H69+H70+H71+H72+H73+H74+H75+H76</f>
        <v>#REF!</v>
      </c>
    </row>
    <row r="64" spans="1:8" x14ac:dyDescent="0.15">
      <c r="A64" s="888" t="s">
        <v>78</v>
      </c>
      <c r="B64" s="889" t="s">
        <v>79</v>
      </c>
      <c r="C64" s="889" t="s">
        <v>100</v>
      </c>
      <c r="D64" s="889" t="s">
        <v>117</v>
      </c>
      <c r="E64" s="889" t="s">
        <v>118</v>
      </c>
      <c r="F64" s="889"/>
      <c r="G64" s="877">
        <v>211</v>
      </c>
      <c r="H64" s="890" t="e">
        <f>'[8]Роспись 2013по БП'!H193</f>
        <v>#REF!</v>
      </c>
    </row>
    <row r="65" spans="1:8" x14ac:dyDescent="0.15">
      <c r="A65" s="864" t="s">
        <v>83</v>
      </c>
      <c r="B65" s="865" t="s">
        <v>79</v>
      </c>
      <c r="C65" s="865" t="s">
        <v>100</v>
      </c>
      <c r="D65" s="865" t="s">
        <v>117</v>
      </c>
      <c r="E65" s="865" t="s">
        <v>118</v>
      </c>
      <c r="F65" s="865"/>
      <c r="G65" s="877">
        <v>212</v>
      </c>
      <c r="H65" s="890" t="e">
        <f>'[8]Роспись 2013по БП'!H194</f>
        <v>#REF!</v>
      </c>
    </row>
    <row r="66" spans="1:8" x14ac:dyDescent="0.15">
      <c r="A66" s="864" t="s">
        <v>84</v>
      </c>
      <c r="B66" s="865" t="s">
        <v>79</v>
      </c>
      <c r="C66" s="865" t="s">
        <v>100</v>
      </c>
      <c r="D66" s="865" t="s">
        <v>117</v>
      </c>
      <c r="E66" s="865" t="s">
        <v>118</v>
      </c>
      <c r="F66" s="865"/>
      <c r="G66" s="877">
        <v>213</v>
      </c>
      <c r="H66" s="890" t="e">
        <f>'[8]Роспись 2013по БП'!H195</f>
        <v>#REF!</v>
      </c>
    </row>
    <row r="67" spans="1:8" x14ac:dyDescent="0.15">
      <c r="A67" s="864" t="s">
        <v>85</v>
      </c>
      <c r="B67" s="865" t="s">
        <v>79</v>
      </c>
      <c r="C67" s="865" t="s">
        <v>100</v>
      </c>
      <c r="D67" s="865" t="s">
        <v>117</v>
      </c>
      <c r="E67" s="865" t="s">
        <v>118</v>
      </c>
      <c r="F67" s="865"/>
      <c r="G67" s="877">
        <v>221</v>
      </c>
      <c r="H67" s="890" t="e">
        <f>'[8]Роспись 2013по БП'!H196</f>
        <v>#REF!</v>
      </c>
    </row>
    <row r="68" spans="1:8" x14ac:dyDescent="0.15">
      <c r="A68" s="864" t="s">
        <v>86</v>
      </c>
      <c r="B68" s="865" t="s">
        <v>79</v>
      </c>
      <c r="C68" s="865" t="s">
        <v>100</v>
      </c>
      <c r="D68" s="865" t="s">
        <v>117</v>
      </c>
      <c r="E68" s="865" t="s">
        <v>118</v>
      </c>
      <c r="F68" s="865"/>
      <c r="G68" s="877">
        <v>222</v>
      </c>
      <c r="H68" s="890" t="e">
        <f>'[8]Роспись 2013по БП'!H197</f>
        <v>#REF!</v>
      </c>
    </row>
    <row r="69" spans="1:8" x14ac:dyDescent="0.15">
      <c r="A69" s="864" t="s">
        <v>87</v>
      </c>
      <c r="B69" s="865" t="s">
        <v>79</v>
      </c>
      <c r="C69" s="865" t="s">
        <v>100</v>
      </c>
      <c r="D69" s="865" t="s">
        <v>117</v>
      </c>
      <c r="E69" s="865" t="s">
        <v>118</v>
      </c>
      <c r="F69" s="865"/>
      <c r="G69" s="877">
        <v>223</v>
      </c>
      <c r="H69" s="890" t="e">
        <f>'[8]Роспись 2013по БП'!H198</f>
        <v>#REF!</v>
      </c>
    </row>
    <row r="70" spans="1:8" x14ac:dyDescent="0.15">
      <c r="A70" s="864" t="s">
        <v>111</v>
      </c>
      <c r="B70" s="865" t="s">
        <v>79</v>
      </c>
      <c r="C70" s="865" t="s">
        <v>100</v>
      </c>
      <c r="D70" s="865" t="s">
        <v>117</v>
      </c>
      <c r="E70" s="865" t="s">
        <v>118</v>
      </c>
      <c r="F70" s="865"/>
      <c r="G70" s="877">
        <v>224</v>
      </c>
      <c r="H70" s="890" t="e">
        <f>'[8]Роспись 2013по БП'!H199</f>
        <v>#REF!</v>
      </c>
    </row>
    <row r="71" spans="1:8" x14ac:dyDescent="0.15">
      <c r="A71" s="864" t="s">
        <v>90</v>
      </c>
      <c r="B71" s="865" t="s">
        <v>79</v>
      </c>
      <c r="C71" s="865" t="s">
        <v>100</v>
      </c>
      <c r="D71" s="865" t="s">
        <v>117</v>
      </c>
      <c r="E71" s="865" t="s">
        <v>118</v>
      </c>
      <c r="F71" s="865"/>
      <c r="G71" s="877">
        <v>225</v>
      </c>
      <c r="H71" s="890" t="e">
        <f>'[8]Роспись 2013по БП'!H200</f>
        <v>#REF!</v>
      </c>
    </row>
    <row r="72" spans="1:8" x14ac:dyDescent="0.15">
      <c r="A72" s="864" t="s">
        <v>91</v>
      </c>
      <c r="B72" s="865" t="s">
        <v>79</v>
      </c>
      <c r="C72" s="865" t="s">
        <v>100</v>
      </c>
      <c r="D72" s="865" t="s">
        <v>117</v>
      </c>
      <c r="E72" s="865" t="s">
        <v>118</v>
      </c>
      <c r="F72" s="865"/>
      <c r="G72" s="877">
        <v>226</v>
      </c>
      <c r="H72" s="890" t="e">
        <f>'[8]Роспись 2013по БП'!H201</f>
        <v>#REF!</v>
      </c>
    </row>
    <row r="73" spans="1:8" x14ac:dyDescent="0.15">
      <c r="A73" s="864" t="s">
        <v>94</v>
      </c>
      <c r="B73" s="865" t="s">
        <v>79</v>
      </c>
      <c r="C73" s="865" t="s">
        <v>100</v>
      </c>
      <c r="D73" s="865" t="s">
        <v>117</v>
      </c>
      <c r="E73" s="865" t="s">
        <v>118</v>
      </c>
      <c r="F73" s="865"/>
      <c r="G73" s="877">
        <v>290</v>
      </c>
      <c r="H73" s="890" t="e">
        <f>'[8]Роспись 2013по БП'!H202</f>
        <v>#REF!</v>
      </c>
    </row>
    <row r="74" spans="1:8" x14ac:dyDescent="0.15">
      <c r="A74" s="864" t="s">
        <v>94</v>
      </c>
      <c r="B74" s="865" t="s">
        <v>79</v>
      </c>
      <c r="C74" s="865" t="s">
        <v>100</v>
      </c>
      <c r="D74" s="865" t="s">
        <v>117</v>
      </c>
      <c r="E74" s="865" t="s">
        <v>228</v>
      </c>
      <c r="F74" s="865"/>
      <c r="G74" s="877" t="s">
        <v>95</v>
      </c>
      <c r="H74" s="890" t="e">
        <f>'[8]Роспись 2013по БП'!H203</f>
        <v>#REF!</v>
      </c>
    </row>
    <row r="75" spans="1:8" x14ac:dyDescent="0.15">
      <c r="A75" s="864" t="s">
        <v>96</v>
      </c>
      <c r="B75" s="865" t="s">
        <v>79</v>
      </c>
      <c r="C75" s="865" t="s">
        <v>100</v>
      </c>
      <c r="D75" s="865" t="s">
        <v>117</v>
      </c>
      <c r="E75" s="865" t="s">
        <v>118</v>
      </c>
      <c r="F75" s="865"/>
      <c r="G75" s="877">
        <v>310</v>
      </c>
      <c r="H75" s="890" t="e">
        <f>'[8]Роспись 2013по БП'!H204</f>
        <v>#REF!</v>
      </c>
    </row>
    <row r="76" spans="1:8" x14ac:dyDescent="0.15">
      <c r="A76" s="864" t="s">
        <v>97</v>
      </c>
      <c r="B76" s="865" t="s">
        <v>79</v>
      </c>
      <c r="C76" s="865" t="s">
        <v>100</v>
      </c>
      <c r="D76" s="865" t="s">
        <v>117</v>
      </c>
      <c r="E76" s="865" t="s">
        <v>118</v>
      </c>
      <c r="F76" s="865"/>
      <c r="G76" s="877">
        <v>340</v>
      </c>
      <c r="H76" s="890" t="e">
        <f>'[8]Роспись 2013по БП'!H205</f>
        <v>#REF!</v>
      </c>
    </row>
    <row r="77" spans="1:8" x14ac:dyDescent="0.15">
      <c r="A77" s="859" t="s">
        <v>767</v>
      </c>
      <c r="B77" s="867" t="s">
        <v>79</v>
      </c>
      <c r="C77" s="867" t="s">
        <v>100</v>
      </c>
      <c r="D77" s="867" t="s">
        <v>117</v>
      </c>
      <c r="E77" s="867" t="s">
        <v>229</v>
      </c>
      <c r="F77" s="867" t="s">
        <v>102</v>
      </c>
      <c r="G77" s="868" t="s">
        <v>766</v>
      </c>
      <c r="H77" s="891" t="e">
        <f>'[8]Роспись 2013по БП'!H206</f>
        <v>#REF!</v>
      </c>
    </row>
    <row r="78" spans="1:8" ht="18" x14ac:dyDescent="0.15">
      <c r="A78" s="892" t="s">
        <v>776</v>
      </c>
      <c r="B78" s="893" t="s">
        <v>79</v>
      </c>
      <c r="C78" s="893" t="s">
        <v>80</v>
      </c>
      <c r="D78" s="828"/>
      <c r="E78" s="828"/>
      <c r="F78" s="828"/>
      <c r="G78" s="828"/>
      <c r="H78" s="830" t="e">
        <f>H79+H233+H243</f>
        <v>#REF!</v>
      </c>
    </row>
    <row r="79" spans="1:8" ht="18" x14ac:dyDescent="0.15">
      <c r="A79" s="892" t="s">
        <v>777</v>
      </c>
      <c r="B79" s="893" t="s">
        <v>79</v>
      </c>
      <c r="C79" s="893" t="s">
        <v>80</v>
      </c>
      <c r="D79" s="894" t="s">
        <v>125</v>
      </c>
      <c r="E79" s="828"/>
      <c r="F79" s="828"/>
      <c r="G79" s="828"/>
      <c r="H79" s="830" t="e">
        <f>H80+H223+H96+H99</f>
        <v>#REF!</v>
      </c>
    </row>
    <row r="80" spans="1:8" x14ac:dyDescent="0.15">
      <c r="A80" s="835" t="s">
        <v>762</v>
      </c>
      <c r="B80" s="836" t="s">
        <v>79</v>
      </c>
      <c r="C80" s="836" t="s">
        <v>80</v>
      </c>
      <c r="D80" s="836" t="s">
        <v>125</v>
      </c>
      <c r="E80" s="836"/>
      <c r="F80" s="836" t="s">
        <v>763</v>
      </c>
      <c r="G80" s="837"/>
      <c r="H80" s="838" t="e">
        <f>H81+H95</f>
        <v>#REF!</v>
      </c>
    </row>
    <row r="81" spans="1:8" ht="42" x14ac:dyDescent="0.15">
      <c r="A81" s="839" t="s">
        <v>764</v>
      </c>
      <c r="B81" s="840" t="s">
        <v>79</v>
      </c>
      <c r="C81" s="840" t="s">
        <v>80</v>
      </c>
      <c r="D81" s="841" t="s">
        <v>125</v>
      </c>
      <c r="E81" s="841"/>
      <c r="F81" s="841" t="s">
        <v>765</v>
      </c>
      <c r="G81" s="841" t="s">
        <v>766</v>
      </c>
      <c r="H81" s="842" t="e">
        <f>H82+H83+H84+H85+H86+H87+H88+H89+H90+H91+H92+H93+H94</f>
        <v>#REF!</v>
      </c>
    </row>
    <row r="82" spans="1:8" x14ac:dyDescent="0.15">
      <c r="A82" s="843" t="s">
        <v>78</v>
      </c>
      <c r="B82" s="844" t="s">
        <v>79</v>
      </c>
      <c r="C82" s="844" t="s">
        <v>80</v>
      </c>
      <c r="D82" s="844" t="s">
        <v>125</v>
      </c>
      <c r="E82" s="844"/>
      <c r="F82" s="844"/>
      <c r="G82" s="844">
        <v>211</v>
      </c>
      <c r="H82" s="845" t="e">
        <f>H104+H173+H191+H209</f>
        <v>#REF!</v>
      </c>
    </row>
    <row r="83" spans="1:8" x14ac:dyDescent="0.15">
      <c r="A83" s="843" t="s">
        <v>83</v>
      </c>
      <c r="B83" s="844" t="s">
        <v>79</v>
      </c>
      <c r="C83" s="844" t="s">
        <v>80</v>
      </c>
      <c r="D83" s="844" t="s">
        <v>125</v>
      </c>
      <c r="E83" s="844"/>
      <c r="F83" s="844"/>
      <c r="G83" s="844">
        <v>212</v>
      </c>
      <c r="H83" s="845" t="e">
        <f t="shared" ref="H83:H94" si="1">H105+H174+H192+H210</f>
        <v>#REF!</v>
      </c>
    </row>
    <row r="84" spans="1:8" x14ac:dyDescent="0.15">
      <c r="A84" s="843" t="s">
        <v>84</v>
      </c>
      <c r="B84" s="844" t="s">
        <v>79</v>
      </c>
      <c r="C84" s="844" t="s">
        <v>80</v>
      </c>
      <c r="D84" s="844" t="s">
        <v>125</v>
      </c>
      <c r="E84" s="844"/>
      <c r="F84" s="844"/>
      <c r="G84" s="844">
        <v>213</v>
      </c>
      <c r="H84" s="845" t="e">
        <f t="shared" si="1"/>
        <v>#REF!</v>
      </c>
    </row>
    <row r="85" spans="1:8" x14ac:dyDescent="0.15">
      <c r="A85" s="843" t="s">
        <v>85</v>
      </c>
      <c r="B85" s="844" t="s">
        <v>79</v>
      </c>
      <c r="C85" s="844" t="s">
        <v>80</v>
      </c>
      <c r="D85" s="844" t="s">
        <v>125</v>
      </c>
      <c r="E85" s="844"/>
      <c r="F85" s="844"/>
      <c r="G85" s="844">
        <v>221</v>
      </c>
      <c r="H85" s="845" t="e">
        <f t="shared" si="1"/>
        <v>#REF!</v>
      </c>
    </row>
    <row r="86" spans="1:8" x14ac:dyDescent="0.15">
      <c r="A86" s="843" t="s">
        <v>86</v>
      </c>
      <c r="B86" s="844" t="s">
        <v>79</v>
      </c>
      <c r="C86" s="844" t="s">
        <v>80</v>
      </c>
      <c r="D86" s="844" t="s">
        <v>125</v>
      </c>
      <c r="E86" s="844"/>
      <c r="F86" s="844"/>
      <c r="G86" s="844">
        <v>222</v>
      </c>
      <c r="H86" s="845" t="e">
        <f t="shared" si="1"/>
        <v>#REF!</v>
      </c>
    </row>
    <row r="87" spans="1:8" x14ac:dyDescent="0.15">
      <c r="A87" s="843" t="s">
        <v>87</v>
      </c>
      <c r="B87" s="844" t="s">
        <v>79</v>
      </c>
      <c r="C87" s="844" t="s">
        <v>80</v>
      </c>
      <c r="D87" s="844" t="s">
        <v>125</v>
      </c>
      <c r="E87" s="844"/>
      <c r="F87" s="844"/>
      <c r="G87" s="844">
        <v>223</v>
      </c>
      <c r="H87" s="845" t="e">
        <f t="shared" si="1"/>
        <v>#REF!</v>
      </c>
    </row>
    <row r="88" spans="1:8" x14ac:dyDescent="0.15">
      <c r="A88" s="843" t="s">
        <v>111</v>
      </c>
      <c r="B88" s="844" t="s">
        <v>79</v>
      </c>
      <c r="C88" s="844" t="s">
        <v>80</v>
      </c>
      <c r="D88" s="844" t="s">
        <v>125</v>
      </c>
      <c r="E88" s="844"/>
      <c r="F88" s="844"/>
      <c r="G88" s="844">
        <v>224</v>
      </c>
      <c r="H88" s="845" t="e">
        <f t="shared" si="1"/>
        <v>#REF!</v>
      </c>
    </row>
    <row r="89" spans="1:8" x14ac:dyDescent="0.15">
      <c r="A89" s="843" t="s">
        <v>90</v>
      </c>
      <c r="B89" s="844" t="s">
        <v>79</v>
      </c>
      <c r="C89" s="844" t="s">
        <v>80</v>
      </c>
      <c r="D89" s="844" t="s">
        <v>125</v>
      </c>
      <c r="E89" s="844"/>
      <c r="F89" s="844"/>
      <c r="G89" s="844">
        <v>225</v>
      </c>
      <c r="H89" s="845" t="e">
        <f t="shared" si="1"/>
        <v>#REF!</v>
      </c>
    </row>
    <row r="90" spans="1:8" x14ac:dyDescent="0.15">
      <c r="A90" s="843" t="s">
        <v>91</v>
      </c>
      <c r="B90" s="844" t="s">
        <v>79</v>
      </c>
      <c r="C90" s="844" t="s">
        <v>80</v>
      </c>
      <c r="D90" s="844" t="s">
        <v>125</v>
      </c>
      <c r="E90" s="844"/>
      <c r="F90" s="844"/>
      <c r="G90" s="844">
        <v>226</v>
      </c>
      <c r="H90" s="845" t="e">
        <f t="shared" si="1"/>
        <v>#REF!</v>
      </c>
    </row>
    <row r="91" spans="1:8" x14ac:dyDescent="0.15">
      <c r="A91" s="843" t="s">
        <v>94</v>
      </c>
      <c r="B91" s="844" t="s">
        <v>79</v>
      </c>
      <c r="C91" s="844" t="s">
        <v>80</v>
      </c>
      <c r="D91" s="844" t="s">
        <v>125</v>
      </c>
      <c r="E91" s="844"/>
      <c r="F91" s="844"/>
      <c r="G91" s="844">
        <v>290</v>
      </c>
      <c r="H91" s="845" t="e">
        <f t="shared" si="1"/>
        <v>#REF!</v>
      </c>
    </row>
    <row r="92" spans="1:8" x14ac:dyDescent="0.15">
      <c r="A92" s="843" t="s">
        <v>94</v>
      </c>
      <c r="B92" s="844" t="s">
        <v>79</v>
      </c>
      <c r="C92" s="844" t="s">
        <v>80</v>
      </c>
      <c r="D92" s="844" t="s">
        <v>125</v>
      </c>
      <c r="E92" s="844"/>
      <c r="F92" s="844"/>
      <c r="G92" s="844">
        <v>290</v>
      </c>
      <c r="H92" s="845" t="e">
        <f t="shared" si="1"/>
        <v>#REF!</v>
      </c>
    </row>
    <row r="93" spans="1:8" x14ac:dyDescent="0.15">
      <c r="A93" s="843" t="s">
        <v>96</v>
      </c>
      <c r="B93" s="844" t="s">
        <v>79</v>
      </c>
      <c r="C93" s="844" t="s">
        <v>80</v>
      </c>
      <c r="D93" s="844" t="s">
        <v>125</v>
      </c>
      <c r="E93" s="844"/>
      <c r="F93" s="844"/>
      <c r="G93" s="844">
        <v>310</v>
      </c>
      <c r="H93" s="845" t="e">
        <f t="shared" si="1"/>
        <v>#REF!</v>
      </c>
    </row>
    <row r="94" spans="1:8" x14ac:dyDescent="0.15">
      <c r="A94" s="843" t="s">
        <v>97</v>
      </c>
      <c r="B94" s="844" t="s">
        <v>79</v>
      </c>
      <c r="C94" s="844" t="s">
        <v>80</v>
      </c>
      <c r="D94" s="844" t="s">
        <v>125</v>
      </c>
      <c r="E94" s="844"/>
      <c r="F94" s="844"/>
      <c r="G94" s="844">
        <v>340</v>
      </c>
      <c r="H94" s="845" t="e">
        <f t="shared" si="1"/>
        <v>#REF!</v>
      </c>
    </row>
    <row r="95" spans="1:8" x14ac:dyDescent="0.15">
      <c r="A95" s="839" t="s">
        <v>767</v>
      </c>
      <c r="B95" s="895" t="s">
        <v>79</v>
      </c>
      <c r="C95" s="895" t="s">
        <v>80</v>
      </c>
      <c r="D95" s="895" t="s">
        <v>125</v>
      </c>
      <c r="E95" s="841"/>
      <c r="F95" s="841" t="s">
        <v>768</v>
      </c>
      <c r="G95" s="846" t="s">
        <v>766</v>
      </c>
      <c r="H95" s="842" t="e">
        <f>H117+H186+H204+H222</f>
        <v>#REF!</v>
      </c>
    </row>
    <row r="96" spans="1:8" ht="28" x14ac:dyDescent="0.15">
      <c r="A96" s="896" t="s">
        <v>778</v>
      </c>
      <c r="B96" s="897" t="s">
        <v>79</v>
      </c>
      <c r="C96" s="897" t="s">
        <v>80</v>
      </c>
      <c r="D96" s="897" t="s">
        <v>125</v>
      </c>
      <c r="E96" s="897" t="s">
        <v>779</v>
      </c>
      <c r="F96" s="897"/>
      <c r="G96" s="898"/>
      <c r="H96" s="899">
        <f>H97</f>
        <v>31524</v>
      </c>
    </row>
    <row r="97" spans="1:8" ht="28" x14ac:dyDescent="0.15">
      <c r="A97" s="900" t="s">
        <v>780</v>
      </c>
      <c r="B97" s="901" t="s">
        <v>79</v>
      </c>
      <c r="C97" s="901" t="s">
        <v>80</v>
      </c>
      <c r="D97" s="901" t="s">
        <v>125</v>
      </c>
      <c r="E97" s="901" t="s">
        <v>779</v>
      </c>
      <c r="F97" s="901"/>
      <c r="G97" s="824"/>
      <c r="H97" s="902">
        <f>H98</f>
        <v>31524</v>
      </c>
    </row>
    <row r="98" spans="1:8" x14ac:dyDescent="0.15">
      <c r="A98" s="903" t="s">
        <v>781</v>
      </c>
      <c r="B98" s="904" t="s">
        <v>79</v>
      </c>
      <c r="C98" s="904" t="s">
        <v>80</v>
      </c>
      <c r="D98" s="904" t="s">
        <v>125</v>
      </c>
      <c r="E98" s="904" t="s">
        <v>779</v>
      </c>
      <c r="F98" s="904" t="s">
        <v>782</v>
      </c>
      <c r="G98" s="828"/>
      <c r="H98" s="905">
        <v>31524</v>
      </c>
    </row>
    <row r="99" spans="1:8" x14ac:dyDescent="0.15">
      <c r="A99" s="896" t="s">
        <v>783</v>
      </c>
      <c r="B99" s="897" t="s">
        <v>79</v>
      </c>
      <c r="C99" s="897" t="s">
        <v>80</v>
      </c>
      <c r="D99" s="897" t="s">
        <v>125</v>
      </c>
      <c r="E99" s="897" t="s">
        <v>784</v>
      </c>
      <c r="F99" s="897"/>
      <c r="G99" s="898"/>
      <c r="H99" s="899">
        <f>H100</f>
        <v>11211.3</v>
      </c>
    </row>
    <row r="100" spans="1:8" ht="28" x14ac:dyDescent="0.15">
      <c r="A100" s="900" t="s">
        <v>785</v>
      </c>
      <c r="B100" s="901" t="s">
        <v>79</v>
      </c>
      <c r="C100" s="901" t="s">
        <v>80</v>
      </c>
      <c r="D100" s="901" t="s">
        <v>125</v>
      </c>
      <c r="E100" s="901" t="s">
        <v>784</v>
      </c>
      <c r="F100" s="901" t="s">
        <v>267</v>
      </c>
      <c r="G100" s="824"/>
      <c r="H100" s="902">
        <v>11211.3</v>
      </c>
    </row>
    <row r="101" spans="1:8" ht="28" x14ac:dyDescent="0.15">
      <c r="A101" s="896" t="s">
        <v>786</v>
      </c>
      <c r="B101" s="897" t="s">
        <v>79</v>
      </c>
      <c r="C101" s="897" t="s">
        <v>80</v>
      </c>
      <c r="D101" s="897" t="s">
        <v>125</v>
      </c>
      <c r="E101" s="897" t="s">
        <v>231</v>
      </c>
      <c r="F101" s="898"/>
      <c r="G101" s="906"/>
      <c r="H101" s="907" t="e">
        <f>H102</f>
        <v>#REF!</v>
      </c>
    </row>
    <row r="102" spans="1:8" x14ac:dyDescent="0.15">
      <c r="A102" s="900" t="s">
        <v>762</v>
      </c>
      <c r="B102" s="901" t="s">
        <v>79</v>
      </c>
      <c r="C102" s="901" t="s">
        <v>80</v>
      </c>
      <c r="D102" s="901" t="s">
        <v>125</v>
      </c>
      <c r="E102" s="901" t="s">
        <v>231</v>
      </c>
      <c r="F102" s="908" t="s">
        <v>763</v>
      </c>
      <c r="G102" s="908"/>
      <c r="H102" s="858" t="e">
        <f>H103+H117</f>
        <v>#REF!</v>
      </c>
    </row>
    <row r="103" spans="1:8" ht="42" x14ac:dyDescent="0.15">
      <c r="A103" s="885" t="s">
        <v>775</v>
      </c>
      <c r="B103" s="886" t="s">
        <v>79</v>
      </c>
      <c r="C103" s="886" t="s">
        <v>80</v>
      </c>
      <c r="D103" s="886" t="s">
        <v>125</v>
      </c>
      <c r="E103" s="886" t="s">
        <v>231</v>
      </c>
      <c r="F103" s="867" t="s">
        <v>765</v>
      </c>
      <c r="G103" s="867" t="s">
        <v>766</v>
      </c>
      <c r="H103" s="863" t="e">
        <f>H104+H105+H106+H107+H108+H109+H110+H111+H112+H113+H114+H115+H116</f>
        <v>#REF!</v>
      </c>
    </row>
    <row r="104" spans="1:8" x14ac:dyDescent="0.15">
      <c r="A104" s="864" t="s">
        <v>124</v>
      </c>
      <c r="B104" s="865" t="s">
        <v>79</v>
      </c>
      <c r="C104" s="865" t="s">
        <v>80</v>
      </c>
      <c r="D104" s="865" t="s">
        <v>125</v>
      </c>
      <c r="E104" s="865" t="s">
        <v>231</v>
      </c>
      <c r="F104" s="867"/>
      <c r="G104" s="877">
        <v>211</v>
      </c>
      <c r="H104" s="909" t="e">
        <f>H121+H138+H155</f>
        <v>#REF!</v>
      </c>
    </row>
    <row r="105" spans="1:8" x14ac:dyDescent="0.15">
      <c r="A105" s="864" t="s">
        <v>83</v>
      </c>
      <c r="B105" s="865" t="s">
        <v>79</v>
      </c>
      <c r="C105" s="865" t="s">
        <v>80</v>
      </c>
      <c r="D105" s="865" t="s">
        <v>125</v>
      </c>
      <c r="E105" s="865" t="s">
        <v>231</v>
      </c>
      <c r="F105" s="865"/>
      <c r="G105" s="877">
        <v>212</v>
      </c>
      <c r="H105" s="909" t="e">
        <f t="shared" ref="H105:H117" si="2">H122+H139+H156</f>
        <v>#REF!</v>
      </c>
    </row>
    <row r="106" spans="1:8" x14ac:dyDescent="0.15">
      <c r="A106" s="864" t="s">
        <v>84</v>
      </c>
      <c r="B106" s="865" t="s">
        <v>79</v>
      </c>
      <c r="C106" s="865" t="s">
        <v>80</v>
      </c>
      <c r="D106" s="865" t="s">
        <v>125</v>
      </c>
      <c r="E106" s="865" t="s">
        <v>231</v>
      </c>
      <c r="F106" s="865"/>
      <c r="G106" s="877">
        <v>213</v>
      </c>
      <c r="H106" s="909" t="e">
        <f t="shared" si="2"/>
        <v>#REF!</v>
      </c>
    </row>
    <row r="107" spans="1:8" x14ac:dyDescent="0.15">
      <c r="A107" s="864" t="s">
        <v>85</v>
      </c>
      <c r="B107" s="865" t="s">
        <v>79</v>
      </c>
      <c r="C107" s="865" t="s">
        <v>80</v>
      </c>
      <c r="D107" s="865" t="s">
        <v>125</v>
      </c>
      <c r="E107" s="865" t="s">
        <v>231</v>
      </c>
      <c r="F107" s="865"/>
      <c r="G107" s="877">
        <v>221</v>
      </c>
      <c r="H107" s="909" t="e">
        <f t="shared" si="2"/>
        <v>#REF!</v>
      </c>
    </row>
    <row r="108" spans="1:8" x14ac:dyDescent="0.15">
      <c r="A108" s="864" t="s">
        <v>86</v>
      </c>
      <c r="B108" s="865" t="s">
        <v>79</v>
      </c>
      <c r="C108" s="865" t="s">
        <v>80</v>
      </c>
      <c r="D108" s="865" t="s">
        <v>125</v>
      </c>
      <c r="E108" s="865" t="s">
        <v>231</v>
      </c>
      <c r="F108" s="865"/>
      <c r="G108" s="877">
        <v>222</v>
      </c>
      <c r="H108" s="909" t="e">
        <f t="shared" si="2"/>
        <v>#REF!</v>
      </c>
    </row>
    <row r="109" spans="1:8" x14ac:dyDescent="0.15">
      <c r="A109" s="864" t="s">
        <v>87</v>
      </c>
      <c r="B109" s="865" t="s">
        <v>79</v>
      </c>
      <c r="C109" s="865" t="s">
        <v>80</v>
      </c>
      <c r="D109" s="865" t="s">
        <v>125</v>
      </c>
      <c r="E109" s="865" t="s">
        <v>231</v>
      </c>
      <c r="F109" s="865"/>
      <c r="G109" s="877">
        <v>223</v>
      </c>
      <c r="H109" s="909" t="e">
        <f t="shared" si="2"/>
        <v>#REF!</v>
      </c>
    </row>
    <row r="110" spans="1:8" x14ac:dyDescent="0.15">
      <c r="A110" s="864" t="s">
        <v>111</v>
      </c>
      <c r="B110" s="865" t="s">
        <v>79</v>
      </c>
      <c r="C110" s="865" t="s">
        <v>80</v>
      </c>
      <c r="D110" s="865" t="s">
        <v>125</v>
      </c>
      <c r="E110" s="865" t="s">
        <v>231</v>
      </c>
      <c r="F110" s="865"/>
      <c r="G110" s="877">
        <v>224</v>
      </c>
      <c r="H110" s="909" t="e">
        <f t="shared" si="2"/>
        <v>#REF!</v>
      </c>
    </row>
    <row r="111" spans="1:8" x14ac:dyDescent="0.15">
      <c r="A111" s="864" t="s">
        <v>90</v>
      </c>
      <c r="B111" s="865" t="s">
        <v>79</v>
      </c>
      <c r="C111" s="865" t="s">
        <v>80</v>
      </c>
      <c r="D111" s="865" t="s">
        <v>125</v>
      </c>
      <c r="E111" s="865" t="s">
        <v>231</v>
      </c>
      <c r="F111" s="865"/>
      <c r="G111" s="877">
        <v>225</v>
      </c>
      <c r="H111" s="909" t="e">
        <f t="shared" si="2"/>
        <v>#REF!</v>
      </c>
    </row>
    <row r="112" spans="1:8" x14ac:dyDescent="0.15">
      <c r="A112" s="864" t="s">
        <v>91</v>
      </c>
      <c r="B112" s="865" t="s">
        <v>79</v>
      </c>
      <c r="C112" s="865" t="s">
        <v>80</v>
      </c>
      <c r="D112" s="865" t="s">
        <v>125</v>
      </c>
      <c r="E112" s="865" t="s">
        <v>231</v>
      </c>
      <c r="F112" s="865"/>
      <c r="G112" s="877">
        <v>226</v>
      </c>
      <c r="H112" s="909" t="e">
        <f t="shared" si="2"/>
        <v>#REF!</v>
      </c>
    </row>
    <row r="113" spans="1:8" x14ac:dyDescent="0.15">
      <c r="A113" s="864" t="s">
        <v>94</v>
      </c>
      <c r="B113" s="865" t="s">
        <v>79</v>
      </c>
      <c r="C113" s="865" t="s">
        <v>80</v>
      </c>
      <c r="D113" s="865" t="s">
        <v>125</v>
      </c>
      <c r="E113" s="865" t="s">
        <v>231</v>
      </c>
      <c r="F113" s="865"/>
      <c r="G113" s="877">
        <v>290</v>
      </c>
      <c r="H113" s="909" t="e">
        <f t="shared" si="2"/>
        <v>#REF!</v>
      </c>
    </row>
    <row r="114" spans="1:8" x14ac:dyDescent="0.15">
      <c r="A114" s="864" t="s">
        <v>94</v>
      </c>
      <c r="B114" s="865" t="s">
        <v>79</v>
      </c>
      <c r="C114" s="865" t="s">
        <v>80</v>
      </c>
      <c r="D114" s="865" t="s">
        <v>125</v>
      </c>
      <c r="E114" s="865" t="s">
        <v>231</v>
      </c>
      <c r="F114" s="865"/>
      <c r="G114" s="877" t="s">
        <v>95</v>
      </c>
      <c r="H114" s="909" t="e">
        <f t="shared" si="2"/>
        <v>#REF!</v>
      </c>
    </row>
    <row r="115" spans="1:8" x14ac:dyDescent="0.15">
      <c r="A115" s="864" t="s">
        <v>96</v>
      </c>
      <c r="B115" s="865" t="s">
        <v>79</v>
      </c>
      <c r="C115" s="865" t="s">
        <v>80</v>
      </c>
      <c r="D115" s="865" t="s">
        <v>125</v>
      </c>
      <c r="E115" s="865" t="s">
        <v>231</v>
      </c>
      <c r="F115" s="865"/>
      <c r="G115" s="877">
        <v>310</v>
      </c>
      <c r="H115" s="909" t="e">
        <f t="shared" si="2"/>
        <v>#REF!</v>
      </c>
    </row>
    <row r="116" spans="1:8" x14ac:dyDescent="0.15">
      <c r="A116" s="864" t="s">
        <v>97</v>
      </c>
      <c r="B116" s="865" t="s">
        <v>79</v>
      </c>
      <c r="C116" s="865" t="s">
        <v>80</v>
      </c>
      <c r="D116" s="865" t="s">
        <v>125</v>
      </c>
      <c r="E116" s="865" t="s">
        <v>231</v>
      </c>
      <c r="F116" s="865"/>
      <c r="G116" s="877">
        <v>340</v>
      </c>
      <c r="H116" s="909" t="e">
        <f t="shared" si="2"/>
        <v>#REF!</v>
      </c>
    </row>
    <row r="117" spans="1:8" x14ac:dyDescent="0.15">
      <c r="A117" s="859" t="s">
        <v>767</v>
      </c>
      <c r="B117" s="867" t="s">
        <v>79</v>
      </c>
      <c r="C117" s="867" t="s">
        <v>80</v>
      </c>
      <c r="D117" s="867" t="s">
        <v>125</v>
      </c>
      <c r="E117" s="910">
        <v>4400000</v>
      </c>
      <c r="F117" s="867">
        <v>612</v>
      </c>
      <c r="G117" s="867" t="s">
        <v>766</v>
      </c>
      <c r="H117" s="863" t="e">
        <f t="shared" si="2"/>
        <v>#REF!</v>
      </c>
    </row>
    <row r="118" spans="1:8" x14ac:dyDescent="0.15">
      <c r="A118" s="896" t="s">
        <v>126</v>
      </c>
      <c r="B118" s="897" t="s">
        <v>79</v>
      </c>
      <c r="C118" s="897" t="s">
        <v>80</v>
      </c>
      <c r="D118" s="897" t="s">
        <v>125</v>
      </c>
      <c r="E118" s="897" t="s">
        <v>787</v>
      </c>
      <c r="F118" s="911"/>
      <c r="G118" s="879"/>
      <c r="H118" s="880"/>
    </row>
    <row r="119" spans="1:8" x14ac:dyDescent="0.15">
      <c r="A119" s="900" t="s">
        <v>762</v>
      </c>
      <c r="B119" s="901" t="s">
        <v>79</v>
      </c>
      <c r="C119" s="901" t="s">
        <v>80</v>
      </c>
      <c r="D119" s="901" t="s">
        <v>125</v>
      </c>
      <c r="E119" s="901" t="s">
        <v>213</v>
      </c>
      <c r="F119" s="901" t="s">
        <v>763</v>
      </c>
      <c r="G119" s="908"/>
      <c r="H119" s="858" t="e">
        <f>H120+H134</f>
        <v>#REF!</v>
      </c>
    </row>
    <row r="120" spans="1:8" ht="42" x14ac:dyDescent="0.15">
      <c r="A120" s="885" t="s">
        <v>775</v>
      </c>
      <c r="B120" s="886" t="s">
        <v>79</v>
      </c>
      <c r="C120" s="886" t="s">
        <v>80</v>
      </c>
      <c r="D120" s="886" t="s">
        <v>125</v>
      </c>
      <c r="E120" s="886" t="s">
        <v>213</v>
      </c>
      <c r="F120" s="886" t="s">
        <v>765</v>
      </c>
      <c r="G120" s="867" t="s">
        <v>766</v>
      </c>
      <c r="H120" s="863" t="e">
        <f>H121+H122+H123+H124+H125+H126+H127+H128+H129+H130+H131+H132+H133</f>
        <v>#REF!</v>
      </c>
    </row>
    <row r="121" spans="1:8" x14ac:dyDescent="0.15">
      <c r="A121" s="864" t="s">
        <v>124</v>
      </c>
      <c r="B121" s="865" t="s">
        <v>79</v>
      </c>
      <c r="C121" s="865" t="s">
        <v>80</v>
      </c>
      <c r="D121" s="865" t="s">
        <v>125</v>
      </c>
      <c r="E121" s="912">
        <v>4409900</v>
      </c>
      <c r="F121" s="865"/>
      <c r="G121" s="877">
        <v>211</v>
      </c>
      <c r="H121" s="890" t="e">
        <f>'[8]Роспись 2013по БП'!H260</f>
        <v>#REF!</v>
      </c>
    </row>
    <row r="122" spans="1:8" x14ac:dyDescent="0.15">
      <c r="A122" s="864" t="s">
        <v>83</v>
      </c>
      <c r="B122" s="865" t="s">
        <v>79</v>
      </c>
      <c r="C122" s="865" t="s">
        <v>80</v>
      </c>
      <c r="D122" s="865" t="s">
        <v>125</v>
      </c>
      <c r="E122" s="912">
        <v>4409900</v>
      </c>
      <c r="F122" s="865"/>
      <c r="G122" s="877">
        <v>212</v>
      </c>
      <c r="H122" s="890" t="e">
        <f>'[8]Роспись 2013по БП'!H261</f>
        <v>#REF!</v>
      </c>
    </row>
    <row r="123" spans="1:8" x14ac:dyDescent="0.15">
      <c r="A123" s="864" t="s">
        <v>84</v>
      </c>
      <c r="B123" s="865" t="s">
        <v>79</v>
      </c>
      <c r="C123" s="865" t="s">
        <v>80</v>
      </c>
      <c r="D123" s="865" t="s">
        <v>125</v>
      </c>
      <c r="E123" s="912">
        <v>4409900</v>
      </c>
      <c r="F123" s="865"/>
      <c r="G123" s="877">
        <v>213</v>
      </c>
      <c r="H123" s="890" t="e">
        <f>'[8]Роспись 2013по БП'!H262</f>
        <v>#REF!</v>
      </c>
    </row>
    <row r="124" spans="1:8" x14ac:dyDescent="0.15">
      <c r="A124" s="864" t="s">
        <v>85</v>
      </c>
      <c r="B124" s="865" t="s">
        <v>79</v>
      </c>
      <c r="C124" s="865" t="s">
        <v>80</v>
      </c>
      <c r="D124" s="865" t="s">
        <v>125</v>
      </c>
      <c r="E124" s="912">
        <v>4409900</v>
      </c>
      <c r="F124" s="865"/>
      <c r="G124" s="877">
        <v>221</v>
      </c>
      <c r="H124" s="890" t="e">
        <f>'[8]Роспись 2013по БП'!H263</f>
        <v>#REF!</v>
      </c>
    </row>
    <row r="125" spans="1:8" x14ac:dyDescent="0.15">
      <c r="A125" s="864" t="s">
        <v>86</v>
      </c>
      <c r="B125" s="865" t="s">
        <v>79</v>
      </c>
      <c r="C125" s="865" t="s">
        <v>80</v>
      </c>
      <c r="D125" s="865" t="s">
        <v>125</v>
      </c>
      <c r="E125" s="912">
        <v>4409900</v>
      </c>
      <c r="F125" s="865"/>
      <c r="G125" s="877">
        <v>222</v>
      </c>
      <c r="H125" s="890" t="e">
        <f>'[8]Роспись 2013по БП'!H264</f>
        <v>#REF!</v>
      </c>
    </row>
    <row r="126" spans="1:8" x14ac:dyDescent="0.15">
      <c r="A126" s="864" t="s">
        <v>87</v>
      </c>
      <c r="B126" s="865" t="s">
        <v>79</v>
      </c>
      <c r="C126" s="865" t="s">
        <v>80</v>
      </c>
      <c r="D126" s="865" t="s">
        <v>125</v>
      </c>
      <c r="E126" s="912">
        <v>4409900</v>
      </c>
      <c r="F126" s="865"/>
      <c r="G126" s="877">
        <v>223</v>
      </c>
      <c r="H126" s="890" t="e">
        <f>'[8]Роспись 2013по БП'!H265</f>
        <v>#REF!</v>
      </c>
    </row>
    <row r="127" spans="1:8" x14ac:dyDescent="0.15">
      <c r="A127" s="864" t="s">
        <v>111</v>
      </c>
      <c r="B127" s="865" t="s">
        <v>79</v>
      </c>
      <c r="C127" s="865" t="s">
        <v>80</v>
      </c>
      <c r="D127" s="865" t="s">
        <v>125</v>
      </c>
      <c r="E127" s="912">
        <v>4409900</v>
      </c>
      <c r="F127" s="865"/>
      <c r="G127" s="877">
        <v>224</v>
      </c>
      <c r="H127" s="890" t="e">
        <f>'[8]Роспись 2013по БП'!H266</f>
        <v>#REF!</v>
      </c>
    </row>
    <row r="128" spans="1:8" x14ac:dyDescent="0.15">
      <c r="A128" s="864" t="s">
        <v>90</v>
      </c>
      <c r="B128" s="865" t="s">
        <v>79</v>
      </c>
      <c r="C128" s="865" t="s">
        <v>80</v>
      </c>
      <c r="D128" s="865" t="s">
        <v>125</v>
      </c>
      <c r="E128" s="912">
        <v>4409900</v>
      </c>
      <c r="F128" s="865"/>
      <c r="G128" s="877">
        <v>225</v>
      </c>
      <c r="H128" s="890" t="e">
        <f>'[8]Роспись 2013по БП'!H267</f>
        <v>#REF!</v>
      </c>
    </row>
    <row r="129" spans="1:8" x14ac:dyDescent="0.15">
      <c r="A129" s="864" t="s">
        <v>91</v>
      </c>
      <c r="B129" s="865" t="s">
        <v>79</v>
      </c>
      <c r="C129" s="865" t="s">
        <v>80</v>
      </c>
      <c r="D129" s="865" t="s">
        <v>125</v>
      </c>
      <c r="E129" s="912">
        <v>4409900</v>
      </c>
      <c r="F129" s="865"/>
      <c r="G129" s="877">
        <v>226</v>
      </c>
      <c r="H129" s="890" t="e">
        <f>'[8]Роспись 2013по БП'!H268</f>
        <v>#REF!</v>
      </c>
    </row>
    <row r="130" spans="1:8" x14ac:dyDescent="0.15">
      <c r="A130" s="864" t="s">
        <v>94</v>
      </c>
      <c r="B130" s="865" t="s">
        <v>79</v>
      </c>
      <c r="C130" s="865" t="s">
        <v>80</v>
      </c>
      <c r="D130" s="865" t="s">
        <v>125</v>
      </c>
      <c r="E130" s="912">
        <v>4409900</v>
      </c>
      <c r="F130" s="865"/>
      <c r="G130" s="877">
        <v>290</v>
      </c>
      <c r="H130" s="890" t="e">
        <f>'[8]Роспись 2013по БП'!H269</f>
        <v>#REF!</v>
      </c>
    </row>
    <row r="131" spans="1:8" x14ac:dyDescent="0.15">
      <c r="A131" s="864" t="s">
        <v>94</v>
      </c>
      <c r="B131" s="865" t="s">
        <v>79</v>
      </c>
      <c r="C131" s="865" t="s">
        <v>80</v>
      </c>
      <c r="D131" s="865" t="s">
        <v>125</v>
      </c>
      <c r="E131" s="912">
        <v>4409900</v>
      </c>
      <c r="F131" s="865"/>
      <c r="G131" s="877" t="s">
        <v>95</v>
      </c>
      <c r="H131" s="890" t="e">
        <f>'[8]Роспись 2013по БП'!H270</f>
        <v>#REF!</v>
      </c>
    </row>
    <row r="132" spans="1:8" x14ac:dyDescent="0.15">
      <c r="A132" s="864" t="s">
        <v>96</v>
      </c>
      <c r="B132" s="865" t="s">
        <v>79</v>
      </c>
      <c r="C132" s="865" t="s">
        <v>80</v>
      </c>
      <c r="D132" s="865" t="s">
        <v>125</v>
      </c>
      <c r="E132" s="912">
        <v>4409900</v>
      </c>
      <c r="F132" s="865"/>
      <c r="G132" s="877">
        <v>310</v>
      </c>
      <c r="H132" s="890" t="e">
        <f>'[8]Роспись 2013по БП'!H271</f>
        <v>#REF!</v>
      </c>
    </row>
    <row r="133" spans="1:8" x14ac:dyDescent="0.15">
      <c r="A133" s="864" t="s">
        <v>97</v>
      </c>
      <c r="B133" s="865" t="s">
        <v>79</v>
      </c>
      <c r="C133" s="865" t="s">
        <v>80</v>
      </c>
      <c r="D133" s="865" t="s">
        <v>125</v>
      </c>
      <c r="E133" s="912">
        <v>4409900</v>
      </c>
      <c r="F133" s="865"/>
      <c r="G133" s="877">
        <v>340</v>
      </c>
      <c r="H133" s="890" t="e">
        <f>'[8]Роспись 2013по БП'!H272</f>
        <v>#REF!</v>
      </c>
    </row>
    <row r="134" spans="1:8" x14ac:dyDescent="0.15">
      <c r="A134" s="859" t="s">
        <v>767</v>
      </c>
      <c r="B134" s="886" t="s">
        <v>79</v>
      </c>
      <c r="C134" s="886" t="s">
        <v>80</v>
      </c>
      <c r="D134" s="886" t="s">
        <v>125</v>
      </c>
      <c r="E134" s="886" t="s">
        <v>213</v>
      </c>
      <c r="F134" s="886" t="s">
        <v>768</v>
      </c>
      <c r="G134" s="868" t="s">
        <v>766</v>
      </c>
      <c r="H134" s="891" t="e">
        <f>'[8]Роспись 2013по БП'!H273</f>
        <v>#REF!</v>
      </c>
    </row>
    <row r="135" spans="1:8" ht="70" x14ac:dyDescent="0.15">
      <c r="A135" s="896" t="s">
        <v>788</v>
      </c>
      <c r="B135" s="897" t="s">
        <v>79</v>
      </c>
      <c r="C135" s="897" t="s">
        <v>80</v>
      </c>
      <c r="D135" s="897" t="s">
        <v>125</v>
      </c>
      <c r="E135" s="897" t="s">
        <v>255</v>
      </c>
      <c r="F135" s="897"/>
      <c r="G135" s="913"/>
      <c r="H135" s="914"/>
    </row>
    <row r="136" spans="1:8" x14ac:dyDescent="0.15">
      <c r="A136" s="900" t="s">
        <v>762</v>
      </c>
      <c r="B136" s="901" t="s">
        <v>79</v>
      </c>
      <c r="C136" s="901" t="s">
        <v>80</v>
      </c>
      <c r="D136" s="901" t="s">
        <v>125</v>
      </c>
      <c r="E136" s="901" t="s">
        <v>255</v>
      </c>
      <c r="F136" s="901" t="s">
        <v>763</v>
      </c>
      <c r="G136" s="915"/>
      <c r="H136" s="858" t="e">
        <f>H137+H151</f>
        <v>#REF!</v>
      </c>
    </row>
    <row r="137" spans="1:8" ht="42" x14ac:dyDescent="0.15">
      <c r="A137" s="885" t="s">
        <v>775</v>
      </c>
      <c r="B137" s="886" t="s">
        <v>79</v>
      </c>
      <c r="C137" s="886" t="s">
        <v>80</v>
      </c>
      <c r="D137" s="886" t="s">
        <v>125</v>
      </c>
      <c r="E137" s="886" t="s">
        <v>255</v>
      </c>
      <c r="F137" s="886" t="s">
        <v>765</v>
      </c>
      <c r="G137" s="868" t="s">
        <v>766</v>
      </c>
      <c r="H137" s="863" t="e">
        <f>H138+H139+H140+H141+H142+H143+H144+H145+H146+H147+H148+H149+H150</f>
        <v>#REF!</v>
      </c>
    </row>
    <row r="138" spans="1:8" x14ac:dyDescent="0.15">
      <c r="A138" s="864" t="s">
        <v>124</v>
      </c>
      <c r="B138" s="865" t="s">
        <v>79</v>
      </c>
      <c r="C138" s="865" t="s">
        <v>80</v>
      </c>
      <c r="D138" s="865" t="s">
        <v>125</v>
      </c>
      <c r="E138" s="865">
        <v>4409901</v>
      </c>
      <c r="F138" s="865"/>
      <c r="G138" s="877">
        <v>211</v>
      </c>
      <c r="H138" s="890" t="e">
        <f>'[8]Роспись 2013по БП'!H277</f>
        <v>#REF!</v>
      </c>
    </row>
    <row r="139" spans="1:8" x14ac:dyDescent="0.15">
      <c r="A139" s="864" t="s">
        <v>83</v>
      </c>
      <c r="B139" s="865" t="s">
        <v>79</v>
      </c>
      <c r="C139" s="865" t="s">
        <v>80</v>
      </c>
      <c r="D139" s="865" t="s">
        <v>125</v>
      </c>
      <c r="E139" s="865">
        <v>4409901</v>
      </c>
      <c r="F139" s="865"/>
      <c r="G139" s="877">
        <v>212</v>
      </c>
      <c r="H139" s="890" t="e">
        <f>'[8]Роспись 2013по БП'!H278</f>
        <v>#REF!</v>
      </c>
    </row>
    <row r="140" spans="1:8" x14ac:dyDescent="0.15">
      <c r="A140" s="864" t="s">
        <v>84</v>
      </c>
      <c r="B140" s="865" t="s">
        <v>79</v>
      </c>
      <c r="C140" s="865" t="s">
        <v>80</v>
      </c>
      <c r="D140" s="865" t="s">
        <v>125</v>
      </c>
      <c r="E140" s="865">
        <v>4409901</v>
      </c>
      <c r="F140" s="865"/>
      <c r="G140" s="877">
        <v>213</v>
      </c>
      <c r="H140" s="890" t="e">
        <f>'[8]Роспись 2013по БП'!H279</f>
        <v>#REF!</v>
      </c>
    </row>
    <row r="141" spans="1:8" x14ac:dyDescent="0.15">
      <c r="A141" s="864" t="s">
        <v>85</v>
      </c>
      <c r="B141" s="865" t="s">
        <v>79</v>
      </c>
      <c r="C141" s="865" t="s">
        <v>80</v>
      </c>
      <c r="D141" s="865" t="s">
        <v>125</v>
      </c>
      <c r="E141" s="865">
        <v>4409901</v>
      </c>
      <c r="F141" s="865"/>
      <c r="G141" s="877">
        <v>221</v>
      </c>
      <c r="H141" s="890" t="e">
        <f>'[8]Роспись 2013по БП'!H280</f>
        <v>#REF!</v>
      </c>
    </row>
    <row r="142" spans="1:8" x14ac:dyDescent="0.15">
      <c r="A142" s="864" t="s">
        <v>86</v>
      </c>
      <c r="B142" s="865" t="s">
        <v>79</v>
      </c>
      <c r="C142" s="865" t="s">
        <v>80</v>
      </c>
      <c r="D142" s="865" t="s">
        <v>125</v>
      </c>
      <c r="E142" s="865">
        <v>4409901</v>
      </c>
      <c r="F142" s="865"/>
      <c r="G142" s="877">
        <v>222</v>
      </c>
      <c r="H142" s="890" t="e">
        <f>'[8]Роспись 2013по БП'!H281</f>
        <v>#REF!</v>
      </c>
    </row>
    <row r="143" spans="1:8" x14ac:dyDescent="0.15">
      <c r="A143" s="864" t="s">
        <v>87</v>
      </c>
      <c r="B143" s="865" t="s">
        <v>79</v>
      </c>
      <c r="C143" s="865" t="s">
        <v>80</v>
      </c>
      <c r="D143" s="865" t="s">
        <v>125</v>
      </c>
      <c r="E143" s="865">
        <v>4409901</v>
      </c>
      <c r="F143" s="865"/>
      <c r="G143" s="877">
        <v>223</v>
      </c>
      <c r="H143" s="890" t="e">
        <f>'[8]Роспись 2013по БП'!H282</f>
        <v>#REF!</v>
      </c>
    </row>
    <row r="144" spans="1:8" x14ac:dyDescent="0.15">
      <c r="A144" s="864" t="s">
        <v>111</v>
      </c>
      <c r="B144" s="865" t="s">
        <v>79</v>
      </c>
      <c r="C144" s="865" t="s">
        <v>80</v>
      </c>
      <c r="D144" s="865" t="s">
        <v>125</v>
      </c>
      <c r="E144" s="865">
        <v>4409901</v>
      </c>
      <c r="F144" s="865"/>
      <c r="G144" s="877">
        <v>224</v>
      </c>
      <c r="H144" s="890" t="e">
        <f>'[8]Роспись 2013по БП'!H283</f>
        <v>#REF!</v>
      </c>
    </row>
    <row r="145" spans="1:8" x14ac:dyDescent="0.15">
      <c r="A145" s="864" t="s">
        <v>90</v>
      </c>
      <c r="B145" s="865" t="s">
        <v>79</v>
      </c>
      <c r="C145" s="865" t="s">
        <v>80</v>
      </c>
      <c r="D145" s="865" t="s">
        <v>125</v>
      </c>
      <c r="E145" s="865">
        <v>4409901</v>
      </c>
      <c r="F145" s="865"/>
      <c r="G145" s="877">
        <v>225</v>
      </c>
      <c r="H145" s="890" t="e">
        <f>'[8]Роспись 2013по БП'!H284</f>
        <v>#REF!</v>
      </c>
    </row>
    <row r="146" spans="1:8" x14ac:dyDescent="0.15">
      <c r="A146" s="864" t="s">
        <v>91</v>
      </c>
      <c r="B146" s="865" t="s">
        <v>79</v>
      </c>
      <c r="C146" s="865" t="s">
        <v>80</v>
      </c>
      <c r="D146" s="865" t="s">
        <v>125</v>
      </c>
      <c r="E146" s="865">
        <v>4409901</v>
      </c>
      <c r="F146" s="865"/>
      <c r="G146" s="877">
        <v>226</v>
      </c>
      <c r="H146" s="890" t="e">
        <f>'[8]Роспись 2013по БП'!H285</f>
        <v>#REF!</v>
      </c>
    </row>
    <row r="147" spans="1:8" x14ac:dyDescent="0.15">
      <c r="A147" s="864" t="s">
        <v>94</v>
      </c>
      <c r="B147" s="865" t="s">
        <v>79</v>
      </c>
      <c r="C147" s="865" t="s">
        <v>80</v>
      </c>
      <c r="D147" s="865" t="s">
        <v>125</v>
      </c>
      <c r="E147" s="865">
        <v>4409901</v>
      </c>
      <c r="F147" s="865"/>
      <c r="G147" s="877">
        <v>290</v>
      </c>
      <c r="H147" s="890" t="e">
        <f>'[8]Роспись 2013по БП'!H286</f>
        <v>#REF!</v>
      </c>
    </row>
    <row r="148" spans="1:8" x14ac:dyDescent="0.15">
      <c r="A148" s="864" t="s">
        <v>94</v>
      </c>
      <c r="B148" s="865" t="s">
        <v>79</v>
      </c>
      <c r="C148" s="865" t="s">
        <v>80</v>
      </c>
      <c r="D148" s="865" t="s">
        <v>125</v>
      </c>
      <c r="E148" s="865" t="s">
        <v>255</v>
      </c>
      <c r="F148" s="865"/>
      <c r="G148" s="877" t="s">
        <v>95</v>
      </c>
      <c r="H148" s="890" t="e">
        <f>'[8]Роспись 2013по БП'!H287</f>
        <v>#REF!</v>
      </c>
    </row>
    <row r="149" spans="1:8" x14ac:dyDescent="0.15">
      <c r="A149" s="864" t="s">
        <v>96</v>
      </c>
      <c r="B149" s="865" t="s">
        <v>79</v>
      </c>
      <c r="C149" s="865" t="s">
        <v>80</v>
      </c>
      <c r="D149" s="865" t="s">
        <v>125</v>
      </c>
      <c r="E149" s="865">
        <v>4409901</v>
      </c>
      <c r="F149" s="865"/>
      <c r="G149" s="877">
        <v>310</v>
      </c>
      <c r="H149" s="890" t="e">
        <f>'[8]Роспись 2013по БП'!H288</f>
        <v>#REF!</v>
      </c>
    </row>
    <row r="150" spans="1:8" x14ac:dyDescent="0.15">
      <c r="A150" s="864" t="s">
        <v>97</v>
      </c>
      <c r="B150" s="865" t="s">
        <v>79</v>
      </c>
      <c r="C150" s="865" t="s">
        <v>80</v>
      </c>
      <c r="D150" s="865" t="s">
        <v>125</v>
      </c>
      <c r="E150" s="865">
        <v>4409901</v>
      </c>
      <c r="F150" s="865"/>
      <c r="G150" s="877">
        <v>340</v>
      </c>
      <c r="H150" s="890" t="e">
        <f>'[8]Роспись 2013по БП'!H289</f>
        <v>#REF!</v>
      </c>
    </row>
    <row r="151" spans="1:8" x14ac:dyDescent="0.15">
      <c r="A151" s="859" t="s">
        <v>767</v>
      </c>
      <c r="B151" s="862" t="s">
        <v>79</v>
      </c>
      <c r="C151" s="862" t="s">
        <v>80</v>
      </c>
      <c r="D151" s="862" t="s">
        <v>125</v>
      </c>
      <c r="E151" s="862" t="s">
        <v>255</v>
      </c>
      <c r="F151" s="862" t="s">
        <v>768</v>
      </c>
      <c r="G151" s="862" t="s">
        <v>766</v>
      </c>
      <c r="H151" s="891" t="e">
        <f>'[8]Роспись 2013по БП'!H290</f>
        <v>#REF!</v>
      </c>
    </row>
    <row r="152" spans="1:8" ht="28" x14ac:dyDescent="0.15">
      <c r="A152" s="896" t="s">
        <v>789</v>
      </c>
      <c r="B152" s="897" t="s">
        <v>79</v>
      </c>
      <c r="C152" s="897" t="s">
        <v>80</v>
      </c>
      <c r="D152" s="897" t="s">
        <v>125</v>
      </c>
      <c r="E152" s="897" t="s">
        <v>790</v>
      </c>
      <c r="F152" s="897"/>
      <c r="G152" s="916"/>
      <c r="H152" s="917"/>
    </row>
    <row r="153" spans="1:8" x14ac:dyDescent="0.15">
      <c r="A153" s="900" t="s">
        <v>762</v>
      </c>
      <c r="B153" s="901" t="s">
        <v>79</v>
      </c>
      <c r="C153" s="901" t="s">
        <v>80</v>
      </c>
      <c r="D153" s="901" t="s">
        <v>125</v>
      </c>
      <c r="E153" s="901" t="s">
        <v>790</v>
      </c>
      <c r="F153" s="901" t="s">
        <v>763</v>
      </c>
      <c r="G153" s="915"/>
      <c r="H153" s="858" t="e">
        <f>H154+H168</f>
        <v>#REF!</v>
      </c>
    </row>
    <row r="154" spans="1:8" ht="42" x14ac:dyDescent="0.15">
      <c r="A154" s="885" t="s">
        <v>775</v>
      </c>
      <c r="B154" s="886" t="s">
        <v>79</v>
      </c>
      <c r="C154" s="886" t="s">
        <v>80</v>
      </c>
      <c r="D154" s="886" t="s">
        <v>125</v>
      </c>
      <c r="E154" s="886" t="s">
        <v>790</v>
      </c>
      <c r="F154" s="886" t="s">
        <v>765</v>
      </c>
      <c r="G154" s="868" t="s">
        <v>766</v>
      </c>
      <c r="H154" s="863" t="e">
        <f>H155+H156+H157+H158+H159+H160+H161+H162+H163+H164+H165+H166+H167</f>
        <v>#REF!</v>
      </c>
    </row>
    <row r="155" spans="1:8" x14ac:dyDescent="0.15">
      <c r="A155" s="864" t="s">
        <v>124</v>
      </c>
      <c r="B155" s="865" t="s">
        <v>79</v>
      </c>
      <c r="C155" s="865" t="s">
        <v>80</v>
      </c>
      <c r="D155" s="865" t="s">
        <v>125</v>
      </c>
      <c r="E155" s="912">
        <v>4409902</v>
      </c>
      <c r="F155" s="865"/>
      <c r="G155" s="877">
        <v>211</v>
      </c>
      <c r="H155" s="890" t="e">
        <f>'[8]Роспись 2013по БП'!H294</f>
        <v>#REF!</v>
      </c>
    </row>
    <row r="156" spans="1:8" x14ac:dyDescent="0.15">
      <c r="A156" s="864" t="s">
        <v>83</v>
      </c>
      <c r="B156" s="865" t="s">
        <v>79</v>
      </c>
      <c r="C156" s="865" t="s">
        <v>80</v>
      </c>
      <c r="D156" s="865" t="s">
        <v>125</v>
      </c>
      <c r="E156" s="912">
        <v>4409902</v>
      </c>
      <c r="F156" s="865"/>
      <c r="G156" s="877">
        <v>212</v>
      </c>
      <c r="H156" s="890" t="e">
        <f>'[8]Роспись 2013по БП'!H295</f>
        <v>#REF!</v>
      </c>
    </row>
    <row r="157" spans="1:8" x14ac:dyDescent="0.15">
      <c r="A157" s="864" t="s">
        <v>84</v>
      </c>
      <c r="B157" s="865" t="s">
        <v>79</v>
      </c>
      <c r="C157" s="865" t="s">
        <v>80</v>
      </c>
      <c r="D157" s="865" t="s">
        <v>125</v>
      </c>
      <c r="E157" s="912">
        <v>4409902</v>
      </c>
      <c r="F157" s="865"/>
      <c r="G157" s="877">
        <v>213</v>
      </c>
      <c r="H157" s="890" t="e">
        <f>'[8]Роспись 2013по БП'!H296</f>
        <v>#REF!</v>
      </c>
    </row>
    <row r="158" spans="1:8" x14ac:dyDescent="0.15">
      <c r="A158" s="864" t="s">
        <v>85</v>
      </c>
      <c r="B158" s="865" t="s">
        <v>79</v>
      </c>
      <c r="C158" s="865" t="s">
        <v>80</v>
      </c>
      <c r="D158" s="865" t="s">
        <v>125</v>
      </c>
      <c r="E158" s="912">
        <v>4409902</v>
      </c>
      <c r="F158" s="865"/>
      <c r="G158" s="877">
        <v>221</v>
      </c>
      <c r="H158" s="890" t="e">
        <f>'[8]Роспись 2013по БП'!H297</f>
        <v>#REF!</v>
      </c>
    </row>
    <row r="159" spans="1:8" x14ac:dyDescent="0.15">
      <c r="A159" s="864" t="s">
        <v>86</v>
      </c>
      <c r="B159" s="865" t="s">
        <v>79</v>
      </c>
      <c r="C159" s="865" t="s">
        <v>80</v>
      </c>
      <c r="D159" s="865" t="s">
        <v>125</v>
      </c>
      <c r="E159" s="912">
        <v>4409902</v>
      </c>
      <c r="F159" s="865"/>
      <c r="G159" s="877">
        <v>222</v>
      </c>
      <c r="H159" s="890" t="e">
        <f>'[8]Роспись 2013по БП'!H298</f>
        <v>#REF!</v>
      </c>
    </row>
    <row r="160" spans="1:8" x14ac:dyDescent="0.15">
      <c r="A160" s="864" t="s">
        <v>87</v>
      </c>
      <c r="B160" s="865" t="s">
        <v>79</v>
      </c>
      <c r="C160" s="865" t="s">
        <v>80</v>
      </c>
      <c r="D160" s="865" t="s">
        <v>125</v>
      </c>
      <c r="E160" s="912">
        <v>4409902</v>
      </c>
      <c r="F160" s="865"/>
      <c r="G160" s="877">
        <v>223</v>
      </c>
      <c r="H160" s="890" t="e">
        <f>'[8]Роспись 2013по БП'!H299</f>
        <v>#REF!</v>
      </c>
    </row>
    <row r="161" spans="1:8" x14ac:dyDescent="0.15">
      <c r="A161" s="864" t="s">
        <v>111</v>
      </c>
      <c r="B161" s="865" t="s">
        <v>79</v>
      </c>
      <c r="C161" s="865" t="s">
        <v>80</v>
      </c>
      <c r="D161" s="865" t="s">
        <v>125</v>
      </c>
      <c r="E161" s="912">
        <v>4409902</v>
      </c>
      <c r="F161" s="865"/>
      <c r="G161" s="877">
        <v>224</v>
      </c>
      <c r="H161" s="890" t="e">
        <f>'[8]Роспись 2013по БП'!H300</f>
        <v>#REF!</v>
      </c>
    </row>
    <row r="162" spans="1:8" x14ac:dyDescent="0.15">
      <c r="A162" s="864" t="s">
        <v>90</v>
      </c>
      <c r="B162" s="865" t="s">
        <v>79</v>
      </c>
      <c r="C162" s="865" t="s">
        <v>80</v>
      </c>
      <c r="D162" s="865" t="s">
        <v>125</v>
      </c>
      <c r="E162" s="912">
        <v>4409902</v>
      </c>
      <c r="F162" s="865"/>
      <c r="G162" s="877">
        <v>225</v>
      </c>
      <c r="H162" s="890" t="e">
        <f>'[8]Роспись 2013по БП'!H301</f>
        <v>#REF!</v>
      </c>
    </row>
    <row r="163" spans="1:8" x14ac:dyDescent="0.15">
      <c r="A163" s="864" t="s">
        <v>91</v>
      </c>
      <c r="B163" s="865" t="s">
        <v>79</v>
      </c>
      <c r="C163" s="865" t="s">
        <v>80</v>
      </c>
      <c r="D163" s="865" t="s">
        <v>125</v>
      </c>
      <c r="E163" s="912">
        <v>4409902</v>
      </c>
      <c r="F163" s="865"/>
      <c r="G163" s="877">
        <v>226</v>
      </c>
      <c r="H163" s="890" t="e">
        <f>'[8]Роспись 2013по БП'!H302</f>
        <v>#REF!</v>
      </c>
    </row>
    <row r="164" spans="1:8" x14ac:dyDescent="0.15">
      <c r="A164" s="864" t="s">
        <v>94</v>
      </c>
      <c r="B164" s="865" t="s">
        <v>79</v>
      </c>
      <c r="C164" s="865" t="s">
        <v>80</v>
      </c>
      <c r="D164" s="865" t="s">
        <v>125</v>
      </c>
      <c r="E164" s="912">
        <v>4409902</v>
      </c>
      <c r="F164" s="865"/>
      <c r="G164" s="877">
        <v>290</v>
      </c>
      <c r="H164" s="890" t="e">
        <f>'[8]Роспись 2013по БП'!H303</f>
        <v>#REF!</v>
      </c>
    </row>
    <row r="165" spans="1:8" x14ac:dyDescent="0.15">
      <c r="A165" s="864" t="s">
        <v>94</v>
      </c>
      <c r="B165" s="865" t="s">
        <v>79</v>
      </c>
      <c r="C165" s="865" t="s">
        <v>80</v>
      </c>
      <c r="D165" s="865" t="s">
        <v>125</v>
      </c>
      <c r="E165" s="912">
        <v>4409902</v>
      </c>
      <c r="F165" s="865"/>
      <c r="G165" s="877" t="s">
        <v>95</v>
      </c>
      <c r="H165" s="890" t="e">
        <f>'[8]Роспись 2013по БП'!H304</f>
        <v>#REF!</v>
      </c>
    </row>
    <row r="166" spans="1:8" x14ac:dyDescent="0.15">
      <c r="A166" s="864" t="s">
        <v>96</v>
      </c>
      <c r="B166" s="865" t="s">
        <v>79</v>
      </c>
      <c r="C166" s="865" t="s">
        <v>80</v>
      </c>
      <c r="D166" s="865" t="s">
        <v>125</v>
      </c>
      <c r="E166" s="912">
        <v>4409902</v>
      </c>
      <c r="F166" s="865"/>
      <c r="G166" s="877">
        <v>310</v>
      </c>
      <c r="H166" s="890" t="e">
        <f>'[8]Роспись 2013по БП'!H305</f>
        <v>#REF!</v>
      </c>
    </row>
    <row r="167" spans="1:8" x14ac:dyDescent="0.15">
      <c r="A167" s="864" t="s">
        <v>97</v>
      </c>
      <c r="B167" s="865" t="s">
        <v>79</v>
      </c>
      <c r="C167" s="865" t="s">
        <v>80</v>
      </c>
      <c r="D167" s="865" t="s">
        <v>125</v>
      </c>
      <c r="E167" s="912">
        <v>4409902</v>
      </c>
      <c r="F167" s="865"/>
      <c r="G167" s="877">
        <v>340</v>
      </c>
      <c r="H167" s="890" t="e">
        <f>'[8]Роспись 2013по БП'!H306</f>
        <v>#REF!</v>
      </c>
    </row>
    <row r="168" spans="1:8" x14ac:dyDescent="0.15">
      <c r="A168" s="859" t="s">
        <v>767</v>
      </c>
      <c r="B168" s="867" t="s">
        <v>79</v>
      </c>
      <c r="C168" s="867" t="s">
        <v>80</v>
      </c>
      <c r="D168" s="867" t="s">
        <v>125</v>
      </c>
      <c r="E168" s="910">
        <v>4409902</v>
      </c>
      <c r="F168" s="867">
        <v>612</v>
      </c>
      <c r="G168" s="867" t="s">
        <v>766</v>
      </c>
      <c r="H168" s="863">
        <v>0</v>
      </c>
    </row>
    <row r="169" spans="1:8" x14ac:dyDescent="0.15">
      <c r="A169" s="896" t="s">
        <v>791</v>
      </c>
      <c r="B169" s="897" t="s">
        <v>79</v>
      </c>
      <c r="C169" s="897" t="s">
        <v>80</v>
      </c>
      <c r="D169" s="897" t="s">
        <v>125</v>
      </c>
      <c r="E169" s="897" t="s">
        <v>233</v>
      </c>
      <c r="F169" s="897"/>
      <c r="G169" s="918"/>
      <c r="H169" s="917"/>
    </row>
    <row r="170" spans="1:8" ht="28" x14ac:dyDescent="0.15">
      <c r="A170" s="919" t="s">
        <v>792</v>
      </c>
      <c r="B170" s="920" t="s">
        <v>79</v>
      </c>
      <c r="C170" s="920" t="s">
        <v>80</v>
      </c>
      <c r="D170" s="920" t="s">
        <v>125</v>
      </c>
      <c r="E170" s="920" t="s">
        <v>214</v>
      </c>
      <c r="F170" s="920"/>
      <c r="G170" s="921"/>
      <c r="H170" s="922"/>
    </row>
    <row r="171" spans="1:8" x14ac:dyDescent="0.15">
      <c r="A171" s="900" t="s">
        <v>762</v>
      </c>
      <c r="B171" s="908" t="s">
        <v>79</v>
      </c>
      <c r="C171" s="908" t="s">
        <v>80</v>
      </c>
      <c r="D171" s="908" t="s">
        <v>125</v>
      </c>
      <c r="E171" s="923" t="s">
        <v>214</v>
      </c>
      <c r="F171" s="923" t="s">
        <v>763</v>
      </c>
      <c r="G171" s="915"/>
      <c r="H171" s="858" t="e">
        <f>H172+H186</f>
        <v>#REF!</v>
      </c>
    </row>
    <row r="172" spans="1:8" ht="42" x14ac:dyDescent="0.15">
      <c r="A172" s="885" t="s">
        <v>775</v>
      </c>
      <c r="B172" s="886" t="s">
        <v>79</v>
      </c>
      <c r="C172" s="886" t="s">
        <v>80</v>
      </c>
      <c r="D172" s="886" t="s">
        <v>125</v>
      </c>
      <c r="E172" s="886" t="s">
        <v>214</v>
      </c>
      <c r="F172" s="886" t="s">
        <v>765</v>
      </c>
      <c r="G172" s="868" t="s">
        <v>766</v>
      </c>
      <c r="H172" s="863" t="e">
        <f>H173+H174+H175+H176+H177+H178+H179+H180+H181+H182+H183+H184+H185</f>
        <v>#REF!</v>
      </c>
    </row>
    <row r="173" spans="1:8" x14ac:dyDescent="0.15">
      <c r="A173" s="864" t="s">
        <v>124</v>
      </c>
      <c r="B173" s="865" t="s">
        <v>79</v>
      </c>
      <c r="C173" s="865" t="s">
        <v>80</v>
      </c>
      <c r="D173" s="865" t="s">
        <v>125</v>
      </c>
      <c r="E173" s="865" t="s">
        <v>214</v>
      </c>
      <c r="F173" s="865"/>
      <c r="G173" s="877">
        <v>211</v>
      </c>
      <c r="H173" s="890" t="e">
        <f>'[8]Роспись 2013по БП'!H312</f>
        <v>#REF!</v>
      </c>
    </row>
    <row r="174" spans="1:8" x14ac:dyDescent="0.15">
      <c r="A174" s="864" t="s">
        <v>83</v>
      </c>
      <c r="B174" s="865" t="s">
        <v>79</v>
      </c>
      <c r="C174" s="865" t="s">
        <v>80</v>
      </c>
      <c r="D174" s="865" t="s">
        <v>125</v>
      </c>
      <c r="E174" s="865" t="s">
        <v>214</v>
      </c>
      <c r="F174" s="865"/>
      <c r="G174" s="877">
        <v>212</v>
      </c>
      <c r="H174" s="890" t="e">
        <f>'[8]Роспись 2013по БП'!H313</f>
        <v>#REF!</v>
      </c>
    </row>
    <row r="175" spans="1:8" x14ac:dyDescent="0.15">
      <c r="A175" s="864" t="s">
        <v>84</v>
      </c>
      <c r="B175" s="865" t="s">
        <v>79</v>
      </c>
      <c r="C175" s="865" t="s">
        <v>80</v>
      </c>
      <c r="D175" s="865" t="s">
        <v>125</v>
      </c>
      <c r="E175" s="865" t="s">
        <v>214</v>
      </c>
      <c r="F175" s="865"/>
      <c r="G175" s="877">
        <v>213</v>
      </c>
      <c r="H175" s="890" t="e">
        <f>'[8]Роспись 2013по БП'!H314</f>
        <v>#REF!</v>
      </c>
    </row>
    <row r="176" spans="1:8" x14ac:dyDescent="0.15">
      <c r="A176" s="864" t="s">
        <v>85</v>
      </c>
      <c r="B176" s="865" t="s">
        <v>79</v>
      </c>
      <c r="C176" s="865" t="s">
        <v>80</v>
      </c>
      <c r="D176" s="865" t="s">
        <v>125</v>
      </c>
      <c r="E176" s="865" t="s">
        <v>214</v>
      </c>
      <c r="F176" s="865"/>
      <c r="G176" s="877">
        <v>221</v>
      </c>
      <c r="H176" s="890" t="e">
        <f>'[8]Роспись 2013по БП'!H315</f>
        <v>#REF!</v>
      </c>
    </row>
    <row r="177" spans="1:8" x14ac:dyDescent="0.15">
      <c r="A177" s="864" t="s">
        <v>86</v>
      </c>
      <c r="B177" s="865" t="s">
        <v>79</v>
      </c>
      <c r="C177" s="865" t="s">
        <v>80</v>
      </c>
      <c r="D177" s="865" t="s">
        <v>125</v>
      </c>
      <c r="E177" s="865" t="s">
        <v>214</v>
      </c>
      <c r="F177" s="865"/>
      <c r="G177" s="877">
        <v>222</v>
      </c>
      <c r="H177" s="890" t="e">
        <f>'[8]Роспись 2013по БП'!H316</f>
        <v>#REF!</v>
      </c>
    </row>
    <row r="178" spans="1:8" x14ac:dyDescent="0.15">
      <c r="A178" s="864" t="s">
        <v>87</v>
      </c>
      <c r="B178" s="865" t="s">
        <v>79</v>
      </c>
      <c r="C178" s="865" t="s">
        <v>80</v>
      </c>
      <c r="D178" s="865" t="s">
        <v>125</v>
      </c>
      <c r="E178" s="865" t="s">
        <v>214</v>
      </c>
      <c r="F178" s="865"/>
      <c r="G178" s="877">
        <v>223</v>
      </c>
      <c r="H178" s="890" t="e">
        <f>'[8]Роспись 2013по БП'!H317</f>
        <v>#REF!</v>
      </c>
    </row>
    <row r="179" spans="1:8" x14ac:dyDescent="0.15">
      <c r="A179" s="864" t="s">
        <v>111</v>
      </c>
      <c r="B179" s="865" t="s">
        <v>79</v>
      </c>
      <c r="C179" s="865" t="s">
        <v>80</v>
      </c>
      <c r="D179" s="865" t="s">
        <v>125</v>
      </c>
      <c r="E179" s="865" t="s">
        <v>214</v>
      </c>
      <c r="F179" s="865"/>
      <c r="G179" s="877">
        <v>224</v>
      </c>
      <c r="H179" s="890" t="e">
        <f>'[8]Роспись 2013по БП'!H318</f>
        <v>#REF!</v>
      </c>
    </row>
    <row r="180" spans="1:8" x14ac:dyDescent="0.15">
      <c r="A180" s="864" t="s">
        <v>90</v>
      </c>
      <c r="B180" s="865" t="s">
        <v>79</v>
      </c>
      <c r="C180" s="865" t="s">
        <v>80</v>
      </c>
      <c r="D180" s="865" t="s">
        <v>125</v>
      </c>
      <c r="E180" s="865" t="s">
        <v>214</v>
      </c>
      <c r="F180" s="865"/>
      <c r="G180" s="877">
        <v>225</v>
      </c>
      <c r="H180" s="890" t="e">
        <f>'[8]Роспись 2013по БП'!H319</f>
        <v>#REF!</v>
      </c>
    </row>
    <row r="181" spans="1:8" x14ac:dyDescent="0.15">
      <c r="A181" s="864" t="s">
        <v>91</v>
      </c>
      <c r="B181" s="865" t="s">
        <v>79</v>
      </c>
      <c r="C181" s="865" t="s">
        <v>80</v>
      </c>
      <c r="D181" s="865" t="s">
        <v>125</v>
      </c>
      <c r="E181" s="865" t="s">
        <v>214</v>
      </c>
      <c r="F181" s="865"/>
      <c r="G181" s="877">
        <v>226</v>
      </c>
      <c r="H181" s="890" t="e">
        <f>'[8]Роспись 2013по БП'!H320</f>
        <v>#REF!</v>
      </c>
    </row>
    <row r="182" spans="1:8" x14ac:dyDescent="0.15">
      <c r="A182" s="864" t="s">
        <v>94</v>
      </c>
      <c r="B182" s="865" t="s">
        <v>79</v>
      </c>
      <c r="C182" s="865" t="s">
        <v>80</v>
      </c>
      <c r="D182" s="865" t="s">
        <v>125</v>
      </c>
      <c r="E182" s="865" t="s">
        <v>214</v>
      </c>
      <c r="F182" s="865"/>
      <c r="G182" s="877">
        <v>290</v>
      </c>
      <c r="H182" s="890" t="e">
        <f>'[8]Роспись 2013по БП'!H321</f>
        <v>#REF!</v>
      </c>
    </row>
    <row r="183" spans="1:8" x14ac:dyDescent="0.15">
      <c r="A183" s="864" t="s">
        <v>94</v>
      </c>
      <c r="B183" s="865" t="s">
        <v>79</v>
      </c>
      <c r="C183" s="865" t="s">
        <v>80</v>
      </c>
      <c r="D183" s="865" t="s">
        <v>125</v>
      </c>
      <c r="E183" s="865" t="s">
        <v>214</v>
      </c>
      <c r="F183" s="865"/>
      <c r="G183" s="877" t="s">
        <v>95</v>
      </c>
      <c r="H183" s="890" t="e">
        <f>'[8]Роспись 2013по БП'!H322</f>
        <v>#REF!</v>
      </c>
    </row>
    <row r="184" spans="1:8" x14ac:dyDescent="0.15">
      <c r="A184" s="864" t="s">
        <v>96</v>
      </c>
      <c r="B184" s="865" t="s">
        <v>79</v>
      </c>
      <c r="C184" s="865" t="s">
        <v>80</v>
      </c>
      <c r="D184" s="865" t="s">
        <v>125</v>
      </c>
      <c r="E184" s="865" t="s">
        <v>214</v>
      </c>
      <c r="F184" s="865"/>
      <c r="G184" s="877">
        <v>310</v>
      </c>
      <c r="H184" s="890" t="e">
        <f>'[8]Роспись 2013по БП'!H323</f>
        <v>#REF!</v>
      </c>
    </row>
    <row r="185" spans="1:8" x14ac:dyDescent="0.15">
      <c r="A185" s="864" t="s">
        <v>97</v>
      </c>
      <c r="B185" s="865" t="s">
        <v>79</v>
      </c>
      <c r="C185" s="865" t="s">
        <v>80</v>
      </c>
      <c r="D185" s="865" t="s">
        <v>125</v>
      </c>
      <c r="E185" s="865" t="s">
        <v>214</v>
      </c>
      <c r="F185" s="865"/>
      <c r="G185" s="877">
        <v>340</v>
      </c>
      <c r="H185" s="890" t="e">
        <f>'[8]Роспись 2013по БП'!H324</f>
        <v>#REF!</v>
      </c>
    </row>
    <row r="186" spans="1:8" x14ac:dyDescent="0.15">
      <c r="A186" s="859" t="s">
        <v>767</v>
      </c>
      <c r="B186" s="867" t="s">
        <v>79</v>
      </c>
      <c r="C186" s="867" t="s">
        <v>80</v>
      </c>
      <c r="D186" s="867" t="s">
        <v>125</v>
      </c>
      <c r="E186" s="867" t="s">
        <v>214</v>
      </c>
      <c r="F186" s="867" t="s">
        <v>768</v>
      </c>
      <c r="G186" s="868" t="s">
        <v>766</v>
      </c>
      <c r="H186" s="891" t="e">
        <f>'[8]Роспись 2013по БП'!H325</f>
        <v>#REF!</v>
      </c>
    </row>
    <row r="187" spans="1:8" x14ac:dyDescent="0.15">
      <c r="A187" s="896" t="s">
        <v>793</v>
      </c>
      <c r="B187" s="897" t="s">
        <v>79</v>
      </c>
      <c r="C187" s="897" t="s">
        <v>80</v>
      </c>
      <c r="D187" s="897" t="s">
        <v>125</v>
      </c>
      <c r="E187" s="897" t="s">
        <v>236</v>
      </c>
      <c r="F187" s="897"/>
      <c r="G187" s="924"/>
      <c r="H187" s="925"/>
    </row>
    <row r="188" spans="1:8" ht="42" x14ac:dyDescent="0.15">
      <c r="A188" s="926" t="s">
        <v>794</v>
      </c>
      <c r="B188" s="911" t="s">
        <v>79</v>
      </c>
      <c r="C188" s="911" t="s">
        <v>80</v>
      </c>
      <c r="D188" s="911" t="s">
        <v>125</v>
      </c>
      <c r="E188" s="911" t="s">
        <v>215</v>
      </c>
      <c r="F188" s="911"/>
      <c r="G188" s="918"/>
      <c r="H188" s="907"/>
    </row>
    <row r="189" spans="1:8" x14ac:dyDescent="0.15">
      <c r="A189" s="900" t="s">
        <v>762</v>
      </c>
      <c r="B189" s="901" t="s">
        <v>79</v>
      </c>
      <c r="C189" s="901" t="s">
        <v>80</v>
      </c>
      <c r="D189" s="901" t="s">
        <v>125</v>
      </c>
      <c r="E189" s="901" t="s">
        <v>215</v>
      </c>
      <c r="F189" s="901" t="s">
        <v>763</v>
      </c>
      <c r="G189" s="915"/>
      <c r="H189" s="858" t="e">
        <f>H190+H204</f>
        <v>#REF!</v>
      </c>
    </row>
    <row r="190" spans="1:8" ht="42" x14ac:dyDescent="0.15">
      <c r="A190" s="885" t="s">
        <v>775</v>
      </c>
      <c r="B190" s="886" t="s">
        <v>79</v>
      </c>
      <c r="C190" s="886" t="s">
        <v>80</v>
      </c>
      <c r="D190" s="886" t="s">
        <v>125</v>
      </c>
      <c r="E190" s="886" t="s">
        <v>215</v>
      </c>
      <c r="F190" s="886" t="s">
        <v>763</v>
      </c>
      <c r="G190" s="868" t="s">
        <v>766</v>
      </c>
      <c r="H190" s="863" t="e">
        <f>H191+H192+H193+H194+H195+H196+H197+H198+H199+H200+H201+H202+H203</f>
        <v>#REF!</v>
      </c>
    </row>
    <row r="191" spans="1:8" x14ac:dyDescent="0.15">
      <c r="A191" s="864" t="s">
        <v>78</v>
      </c>
      <c r="B191" s="865" t="s">
        <v>79</v>
      </c>
      <c r="C191" s="865" t="s">
        <v>80</v>
      </c>
      <c r="D191" s="865" t="s">
        <v>125</v>
      </c>
      <c r="E191" s="865" t="s">
        <v>215</v>
      </c>
      <c r="F191" s="865"/>
      <c r="G191" s="877">
        <v>211</v>
      </c>
      <c r="H191" s="866" t="e">
        <f>'[8]Роспись 2013по БП'!H394</f>
        <v>#REF!</v>
      </c>
    </row>
    <row r="192" spans="1:8" x14ac:dyDescent="0.15">
      <c r="A192" s="864" t="s">
        <v>103</v>
      </c>
      <c r="B192" s="865" t="s">
        <v>79</v>
      </c>
      <c r="C192" s="865" t="s">
        <v>80</v>
      </c>
      <c r="D192" s="865" t="s">
        <v>125</v>
      </c>
      <c r="E192" s="865" t="s">
        <v>215</v>
      </c>
      <c r="F192" s="865"/>
      <c r="G192" s="877">
        <v>212</v>
      </c>
      <c r="H192" s="866" t="e">
        <f>'[8]Роспись 2013по БП'!H395</f>
        <v>#REF!</v>
      </c>
    </row>
    <row r="193" spans="1:8" x14ac:dyDescent="0.15">
      <c r="A193" s="864" t="s">
        <v>84</v>
      </c>
      <c r="B193" s="865" t="s">
        <v>79</v>
      </c>
      <c r="C193" s="865" t="s">
        <v>80</v>
      </c>
      <c r="D193" s="865" t="s">
        <v>125</v>
      </c>
      <c r="E193" s="865" t="s">
        <v>215</v>
      </c>
      <c r="F193" s="865"/>
      <c r="G193" s="877">
        <v>213</v>
      </c>
      <c r="H193" s="866" t="e">
        <f>'[8]Роспись 2013по БП'!H396</f>
        <v>#REF!</v>
      </c>
    </row>
    <row r="194" spans="1:8" x14ac:dyDescent="0.15">
      <c r="A194" s="864" t="s">
        <v>85</v>
      </c>
      <c r="B194" s="865" t="s">
        <v>79</v>
      </c>
      <c r="C194" s="865" t="s">
        <v>80</v>
      </c>
      <c r="D194" s="865" t="s">
        <v>125</v>
      </c>
      <c r="E194" s="865" t="s">
        <v>215</v>
      </c>
      <c r="F194" s="865"/>
      <c r="G194" s="877">
        <v>221</v>
      </c>
      <c r="H194" s="866" t="e">
        <f>'[8]Роспись 2013по БП'!H397</f>
        <v>#REF!</v>
      </c>
    </row>
    <row r="195" spans="1:8" x14ac:dyDescent="0.15">
      <c r="A195" s="864" t="s">
        <v>86</v>
      </c>
      <c r="B195" s="865" t="s">
        <v>79</v>
      </c>
      <c r="C195" s="865" t="s">
        <v>80</v>
      </c>
      <c r="D195" s="865" t="s">
        <v>125</v>
      </c>
      <c r="E195" s="865" t="s">
        <v>215</v>
      </c>
      <c r="F195" s="865"/>
      <c r="G195" s="877">
        <v>222</v>
      </c>
      <c r="H195" s="866" t="e">
        <f>'[8]Роспись 2013по БП'!H398</f>
        <v>#REF!</v>
      </c>
    </row>
    <row r="196" spans="1:8" x14ac:dyDescent="0.15">
      <c r="A196" s="864" t="s">
        <v>87</v>
      </c>
      <c r="B196" s="865" t="s">
        <v>79</v>
      </c>
      <c r="C196" s="865" t="s">
        <v>80</v>
      </c>
      <c r="D196" s="865" t="s">
        <v>125</v>
      </c>
      <c r="E196" s="865" t="s">
        <v>215</v>
      </c>
      <c r="F196" s="865"/>
      <c r="G196" s="877">
        <v>223</v>
      </c>
      <c r="H196" s="866" t="e">
        <f>'[8]Роспись 2013по БП'!H399</f>
        <v>#REF!</v>
      </c>
    </row>
    <row r="197" spans="1:8" x14ac:dyDescent="0.15">
      <c r="A197" s="864" t="s">
        <v>134</v>
      </c>
      <c r="B197" s="865" t="s">
        <v>79</v>
      </c>
      <c r="C197" s="865" t="s">
        <v>80</v>
      </c>
      <c r="D197" s="865" t="s">
        <v>125</v>
      </c>
      <c r="E197" s="865" t="s">
        <v>215</v>
      </c>
      <c r="F197" s="865"/>
      <c r="G197" s="877">
        <v>224</v>
      </c>
      <c r="H197" s="866" t="e">
        <f>'[8]Роспись 2013по БП'!H400</f>
        <v>#REF!</v>
      </c>
    </row>
    <row r="198" spans="1:8" x14ac:dyDescent="0.15">
      <c r="A198" s="864" t="s">
        <v>90</v>
      </c>
      <c r="B198" s="865" t="s">
        <v>79</v>
      </c>
      <c r="C198" s="865" t="s">
        <v>80</v>
      </c>
      <c r="D198" s="865" t="s">
        <v>125</v>
      </c>
      <c r="E198" s="865" t="s">
        <v>215</v>
      </c>
      <c r="F198" s="865"/>
      <c r="G198" s="877">
        <v>225</v>
      </c>
      <c r="H198" s="866" t="e">
        <f>'[8]Роспись 2013по БП'!H401</f>
        <v>#REF!</v>
      </c>
    </row>
    <row r="199" spans="1:8" x14ac:dyDescent="0.15">
      <c r="A199" s="864" t="s">
        <v>91</v>
      </c>
      <c r="B199" s="865" t="s">
        <v>79</v>
      </c>
      <c r="C199" s="865" t="s">
        <v>80</v>
      </c>
      <c r="D199" s="865" t="s">
        <v>125</v>
      </c>
      <c r="E199" s="865" t="s">
        <v>215</v>
      </c>
      <c r="F199" s="865"/>
      <c r="G199" s="877">
        <v>226</v>
      </c>
      <c r="H199" s="866" t="e">
        <f>'[8]Роспись 2013по БП'!H402</f>
        <v>#REF!</v>
      </c>
    </row>
    <row r="200" spans="1:8" x14ac:dyDescent="0.15">
      <c r="A200" s="864" t="s">
        <v>94</v>
      </c>
      <c r="B200" s="865" t="s">
        <v>79</v>
      </c>
      <c r="C200" s="865" t="s">
        <v>80</v>
      </c>
      <c r="D200" s="865" t="s">
        <v>125</v>
      </c>
      <c r="E200" s="865" t="s">
        <v>215</v>
      </c>
      <c r="F200" s="865"/>
      <c r="G200" s="877">
        <v>290</v>
      </c>
      <c r="H200" s="866" t="e">
        <f>'[8]Роспись 2013по БП'!H403</f>
        <v>#REF!</v>
      </c>
    </row>
    <row r="201" spans="1:8" x14ac:dyDescent="0.15">
      <c r="A201" s="864" t="s">
        <v>94</v>
      </c>
      <c r="B201" s="865" t="s">
        <v>79</v>
      </c>
      <c r="C201" s="865" t="s">
        <v>80</v>
      </c>
      <c r="D201" s="865" t="s">
        <v>125</v>
      </c>
      <c r="E201" s="865" t="s">
        <v>215</v>
      </c>
      <c r="F201" s="865"/>
      <c r="G201" s="877" t="s">
        <v>95</v>
      </c>
      <c r="H201" s="866" t="e">
        <f>'[8]Роспись 2013по БП'!H404</f>
        <v>#REF!</v>
      </c>
    </row>
    <row r="202" spans="1:8" x14ac:dyDescent="0.15">
      <c r="A202" s="864" t="s">
        <v>96</v>
      </c>
      <c r="B202" s="865" t="s">
        <v>79</v>
      </c>
      <c r="C202" s="865" t="s">
        <v>80</v>
      </c>
      <c r="D202" s="865" t="s">
        <v>125</v>
      </c>
      <c r="E202" s="865" t="s">
        <v>215</v>
      </c>
      <c r="F202" s="865"/>
      <c r="G202" s="877">
        <v>310</v>
      </c>
      <c r="H202" s="866" t="e">
        <f>'[8]Роспись 2013по БП'!H405</f>
        <v>#REF!</v>
      </c>
    </row>
    <row r="203" spans="1:8" x14ac:dyDescent="0.15">
      <c r="A203" s="864" t="s">
        <v>97</v>
      </c>
      <c r="B203" s="865" t="s">
        <v>79</v>
      </c>
      <c r="C203" s="865" t="s">
        <v>80</v>
      </c>
      <c r="D203" s="865" t="s">
        <v>125</v>
      </c>
      <c r="E203" s="865" t="s">
        <v>215</v>
      </c>
      <c r="F203" s="865"/>
      <c r="G203" s="877">
        <v>340</v>
      </c>
      <c r="H203" s="866" t="e">
        <f>'[8]Роспись 2013по БП'!H406</f>
        <v>#REF!</v>
      </c>
    </row>
    <row r="204" spans="1:8" x14ac:dyDescent="0.15">
      <c r="A204" s="859" t="s">
        <v>767</v>
      </c>
      <c r="B204" s="867" t="s">
        <v>79</v>
      </c>
      <c r="C204" s="867" t="s">
        <v>80</v>
      </c>
      <c r="D204" s="867" t="s">
        <v>125</v>
      </c>
      <c r="E204" s="867" t="s">
        <v>215</v>
      </c>
      <c r="F204" s="867" t="s">
        <v>768</v>
      </c>
      <c r="G204" s="868" t="s">
        <v>766</v>
      </c>
      <c r="H204" s="863" t="e">
        <f>'[8]Роспись 2013по БП'!H407</f>
        <v>#REF!</v>
      </c>
    </row>
    <row r="205" spans="1:8" ht="28" x14ac:dyDescent="0.15">
      <c r="A205" s="896" t="s">
        <v>795</v>
      </c>
      <c r="B205" s="897" t="s">
        <v>79</v>
      </c>
      <c r="C205" s="897" t="s">
        <v>80</v>
      </c>
      <c r="D205" s="897" t="s">
        <v>125</v>
      </c>
      <c r="E205" s="897" t="s">
        <v>239</v>
      </c>
      <c r="F205" s="897"/>
      <c r="G205" s="918"/>
      <c r="H205" s="907"/>
    </row>
    <row r="206" spans="1:8" ht="42" x14ac:dyDescent="0.15">
      <c r="A206" s="926" t="s">
        <v>796</v>
      </c>
      <c r="B206" s="911" t="s">
        <v>79</v>
      </c>
      <c r="C206" s="911" t="s">
        <v>80</v>
      </c>
      <c r="D206" s="911" t="s">
        <v>125</v>
      </c>
      <c r="E206" s="911" t="s">
        <v>216</v>
      </c>
      <c r="F206" s="911"/>
      <c r="G206" s="918"/>
      <c r="H206" s="907"/>
    </row>
    <row r="207" spans="1:8" x14ac:dyDescent="0.15">
      <c r="A207" s="900" t="s">
        <v>762</v>
      </c>
      <c r="B207" s="901" t="s">
        <v>79</v>
      </c>
      <c r="C207" s="901" t="s">
        <v>80</v>
      </c>
      <c r="D207" s="901" t="s">
        <v>125</v>
      </c>
      <c r="E207" s="901" t="s">
        <v>216</v>
      </c>
      <c r="F207" s="901" t="s">
        <v>763</v>
      </c>
      <c r="G207" s="915"/>
      <c r="H207" s="858" t="e">
        <f>H208+H222</f>
        <v>#REF!</v>
      </c>
    </row>
    <row r="208" spans="1:8" ht="42" x14ac:dyDescent="0.15">
      <c r="A208" s="885" t="s">
        <v>775</v>
      </c>
      <c r="B208" s="886" t="s">
        <v>79</v>
      </c>
      <c r="C208" s="886" t="s">
        <v>80</v>
      </c>
      <c r="D208" s="886" t="s">
        <v>125</v>
      </c>
      <c r="E208" s="886" t="s">
        <v>216</v>
      </c>
      <c r="F208" s="886" t="s">
        <v>765</v>
      </c>
      <c r="G208" s="868" t="s">
        <v>766</v>
      </c>
      <c r="H208" s="863" t="e">
        <f>H209+H210+H211+H212+H213+H214+H215+H216+H217+H218+H219+H220+H221</f>
        <v>#REF!</v>
      </c>
    </row>
    <row r="209" spans="1:8" x14ac:dyDescent="0.15">
      <c r="A209" s="864" t="s">
        <v>78</v>
      </c>
      <c r="B209" s="865" t="s">
        <v>79</v>
      </c>
      <c r="C209" s="865" t="s">
        <v>80</v>
      </c>
      <c r="D209" s="865" t="s">
        <v>125</v>
      </c>
      <c r="E209" s="865" t="s">
        <v>216</v>
      </c>
      <c r="F209" s="865"/>
      <c r="G209" s="877">
        <v>211</v>
      </c>
      <c r="H209" s="866" t="e">
        <f>'[8]Роспись 2013по БП'!H476</f>
        <v>#REF!</v>
      </c>
    </row>
    <row r="210" spans="1:8" x14ac:dyDescent="0.15">
      <c r="A210" s="864" t="s">
        <v>103</v>
      </c>
      <c r="B210" s="865" t="s">
        <v>79</v>
      </c>
      <c r="C210" s="865" t="s">
        <v>80</v>
      </c>
      <c r="D210" s="865" t="s">
        <v>125</v>
      </c>
      <c r="E210" s="865" t="s">
        <v>216</v>
      </c>
      <c r="F210" s="865"/>
      <c r="G210" s="877">
        <v>212</v>
      </c>
      <c r="H210" s="866" t="e">
        <f>'[8]Роспись 2013по БП'!H477</f>
        <v>#REF!</v>
      </c>
    </row>
    <row r="211" spans="1:8" x14ac:dyDescent="0.15">
      <c r="A211" s="864" t="s">
        <v>84</v>
      </c>
      <c r="B211" s="865" t="s">
        <v>79</v>
      </c>
      <c r="C211" s="865" t="s">
        <v>80</v>
      </c>
      <c r="D211" s="865" t="s">
        <v>125</v>
      </c>
      <c r="E211" s="865" t="s">
        <v>216</v>
      </c>
      <c r="F211" s="865"/>
      <c r="G211" s="877">
        <v>213</v>
      </c>
      <c r="H211" s="866" t="e">
        <f>'[8]Роспись 2013по БП'!H478</f>
        <v>#REF!</v>
      </c>
    </row>
    <row r="212" spans="1:8" x14ac:dyDescent="0.15">
      <c r="A212" s="864" t="s">
        <v>85</v>
      </c>
      <c r="B212" s="865" t="s">
        <v>79</v>
      </c>
      <c r="C212" s="865" t="s">
        <v>80</v>
      </c>
      <c r="D212" s="865" t="s">
        <v>125</v>
      </c>
      <c r="E212" s="865" t="s">
        <v>216</v>
      </c>
      <c r="F212" s="865"/>
      <c r="G212" s="877">
        <v>221</v>
      </c>
      <c r="H212" s="866" t="e">
        <f>'[8]Роспись 2013по БП'!H479</f>
        <v>#REF!</v>
      </c>
    </row>
    <row r="213" spans="1:8" x14ac:dyDescent="0.15">
      <c r="A213" s="864" t="s">
        <v>86</v>
      </c>
      <c r="B213" s="865" t="s">
        <v>79</v>
      </c>
      <c r="C213" s="865" t="s">
        <v>80</v>
      </c>
      <c r="D213" s="865" t="s">
        <v>125</v>
      </c>
      <c r="E213" s="865" t="s">
        <v>216</v>
      </c>
      <c r="F213" s="865"/>
      <c r="G213" s="877">
        <v>222</v>
      </c>
      <c r="H213" s="866" t="e">
        <f>'[8]Роспись 2013по БП'!H480</f>
        <v>#REF!</v>
      </c>
    </row>
    <row r="214" spans="1:8" x14ac:dyDescent="0.15">
      <c r="A214" s="864" t="s">
        <v>87</v>
      </c>
      <c r="B214" s="865" t="s">
        <v>79</v>
      </c>
      <c r="C214" s="865" t="s">
        <v>80</v>
      </c>
      <c r="D214" s="865" t="s">
        <v>125</v>
      </c>
      <c r="E214" s="865" t="s">
        <v>216</v>
      </c>
      <c r="F214" s="865"/>
      <c r="G214" s="877">
        <v>223</v>
      </c>
      <c r="H214" s="866" t="e">
        <f>'[8]Роспись 2013по БП'!H481</f>
        <v>#REF!</v>
      </c>
    </row>
    <row r="215" spans="1:8" x14ac:dyDescent="0.15">
      <c r="A215" s="864" t="s">
        <v>134</v>
      </c>
      <c r="B215" s="865" t="s">
        <v>79</v>
      </c>
      <c r="C215" s="865" t="s">
        <v>80</v>
      </c>
      <c r="D215" s="865" t="s">
        <v>125</v>
      </c>
      <c r="E215" s="865" t="s">
        <v>216</v>
      </c>
      <c r="F215" s="865"/>
      <c r="G215" s="877">
        <v>224</v>
      </c>
      <c r="H215" s="866" t="e">
        <f>'[8]Роспись 2013по БП'!H482</f>
        <v>#REF!</v>
      </c>
    </row>
    <row r="216" spans="1:8" x14ac:dyDescent="0.15">
      <c r="A216" s="864" t="s">
        <v>90</v>
      </c>
      <c r="B216" s="865" t="s">
        <v>79</v>
      </c>
      <c r="C216" s="865" t="s">
        <v>80</v>
      </c>
      <c r="D216" s="865" t="s">
        <v>125</v>
      </c>
      <c r="E216" s="865" t="s">
        <v>216</v>
      </c>
      <c r="F216" s="865"/>
      <c r="G216" s="877">
        <v>225</v>
      </c>
      <c r="H216" s="866" t="e">
        <f>'[8]Роспись 2013по БП'!H483</f>
        <v>#REF!</v>
      </c>
    </row>
    <row r="217" spans="1:8" x14ac:dyDescent="0.15">
      <c r="A217" s="864" t="s">
        <v>91</v>
      </c>
      <c r="B217" s="865" t="s">
        <v>79</v>
      </c>
      <c r="C217" s="865" t="s">
        <v>80</v>
      </c>
      <c r="D217" s="865" t="s">
        <v>125</v>
      </c>
      <c r="E217" s="865" t="s">
        <v>216</v>
      </c>
      <c r="F217" s="865"/>
      <c r="G217" s="877">
        <v>226</v>
      </c>
      <c r="H217" s="866" t="e">
        <f>'[8]Роспись 2013по БП'!H484</f>
        <v>#REF!</v>
      </c>
    </row>
    <row r="218" spans="1:8" x14ac:dyDescent="0.15">
      <c r="A218" s="864" t="s">
        <v>94</v>
      </c>
      <c r="B218" s="865" t="s">
        <v>79</v>
      </c>
      <c r="C218" s="865" t="s">
        <v>80</v>
      </c>
      <c r="D218" s="865" t="s">
        <v>125</v>
      </c>
      <c r="E218" s="865" t="s">
        <v>216</v>
      </c>
      <c r="F218" s="865"/>
      <c r="G218" s="877">
        <v>290</v>
      </c>
      <c r="H218" s="866" t="e">
        <f>'[8]Роспись 2013по БП'!H485</f>
        <v>#REF!</v>
      </c>
    </row>
    <row r="219" spans="1:8" x14ac:dyDescent="0.15">
      <c r="A219" s="864" t="s">
        <v>94</v>
      </c>
      <c r="B219" s="865" t="s">
        <v>79</v>
      </c>
      <c r="C219" s="865" t="s">
        <v>80</v>
      </c>
      <c r="D219" s="865" t="s">
        <v>125</v>
      </c>
      <c r="E219" s="865" t="s">
        <v>216</v>
      </c>
      <c r="F219" s="865"/>
      <c r="G219" s="877" t="s">
        <v>95</v>
      </c>
      <c r="H219" s="866" t="e">
        <f>'[8]Роспись 2013по БП'!H486</f>
        <v>#REF!</v>
      </c>
    </row>
    <row r="220" spans="1:8" x14ac:dyDescent="0.15">
      <c r="A220" s="864" t="s">
        <v>96</v>
      </c>
      <c r="B220" s="865" t="s">
        <v>79</v>
      </c>
      <c r="C220" s="865" t="s">
        <v>80</v>
      </c>
      <c r="D220" s="865" t="s">
        <v>125</v>
      </c>
      <c r="E220" s="865" t="s">
        <v>216</v>
      </c>
      <c r="F220" s="865"/>
      <c r="G220" s="877">
        <v>310</v>
      </c>
      <c r="H220" s="866" t="e">
        <f>'[8]Роспись 2013по БП'!H487</f>
        <v>#REF!</v>
      </c>
    </row>
    <row r="221" spans="1:8" x14ac:dyDescent="0.15">
      <c r="A221" s="864" t="s">
        <v>97</v>
      </c>
      <c r="B221" s="865" t="s">
        <v>79</v>
      </c>
      <c r="C221" s="865" t="s">
        <v>80</v>
      </c>
      <c r="D221" s="865" t="s">
        <v>125</v>
      </c>
      <c r="E221" s="865" t="s">
        <v>216</v>
      </c>
      <c r="F221" s="865"/>
      <c r="G221" s="877">
        <v>340</v>
      </c>
      <c r="H221" s="866" t="e">
        <f>'[8]Роспись 2013по БП'!H488</f>
        <v>#REF!</v>
      </c>
    </row>
    <row r="222" spans="1:8" x14ac:dyDescent="0.15">
      <c r="A222" s="859" t="s">
        <v>767</v>
      </c>
      <c r="B222" s="867" t="s">
        <v>79</v>
      </c>
      <c r="C222" s="867" t="s">
        <v>80</v>
      </c>
      <c r="D222" s="867" t="s">
        <v>125</v>
      </c>
      <c r="E222" s="867" t="s">
        <v>216</v>
      </c>
      <c r="F222" s="867">
        <v>612</v>
      </c>
      <c r="G222" s="873" t="s">
        <v>766</v>
      </c>
      <c r="H222" s="863" t="e">
        <f>'[8]Роспись 2013по БП'!H489</f>
        <v>#REF!</v>
      </c>
    </row>
    <row r="223" spans="1:8" ht="28" x14ac:dyDescent="0.15">
      <c r="A223" s="879" t="s">
        <v>797</v>
      </c>
      <c r="B223" s="848" t="s">
        <v>79</v>
      </c>
      <c r="C223" s="848" t="s">
        <v>80</v>
      </c>
      <c r="D223" s="848" t="s">
        <v>125</v>
      </c>
      <c r="E223" s="848" t="s">
        <v>798</v>
      </c>
      <c r="F223" s="870"/>
      <c r="G223" s="870"/>
      <c r="H223" s="871">
        <f>H224</f>
        <v>16090.8</v>
      </c>
    </row>
    <row r="224" spans="1:8" x14ac:dyDescent="0.15">
      <c r="A224" s="927" t="s">
        <v>767</v>
      </c>
      <c r="B224" s="928" t="s">
        <v>79</v>
      </c>
      <c r="C224" s="928" t="s">
        <v>80</v>
      </c>
      <c r="D224" s="928" t="s">
        <v>125</v>
      </c>
      <c r="E224" s="928" t="s">
        <v>798</v>
      </c>
      <c r="F224" s="929">
        <v>612</v>
      </c>
      <c r="G224" s="929" t="s">
        <v>766</v>
      </c>
      <c r="H224" s="930">
        <v>16090.8</v>
      </c>
    </row>
    <row r="225" spans="1:8" ht="28" x14ac:dyDescent="0.15">
      <c r="A225" s="931" t="s">
        <v>248</v>
      </c>
      <c r="B225" s="848" t="s">
        <v>79</v>
      </c>
      <c r="C225" s="848" t="s">
        <v>125</v>
      </c>
      <c r="D225" s="848" t="s">
        <v>249</v>
      </c>
      <c r="E225" s="848" t="s">
        <v>205</v>
      </c>
      <c r="F225" s="870"/>
      <c r="G225" s="870"/>
      <c r="H225" s="871">
        <f>H226</f>
        <v>0</v>
      </c>
    </row>
    <row r="226" spans="1:8" x14ac:dyDescent="0.15">
      <c r="A226" s="874" t="s">
        <v>767</v>
      </c>
      <c r="B226" s="932" t="s">
        <v>79</v>
      </c>
      <c r="C226" s="932" t="s">
        <v>125</v>
      </c>
      <c r="D226" s="932" t="s">
        <v>249</v>
      </c>
      <c r="E226" s="932" t="s">
        <v>205</v>
      </c>
      <c r="F226" s="933">
        <v>612</v>
      </c>
      <c r="G226" s="933" t="s">
        <v>766</v>
      </c>
      <c r="H226" s="934">
        <v>0</v>
      </c>
    </row>
    <row r="227" spans="1:8" ht="42" x14ac:dyDescent="0.15">
      <c r="A227" s="879" t="s">
        <v>799</v>
      </c>
      <c r="B227" s="848" t="s">
        <v>79</v>
      </c>
      <c r="C227" s="848" t="s">
        <v>195</v>
      </c>
      <c r="D227" s="848" t="s">
        <v>196</v>
      </c>
      <c r="E227" s="848" t="s">
        <v>264</v>
      </c>
      <c r="F227" s="870"/>
      <c r="G227" s="852"/>
      <c r="H227" s="871">
        <f>H229+H230</f>
        <v>22086</v>
      </c>
    </row>
    <row r="228" spans="1:8" ht="39" x14ac:dyDescent="0.15">
      <c r="A228" s="466" t="s">
        <v>800</v>
      </c>
      <c r="B228" s="463" t="s">
        <v>79</v>
      </c>
      <c r="C228" s="463" t="s">
        <v>195</v>
      </c>
      <c r="D228" s="463" t="s">
        <v>196</v>
      </c>
      <c r="E228" s="463" t="s">
        <v>197</v>
      </c>
      <c r="F228" s="464" t="s">
        <v>82</v>
      </c>
      <c r="G228" s="464"/>
      <c r="H228" s="465">
        <f>H229</f>
        <v>149.6</v>
      </c>
    </row>
    <row r="229" spans="1:8" ht="13" x14ac:dyDescent="0.15">
      <c r="A229" s="461" t="s">
        <v>90</v>
      </c>
      <c r="B229" s="463" t="s">
        <v>79</v>
      </c>
      <c r="C229" s="463" t="s">
        <v>195</v>
      </c>
      <c r="D229" s="463" t="s">
        <v>196</v>
      </c>
      <c r="E229" s="463" t="s">
        <v>197</v>
      </c>
      <c r="F229" s="464" t="s">
        <v>82</v>
      </c>
      <c r="G229" s="464" t="s">
        <v>167</v>
      </c>
      <c r="H229" s="465">
        <v>149.6</v>
      </c>
    </row>
    <row r="230" spans="1:8" ht="13" x14ac:dyDescent="0.15">
      <c r="A230" s="462" t="s">
        <v>767</v>
      </c>
      <c r="B230" s="463" t="s">
        <v>79</v>
      </c>
      <c r="C230" s="463" t="s">
        <v>195</v>
      </c>
      <c r="D230" s="463" t="s">
        <v>196</v>
      </c>
      <c r="E230" s="463" t="s">
        <v>197</v>
      </c>
      <c r="F230" s="464">
        <v>612</v>
      </c>
      <c r="G230" s="463" t="s">
        <v>766</v>
      </c>
      <c r="H230" s="467">
        <f>22086-H228</f>
        <v>21936.400000000001</v>
      </c>
    </row>
    <row r="231" spans="1:8" ht="13" x14ac:dyDescent="0.15">
      <c r="A231" s="818" t="s">
        <v>35</v>
      </c>
      <c r="B231" s="817" t="s">
        <v>79</v>
      </c>
      <c r="C231" s="817">
        <v>10</v>
      </c>
      <c r="D231" s="817" t="s">
        <v>110</v>
      </c>
      <c r="E231" s="817">
        <v>5201320</v>
      </c>
      <c r="F231" s="817"/>
      <c r="G231" s="817"/>
      <c r="H231" s="819">
        <f>H232</f>
        <v>211</v>
      </c>
    </row>
    <row r="232" spans="1:8" ht="13" x14ac:dyDescent="0.15">
      <c r="A232" s="462" t="s">
        <v>801</v>
      </c>
      <c r="B232" s="463" t="s">
        <v>79</v>
      </c>
      <c r="C232" s="463">
        <v>10</v>
      </c>
      <c r="D232" s="463" t="s">
        <v>110</v>
      </c>
      <c r="E232" s="463">
        <v>5201320</v>
      </c>
      <c r="F232" s="463" t="s">
        <v>180</v>
      </c>
      <c r="G232" s="463" t="s">
        <v>93</v>
      </c>
      <c r="H232" s="465">
        <v>211</v>
      </c>
    </row>
    <row r="233" spans="1:8" ht="42" x14ac:dyDescent="0.15">
      <c r="A233" s="869" t="s">
        <v>802</v>
      </c>
      <c r="B233" s="848" t="s">
        <v>79</v>
      </c>
      <c r="C233" s="848" t="s">
        <v>80</v>
      </c>
      <c r="D233" s="848" t="s">
        <v>110</v>
      </c>
      <c r="E233" s="848" t="s">
        <v>202</v>
      </c>
      <c r="F233" s="848" t="s">
        <v>82</v>
      </c>
      <c r="G233" s="898"/>
      <c r="H233" s="925" t="e">
        <f>H234+H235+H236+H237+H238+H239+H240+H241</f>
        <v>#REF!</v>
      </c>
    </row>
    <row r="234" spans="1:8" x14ac:dyDescent="0.15">
      <c r="A234" s="935" t="s">
        <v>78</v>
      </c>
      <c r="B234" s="936" t="s">
        <v>79</v>
      </c>
      <c r="C234" s="936" t="s">
        <v>80</v>
      </c>
      <c r="D234" s="936" t="s">
        <v>110</v>
      </c>
      <c r="E234" s="936" t="s">
        <v>202</v>
      </c>
      <c r="F234" s="936" t="s">
        <v>82</v>
      </c>
      <c r="G234" s="937">
        <v>211</v>
      </c>
      <c r="H234" s="938" t="e">
        <f>[8]Распределение!C61</f>
        <v>#REF!</v>
      </c>
    </row>
    <row r="235" spans="1:8" x14ac:dyDescent="0.15">
      <c r="A235" s="935" t="s">
        <v>83</v>
      </c>
      <c r="B235" s="936" t="s">
        <v>79</v>
      </c>
      <c r="C235" s="936" t="s">
        <v>80</v>
      </c>
      <c r="D235" s="936" t="s">
        <v>110</v>
      </c>
      <c r="E235" s="936" t="s">
        <v>202</v>
      </c>
      <c r="F235" s="936" t="s">
        <v>82</v>
      </c>
      <c r="G235" s="937">
        <v>212</v>
      </c>
      <c r="H235" s="938">
        <v>8</v>
      </c>
    </row>
    <row r="236" spans="1:8" x14ac:dyDescent="0.15">
      <c r="A236" s="935" t="s">
        <v>84</v>
      </c>
      <c r="B236" s="936" t="s">
        <v>79</v>
      </c>
      <c r="C236" s="936" t="s">
        <v>80</v>
      </c>
      <c r="D236" s="936" t="s">
        <v>110</v>
      </c>
      <c r="E236" s="936" t="s">
        <v>202</v>
      </c>
      <c r="F236" s="936" t="s">
        <v>82</v>
      </c>
      <c r="G236" s="937">
        <v>213</v>
      </c>
      <c r="H236" s="938" t="e">
        <f>[8]Распределение!D61</f>
        <v>#REF!</v>
      </c>
    </row>
    <row r="237" spans="1:8" x14ac:dyDescent="0.15">
      <c r="A237" s="935" t="s">
        <v>86</v>
      </c>
      <c r="B237" s="936" t="s">
        <v>79</v>
      </c>
      <c r="C237" s="936" t="s">
        <v>80</v>
      </c>
      <c r="D237" s="936" t="s">
        <v>110</v>
      </c>
      <c r="E237" s="936" t="s">
        <v>202</v>
      </c>
      <c r="F237" s="936" t="s">
        <v>82</v>
      </c>
      <c r="G237" s="937">
        <v>222</v>
      </c>
      <c r="H237" s="938">
        <v>18</v>
      </c>
    </row>
    <row r="238" spans="1:8" x14ac:dyDescent="0.15">
      <c r="A238" s="935" t="s">
        <v>90</v>
      </c>
      <c r="B238" s="936" t="s">
        <v>79</v>
      </c>
      <c r="C238" s="936" t="s">
        <v>80</v>
      </c>
      <c r="D238" s="936" t="s">
        <v>110</v>
      </c>
      <c r="E238" s="936" t="s">
        <v>202</v>
      </c>
      <c r="F238" s="936" t="s">
        <v>82</v>
      </c>
      <c r="G238" s="937">
        <v>225</v>
      </c>
      <c r="H238" s="938">
        <v>50</v>
      </c>
    </row>
    <row r="239" spans="1:8" x14ac:dyDescent="0.15">
      <c r="A239" s="935" t="s">
        <v>91</v>
      </c>
      <c r="B239" s="936" t="s">
        <v>79</v>
      </c>
      <c r="C239" s="936" t="s">
        <v>80</v>
      </c>
      <c r="D239" s="936" t="s">
        <v>110</v>
      </c>
      <c r="E239" s="936" t="s">
        <v>202</v>
      </c>
      <c r="F239" s="936" t="s">
        <v>82</v>
      </c>
      <c r="G239" s="937">
        <v>226</v>
      </c>
      <c r="H239" s="938">
        <v>604.70000000000005</v>
      </c>
    </row>
    <row r="240" spans="1:8" x14ac:dyDescent="0.15">
      <c r="A240" s="935" t="s">
        <v>96</v>
      </c>
      <c r="B240" s="936" t="s">
        <v>79</v>
      </c>
      <c r="C240" s="936" t="s">
        <v>80</v>
      </c>
      <c r="D240" s="936" t="s">
        <v>110</v>
      </c>
      <c r="E240" s="936" t="s">
        <v>202</v>
      </c>
      <c r="F240" s="936" t="s">
        <v>82</v>
      </c>
      <c r="G240" s="937">
        <v>310</v>
      </c>
      <c r="H240" s="938">
        <v>100</v>
      </c>
    </row>
    <row r="241" spans="1:8" x14ac:dyDescent="0.15">
      <c r="A241" s="935" t="s">
        <v>97</v>
      </c>
      <c r="B241" s="936" t="s">
        <v>79</v>
      </c>
      <c r="C241" s="936" t="s">
        <v>80</v>
      </c>
      <c r="D241" s="936" t="s">
        <v>110</v>
      </c>
      <c r="E241" s="936" t="s">
        <v>202</v>
      </c>
      <c r="F241" s="936" t="s">
        <v>82</v>
      </c>
      <c r="G241" s="937">
        <v>340</v>
      </c>
      <c r="H241" s="938">
        <v>219</v>
      </c>
    </row>
    <row r="242" spans="1:8" x14ac:dyDescent="0.15">
      <c r="A242" s="939" t="s">
        <v>98</v>
      </c>
      <c r="B242" s="940" t="s">
        <v>79</v>
      </c>
      <c r="C242" s="940" t="s">
        <v>80</v>
      </c>
      <c r="D242" s="936" t="s">
        <v>110</v>
      </c>
      <c r="E242" s="940" t="s">
        <v>202</v>
      </c>
      <c r="F242" s="940" t="s">
        <v>82</v>
      </c>
      <c r="G242" s="941"/>
      <c r="H242" s="942" t="e">
        <f>SUM(H234:H241)</f>
        <v>#REF!</v>
      </c>
    </row>
    <row r="243" spans="1:8" ht="28" x14ac:dyDescent="0.15">
      <c r="A243" s="943" t="s">
        <v>803</v>
      </c>
      <c r="B243" s="898" t="s">
        <v>79</v>
      </c>
      <c r="C243" s="898" t="s">
        <v>80</v>
      </c>
      <c r="D243" s="898" t="s">
        <v>110</v>
      </c>
      <c r="E243" s="898" t="s">
        <v>81</v>
      </c>
      <c r="F243" s="898" t="s">
        <v>82</v>
      </c>
      <c r="G243" s="898"/>
      <c r="H243" s="925">
        <f>H244+H245+H246+H247+H248+H249+H250+H251+H252+H253+H254+H255+H256</f>
        <v>37183</v>
      </c>
    </row>
    <row r="244" spans="1:8" x14ac:dyDescent="0.15">
      <c r="A244" s="944" t="s">
        <v>78</v>
      </c>
      <c r="B244" s="945" t="s">
        <v>79</v>
      </c>
      <c r="C244" s="945" t="s">
        <v>80</v>
      </c>
      <c r="D244" s="945" t="s">
        <v>110</v>
      </c>
      <c r="E244" s="945" t="s">
        <v>81</v>
      </c>
      <c r="F244" s="945" t="s">
        <v>82</v>
      </c>
      <c r="G244" s="945">
        <v>211</v>
      </c>
      <c r="H244" s="938">
        <v>18192</v>
      </c>
    </row>
    <row r="245" spans="1:8" x14ac:dyDescent="0.15">
      <c r="A245" s="944" t="s">
        <v>83</v>
      </c>
      <c r="B245" s="945" t="s">
        <v>79</v>
      </c>
      <c r="C245" s="945" t="s">
        <v>80</v>
      </c>
      <c r="D245" s="945" t="s">
        <v>110</v>
      </c>
      <c r="E245" s="945" t="s">
        <v>81</v>
      </c>
      <c r="F245" s="945" t="s">
        <v>82</v>
      </c>
      <c r="G245" s="945">
        <v>212</v>
      </c>
      <c r="H245" s="938">
        <v>10</v>
      </c>
    </row>
    <row r="246" spans="1:8" x14ac:dyDescent="0.15">
      <c r="A246" s="944" t="s">
        <v>84</v>
      </c>
      <c r="B246" s="945" t="s">
        <v>79</v>
      </c>
      <c r="C246" s="945" t="s">
        <v>80</v>
      </c>
      <c r="D246" s="945" t="s">
        <v>110</v>
      </c>
      <c r="E246" s="945" t="s">
        <v>81</v>
      </c>
      <c r="F246" s="945" t="s">
        <v>82</v>
      </c>
      <c r="G246" s="945">
        <v>213</v>
      </c>
      <c r="H246" s="938">
        <v>5494</v>
      </c>
    </row>
    <row r="247" spans="1:8" x14ac:dyDescent="0.15">
      <c r="A247" s="944" t="s">
        <v>85</v>
      </c>
      <c r="B247" s="945" t="s">
        <v>79</v>
      </c>
      <c r="C247" s="945" t="s">
        <v>80</v>
      </c>
      <c r="D247" s="945" t="s">
        <v>110</v>
      </c>
      <c r="E247" s="945" t="s">
        <v>81</v>
      </c>
      <c r="F247" s="945" t="s">
        <v>82</v>
      </c>
      <c r="G247" s="945">
        <v>221</v>
      </c>
      <c r="H247" s="938">
        <v>633</v>
      </c>
    </row>
    <row r="248" spans="1:8" x14ac:dyDescent="0.15">
      <c r="A248" s="944" t="s">
        <v>86</v>
      </c>
      <c r="B248" s="945" t="s">
        <v>79</v>
      </c>
      <c r="C248" s="945" t="s">
        <v>80</v>
      </c>
      <c r="D248" s="945" t="s">
        <v>110</v>
      </c>
      <c r="E248" s="945" t="s">
        <v>81</v>
      </c>
      <c r="F248" s="945" t="s">
        <v>82</v>
      </c>
      <c r="G248" s="945">
        <v>222</v>
      </c>
      <c r="H248" s="938">
        <v>317</v>
      </c>
    </row>
    <row r="249" spans="1:8" x14ac:dyDescent="0.15">
      <c r="A249" s="944" t="s">
        <v>87</v>
      </c>
      <c r="B249" s="945" t="s">
        <v>79</v>
      </c>
      <c r="C249" s="945" t="s">
        <v>80</v>
      </c>
      <c r="D249" s="945" t="s">
        <v>110</v>
      </c>
      <c r="E249" s="945" t="s">
        <v>81</v>
      </c>
      <c r="F249" s="945" t="s">
        <v>82</v>
      </c>
      <c r="G249" s="945">
        <v>223</v>
      </c>
      <c r="H249" s="938">
        <v>333.7</v>
      </c>
    </row>
    <row r="250" spans="1:8" x14ac:dyDescent="0.15">
      <c r="A250" s="944" t="s">
        <v>89</v>
      </c>
      <c r="B250" s="945" t="s">
        <v>79</v>
      </c>
      <c r="C250" s="945" t="s">
        <v>80</v>
      </c>
      <c r="D250" s="945" t="s">
        <v>110</v>
      </c>
      <c r="E250" s="945" t="s">
        <v>81</v>
      </c>
      <c r="F250" s="945" t="s">
        <v>82</v>
      </c>
      <c r="G250" s="945">
        <v>224</v>
      </c>
      <c r="H250" s="938"/>
    </row>
    <row r="251" spans="1:8" x14ac:dyDescent="0.15">
      <c r="A251" s="944" t="s">
        <v>90</v>
      </c>
      <c r="B251" s="945" t="s">
        <v>79</v>
      </c>
      <c r="C251" s="945" t="s">
        <v>80</v>
      </c>
      <c r="D251" s="945" t="s">
        <v>110</v>
      </c>
      <c r="E251" s="945" t="s">
        <v>81</v>
      </c>
      <c r="F251" s="945" t="s">
        <v>82</v>
      </c>
      <c r="G251" s="945">
        <v>225</v>
      </c>
      <c r="H251" s="938">
        <v>7730</v>
      </c>
    </row>
    <row r="252" spans="1:8" x14ac:dyDescent="0.15">
      <c r="A252" s="944" t="s">
        <v>91</v>
      </c>
      <c r="B252" s="945" t="s">
        <v>79</v>
      </c>
      <c r="C252" s="945" t="s">
        <v>80</v>
      </c>
      <c r="D252" s="945" t="s">
        <v>110</v>
      </c>
      <c r="E252" s="945" t="s">
        <v>81</v>
      </c>
      <c r="F252" s="945" t="s">
        <v>82</v>
      </c>
      <c r="G252" s="945">
        <v>226</v>
      </c>
      <c r="H252" s="938">
        <v>2108.5</v>
      </c>
    </row>
    <row r="253" spans="1:8" x14ac:dyDescent="0.15">
      <c r="A253" s="944" t="s">
        <v>92</v>
      </c>
      <c r="B253" s="945" t="s">
        <v>79</v>
      </c>
      <c r="C253" s="945" t="s">
        <v>80</v>
      </c>
      <c r="D253" s="945" t="s">
        <v>110</v>
      </c>
      <c r="E253" s="945" t="s">
        <v>81</v>
      </c>
      <c r="F253" s="945" t="s">
        <v>82</v>
      </c>
      <c r="G253" s="945" t="s">
        <v>93</v>
      </c>
      <c r="H253" s="938"/>
    </row>
    <row r="254" spans="1:8" x14ac:dyDescent="0.15">
      <c r="A254" s="944" t="s">
        <v>94</v>
      </c>
      <c r="B254" s="945" t="s">
        <v>79</v>
      </c>
      <c r="C254" s="945" t="s">
        <v>80</v>
      </c>
      <c r="D254" s="945" t="s">
        <v>110</v>
      </c>
      <c r="E254" s="945" t="s">
        <v>81</v>
      </c>
      <c r="F254" s="945" t="s">
        <v>82</v>
      </c>
      <c r="G254" s="945">
        <v>290</v>
      </c>
      <c r="H254" s="938">
        <v>664.8</v>
      </c>
    </row>
    <row r="255" spans="1:8" x14ac:dyDescent="0.15">
      <c r="A255" s="944" t="s">
        <v>96</v>
      </c>
      <c r="B255" s="945" t="s">
        <v>79</v>
      </c>
      <c r="C255" s="945" t="s">
        <v>80</v>
      </c>
      <c r="D255" s="945" t="s">
        <v>110</v>
      </c>
      <c r="E255" s="945" t="s">
        <v>81</v>
      </c>
      <c r="F255" s="945" t="s">
        <v>82</v>
      </c>
      <c r="G255" s="945">
        <v>310</v>
      </c>
      <c r="H255" s="938">
        <v>900</v>
      </c>
    </row>
    <row r="256" spans="1:8" x14ac:dyDescent="0.15">
      <c r="A256" s="944" t="s">
        <v>97</v>
      </c>
      <c r="B256" s="945" t="s">
        <v>79</v>
      </c>
      <c r="C256" s="945" t="s">
        <v>80</v>
      </c>
      <c r="D256" s="945" t="s">
        <v>110</v>
      </c>
      <c r="E256" s="945" t="s">
        <v>81</v>
      </c>
      <c r="F256" s="945" t="s">
        <v>82</v>
      </c>
      <c r="G256" s="945">
        <v>340</v>
      </c>
      <c r="H256" s="938">
        <v>800</v>
      </c>
    </row>
    <row r="257" spans="1:9" x14ac:dyDescent="0.15">
      <c r="A257" s="946" t="s">
        <v>98</v>
      </c>
      <c r="B257" s="947" t="s">
        <v>79</v>
      </c>
      <c r="C257" s="947" t="s">
        <v>80</v>
      </c>
      <c r="D257" s="947" t="s">
        <v>110</v>
      </c>
      <c r="E257" s="947" t="s">
        <v>219</v>
      </c>
      <c r="F257" s="947" t="s">
        <v>82</v>
      </c>
      <c r="G257" s="947"/>
      <c r="H257" s="942">
        <f>SUM(H244:H256)</f>
        <v>37183</v>
      </c>
    </row>
    <row r="258" spans="1:9" x14ac:dyDescent="0.15">
      <c r="G258" s="821"/>
    </row>
    <row r="259" spans="1:9" x14ac:dyDescent="0.15">
      <c r="A259" s="3072" t="s">
        <v>949</v>
      </c>
      <c r="B259" s="3072"/>
      <c r="C259" s="3072"/>
      <c r="D259" s="3072"/>
      <c r="E259" s="3072"/>
      <c r="F259" s="3072"/>
      <c r="G259" s="3072"/>
      <c r="H259" s="3072"/>
    </row>
    <row r="260" spans="1:9" x14ac:dyDescent="0.15">
      <c r="A260" s="3072" t="s">
        <v>804</v>
      </c>
      <c r="B260" s="3072"/>
      <c r="C260" s="3072"/>
      <c r="D260" s="3072"/>
      <c r="E260" s="3072"/>
      <c r="F260" s="3072"/>
      <c r="G260" s="3072"/>
      <c r="H260" s="3072"/>
    </row>
    <row r="261" spans="1:9" x14ac:dyDescent="0.15">
      <c r="A261" s="950"/>
      <c r="B261" s="951"/>
      <c r="C261" s="951"/>
      <c r="D261" s="949"/>
      <c r="E261" s="952"/>
      <c r="F261" s="821"/>
      <c r="G261" s="821"/>
    </row>
    <row r="262" spans="1:9" x14ac:dyDescent="0.15">
      <c r="A262" s="950"/>
      <c r="B262" s="951"/>
      <c r="C262" s="951"/>
      <c r="D262" s="949"/>
      <c r="E262" s="952"/>
      <c r="F262" s="821"/>
      <c r="G262" s="821"/>
      <c r="H262" s="822" t="e">
        <f>H134+H186+H222</f>
        <v>#REF!</v>
      </c>
      <c r="I262" s="489" t="e">
        <f>H27+H45+H63+H97+H103+H154+H172+H190+H208+H223+H233</f>
        <v>#REF!</v>
      </c>
    </row>
    <row r="263" spans="1:9" x14ac:dyDescent="0.15">
      <c r="A263" s="950"/>
      <c r="B263" s="951"/>
      <c r="C263" s="951"/>
      <c r="D263" s="949"/>
      <c r="E263" s="952"/>
      <c r="F263" s="821"/>
      <c r="G263" s="821"/>
    </row>
    <row r="264" spans="1:9" x14ac:dyDescent="0.15">
      <c r="A264" s="950"/>
      <c r="B264" s="951"/>
      <c r="C264" s="951"/>
      <c r="D264" s="949"/>
      <c r="E264" s="952"/>
      <c r="F264" s="821"/>
      <c r="G264" s="821"/>
    </row>
    <row r="265" spans="1:9" x14ac:dyDescent="0.15">
      <c r="A265" s="950"/>
      <c r="B265" s="951"/>
      <c r="C265" s="951"/>
      <c r="D265" s="949"/>
      <c r="E265" s="952"/>
      <c r="F265" s="821"/>
      <c r="G265" s="821"/>
    </row>
    <row r="266" spans="1:9" x14ac:dyDescent="0.15">
      <c r="A266" s="950"/>
      <c r="B266" s="951"/>
      <c r="C266" s="951"/>
      <c r="D266" s="949"/>
      <c r="E266" s="952"/>
      <c r="F266" s="821"/>
      <c r="G266" s="821"/>
    </row>
    <row r="267" spans="1:9" x14ac:dyDescent="0.15">
      <c r="A267" s="950"/>
      <c r="B267" s="951"/>
      <c r="C267" s="951"/>
      <c r="D267" s="949"/>
      <c r="E267" s="952"/>
      <c r="F267" s="821"/>
      <c r="G267" s="821"/>
    </row>
    <row r="268" spans="1:9" x14ac:dyDescent="0.15">
      <c r="A268" s="950"/>
      <c r="B268" s="951"/>
      <c r="C268" s="951"/>
      <c r="D268" s="949"/>
      <c r="E268" s="952"/>
      <c r="F268" s="821"/>
      <c r="G268" s="821"/>
    </row>
    <row r="269" spans="1:9" x14ac:dyDescent="0.15">
      <c r="A269" s="950"/>
      <c r="B269" s="951"/>
      <c r="C269" s="951"/>
      <c r="D269" s="949"/>
      <c r="E269" s="952"/>
      <c r="F269" s="821"/>
      <c r="G269" s="821"/>
    </row>
    <row r="270" spans="1:9" x14ac:dyDescent="0.15">
      <c r="A270" s="950"/>
      <c r="B270" s="951"/>
      <c r="C270" s="951"/>
      <c r="D270" s="949"/>
      <c r="E270" s="952"/>
      <c r="F270" s="821"/>
      <c r="G270" s="821"/>
    </row>
    <row r="271" spans="1:9" x14ac:dyDescent="0.15">
      <c r="A271" s="950"/>
      <c r="B271" s="951"/>
      <c r="C271" s="951"/>
      <c r="D271" s="949"/>
      <c r="E271" s="952"/>
      <c r="F271" s="821"/>
      <c r="G271" s="821"/>
    </row>
    <row r="272" spans="1:9" x14ac:dyDescent="0.15">
      <c r="A272" s="950"/>
      <c r="B272" s="951"/>
      <c r="C272" s="951"/>
      <c r="D272" s="949"/>
      <c r="E272" s="952"/>
      <c r="F272" s="821"/>
      <c r="G272" s="821"/>
    </row>
    <row r="273" spans="1:7" x14ac:dyDescent="0.15">
      <c r="A273" s="950"/>
      <c r="B273" s="951"/>
      <c r="C273" s="951"/>
      <c r="D273" s="949"/>
      <c r="E273" s="952"/>
      <c r="F273" s="821"/>
      <c r="G273" s="821"/>
    </row>
    <row r="274" spans="1:7" x14ac:dyDescent="0.15">
      <c r="A274" s="950"/>
      <c r="B274" s="951"/>
      <c r="C274" s="951"/>
      <c r="D274" s="949"/>
      <c r="E274" s="952"/>
      <c r="F274" s="821"/>
      <c r="G274" s="821"/>
    </row>
    <row r="275" spans="1:7" x14ac:dyDescent="0.15">
      <c r="A275" s="950"/>
      <c r="B275" s="951"/>
      <c r="C275" s="951"/>
      <c r="D275" s="949"/>
      <c r="E275" s="952"/>
      <c r="F275" s="821"/>
      <c r="G275" s="821"/>
    </row>
    <row r="276" spans="1:7" x14ac:dyDescent="0.15">
      <c r="A276" s="950"/>
      <c r="B276" s="951"/>
      <c r="C276" s="951"/>
      <c r="D276" s="949"/>
      <c r="E276" s="952"/>
      <c r="F276" s="821"/>
      <c r="G276" s="821"/>
    </row>
    <row r="277" spans="1:7" x14ac:dyDescent="0.15">
      <c r="A277" s="950"/>
      <c r="B277" s="951"/>
      <c r="C277" s="951"/>
      <c r="D277" s="949"/>
      <c r="E277" s="952"/>
      <c r="F277" s="821"/>
      <c r="G277" s="821"/>
    </row>
    <row r="278" spans="1:7" x14ac:dyDescent="0.15">
      <c r="A278" s="950"/>
      <c r="B278" s="951"/>
      <c r="C278" s="951"/>
      <c r="D278" s="949"/>
      <c r="E278" s="952"/>
      <c r="F278" s="821"/>
      <c r="G278" s="821"/>
    </row>
    <row r="279" spans="1:7" x14ac:dyDescent="0.15">
      <c r="A279" s="950"/>
      <c r="B279" s="951"/>
      <c r="C279" s="951"/>
      <c r="D279" s="949"/>
      <c r="E279" s="952"/>
      <c r="F279" s="821"/>
      <c r="G279" s="821"/>
    </row>
    <row r="280" spans="1:7" x14ac:dyDescent="0.15">
      <c r="A280" s="950"/>
      <c r="B280" s="951"/>
      <c r="C280" s="951"/>
      <c r="D280" s="949"/>
      <c r="E280" s="952"/>
      <c r="F280" s="821"/>
      <c r="G280" s="821"/>
    </row>
    <row r="281" spans="1:7" x14ac:dyDescent="0.15">
      <c r="A281" s="950"/>
      <c r="B281" s="951"/>
      <c r="C281" s="951"/>
      <c r="D281" s="949"/>
      <c r="E281" s="952"/>
      <c r="F281" s="821"/>
      <c r="G281" s="821"/>
    </row>
    <row r="282" spans="1:7" x14ac:dyDescent="0.15">
      <c r="A282" s="950"/>
      <c r="B282" s="951"/>
      <c r="C282" s="951"/>
      <c r="D282" s="949"/>
      <c r="E282" s="952"/>
      <c r="F282" s="821"/>
      <c r="G282" s="821"/>
    </row>
    <row r="283" spans="1:7" x14ac:dyDescent="0.15">
      <c r="A283" s="950"/>
      <c r="B283" s="951"/>
      <c r="C283" s="951"/>
      <c r="D283" s="949"/>
      <c r="E283" s="952"/>
      <c r="F283" s="821"/>
      <c r="G283" s="821"/>
    </row>
    <row r="284" spans="1:7" x14ac:dyDescent="0.15">
      <c r="A284" s="950"/>
      <c r="B284" s="951"/>
      <c r="C284" s="951"/>
      <c r="D284" s="949"/>
      <c r="E284" s="952"/>
      <c r="F284" s="821"/>
      <c r="G284" s="821"/>
    </row>
    <row r="285" spans="1:7" x14ac:dyDescent="0.15">
      <c r="A285" s="950"/>
      <c r="B285" s="951"/>
      <c r="C285" s="951"/>
      <c r="D285" s="949"/>
      <c r="E285" s="952"/>
      <c r="F285" s="821"/>
      <c r="G285" s="821"/>
    </row>
    <row r="286" spans="1:7" x14ac:dyDescent="0.15">
      <c r="A286" s="950"/>
      <c r="B286" s="951"/>
      <c r="C286" s="951"/>
      <c r="D286" s="949"/>
      <c r="E286" s="952"/>
      <c r="F286" s="821"/>
      <c r="G286" s="821"/>
    </row>
    <row r="287" spans="1:7" x14ac:dyDescent="0.15">
      <c r="A287" s="950"/>
      <c r="B287" s="951"/>
      <c r="C287" s="951"/>
      <c r="D287" s="949"/>
      <c r="E287" s="952"/>
      <c r="F287" s="821"/>
      <c r="G287" s="821"/>
    </row>
    <row r="288" spans="1:7" x14ac:dyDescent="0.15">
      <c r="A288" s="950"/>
      <c r="B288" s="951"/>
      <c r="C288" s="951"/>
      <c r="D288" s="949"/>
      <c r="E288" s="952"/>
      <c r="F288" s="821"/>
      <c r="G288" s="821"/>
    </row>
    <row r="289" spans="1:7" x14ac:dyDescent="0.15">
      <c r="A289" s="950"/>
      <c r="B289" s="951"/>
      <c r="C289" s="951"/>
      <c r="D289" s="949"/>
      <c r="E289" s="952"/>
      <c r="F289" s="821"/>
      <c r="G289" s="821"/>
    </row>
    <row r="290" spans="1:7" x14ac:dyDescent="0.15">
      <c r="A290" s="950"/>
      <c r="B290" s="951"/>
      <c r="C290" s="951"/>
      <c r="D290" s="949"/>
      <c r="E290" s="952"/>
      <c r="F290" s="821"/>
      <c r="G290" s="821"/>
    </row>
    <row r="291" spans="1:7" x14ac:dyDescent="0.15">
      <c r="A291" s="950"/>
      <c r="B291" s="951"/>
      <c r="C291" s="951"/>
      <c r="D291" s="949"/>
      <c r="E291" s="952"/>
      <c r="F291" s="821"/>
      <c r="G291" s="821"/>
    </row>
    <row r="292" spans="1:7" x14ac:dyDescent="0.15">
      <c r="A292" s="950"/>
      <c r="B292" s="951"/>
      <c r="C292" s="951"/>
      <c r="D292" s="949"/>
      <c r="E292" s="952"/>
      <c r="F292" s="821"/>
      <c r="G292" s="821"/>
    </row>
    <row r="293" spans="1:7" x14ac:dyDescent="0.15">
      <c r="A293" s="950"/>
      <c r="B293" s="951"/>
      <c r="C293" s="951"/>
      <c r="D293" s="949"/>
      <c r="E293" s="952"/>
      <c r="F293" s="821"/>
      <c r="G293" s="821"/>
    </row>
    <row r="294" spans="1:7" x14ac:dyDescent="0.15">
      <c r="A294" s="950"/>
      <c r="B294" s="951"/>
      <c r="C294" s="951"/>
      <c r="D294" s="949"/>
      <c r="E294" s="952"/>
      <c r="F294" s="821"/>
      <c r="G294" s="821"/>
    </row>
    <row r="295" spans="1:7" x14ac:dyDescent="0.15">
      <c r="A295" s="950"/>
      <c r="B295" s="951"/>
      <c r="C295" s="951"/>
      <c r="D295" s="949"/>
      <c r="E295" s="952"/>
      <c r="F295" s="821"/>
      <c r="G295" s="821"/>
    </row>
    <row r="296" spans="1:7" x14ac:dyDescent="0.15">
      <c r="A296" s="950"/>
      <c r="B296" s="951"/>
      <c r="C296" s="951"/>
      <c r="D296" s="949"/>
      <c r="E296" s="952"/>
      <c r="F296" s="821"/>
      <c r="G296" s="821"/>
    </row>
    <row r="297" spans="1:7" x14ac:dyDescent="0.15">
      <c r="A297" s="950"/>
      <c r="B297" s="951"/>
      <c r="C297" s="951"/>
      <c r="D297" s="949"/>
      <c r="E297" s="952"/>
      <c r="F297" s="821"/>
      <c r="G297" s="821"/>
    </row>
    <row r="298" spans="1:7" x14ac:dyDescent="0.15">
      <c r="A298" s="950"/>
      <c r="B298" s="951"/>
      <c r="C298" s="951"/>
      <c r="D298" s="949"/>
      <c r="E298" s="952"/>
      <c r="F298" s="821"/>
      <c r="G298" s="821"/>
    </row>
    <row r="299" spans="1:7" x14ac:dyDescent="0.15">
      <c r="A299" s="950"/>
      <c r="B299" s="951"/>
      <c r="C299" s="951"/>
      <c r="D299" s="949"/>
      <c r="E299" s="952"/>
      <c r="F299" s="821"/>
      <c r="G299" s="821"/>
    </row>
    <row r="300" spans="1:7" x14ac:dyDescent="0.15">
      <c r="A300" s="950"/>
      <c r="B300" s="951"/>
      <c r="C300" s="951"/>
      <c r="D300" s="949"/>
      <c r="E300" s="952"/>
      <c r="F300" s="821"/>
      <c r="G300" s="821"/>
    </row>
    <row r="301" spans="1:7" x14ac:dyDescent="0.15">
      <c r="A301" s="950"/>
      <c r="B301" s="951"/>
      <c r="C301" s="951"/>
      <c r="D301" s="949"/>
      <c r="E301" s="952"/>
      <c r="F301" s="821"/>
      <c r="G301" s="821"/>
    </row>
    <row r="302" spans="1:7" x14ac:dyDescent="0.15">
      <c r="A302" s="950"/>
      <c r="B302" s="951"/>
      <c r="C302" s="951"/>
      <c r="D302" s="949"/>
      <c r="E302" s="952"/>
      <c r="F302" s="821"/>
      <c r="G302" s="821"/>
    </row>
    <row r="303" spans="1:7" x14ac:dyDescent="0.15">
      <c r="A303" s="950"/>
      <c r="B303" s="951"/>
      <c r="C303" s="951"/>
      <c r="D303" s="949"/>
      <c r="E303" s="952"/>
      <c r="F303" s="821"/>
      <c r="G303" s="821"/>
    </row>
    <row r="304" spans="1:7" x14ac:dyDescent="0.15">
      <c r="A304" s="950"/>
      <c r="B304" s="951"/>
      <c r="C304" s="951"/>
      <c r="D304" s="949"/>
      <c r="E304" s="952"/>
      <c r="F304" s="821"/>
      <c r="G304" s="821"/>
    </row>
    <row r="305" spans="1:7" x14ac:dyDescent="0.15">
      <c r="A305" s="950"/>
      <c r="B305" s="951"/>
      <c r="C305" s="951"/>
      <c r="D305" s="949"/>
      <c r="E305" s="952"/>
      <c r="F305" s="821"/>
      <c r="G305" s="821"/>
    </row>
    <row r="306" spans="1:7" x14ac:dyDescent="0.15">
      <c r="A306" s="950"/>
      <c r="B306" s="951"/>
      <c r="C306" s="951"/>
      <c r="D306" s="949"/>
      <c r="E306" s="952"/>
      <c r="F306" s="821"/>
      <c r="G306" s="821"/>
    </row>
    <row r="307" spans="1:7" x14ac:dyDescent="0.15">
      <c r="A307" s="950"/>
      <c r="B307" s="951"/>
      <c r="C307" s="951"/>
      <c r="D307" s="949"/>
      <c r="E307" s="952"/>
      <c r="F307" s="821"/>
      <c r="G307" s="821"/>
    </row>
    <row r="308" spans="1:7" x14ac:dyDescent="0.15">
      <c r="A308" s="950"/>
      <c r="B308" s="951"/>
      <c r="C308" s="951"/>
      <c r="D308" s="949"/>
      <c r="E308" s="952"/>
      <c r="F308" s="821"/>
      <c r="G308" s="821"/>
    </row>
    <row r="309" spans="1:7" x14ac:dyDescent="0.15">
      <c r="A309" s="950"/>
      <c r="B309" s="951"/>
      <c r="C309" s="951"/>
      <c r="D309" s="949"/>
      <c r="E309" s="952"/>
      <c r="F309" s="821"/>
      <c r="G309" s="821"/>
    </row>
    <row r="310" spans="1:7" x14ac:dyDescent="0.15">
      <c r="A310" s="950"/>
      <c r="B310" s="951"/>
      <c r="C310" s="951"/>
      <c r="D310" s="949"/>
      <c r="E310" s="952"/>
      <c r="F310" s="821"/>
      <c r="G310" s="821"/>
    </row>
    <row r="311" spans="1:7" x14ac:dyDescent="0.15">
      <c r="A311" s="950"/>
      <c r="B311" s="951"/>
      <c r="C311" s="951"/>
      <c r="D311" s="949"/>
      <c r="E311" s="952"/>
      <c r="F311" s="821"/>
      <c r="G311" s="821"/>
    </row>
    <row r="312" spans="1:7" x14ac:dyDescent="0.15">
      <c r="A312" s="950"/>
      <c r="B312" s="951"/>
      <c r="C312" s="951"/>
      <c r="D312" s="949"/>
      <c r="E312" s="952"/>
      <c r="F312" s="821"/>
      <c r="G312" s="821"/>
    </row>
    <row r="313" spans="1:7" x14ac:dyDescent="0.15">
      <c r="A313" s="950"/>
      <c r="B313" s="951"/>
      <c r="C313" s="951"/>
      <c r="D313" s="949"/>
      <c r="E313" s="952"/>
      <c r="F313" s="821"/>
      <c r="G313" s="821"/>
    </row>
    <row r="314" spans="1:7" x14ac:dyDescent="0.15">
      <c r="A314" s="950"/>
      <c r="B314" s="951"/>
      <c r="C314" s="951"/>
      <c r="D314" s="949"/>
      <c r="E314" s="952"/>
      <c r="F314" s="821"/>
      <c r="G314" s="821"/>
    </row>
    <row r="315" spans="1:7" x14ac:dyDescent="0.15">
      <c r="A315" s="950"/>
      <c r="B315" s="951"/>
      <c r="C315" s="951"/>
      <c r="D315" s="949"/>
      <c r="E315" s="952"/>
      <c r="F315" s="821"/>
      <c r="G315" s="821"/>
    </row>
    <row r="316" spans="1:7" x14ac:dyDescent="0.15">
      <c r="A316" s="950"/>
      <c r="B316" s="951"/>
      <c r="C316" s="951"/>
      <c r="D316" s="949"/>
      <c r="E316" s="952"/>
      <c r="F316" s="821"/>
      <c r="G316" s="821"/>
    </row>
    <row r="317" spans="1:7" x14ac:dyDescent="0.15">
      <c r="A317" s="950"/>
      <c r="B317" s="951"/>
      <c r="C317" s="951"/>
      <c r="D317" s="949"/>
      <c r="E317" s="952"/>
      <c r="F317" s="821"/>
      <c r="G317" s="821"/>
    </row>
    <row r="318" spans="1:7" x14ac:dyDescent="0.15">
      <c r="A318" s="950"/>
      <c r="B318" s="951"/>
      <c r="C318" s="951"/>
      <c r="D318" s="949"/>
      <c r="E318" s="952"/>
      <c r="F318" s="821"/>
      <c r="G318" s="821"/>
    </row>
    <row r="319" spans="1:7" x14ac:dyDescent="0.15">
      <c r="A319" s="950"/>
      <c r="B319" s="951"/>
      <c r="C319" s="951"/>
      <c r="D319" s="949"/>
      <c r="E319" s="952"/>
      <c r="F319" s="821"/>
      <c r="G319" s="821"/>
    </row>
    <row r="320" spans="1:7" x14ac:dyDescent="0.15">
      <c r="A320" s="950"/>
      <c r="B320" s="951"/>
      <c r="C320" s="951"/>
      <c r="D320" s="949"/>
      <c r="E320" s="952"/>
      <c r="F320" s="821"/>
      <c r="G320" s="821"/>
    </row>
    <row r="321" spans="1:7" x14ac:dyDescent="0.15">
      <c r="A321" s="950"/>
      <c r="B321" s="951"/>
      <c r="C321" s="951"/>
      <c r="D321" s="949"/>
      <c r="E321" s="952"/>
      <c r="F321" s="821"/>
      <c r="G321" s="821"/>
    </row>
    <row r="322" spans="1:7" x14ac:dyDescent="0.15">
      <c r="A322" s="950"/>
      <c r="B322" s="951"/>
      <c r="C322" s="951"/>
      <c r="D322" s="949"/>
      <c r="E322" s="952"/>
      <c r="F322" s="821"/>
      <c r="G322" s="821"/>
    </row>
    <row r="323" spans="1:7" x14ac:dyDescent="0.15">
      <c r="A323" s="950"/>
      <c r="B323" s="951"/>
      <c r="C323" s="951"/>
      <c r="D323" s="949"/>
      <c r="E323" s="952"/>
      <c r="F323" s="821"/>
      <c r="G323" s="821"/>
    </row>
    <row r="324" spans="1:7" x14ac:dyDescent="0.15">
      <c r="A324" s="950"/>
      <c r="B324" s="951"/>
      <c r="C324" s="951"/>
      <c r="D324" s="949"/>
      <c r="E324" s="952"/>
      <c r="F324" s="821"/>
      <c r="G324" s="821"/>
    </row>
    <row r="325" spans="1:7" x14ac:dyDescent="0.15">
      <c r="A325" s="950"/>
      <c r="B325" s="951"/>
      <c r="C325" s="951"/>
      <c r="D325" s="949"/>
      <c r="E325" s="952"/>
      <c r="F325" s="821"/>
      <c r="G325" s="821"/>
    </row>
    <row r="326" spans="1:7" x14ac:dyDescent="0.15">
      <c r="A326" s="950"/>
      <c r="B326" s="951"/>
      <c r="C326" s="951"/>
      <c r="D326" s="949"/>
      <c r="E326" s="952"/>
      <c r="F326" s="821"/>
      <c r="G326" s="821"/>
    </row>
    <row r="327" spans="1:7" x14ac:dyDescent="0.15">
      <c r="A327" s="950"/>
      <c r="B327" s="951"/>
      <c r="C327" s="951"/>
      <c r="D327" s="949"/>
      <c r="E327" s="952"/>
      <c r="F327" s="821"/>
      <c r="G327" s="821"/>
    </row>
    <row r="328" spans="1:7" x14ac:dyDescent="0.15">
      <c r="A328" s="950"/>
      <c r="B328" s="951"/>
      <c r="C328" s="951"/>
      <c r="D328" s="949"/>
      <c r="E328" s="952"/>
      <c r="F328" s="821"/>
    </row>
    <row r="329" spans="1:7" x14ac:dyDescent="0.15">
      <c r="A329" s="950"/>
      <c r="B329" s="951"/>
      <c r="C329" s="951"/>
      <c r="D329" s="949"/>
      <c r="E329" s="952"/>
      <c r="F329" s="821"/>
    </row>
    <row r="330" spans="1:7" x14ac:dyDescent="0.15">
      <c r="A330" s="950"/>
      <c r="B330" s="951"/>
      <c r="C330" s="951"/>
      <c r="D330" s="949"/>
      <c r="E330" s="952"/>
      <c r="F330" s="821"/>
    </row>
    <row r="331" spans="1:7" x14ac:dyDescent="0.15">
      <c r="A331" s="950"/>
      <c r="B331" s="951"/>
      <c r="C331" s="951"/>
      <c r="D331" s="949"/>
      <c r="E331" s="952"/>
      <c r="F331" s="821"/>
    </row>
    <row r="332" spans="1:7" x14ac:dyDescent="0.15">
      <c r="A332" s="950"/>
      <c r="B332" s="951"/>
      <c r="C332" s="951"/>
      <c r="D332" s="949"/>
      <c r="E332" s="952"/>
      <c r="F332" s="821"/>
    </row>
    <row r="333" spans="1:7" x14ac:dyDescent="0.15">
      <c r="A333" s="950"/>
      <c r="B333" s="951"/>
      <c r="C333" s="951"/>
      <c r="D333" s="949"/>
      <c r="E333" s="952"/>
      <c r="F333" s="821"/>
    </row>
    <row r="334" spans="1:7" x14ac:dyDescent="0.15">
      <c r="A334" s="950"/>
      <c r="B334" s="951"/>
      <c r="C334" s="951"/>
      <c r="D334" s="949"/>
      <c r="E334" s="952"/>
      <c r="F334" s="821"/>
    </row>
    <row r="335" spans="1:7" x14ac:dyDescent="0.15">
      <c r="A335" s="950"/>
      <c r="B335" s="951"/>
      <c r="C335" s="951"/>
      <c r="D335" s="949"/>
      <c r="E335" s="952"/>
      <c r="F335" s="821"/>
    </row>
    <row r="336" spans="1:7" x14ac:dyDescent="0.15">
      <c r="A336" s="950"/>
      <c r="B336" s="951"/>
      <c r="C336" s="951"/>
      <c r="D336" s="949"/>
      <c r="E336" s="952"/>
      <c r="F336" s="821"/>
    </row>
    <row r="337" spans="1:8" x14ac:dyDescent="0.15">
      <c r="A337" s="950"/>
      <c r="B337" s="951"/>
      <c r="C337" s="951"/>
      <c r="D337" s="949"/>
      <c r="E337" s="952"/>
      <c r="F337" s="821"/>
    </row>
    <row r="338" spans="1:8" x14ac:dyDescent="0.15">
      <c r="A338" s="950"/>
      <c r="B338" s="951"/>
      <c r="C338" s="951"/>
      <c r="D338" s="949"/>
      <c r="E338" s="952"/>
      <c r="F338" s="821"/>
    </row>
    <row r="339" spans="1:8" x14ac:dyDescent="0.15">
      <c r="A339" s="950"/>
      <c r="B339" s="951"/>
      <c r="C339" s="951"/>
      <c r="D339" s="949"/>
      <c r="E339" s="952"/>
      <c r="F339" s="821"/>
    </row>
    <row r="347" spans="1:8" ht="13" x14ac:dyDescent="0.15">
      <c r="A347" s="459"/>
      <c r="B347" s="468"/>
      <c r="C347" s="468"/>
      <c r="D347" s="468"/>
      <c r="E347" s="468"/>
      <c r="F347" s="468"/>
      <c r="G347" s="468"/>
      <c r="H347" s="460"/>
    </row>
    <row r="348" spans="1:8" ht="13" x14ac:dyDescent="0.15">
      <c r="A348" s="459"/>
      <c r="B348" s="468"/>
      <c r="C348" s="468"/>
      <c r="D348" s="468"/>
      <c r="E348" s="468"/>
      <c r="F348" s="468"/>
      <c r="G348" s="468"/>
      <c r="H348" s="460"/>
    </row>
    <row r="349" spans="1:8" ht="13" x14ac:dyDescent="0.15">
      <c r="A349" s="459"/>
      <c r="B349" s="468"/>
      <c r="C349" s="468"/>
      <c r="D349" s="468"/>
      <c r="E349" s="468"/>
      <c r="F349" s="468"/>
      <c r="G349" s="468"/>
      <c r="H349" s="460"/>
    </row>
    <row r="350" spans="1:8" ht="13" x14ac:dyDescent="0.15">
      <c r="A350" s="459"/>
      <c r="B350" s="468"/>
      <c r="C350" s="468"/>
      <c r="D350" s="468"/>
      <c r="E350" s="468"/>
      <c r="F350" s="468"/>
      <c r="G350" s="468"/>
      <c r="H350" s="460"/>
    </row>
    <row r="351" spans="1:8" ht="13" x14ac:dyDescent="0.15">
      <c r="A351" s="459"/>
      <c r="B351" s="468"/>
      <c r="C351" s="468"/>
      <c r="D351" s="468"/>
      <c r="E351" s="468"/>
      <c r="F351" s="468"/>
      <c r="G351" s="468"/>
      <c r="H351" s="460"/>
    </row>
    <row r="352" spans="1:8" ht="13" x14ac:dyDescent="0.15">
      <c r="A352" s="459"/>
      <c r="B352" s="468"/>
      <c r="C352" s="468"/>
      <c r="D352" s="468"/>
      <c r="E352" s="468"/>
      <c r="F352" s="468"/>
      <c r="G352" s="468"/>
      <c r="H352" s="460"/>
    </row>
  </sheetData>
  <mergeCells count="5">
    <mergeCell ref="A259:H259"/>
    <mergeCell ref="A260:H260"/>
    <mergeCell ref="A1:H1"/>
    <mergeCell ref="A2:H2"/>
    <mergeCell ref="A3:H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97"/>
  <sheetViews>
    <sheetView topLeftCell="A4" workbookViewId="0">
      <pane ySplit="2" topLeftCell="A6" activePane="bottomLeft" state="frozen"/>
      <selection activeCell="A4" sqref="A4"/>
      <selection pane="bottomLeft" activeCell="M9" sqref="M9"/>
    </sheetView>
  </sheetViews>
  <sheetFormatPr baseColWidth="10" defaultColWidth="8.83203125" defaultRowHeight="14" x14ac:dyDescent="0.15"/>
  <cols>
    <col min="1" max="1" width="33.33203125" style="793" customWidth="1"/>
    <col min="2" max="2" width="4.83203125" style="794" bestFit="1" customWidth="1"/>
    <col min="3" max="3" width="5.83203125" style="794" customWidth="1"/>
    <col min="4" max="4" width="3.5" style="794" bestFit="1" customWidth="1"/>
    <col min="5" max="5" width="10.83203125" style="794" customWidth="1"/>
    <col min="6" max="6" width="4.5" style="794" customWidth="1"/>
    <col min="7" max="7" width="6.5" style="794" customWidth="1"/>
    <col min="8" max="8" width="13.5" style="795" customWidth="1"/>
    <col min="9" max="10" width="13.5" style="796" customWidth="1"/>
    <col min="11" max="11" width="13.5" style="797" customWidth="1"/>
    <col min="12" max="12" width="11.5" style="635" customWidth="1"/>
    <col min="13" max="13" width="14.5" style="635" customWidth="1"/>
    <col min="14" max="14" width="10.5" style="635" customWidth="1"/>
    <col min="15" max="15" width="14.5" style="635" customWidth="1"/>
    <col min="16" max="16" width="8.83203125" style="635"/>
  </cols>
  <sheetData>
    <row r="1" spans="1:16" ht="13" x14ac:dyDescent="0.15">
      <c r="A1" s="3080" t="s">
        <v>68</v>
      </c>
      <c r="B1" s="3080"/>
      <c r="C1" s="3080"/>
      <c r="D1" s="3080"/>
      <c r="E1" s="3080"/>
      <c r="F1" s="3080"/>
      <c r="G1" s="3080"/>
      <c r="H1" s="3080"/>
      <c r="I1" s="3080"/>
      <c r="J1" s="3080"/>
      <c r="K1" s="3080"/>
    </row>
    <row r="2" spans="1:16" ht="13" x14ac:dyDescent="0.15">
      <c r="A2" s="3080" t="s">
        <v>218</v>
      </c>
      <c r="B2" s="3080"/>
      <c r="C2" s="3080"/>
      <c r="D2" s="3080"/>
      <c r="E2" s="3080"/>
      <c r="F2" s="3080"/>
      <c r="G2" s="3080"/>
      <c r="H2" s="3080"/>
      <c r="I2" s="3080"/>
      <c r="J2" s="3080"/>
      <c r="K2" s="3080"/>
    </row>
    <row r="3" spans="1:16" ht="13" x14ac:dyDescent="0.15">
      <c r="A3" s="3081" t="s">
        <v>69</v>
      </c>
      <c r="B3" s="3081"/>
      <c r="C3" s="3081"/>
      <c r="D3" s="3081"/>
      <c r="E3" s="3081"/>
      <c r="F3" s="3081"/>
      <c r="G3" s="3081"/>
      <c r="H3" s="3081"/>
      <c r="I3" s="3081"/>
      <c r="J3" s="3081"/>
      <c r="K3" s="3081"/>
    </row>
    <row r="4" spans="1:16" x14ac:dyDescent="0.15">
      <c r="A4" s="636"/>
      <c r="B4" s="637"/>
      <c r="C4" s="637"/>
      <c r="D4" s="637"/>
      <c r="E4" s="637"/>
      <c r="F4" s="637"/>
      <c r="G4" s="637"/>
      <c r="H4" s="638"/>
      <c r="I4" s="638"/>
      <c r="J4" s="638"/>
      <c r="K4" s="639"/>
    </row>
    <row r="5" spans="1:16" ht="26" x14ac:dyDescent="0.15">
      <c r="A5" s="640" t="s">
        <v>70</v>
      </c>
      <c r="B5" s="641" t="s">
        <v>71</v>
      </c>
      <c r="C5" s="641" t="s">
        <v>72</v>
      </c>
      <c r="D5" s="641" t="s">
        <v>73</v>
      </c>
      <c r="E5" s="641" t="s">
        <v>74</v>
      </c>
      <c r="F5" s="641" t="s">
        <v>75</v>
      </c>
      <c r="G5" s="641" t="s">
        <v>76</v>
      </c>
      <c r="H5" s="642" t="s">
        <v>931</v>
      </c>
      <c r="I5" s="642" t="s">
        <v>932</v>
      </c>
      <c r="J5" s="642" t="s">
        <v>933</v>
      </c>
      <c r="K5" s="643" t="s">
        <v>934</v>
      </c>
      <c r="L5" s="644"/>
      <c r="M5" s="644"/>
      <c r="N5" s="644"/>
      <c r="O5" s="644"/>
      <c r="P5" s="644"/>
    </row>
    <row r="6" spans="1:16" x14ac:dyDescent="0.15">
      <c r="A6" s="78" t="str">
        <f>[9]Роспись!A6</f>
        <v>Аппарат МК РД</v>
      </c>
      <c r="B6" s="645">
        <f>[9]Роспись!B6</f>
        <v>0</v>
      </c>
      <c r="C6" s="645">
        <f>[9]Роспись!C6</f>
        <v>0</v>
      </c>
      <c r="D6" s="645">
        <f>[9]Роспись!D6</f>
        <v>0</v>
      </c>
      <c r="E6" s="645">
        <f>[9]Роспись!E6</f>
        <v>0</v>
      </c>
      <c r="F6" s="645">
        <f>[9]Роспись!F6</f>
        <v>0</v>
      </c>
      <c r="G6" s="645">
        <f>[9]Роспись!G6</f>
        <v>0</v>
      </c>
      <c r="H6" s="642"/>
      <c r="I6" s="642"/>
      <c r="J6" s="642"/>
      <c r="K6" s="643"/>
      <c r="L6" s="646"/>
      <c r="M6" s="646" t="s">
        <v>968</v>
      </c>
      <c r="N6" s="646" t="s">
        <v>954</v>
      </c>
      <c r="O6" s="646" t="s">
        <v>955</v>
      </c>
      <c r="P6" s="646"/>
    </row>
    <row r="7" spans="1:16" x14ac:dyDescent="0.15">
      <c r="A7" s="647" t="str">
        <f>[9]Роспись!A7</f>
        <v>Заработная плата</v>
      </c>
      <c r="B7" s="81" t="str">
        <f>[9]Роспись!B7</f>
        <v>056</v>
      </c>
      <c r="C7" s="81" t="str">
        <f>[9]Роспись!C7</f>
        <v>08</v>
      </c>
      <c r="D7" s="81" t="str">
        <f>[9]Роспись!D7</f>
        <v>04</v>
      </c>
      <c r="E7" s="81" t="str">
        <f>[9]Роспись!E7</f>
        <v>0020400</v>
      </c>
      <c r="F7" s="81" t="str">
        <f>[9]Роспись!F7</f>
        <v>012</v>
      </c>
      <c r="G7" s="81">
        <f>[9]Роспись!G7</f>
        <v>211</v>
      </c>
      <c r="H7" s="648">
        <f>[9]Роспись!H7</f>
        <v>13510</v>
      </c>
      <c r="I7" s="648">
        <f>[9]Финансирование!I7+[9]Финансирование!J7+[9]Финансирование!K7+[9]Финансирование!L7+[9]Финансирование!M7+[9]Финансирование!N7+[9]Финансирование!O7+[9]Финансирование!P7+[9]Финансирование!Q7+[9]Финансирование!T7+[9]Финансирование!U7+[9]Финансирование!V7+[9]Финансирование!W7+[9]Финансирование!X7+[9]Финансирование!Y7+[9]Финансирование!Z7</f>
        <v>13510</v>
      </c>
      <c r="J7" s="648"/>
      <c r="K7" s="648">
        <f t="shared" ref="K7:K19" si="0">H7-I7</f>
        <v>0</v>
      </c>
      <c r="M7" s="1000">
        <f>I99+J99+I181+J181-I183+I198+J198+I266+J266-I268+I350+J350-I352+I431+J431+I822+J822-I824+I854+J854</f>
        <v>741759.67299999984</v>
      </c>
      <c r="N7" s="658">
        <f>I876+J876+I879+J879</f>
        <v>12878.900000000001</v>
      </c>
      <c r="O7" s="658">
        <f>I183+I268+I352+I824</f>
        <v>49314.430999999997</v>
      </c>
    </row>
    <row r="8" spans="1:16" x14ac:dyDescent="0.15">
      <c r="A8" s="647" t="str">
        <f>[9]Роспись!A8</f>
        <v>Прочие выплаты</v>
      </c>
      <c r="B8" s="81" t="str">
        <f>[9]Роспись!B8</f>
        <v>056</v>
      </c>
      <c r="C8" s="81" t="str">
        <f>[9]Роспись!C8</f>
        <v>08</v>
      </c>
      <c r="D8" s="81" t="str">
        <f>[9]Роспись!D8</f>
        <v>04</v>
      </c>
      <c r="E8" s="81" t="str">
        <f>[9]Роспись!E8</f>
        <v>0020400</v>
      </c>
      <c r="F8" s="81" t="str">
        <f>[9]Роспись!F8</f>
        <v>012</v>
      </c>
      <c r="G8" s="81">
        <f>[9]Роспись!G8</f>
        <v>212</v>
      </c>
      <c r="H8" s="648">
        <f>[9]Роспись!H8</f>
        <v>0</v>
      </c>
      <c r="I8" s="648">
        <f>[9]Финансирование!I8+[9]Финансирование!J8+[9]Финансирование!K8+[9]Финансирование!L8+[9]Финансирование!M8+[9]Финансирование!N8+[9]Финансирование!O8+[9]Финансирование!P8+[9]Финансирование!Q8+[9]Финансирование!T8+[9]Финансирование!U8+[9]Финансирование!V8+[9]Финансирование!W8+[9]Финансирование!X8+[9]Финансирование!Y8+[9]Финансирование!Z8</f>
        <v>0</v>
      </c>
      <c r="J8" s="648"/>
      <c r="K8" s="648">
        <f t="shared" si="0"/>
        <v>0</v>
      </c>
    </row>
    <row r="9" spans="1:16" x14ac:dyDescent="0.15">
      <c r="A9" s="647" t="str">
        <f>[9]Роспись!A9</f>
        <v>Начисления на оплату труда</v>
      </c>
      <c r="B9" s="81" t="str">
        <f>[9]Роспись!B9</f>
        <v>056</v>
      </c>
      <c r="C9" s="81" t="str">
        <f>[9]Роспись!C9</f>
        <v>08</v>
      </c>
      <c r="D9" s="81" t="str">
        <f>[9]Роспись!D9</f>
        <v>04</v>
      </c>
      <c r="E9" s="81" t="str">
        <f>[9]Роспись!E9</f>
        <v>0020400</v>
      </c>
      <c r="F9" s="81" t="str">
        <f>[9]Роспись!F9</f>
        <v>012</v>
      </c>
      <c r="G9" s="81">
        <f>[9]Роспись!G9</f>
        <v>213</v>
      </c>
      <c r="H9" s="648">
        <f>[9]Роспись!H9</f>
        <v>3584.6</v>
      </c>
      <c r="I9" s="648">
        <f>[9]Финансирование!I9+[9]Финансирование!J9+[9]Финансирование!K9+[9]Финансирование!L9+[9]Финансирование!M9+[9]Финансирование!N9+[9]Финансирование!O9+[9]Финансирование!P9+[9]Финансирование!Q9+[9]Финансирование!T9+[9]Финансирование!U9+[9]Финансирование!V9+[9]Финансирование!W9+[9]Финансирование!X9+[9]Финансирование!Y9+[9]Финансирование!Z9</f>
        <v>3584.6000000000004</v>
      </c>
      <c r="J9" s="648"/>
      <c r="K9" s="648">
        <f t="shared" si="0"/>
        <v>0</v>
      </c>
      <c r="M9" s="658">
        <f>I920+J920-I919-J918-J917-J912-I886-I885-J885-J881</f>
        <v>875777.57299999986</v>
      </c>
    </row>
    <row r="10" spans="1:16" x14ac:dyDescent="0.15">
      <c r="A10" s="647" t="str">
        <f>[9]Роспись!A10</f>
        <v xml:space="preserve">Оплата услуг связи </v>
      </c>
      <c r="B10" s="81" t="str">
        <f>[9]Роспись!B10</f>
        <v>056</v>
      </c>
      <c r="C10" s="81" t="str">
        <f>[9]Роспись!C10</f>
        <v>08</v>
      </c>
      <c r="D10" s="81" t="str">
        <f>[9]Роспись!D10</f>
        <v>04</v>
      </c>
      <c r="E10" s="81" t="str">
        <f>[9]Роспись!E10</f>
        <v>0020400</v>
      </c>
      <c r="F10" s="81" t="str">
        <f>[9]Роспись!F10</f>
        <v>012</v>
      </c>
      <c r="G10" s="81">
        <f>[9]Роспись!G10</f>
        <v>221</v>
      </c>
      <c r="H10" s="648">
        <f>[9]Роспись!H10</f>
        <v>585</v>
      </c>
      <c r="I10" s="648">
        <f>[9]Финансирование!I10+[9]Финансирование!J10+[9]Финансирование!K10+[9]Финансирование!L10+[9]Финансирование!M10+[9]Финансирование!N10+[9]Финансирование!O10+[9]Финансирование!P10+[9]Финансирование!Q10+[9]Финансирование!T10+[9]Финансирование!U10+[9]Финансирование!V10+[9]Финансирование!W10+[9]Финансирование!X10+[9]Финансирование!Y10+[9]Финансирование!Z10</f>
        <v>585</v>
      </c>
      <c r="J10" s="648"/>
      <c r="K10" s="648">
        <f t="shared" si="0"/>
        <v>0</v>
      </c>
    </row>
    <row r="11" spans="1:16" x14ac:dyDescent="0.15">
      <c r="A11" s="647" t="str">
        <f>[9]Роспись!A11</f>
        <v>Транспортные услуги</v>
      </c>
      <c r="B11" s="81" t="str">
        <f>[9]Роспись!B11</f>
        <v>056</v>
      </c>
      <c r="C11" s="81" t="str">
        <f>[9]Роспись!C11</f>
        <v>08</v>
      </c>
      <c r="D11" s="81" t="str">
        <f>[9]Роспись!D11</f>
        <v>04</v>
      </c>
      <c r="E11" s="81" t="str">
        <f>[9]Роспись!E11</f>
        <v>0020400</v>
      </c>
      <c r="F11" s="81" t="str">
        <f>[9]Роспись!F11</f>
        <v>012</v>
      </c>
      <c r="G11" s="81">
        <f>[9]Роспись!G11</f>
        <v>222</v>
      </c>
      <c r="H11" s="648">
        <f>[9]Роспись!H11</f>
        <v>425.92500000000001</v>
      </c>
      <c r="I11" s="648">
        <f>[9]Финансирование!I11+[9]Финансирование!J11+[9]Финансирование!K11+[9]Финансирование!L11+[9]Финансирование!M11+[9]Финансирование!N11+[9]Финансирование!O11+[9]Финансирование!P11+[9]Финансирование!Q11+[9]Финансирование!T11+[9]Финансирование!U11+[9]Финансирование!V11+[9]Финансирование!W11+[9]Финансирование!X11+[9]Финансирование!Y11+[9]Финансирование!Z11</f>
        <v>425.92500000000001</v>
      </c>
      <c r="J11" s="648"/>
      <c r="K11" s="648">
        <f t="shared" si="0"/>
        <v>0</v>
      </c>
    </row>
    <row r="12" spans="1:16" x14ac:dyDescent="0.15">
      <c r="A12" s="647" t="str">
        <f>[9]Роспись!A12</f>
        <v>Коммунальные услуги</v>
      </c>
      <c r="B12" s="81" t="str">
        <f>[9]Роспись!B12</f>
        <v>056</v>
      </c>
      <c r="C12" s="81" t="str">
        <f>[9]Роспись!C12</f>
        <v>08</v>
      </c>
      <c r="D12" s="81" t="str">
        <f>[9]Роспись!D12</f>
        <v>04</v>
      </c>
      <c r="E12" s="81" t="str">
        <f>[9]Роспись!E12</f>
        <v>0020400</v>
      </c>
      <c r="F12" s="81" t="str">
        <f>[9]Роспись!F12</f>
        <v>012</v>
      </c>
      <c r="G12" s="81">
        <f>[9]Роспись!G12</f>
        <v>223</v>
      </c>
      <c r="H12" s="648">
        <f>[9]Роспись!H12</f>
        <v>300</v>
      </c>
      <c r="I12" s="648">
        <f>[9]Финансирование!I12+[9]Финансирование!J12+[9]Финансирование!K12+[9]Финансирование!L12+[9]Финансирование!M12+[9]Финансирование!N12+[9]Финансирование!O12+[9]Финансирование!P12+[9]Финансирование!Q12+[9]Финансирование!T12+[9]Финансирование!U12+[9]Финансирование!V12+[9]Финансирование!W12+[9]Финансирование!X12+[9]Финансирование!Y12+[9]Финансирование!Z12</f>
        <v>299.99999999999994</v>
      </c>
      <c r="J12" s="648"/>
      <c r="K12" s="648">
        <f t="shared" si="0"/>
        <v>0</v>
      </c>
    </row>
    <row r="13" spans="1:16" x14ac:dyDescent="0.15">
      <c r="A13" s="647" t="str">
        <f>[9]Роспись!A13</f>
        <v>Аренда</v>
      </c>
      <c r="B13" s="81" t="str">
        <f>[9]Роспись!B13</f>
        <v>056</v>
      </c>
      <c r="C13" s="81" t="str">
        <f>[9]Роспись!C13</f>
        <v>08</v>
      </c>
      <c r="D13" s="81" t="str">
        <f>[9]Роспись!D13</f>
        <v>04</v>
      </c>
      <c r="E13" s="81" t="str">
        <f>[9]Роспись!E13</f>
        <v>0020400</v>
      </c>
      <c r="F13" s="81" t="str">
        <f>[9]Роспись!F13</f>
        <v>012</v>
      </c>
      <c r="G13" s="81">
        <f>[9]Роспись!G13</f>
        <v>224</v>
      </c>
      <c r="H13" s="648">
        <f>[9]Роспись!H13</f>
        <v>0</v>
      </c>
      <c r="I13" s="648">
        <f>[9]Финансирование!I13+[9]Финансирование!J13+[9]Финансирование!K13+[9]Финансирование!L13+[9]Финансирование!M13+[9]Финансирование!N13+[9]Финансирование!O13+[9]Финансирование!P13+[9]Финансирование!Q13+[9]Финансирование!T13+[9]Финансирование!U13+[9]Финансирование!V13+[9]Финансирование!W13+[9]Финансирование!X13+[9]Финансирование!Y13+[9]Финансирование!Z13</f>
        <v>0</v>
      </c>
      <c r="J13" s="648"/>
      <c r="K13" s="648">
        <f t="shared" si="0"/>
        <v>0</v>
      </c>
    </row>
    <row r="14" spans="1:16" x14ac:dyDescent="0.15">
      <c r="A14" s="647" t="str">
        <f>[9]Роспись!A14</f>
        <v>Услуги по содерж. имущества</v>
      </c>
      <c r="B14" s="81" t="str">
        <f>[9]Роспись!B14</f>
        <v>056</v>
      </c>
      <c r="C14" s="81" t="str">
        <f>[9]Роспись!C14</f>
        <v>08</v>
      </c>
      <c r="D14" s="81" t="str">
        <f>[9]Роспись!D14</f>
        <v>04</v>
      </c>
      <c r="E14" s="81" t="str">
        <f>[9]Роспись!E14</f>
        <v>0020400</v>
      </c>
      <c r="F14" s="81" t="str">
        <f>[9]Роспись!F14</f>
        <v>012</v>
      </c>
      <c r="G14" s="81">
        <f>[9]Роспись!G14</f>
        <v>225</v>
      </c>
      <c r="H14" s="648">
        <f>[9]Роспись!H14</f>
        <v>13478.487000000001</v>
      </c>
      <c r="I14" s="648">
        <f>[9]Финансирование!I14+[9]Финансирование!J14+[9]Финансирование!K14+[9]Финансирование!L14+[9]Финансирование!M14+[9]Финансирование!N14+[9]Финансирование!O14+[9]Финансирование!P14+[9]Финансирование!Q14+[9]Финансирование!T14+[9]Финансирование!U14+[9]Финансирование!V14+[9]Финансирование!W14+[9]Финансирование!X14+[9]Финансирование!Y14+[9]Финансирование!Z14</f>
        <v>13478.487000000001</v>
      </c>
      <c r="J14" s="648"/>
      <c r="K14" s="648">
        <f t="shared" si="0"/>
        <v>0</v>
      </c>
    </row>
    <row r="15" spans="1:16" x14ac:dyDescent="0.15">
      <c r="A15" s="647" t="str">
        <f>[9]Роспись!A15</f>
        <v>Прочие услуги</v>
      </c>
      <c r="B15" s="81" t="str">
        <f>[9]Роспись!B15</f>
        <v>056</v>
      </c>
      <c r="C15" s="81" t="str">
        <f>[9]Роспись!C15</f>
        <v>08</v>
      </c>
      <c r="D15" s="81" t="str">
        <f>[9]Роспись!D15</f>
        <v>04</v>
      </c>
      <c r="E15" s="81" t="str">
        <f>[9]Роспись!E15</f>
        <v>0020400</v>
      </c>
      <c r="F15" s="81" t="str">
        <f>[9]Роспись!F15</f>
        <v>012</v>
      </c>
      <c r="G15" s="81">
        <f>[9]Роспись!G15</f>
        <v>226</v>
      </c>
      <c r="H15" s="648">
        <f>[9]Роспись!H15</f>
        <v>3796.9759999999997</v>
      </c>
      <c r="I15" s="648">
        <f>[9]Финансирование!I15+[9]Финансирование!J15+[9]Финансирование!K15+[9]Финансирование!L15+[9]Финансирование!M15+[9]Финансирование!N15+[9]Финансирование!O15+[9]Финансирование!P15+[9]Финансирование!Q15+[9]Финансирование!T15+[9]Финансирование!U15+[9]Финансирование!V15+[9]Финансирование!W15+[9]Финансирование!X15+[9]Финансирование!Y15+[9]Финансирование!Z15</f>
        <v>3796.9759999999997</v>
      </c>
      <c r="J15" s="648"/>
      <c r="K15" s="648">
        <f t="shared" si="0"/>
        <v>0</v>
      </c>
    </row>
    <row r="16" spans="1:16" x14ac:dyDescent="0.15">
      <c r="A16" s="647" t="str">
        <f>[9]Роспись!A16</f>
        <v>пособие по соцпомощи</v>
      </c>
      <c r="B16" s="81" t="str">
        <f>[9]Роспись!B16</f>
        <v>056</v>
      </c>
      <c r="C16" s="81" t="str">
        <f>[9]Роспись!C16</f>
        <v>08</v>
      </c>
      <c r="D16" s="81" t="str">
        <f>[9]Роспись!D16</f>
        <v>04</v>
      </c>
      <c r="E16" s="81" t="str">
        <f>[9]Роспись!E16</f>
        <v>0020400</v>
      </c>
      <c r="F16" s="81" t="str">
        <f>[9]Роспись!F16</f>
        <v>012</v>
      </c>
      <c r="G16" s="81" t="str">
        <f>[9]Роспись!G16</f>
        <v>262</v>
      </c>
      <c r="H16" s="648">
        <f>[9]Роспись!H16</f>
        <v>0</v>
      </c>
      <c r="I16" s="648">
        <f>[9]Финансирование!I16+[9]Финансирование!J16+[9]Финансирование!K16+[9]Финансирование!L16+[9]Финансирование!M16+[9]Финансирование!N16+[9]Финансирование!O16+[9]Финансирование!P16+[9]Финансирование!Q16+[9]Финансирование!T16+[9]Финансирование!U16+[9]Финансирование!V16+[9]Финансирование!W16+[9]Финансирование!X16+[9]Финансирование!Y16+[9]Финансирование!Z16</f>
        <v>0</v>
      </c>
      <c r="J16" s="648"/>
      <c r="K16" s="648">
        <f t="shared" si="0"/>
        <v>0</v>
      </c>
    </row>
    <row r="17" spans="1:16" x14ac:dyDescent="0.15">
      <c r="A17" s="647" t="str">
        <f>[9]Роспись!A17</f>
        <v xml:space="preserve">Прочие расходы </v>
      </c>
      <c r="B17" s="81" t="str">
        <f>[9]Роспись!B17</f>
        <v>056</v>
      </c>
      <c r="C17" s="81" t="str">
        <f>[9]Роспись!C17</f>
        <v>08</v>
      </c>
      <c r="D17" s="81" t="str">
        <f>[9]Роспись!D17</f>
        <v>04</v>
      </c>
      <c r="E17" s="81" t="str">
        <f>[9]Роспись!E17</f>
        <v>0020400</v>
      </c>
      <c r="F17" s="81" t="str">
        <f>[9]Роспись!F17</f>
        <v>012</v>
      </c>
      <c r="G17" s="81">
        <f>[9]Роспись!G17</f>
        <v>290</v>
      </c>
      <c r="H17" s="648">
        <f>[9]Роспись!H17</f>
        <v>750</v>
      </c>
      <c r="I17" s="648">
        <f>[9]Финансирование!I17+[9]Финансирование!J17+[9]Финансирование!K17+[9]Финансирование!L17+[9]Финансирование!M17+[9]Финансирование!N17+[9]Финансирование!O17+[9]Финансирование!P17+[9]Финансирование!Q17+[9]Финансирование!T17+[9]Финансирование!U17+[9]Финансирование!V17+[9]Финансирование!W17+[9]Финансирование!X17+[9]Финансирование!Y17+[9]Финансирование!Z17</f>
        <v>750</v>
      </c>
      <c r="J17" s="648"/>
      <c r="K17" s="648">
        <f t="shared" si="0"/>
        <v>0</v>
      </c>
    </row>
    <row r="18" spans="1:16" x14ac:dyDescent="0.15">
      <c r="A18" s="647" t="str">
        <f>[9]Роспись!A18</f>
        <v>Увелич. стоимости осн. средств</v>
      </c>
      <c r="B18" s="81" t="str">
        <f>[9]Роспись!B18</f>
        <v>056</v>
      </c>
      <c r="C18" s="81" t="str">
        <f>[9]Роспись!C18</f>
        <v>08</v>
      </c>
      <c r="D18" s="81" t="str">
        <f>[9]Роспись!D18</f>
        <v>04</v>
      </c>
      <c r="E18" s="81" t="str">
        <f>[9]Роспись!E18</f>
        <v>0020400</v>
      </c>
      <c r="F18" s="81" t="str">
        <f>[9]Роспись!F18</f>
        <v>012</v>
      </c>
      <c r="G18" s="81">
        <f>[9]Роспись!G18</f>
        <v>310</v>
      </c>
      <c r="H18" s="648">
        <f>[9]Роспись!H18</f>
        <v>1617.4</v>
      </c>
      <c r="I18" s="648">
        <f>[9]Финансирование!I18+[9]Финансирование!J18+[9]Финансирование!K18+[9]Финансирование!L18+[9]Финансирование!M18+[9]Финансирование!N18+[9]Финансирование!O18+[9]Финансирование!P18+[9]Финансирование!Q18+[9]Финансирование!T18+[9]Финансирование!U18+[9]Финансирование!V18+[9]Финансирование!W18+[9]Финансирование!X18+[9]Финансирование!Y18+[9]Финансирование!Z18</f>
        <v>1617.4</v>
      </c>
      <c r="J18" s="648"/>
      <c r="K18" s="648">
        <f t="shared" si="0"/>
        <v>0</v>
      </c>
    </row>
    <row r="19" spans="1:16" x14ac:dyDescent="0.15">
      <c r="A19" s="647" t="str">
        <f>[9]Роспись!A19</f>
        <v>Увелич. стоимости матер. запасов</v>
      </c>
      <c r="B19" s="81" t="str">
        <f>[9]Роспись!B19</f>
        <v>056</v>
      </c>
      <c r="C19" s="81" t="str">
        <f>[9]Роспись!C19</f>
        <v>08</v>
      </c>
      <c r="D19" s="81" t="str">
        <f>[9]Роспись!D19</f>
        <v>04</v>
      </c>
      <c r="E19" s="81" t="str">
        <f>[9]Роспись!E19</f>
        <v>0020400</v>
      </c>
      <c r="F19" s="81" t="str">
        <f>[9]Роспись!F19</f>
        <v>012</v>
      </c>
      <c r="G19" s="81">
        <f>[9]Роспись!G19</f>
        <v>340</v>
      </c>
      <c r="H19" s="648">
        <f>[9]Роспись!H19</f>
        <v>736</v>
      </c>
      <c r="I19" s="648">
        <f>[9]Финансирование!I19+[9]Финансирование!J19+[9]Финансирование!K19+[9]Финансирование!L19+[9]Финансирование!M19+[9]Финансирование!N19+[9]Финансирование!O19+[9]Финансирование!P19+[9]Финансирование!Q19+[9]Финансирование!T19+[9]Финансирование!U19+[9]Финансирование!V19+[9]Финансирование!W19+[9]Финансирование!X19+[9]Финансирование!Y19+[9]Финансирование!Z19</f>
        <v>735.99999999999989</v>
      </c>
      <c r="J19" s="648"/>
      <c r="K19" s="648">
        <f t="shared" si="0"/>
        <v>0</v>
      </c>
    </row>
    <row r="20" spans="1:16" x14ac:dyDescent="0.15">
      <c r="A20" s="78" t="s">
        <v>98</v>
      </c>
      <c r="B20" s="641" t="s">
        <v>79</v>
      </c>
      <c r="C20" s="641" t="s">
        <v>80</v>
      </c>
      <c r="D20" s="641" t="s">
        <v>935</v>
      </c>
      <c r="E20" s="641" t="s">
        <v>81</v>
      </c>
      <c r="F20" s="641" t="s">
        <v>82</v>
      </c>
      <c r="G20" s="649"/>
      <c r="H20" s="650">
        <f>SUM(H7:H19)</f>
        <v>38784.387999999999</v>
      </c>
      <c r="I20" s="651">
        <f>SUM(I7:I19)</f>
        <v>38784.387999999999</v>
      </c>
      <c r="J20" s="651"/>
      <c r="K20" s="651">
        <f>SUM(K7:K19)</f>
        <v>0</v>
      </c>
      <c r="L20" s="646">
        <v>38784.387999999999</v>
      </c>
      <c r="M20" s="652">
        <f>L20-I20</f>
        <v>0</v>
      </c>
      <c r="N20" s="646"/>
      <c r="O20" s="646"/>
      <c r="P20" s="646"/>
    </row>
    <row r="21" spans="1:16" x14ac:dyDescent="0.15">
      <c r="A21" s="653" t="str">
        <f>[9]Роспись!A21</f>
        <v>Респ. Цирковая школа</v>
      </c>
      <c r="B21" s="654">
        <f>[9]Роспись!B21</f>
        <v>0</v>
      </c>
      <c r="C21" s="654">
        <f>[9]Роспись!C21</f>
        <v>0</v>
      </c>
      <c r="D21" s="654">
        <f>[9]Роспись!D21</f>
        <v>0</v>
      </c>
      <c r="E21" s="654">
        <f>[9]Роспись!E21</f>
        <v>0</v>
      </c>
      <c r="F21" s="654">
        <f>[9]Роспись!F21</f>
        <v>0</v>
      </c>
      <c r="G21" s="654">
        <f>[9]Роспись!G21</f>
        <v>0</v>
      </c>
      <c r="H21" s="648"/>
      <c r="I21" s="655"/>
      <c r="J21" s="655"/>
      <c r="K21" s="656"/>
      <c r="L21" s="646"/>
      <c r="M21" s="646"/>
      <c r="N21" s="646"/>
      <c r="O21" s="646"/>
      <c r="P21" s="646"/>
    </row>
    <row r="22" spans="1:16" x14ac:dyDescent="0.15">
      <c r="A22" s="657" t="str">
        <f>[9]Роспись!A22</f>
        <v>Заработная плата</v>
      </c>
      <c r="B22" s="654" t="str">
        <f>[9]Роспись!B22</f>
        <v>056</v>
      </c>
      <c r="C22" s="654" t="str">
        <f>[9]Роспись!C22</f>
        <v>07</v>
      </c>
      <c r="D22" s="654" t="str">
        <f>[9]Роспись!D22</f>
        <v>02</v>
      </c>
      <c r="E22" s="654">
        <f>[9]Роспись!E22</f>
        <v>4239902</v>
      </c>
      <c r="F22" s="654" t="str">
        <f>[9]Роспись!F22</f>
        <v>001</v>
      </c>
      <c r="G22" s="654">
        <f>[9]Роспись!G22</f>
        <v>211</v>
      </c>
      <c r="H22" s="648">
        <f>[9]Роспись!H22</f>
        <v>3394.7159999999999</v>
      </c>
      <c r="I22" s="656">
        <f>[9]Финансирование!I22+[9]Финансирование!J22+[9]Финансирование!K22+[9]Финансирование!L22+[9]Финансирование!M22+[9]Финансирование!N22+[9]Финансирование!O22+[9]Финансирование!P22</f>
        <v>1565.63</v>
      </c>
      <c r="J22" s="656">
        <f>[9]Финансирование!Q22+[9]Финансирование!T22+[9]Финансирование!U22+[9]Финансирование!V22+[9]Финансирование!W22+[9]Финансирование!X22+[9]Финансирование!Y22+[9]Финансирование!Z22</f>
        <v>1829.0860000000002</v>
      </c>
      <c r="K22" s="656">
        <f>H22-I22-J22</f>
        <v>0</v>
      </c>
      <c r="L22" s="635">
        <v>1829.086</v>
      </c>
      <c r="M22" s="658">
        <f>J22-L22</f>
        <v>0</v>
      </c>
      <c r="O22" s="635" t="s">
        <v>936</v>
      </c>
    </row>
    <row r="23" spans="1:16" x14ac:dyDescent="0.15">
      <c r="A23" s="657" t="str">
        <f>[9]Роспись!A23</f>
        <v xml:space="preserve">Прочие выплаты </v>
      </c>
      <c r="B23" s="654" t="str">
        <f>[9]Роспись!B23</f>
        <v>056</v>
      </c>
      <c r="C23" s="654" t="str">
        <f>[9]Роспись!C23</f>
        <v>07</v>
      </c>
      <c r="D23" s="654" t="str">
        <f>[9]Роспись!D23</f>
        <v>02</v>
      </c>
      <c r="E23" s="654">
        <f>[9]Роспись!E23</f>
        <v>4239902</v>
      </c>
      <c r="F23" s="654" t="str">
        <f>[9]Роспись!F23</f>
        <v>001</v>
      </c>
      <c r="G23" s="654">
        <f>[9]Роспись!G23</f>
        <v>212</v>
      </c>
      <c r="H23" s="648">
        <f>[9]Роспись!H23</f>
        <v>24</v>
      </c>
      <c r="I23" s="656">
        <f>[9]Финансирование!I23+[9]Финансирование!J23+[9]Финансирование!K23+[9]Финансирование!L23+[9]Финансирование!M23+[9]Финансирование!N23+[9]Финансирование!O23+[9]Финансирование!P23</f>
        <v>10</v>
      </c>
      <c r="J23" s="656">
        <f>[9]Финансирование!Q23+[9]Финансирование!T23+[9]Финансирование!U23+[9]Финансирование!V23+[9]Финансирование!W23+[9]Финансирование!X23+[9]Финансирование!Y23+[9]Финансирование!Z23</f>
        <v>4</v>
      </c>
      <c r="K23" s="656">
        <f t="shared" ref="K23:K34" si="1">H23-I23-J23</f>
        <v>10</v>
      </c>
      <c r="L23" s="635">
        <v>4</v>
      </c>
      <c r="M23" s="658"/>
    </row>
    <row r="24" spans="1:16" x14ac:dyDescent="0.15">
      <c r="A24" s="657" t="str">
        <f>[9]Роспись!A24</f>
        <v>Начисления на оплату труда</v>
      </c>
      <c r="B24" s="654" t="str">
        <f>[9]Роспись!B24</f>
        <v>056</v>
      </c>
      <c r="C24" s="654" t="str">
        <f>[9]Роспись!C24</f>
        <v>07</v>
      </c>
      <c r="D24" s="654" t="str">
        <f>[9]Роспись!D24</f>
        <v>02</v>
      </c>
      <c r="E24" s="654">
        <f>[9]Роспись!E24</f>
        <v>4239902</v>
      </c>
      <c r="F24" s="654" t="str">
        <f>[9]Роспись!F24</f>
        <v>001</v>
      </c>
      <c r="G24" s="654">
        <f>[9]Роспись!G24</f>
        <v>213</v>
      </c>
      <c r="H24" s="648">
        <f>[9]Роспись!H24</f>
        <v>1004.5840000000001</v>
      </c>
      <c r="I24" s="656">
        <f>[9]Финансирование!I24+[9]Финансирование!J24+[9]Финансирование!K24+[9]Финансирование!L24+[9]Финансирование!M24+[9]Финансирование!N24+[9]Финансирование!O24+[9]Финансирование!P24</f>
        <v>506.51</v>
      </c>
      <c r="J24" s="656">
        <f>[9]Финансирование!Q24+[9]Финансирование!T24+[9]Финансирование!U24+[9]Финансирование!V24+[9]Финансирование!W24+[9]Финансирование!X24+[9]Финансирование!Y24+[9]Финансирование!Z24</f>
        <v>498.07400000000013</v>
      </c>
      <c r="K24" s="656">
        <f t="shared" si="1"/>
        <v>0</v>
      </c>
      <c r="L24" s="635">
        <v>498.07400000000001</v>
      </c>
      <c r="M24" s="658">
        <f>J24-L24</f>
        <v>0</v>
      </c>
    </row>
    <row r="25" spans="1:16" x14ac:dyDescent="0.15">
      <c r="A25" s="657" t="str">
        <f>[9]Роспись!A25</f>
        <v xml:space="preserve">Оплата услуг связи </v>
      </c>
      <c r="B25" s="654" t="str">
        <f>[9]Роспись!B25</f>
        <v>056</v>
      </c>
      <c r="C25" s="654" t="str">
        <f>[9]Роспись!C25</f>
        <v>07</v>
      </c>
      <c r="D25" s="654" t="str">
        <f>[9]Роспись!D25</f>
        <v>02</v>
      </c>
      <c r="E25" s="654">
        <f>[9]Роспись!E25</f>
        <v>4239902</v>
      </c>
      <c r="F25" s="654" t="str">
        <f>[9]Роспись!F25</f>
        <v>001</v>
      </c>
      <c r="G25" s="654">
        <f>[9]Роспись!G25</f>
        <v>221</v>
      </c>
      <c r="H25" s="648">
        <f>[9]Роспись!H25</f>
        <v>17.5</v>
      </c>
      <c r="I25" s="656">
        <f>[9]Финансирование!I25+[9]Финансирование!J25+[9]Финансирование!K25+[9]Финансирование!L25+[9]Финансирование!M25+[9]Финансирование!N25+[9]Финансирование!O25+[9]Финансирование!P25</f>
        <v>2.5</v>
      </c>
      <c r="J25" s="656">
        <f>[9]Финансирование!Q25+[9]Финансирование!T25+[9]Финансирование!U25+[9]Финансирование!V25+[9]Финансирование!W25+[9]Финансирование!X25+[9]Финансирование!Y25+[9]Финансирование!Z25</f>
        <v>15</v>
      </c>
      <c r="K25" s="656">
        <f t="shared" si="1"/>
        <v>0</v>
      </c>
      <c r="L25" s="659">
        <v>15</v>
      </c>
      <c r="M25" s="658">
        <f>J25-L25</f>
        <v>0</v>
      </c>
      <c r="O25" s="658">
        <f>K25-L25</f>
        <v>-15</v>
      </c>
    </row>
    <row r="26" spans="1:16" x14ac:dyDescent="0.15">
      <c r="A26" s="657" t="str">
        <f>[9]Роспись!A26</f>
        <v>Транспортные услуги</v>
      </c>
      <c r="B26" s="654" t="str">
        <f>[9]Роспись!B26</f>
        <v>056</v>
      </c>
      <c r="C26" s="654" t="str">
        <f>[9]Роспись!C26</f>
        <v>07</v>
      </c>
      <c r="D26" s="654" t="str">
        <f>[9]Роспись!D26</f>
        <v>02</v>
      </c>
      <c r="E26" s="654">
        <f>[9]Роспись!E26</f>
        <v>4239902</v>
      </c>
      <c r="F26" s="654" t="str">
        <f>[9]Роспись!F26</f>
        <v>001</v>
      </c>
      <c r="G26" s="654">
        <f>[9]Роспись!G26</f>
        <v>222</v>
      </c>
      <c r="H26" s="648">
        <f>[9]Роспись!H26</f>
        <v>0</v>
      </c>
      <c r="I26" s="656">
        <f>[9]Финансирование!I26+[9]Финансирование!J26+[9]Финансирование!K26+[9]Финансирование!L26+[9]Финансирование!M26+[9]Финансирование!N26+[9]Финансирование!O26+[9]Финансирование!P26</f>
        <v>0</v>
      </c>
      <c r="J26" s="656">
        <f>[9]Финансирование!Q26+[9]Финансирование!T26+[9]Финансирование!U26+[9]Финансирование!V26+[9]Финансирование!W26+[9]Финансирование!X26+[9]Финансирование!Y26+[9]Финансирование!Z26</f>
        <v>0</v>
      </c>
      <c r="K26" s="656">
        <f t="shared" si="1"/>
        <v>0</v>
      </c>
      <c r="M26" s="658">
        <f>J26-L26</f>
        <v>0</v>
      </c>
    </row>
    <row r="27" spans="1:16" x14ac:dyDescent="0.15">
      <c r="A27" s="657" t="str">
        <f>[9]Роспись!A27</f>
        <v>Коммунальные услуги</v>
      </c>
      <c r="B27" s="654" t="str">
        <f>[9]Роспись!B27</f>
        <v>056</v>
      </c>
      <c r="C27" s="654" t="str">
        <f>[9]Роспись!C27</f>
        <v>07</v>
      </c>
      <c r="D27" s="654" t="str">
        <f>[9]Роспись!D27</f>
        <v>02</v>
      </c>
      <c r="E27" s="654">
        <f>[9]Роспись!E27</f>
        <v>4239902</v>
      </c>
      <c r="F27" s="654" t="str">
        <f>[9]Роспись!F27</f>
        <v>001</v>
      </c>
      <c r="G27" s="654">
        <f>[9]Роспись!G27</f>
        <v>223</v>
      </c>
      <c r="H27" s="648">
        <f>[9]Роспись!H27</f>
        <v>175.5</v>
      </c>
      <c r="I27" s="656">
        <f>[9]Финансирование!I27+[9]Финансирование!J27+[9]Финансирование!K27+[9]Финансирование!L27+[9]Финансирование!M27+[9]Финансирование!N27+[9]Финансирование!O27+[9]Финансирование!P27</f>
        <v>74.58</v>
      </c>
      <c r="J27" s="656">
        <f>[9]Финансирование!Q27+[9]Финансирование!T27+[9]Финансирование!U27+[9]Финансирование!V27+[9]Финансирование!W27+[9]Финансирование!X27+[9]Финансирование!Y27+[9]Финансирование!Z27</f>
        <v>89.42</v>
      </c>
      <c r="K27" s="656">
        <f t="shared" si="1"/>
        <v>11.5</v>
      </c>
      <c r="L27" s="659">
        <v>89.42</v>
      </c>
      <c r="M27" s="658">
        <f>J27-L27</f>
        <v>0</v>
      </c>
    </row>
    <row r="28" spans="1:16" x14ac:dyDescent="0.15">
      <c r="A28" s="657" t="str">
        <f>[9]Роспись!A28</f>
        <v>Аренда</v>
      </c>
      <c r="B28" s="654" t="str">
        <f>[9]Роспись!B28</f>
        <v>056</v>
      </c>
      <c r="C28" s="654" t="str">
        <f>[9]Роспись!C28</f>
        <v>07</v>
      </c>
      <c r="D28" s="654" t="str">
        <f>[9]Роспись!D28</f>
        <v>02</v>
      </c>
      <c r="E28" s="654">
        <f>[9]Роспись!E28</f>
        <v>4239902</v>
      </c>
      <c r="F28" s="654" t="str">
        <f>[9]Роспись!F28</f>
        <v>001</v>
      </c>
      <c r="G28" s="654">
        <f>[9]Роспись!G28</f>
        <v>224</v>
      </c>
      <c r="H28" s="648">
        <f>[9]Роспись!H28</f>
        <v>0</v>
      </c>
      <c r="I28" s="656">
        <f>[9]Финансирование!I28+[9]Финансирование!J28+[9]Финансирование!K28+[9]Финансирование!L28+[9]Финансирование!M28+[9]Финансирование!N28+[9]Финансирование!O28+[9]Финансирование!P28</f>
        <v>0</v>
      </c>
      <c r="J28" s="656">
        <f>[9]Финансирование!Q28+[9]Финансирование!T28+[9]Финансирование!U28+[9]Финансирование!V28+[9]Финансирование!W28+[9]Финансирование!X28+[9]Финансирование!Y28+[9]Финансирование!Z28</f>
        <v>0</v>
      </c>
      <c r="K28" s="656">
        <f t="shared" si="1"/>
        <v>0</v>
      </c>
    </row>
    <row r="29" spans="1:16" x14ac:dyDescent="0.15">
      <c r="A29" s="657" t="str">
        <f>[9]Роспись!A29</f>
        <v>Услуги по содерж. имущества</v>
      </c>
      <c r="B29" s="654" t="str">
        <f>[9]Роспись!B29</f>
        <v>056</v>
      </c>
      <c r="C29" s="654" t="str">
        <f>[9]Роспись!C29</f>
        <v>07</v>
      </c>
      <c r="D29" s="654" t="str">
        <f>[9]Роспись!D29</f>
        <v>02</v>
      </c>
      <c r="E29" s="654">
        <f>[9]Роспись!E29</f>
        <v>4239902</v>
      </c>
      <c r="F29" s="654" t="str">
        <f>[9]Роспись!F29</f>
        <v>001</v>
      </c>
      <c r="G29" s="654">
        <f>[9]Роспись!G29</f>
        <v>225</v>
      </c>
      <c r="H29" s="648">
        <f>[9]Роспись!H29</f>
        <v>0</v>
      </c>
      <c r="I29" s="656">
        <f>[9]Финансирование!I29+[9]Финансирование!J29+[9]Финансирование!K29+[9]Финансирование!L29+[9]Финансирование!M29+[9]Финансирование!N29+[9]Финансирование!O29+[9]Финансирование!P29</f>
        <v>0</v>
      </c>
      <c r="J29" s="656">
        <f>[9]Финансирование!Q29+[9]Финансирование!T29+[9]Финансирование!U29+[9]Финансирование!V29+[9]Финансирование!W29+[9]Финансирование!X29+[9]Финансирование!Y29+[9]Финансирование!Z29</f>
        <v>0</v>
      </c>
      <c r="K29" s="656">
        <f t="shared" si="1"/>
        <v>0</v>
      </c>
    </row>
    <row r="30" spans="1:16" x14ac:dyDescent="0.15">
      <c r="A30" s="657" t="str">
        <f>[9]Роспись!A30</f>
        <v>Прочие услуги</v>
      </c>
      <c r="B30" s="654" t="str">
        <f>[9]Роспись!B30</f>
        <v>056</v>
      </c>
      <c r="C30" s="654" t="str">
        <f>[9]Роспись!C30</f>
        <v>07</v>
      </c>
      <c r="D30" s="654" t="str">
        <f>[9]Роспись!D30</f>
        <v>02</v>
      </c>
      <c r="E30" s="654">
        <f>[9]Роспись!E30</f>
        <v>4239902</v>
      </c>
      <c r="F30" s="654" t="str">
        <f>[9]Роспись!F30</f>
        <v>001</v>
      </c>
      <c r="G30" s="654">
        <f>[9]Роспись!G30</f>
        <v>226</v>
      </c>
      <c r="H30" s="648">
        <f>[9]Роспись!H30</f>
        <v>114.5</v>
      </c>
      <c r="I30" s="656">
        <f>[9]Финансирование!I30+[9]Финансирование!J30+[9]Финансирование!K30+[9]Финансирование!L30+[9]Финансирование!M30+[9]Финансирование!N30+[9]Финансирование!O30+[9]Финансирование!P30</f>
        <v>114.5</v>
      </c>
      <c r="J30" s="656">
        <f>[9]Финансирование!Q30+[9]Финансирование!T30+[9]Финансирование!U30+[9]Финансирование!V30+[9]Финансирование!W30+[9]Финансирование!X30+[9]Финансирование!Y30+[9]Финансирование!Z30</f>
        <v>0</v>
      </c>
      <c r="K30" s="656">
        <f t="shared" si="1"/>
        <v>0</v>
      </c>
    </row>
    <row r="31" spans="1:16" x14ac:dyDescent="0.15">
      <c r="A31" s="657" t="str">
        <f>[9]Роспись!A31</f>
        <v>Прочие расходы</v>
      </c>
      <c r="B31" s="654" t="str">
        <f>[9]Роспись!B31</f>
        <v>056</v>
      </c>
      <c r="C31" s="654" t="str">
        <f>[9]Роспись!C31</f>
        <v>07</v>
      </c>
      <c r="D31" s="654" t="str">
        <f>[9]Роспись!D31</f>
        <v>02</v>
      </c>
      <c r="E31" s="654">
        <f>[9]Роспись!E31</f>
        <v>4239902</v>
      </c>
      <c r="F31" s="654" t="str">
        <f>[9]Роспись!F31</f>
        <v>001</v>
      </c>
      <c r="G31" s="654">
        <f>[9]Роспись!G31</f>
        <v>290</v>
      </c>
      <c r="H31" s="648">
        <f>[9]Роспись!H31</f>
        <v>11.1</v>
      </c>
      <c r="I31" s="656">
        <f>[9]Финансирование!I31+[9]Финансирование!J31+[9]Финансирование!K31+[9]Финансирование!L31+[9]Финансирование!M31+[9]Финансирование!N31+[9]Финансирование!O31+[9]Финансирование!P31</f>
        <v>0</v>
      </c>
      <c r="J31" s="656">
        <f>[9]Финансирование!Q31+[9]Финансирование!T31+[9]Финансирование!U31+[9]Финансирование!V31+[9]Финансирование!W31+[9]Финансирование!X31+[9]Финансирование!Y31+[9]Финансирование!Z31</f>
        <v>11.1</v>
      </c>
      <c r="K31" s="656">
        <f t="shared" si="1"/>
        <v>0</v>
      </c>
      <c r="L31" s="635">
        <v>49.4</v>
      </c>
      <c r="M31" s="658">
        <f>J31+J32</f>
        <v>49.4</v>
      </c>
      <c r="N31" s="658">
        <f>L31-M31</f>
        <v>0</v>
      </c>
    </row>
    <row r="32" spans="1:16" x14ac:dyDescent="0.15">
      <c r="A32" s="657" t="str">
        <f>[9]Роспись!A32</f>
        <v>Прочие расходы</v>
      </c>
      <c r="B32" s="654" t="str">
        <f>[9]Роспись!B32</f>
        <v>056</v>
      </c>
      <c r="C32" s="654" t="str">
        <f>[9]Роспись!C32</f>
        <v>07</v>
      </c>
      <c r="D32" s="654" t="str">
        <f>[9]Роспись!D32</f>
        <v>02</v>
      </c>
      <c r="E32" s="654" t="str">
        <f>[9]Роспись!E32</f>
        <v>4239502</v>
      </c>
      <c r="F32" s="654" t="str">
        <f>[9]Роспись!F32</f>
        <v>001</v>
      </c>
      <c r="G32" s="654">
        <f>[9]Роспись!G32</f>
        <v>290</v>
      </c>
      <c r="H32" s="648">
        <f>[9]Роспись!H32</f>
        <v>70.5</v>
      </c>
      <c r="I32" s="656">
        <f>[9]Финансирование!I32+[9]Финансирование!J32+[9]Финансирование!K32+[9]Финансирование!L32+[9]Финансирование!M32+[9]Финансирование!N32+[9]Финансирование!O32+[9]Финансирование!P32</f>
        <v>32.200000000000003</v>
      </c>
      <c r="J32" s="656">
        <f>[9]Финансирование!Q32+[9]Финансирование!T32+[9]Финансирование!U32+[9]Финансирование!V32+[9]Финансирование!W32+[9]Финансирование!X32+[9]Финансирование!Y32+[9]Финансирование!Z32</f>
        <v>38.299999999999997</v>
      </c>
      <c r="K32" s="656">
        <f t="shared" si="1"/>
        <v>0</v>
      </c>
      <c r="N32" s="635">
        <v>7.5</v>
      </c>
    </row>
    <row r="33" spans="1:16" x14ac:dyDescent="0.15">
      <c r="A33" s="657" t="str">
        <f>[9]Роспись!A33</f>
        <v>Увелич. стоимости осн.средств</v>
      </c>
      <c r="B33" s="654" t="str">
        <f>[9]Роспись!B33</f>
        <v>056</v>
      </c>
      <c r="C33" s="654" t="str">
        <f>[9]Роспись!C33</f>
        <v>07</v>
      </c>
      <c r="D33" s="654" t="str">
        <f>[9]Роспись!D33</f>
        <v>02</v>
      </c>
      <c r="E33" s="654">
        <f>[9]Роспись!E33</f>
        <v>4239902</v>
      </c>
      <c r="F33" s="654" t="str">
        <f>[9]Роспись!F33</f>
        <v>001</v>
      </c>
      <c r="G33" s="654">
        <f>[9]Роспись!G33</f>
        <v>310</v>
      </c>
      <c r="H33" s="648">
        <f>[9]Роспись!H33</f>
        <v>28.5</v>
      </c>
      <c r="I33" s="656">
        <f>[9]Финансирование!I33+[9]Финансирование!J33+[9]Финансирование!K33+[9]Финансирование!L33+[9]Финансирование!M33+[9]Финансирование!N33+[9]Финансирование!O33+[9]Финансирование!P33</f>
        <v>0</v>
      </c>
      <c r="J33" s="656">
        <f>[9]Финансирование!Q33+[9]Финансирование!T33+[9]Финансирование!U33+[9]Финансирование!V33+[9]Финансирование!W33+[9]Финансирование!X33+[9]Финансирование!Y33+[9]Финансирование!Z33</f>
        <v>0</v>
      </c>
      <c r="K33" s="656">
        <f t="shared" si="1"/>
        <v>28.5</v>
      </c>
    </row>
    <row r="34" spans="1:16" x14ac:dyDescent="0.15">
      <c r="A34" s="657" t="str">
        <f>[9]Роспись!A34</f>
        <v>Увелич. стоимости матер. запасов</v>
      </c>
      <c r="B34" s="654" t="str">
        <f>[9]Роспись!B34</f>
        <v>056</v>
      </c>
      <c r="C34" s="654" t="str">
        <f>[9]Роспись!C34</f>
        <v>07</v>
      </c>
      <c r="D34" s="654" t="str">
        <f>[9]Роспись!D34</f>
        <v>02</v>
      </c>
      <c r="E34" s="654">
        <f>[9]Роспись!E34</f>
        <v>4239902</v>
      </c>
      <c r="F34" s="654" t="str">
        <f>[9]Роспись!F34</f>
        <v>001</v>
      </c>
      <c r="G34" s="654">
        <f>[9]Роспись!G34</f>
        <v>340</v>
      </c>
      <c r="H34" s="648">
        <f>[9]Роспись!H34</f>
        <v>14</v>
      </c>
      <c r="I34" s="656">
        <f>[9]Финансирование!I34+[9]Финансирование!J34+[9]Финансирование!K34+[9]Финансирование!L34+[9]Финансирование!M34+[9]Финансирование!N34+[9]Финансирование!O34+[9]Финансирование!P34</f>
        <v>4.6399999999999997</v>
      </c>
      <c r="J34" s="656">
        <f>[9]Финансирование!Q34+[9]Финансирование!T34+[9]Финансирование!U34+[9]Финансирование!V34+[9]Финансирование!W34+[9]Финансирование!X34+[9]Финансирование!Y34+[9]Финансирование!Z34</f>
        <v>0</v>
      </c>
      <c r="K34" s="656">
        <f t="shared" si="1"/>
        <v>9.36</v>
      </c>
    </row>
    <row r="35" spans="1:16" x14ac:dyDescent="0.15">
      <c r="A35" s="660" t="s">
        <v>98</v>
      </c>
      <c r="B35" s="661" t="s">
        <v>79</v>
      </c>
      <c r="C35" s="661" t="s">
        <v>100</v>
      </c>
      <c r="D35" s="661" t="s">
        <v>101</v>
      </c>
      <c r="E35" s="662" t="s">
        <v>937</v>
      </c>
      <c r="F35" s="662" t="s">
        <v>102</v>
      </c>
      <c r="G35" s="663"/>
      <c r="H35" s="643">
        <f>SUM(H22:H34)</f>
        <v>4854.9000000000005</v>
      </c>
      <c r="I35" s="664">
        <f>SUM(I22:I34)</f>
        <v>2310.56</v>
      </c>
      <c r="J35" s="664">
        <f>SUM(J22:J34)</f>
        <v>2484.9800000000005</v>
      </c>
      <c r="K35" s="665">
        <f>SUM(K22:K34)</f>
        <v>59.36</v>
      </c>
      <c r="L35" s="646"/>
      <c r="M35" s="646"/>
      <c r="N35" s="646"/>
      <c r="O35" s="646"/>
      <c r="P35" s="646"/>
    </row>
    <row r="36" spans="1:16" ht="52" x14ac:dyDescent="0.15">
      <c r="A36" s="640" t="str">
        <f>'[9]Новая роспись'!A36</f>
        <v>Субсидия на финансовое обеспечение государственного задания на оказание государственных услуг (выполнение работ)</v>
      </c>
      <c r="B36" s="641"/>
      <c r="C36" s="641"/>
      <c r="D36" s="641"/>
      <c r="E36" s="666"/>
      <c r="F36" s="667">
        <f>'[9]Новая роспись'!F36</f>
        <v>611</v>
      </c>
      <c r="G36" s="667" t="str">
        <f>'[9]Новая роспись'!G36</f>
        <v>241</v>
      </c>
      <c r="H36" s="645">
        <f>'[9]Новая роспись'!H36</f>
        <v>2544.3400000000006</v>
      </c>
      <c r="I36" s="648">
        <f>[9]Финансирование!I36+[9]Финансирование!J36+[9]Финансирование!K36+[9]Финансирование!L36+[9]Финансирование!M36+[9]Финансирование!N36+[9]Финансирование!O36+[9]Финансирование!P36+[9]Финансирование!Q36+[9]Финансирование!T36+[9]Финансирование!U36+[9]Финансирование!V36+[9]Финансирование!W36+[9]Финансирование!X36+[9]Финансирование!Y36+[9]Финансирование!Z36</f>
        <v>2484.98</v>
      </c>
      <c r="J36" s="648"/>
      <c r="K36" s="648">
        <f>H36-I36</f>
        <v>59.360000000000582</v>
      </c>
      <c r="L36" s="646"/>
      <c r="M36" s="646"/>
      <c r="N36" s="646"/>
      <c r="O36" s="646"/>
      <c r="P36" s="646"/>
    </row>
    <row r="37" spans="1:16" x14ac:dyDescent="0.15">
      <c r="A37" s="660" t="s">
        <v>105</v>
      </c>
      <c r="B37" s="668"/>
      <c r="C37" s="668"/>
      <c r="D37" s="668"/>
      <c r="E37" s="668"/>
      <c r="F37" s="668"/>
      <c r="G37" s="663"/>
      <c r="H37" s="648"/>
      <c r="I37" s="656">
        <f>[9]Финансирование!I37+[9]Финансирование!J37+[9]Финансирование!K37+[9]Финансирование!L37+[9]Финансирование!M37+[9]Финансирование!N37+[9]Финансирование!O37+[9]Финансирование!P37+[9]Финансирование!Q37+[9]Финансирование!T37+[9]Финансирование!U37+[9]Финансирование!V37+[9]Финансирование!W37+[9]Финансирование!X37+[9]Финансирование!Y37</f>
        <v>0</v>
      </c>
      <c r="J37" s="656"/>
      <c r="K37" s="656"/>
      <c r="L37" s="646"/>
      <c r="M37" s="646"/>
      <c r="N37" s="646"/>
      <c r="O37" s="646"/>
      <c r="P37" s="646"/>
    </row>
    <row r="38" spans="1:16" x14ac:dyDescent="0.15">
      <c r="A38" s="657" t="str">
        <f>[9]Роспись!A37</f>
        <v>Заработная плата</v>
      </c>
      <c r="B38" s="654" t="str">
        <f>[9]Роспись!B37</f>
        <v>056</v>
      </c>
      <c r="C38" s="654" t="str">
        <f>[9]Роспись!C37</f>
        <v>07</v>
      </c>
      <c r="D38" s="654" t="str">
        <f>[9]Роспись!D37</f>
        <v>02</v>
      </c>
      <c r="E38" s="654">
        <f>[9]Роспись!E37</f>
        <v>4239902</v>
      </c>
      <c r="F38" s="654" t="str">
        <f>[9]Роспись!F37</f>
        <v>001</v>
      </c>
      <c r="G38" s="654">
        <f>[9]Роспись!G37</f>
        <v>211</v>
      </c>
      <c r="H38" s="648">
        <f>[9]Роспись!H37</f>
        <v>2280.5340000000001</v>
      </c>
      <c r="I38" s="656">
        <f>[9]Финансирование!I38+[9]Финансирование!J38+[9]Финансирование!K38+[9]Финансирование!L38+[9]Финансирование!M38+[9]Финансирование!N38+[9]Финансирование!O38+[9]Финансирование!P38</f>
        <v>1042.21</v>
      </c>
      <c r="J38" s="656">
        <f>[9]Финансирование!Q38+[9]Финансирование!T38+[9]Финансирование!U38+[9]Финансирование!V38+[9]Финансирование!W38+[9]Финансирование!X38+[9]Финансирование!Y38+[9]Финансирование!Z38</f>
        <v>1238.3240000000001</v>
      </c>
      <c r="K38" s="656">
        <f>H38-I38-J38</f>
        <v>0</v>
      </c>
      <c r="L38" s="635">
        <v>1238.3240000000001</v>
      </c>
      <c r="M38" s="658">
        <f>J38-L38</f>
        <v>0</v>
      </c>
      <c r="O38" s="658">
        <f>M38+M40</f>
        <v>0</v>
      </c>
    </row>
    <row r="39" spans="1:16" x14ac:dyDescent="0.15">
      <c r="A39" s="657" t="str">
        <f>[9]Роспись!A38</f>
        <v xml:space="preserve">Прочие выплаты </v>
      </c>
      <c r="B39" s="654" t="str">
        <f>[9]Роспись!B38</f>
        <v>056</v>
      </c>
      <c r="C39" s="654" t="str">
        <f>[9]Роспись!C38</f>
        <v>07</v>
      </c>
      <c r="D39" s="654" t="str">
        <f>[9]Роспись!D38</f>
        <v>02</v>
      </c>
      <c r="E39" s="654">
        <f>[9]Роспись!E38</f>
        <v>4239902</v>
      </c>
      <c r="F39" s="654" t="str">
        <f>[9]Роспись!F38</f>
        <v>001</v>
      </c>
      <c r="G39" s="654">
        <f>[9]Роспись!G38</f>
        <v>212</v>
      </c>
      <c r="H39" s="648">
        <f>[9]Роспись!H38</f>
        <v>18</v>
      </c>
      <c r="I39" s="656">
        <f>[9]Финансирование!I39+[9]Финансирование!J39+[9]Финансирование!K39+[9]Финансирование!L39+[9]Финансирование!M39+[9]Финансирование!N39+[9]Финансирование!O39+[9]Финансирование!P39</f>
        <v>7.5</v>
      </c>
      <c r="J39" s="656">
        <f>[9]Финансирование!Q39+[9]Финансирование!T39+[9]Финансирование!U39+[9]Финансирование!V39+[9]Финансирование!W39+[9]Финансирование!X39+[9]Финансирование!Y39+[9]Финансирование!Z39</f>
        <v>0</v>
      </c>
      <c r="K39" s="656">
        <f t="shared" ref="K39:K50" si="2">H39-I39-J39</f>
        <v>10.5</v>
      </c>
      <c r="M39" s="658">
        <f>J39-L39</f>
        <v>0</v>
      </c>
    </row>
    <row r="40" spans="1:16" x14ac:dyDescent="0.15">
      <c r="A40" s="657" t="str">
        <f>[9]Роспись!A39</f>
        <v>Начисления на оплату труда</v>
      </c>
      <c r="B40" s="654" t="str">
        <f>[9]Роспись!B39</f>
        <v>056</v>
      </c>
      <c r="C40" s="654" t="str">
        <f>[9]Роспись!C39</f>
        <v>07</v>
      </c>
      <c r="D40" s="654" t="str">
        <f>[9]Роспись!D39</f>
        <v>02</v>
      </c>
      <c r="E40" s="654">
        <f>[9]Роспись!E39</f>
        <v>4239902</v>
      </c>
      <c r="F40" s="654" t="str">
        <f>[9]Роспись!F39</f>
        <v>001</v>
      </c>
      <c r="G40" s="654">
        <f>[9]Роспись!G39</f>
        <v>213</v>
      </c>
      <c r="H40" s="648">
        <f>[9]Роспись!H39</f>
        <v>662.73699999999997</v>
      </c>
      <c r="I40" s="656">
        <f>[9]Финансирование!I40+[9]Финансирование!J40+[9]Финансирование!K40+[9]Финансирование!L40+[9]Финансирование!M40+[9]Финансирование!N40+[9]Финансирование!O40+[9]Финансирование!P40</f>
        <v>337.28999999999996</v>
      </c>
      <c r="J40" s="656">
        <f>[9]Финансирование!Q40+[9]Финансирование!T40+[9]Финансирование!U40+[9]Финансирование!V40+[9]Финансирование!W40+[9]Финансирование!X40+[9]Финансирование!Y40+[9]Финансирование!Z40</f>
        <v>325.447</v>
      </c>
      <c r="K40" s="656">
        <f t="shared" si="2"/>
        <v>0</v>
      </c>
      <c r="L40" s="635">
        <v>325.447</v>
      </c>
      <c r="M40" s="658">
        <f>J40-L40</f>
        <v>0</v>
      </c>
    </row>
    <row r="41" spans="1:16" x14ac:dyDescent="0.15">
      <c r="A41" s="657" t="str">
        <f>[9]Роспись!A40</f>
        <v xml:space="preserve">Оплата услуг связи </v>
      </c>
      <c r="B41" s="654" t="str">
        <f>[9]Роспись!B40</f>
        <v>056</v>
      </c>
      <c r="C41" s="654" t="str">
        <f>[9]Роспись!C40</f>
        <v>07</v>
      </c>
      <c r="D41" s="654" t="str">
        <f>[9]Роспись!D40</f>
        <v>02</v>
      </c>
      <c r="E41" s="654">
        <f>[9]Роспись!E40</f>
        <v>4239902</v>
      </c>
      <c r="F41" s="654" t="str">
        <f>[9]Роспись!F40</f>
        <v>001</v>
      </c>
      <c r="G41" s="654">
        <f>[9]Роспись!G40</f>
        <v>221</v>
      </c>
      <c r="H41" s="648">
        <f>[9]Роспись!H40</f>
        <v>0</v>
      </c>
      <c r="I41" s="656">
        <f>[9]Финансирование!I41+[9]Финансирование!J41+[9]Финансирование!K41+[9]Финансирование!L41+[9]Финансирование!M41+[9]Финансирование!N41+[9]Финансирование!O41+[9]Финансирование!P41</f>
        <v>0</v>
      </c>
      <c r="J41" s="656">
        <f>[9]Финансирование!Q41+[9]Финансирование!T41+[9]Финансирование!U41+[9]Финансирование!V41+[9]Финансирование!W41+[9]Финансирование!X41+[9]Финансирование!Y41+[9]Финансирование!Z41</f>
        <v>0</v>
      </c>
      <c r="K41" s="656">
        <f t="shared" si="2"/>
        <v>0</v>
      </c>
    </row>
    <row r="42" spans="1:16" x14ac:dyDescent="0.15">
      <c r="A42" s="657" t="str">
        <f>[9]Роспись!A41</f>
        <v>Транспортные услуги</v>
      </c>
      <c r="B42" s="654" t="str">
        <f>[9]Роспись!B41</f>
        <v>056</v>
      </c>
      <c r="C42" s="654" t="str">
        <f>[9]Роспись!C41</f>
        <v>07</v>
      </c>
      <c r="D42" s="654" t="str">
        <f>[9]Роспись!D41</f>
        <v>02</v>
      </c>
      <c r="E42" s="654">
        <f>[9]Роспись!E41</f>
        <v>4239902</v>
      </c>
      <c r="F42" s="654" t="str">
        <f>[9]Роспись!F41</f>
        <v>001</v>
      </c>
      <c r="G42" s="654">
        <f>[9]Роспись!G41</f>
        <v>222</v>
      </c>
      <c r="H42" s="648">
        <f>[9]Роспись!H41</f>
        <v>0</v>
      </c>
      <c r="I42" s="656">
        <f>[9]Финансирование!I42+[9]Финансирование!J42+[9]Финансирование!K42+[9]Финансирование!L42+[9]Финансирование!M42+[9]Финансирование!N42+[9]Финансирование!O42+[9]Финансирование!P42</f>
        <v>0</v>
      </c>
      <c r="J42" s="656">
        <f>[9]Финансирование!Q42+[9]Финансирование!T42+[9]Финансирование!U42+[9]Финансирование!V42+[9]Финансирование!W42+[9]Финансирование!X42+[9]Финансирование!Y42+[9]Финансирование!Z42</f>
        <v>0</v>
      </c>
      <c r="K42" s="656">
        <f t="shared" si="2"/>
        <v>0</v>
      </c>
    </row>
    <row r="43" spans="1:16" x14ac:dyDescent="0.15">
      <c r="A43" s="657" t="str">
        <f>[9]Роспись!A42</f>
        <v>Коммунальные услуги</v>
      </c>
      <c r="B43" s="654" t="str">
        <f>[9]Роспись!B42</f>
        <v>056</v>
      </c>
      <c r="C43" s="654" t="str">
        <f>[9]Роспись!C42</f>
        <v>07</v>
      </c>
      <c r="D43" s="654" t="str">
        <f>[9]Роспись!D42</f>
        <v>02</v>
      </c>
      <c r="E43" s="654">
        <f>[9]Роспись!E42</f>
        <v>4239902</v>
      </c>
      <c r="F43" s="654" t="str">
        <f>[9]Роспись!F42</f>
        <v>001</v>
      </c>
      <c r="G43" s="654">
        <f>[9]Роспись!G42</f>
        <v>223</v>
      </c>
      <c r="H43" s="648">
        <f>[9]Роспись!H42</f>
        <v>0</v>
      </c>
      <c r="I43" s="656">
        <f>[9]Финансирование!I43+[9]Финансирование!J43+[9]Финансирование!K43+[9]Финансирование!L43+[9]Финансирование!M43+[9]Финансирование!N43+[9]Финансирование!O43+[9]Финансирование!P43</f>
        <v>0</v>
      </c>
      <c r="J43" s="656">
        <f>[9]Финансирование!Q43+[9]Финансирование!T43+[9]Финансирование!U43+[9]Финансирование!V43+[9]Финансирование!W43+[9]Финансирование!X43+[9]Финансирование!Y43+[9]Финансирование!Z43</f>
        <v>0</v>
      </c>
      <c r="K43" s="656">
        <f t="shared" si="2"/>
        <v>0</v>
      </c>
    </row>
    <row r="44" spans="1:16" x14ac:dyDescent="0.15">
      <c r="A44" s="657" t="str">
        <f>[9]Роспись!A43</f>
        <v>Аренда</v>
      </c>
      <c r="B44" s="654" t="str">
        <f>[9]Роспись!B43</f>
        <v>056</v>
      </c>
      <c r="C44" s="654" t="str">
        <f>[9]Роспись!C43</f>
        <v>07</v>
      </c>
      <c r="D44" s="654" t="str">
        <f>[9]Роспись!D43</f>
        <v>02</v>
      </c>
      <c r="E44" s="654">
        <f>[9]Роспись!E43</f>
        <v>4239902</v>
      </c>
      <c r="F44" s="654" t="str">
        <f>[9]Роспись!F43</f>
        <v>001</v>
      </c>
      <c r="G44" s="654">
        <f>[9]Роспись!G43</f>
        <v>224</v>
      </c>
      <c r="H44" s="648">
        <f>[9]Роспись!H43</f>
        <v>0</v>
      </c>
      <c r="I44" s="656">
        <f>[9]Финансирование!I44+[9]Финансирование!J44+[9]Финансирование!K44+[9]Финансирование!L44+[9]Финансирование!M44+[9]Финансирование!N44+[9]Финансирование!O44+[9]Финансирование!P44</f>
        <v>0</v>
      </c>
      <c r="J44" s="656">
        <f>[9]Финансирование!Q44+[9]Финансирование!T44+[9]Финансирование!U44+[9]Финансирование!V44+[9]Финансирование!W44+[9]Финансирование!X44+[9]Финансирование!Y44+[9]Финансирование!Z44</f>
        <v>0</v>
      </c>
      <c r="K44" s="656">
        <f t="shared" si="2"/>
        <v>0</v>
      </c>
    </row>
    <row r="45" spans="1:16" x14ac:dyDescent="0.15">
      <c r="A45" s="657" t="str">
        <f>[9]Роспись!A44</f>
        <v>Услуги по содерж. имущества</v>
      </c>
      <c r="B45" s="654" t="str">
        <f>[9]Роспись!B44</f>
        <v>056</v>
      </c>
      <c r="C45" s="654" t="str">
        <f>[9]Роспись!C44</f>
        <v>07</v>
      </c>
      <c r="D45" s="654" t="str">
        <f>[9]Роспись!D44</f>
        <v>02</v>
      </c>
      <c r="E45" s="654">
        <f>[9]Роспись!E44</f>
        <v>4239902</v>
      </c>
      <c r="F45" s="654" t="str">
        <f>[9]Роспись!F44</f>
        <v>001</v>
      </c>
      <c r="G45" s="654">
        <f>[9]Роспись!G44</f>
        <v>225</v>
      </c>
      <c r="H45" s="648">
        <f>[9]Роспись!H44</f>
        <v>0</v>
      </c>
      <c r="I45" s="656">
        <f>[9]Финансирование!I45+[9]Финансирование!J45+[9]Финансирование!K45+[9]Финансирование!L45+[9]Финансирование!M45+[9]Финансирование!N45+[9]Финансирование!O45+[9]Финансирование!P45</f>
        <v>0</v>
      </c>
      <c r="J45" s="656">
        <f>[9]Финансирование!Q45+[9]Финансирование!T45+[9]Финансирование!U45+[9]Финансирование!V45+[9]Финансирование!W45+[9]Финансирование!X45+[9]Финансирование!Y45+[9]Финансирование!Z45</f>
        <v>0</v>
      </c>
      <c r="K45" s="656">
        <f t="shared" si="2"/>
        <v>0</v>
      </c>
    </row>
    <row r="46" spans="1:16" x14ac:dyDescent="0.15">
      <c r="A46" s="657" t="str">
        <f>[9]Роспись!A45</f>
        <v>Прочие услуги</v>
      </c>
      <c r="B46" s="654" t="str">
        <f>[9]Роспись!B45</f>
        <v>056</v>
      </c>
      <c r="C46" s="654" t="str">
        <f>[9]Роспись!C45</f>
        <v>07</v>
      </c>
      <c r="D46" s="654" t="str">
        <f>[9]Роспись!D45</f>
        <v>02</v>
      </c>
      <c r="E46" s="654">
        <f>[9]Роспись!E45</f>
        <v>4239902</v>
      </c>
      <c r="F46" s="654" t="str">
        <f>[9]Роспись!F45</f>
        <v>001</v>
      </c>
      <c r="G46" s="654">
        <f>[9]Роспись!G45</f>
        <v>226</v>
      </c>
      <c r="H46" s="648">
        <f>[9]Роспись!H45</f>
        <v>0</v>
      </c>
      <c r="I46" s="656">
        <f>[9]Финансирование!I46+[9]Финансирование!J46+[9]Финансирование!K46+[9]Финансирование!L46+[9]Финансирование!M46+[9]Финансирование!N46+[9]Финансирование!O46+[9]Финансирование!P46</f>
        <v>0</v>
      </c>
      <c r="J46" s="656">
        <f>[9]Финансирование!Q46+[9]Финансирование!T46+[9]Финансирование!U46+[9]Финансирование!V46+[9]Финансирование!W46+[9]Финансирование!X46+[9]Финансирование!Y46+[9]Финансирование!Z46</f>
        <v>0</v>
      </c>
      <c r="K46" s="656">
        <f t="shared" si="2"/>
        <v>0</v>
      </c>
    </row>
    <row r="47" spans="1:16" x14ac:dyDescent="0.15">
      <c r="A47" s="657" t="str">
        <f>[9]Роспись!A46</f>
        <v xml:space="preserve">Прочие расходы </v>
      </c>
      <c r="B47" s="654" t="str">
        <f>[9]Роспись!B46</f>
        <v>056</v>
      </c>
      <c r="C47" s="654" t="str">
        <f>[9]Роспись!C46</f>
        <v>07</v>
      </c>
      <c r="D47" s="654" t="str">
        <f>[9]Роспись!D46</f>
        <v>02</v>
      </c>
      <c r="E47" s="654">
        <f>[9]Роспись!E46</f>
        <v>4239902</v>
      </c>
      <c r="F47" s="654" t="str">
        <f>[9]Роспись!F46</f>
        <v>001</v>
      </c>
      <c r="G47" s="654">
        <f>[9]Роспись!G46</f>
        <v>290</v>
      </c>
      <c r="H47" s="648">
        <f>[9]Роспись!H46</f>
        <v>4.8289999999999997</v>
      </c>
      <c r="I47" s="656">
        <f>[9]Финансирование!I47+[9]Финансирование!J47+[9]Финансирование!K47+[9]Финансирование!L47+[9]Финансирование!M47+[9]Финансирование!N47+[9]Финансирование!O47+[9]Финансирование!P47</f>
        <v>0</v>
      </c>
      <c r="J47" s="656">
        <f>[9]Финансирование!Q47+[9]Финансирование!T47+[9]Финансирование!U47+[9]Финансирование!V47+[9]Финансирование!W47+[9]Финансирование!X47+[9]Финансирование!Y47+[9]Финансирование!Z47</f>
        <v>4.8289999999999997</v>
      </c>
      <c r="K47" s="656">
        <f t="shared" si="2"/>
        <v>0</v>
      </c>
      <c r="L47" s="658">
        <f>J47-0.671</f>
        <v>4.1579999999999995</v>
      </c>
    </row>
    <row r="48" spans="1:16" x14ac:dyDescent="0.15">
      <c r="A48" s="657" t="str">
        <f>[9]Роспись!A47</f>
        <v xml:space="preserve">Прочие расходы </v>
      </c>
      <c r="B48" s="654" t="str">
        <f>[9]Роспись!B47</f>
        <v>056</v>
      </c>
      <c r="C48" s="654" t="str">
        <f>[9]Роспись!C47</f>
        <v>07</v>
      </c>
      <c r="D48" s="654" t="str">
        <f>[9]Роспись!D47</f>
        <v>02</v>
      </c>
      <c r="E48" s="654" t="str">
        <f>[9]Роспись!E47</f>
        <v>4239502</v>
      </c>
      <c r="F48" s="654" t="str">
        <f>[9]Роспись!F47</f>
        <v>001</v>
      </c>
      <c r="G48" s="654" t="str">
        <f>[9]Роспись!G47</f>
        <v>290</v>
      </c>
      <c r="H48" s="648">
        <f>[9]Роспись!H47</f>
        <v>0</v>
      </c>
      <c r="I48" s="656">
        <f>[9]Финансирование!I48+[9]Финансирование!J48+[9]Финансирование!K48+[9]Финансирование!L48+[9]Финансирование!M48+[9]Финансирование!N48+[9]Финансирование!O48+[9]Финансирование!P48</f>
        <v>0</v>
      </c>
      <c r="J48" s="656">
        <f>[9]Финансирование!Q48+[9]Финансирование!T48+[9]Финансирование!U48+[9]Финансирование!V48+[9]Финансирование!W48+[9]Финансирование!X48+[9]Финансирование!Y48+[9]Финансирование!Z48</f>
        <v>0</v>
      </c>
      <c r="K48" s="656">
        <f t="shared" si="2"/>
        <v>0</v>
      </c>
    </row>
    <row r="49" spans="1:16" x14ac:dyDescent="0.15">
      <c r="A49" s="657" t="str">
        <f>[9]Роспись!A48</f>
        <v>Увелич. стоимости осн.средств</v>
      </c>
      <c r="B49" s="654" t="str">
        <f>[9]Роспись!B48</f>
        <v>056</v>
      </c>
      <c r="C49" s="654" t="str">
        <f>[9]Роспись!C48</f>
        <v>07</v>
      </c>
      <c r="D49" s="654" t="str">
        <f>[9]Роспись!D48</f>
        <v>02</v>
      </c>
      <c r="E49" s="654">
        <f>[9]Роспись!E48</f>
        <v>4239902</v>
      </c>
      <c r="F49" s="654" t="str">
        <f>[9]Роспись!F48</f>
        <v>001</v>
      </c>
      <c r="G49" s="654">
        <f>[9]Роспись!G48</f>
        <v>310</v>
      </c>
      <c r="H49" s="648">
        <f>[9]Роспись!H48</f>
        <v>0</v>
      </c>
      <c r="I49" s="656">
        <f>[9]Финансирование!I49+[9]Финансирование!J49+[9]Финансирование!K49+[9]Финансирование!L49+[9]Финансирование!M49+[9]Финансирование!N49+[9]Финансирование!O49+[9]Финансирование!P49</f>
        <v>0</v>
      </c>
      <c r="J49" s="656">
        <f>[9]Финансирование!Q49+[9]Финансирование!T49+[9]Финансирование!U49+[9]Финансирование!V49+[9]Финансирование!W49+[9]Финансирование!X49+[9]Финансирование!Y49+[9]Финансирование!Z49</f>
        <v>0</v>
      </c>
      <c r="K49" s="656">
        <f t="shared" si="2"/>
        <v>0</v>
      </c>
    </row>
    <row r="50" spans="1:16" x14ac:dyDescent="0.15">
      <c r="A50" s="657" t="str">
        <f>[9]Роспись!A49</f>
        <v>Увелич. стоимости матер. запасов</v>
      </c>
      <c r="B50" s="654" t="str">
        <f>[9]Роспись!B49</f>
        <v>056</v>
      </c>
      <c r="C50" s="654" t="str">
        <f>[9]Роспись!C49</f>
        <v>07</v>
      </c>
      <c r="D50" s="654" t="str">
        <f>[9]Роспись!D49</f>
        <v>02</v>
      </c>
      <c r="E50" s="654">
        <f>[9]Роспись!E49</f>
        <v>4239902</v>
      </c>
      <c r="F50" s="654" t="str">
        <f>[9]Роспись!F49</f>
        <v>001</v>
      </c>
      <c r="G50" s="654">
        <f>[9]Роспись!G49</f>
        <v>340</v>
      </c>
      <c r="H50" s="648">
        <f>[9]Роспись!H49</f>
        <v>10</v>
      </c>
      <c r="I50" s="656">
        <f>[9]Финансирование!I50+[9]Финансирование!J50+[9]Финансирование!K50+[9]Финансирование!L50+[9]Финансирование!M50+[9]Финансирование!N50+[9]Финансирование!O50+[9]Финансирование!P50</f>
        <v>3.36</v>
      </c>
      <c r="J50" s="656">
        <f>[9]Финансирование!Q50+[9]Финансирование!T50+[9]Финансирование!U50+[9]Финансирование!V50+[9]Финансирование!W50+[9]Финансирование!X50+[9]Финансирование!Y50+[9]Финансирование!Z50</f>
        <v>0</v>
      </c>
      <c r="K50" s="656">
        <f t="shared" si="2"/>
        <v>6.6400000000000006</v>
      </c>
    </row>
    <row r="51" spans="1:16" x14ac:dyDescent="0.15">
      <c r="A51" s="660" t="s">
        <v>98</v>
      </c>
      <c r="B51" s="661" t="s">
        <v>79</v>
      </c>
      <c r="C51" s="661" t="s">
        <v>100</v>
      </c>
      <c r="D51" s="661" t="s">
        <v>101</v>
      </c>
      <c r="E51" s="662" t="s">
        <v>937</v>
      </c>
      <c r="F51" s="662" t="s">
        <v>102</v>
      </c>
      <c r="G51" s="663"/>
      <c r="H51" s="643">
        <f>SUM(H38:H50)</f>
        <v>2976.1000000000004</v>
      </c>
      <c r="I51" s="664">
        <f>SUM(I38:I50)</f>
        <v>1390.36</v>
      </c>
      <c r="J51" s="664">
        <f>SUM(J38:J50)</f>
        <v>1568.6000000000001</v>
      </c>
      <c r="K51" s="665">
        <f>SUM(K38:K50)</f>
        <v>17.14</v>
      </c>
      <c r="L51" s="646">
        <v>1563</v>
      </c>
      <c r="M51" s="646"/>
      <c r="N51" s="646"/>
      <c r="O51" s="646"/>
      <c r="P51" s="646"/>
    </row>
    <row r="52" spans="1:16" ht="52" x14ac:dyDescent="0.15">
      <c r="A52" s="669" t="str">
        <f>'[9]Новая роспись'!A53</f>
        <v>Субсидия на финансовое обеспечение государственного задания на оказание государственных услуг (выполнение работ)</v>
      </c>
      <c r="B52" s="661"/>
      <c r="C52" s="661"/>
      <c r="D52" s="661"/>
      <c r="E52" s="662"/>
      <c r="F52" s="670">
        <f>'[9]Новая роспись'!F53</f>
        <v>611</v>
      </c>
      <c r="G52" s="670" t="str">
        <f>'[9]Новая роспись'!G53</f>
        <v>241</v>
      </c>
      <c r="H52" s="645">
        <f>'[9]Новая роспись'!H53</f>
        <v>1585.7400000000005</v>
      </c>
      <c r="I52" s="656">
        <f>[9]Финансирование!I52+[9]Финансирование!J52+[9]Финансирование!K52+[9]Финансирование!L52+[9]Финансирование!M52+[9]Финансирование!N52+[9]Финансирование!O52+[9]Финансирование!P52+[9]Финансирование!Q52+[9]Финансирование!T52+[9]Финансирование!U52+[9]Финансирование!V52+[9]Финансирование!W52+[9]Финансирование!X52+[9]Финансирование!Y52+[9]Финансирование!Z52</f>
        <v>1568.6000000000001</v>
      </c>
      <c r="J52" s="656"/>
      <c r="K52" s="656">
        <f>H52-I52</f>
        <v>17.140000000000327</v>
      </c>
      <c r="L52" s="646"/>
      <c r="M52" s="646"/>
      <c r="N52" s="646"/>
      <c r="O52" s="646"/>
      <c r="P52" s="646"/>
    </row>
    <row r="53" spans="1:16" x14ac:dyDescent="0.15">
      <c r="A53" s="660" t="s">
        <v>106</v>
      </c>
      <c r="B53" s="668"/>
      <c r="C53" s="668"/>
      <c r="D53" s="668"/>
      <c r="E53" s="668"/>
      <c r="F53" s="668"/>
      <c r="G53" s="663"/>
      <c r="H53" s="648"/>
      <c r="I53" s="656">
        <f>[9]Финансирование!I53+[9]Финансирование!J53+[9]Финансирование!K53+[9]Финансирование!L53+[9]Финансирование!M53+[9]Финансирование!N53+[9]Финансирование!O53+[9]Финансирование!P53+[9]Финансирование!Q53+[9]Финансирование!T53+[9]Финансирование!U53+[9]Финансирование!V53+[9]Финансирование!W53+[9]Финансирование!X53+[9]Финансирование!Y53</f>
        <v>0</v>
      </c>
      <c r="J53" s="656"/>
      <c r="K53" s="656"/>
      <c r="L53" s="646"/>
      <c r="M53" s="646"/>
      <c r="N53" s="646"/>
      <c r="O53" s="646"/>
      <c r="P53" s="646"/>
    </row>
    <row r="54" spans="1:16" x14ac:dyDescent="0.15">
      <c r="A54" s="657" t="str">
        <f>[9]Роспись!A52</f>
        <v>Заработная плата</v>
      </c>
      <c r="B54" s="654" t="str">
        <f>[9]Роспись!B52</f>
        <v>056</v>
      </c>
      <c r="C54" s="654" t="str">
        <f>[9]Роспись!C52</f>
        <v>07</v>
      </c>
      <c r="D54" s="654" t="str">
        <f>[9]Роспись!D52</f>
        <v>02</v>
      </c>
      <c r="E54" s="654">
        <f>[9]Роспись!E52</f>
        <v>4239902</v>
      </c>
      <c r="F54" s="654" t="str">
        <f>[9]Роспись!F52</f>
        <v>001</v>
      </c>
      <c r="G54" s="654">
        <f>[9]Роспись!G52</f>
        <v>211</v>
      </c>
      <c r="H54" s="648">
        <f>[9]Роспись!H52</f>
        <v>2815.3</v>
      </c>
      <c r="I54" s="656">
        <f>[9]Финансирование!I54+[9]Финансирование!J54+[9]Финансирование!K54+[9]Финансирование!L54+[9]Финансирование!M54+[9]Финансирование!N54+[9]Финансирование!O54+[9]Финансирование!P54</f>
        <v>1298.23</v>
      </c>
      <c r="J54" s="656">
        <f>[9]Финансирование!Q54+[9]Финансирование!T54+[9]Финансирование!U54+[9]Финансирование!V54+[9]Финансирование!W54+[9]Финансирование!X54+[9]Финансирование!Y54+[9]Финансирование!Z54</f>
        <v>1517.07</v>
      </c>
      <c r="K54" s="656">
        <f>H54-I54-J54</f>
        <v>0</v>
      </c>
      <c r="L54" s="635">
        <v>1398.4670000000001</v>
      </c>
      <c r="M54" s="658">
        <f>J54-L54</f>
        <v>118.60299999999984</v>
      </c>
    </row>
    <row r="55" spans="1:16" x14ac:dyDescent="0.15">
      <c r="A55" s="657" t="str">
        <f>[9]Роспись!A53</f>
        <v xml:space="preserve">Прочие выплаты </v>
      </c>
      <c r="B55" s="654" t="str">
        <f>[9]Роспись!B53</f>
        <v>056</v>
      </c>
      <c r="C55" s="654" t="str">
        <f>[9]Роспись!C53</f>
        <v>07</v>
      </c>
      <c r="D55" s="654" t="str">
        <f>[9]Роспись!D53</f>
        <v>02</v>
      </c>
      <c r="E55" s="654">
        <f>[9]Роспись!E53</f>
        <v>4239902</v>
      </c>
      <c r="F55" s="654" t="str">
        <f>[9]Роспись!F53</f>
        <v>001</v>
      </c>
      <c r="G55" s="654">
        <f>[9]Роспись!G53</f>
        <v>212</v>
      </c>
      <c r="H55" s="648">
        <f>[9]Роспись!H53</f>
        <v>24</v>
      </c>
      <c r="I55" s="656">
        <f>[9]Финансирование!I55+[9]Финансирование!J55+[9]Финансирование!K55+[9]Финансирование!L55+[9]Финансирование!M55+[9]Финансирование!N55+[9]Финансирование!O55+[9]Финансирование!P55</f>
        <v>10</v>
      </c>
      <c r="J55" s="656">
        <f>[9]Финансирование!Q55+[9]Финансирование!T55+[9]Финансирование!U55+[9]Финансирование!V55+[9]Финансирование!W55+[9]Финансирование!X55+[9]Финансирование!Y55+[9]Финансирование!Z55</f>
        <v>9.1999999999999993</v>
      </c>
      <c r="K55" s="656">
        <f t="shared" ref="K55:K66" si="3">H55-I55-J55</f>
        <v>4.8000000000000007</v>
      </c>
      <c r="L55" s="635">
        <v>9.1999999999999993</v>
      </c>
      <c r="M55" s="658">
        <f>J55-L55</f>
        <v>0</v>
      </c>
    </row>
    <row r="56" spans="1:16" x14ac:dyDescent="0.15">
      <c r="A56" s="657" t="str">
        <f>[9]Роспись!A54</f>
        <v>Начисления на оплату труда</v>
      </c>
      <c r="B56" s="654" t="str">
        <f>[9]Роспись!B54</f>
        <v>056</v>
      </c>
      <c r="C56" s="654" t="str">
        <f>[9]Роспись!C54</f>
        <v>07</v>
      </c>
      <c r="D56" s="654" t="str">
        <f>[9]Роспись!D54</f>
        <v>02</v>
      </c>
      <c r="E56" s="654">
        <f>[9]Роспись!E54</f>
        <v>4239902</v>
      </c>
      <c r="F56" s="654" t="str">
        <f>[9]Роспись!F54</f>
        <v>001</v>
      </c>
      <c r="G56" s="654">
        <f>[9]Роспись!G54</f>
        <v>213</v>
      </c>
      <c r="H56" s="648">
        <f>[9]Роспись!H54</f>
        <v>850.2</v>
      </c>
      <c r="I56" s="656">
        <f>[9]Финансирование!I56+[9]Финансирование!J56+[9]Финансирование!K56+[9]Финансирование!L56+[9]Финансирование!M56+[9]Финансирование!N56+[9]Финансирование!O56+[9]Финансирование!P56</f>
        <v>420.06</v>
      </c>
      <c r="J56" s="656">
        <f>[9]Финансирование!Q56+[9]Финансирование!T56+[9]Финансирование!U56+[9]Финансирование!V56+[9]Финансирование!W56+[9]Финансирование!X56+[9]Финансирование!Y56+[9]Финансирование!Z56</f>
        <v>414.14</v>
      </c>
      <c r="K56" s="656">
        <f t="shared" si="3"/>
        <v>16.000000000000057</v>
      </c>
      <c r="L56" s="671">
        <v>386.57100000000003</v>
      </c>
      <c r="M56" s="658">
        <f>J56-L56</f>
        <v>27.56899999999996</v>
      </c>
    </row>
    <row r="57" spans="1:16" x14ac:dyDescent="0.15">
      <c r="A57" s="657" t="str">
        <f>[9]Роспись!A55</f>
        <v xml:space="preserve">Оплата услуг связи </v>
      </c>
      <c r="B57" s="654" t="str">
        <f>[9]Роспись!B55</f>
        <v>056</v>
      </c>
      <c r="C57" s="654" t="str">
        <f>[9]Роспись!C55</f>
        <v>07</v>
      </c>
      <c r="D57" s="654" t="str">
        <f>[9]Роспись!D55</f>
        <v>02</v>
      </c>
      <c r="E57" s="654">
        <f>[9]Роспись!E55</f>
        <v>4239902</v>
      </c>
      <c r="F57" s="654" t="str">
        <f>[9]Роспись!F55</f>
        <v>001</v>
      </c>
      <c r="G57" s="654">
        <f>[9]Роспись!G55</f>
        <v>221</v>
      </c>
      <c r="H57" s="648">
        <f>[9]Роспись!H55</f>
        <v>0</v>
      </c>
      <c r="I57" s="656">
        <f>[9]Финансирование!I57+[9]Финансирование!J57+[9]Финансирование!K57+[9]Финансирование!L57+[9]Финансирование!M57+[9]Финансирование!N57+[9]Финансирование!O57+[9]Финансирование!P57</f>
        <v>0</v>
      </c>
      <c r="J57" s="656">
        <f>[9]Финансирование!Q57+[9]Финансирование!T57+[9]Финансирование!U57+[9]Финансирование!V57+[9]Финансирование!W57+[9]Финансирование!X57+[9]Финансирование!Y57+[9]Финансирование!Z57</f>
        <v>0</v>
      </c>
      <c r="K57" s="656">
        <f t="shared" si="3"/>
        <v>0</v>
      </c>
      <c r="M57" s="658"/>
    </row>
    <row r="58" spans="1:16" x14ac:dyDescent="0.15">
      <c r="A58" s="657" t="str">
        <f>[9]Роспись!A56</f>
        <v>Транспортные услуги</v>
      </c>
      <c r="B58" s="654" t="str">
        <f>[9]Роспись!B56</f>
        <v>056</v>
      </c>
      <c r="C58" s="654" t="str">
        <f>[9]Роспись!C56</f>
        <v>07</v>
      </c>
      <c r="D58" s="654" t="str">
        <f>[9]Роспись!D56</f>
        <v>02</v>
      </c>
      <c r="E58" s="654">
        <f>[9]Роспись!E56</f>
        <v>4239902</v>
      </c>
      <c r="F58" s="654" t="str">
        <f>[9]Роспись!F56</f>
        <v>001</v>
      </c>
      <c r="G58" s="654">
        <f>[9]Роспись!G56</f>
        <v>222</v>
      </c>
      <c r="H58" s="648">
        <f>[9]Роспись!H56</f>
        <v>0</v>
      </c>
      <c r="I58" s="656">
        <f>[9]Финансирование!I58+[9]Финансирование!J58+[9]Финансирование!K58+[9]Финансирование!L58+[9]Финансирование!M58+[9]Финансирование!N58+[9]Финансирование!O58+[9]Финансирование!P58</f>
        <v>0</v>
      </c>
      <c r="J58" s="656">
        <f>[9]Финансирование!Q58+[9]Финансирование!T58+[9]Финансирование!U58+[9]Финансирование!V58+[9]Финансирование!W58+[9]Финансирование!X58+[9]Финансирование!Y58+[9]Финансирование!Z58</f>
        <v>0</v>
      </c>
      <c r="K58" s="656">
        <f t="shared" si="3"/>
        <v>0</v>
      </c>
      <c r="M58" s="658"/>
    </row>
    <row r="59" spans="1:16" x14ac:dyDescent="0.15">
      <c r="A59" s="657" t="str">
        <f>[9]Роспись!A57</f>
        <v>Газ</v>
      </c>
      <c r="B59" s="654" t="str">
        <f>[9]Роспись!B57</f>
        <v>056</v>
      </c>
      <c r="C59" s="654" t="str">
        <f>[9]Роспись!C57</f>
        <v>07</v>
      </c>
      <c r="D59" s="654" t="str">
        <f>[9]Роспись!D57</f>
        <v>02</v>
      </c>
      <c r="E59" s="654">
        <f>[9]Роспись!E57</f>
        <v>4239902</v>
      </c>
      <c r="F59" s="654" t="str">
        <f>[9]Роспись!F57</f>
        <v>001</v>
      </c>
      <c r="G59" s="654">
        <f>[9]Роспись!G57</f>
        <v>223</v>
      </c>
      <c r="H59" s="648">
        <f>[9]Роспись!H57</f>
        <v>0</v>
      </c>
      <c r="I59" s="656">
        <f>[9]Финансирование!I59+[9]Финансирование!J59+[9]Финансирование!K59+[9]Финансирование!L59+[9]Финансирование!M59+[9]Финансирование!N59+[9]Финансирование!O59+[9]Финансирование!P59</f>
        <v>0</v>
      </c>
      <c r="J59" s="656">
        <f>[9]Финансирование!Q59+[9]Финансирование!T59+[9]Финансирование!U59+[9]Финансирование!V59+[9]Финансирование!W59+[9]Финансирование!X59+[9]Финансирование!Y59+[9]Финансирование!Z59</f>
        <v>0</v>
      </c>
      <c r="K59" s="656">
        <f t="shared" si="3"/>
        <v>0</v>
      </c>
      <c r="M59" s="658"/>
    </row>
    <row r="60" spans="1:16" x14ac:dyDescent="0.15">
      <c r="A60" s="657" t="str">
        <f>[9]Роспись!A58</f>
        <v>Аренда</v>
      </c>
      <c r="B60" s="654" t="str">
        <f>[9]Роспись!B58</f>
        <v>056</v>
      </c>
      <c r="C60" s="654" t="str">
        <f>[9]Роспись!C58</f>
        <v>07</v>
      </c>
      <c r="D60" s="654" t="str">
        <f>[9]Роспись!D58</f>
        <v>02</v>
      </c>
      <c r="E60" s="654">
        <f>[9]Роспись!E58</f>
        <v>4239902</v>
      </c>
      <c r="F60" s="654" t="str">
        <f>[9]Роспись!F58</f>
        <v>001</v>
      </c>
      <c r="G60" s="654">
        <f>[9]Роспись!G58</f>
        <v>224</v>
      </c>
      <c r="H60" s="648">
        <f>[9]Роспись!H58</f>
        <v>0</v>
      </c>
      <c r="I60" s="656">
        <f>[9]Финансирование!I60+[9]Финансирование!J60+[9]Финансирование!K60+[9]Финансирование!L60+[9]Финансирование!M60+[9]Финансирование!N60+[9]Финансирование!O60+[9]Финансирование!P60</f>
        <v>0</v>
      </c>
      <c r="J60" s="656">
        <f>[9]Финансирование!Q60+[9]Финансирование!T60+[9]Финансирование!U60+[9]Финансирование!V60+[9]Финансирование!W60+[9]Финансирование!X60+[9]Финансирование!Y60+[9]Финансирование!Z60</f>
        <v>0</v>
      </c>
      <c r="K60" s="656">
        <f t="shared" si="3"/>
        <v>0</v>
      </c>
      <c r="M60" s="658"/>
    </row>
    <row r="61" spans="1:16" x14ac:dyDescent="0.15">
      <c r="A61" s="657" t="str">
        <f>[9]Роспись!A59</f>
        <v>Услуги по содерж. имущества</v>
      </c>
      <c r="B61" s="654" t="str">
        <f>[9]Роспись!B59</f>
        <v>056</v>
      </c>
      <c r="C61" s="654" t="str">
        <f>[9]Роспись!C59</f>
        <v>07</v>
      </c>
      <c r="D61" s="654" t="str">
        <f>[9]Роспись!D59</f>
        <v>02</v>
      </c>
      <c r="E61" s="654">
        <f>[9]Роспись!E59</f>
        <v>4239902</v>
      </c>
      <c r="F61" s="654" t="str">
        <f>[9]Роспись!F59</f>
        <v>001</v>
      </c>
      <c r="G61" s="654">
        <f>[9]Роспись!G59</f>
        <v>225</v>
      </c>
      <c r="H61" s="648">
        <f>[9]Роспись!H59</f>
        <v>0</v>
      </c>
      <c r="I61" s="656">
        <f>[9]Финансирование!I61+[9]Финансирование!J61+[9]Финансирование!K61+[9]Финансирование!L61+[9]Финансирование!M61+[9]Финансирование!N61+[9]Финансирование!O61+[9]Финансирование!P61</f>
        <v>0</v>
      </c>
      <c r="J61" s="656">
        <f>[9]Финансирование!Q61+[9]Финансирование!T61+[9]Финансирование!U61+[9]Финансирование!V61+[9]Финансирование!W61+[9]Финансирование!X61+[9]Финансирование!Y61+[9]Финансирование!Z61</f>
        <v>0</v>
      </c>
      <c r="K61" s="656">
        <f t="shared" si="3"/>
        <v>0</v>
      </c>
      <c r="M61" s="658"/>
    </row>
    <row r="62" spans="1:16" x14ac:dyDescent="0.15">
      <c r="A62" s="657" t="str">
        <f>[9]Роспись!A60</f>
        <v>Прочие услуги</v>
      </c>
      <c r="B62" s="654" t="str">
        <f>[9]Роспись!B60</f>
        <v>056</v>
      </c>
      <c r="C62" s="654" t="str">
        <f>[9]Роспись!C60</f>
        <v>07</v>
      </c>
      <c r="D62" s="654" t="str">
        <f>[9]Роспись!D60</f>
        <v>02</v>
      </c>
      <c r="E62" s="654">
        <f>[9]Роспись!E60</f>
        <v>4239902</v>
      </c>
      <c r="F62" s="654" t="str">
        <f>[9]Роспись!F60</f>
        <v>001</v>
      </c>
      <c r="G62" s="654">
        <f>[9]Роспись!G60</f>
        <v>226</v>
      </c>
      <c r="H62" s="648">
        <f>[9]Роспись!H60</f>
        <v>0</v>
      </c>
      <c r="I62" s="656">
        <f>[9]Финансирование!I62+[9]Финансирование!J62+[9]Финансирование!K62+[9]Финансирование!L62+[9]Финансирование!M62+[9]Финансирование!N62+[9]Финансирование!O62+[9]Финансирование!P62</f>
        <v>0</v>
      </c>
      <c r="J62" s="656">
        <f>[9]Финансирование!Q62+[9]Финансирование!T62+[9]Финансирование!U62+[9]Финансирование!V62+[9]Финансирование!W62+[9]Финансирование!X62+[9]Финансирование!Y62+[9]Финансирование!Z62</f>
        <v>0</v>
      </c>
      <c r="K62" s="656">
        <f t="shared" si="3"/>
        <v>0</v>
      </c>
      <c r="M62" s="658"/>
    </row>
    <row r="63" spans="1:16" x14ac:dyDescent="0.15">
      <c r="A63" s="657" t="str">
        <f>[9]Роспись!A61</f>
        <v xml:space="preserve">Прочие расходы </v>
      </c>
      <c r="B63" s="654" t="str">
        <f>[9]Роспись!B61</f>
        <v>056</v>
      </c>
      <c r="C63" s="654" t="str">
        <f>[9]Роспись!C61</f>
        <v>07</v>
      </c>
      <c r="D63" s="654" t="str">
        <f>[9]Роспись!D61</f>
        <v>02</v>
      </c>
      <c r="E63" s="654">
        <f>[9]Роспись!E61</f>
        <v>4239902</v>
      </c>
      <c r="F63" s="654" t="str">
        <f>[9]Роспись!F61</f>
        <v>001</v>
      </c>
      <c r="G63" s="654">
        <f>[9]Роспись!G61</f>
        <v>290</v>
      </c>
      <c r="H63" s="648">
        <f>[9]Роспись!H61</f>
        <v>5.5</v>
      </c>
      <c r="I63" s="656">
        <f>[9]Финансирование!I63+[9]Финансирование!J63+[9]Финансирование!K63+[9]Финансирование!L63+[9]Финансирование!M63+[9]Финансирование!N63+[9]Финансирование!O63+[9]Финансирование!P63</f>
        <v>0</v>
      </c>
      <c r="J63" s="656">
        <f>[9]Финансирование!Q63+[9]Финансирование!T63+[9]Финансирование!U63+[9]Финансирование!V63+[9]Финансирование!W63+[9]Финансирование!X63+[9]Финансирование!Y63+[9]Финансирование!Z63</f>
        <v>5.5</v>
      </c>
      <c r="K63" s="656">
        <f t="shared" si="3"/>
        <v>0</v>
      </c>
      <c r="L63" s="635">
        <v>4.125</v>
      </c>
      <c r="M63" s="658">
        <f>J63-L63</f>
        <v>1.375</v>
      </c>
    </row>
    <row r="64" spans="1:16" x14ac:dyDescent="0.15">
      <c r="A64" s="657" t="str">
        <f>[9]Роспись!A62</f>
        <v xml:space="preserve">Прочие расходы </v>
      </c>
      <c r="B64" s="654" t="str">
        <f>[9]Роспись!B62</f>
        <v>056</v>
      </c>
      <c r="C64" s="654" t="str">
        <f>[9]Роспись!C62</f>
        <v>07</v>
      </c>
      <c r="D64" s="654" t="str">
        <f>[9]Роспись!D62</f>
        <v>02</v>
      </c>
      <c r="E64" s="654" t="str">
        <f>[9]Роспись!E62</f>
        <v>4239502</v>
      </c>
      <c r="F64" s="654" t="str">
        <f>[9]Роспись!F62</f>
        <v>001</v>
      </c>
      <c r="G64" s="654" t="str">
        <f>[9]Роспись!G62</f>
        <v>290</v>
      </c>
      <c r="H64" s="648">
        <f>[9]Роспись!H62</f>
        <v>1.4</v>
      </c>
      <c r="I64" s="656">
        <f>[9]Финансирование!I64+[9]Финансирование!J64+[9]Финансирование!K64+[9]Финансирование!L64+[9]Финансирование!M64+[9]Финансирование!N64+[9]Финансирование!O64+[9]Финансирование!P64</f>
        <v>1.4</v>
      </c>
      <c r="J64" s="656">
        <f>[9]Финансирование!Q64+[9]Финансирование!T64+[9]Финансирование!U64+[9]Финансирование!V64+[9]Финансирование!W64+[9]Финансирование!X64+[9]Финансирование!Y64+[9]Финансирование!Z64</f>
        <v>0</v>
      </c>
      <c r="K64" s="656">
        <f t="shared" si="3"/>
        <v>0</v>
      </c>
      <c r="M64" s="658"/>
    </row>
    <row r="65" spans="1:16" x14ac:dyDescent="0.15">
      <c r="A65" s="657" t="str">
        <f>[9]Роспись!A63</f>
        <v>Увелич. стоимости осн.средств</v>
      </c>
      <c r="B65" s="654" t="str">
        <f>[9]Роспись!B63</f>
        <v>056</v>
      </c>
      <c r="C65" s="654" t="str">
        <f>[9]Роспись!C63</f>
        <v>07</v>
      </c>
      <c r="D65" s="654" t="str">
        <f>[9]Роспись!D63</f>
        <v>02</v>
      </c>
      <c r="E65" s="654">
        <f>[9]Роспись!E63</f>
        <v>4239902</v>
      </c>
      <c r="F65" s="654" t="str">
        <f>[9]Роспись!F63</f>
        <v>001</v>
      </c>
      <c r="G65" s="654">
        <f>[9]Роспись!G63</f>
        <v>310</v>
      </c>
      <c r="H65" s="648">
        <f>[9]Роспись!H63</f>
        <v>0</v>
      </c>
      <c r="I65" s="656">
        <f>[9]Финансирование!I65+[9]Финансирование!J65+[9]Финансирование!K65+[9]Финансирование!L65+[9]Финансирование!M65+[9]Финансирование!N65+[9]Финансирование!O65+[9]Финансирование!P65</f>
        <v>0</v>
      </c>
      <c r="J65" s="656">
        <f>[9]Финансирование!Q65+[9]Финансирование!T65+[9]Финансирование!U65+[9]Финансирование!V65+[9]Финансирование!W65+[9]Финансирование!X65+[9]Финансирование!Y65+[9]Финансирование!Z65</f>
        <v>0</v>
      </c>
      <c r="K65" s="656">
        <f t="shared" si="3"/>
        <v>0</v>
      </c>
      <c r="M65" s="658"/>
    </row>
    <row r="66" spans="1:16" x14ac:dyDescent="0.15">
      <c r="A66" s="657" t="str">
        <f>[9]Роспись!A64</f>
        <v>Увелич. стоимости матер. запасов</v>
      </c>
      <c r="B66" s="654" t="str">
        <f>[9]Роспись!B64</f>
        <v>056</v>
      </c>
      <c r="C66" s="654" t="str">
        <f>[9]Роспись!C64</f>
        <v>07</v>
      </c>
      <c r="D66" s="654" t="str">
        <f>[9]Роспись!D64</f>
        <v>02</v>
      </c>
      <c r="E66" s="654">
        <f>[9]Роспись!E64</f>
        <v>4239902</v>
      </c>
      <c r="F66" s="654" t="str">
        <f>[9]Роспись!F64</f>
        <v>001</v>
      </c>
      <c r="G66" s="654">
        <f>[9]Роспись!G64</f>
        <v>340</v>
      </c>
      <c r="H66" s="648">
        <f>[9]Роспись!H64</f>
        <v>10.199999999999999</v>
      </c>
      <c r="I66" s="656">
        <f>[9]Финансирование!I66+[9]Финансирование!J66+[9]Финансирование!K66+[9]Финансирование!L66+[9]Финансирование!M66+[9]Финансирование!N66+[9]Финансирование!O66+[9]Финансирование!P66</f>
        <v>3.4</v>
      </c>
      <c r="J66" s="656">
        <f>[9]Финансирование!Q66+[9]Финансирование!T66+[9]Финансирование!U66+[9]Финансирование!V66+[9]Финансирование!W66+[9]Финансирование!X66+[9]Финансирование!Y66+[9]Финансирование!Z66</f>
        <v>6.8</v>
      </c>
      <c r="K66" s="656">
        <f t="shared" si="3"/>
        <v>0</v>
      </c>
      <c r="L66" s="635">
        <v>6.8</v>
      </c>
      <c r="M66" s="658">
        <f>J66-L66</f>
        <v>0</v>
      </c>
    </row>
    <row r="67" spans="1:16" x14ac:dyDescent="0.15">
      <c r="A67" s="660" t="s">
        <v>98</v>
      </c>
      <c r="B67" s="661" t="s">
        <v>79</v>
      </c>
      <c r="C67" s="661" t="s">
        <v>100</v>
      </c>
      <c r="D67" s="661" t="s">
        <v>101</v>
      </c>
      <c r="E67" s="662" t="s">
        <v>937</v>
      </c>
      <c r="F67" s="662" t="s">
        <v>102</v>
      </c>
      <c r="G67" s="663"/>
      <c r="H67" s="643">
        <f>SUM(H54:H66)</f>
        <v>3706.6</v>
      </c>
      <c r="I67" s="664">
        <f>SUM(I54:I66)</f>
        <v>1733.0900000000001</v>
      </c>
      <c r="J67" s="664">
        <f>SUM(J54:J66)</f>
        <v>1952.7099999999998</v>
      </c>
      <c r="K67" s="664">
        <f>SUM(K54:K66)</f>
        <v>20.800000000000058</v>
      </c>
      <c r="L67" s="646">
        <f>L66+L55</f>
        <v>16</v>
      </c>
      <c r="M67" s="646"/>
      <c r="N67" s="646"/>
      <c r="O67" s="646"/>
      <c r="P67" s="646"/>
    </row>
    <row r="68" spans="1:16" ht="52" x14ac:dyDescent="0.15">
      <c r="A68" s="640" t="str">
        <f>'[9]Новая роспись'!A70</f>
        <v>Субсидия на финансовое обеспечение государственного задания на оказание государственных услуг (выполнение работ)</v>
      </c>
      <c r="B68" s="641"/>
      <c r="C68" s="641"/>
      <c r="D68" s="641"/>
      <c r="E68" s="666"/>
      <c r="F68" s="667">
        <f>'[9]Новая роспись'!F70</f>
        <v>611</v>
      </c>
      <c r="G68" s="667" t="str">
        <f>'[9]Новая роспись'!G70</f>
        <v>241</v>
      </c>
      <c r="H68" s="645">
        <f>'[9]Новая роспись'!H70</f>
        <v>1973.5099999999998</v>
      </c>
      <c r="I68" s="648">
        <f>[9]Финансирование!I68+[9]Финансирование!J68+[9]Финансирование!K68+[9]Финансирование!L68+[9]Финансирование!M68+[9]Финансирование!N68+[9]Финансирование!O68+[9]Финансирование!P68+[9]Финансирование!Q68+[9]Финансирование!T68+[9]Финансирование!U68+[9]Финансирование!V68+[9]Финансирование!W68+[9]Финансирование!X68+[9]Финансирование!Y68+[9]Финансирование!Z68</f>
        <v>1952.71</v>
      </c>
      <c r="J68" s="648"/>
      <c r="K68" s="648">
        <f>H68-I68</f>
        <v>20.799999999999727</v>
      </c>
      <c r="L68" s="646"/>
      <c r="M68" s="652">
        <f>M66+M55</f>
        <v>0</v>
      </c>
      <c r="N68" s="646"/>
      <c r="O68" s="646"/>
      <c r="P68" s="646"/>
    </row>
    <row r="69" spans="1:16" x14ac:dyDescent="0.15">
      <c r="A69" s="660" t="s">
        <v>107</v>
      </c>
      <c r="B69" s="668"/>
      <c r="C69" s="668"/>
      <c r="D69" s="668"/>
      <c r="E69" s="668"/>
      <c r="F69" s="668"/>
      <c r="G69" s="663"/>
      <c r="H69" s="648"/>
      <c r="I69" s="656">
        <f>[9]Финансирование!I69+[9]Финансирование!J69+[9]Финансирование!K69+[9]Финансирование!L69+[9]Финансирование!M69+[9]Финансирование!N69+[9]Финансирование!O69+[9]Финансирование!P69+[9]Финансирование!Q69+[9]Финансирование!T69+[9]Финансирование!U69+[9]Финансирование!V69+[9]Финансирование!W69+[9]Финансирование!X69+[9]Финансирование!Y69+[9]Финансирование!Z69</f>
        <v>0</v>
      </c>
      <c r="J69" s="656"/>
      <c r="K69" s="656"/>
      <c r="L69" s="646"/>
      <c r="M69" s="646"/>
      <c r="N69" s="646"/>
      <c r="O69" s="646"/>
      <c r="P69" s="646"/>
    </row>
    <row r="70" spans="1:16" x14ac:dyDescent="0.15">
      <c r="A70" s="657" t="str">
        <f>[9]Роспись!A67</f>
        <v>Заработная плата</v>
      </c>
      <c r="B70" s="654" t="str">
        <f>[9]Роспись!B67</f>
        <v>056</v>
      </c>
      <c r="C70" s="654" t="str">
        <f>[9]Роспись!C67</f>
        <v>07</v>
      </c>
      <c r="D70" s="654" t="str">
        <f>[9]Роспись!D67</f>
        <v>02</v>
      </c>
      <c r="E70" s="654">
        <f>[9]Роспись!E67</f>
        <v>4239902</v>
      </c>
      <c r="F70" s="654" t="str">
        <f>[9]Роспись!F67</f>
        <v>001</v>
      </c>
      <c r="G70" s="654">
        <f>[9]Роспись!G67</f>
        <v>211</v>
      </c>
      <c r="H70" s="648">
        <f>[9]Роспись!H67</f>
        <v>6392.7</v>
      </c>
      <c r="I70" s="656">
        <f>[9]Финансирование!I70+[9]Финансирование!J70+[9]Финансирование!K70+[9]Финансирование!L70+[9]Финансирование!M70+[9]Финансирование!N70+[9]Финансирование!O70+[9]Финансирование!P70</f>
        <v>2947.89</v>
      </c>
      <c r="J70" s="656">
        <f>[9]Финансирование!Q70+[9]Финансирование!T70+[9]Финансирование!U70+[9]Финансирование!V70+[9]Финансирование!W70+[9]Финансирование!X70+[9]Финансирование!Y70+[9]Финансирование!Z70</f>
        <v>3444.81</v>
      </c>
      <c r="K70" s="656">
        <f>H70-I70-J70</f>
        <v>0</v>
      </c>
      <c r="L70" s="635">
        <v>3144.81</v>
      </c>
      <c r="M70" s="658">
        <f>L70-J70</f>
        <v>-300</v>
      </c>
    </row>
    <row r="71" spans="1:16" x14ac:dyDescent="0.15">
      <c r="A71" s="657" t="str">
        <f>[9]Роспись!A68</f>
        <v xml:space="preserve">Прочие выплаты </v>
      </c>
      <c r="B71" s="654" t="str">
        <f>[9]Роспись!B68</f>
        <v>056</v>
      </c>
      <c r="C71" s="654" t="str">
        <f>[9]Роспись!C68</f>
        <v>07</v>
      </c>
      <c r="D71" s="654" t="str">
        <f>[9]Роспись!D68</f>
        <v>02</v>
      </c>
      <c r="E71" s="654">
        <f>[9]Роспись!E68</f>
        <v>4239902</v>
      </c>
      <c r="F71" s="654" t="str">
        <f>[9]Роспись!F68</f>
        <v>001</v>
      </c>
      <c r="G71" s="654">
        <f>[9]Роспись!G68</f>
        <v>212</v>
      </c>
      <c r="H71" s="648">
        <f>[9]Роспись!H68</f>
        <v>33.6</v>
      </c>
      <c r="I71" s="656">
        <f>[9]Финансирование!I71+[9]Финансирование!J71+[9]Финансирование!K71+[9]Финансирование!L71+[9]Финансирование!M71+[9]Финансирование!N71+[9]Финансирование!O71+[9]Финансирование!P71</f>
        <v>14</v>
      </c>
      <c r="J71" s="656">
        <f>[9]Финансирование!Q71+[9]Финансирование!T71+[9]Финансирование!U71+[9]Финансирование!V71+[9]Финансирование!W71+[9]Финансирование!X71+[9]Финансирование!Y71+[9]Финансирование!Z71</f>
        <v>19.600000000000001</v>
      </c>
      <c r="K71" s="656">
        <f t="shared" ref="K71:K82" si="4">H71-I71-J71</f>
        <v>0</v>
      </c>
      <c r="L71" s="635">
        <v>19.600000000000001</v>
      </c>
      <c r="M71" s="658">
        <f t="shared" ref="M71:M82" si="5">L71-J71</f>
        <v>0</v>
      </c>
    </row>
    <row r="72" spans="1:16" x14ac:dyDescent="0.15">
      <c r="A72" s="657" t="str">
        <f>[9]Роспись!A69</f>
        <v>Начисления на оплату труда</v>
      </c>
      <c r="B72" s="654" t="str">
        <f>[9]Роспись!B69</f>
        <v>056</v>
      </c>
      <c r="C72" s="654" t="str">
        <f>[9]Роспись!C69</f>
        <v>07</v>
      </c>
      <c r="D72" s="654" t="str">
        <f>[9]Роспись!D69</f>
        <v>02</v>
      </c>
      <c r="E72" s="654">
        <f>[9]Роспись!E69</f>
        <v>4239902</v>
      </c>
      <c r="F72" s="654" t="str">
        <f>[9]Роспись!F69</f>
        <v>001</v>
      </c>
      <c r="G72" s="654">
        <f>[9]Роспись!G69</f>
        <v>213</v>
      </c>
      <c r="H72" s="648">
        <f>[9]Роспись!H69</f>
        <v>1930.6</v>
      </c>
      <c r="I72" s="656">
        <f>[9]Финансирование!I72+[9]Финансирование!J72+[9]Финансирование!K72+[9]Финансирование!L72+[9]Финансирование!M72+[9]Финансирование!N72+[9]Финансирование!O72+[9]Финансирование!P72</f>
        <v>953.88</v>
      </c>
      <c r="J72" s="656">
        <f>[9]Финансирование!Q72+[9]Финансирование!T72+[9]Финансирование!U72+[9]Финансирование!V72+[9]Финансирование!W72+[9]Финансирование!X72+[9]Финансирование!Y72+[9]Финансирование!Z72</f>
        <v>976.7199999999998</v>
      </c>
      <c r="K72" s="656">
        <f t="shared" si="4"/>
        <v>0</v>
      </c>
      <c r="L72" s="635">
        <v>760.50099999999998</v>
      </c>
      <c r="M72" s="658">
        <f t="shared" si="5"/>
        <v>-216.21899999999982</v>
      </c>
    </row>
    <row r="73" spans="1:16" x14ac:dyDescent="0.15">
      <c r="A73" s="657" t="str">
        <f>[9]Роспись!A70</f>
        <v xml:space="preserve">Оплата услуг связи </v>
      </c>
      <c r="B73" s="654" t="str">
        <f>[9]Роспись!B70</f>
        <v>056</v>
      </c>
      <c r="C73" s="654" t="str">
        <f>[9]Роспись!C70</f>
        <v>07</v>
      </c>
      <c r="D73" s="654" t="str">
        <f>[9]Роспись!D70</f>
        <v>02</v>
      </c>
      <c r="E73" s="654">
        <f>[9]Роспись!E70</f>
        <v>4239902</v>
      </c>
      <c r="F73" s="654" t="str">
        <f>[9]Роспись!F70</f>
        <v>001</v>
      </c>
      <c r="G73" s="654">
        <f>[9]Роспись!G70</f>
        <v>221</v>
      </c>
      <c r="H73" s="648">
        <f>[9]Роспись!H70</f>
        <v>20</v>
      </c>
      <c r="I73" s="656">
        <f>[9]Финансирование!I73+[9]Финансирование!J73+[9]Финансирование!K73+[9]Финансирование!L73+[9]Финансирование!M73+[9]Финансирование!N73+[9]Финансирование!O73+[9]Финансирование!P73</f>
        <v>4</v>
      </c>
      <c r="J73" s="656">
        <f>[9]Финансирование!Q73+[9]Финансирование!T73+[9]Финансирование!U73+[9]Финансирование!V73+[9]Финансирование!W73+[9]Финансирование!X73+[9]Финансирование!Y73+[9]Финансирование!Z73</f>
        <v>16</v>
      </c>
      <c r="K73" s="656">
        <f t="shared" si="4"/>
        <v>0</v>
      </c>
      <c r="L73" s="659">
        <v>16</v>
      </c>
      <c r="M73" s="658">
        <f t="shared" si="5"/>
        <v>0</v>
      </c>
      <c r="N73" s="635">
        <v>4</v>
      </c>
    </row>
    <row r="74" spans="1:16" x14ac:dyDescent="0.15">
      <c r="A74" s="657" t="str">
        <f>[9]Роспись!A71</f>
        <v>Транспортные услуги</v>
      </c>
      <c r="B74" s="654" t="str">
        <f>[9]Роспись!B71</f>
        <v>056</v>
      </c>
      <c r="C74" s="654" t="str">
        <f>[9]Роспись!C71</f>
        <v>07</v>
      </c>
      <c r="D74" s="654" t="str">
        <f>[9]Роспись!D71</f>
        <v>02</v>
      </c>
      <c r="E74" s="654">
        <f>[9]Роспись!E71</f>
        <v>4239902</v>
      </c>
      <c r="F74" s="654" t="str">
        <f>[9]Роспись!F71</f>
        <v>001</v>
      </c>
      <c r="G74" s="654">
        <f>[9]Роспись!G71</f>
        <v>222</v>
      </c>
      <c r="H74" s="648">
        <f>[9]Роспись!H71</f>
        <v>30</v>
      </c>
      <c r="I74" s="656">
        <f>[9]Финансирование!I74+[9]Финансирование!J74+[9]Финансирование!K74+[9]Финансирование!L74+[9]Финансирование!M74+[9]Финансирование!N74+[9]Финансирование!O74+[9]Финансирование!P74</f>
        <v>7.5</v>
      </c>
      <c r="J74" s="656">
        <f>[9]Финансирование!Q74+[9]Финансирование!T74+[9]Финансирование!U74+[9]Финансирование!V74+[9]Финансирование!W74+[9]Финансирование!X74+[9]Финансирование!Y74+[9]Финансирование!Z74</f>
        <v>22.5</v>
      </c>
      <c r="K74" s="656">
        <f t="shared" si="4"/>
        <v>0</v>
      </c>
      <c r="L74" s="659">
        <v>22.5</v>
      </c>
      <c r="M74" s="658">
        <f t="shared" si="5"/>
        <v>0</v>
      </c>
    </row>
    <row r="75" spans="1:16" x14ac:dyDescent="0.15">
      <c r="A75" s="657" t="str">
        <f>[9]Роспись!A72</f>
        <v>Коммунальные услуги</v>
      </c>
      <c r="B75" s="654" t="str">
        <f>[9]Роспись!B72</f>
        <v>056</v>
      </c>
      <c r="C75" s="654" t="str">
        <f>[9]Роспись!C72</f>
        <v>07</v>
      </c>
      <c r="D75" s="654" t="str">
        <f>[9]Роспись!D72</f>
        <v>02</v>
      </c>
      <c r="E75" s="654">
        <f>[9]Роспись!E72</f>
        <v>4239902</v>
      </c>
      <c r="F75" s="654" t="str">
        <f>[9]Роспись!F72</f>
        <v>001</v>
      </c>
      <c r="G75" s="654">
        <f>[9]Роспись!G72</f>
        <v>223</v>
      </c>
      <c r="H75" s="648">
        <f>[9]Роспись!H72</f>
        <v>556.93100000000004</v>
      </c>
      <c r="I75" s="656">
        <f>[9]Финансирование!I75+[9]Финансирование!J75+[9]Финансирование!K75+[9]Финансирование!L75+[9]Финансирование!M75+[9]Финансирование!N75+[9]Финансирование!O75+[9]Финансирование!P75</f>
        <v>241.67</v>
      </c>
      <c r="J75" s="656">
        <f>[9]Финансирование!Q75+[9]Финансирование!T75+[9]Финансирование!U75+[9]Финансирование!V75+[9]Финансирование!W75+[9]Финансирование!X75+[9]Финансирование!Y75+[9]Финансирование!Z75</f>
        <v>315.26099999999997</v>
      </c>
      <c r="K75" s="656">
        <f t="shared" si="4"/>
        <v>0</v>
      </c>
      <c r="L75" s="659">
        <v>315.26100000000002</v>
      </c>
      <c r="M75" s="658">
        <f t="shared" si="5"/>
        <v>0</v>
      </c>
    </row>
    <row r="76" spans="1:16" x14ac:dyDescent="0.15">
      <c r="A76" s="657" t="str">
        <f>[9]Роспись!A73</f>
        <v>Аренда</v>
      </c>
      <c r="B76" s="654" t="str">
        <f>[9]Роспись!B73</f>
        <v>056</v>
      </c>
      <c r="C76" s="654" t="str">
        <f>[9]Роспись!C73</f>
        <v>07</v>
      </c>
      <c r="D76" s="654" t="str">
        <f>[9]Роспись!D73</f>
        <v>02</v>
      </c>
      <c r="E76" s="654">
        <f>[9]Роспись!E73</f>
        <v>4239902</v>
      </c>
      <c r="F76" s="654" t="str">
        <f>[9]Роспись!F73</f>
        <v>001</v>
      </c>
      <c r="G76" s="654">
        <f>[9]Роспись!G73</f>
        <v>224</v>
      </c>
      <c r="H76" s="648">
        <f>[9]Роспись!H73</f>
        <v>0</v>
      </c>
      <c r="I76" s="656">
        <f>[9]Финансирование!I76+[9]Финансирование!J76+[9]Финансирование!K76+[9]Финансирование!L76+[9]Финансирование!M76+[9]Финансирование!N76+[9]Финансирование!O76+[9]Финансирование!P76</f>
        <v>0</v>
      </c>
      <c r="J76" s="656">
        <f>[9]Финансирование!Q76+[9]Финансирование!T76+[9]Финансирование!U76+[9]Финансирование!V76+[9]Финансирование!W76+[9]Финансирование!X76+[9]Финансирование!Y76+[9]Финансирование!Z76</f>
        <v>0</v>
      </c>
      <c r="K76" s="656">
        <f t="shared" si="4"/>
        <v>0</v>
      </c>
      <c r="L76" s="659">
        <v>0</v>
      </c>
      <c r="M76" s="658">
        <f t="shared" si="5"/>
        <v>0</v>
      </c>
    </row>
    <row r="77" spans="1:16" x14ac:dyDescent="0.15">
      <c r="A77" s="657" t="str">
        <f>[9]Роспись!A74</f>
        <v>Услуги по содерж. имущества</v>
      </c>
      <c r="B77" s="654" t="str">
        <f>[9]Роспись!B74</f>
        <v>056</v>
      </c>
      <c r="C77" s="654" t="str">
        <f>[9]Роспись!C74</f>
        <v>07</v>
      </c>
      <c r="D77" s="654" t="str">
        <f>[9]Роспись!D74</f>
        <v>02</v>
      </c>
      <c r="E77" s="654">
        <f>[9]Роспись!E74</f>
        <v>4239902</v>
      </c>
      <c r="F77" s="654" t="str">
        <f>[9]Роспись!F74</f>
        <v>001</v>
      </c>
      <c r="G77" s="654">
        <f>[9]Роспись!G74</f>
        <v>225</v>
      </c>
      <c r="H77" s="648">
        <f>[9]Роспись!H74</f>
        <v>100</v>
      </c>
      <c r="I77" s="656">
        <f>[9]Финансирование!I77+[9]Финансирование!J77+[9]Финансирование!K77+[9]Финансирование!L77+[9]Финансирование!M77+[9]Финансирование!N77+[9]Финансирование!O77+[9]Финансирование!P77</f>
        <v>25</v>
      </c>
      <c r="J77" s="656">
        <f>[9]Финансирование!Q77+[9]Финансирование!T77+[9]Финансирование!U77+[9]Финансирование!V77+[9]Финансирование!W77+[9]Финансирование!X77+[9]Финансирование!Y77+[9]Финансирование!Z77</f>
        <v>75</v>
      </c>
      <c r="K77" s="656">
        <f t="shared" si="4"/>
        <v>0</v>
      </c>
      <c r="L77" s="659">
        <v>75</v>
      </c>
      <c r="M77" s="658">
        <f t="shared" si="5"/>
        <v>0</v>
      </c>
    </row>
    <row r="78" spans="1:16" x14ac:dyDescent="0.15">
      <c r="A78" s="657" t="str">
        <f>[9]Роспись!A75</f>
        <v>Прочие услуги</v>
      </c>
      <c r="B78" s="654" t="str">
        <f>[9]Роспись!B75</f>
        <v>056</v>
      </c>
      <c r="C78" s="654" t="str">
        <f>[9]Роспись!C75</f>
        <v>07</v>
      </c>
      <c r="D78" s="654" t="str">
        <f>[9]Роспись!D75</f>
        <v>02</v>
      </c>
      <c r="E78" s="654">
        <f>[9]Роспись!E75</f>
        <v>4239902</v>
      </c>
      <c r="F78" s="654" t="str">
        <f>[9]Роспись!F75</f>
        <v>001</v>
      </c>
      <c r="G78" s="654">
        <f>[9]Роспись!G75</f>
        <v>226</v>
      </c>
      <c r="H78" s="648">
        <f>[9]Роспись!H75</f>
        <v>927.14999999999986</v>
      </c>
      <c r="I78" s="656">
        <f>[9]Финансирование!I78+[9]Финансирование!J78+[9]Финансирование!K78+[9]Финансирование!L78+[9]Финансирование!M78+[9]Финансирование!N78+[9]Финансирование!O78+[9]Финансирование!P78</f>
        <v>284.61</v>
      </c>
      <c r="J78" s="656">
        <f>[9]Финансирование!Q78+[9]Финансирование!T78+[9]Финансирование!U78+[9]Финансирование!V78+[9]Финансирование!W78+[9]Финансирование!X78+[9]Финансирование!Y78+[9]Финансирование!Z78</f>
        <v>129.10300000000001</v>
      </c>
      <c r="K78" s="656">
        <f t="shared" si="4"/>
        <v>513.4369999999999</v>
      </c>
      <c r="L78" s="659">
        <v>645.322</v>
      </c>
      <c r="M78" s="658">
        <f t="shared" si="5"/>
        <v>516.21900000000005</v>
      </c>
      <c r="N78" s="658">
        <f>M78-K78</f>
        <v>2.7820000000001528</v>
      </c>
    </row>
    <row r="79" spans="1:16" x14ac:dyDescent="0.15">
      <c r="A79" s="657" t="str">
        <f>[9]Роспись!A76</f>
        <v>Прочие расходы</v>
      </c>
      <c r="B79" s="654" t="str">
        <f>[9]Роспись!B76</f>
        <v>056</v>
      </c>
      <c r="C79" s="654" t="str">
        <f>[9]Роспись!C76</f>
        <v>07</v>
      </c>
      <c r="D79" s="654" t="str">
        <f>[9]Роспись!D76</f>
        <v>02</v>
      </c>
      <c r="E79" s="654">
        <f>[9]Роспись!E76</f>
        <v>4239902</v>
      </c>
      <c r="F79" s="654" t="str">
        <f>[9]Роспись!F76</f>
        <v>001</v>
      </c>
      <c r="G79" s="654">
        <f>[9]Роспись!G76</f>
        <v>290</v>
      </c>
      <c r="H79" s="648">
        <f>[9]Роспись!H76</f>
        <v>0.70000000000000018</v>
      </c>
      <c r="I79" s="656">
        <f>[9]Финансирование!I79+[9]Финансирование!J79+[9]Финансирование!K79+[9]Финансирование!L79+[9]Финансирование!M79+[9]Финансирование!N79+[9]Финансирование!O79+[9]Финансирование!P79</f>
        <v>0.7</v>
      </c>
      <c r="J79" s="656">
        <f>[9]Финансирование!Q79+[9]Финансирование!T79+[9]Финансирование!U79+[9]Финансирование!V79+[9]Финансирование!W79+[9]Финансирование!X79+[9]Финансирование!Y79+[9]Финансирование!Z79</f>
        <v>0</v>
      </c>
      <c r="K79" s="656">
        <f t="shared" si="4"/>
        <v>2.2204460492503131E-16</v>
      </c>
      <c r="L79" s="658">
        <v>0</v>
      </c>
      <c r="M79" s="658">
        <f t="shared" si="5"/>
        <v>0</v>
      </c>
    </row>
    <row r="80" spans="1:16" x14ac:dyDescent="0.15">
      <c r="A80" s="657" t="str">
        <f>[9]Роспись!A77</f>
        <v>Прочие расходы</v>
      </c>
      <c r="B80" s="654" t="str">
        <f>[9]Роспись!B77</f>
        <v>056</v>
      </c>
      <c r="C80" s="654" t="str">
        <f>[9]Роспись!C77</f>
        <v>07</v>
      </c>
      <c r="D80" s="654" t="str">
        <f>[9]Роспись!D77</f>
        <v>02</v>
      </c>
      <c r="E80" s="654" t="str">
        <f>[9]Роспись!E77</f>
        <v>4239502</v>
      </c>
      <c r="F80" s="654" t="str">
        <f>[9]Роспись!F77</f>
        <v>001</v>
      </c>
      <c r="G80" s="654" t="str">
        <f>[9]Роспись!G77</f>
        <v>290</v>
      </c>
      <c r="H80" s="648">
        <f>[9]Роспись!H77</f>
        <v>1512.9</v>
      </c>
      <c r="I80" s="656">
        <f>[9]Финансирование!I80+[9]Финансирование!J80+[9]Финансирование!K80+[9]Финансирование!L80+[9]Финансирование!M80+[9]Финансирование!N80+[9]Финансирование!O80+[9]Финансирование!P80</f>
        <v>763.56</v>
      </c>
      <c r="J80" s="656">
        <f>[9]Финансирование!Q80+[9]Финансирование!T80+[9]Финансирование!U80+[9]Финансирование!V80+[9]Финансирование!W80+[9]Финансирование!X80+[9]Финансирование!Y80+[9]Финансирование!Z80</f>
        <v>749.34</v>
      </c>
      <c r="K80" s="656">
        <f t="shared" si="4"/>
        <v>0</v>
      </c>
      <c r="L80" s="659">
        <v>749.34</v>
      </c>
      <c r="M80" s="658">
        <f t="shared" si="5"/>
        <v>0</v>
      </c>
    </row>
    <row r="81" spans="1:16" x14ac:dyDescent="0.15">
      <c r="A81" s="657" t="str">
        <f>[9]Роспись!A78</f>
        <v>Увелич. стоимости осн.средств</v>
      </c>
      <c r="B81" s="654" t="str">
        <f>[9]Роспись!B78</f>
        <v>056</v>
      </c>
      <c r="C81" s="654" t="str">
        <f>[9]Роспись!C78</f>
        <v>07</v>
      </c>
      <c r="D81" s="654" t="str">
        <f>[9]Роспись!D78</f>
        <v>02</v>
      </c>
      <c r="E81" s="654">
        <f>[9]Роспись!E78</f>
        <v>4239902</v>
      </c>
      <c r="F81" s="654" t="str">
        <f>[9]Роспись!F78</f>
        <v>001</v>
      </c>
      <c r="G81" s="654">
        <f>[9]Роспись!G78</f>
        <v>310</v>
      </c>
      <c r="H81" s="648">
        <f>[9]Роспись!H78</f>
        <v>16.919</v>
      </c>
      <c r="I81" s="656">
        <f>[9]Финансирование!I81+[9]Финансирование!J81+[9]Финансирование!K81+[9]Финансирование!L81+[9]Финансирование!M81+[9]Финансирование!N81+[9]Финансирование!O81+[9]Финансирование!P81</f>
        <v>0</v>
      </c>
      <c r="J81" s="656">
        <f>[9]Финансирование!Q81+[9]Финансирование!T81+[9]Финансирование!U81+[9]Финансирование!V81+[9]Финансирование!W81+[9]Финансирование!X81+[9]Финансирование!Y81+[9]Финансирование!Z81</f>
        <v>16.919</v>
      </c>
      <c r="K81" s="656">
        <f t="shared" si="4"/>
        <v>0</v>
      </c>
      <c r="L81" s="659">
        <v>16.919</v>
      </c>
      <c r="M81" s="658">
        <f t="shared" si="5"/>
        <v>0</v>
      </c>
      <c r="N81" s="658">
        <v>6.0590000000000002</v>
      </c>
    </row>
    <row r="82" spans="1:16" x14ac:dyDescent="0.15">
      <c r="A82" s="657" t="str">
        <f>[9]Роспись!A79</f>
        <v>Увелич. стоимости матер. запасов</v>
      </c>
      <c r="B82" s="654" t="str">
        <f>[9]Роспись!B79</f>
        <v>056</v>
      </c>
      <c r="C82" s="654" t="str">
        <f>[9]Роспись!C79</f>
        <v>07</v>
      </c>
      <c r="D82" s="654" t="str">
        <f>[9]Роспись!D79</f>
        <v>02</v>
      </c>
      <c r="E82" s="654">
        <f>[9]Роспись!E79</f>
        <v>4239902</v>
      </c>
      <c r="F82" s="654" t="str">
        <f>[9]Роспись!F79</f>
        <v>001</v>
      </c>
      <c r="G82" s="654">
        <f>[9]Роспись!G79</f>
        <v>340</v>
      </c>
      <c r="H82" s="648">
        <f>[9]Роспись!H79</f>
        <v>60</v>
      </c>
      <c r="I82" s="656">
        <f>[9]Финансирование!I82+[9]Финансирование!J82+[9]Финансирование!K82+[9]Финансирование!L82+[9]Финансирование!M82+[9]Финансирование!N82+[9]Финансирование!O82+[9]Финансирование!P82</f>
        <v>20</v>
      </c>
      <c r="J82" s="656">
        <f>[9]Финансирование!Q82+[9]Финансирование!T82+[9]Финансирование!U82+[9]Финансирование!V82+[9]Финансирование!W82+[9]Финансирование!X82+[9]Финансирование!Y82+[9]Финансирование!Z82</f>
        <v>0</v>
      </c>
      <c r="K82" s="656">
        <f t="shared" si="4"/>
        <v>40</v>
      </c>
      <c r="L82" s="659"/>
      <c r="M82" s="658">
        <f t="shared" si="5"/>
        <v>0</v>
      </c>
    </row>
    <row r="83" spans="1:16" x14ac:dyDescent="0.15">
      <c r="A83" s="660" t="s">
        <v>98</v>
      </c>
      <c r="B83" s="661" t="s">
        <v>79</v>
      </c>
      <c r="C83" s="661" t="s">
        <v>100</v>
      </c>
      <c r="D83" s="661" t="s">
        <v>101</v>
      </c>
      <c r="E83" s="662" t="s">
        <v>937</v>
      </c>
      <c r="F83" s="662" t="s">
        <v>102</v>
      </c>
      <c r="G83" s="663"/>
      <c r="H83" s="643">
        <f>SUM(H70:H82)</f>
        <v>11581.5</v>
      </c>
      <c r="I83" s="664">
        <f>SUM(I70:I82)</f>
        <v>5262.8099999999995</v>
      </c>
      <c r="J83" s="664">
        <f>SUM(J70:J82)</f>
        <v>5765.2529999999997</v>
      </c>
      <c r="K83" s="665">
        <f>SUM(K70:K82)</f>
        <v>553.4369999999999</v>
      </c>
      <c r="L83" s="646">
        <f>SUM(L70:L82)</f>
        <v>5765.2530000000006</v>
      </c>
      <c r="M83" s="652">
        <f>J83-L83</f>
        <v>0</v>
      </c>
      <c r="N83" s="646">
        <f>SUM(N73:N82)</f>
        <v>12.841000000000154</v>
      </c>
      <c r="O83" s="646"/>
      <c r="P83" s="646"/>
    </row>
    <row r="84" spans="1:16" ht="52" x14ac:dyDescent="0.15">
      <c r="A84" s="640" t="str">
        <f>'[9]Новая роспись'!A87</f>
        <v>Субсидия на финансовое обеспечение государственного задания на оказание государственных услуг (выполнение работ)</v>
      </c>
      <c r="B84" s="641"/>
      <c r="C84" s="641"/>
      <c r="D84" s="641"/>
      <c r="E84" s="666"/>
      <c r="F84" s="667">
        <f>'[9]Новая роспись'!F87</f>
        <v>611</v>
      </c>
      <c r="G84" s="667" t="str">
        <f>'[9]Новая роспись'!G87</f>
        <v>241</v>
      </c>
      <c r="H84" s="645">
        <f>'[9]Новая роспись'!H87</f>
        <v>6318.6900000000005</v>
      </c>
      <c r="I84" s="648">
        <f>[9]Финансирование!I84+[9]Финансирование!J84+[9]Финансирование!K84+[9]Финансирование!L84+[9]Финансирование!M84+[9]Финансирование!N84+[9]Финансирование!O84+[9]Финансирование!P84+[9]Финансирование!Q84+[9]Финансирование!T84+[9]Финансирование!U84+[9]Финансирование!V84+[9]Финансирование!W84+[9]Финансирование!X84+[9]Финансирование!Y84+[9]Финансирование!Z84</f>
        <v>5765.2529999999997</v>
      </c>
      <c r="J84" s="648"/>
      <c r="K84" s="648">
        <f>H84-I84</f>
        <v>553.43700000000081</v>
      </c>
      <c r="L84" s="646"/>
      <c r="M84" s="652">
        <f>M81+M78+M77+M74+M73+M71</f>
        <v>516.21900000000005</v>
      </c>
      <c r="N84" s="646">
        <v>-216.21899999999999</v>
      </c>
      <c r="O84" s="646"/>
      <c r="P84" s="646"/>
    </row>
    <row r="85" spans="1:16" x14ac:dyDescent="0.15">
      <c r="A85" s="78" t="s">
        <v>108</v>
      </c>
      <c r="B85" s="672"/>
      <c r="C85" s="672"/>
      <c r="D85" s="672"/>
      <c r="E85" s="672"/>
      <c r="F85" s="672"/>
      <c r="G85" s="649"/>
      <c r="H85" s="648"/>
      <c r="I85" s="673"/>
      <c r="J85" s="673"/>
      <c r="K85" s="648"/>
      <c r="L85" s="646"/>
      <c r="M85" s="652">
        <f>M79+M75+M72+M70</f>
        <v>-516.21899999999982</v>
      </c>
      <c r="N85" s="646">
        <v>-23.068999999999999</v>
      </c>
      <c r="O85" s="646"/>
      <c r="P85" s="646"/>
    </row>
    <row r="86" spans="1:16" x14ac:dyDescent="0.15">
      <c r="A86" s="647" t="str">
        <f>[9]Роспись!A82</f>
        <v>Заработная плата</v>
      </c>
      <c r="B86" s="81" t="str">
        <f>[9]Роспись!B82</f>
        <v>056</v>
      </c>
      <c r="C86" s="81" t="str">
        <f>[9]Роспись!C82</f>
        <v>07</v>
      </c>
      <c r="D86" s="81" t="str">
        <f>[9]Роспись!D82</f>
        <v>02</v>
      </c>
      <c r="E86" s="81">
        <f>[9]Роспись!E82</f>
        <v>4239902</v>
      </c>
      <c r="F86" s="81" t="str">
        <f>[9]Роспись!F82</f>
        <v>001</v>
      </c>
      <c r="G86" s="81">
        <f>[9]Роспись!G82</f>
        <v>211</v>
      </c>
      <c r="H86" s="648">
        <f t="shared" ref="H86:K90" si="6">H70+H54+H38+H22</f>
        <v>14883.25</v>
      </c>
      <c r="I86" s="648">
        <f t="shared" si="6"/>
        <v>6853.96</v>
      </c>
      <c r="J86" s="648">
        <f t="shared" si="6"/>
        <v>8029.29</v>
      </c>
      <c r="K86" s="648">
        <f t="shared" si="6"/>
        <v>0</v>
      </c>
      <c r="N86" s="671">
        <v>-6</v>
      </c>
    </row>
    <row r="87" spans="1:16" x14ac:dyDescent="0.15">
      <c r="A87" s="647" t="str">
        <f>[9]Роспись!A83</f>
        <v xml:space="preserve">Прочие выплаты </v>
      </c>
      <c r="B87" s="81" t="str">
        <f>[9]Роспись!B83</f>
        <v>056</v>
      </c>
      <c r="C87" s="81" t="str">
        <f>[9]Роспись!C83</f>
        <v>07</v>
      </c>
      <c r="D87" s="81" t="str">
        <f>[9]Роспись!D83</f>
        <v>02</v>
      </c>
      <c r="E87" s="81">
        <f>[9]Роспись!E83</f>
        <v>4239902</v>
      </c>
      <c r="F87" s="81" t="str">
        <f>[9]Роспись!F83</f>
        <v>001</v>
      </c>
      <c r="G87" s="81">
        <f>[9]Роспись!G83</f>
        <v>212</v>
      </c>
      <c r="H87" s="648">
        <f t="shared" si="6"/>
        <v>99.6</v>
      </c>
      <c r="I87" s="648">
        <f t="shared" si="6"/>
        <v>41.5</v>
      </c>
      <c r="J87" s="648">
        <f t="shared" si="6"/>
        <v>32.799999999999997</v>
      </c>
      <c r="K87" s="648">
        <f t="shared" si="6"/>
        <v>25.3</v>
      </c>
    </row>
    <row r="88" spans="1:16" x14ac:dyDescent="0.15">
      <c r="A88" s="647" t="str">
        <f>[9]Роспись!A84</f>
        <v>Начисления на оплату труда</v>
      </c>
      <c r="B88" s="81" t="str">
        <f>[9]Роспись!B84</f>
        <v>056</v>
      </c>
      <c r="C88" s="81" t="str">
        <f>[9]Роспись!C84</f>
        <v>07</v>
      </c>
      <c r="D88" s="81" t="str">
        <f>[9]Роспись!D84</f>
        <v>02</v>
      </c>
      <c r="E88" s="81">
        <f>[9]Роспись!E84</f>
        <v>4239902</v>
      </c>
      <c r="F88" s="81" t="str">
        <f>[9]Роспись!F84</f>
        <v>001</v>
      </c>
      <c r="G88" s="81">
        <f>[9]Роспись!G84</f>
        <v>213</v>
      </c>
      <c r="H88" s="648">
        <f t="shared" si="6"/>
        <v>4448.1210000000001</v>
      </c>
      <c r="I88" s="648">
        <f t="shared" si="6"/>
        <v>2217.7399999999998</v>
      </c>
      <c r="J88" s="648">
        <f t="shared" si="6"/>
        <v>2214.3809999999999</v>
      </c>
      <c r="K88" s="648">
        <f t="shared" si="6"/>
        <v>16.000000000000057</v>
      </c>
    </row>
    <row r="89" spans="1:16" x14ac:dyDescent="0.15">
      <c r="A89" s="647" t="str">
        <f>[9]Роспись!A85</f>
        <v xml:space="preserve">Оплата услуг связи </v>
      </c>
      <c r="B89" s="81" t="str">
        <f>[9]Роспись!B85</f>
        <v>056</v>
      </c>
      <c r="C89" s="81" t="str">
        <f>[9]Роспись!C85</f>
        <v>07</v>
      </c>
      <c r="D89" s="81" t="str">
        <f>[9]Роспись!D85</f>
        <v>02</v>
      </c>
      <c r="E89" s="81">
        <f>[9]Роспись!E85</f>
        <v>4239902</v>
      </c>
      <c r="F89" s="81" t="str">
        <f>[9]Роспись!F85</f>
        <v>001</v>
      </c>
      <c r="G89" s="81">
        <f>[9]Роспись!G85</f>
        <v>221</v>
      </c>
      <c r="H89" s="648">
        <f t="shared" si="6"/>
        <v>37.5</v>
      </c>
      <c r="I89" s="648">
        <f t="shared" si="6"/>
        <v>6.5</v>
      </c>
      <c r="J89" s="648">
        <f t="shared" si="6"/>
        <v>31</v>
      </c>
      <c r="K89" s="648">
        <f t="shared" si="6"/>
        <v>0</v>
      </c>
    </row>
    <row r="90" spans="1:16" x14ac:dyDescent="0.15">
      <c r="A90" s="647" t="str">
        <f>[9]Роспись!A86</f>
        <v>Транспортные услуги</v>
      </c>
      <c r="B90" s="81" t="str">
        <f>[9]Роспись!B86</f>
        <v>056</v>
      </c>
      <c r="C90" s="81" t="str">
        <f>[9]Роспись!C86</f>
        <v>07</v>
      </c>
      <c r="D90" s="81" t="str">
        <f>[9]Роспись!D86</f>
        <v>02</v>
      </c>
      <c r="E90" s="81">
        <f>[9]Роспись!E86</f>
        <v>4239902</v>
      </c>
      <c r="F90" s="81" t="str">
        <f>[9]Роспись!F86</f>
        <v>001</v>
      </c>
      <c r="G90" s="81">
        <f>[9]Роспись!G86</f>
        <v>222</v>
      </c>
      <c r="H90" s="648">
        <f t="shared" si="6"/>
        <v>30</v>
      </c>
      <c r="I90" s="648">
        <f t="shared" si="6"/>
        <v>7.5</v>
      </c>
      <c r="J90" s="648">
        <f t="shared" si="6"/>
        <v>22.5</v>
      </c>
      <c r="K90" s="648">
        <f t="shared" si="6"/>
        <v>0</v>
      </c>
    </row>
    <row r="91" spans="1:16" x14ac:dyDescent="0.15">
      <c r="A91" s="647" t="str">
        <f>[9]Роспись!A87</f>
        <v>Коммунальные услуги</v>
      </c>
      <c r="B91" s="81" t="str">
        <f>[9]Роспись!B87</f>
        <v>056</v>
      </c>
      <c r="C91" s="81" t="str">
        <f>[9]Роспись!C87</f>
        <v>07</v>
      </c>
      <c r="D91" s="81" t="str">
        <f>[9]Роспись!D87</f>
        <v>02</v>
      </c>
      <c r="E91" s="81">
        <f>[9]Роспись!E87</f>
        <v>4239902</v>
      </c>
      <c r="F91" s="81" t="str">
        <f>[9]Роспись!F87</f>
        <v>001</v>
      </c>
      <c r="G91" s="81">
        <f>[9]Роспись!G87</f>
        <v>223</v>
      </c>
      <c r="H91" s="648">
        <f>H75+H43+H27</f>
        <v>732.43100000000004</v>
      </c>
      <c r="I91" s="648">
        <f>I75+I43+I27</f>
        <v>316.25</v>
      </c>
      <c r="J91" s="648">
        <f>J75+J43+J27</f>
        <v>404.68099999999998</v>
      </c>
      <c r="K91" s="648">
        <f>K75+K43+K27</f>
        <v>11.5</v>
      </c>
      <c r="L91" s="658">
        <f>K91+K95+K96</f>
        <v>11.5</v>
      </c>
    </row>
    <row r="92" spans="1:16" x14ac:dyDescent="0.15">
      <c r="A92" s="647" t="str">
        <f>[9]Роспись!A88</f>
        <v>Аренда</v>
      </c>
      <c r="B92" s="81" t="str">
        <f>[9]Роспись!B88</f>
        <v>056</v>
      </c>
      <c r="C92" s="81" t="str">
        <f>[9]Роспись!C88</f>
        <v>07</v>
      </c>
      <c r="D92" s="81" t="str">
        <f>[9]Роспись!D88</f>
        <v>02</v>
      </c>
      <c r="E92" s="81">
        <f>[9]Роспись!E88</f>
        <v>4239902</v>
      </c>
      <c r="F92" s="81" t="str">
        <f>[9]Роспись!F88</f>
        <v>001</v>
      </c>
      <c r="G92" s="81">
        <f>[9]Роспись!G88</f>
        <v>224</v>
      </c>
      <c r="H92" s="648">
        <f t="shared" ref="H92:K98" si="7">H76+H60+H44+H28</f>
        <v>0</v>
      </c>
      <c r="I92" s="648">
        <f t="shared" si="7"/>
        <v>0</v>
      </c>
      <c r="J92" s="648">
        <f t="shared" si="7"/>
        <v>0</v>
      </c>
      <c r="K92" s="648">
        <f t="shared" si="7"/>
        <v>0</v>
      </c>
    </row>
    <row r="93" spans="1:16" x14ac:dyDescent="0.15">
      <c r="A93" s="647" t="str">
        <f>[9]Роспись!A89</f>
        <v>Услуги по содерж. имущества</v>
      </c>
      <c r="B93" s="81" t="str">
        <f>[9]Роспись!B89</f>
        <v>056</v>
      </c>
      <c r="C93" s="81" t="str">
        <f>[9]Роспись!C89</f>
        <v>07</v>
      </c>
      <c r="D93" s="81" t="str">
        <f>[9]Роспись!D89</f>
        <v>02</v>
      </c>
      <c r="E93" s="81">
        <f>[9]Роспись!E89</f>
        <v>4239902</v>
      </c>
      <c r="F93" s="81" t="str">
        <f>[9]Роспись!F89</f>
        <v>001</v>
      </c>
      <c r="G93" s="81">
        <f>[9]Роспись!G89</f>
        <v>225</v>
      </c>
      <c r="H93" s="648">
        <f t="shared" si="7"/>
        <v>100</v>
      </c>
      <c r="I93" s="648">
        <f t="shared" si="7"/>
        <v>25</v>
      </c>
      <c r="J93" s="648">
        <f t="shared" si="7"/>
        <v>75</v>
      </c>
      <c r="K93" s="648">
        <f t="shared" si="7"/>
        <v>0</v>
      </c>
    </row>
    <row r="94" spans="1:16" x14ac:dyDescent="0.15">
      <c r="A94" s="647" t="str">
        <f>[9]Роспись!A90</f>
        <v>Прочие услуги</v>
      </c>
      <c r="B94" s="81" t="str">
        <f>[9]Роспись!B90</f>
        <v>056</v>
      </c>
      <c r="C94" s="81" t="str">
        <f>[9]Роспись!C90</f>
        <v>07</v>
      </c>
      <c r="D94" s="81" t="str">
        <f>[9]Роспись!D90</f>
        <v>02</v>
      </c>
      <c r="E94" s="81">
        <f>[9]Роспись!E90</f>
        <v>4239902</v>
      </c>
      <c r="F94" s="81" t="str">
        <f>[9]Роспись!F90</f>
        <v>001</v>
      </c>
      <c r="G94" s="81">
        <f>[9]Роспись!G90</f>
        <v>226</v>
      </c>
      <c r="H94" s="648">
        <f t="shared" si="7"/>
        <v>1041.6499999999999</v>
      </c>
      <c r="I94" s="648">
        <f t="shared" si="7"/>
        <v>399.11</v>
      </c>
      <c r="J94" s="648">
        <f t="shared" si="7"/>
        <v>129.10300000000001</v>
      </c>
      <c r="K94" s="648">
        <f t="shared" si="7"/>
        <v>513.4369999999999</v>
      </c>
    </row>
    <row r="95" spans="1:16" x14ac:dyDescent="0.15">
      <c r="A95" s="647" t="str">
        <f>[9]Роспись!A91</f>
        <v xml:space="preserve">Прочие услуги </v>
      </c>
      <c r="B95" s="81" t="str">
        <f>[9]Роспись!B91</f>
        <v>056</v>
      </c>
      <c r="C95" s="81" t="str">
        <f>[9]Роспись!C91</f>
        <v>07</v>
      </c>
      <c r="D95" s="81" t="str">
        <f>[9]Роспись!D91</f>
        <v>02</v>
      </c>
      <c r="E95" s="81">
        <f>[9]Роспись!E91</f>
        <v>4239902</v>
      </c>
      <c r="F95" s="81" t="str">
        <f>[9]Роспись!F91</f>
        <v>001</v>
      </c>
      <c r="G95" s="81">
        <f>[9]Роспись!G91</f>
        <v>290</v>
      </c>
      <c r="H95" s="648">
        <f t="shared" si="7"/>
        <v>22.128999999999998</v>
      </c>
      <c r="I95" s="648">
        <f t="shared" si="7"/>
        <v>0.7</v>
      </c>
      <c r="J95" s="648">
        <f t="shared" si="7"/>
        <v>21.429000000000002</v>
      </c>
      <c r="K95" s="648">
        <f t="shared" si="7"/>
        <v>2.2204460492503131E-16</v>
      </c>
    </row>
    <row r="96" spans="1:16" x14ac:dyDescent="0.15">
      <c r="A96" s="647" t="str">
        <f>[9]Роспись!A92</f>
        <v xml:space="preserve">Прочие расходы </v>
      </c>
      <c r="B96" s="81" t="str">
        <f>[9]Роспись!B92</f>
        <v>056</v>
      </c>
      <c r="C96" s="81" t="str">
        <f>[9]Роспись!C92</f>
        <v>07</v>
      </c>
      <c r="D96" s="81" t="str">
        <f>[9]Роспись!D92</f>
        <v>02</v>
      </c>
      <c r="E96" s="81" t="str">
        <f>[9]Роспись!E92</f>
        <v>4239502</v>
      </c>
      <c r="F96" s="81" t="str">
        <f>[9]Роспись!F92</f>
        <v>001</v>
      </c>
      <c r="G96" s="81">
        <f>[9]Роспись!G92</f>
        <v>290</v>
      </c>
      <c r="H96" s="648">
        <f t="shared" si="7"/>
        <v>1584.8000000000002</v>
      </c>
      <c r="I96" s="648">
        <f t="shared" si="7"/>
        <v>797.16</v>
      </c>
      <c r="J96" s="648">
        <f t="shared" si="7"/>
        <v>787.64</v>
      </c>
      <c r="K96" s="648">
        <f t="shared" si="7"/>
        <v>0</v>
      </c>
    </row>
    <row r="97" spans="1:16" x14ac:dyDescent="0.15">
      <c r="A97" s="647" t="str">
        <f>[9]Роспись!A93</f>
        <v>Увелич. стоимости осн.средств</v>
      </c>
      <c r="B97" s="81" t="str">
        <f>[9]Роспись!B93</f>
        <v>056</v>
      </c>
      <c r="C97" s="81" t="str">
        <f>[9]Роспись!C93</f>
        <v>07</v>
      </c>
      <c r="D97" s="81" t="str">
        <f>[9]Роспись!D93</f>
        <v>02</v>
      </c>
      <c r="E97" s="81">
        <f>[9]Роспись!E93</f>
        <v>4239902</v>
      </c>
      <c r="F97" s="81" t="str">
        <f>[9]Роспись!F93</f>
        <v>001</v>
      </c>
      <c r="G97" s="81">
        <f>[9]Роспись!G93</f>
        <v>310</v>
      </c>
      <c r="H97" s="648">
        <f t="shared" si="7"/>
        <v>45.418999999999997</v>
      </c>
      <c r="I97" s="648">
        <f t="shared" si="7"/>
        <v>0</v>
      </c>
      <c r="J97" s="648">
        <f t="shared" si="7"/>
        <v>16.919</v>
      </c>
      <c r="K97" s="648">
        <f t="shared" si="7"/>
        <v>28.5</v>
      </c>
    </row>
    <row r="98" spans="1:16" x14ac:dyDescent="0.15">
      <c r="A98" s="647" t="str">
        <f>[9]Роспись!A94</f>
        <v>Увелич. стоимости матер. запасов</v>
      </c>
      <c r="B98" s="81" t="str">
        <f>[9]Роспись!B94</f>
        <v>056</v>
      </c>
      <c r="C98" s="81" t="str">
        <f>[9]Роспись!C94</f>
        <v>07</v>
      </c>
      <c r="D98" s="81" t="str">
        <f>[9]Роспись!D94</f>
        <v>02</v>
      </c>
      <c r="E98" s="81">
        <f>[9]Роспись!E94</f>
        <v>4239902</v>
      </c>
      <c r="F98" s="81" t="str">
        <f>[9]Роспись!F94</f>
        <v>001</v>
      </c>
      <c r="G98" s="81">
        <f>[9]Роспись!G94</f>
        <v>340</v>
      </c>
      <c r="H98" s="648">
        <f t="shared" si="7"/>
        <v>94.2</v>
      </c>
      <c r="I98" s="648">
        <f t="shared" si="7"/>
        <v>31.4</v>
      </c>
      <c r="J98" s="648">
        <f t="shared" si="7"/>
        <v>6.8</v>
      </c>
      <c r="K98" s="648">
        <f t="shared" si="7"/>
        <v>56</v>
      </c>
    </row>
    <row r="99" spans="1:16" x14ac:dyDescent="0.15">
      <c r="A99" s="674" t="s">
        <v>98</v>
      </c>
      <c r="B99" s="666" t="s">
        <v>79</v>
      </c>
      <c r="C99" s="666" t="s">
        <v>100</v>
      </c>
      <c r="D99" s="666" t="s">
        <v>101</v>
      </c>
      <c r="E99" s="666" t="s">
        <v>937</v>
      </c>
      <c r="F99" s="666" t="s">
        <v>102</v>
      </c>
      <c r="G99" s="675"/>
      <c r="H99" s="650">
        <f>SUM(H86:H98)</f>
        <v>23119.100000000006</v>
      </c>
      <c r="I99" s="676">
        <f>SUM(I86:I98)</f>
        <v>10696.820000000002</v>
      </c>
      <c r="J99" s="676">
        <f>SUM(J86:J98)</f>
        <v>11771.542999999998</v>
      </c>
      <c r="K99" s="676">
        <f>SUM(K86:K98)</f>
        <v>650.73699999999997</v>
      </c>
      <c r="L99" s="677">
        <f>I99-I96</f>
        <v>9899.6600000000017</v>
      </c>
      <c r="M99" s="678"/>
      <c r="N99" s="678"/>
      <c r="O99" s="678"/>
      <c r="P99" s="678"/>
    </row>
    <row r="100" spans="1:16" ht="65" x14ac:dyDescent="0.15">
      <c r="A100" s="674" t="str">
        <f>'[9]Новая роспись'!A104</f>
        <v>Субсидии бюджетным учреждениям на финансовое обеспечение государственного задания на оказание государственных услуг (выполнение работ)</v>
      </c>
      <c r="B100" s="666"/>
      <c r="C100" s="666"/>
      <c r="D100" s="666"/>
      <c r="E100" s="666"/>
      <c r="F100" s="667">
        <f>'[9]Новая роспись'!F104</f>
        <v>611</v>
      </c>
      <c r="G100" s="667" t="str">
        <f>'[9]Новая роспись'!G104</f>
        <v>241</v>
      </c>
      <c r="H100" s="648">
        <f>H84+H68+H52+H36</f>
        <v>12422.28</v>
      </c>
      <c r="I100" s="648">
        <f>I84+I68+I52+I36</f>
        <v>11771.543</v>
      </c>
      <c r="J100" s="648"/>
      <c r="K100" s="648">
        <f>K84+K68+K52+K36</f>
        <v>650.73700000000144</v>
      </c>
      <c r="L100" s="677">
        <f>H100+291</f>
        <v>12713.28</v>
      </c>
      <c r="M100" s="677">
        <f>I100-11160.063</f>
        <v>611.47999999999956</v>
      </c>
      <c r="N100" s="677">
        <f>K100+M100</f>
        <v>1262.217000000001</v>
      </c>
      <c r="O100" s="678"/>
      <c r="P100" s="678"/>
    </row>
    <row r="101" spans="1:16" x14ac:dyDescent="0.15">
      <c r="A101" s="660" t="s">
        <v>109</v>
      </c>
      <c r="B101" s="661"/>
      <c r="C101" s="661"/>
      <c r="D101" s="661"/>
      <c r="E101" s="661"/>
      <c r="F101" s="661"/>
      <c r="G101" s="663"/>
      <c r="H101" s="648">
        <f>H99-H97</f>
        <v>23073.681000000004</v>
      </c>
      <c r="I101" s="655"/>
      <c r="J101" s="655"/>
      <c r="K101" s="656"/>
      <c r="L101" s="646"/>
      <c r="M101" s="646"/>
      <c r="N101" s="646"/>
      <c r="O101" s="646"/>
      <c r="P101" s="646"/>
    </row>
    <row r="102" spans="1:16" x14ac:dyDescent="0.15">
      <c r="A102" s="657" t="str">
        <f>[9]Роспись!A97</f>
        <v>Заработная плата</v>
      </c>
      <c r="B102" s="654" t="str">
        <f>[9]Роспись!B97</f>
        <v>056</v>
      </c>
      <c r="C102" s="654" t="str">
        <f>[9]Роспись!C97</f>
        <v>07</v>
      </c>
      <c r="D102" s="654" t="str">
        <f>[9]Роспись!D97</f>
        <v>04</v>
      </c>
      <c r="E102" s="654" t="str">
        <f>[9]Роспись!E97</f>
        <v>4279902</v>
      </c>
      <c r="F102" s="654" t="str">
        <f>[9]Роспись!F97</f>
        <v>001</v>
      </c>
      <c r="G102" s="654">
        <f>[9]Роспись!G97</f>
        <v>211</v>
      </c>
      <c r="H102" s="648">
        <f>[9]Роспись!H97</f>
        <v>16155.8</v>
      </c>
      <c r="I102" s="656">
        <f>[9]Финансирование!I102+[9]Финансирование!J102+[9]Финансирование!K102+[9]Финансирование!L102+[9]Финансирование!M102+[9]Финансирование!N102+[9]Финансирование!O102+[9]Финансирование!P102</f>
        <v>7449.9699999999993</v>
      </c>
      <c r="J102" s="656">
        <f>[9]Финансирование!Q102+[9]Финансирование!T102+[9]Финансирование!U102+[9]Финансирование!V102+[9]Финансирование!W102+[9]Финансирование!X102+[9]Финансирование!Y102+[9]Финансирование!Z102</f>
        <v>8705.83</v>
      </c>
      <c r="K102" s="656">
        <f>H102-I102-J102</f>
        <v>0</v>
      </c>
      <c r="L102" s="635">
        <v>8705.83</v>
      </c>
      <c r="M102" s="658">
        <f>L101:L102-J102</f>
        <v>0</v>
      </c>
    </row>
    <row r="103" spans="1:16" x14ac:dyDescent="0.15">
      <c r="A103" s="657" t="str">
        <f>[9]Роспись!A98</f>
        <v>Прочие выплаты</v>
      </c>
      <c r="B103" s="654" t="str">
        <f>[9]Роспись!B98</f>
        <v>056</v>
      </c>
      <c r="C103" s="654" t="str">
        <f>[9]Роспись!C98</f>
        <v>07</v>
      </c>
      <c r="D103" s="654" t="str">
        <f>[9]Роспись!D98</f>
        <v>04</v>
      </c>
      <c r="E103" s="654" t="str">
        <f>[9]Роспись!E98</f>
        <v>4279902</v>
      </c>
      <c r="F103" s="654" t="str">
        <f>[9]Роспись!F98</f>
        <v>001</v>
      </c>
      <c r="G103" s="654">
        <f>[9]Роспись!G98</f>
        <v>212</v>
      </c>
      <c r="H103" s="648">
        <f>[9]Роспись!H98</f>
        <v>126.96</v>
      </c>
      <c r="I103" s="656">
        <f>[9]Финансирование!I103+[9]Финансирование!J103+[9]Финансирование!K103+[9]Финансирование!L103+[9]Финансирование!M103+[9]Финансирование!N103+[9]Финансирование!O103+[9]Финансирование!P103</f>
        <v>52.65</v>
      </c>
      <c r="J103" s="656">
        <f>[9]Финансирование!Q103+[9]Финансирование!T103+[9]Финансирование!U103+[9]Финансирование!V103+[9]Финансирование!W103+[9]Финансирование!X103+[9]Финансирование!Y103+[9]Финансирование!Z103</f>
        <v>44.6</v>
      </c>
      <c r="K103" s="656">
        <f t="shared" ref="K103:K114" si="8">H103-I103-J103</f>
        <v>29.71</v>
      </c>
      <c r="L103" s="635">
        <v>44</v>
      </c>
      <c r="M103" s="658">
        <f>L102:L103-J103+0.6</f>
        <v>-1.4432899320127035E-15</v>
      </c>
    </row>
    <row r="104" spans="1:16" x14ac:dyDescent="0.15">
      <c r="A104" s="657" t="str">
        <f>[9]Роспись!A99</f>
        <v>Начисления на оплату труда</v>
      </c>
      <c r="B104" s="654" t="str">
        <f>[9]Роспись!B99</f>
        <v>056</v>
      </c>
      <c r="C104" s="654" t="str">
        <f>[9]Роспись!C99</f>
        <v>07</v>
      </c>
      <c r="D104" s="654" t="str">
        <f>[9]Роспись!D99</f>
        <v>04</v>
      </c>
      <c r="E104" s="654" t="str">
        <f>[9]Роспись!E99</f>
        <v>4279902</v>
      </c>
      <c r="F104" s="654" t="str">
        <f>[9]Роспись!F99</f>
        <v>001</v>
      </c>
      <c r="G104" s="654">
        <f>[9]Роспись!G99</f>
        <v>213</v>
      </c>
      <c r="H104" s="648">
        <f>[9]Роспись!H99</f>
        <v>4879</v>
      </c>
      <c r="I104" s="656">
        <f>[9]Финансирование!I104+[9]Финансирование!J104+[9]Финансирование!K104+[9]Финансирование!L104+[9]Финансирование!M104+[9]Финансирование!N104+[9]Финансирование!O104+[9]Финансирование!P104</f>
        <v>2410.64</v>
      </c>
      <c r="J104" s="656">
        <f>[9]Финансирование!Q104+[9]Финансирование!T104+[9]Финансирование!U104+[9]Финансирование!V104+[9]Финансирование!W104+[9]Финансирование!X104+[9]Финансирование!Y104+[9]Финансирование!Z104</f>
        <v>2468.3599999999997</v>
      </c>
      <c r="K104" s="656">
        <f t="shared" si="8"/>
        <v>0</v>
      </c>
      <c r="L104" s="635">
        <v>2468.36</v>
      </c>
      <c r="M104" s="658">
        <f>L103:L104-J104</f>
        <v>0</v>
      </c>
    </row>
    <row r="105" spans="1:16" x14ac:dyDescent="0.15">
      <c r="A105" s="657" t="str">
        <f>[9]Роспись!A100</f>
        <v xml:space="preserve">Оплата услуг связи </v>
      </c>
      <c r="B105" s="654" t="str">
        <f>[9]Роспись!B100</f>
        <v>056</v>
      </c>
      <c r="C105" s="654" t="str">
        <f>[9]Роспись!C100</f>
        <v>07</v>
      </c>
      <c r="D105" s="654" t="str">
        <f>[9]Роспись!D100</f>
        <v>04</v>
      </c>
      <c r="E105" s="654" t="str">
        <f>[9]Роспись!E100</f>
        <v>4279902</v>
      </c>
      <c r="F105" s="654" t="str">
        <f>[9]Роспись!F100</f>
        <v>001</v>
      </c>
      <c r="G105" s="654">
        <f>[9]Роспись!G100</f>
        <v>221</v>
      </c>
      <c r="H105" s="648">
        <f>[9]Роспись!H100</f>
        <v>34</v>
      </c>
      <c r="I105" s="656">
        <f>[9]Финансирование!I105+[9]Финансирование!J105+[9]Финансирование!K105+[9]Финансирование!L105+[9]Финансирование!M105+[9]Финансирование!N105+[9]Финансирование!O105+[9]Финансирование!P105</f>
        <v>4.8</v>
      </c>
      <c r="J105" s="656">
        <f>[9]Финансирование!Q105+[9]Финансирование!T105+[9]Финансирование!U105+[9]Финансирование!V105+[9]Финансирование!W105+[9]Финансирование!X105+[9]Финансирование!Y105+[9]Финансирование!Z105</f>
        <v>29.2</v>
      </c>
      <c r="K105" s="656">
        <f t="shared" si="8"/>
        <v>0</v>
      </c>
      <c r="L105" s="635">
        <v>29.2</v>
      </c>
      <c r="M105" s="658">
        <f t="shared" ref="M105:M114" si="9">L105-J105</f>
        <v>0</v>
      </c>
      <c r="N105" s="658">
        <f>M105-K105</f>
        <v>0</v>
      </c>
    </row>
    <row r="106" spans="1:16" x14ac:dyDescent="0.15">
      <c r="A106" s="657" t="str">
        <f>[9]Роспись!A101</f>
        <v>Транспортные услуги</v>
      </c>
      <c r="B106" s="654" t="str">
        <f>[9]Роспись!B101</f>
        <v>056</v>
      </c>
      <c r="C106" s="654" t="str">
        <f>[9]Роспись!C101</f>
        <v>07</v>
      </c>
      <c r="D106" s="654" t="str">
        <f>[9]Роспись!D101</f>
        <v>04</v>
      </c>
      <c r="E106" s="654" t="str">
        <f>[9]Роспись!E101</f>
        <v>4279902</v>
      </c>
      <c r="F106" s="654" t="str">
        <f>[9]Роспись!F101</f>
        <v>001</v>
      </c>
      <c r="G106" s="654">
        <f>[9]Роспись!G101</f>
        <v>222</v>
      </c>
      <c r="H106" s="648">
        <f>[9]Роспись!H101</f>
        <v>161</v>
      </c>
      <c r="I106" s="656">
        <f>[9]Финансирование!I106+[9]Финансирование!J106+[9]Финансирование!K106+[9]Финансирование!L106+[9]Финансирование!M106+[9]Финансирование!N106+[9]Финансирование!O106+[9]Финансирование!P106</f>
        <v>37.5</v>
      </c>
      <c r="J106" s="656">
        <f>[9]Финансирование!Q106+[9]Финансирование!T106+[9]Финансирование!U106+[9]Финансирование!V106+[9]Финансирование!W106+[9]Финансирование!X106+[9]Финансирование!Y106+[9]Финансирование!Z106</f>
        <v>11</v>
      </c>
      <c r="K106" s="656">
        <f t="shared" si="8"/>
        <v>112.5</v>
      </c>
      <c r="L106" s="635">
        <v>0</v>
      </c>
      <c r="M106" s="658">
        <v>0</v>
      </c>
    </row>
    <row r="107" spans="1:16" x14ac:dyDescent="0.15">
      <c r="A107" s="657" t="str">
        <f>[9]Роспись!A102</f>
        <v>Коммунальные услуги</v>
      </c>
      <c r="B107" s="654" t="str">
        <f>[9]Роспись!B102</f>
        <v>056</v>
      </c>
      <c r="C107" s="654" t="str">
        <f>[9]Роспись!C102</f>
        <v>07</v>
      </c>
      <c r="D107" s="654" t="str">
        <f>[9]Роспись!D102</f>
        <v>04</v>
      </c>
      <c r="E107" s="654" t="str">
        <f>[9]Роспись!E102</f>
        <v>4279902</v>
      </c>
      <c r="F107" s="654" t="str">
        <f>[9]Роспись!F102</f>
        <v>001</v>
      </c>
      <c r="G107" s="654">
        <f>[9]Роспись!G102</f>
        <v>223</v>
      </c>
      <c r="H107" s="648">
        <f>[9]Роспись!H102</f>
        <v>468</v>
      </c>
      <c r="I107" s="656">
        <f>[9]Финансирование!I107+[9]Финансирование!J107+[9]Финансирование!K107+[9]Финансирование!L107+[9]Финансирование!M107+[9]Финансирование!N107+[9]Финансирование!O107+[9]Финансирование!P107</f>
        <v>176</v>
      </c>
      <c r="J107" s="656">
        <f>[9]Финансирование!Q107+[9]Финансирование!T107+[9]Финансирование!U107+[9]Финансирование!V107+[9]Финансирование!W107+[9]Финансирование!X107+[9]Финансирование!Y107+[9]Финансирование!Z107</f>
        <v>212.00400000000002</v>
      </c>
      <c r="K107" s="656">
        <f t="shared" si="8"/>
        <v>79.995999999999981</v>
      </c>
      <c r="L107" s="659">
        <v>212.00399999999999</v>
      </c>
      <c r="M107" s="658">
        <f t="shared" si="9"/>
        <v>0</v>
      </c>
    </row>
    <row r="108" spans="1:16" x14ac:dyDescent="0.15">
      <c r="A108" s="657" t="str">
        <f>[9]Роспись!A103</f>
        <v>Аренда помещения</v>
      </c>
      <c r="B108" s="654" t="str">
        <f>[9]Роспись!B103</f>
        <v>056</v>
      </c>
      <c r="C108" s="654" t="str">
        <f>[9]Роспись!C103</f>
        <v>07</v>
      </c>
      <c r="D108" s="654" t="str">
        <f>[9]Роспись!D103</f>
        <v>04</v>
      </c>
      <c r="E108" s="654" t="str">
        <f>[9]Роспись!E103</f>
        <v>4279902</v>
      </c>
      <c r="F108" s="654" t="str">
        <f>[9]Роспись!F103</f>
        <v>001</v>
      </c>
      <c r="G108" s="654">
        <f>[9]Роспись!G103</f>
        <v>224</v>
      </c>
      <c r="H108" s="648">
        <f>[9]Роспись!H103</f>
        <v>0</v>
      </c>
      <c r="I108" s="656">
        <f>[9]Финансирование!I108+[9]Финансирование!J108+[9]Финансирование!K108+[9]Финансирование!L108+[9]Финансирование!M108+[9]Финансирование!N108+[9]Финансирование!O108+[9]Финансирование!P108</f>
        <v>0</v>
      </c>
      <c r="J108" s="656">
        <f>[9]Финансирование!Q108+[9]Финансирование!T108+[9]Финансирование!U108+[9]Финансирование!V108+[9]Финансирование!W108+[9]Финансирование!X108+[9]Финансирование!Y108+[9]Финансирование!Z108</f>
        <v>0</v>
      </c>
      <c r="K108" s="656">
        <f t="shared" si="8"/>
        <v>0</v>
      </c>
      <c r="M108" s="658">
        <f t="shared" si="9"/>
        <v>0</v>
      </c>
    </row>
    <row r="109" spans="1:16" x14ac:dyDescent="0.15">
      <c r="A109" s="657" t="str">
        <f>[9]Роспись!A104</f>
        <v>Услуги по содерж. имущества</v>
      </c>
      <c r="B109" s="654" t="str">
        <f>[9]Роспись!B104</f>
        <v>056</v>
      </c>
      <c r="C109" s="654" t="str">
        <f>[9]Роспись!C104</f>
        <v>07</v>
      </c>
      <c r="D109" s="654" t="str">
        <f>[9]Роспись!D104</f>
        <v>04</v>
      </c>
      <c r="E109" s="654" t="str">
        <f>[9]Роспись!E104</f>
        <v>4279902</v>
      </c>
      <c r="F109" s="654" t="str">
        <f>[9]Роспись!F104</f>
        <v>001</v>
      </c>
      <c r="G109" s="654">
        <f>[9]Роспись!G104</f>
        <v>225</v>
      </c>
      <c r="H109" s="648">
        <f>[9]Роспись!H104</f>
        <v>1470</v>
      </c>
      <c r="I109" s="656">
        <f>[9]Финансирование!I109+[9]Финансирование!J109+[9]Финансирование!K109+[9]Финансирование!L109+[9]Финансирование!M109+[9]Финансирование!N109+[9]Финансирование!O109+[9]Финансирование!P109</f>
        <v>367.5</v>
      </c>
      <c r="J109" s="656">
        <f>[9]Финансирование!Q109+[9]Финансирование!T109+[9]Финансирование!U109+[9]Финансирование!V109+[9]Финансирование!W109+[9]Финансирование!X109+[9]Финансирование!Y109+[9]Финансирование!Z109</f>
        <v>1102.5</v>
      </c>
      <c r="K109" s="656">
        <f t="shared" si="8"/>
        <v>0</v>
      </c>
      <c r="L109" s="659">
        <v>1102.5</v>
      </c>
      <c r="M109" s="658">
        <f t="shared" si="9"/>
        <v>0</v>
      </c>
    </row>
    <row r="110" spans="1:16" x14ac:dyDescent="0.15">
      <c r="A110" s="657" t="str">
        <f>[9]Роспись!A105</f>
        <v>Прочие услуги</v>
      </c>
      <c r="B110" s="654" t="str">
        <f>[9]Роспись!B105</f>
        <v>056</v>
      </c>
      <c r="C110" s="654" t="str">
        <f>[9]Роспись!C105</f>
        <v>07</v>
      </c>
      <c r="D110" s="654" t="str">
        <f>[9]Роспись!D105</f>
        <v>04</v>
      </c>
      <c r="E110" s="654" t="str">
        <f>[9]Роспись!E105</f>
        <v>4279902</v>
      </c>
      <c r="F110" s="654" t="str">
        <f>[9]Роспись!F105</f>
        <v>001</v>
      </c>
      <c r="G110" s="654">
        <f>[9]Роспись!G105</f>
        <v>226</v>
      </c>
      <c r="H110" s="648">
        <f>[9]Роспись!H105</f>
        <v>300.83999999999997</v>
      </c>
      <c r="I110" s="656">
        <f>[9]Финансирование!I110+[9]Финансирование!J110+[9]Финансирование!K110+[9]Финансирование!L110+[9]Финансирование!M110+[9]Финансирование!N110+[9]Финансирование!O110+[9]Финансирование!P110</f>
        <v>211.91</v>
      </c>
      <c r="J110" s="656">
        <f>[9]Финансирование!Q110+[9]Финансирование!T110+[9]Финансирование!U110+[9]Финансирование!V110+[9]Финансирование!W110+[9]Финансирование!X110+[9]Финансирование!Y110+[9]Финансирование!Z110</f>
        <v>12.7</v>
      </c>
      <c r="K110" s="656">
        <f t="shared" si="8"/>
        <v>76.229999999999976</v>
      </c>
      <c r="L110" s="659">
        <v>1.5</v>
      </c>
      <c r="M110" s="658">
        <f>L110-J110+11.2</f>
        <v>0</v>
      </c>
    </row>
    <row r="111" spans="1:16" x14ac:dyDescent="0.15">
      <c r="A111" s="657" t="str">
        <f>[9]Роспись!A106</f>
        <v xml:space="preserve">Прочие расходы </v>
      </c>
      <c r="B111" s="654" t="str">
        <f>[9]Роспись!B106</f>
        <v>056</v>
      </c>
      <c r="C111" s="654" t="str">
        <f>[9]Роспись!C106</f>
        <v>07</v>
      </c>
      <c r="D111" s="654" t="str">
        <f>[9]Роспись!D106</f>
        <v>04</v>
      </c>
      <c r="E111" s="654" t="str">
        <f>[9]Роспись!E106</f>
        <v>4279902</v>
      </c>
      <c r="F111" s="654" t="str">
        <f>[9]Роспись!F106</f>
        <v>001</v>
      </c>
      <c r="G111" s="654">
        <f>[9]Роспись!G106</f>
        <v>290</v>
      </c>
      <c r="H111" s="648">
        <f>[9]Роспись!H106</f>
        <v>1881.51</v>
      </c>
      <c r="I111" s="656">
        <f>[9]Финансирование!I111+[9]Финансирование!J111+[9]Финансирование!K111+[9]Финансирование!L111+[9]Финансирование!M111+[9]Финансирование!N111+[9]Финансирование!O111+[9]Финансирование!P111</f>
        <v>771.78</v>
      </c>
      <c r="J111" s="656">
        <f>[9]Финансирование!Q111+[9]Финансирование!T111+[9]Финансирование!U111+[9]Финансирование!V111+[9]Финансирование!W111+[9]Финансирование!X111+[9]Финансирование!Y111+[9]Финансирование!Z111</f>
        <v>1109.73</v>
      </c>
      <c r="K111" s="656">
        <f t="shared" si="8"/>
        <v>0</v>
      </c>
      <c r="L111" s="658"/>
      <c r="M111" s="658"/>
    </row>
    <row r="112" spans="1:16" x14ac:dyDescent="0.15">
      <c r="A112" s="657" t="str">
        <f>[9]Роспись!A107</f>
        <v xml:space="preserve">Прочие расходы </v>
      </c>
      <c r="B112" s="654" t="str">
        <f>[9]Роспись!B107</f>
        <v>056</v>
      </c>
      <c r="C112" s="654" t="str">
        <f>[9]Роспись!C107</f>
        <v>07</v>
      </c>
      <c r="D112" s="654" t="str">
        <f>[9]Роспись!D107</f>
        <v>04</v>
      </c>
      <c r="E112" s="654" t="str">
        <f>[9]Роспись!E107</f>
        <v>4279502</v>
      </c>
      <c r="F112" s="654" t="str">
        <f>[9]Роспись!F107</f>
        <v>001</v>
      </c>
      <c r="G112" s="654" t="str">
        <f>[9]Роспись!G107</f>
        <v>290</v>
      </c>
      <c r="H112" s="648">
        <f>[9]Роспись!H107</f>
        <v>630.70000000000005</v>
      </c>
      <c r="I112" s="656">
        <f>[9]Финансирование!I112+[9]Финансирование!J112+[9]Финансирование!K112+[9]Финансирование!L112+[9]Финансирование!M112+[9]Финансирование!N112+[9]Финансирование!O112+[9]Финансирование!P112</f>
        <v>346.7</v>
      </c>
      <c r="J112" s="656">
        <f>[9]Финансирование!Q112+[9]Финансирование!T112+[9]Финансирование!U112+[9]Финансирование!V112+[9]Финансирование!W112+[9]Финансирование!X112+[9]Финансирование!Y112+[9]Финансирование!Z112</f>
        <v>284</v>
      </c>
      <c r="K112" s="656">
        <f t="shared" si="8"/>
        <v>0</v>
      </c>
      <c r="L112" s="658"/>
      <c r="M112" s="658"/>
    </row>
    <row r="113" spans="1:16" x14ac:dyDescent="0.15">
      <c r="A113" s="657" t="str">
        <f>[9]Роспись!A108</f>
        <v>Увелич. стоимости осн. средств</v>
      </c>
      <c r="B113" s="654" t="str">
        <f>[9]Роспись!B108</f>
        <v>056</v>
      </c>
      <c r="C113" s="654" t="str">
        <f>[9]Роспись!C108</f>
        <v>07</v>
      </c>
      <c r="D113" s="654" t="str">
        <f>[9]Роспись!D108</f>
        <v>04</v>
      </c>
      <c r="E113" s="654" t="str">
        <f>[9]Роспись!E108</f>
        <v>4279902</v>
      </c>
      <c r="F113" s="654" t="str">
        <f>[9]Роспись!F108</f>
        <v>001</v>
      </c>
      <c r="G113" s="654">
        <f>[9]Роспись!G108</f>
        <v>310</v>
      </c>
      <c r="H113" s="648">
        <f>[9]Роспись!H108</f>
        <v>150</v>
      </c>
      <c r="I113" s="656">
        <f>[9]Финансирование!I113+[9]Финансирование!J113+[9]Финансирование!K113+[9]Финансирование!L113+[9]Финансирование!M113+[9]Финансирование!N113+[9]Финансирование!O113+[9]Финансирование!P113</f>
        <v>0</v>
      </c>
      <c r="J113" s="656">
        <f>[9]Финансирование!Q113+[9]Финансирование!T113+[9]Финансирование!U113+[9]Финансирование!V113+[9]Финансирование!W113+[9]Финансирование!X113+[9]Финансирование!Y113+[9]Финансирование!Z113</f>
        <v>0</v>
      </c>
      <c r="K113" s="656">
        <f>H113-I113-J113</f>
        <v>150</v>
      </c>
      <c r="L113" s="659">
        <v>0</v>
      </c>
      <c r="M113" s="658">
        <f t="shared" si="9"/>
        <v>0</v>
      </c>
    </row>
    <row r="114" spans="1:16" x14ac:dyDescent="0.15">
      <c r="A114" s="657" t="str">
        <f>[9]Роспись!A109</f>
        <v>Увелич. стоимости матер. запасов</v>
      </c>
      <c r="B114" s="654" t="str">
        <f>[9]Роспись!B109</f>
        <v>056</v>
      </c>
      <c r="C114" s="654" t="str">
        <f>[9]Роспись!C109</f>
        <v>07</v>
      </c>
      <c r="D114" s="654" t="str">
        <f>[9]Роспись!D109</f>
        <v>04</v>
      </c>
      <c r="E114" s="654" t="str">
        <f>[9]Роспись!E109</f>
        <v>4279902</v>
      </c>
      <c r="F114" s="654" t="str">
        <f>[9]Роспись!F109</f>
        <v>001</v>
      </c>
      <c r="G114" s="654">
        <f>[9]Роспись!G109</f>
        <v>340</v>
      </c>
      <c r="H114" s="648">
        <f>[9]Роспись!H109</f>
        <v>99.89</v>
      </c>
      <c r="I114" s="656">
        <f>[9]Финансирование!I114+[9]Финансирование!J114+[9]Финансирование!K114+[9]Финансирование!L114+[9]Финансирование!M114+[9]Финансирование!N114+[9]Финансирование!O114+[9]Финансирование!P114</f>
        <v>33.270000000000003</v>
      </c>
      <c r="J114" s="656">
        <f>[9]Финансирование!Q114+[9]Финансирование!T114+[9]Финансирование!U114+[9]Финансирование!V114+[9]Финансирование!W114+[9]Финансирование!X114+[9]Финансирование!Y114+[9]Финансирование!Z114</f>
        <v>16.295999999999999</v>
      </c>
      <c r="K114" s="656">
        <f t="shared" si="8"/>
        <v>50.324000000000005</v>
      </c>
      <c r="L114" s="659">
        <v>16.295999999999999</v>
      </c>
      <c r="M114" s="658">
        <f t="shared" si="9"/>
        <v>0</v>
      </c>
    </row>
    <row r="115" spans="1:16" x14ac:dyDescent="0.15">
      <c r="A115" s="660" t="s">
        <v>98</v>
      </c>
      <c r="B115" s="661" t="s">
        <v>79</v>
      </c>
      <c r="C115" s="661" t="s">
        <v>100</v>
      </c>
      <c r="D115" s="661" t="s">
        <v>110</v>
      </c>
      <c r="E115" s="662" t="s">
        <v>938</v>
      </c>
      <c r="F115" s="662" t="s">
        <v>102</v>
      </c>
      <c r="G115" s="663"/>
      <c r="H115" s="643">
        <f>SUM(H102:H114)</f>
        <v>26357.699999999997</v>
      </c>
      <c r="I115" s="664">
        <f>SUM(I102:I114)</f>
        <v>11862.72</v>
      </c>
      <c r="J115" s="664">
        <f>SUM(J102:J114)</f>
        <v>13996.220000000003</v>
      </c>
      <c r="K115" s="665">
        <f>SUM(K102:K114)</f>
        <v>498.76</v>
      </c>
      <c r="L115" s="646"/>
      <c r="M115" s="652">
        <f>M103+M105+M114</f>
        <v>-1.4432899320127035E-15</v>
      </c>
      <c r="N115" s="646"/>
      <c r="O115" s="646"/>
      <c r="P115" s="646"/>
    </row>
    <row r="116" spans="1:16" ht="52" x14ac:dyDescent="0.15">
      <c r="A116" s="640" t="str">
        <f>'[9]Новая роспись'!A120</f>
        <v>Субсидия на финансовое обеспечение государственного задания на оказание государственных услуг (выполнение работ)</v>
      </c>
      <c r="B116" s="641"/>
      <c r="C116" s="641"/>
      <c r="D116" s="641"/>
      <c r="E116" s="666"/>
      <c r="F116" s="667">
        <f>'[9]Новая роспись'!F120</f>
        <v>611</v>
      </c>
      <c r="G116" s="667" t="str">
        <f>'[9]Новая роспись'!G120</f>
        <v>241</v>
      </c>
      <c r="H116" s="645">
        <f>'[9]Новая роспись'!H120</f>
        <v>14472.179999999997</v>
      </c>
      <c r="I116" s="648">
        <f>[9]Финансирование!I116+[9]Финансирование!J116+[9]Финансирование!K116+[9]Финансирование!L116+[9]Финансирование!M116+[9]Финансирование!N116+[9]Финансирование!O116+[9]Финансирование!P116+[9]Финансирование!Q116+[9]Финансирование!T116+[9]Финансирование!U116+[9]Финансирование!V116+[9]Финансирование!W116+[9]Финансирование!X116+[9]Финансирование!Y116+[9]Финансирование!Z116</f>
        <v>13973.420000000002</v>
      </c>
      <c r="J116" s="648"/>
      <c r="K116" s="648">
        <f>H116-I116</f>
        <v>498.75999999999476</v>
      </c>
      <c r="L116" s="646"/>
      <c r="M116" s="652">
        <f>M106+M107+M110</f>
        <v>0</v>
      </c>
      <c r="N116" s="652">
        <f>M116+M115</f>
        <v>-1.4432899320127035E-15</v>
      </c>
      <c r="O116" s="646"/>
      <c r="P116" s="646"/>
    </row>
    <row r="117" spans="1:16" x14ac:dyDescent="0.15">
      <c r="A117" s="640" t="str">
        <f>'[9]Новая роспись'!A121</f>
        <v>Субсидии на иные цели</v>
      </c>
      <c r="B117" s="641"/>
      <c r="C117" s="641"/>
      <c r="D117" s="641"/>
      <c r="E117" s="666"/>
      <c r="F117" s="667" t="str">
        <f>'[9]Новая роспись'!F121</f>
        <v>612</v>
      </c>
      <c r="G117" s="667" t="str">
        <f>'[9]Новая роспись'!G121</f>
        <v>241</v>
      </c>
      <c r="H117" s="645">
        <f>'[9]Новая роспись'!H121</f>
        <v>22.8</v>
      </c>
      <c r="I117" s="648">
        <f>[9]Финансирование!I117+[9]Финансирование!J117+[9]Финансирование!K117+[9]Финансирование!L117+[9]Финансирование!M117+[9]Финансирование!N117+[9]Финансирование!O117+[9]Финансирование!P117+[9]Финансирование!Q117+[9]Финансирование!T117+[9]Финансирование!U117+[9]Финансирование!V117+[9]Финансирование!W117+[9]Финансирование!X117+[9]Финансирование!Y117+[9]Финансирование!Z117</f>
        <v>22.8</v>
      </c>
      <c r="J117" s="648"/>
      <c r="K117" s="648">
        <f>H117-I117</f>
        <v>0</v>
      </c>
      <c r="L117" s="646"/>
      <c r="M117" s="646"/>
      <c r="N117" s="646"/>
      <c r="O117" s="646"/>
      <c r="P117" s="646"/>
    </row>
    <row r="118" spans="1:16" x14ac:dyDescent="0.15">
      <c r="A118" s="660" t="s">
        <v>112</v>
      </c>
      <c r="B118" s="668"/>
      <c r="C118" s="668"/>
      <c r="D118" s="668"/>
      <c r="E118" s="668"/>
      <c r="F118" s="668"/>
      <c r="G118" s="663"/>
      <c r="H118" s="648"/>
      <c r="I118" s="656">
        <f>[9]Финансирование!I118+[9]Финансирование!J118+[9]Финансирование!K118+[9]Финансирование!L118+[9]Финансирование!M118+[9]Финансирование!N118+[9]Финансирование!O118+[9]Финансирование!P118+[9]Финансирование!Q118+[9]Финансирование!T118+[9]Финансирование!U118+[9]Финансирование!V118+[9]Финансирование!W118+[9]Финансирование!X118+[9]Финансирование!Y118+[9]Финансирование!Z118</f>
        <v>0</v>
      </c>
      <c r="J118" s="656"/>
      <c r="K118" s="656"/>
      <c r="L118" s="646"/>
      <c r="M118" s="646"/>
      <c r="N118" s="646"/>
      <c r="O118" s="646"/>
      <c r="P118" s="646"/>
    </row>
    <row r="119" spans="1:16" x14ac:dyDescent="0.15">
      <c r="A119" s="657" t="str">
        <f>[9]Роспись!A112</f>
        <v>Заработная плата</v>
      </c>
      <c r="B119" s="654" t="str">
        <f>[9]Роспись!B112</f>
        <v>056</v>
      </c>
      <c r="C119" s="654" t="str">
        <f>[9]Роспись!C112</f>
        <v>07</v>
      </c>
      <c r="D119" s="654" t="str">
        <f>[9]Роспись!D112</f>
        <v>04</v>
      </c>
      <c r="E119" s="654" t="str">
        <f>[9]Роспись!E112</f>
        <v>4279902</v>
      </c>
      <c r="F119" s="654" t="str">
        <f>[9]Роспись!F112</f>
        <v>001</v>
      </c>
      <c r="G119" s="654">
        <f>[9]Роспись!G112</f>
        <v>211</v>
      </c>
      <c r="H119" s="648">
        <f>[9]Роспись!H112</f>
        <v>8970.4</v>
      </c>
      <c r="I119" s="656">
        <f>[9]Финансирование!I119+[9]Финансирование!J119+[9]Финансирование!K119+[9]Финансирование!L119+[9]Финансирование!M119+[9]Финансирование!N119+[9]Финансирование!O119+[9]Финансирование!P119</f>
        <v>4136.55</v>
      </c>
      <c r="J119" s="656">
        <f>[9]Финансирование!Q119+[9]Финансирование!T119+[9]Финансирование!U119+[9]Финансирование!V119+[9]Финансирование!W119+[9]Финансирование!X119+[9]Финансирование!Y119+[9]Финансирование!Z119</f>
        <v>4833.8499999999995</v>
      </c>
      <c r="K119" s="656">
        <f>H119-I119-J119</f>
        <v>0</v>
      </c>
      <c r="L119" s="635">
        <v>4833.8500000000004</v>
      </c>
      <c r="M119" s="658">
        <f>L119-J119</f>
        <v>0</v>
      </c>
    </row>
    <row r="120" spans="1:16" x14ac:dyDescent="0.15">
      <c r="A120" s="657" t="str">
        <f>[9]Роспись!A113</f>
        <v>Прочие выплаты</v>
      </c>
      <c r="B120" s="654" t="str">
        <f>[9]Роспись!B113</f>
        <v>056</v>
      </c>
      <c r="C120" s="654" t="str">
        <f>[9]Роспись!C113</f>
        <v>07</v>
      </c>
      <c r="D120" s="654" t="str">
        <f>[9]Роспись!D113</f>
        <v>04</v>
      </c>
      <c r="E120" s="654" t="str">
        <f>[9]Роспись!E113</f>
        <v>4279902</v>
      </c>
      <c r="F120" s="654" t="str">
        <f>[9]Роспись!F113</f>
        <v>001</v>
      </c>
      <c r="G120" s="654">
        <f>[9]Роспись!G113</f>
        <v>212</v>
      </c>
      <c r="H120" s="648">
        <f>[9]Роспись!H113</f>
        <v>45.6</v>
      </c>
      <c r="I120" s="656">
        <f>[9]Финансирование!I120+[9]Финансирование!J120+[9]Финансирование!K120+[9]Финансирование!L120+[9]Финансирование!M120+[9]Финансирование!N120+[9]Финансирование!O120+[9]Финансирование!P120</f>
        <v>19</v>
      </c>
      <c r="J120" s="656">
        <f>[9]Финансирование!Q120+[9]Финансирование!T120+[9]Финансирование!U120+[9]Финансирование!V120+[9]Финансирование!W120+[9]Финансирование!X120+[9]Финансирование!Y120+[9]Финансирование!Z120</f>
        <v>26.6</v>
      </c>
      <c r="K120" s="656">
        <f t="shared" ref="K120:K131" si="10">H120-I120-J120</f>
        <v>0</v>
      </c>
      <c r="L120" s="635">
        <v>26.6</v>
      </c>
      <c r="M120" s="658">
        <f t="shared" ref="M120:M131" si="11">L120-J120</f>
        <v>0</v>
      </c>
      <c r="O120" s="658">
        <f>M120+M122+M123+M124+M127+M130+M131</f>
        <v>0</v>
      </c>
    </row>
    <row r="121" spans="1:16" x14ac:dyDescent="0.15">
      <c r="A121" s="657" t="str">
        <f>[9]Роспись!A114</f>
        <v>Начисления на оплату труда</v>
      </c>
      <c r="B121" s="654" t="str">
        <f>[9]Роспись!B114</f>
        <v>056</v>
      </c>
      <c r="C121" s="654" t="str">
        <f>[9]Роспись!C114</f>
        <v>07</v>
      </c>
      <c r="D121" s="654" t="str">
        <f>[9]Роспись!D114</f>
        <v>04</v>
      </c>
      <c r="E121" s="654" t="str">
        <f>[9]Роспись!E114</f>
        <v>4279902</v>
      </c>
      <c r="F121" s="654" t="str">
        <f>[9]Роспись!F114</f>
        <v>001</v>
      </c>
      <c r="G121" s="654">
        <f>[9]Роспись!G114</f>
        <v>213</v>
      </c>
      <c r="H121" s="648">
        <f>[9]Роспись!H114</f>
        <v>2709</v>
      </c>
      <c r="I121" s="656">
        <f>[9]Финансирование!I121+[9]Финансирование!J121+[9]Финансирование!K121+[9]Финансирование!L121+[9]Финансирование!M121+[9]Финансирование!N121+[9]Финансирование!O121+[9]Финансирование!P121</f>
        <v>1338.34</v>
      </c>
      <c r="J121" s="656">
        <f>[9]Финансирование!Q121+[9]Финансирование!T121+[9]Финансирование!U121+[9]Финансирование!V121+[9]Финансирование!W121+[9]Финансирование!X121+[9]Финансирование!Y121+[9]Финансирование!Z121</f>
        <v>1370.66</v>
      </c>
      <c r="K121" s="656">
        <f t="shared" si="10"/>
        <v>0</v>
      </c>
      <c r="L121" s="635">
        <v>1352.231</v>
      </c>
      <c r="M121" s="658">
        <v>0</v>
      </c>
      <c r="O121" s="658">
        <f>M121+M128</f>
        <v>0</v>
      </c>
    </row>
    <row r="122" spans="1:16" x14ac:dyDescent="0.15">
      <c r="A122" s="657" t="str">
        <f>[9]Роспись!A115</f>
        <v xml:space="preserve">Оплата услуг связи </v>
      </c>
      <c r="B122" s="654" t="str">
        <f>[9]Роспись!B115</f>
        <v>056</v>
      </c>
      <c r="C122" s="654" t="str">
        <f>[9]Роспись!C115</f>
        <v>07</v>
      </c>
      <c r="D122" s="654" t="str">
        <f>[9]Роспись!D115</f>
        <v>04</v>
      </c>
      <c r="E122" s="654" t="str">
        <f>[9]Роспись!E115</f>
        <v>4279902</v>
      </c>
      <c r="F122" s="654" t="str">
        <f>[9]Роспись!F115</f>
        <v>001</v>
      </c>
      <c r="G122" s="654">
        <f>[9]Роспись!G115</f>
        <v>221</v>
      </c>
      <c r="H122" s="648">
        <f>[9]Роспись!H115</f>
        <v>18</v>
      </c>
      <c r="I122" s="656">
        <f>[9]Финансирование!I122+[9]Финансирование!J122+[9]Финансирование!K122+[9]Финансирование!L122+[9]Финансирование!M122+[9]Финансирование!N122+[9]Финансирование!O122+[9]Финансирование!P122</f>
        <v>4.5</v>
      </c>
      <c r="J122" s="656">
        <f>[9]Финансирование!Q122+[9]Финансирование!T122+[9]Финансирование!U122+[9]Финансирование!V122+[9]Финансирование!W122+[9]Финансирование!X122+[9]Финансирование!Y122+[9]Финансирование!Z122</f>
        <v>13.5</v>
      </c>
      <c r="K122" s="656">
        <f t="shared" si="10"/>
        <v>0</v>
      </c>
      <c r="L122" s="659">
        <v>13.5</v>
      </c>
      <c r="M122" s="658">
        <f t="shared" si="11"/>
        <v>0</v>
      </c>
      <c r="O122" s="658">
        <f>O121+O120</f>
        <v>0</v>
      </c>
    </row>
    <row r="123" spans="1:16" x14ac:dyDescent="0.15">
      <c r="A123" s="657" t="str">
        <f>[9]Роспись!A116</f>
        <v>Транспортные услуги</v>
      </c>
      <c r="B123" s="654" t="str">
        <f>[9]Роспись!B116</f>
        <v>056</v>
      </c>
      <c r="C123" s="654" t="str">
        <f>[9]Роспись!C116</f>
        <v>07</v>
      </c>
      <c r="D123" s="654" t="str">
        <f>[9]Роспись!D116</f>
        <v>04</v>
      </c>
      <c r="E123" s="654" t="str">
        <f>[9]Роспись!E116</f>
        <v>4279902</v>
      </c>
      <c r="F123" s="654" t="str">
        <f>[9]Роспись!F116</f>
        <v>001</v>
      </c>
      <c r="G123" s="654">
        <f>[9]Роспись!G116</f>
        <v>222</v>
      </c>
      <c r="H123" s="648">
        <f>[9]Роспись!H116</f>
        <v>29.71</v>
      </c>
      <c r="I123" s="656">
        <f>[9]Финансирование!I123+[9]Финансирование!J123+[9]Финансирование!K123+[9]Финансирование!L123+[9]Финансирование!M123+[9]Финансирование!N123+[9]Финансирование!O123+[9]Финансирование!P123</f>
        <v>5</v>
      </c>
      <c r="J123" s="656">
        <f>[9]Финансирование!Q123+[9]Финансирование!T123+[9]Финансирование!U123+[9]Финансирование!V123+[9]Финансирование!W123+[9]Финансирование!X123+[9]Финансирование!Y123+[9]Финансирование!Z123</f>
        <v>24.71</v>
      </c>
      <c r="K123" s="656">
        <f t="shared" si="10"/>
        <v>0</v>
      </c>
      <c r="L123" s="659">
        <v>15</v>
      </c>
      <c r="M123" s="658">
        <f>L123-J123+9.71</f>
        <v>0</v>
      </c>
    </row>
    <row r="124" spans="1:16" ht="15" thickBot="1" x14ac:dyDescent="0.2">
      <c r="A124" s="657" t="str">
        <f>[9]Роспись!A117</f>
        <v>Коммунальные услуги</v>
      </c>
      <c r="B124" s="654" t="str">
        <f>[9]Роспись!B117</f>
        <v>056</v>
      </c>
      <c r="C124" s="654" t="str">
        <f>[9]Роспись!C117</f>
        <v>07</v>
      </c>
      <c r="D124" s="654" t="str">
        <f>[9]Роспись!D117</f>
        <v>04</v>
      </c>
      <c r="E124" s="654" t="str">
        <f>[9]Роспись!E117</f>
        <v>4279902</v>
      </c>
      <c r="F124" s="654" t="str">
        <f>[9]Роспись!F117</f>
        <v>001</v>
      </c>
      <c r="G124" s="654">
        <f>[9]Роспись!G117</f>
        <v>223</v>
      </c>
      <c r="H124" s="648">
        <f>[9]Роспись!H117</f>
        <v>414</v>
      </c>
      <c r="I124" s="656">
        <f>[9]Финансирование!I124+[9]Финансирование!J124+[9]Финансирование!K124+[9]Финансирование!L124+[9]Финансирование!M124+[9]Финансирование!N124+[9]Финансирование!O124+[9]Финансирование!P124</f>
        <v>183.42999999999998</v>
      </c>
      <c r="J124" s="656">
        <f>[9]Финансирование!Q124+[9]Финансирование!T124+[9]Финансирование!U124+[9]Финансирование!V124+[9]Финансирование!W124+[9]Финансирование!X124+[9]Финансирование!Y124+[9]Финансирование!Z124</f>
        <v>230.57</v>
      </c>
      <c r="K124" s="656">
        <f t="shared" si="10"/>
        <v>0</v>
      </c>
      <c r="L124" s="659">
        <v>230.571</v>
      </c>
      <c r="M124" s="658"/>
    </row>
    <row r="125" spans="1:16" ht="15" thickBot="1" x14ac:dyDescent="0.2">
      <c r="A125" s="657" t="str">
        <f>[9]Роспись!A118</f>
        <v>Аренда помещения</v>
      </c>
      <c r="B125" s="654" t="str">
        <f>[9]Роспись!B118</f>
        <v>056</v>
      </c>
      <c r="C125" s="654" t="str">
        <f>[9]Роспись!C118</f>
        <v>07</v>
      </c>
      <c r="D125" s="654" t="str">
        <f>[9]Роспись!D118</f>
        <v>04</v>
      </c>
      <c r="E125" s="654" t="str">
        <f>[9]Роспись!E118</f>
        <v>4279902</v>
      </c>
      <c r="F125" s="654" t="str">
        <f>[9]Роспись!F118</f>
        <v>001</v>
      </c>
      <c r="G125" s="654">
        <f>[9]Роспись!G118</f>
        <v>224</v>
      </c>
      <c r="H125" s="648">
        <f>[9]Роспись!H118</f>
        <v>0</v>
      </c>
      <c r="I125" s="656">
        <f>[9]Финансирование!I125+[9]Финансирование!J125+[9]Финансирование!K125+[9]Финансирование!L125+[9]Финансирование!M125+[9]Финансирование!N125+[9]Финансирование!O125+[9]Финансирование!P125</f>
        <v>0</v>
      </c>
      <c r="J125" s="656">
        <f>[9]Финансирование!Q125+[9]Финансирование!T125+[9]Финансирование!U125+[9]Финансирование!V125+[9]Финансирование!W125+[9]Финансирование!X125+[9]Финансирование!Y125+[9]Финансирование!Z125</f>
        <v>0</v>
      </c>
      <c r="K125" s="656">
        <f t="shared" si="10"/>
        <v>0</v>
      </c>
      <c r="L125" s="659">
        <v>0</v>
      </c>
      <c r="M125" s="658">
        <f t="shared" si="11"/>
        <v>0</v>
      </c>
      <c r="P125" s="679">
        <v>222</v>
      </c>
    </row>
    <row r="126" spans="1:16" ht="15" thickBot="1" x14ac:dyDescent="0.2">
      <c r="A126" s="657" t="str">
        <f>[9]Роспись!A119</f>
        <v>Услуги по содерж. имущества</v>
      </c>
      <c r="B126" s="654" t="str">
        <f>[9]Роспись!B119</f>
        <v>056</v>
      </c>
      <c r="C126" s="654" t="str">
        <f>[9]Роспись!C119</f>
        <v>07</v>
      </c>
      <c r="D126" s="654" t="str">
        <f>[9]Роспись!D119</f>
        <v>04</v>
      </c>
      <c r="E126" s="654" t="str">
        <f>[9]Роспись!E119</f>
        <v>4279902</v>
      </c>
      <c r="F126" s="654" t="str">
        <f>[9]Роспись!F119</f>
        <v>001</v>
      </c>
      <c r="G126" s="654">
        <f>[9]Роспись!G119</f>
        <v>225</v>
      </c>
      <c r="H126" s="648">
        <f>[9]Роспись!H119</f>
        <v>900</v>
      </c>
      <c r="I126" s="656">
        <f>[9]Финансирование!I126+[9]Финансирование!J126+[9]Финансирование!K126+[9]Финансирование!L126+[9]Финансирование!M126+[9]Финансирование!N126+[9]Финансирование!O126+[9]Финансирование!P126</f>
        <v>225</v>
      </c>
      <c r="J126" s="656">
        <f>[9]Финансирование!Q126+[9]Финансирование!T126+[9]Финансирование!U126+[9]Финансирование!V126+[9]Финансирование!W126+[9]Финансирование!X126+[9]Финансирование!Y126+[9]Финансирование!Z126</f>
        <v>675</v>
      </c>
      <c r="K126" s="656">
        <f t="shared" si="10"/>
        <v>0</v>
      </c>
      <c r="L126" s="659">
        <v>675</v>
      </c>
      <c r="M126" s="658">
        <f t="shared" si="11"/>
        <v>0</v>
      </c>
      <c r="P126" s="680">
        <v>226</v>
      </c>
    </row>
    <row r="127" spans="1:16" x14ac:dyDescent="0.15">
      <c r="A127" s="657" t="str">
        <f>[9]Роспись!A120</f>
        <v>Прочие услуги</v>
      </c>
      <c r="B127" s="654" t="str">
        <f>[9]Роспись!B120</f>
        <v>056</v>
      </c>
      <c r="C127" s="654" t="str">
        <f>[9]Роспись!C120</f>
        <v>07</v>
      </c>
      <c r="D127" s="654" t="str">
        <f>[9]Роспись!D120</f>
        <v>04</v>
      </c>
      <c r="E127" s="654" t="str">
        <f>[9]Роспись!E120</f>
        <v>4279902</v>
      </c>
      <c r="F127" s="654" t="str">
        <f>[9]Роспись!F120</f>
        <v>001</v>
      </c>
      <c r="G127" s="654">
        <f>[9]Роспись!G120</f>
        <v>226</v>
      </c>
      <c r="H127" s="648">
        <f>[9]Роспись!H120</f>
        <v>168.64</v>
      </c>
      <c r="I127" s="656">
        <f>[9]Финансирование!I127+[9]Финансирование!J127+[9]Финансирование!K127+[9]Финансирование!L127+[9]Финансирование!M127+[9]Финансирование!N127+[9]Финансирование!O127+[9]Финансирование!P127</f>
        <v>151</v>
      </c>
      <c r="J127" s="656">
        <f>[9]Финансирование!Q127+[9]Финансирование!T127+[9]Финансирование!U127+[9]Финансирование!V127+[9]Финансирование!W127+[9]Финансирование!X127+[9]Финансирование!Y127+[9]Финансирование!Z127</f>
        <v>17.64</v>
      </c>
      <c r="K127" s="656">
        <f t="shared" si="10"/>
        <v>0</v>
      </c>
      <c r="L127" s="659">
        <v>13.64</v>
      </c>
      <c r="M127" s="658">
        <f>L127-J127+4</f>
        <v>0</v>
      </c>
    </row>
    <row r="128" spans="1:16" x14ac:dyDescent="0.15">
      <c r="A128" s="657" t="str">
        <f>[9]Роспись!A121</f>
        <v xml:space="preserve">Прочие расходы </v>
      </c>
      <c r="B128" s="654" t="str">
        <f>[9]Роспись!B121</f>
        <v>056</v>
      </c>
      <c r="C128" s="654" t="str">
        <f>[9]Роспись!C121</f>
        <v>07</v>
      </c>
      <c r="D128" s="654" t="str">
        <f>[9]Роспись!D121</f>
        <v>04</v>
      </c>
      <c r="E128" s="654" t="str">
        <f>[9]Роспись!E121</f>
        <v>4279902</v>
      </c>
      <c r="F128" s="654" t="str">
        <f>[9]Роспись!F121</f>
        <v>001</v>
      </c>
      <c r="G128" s="654">
        <f>[9]Роспись!G121</f>
        <v>290</v>
      </c>
      <c r="H128" s="648">
        <f>[9]Роспись!H121</f>
        <v>1996.1</v>
      </c>
      <c r="I128" s="656">
        <f>[9]Финансирование!I128+[9]Финансирование!J128+[9]Финансирование!K128+[9]Финансирование!L128+[9]Финансирование!M128+[9]Финансирование!N128+[9]Финансирование!O128+[9]Финансирование!P128</f>
        <v>822.4</v>
      </c>
      <c r="J128" s="656">
        <f>[9]Финансирование!Q128+[9]Финансирование!T128+[9]Финансирование!U128+[9]Финансирование!V128+[9]Финансирование!W128+[9]Финансирование!X128+[9]Финансирование!Y128+[9]Финансирование!Z128</f>
        <v>916.65</v>
      </c>
      <c r="K128" s="656">
        <f t="shared" si="10"/>
        <v>257.04999999999984</v>
      </c>
      <c r="L128" s="659">
        <v>850.13199999999995</v>
      </c>
      <c r="M128" s="658">
        <f>L128-J128+66.518</f>
        <v>0</v>
      </c>
    </row>
    <row r="129" spans="1:16" x14ac:dyDescent="0.15">
      <c r="A129" s="657" t="str">
        <f>[9]Роспись!A122</f>
        <v xml:space="preserve">Прочие расходы </v>
      </c>
      <c r="B129" s="654" t="str">
        <f>[9]Роспись!B122</f>
        <v>056</v>
      </c>
      <c r="C129" s="654" t="str">
        <f>[9]Роспись!C122</f>
        <v>07</v>
      </c>
      <c r="D129" s="654" t="str">
        <f>[9]Роспись!D122</f>
        <v>04</v>
      </c>
      <c r="E129" s="654" t="str">
        <f>[9]Роспись!E122</f>
        <v>4279502</v>
      </c>
      <c r="F129" s="654" t="str">
        <f>[9]Роспись!F122</f>
        <v>001</v>
      </c>
      <c r="G129" s="654" t="str">
        <f>[9]Роспись!G122</f>
        <v>290</v>
      </c>
      <c r="H129" s="648">
        <f>[9]Роспись!H122</f>
        <v>6.8</v>
      </c>
      <c r="I129" s="656">
        <f>[9]Финансирование!I129+[9]Финансирование!J129+[9]Финансирование!K129+[9]Финансирование!L129+[9]Финансирование!M129+[9]Финансирование!N129+[9]Финансирование!O129+[9]Финансирование!P129</f>
        <v>6.8000000000000007</v>
      </c>
      <c r="J129" s="656">
        <f>[9]Финансирование!Q129+[9]Финансирование!T129+[9]Финансирование!U129+[9]Финансирование!V129+[9]Финансирование!W129+[9]Финансирование!X129+[9]Финансирование!Y129+[9]Финансирование!Z129</f>
        <v>0</v>
      </c>
      <c r="K129" s="656">
        <f t="shared" si="10"/>
        <v>-8.8817841970012523E-16</v>
      </c>
      <c r="M129" s="658">
        <f t="shared" si="11"/>
        <v>0</v>
      </c>
    </row>
    <row r="130" spans="1:16" x14ac:dyDescent="0.15">
      <c r="A130" s="657" t="str">
        <f>[9]Роспись!A123</f>
        <v>Увелич. стоимости осн. средств</v>
      </c>
      <c r="B130" s="654" t="str">
        <f>[9]Роспись!B123</f>
        <v>056</v>
      </c>
      <c r="C130" s="654" t="str">
        <f>[9]Роспись!C123</f>
        <v>07</v>
      </c>
      <c r="D130" s="654" t="str">
        <f>[9]Роспись!D123</f>
        <v>04</v>
      </c>
      <c r="E130" s="654" t="str">
        <f>[9]Роспись!E123</f>
        <v>4279902</v>
      </c>
      <c r="F130" s="654" t="str">
        <f>[9]Роспись!F123</f>
        <v>001</v>
      </c>
      <c r="G130" s="654">
        <f>[9]Роспись!G123</f>
        <v>310</v>
      </c>
      <c r="H130" s="648">
        <f>[9]Роспись!H123</f>
        <v>150</v>
      </c>
      <c r="I130" s="656">
        <f>[9]Финансирование!I130+[9]Финансирование!J130+[9]Финансирование!K130+[9]Финансирование!L130+[9]Финансирование!M130+[9]Финансирование!N130+[9]Финансирование!O130+[9]Финансирование!P130</f>
        <v>0</v>
      </c>
      <c r="J130" s="656">
        <f>[9]Финансирование!Q130+[9]Финансирование!T130+[9]Финансирование!U130+[9]Финансирование!V130+[9]Финансирование!W130+[9]Финансирование!X130+[9]Финансирование!Y130+[9]Финансирование!Z130</f>
        <v>150</v>
      </c>
      <c r="K130" s="656">
        <f t="shared" si="10"/>
        <v>0</v>
      </c>
      <c r="L130" s="659">
        <v>150</v>
      </c>
      <c r="M130" s="658">
        <f t="shared" si="11"/>
        <v>0</v>
      </c>
    </row>
    <row r="131" spans="1:16" x14ac:dyDescent="0.15">
      <c r="A131" s="657" t="str">
        <f>[9]Роспись!A124</f>
        <v>Увелич. стоимости матер. запасов</v>
      </c>
      <c r="B131" s="654" t="str">
        <f>[9]Роспись!B124</f>
        <v>056</v>
      </c>
      <c r="C131" s="654" t="str">
        <f>[9]Роспись!C124</f>
        <v>07</v>
      </c>
      <c r="D131" s="654" t="str">
        <f>[9]Роспись!D124</f>
        <v>04</v>
      </c>
      <c r="E131" s="654" t="str">
        <f>[9]Роспись!E124</f>
        <v>4279902</v>
      </c>
      <c r="F131" s="654" t="str">
        <f>[9]Роспись!F124</f>
        <v>001</v>
      </c>
      <c r="G131" s="654">
        <f>[9]Роспись!G124</f>
        <v>340</v>
      </c>
      <c r="H131" s="648">
        <f>[9]Роспись!H124</f>
        <v>65.36</v>
      </c>
      <c r="I131" s="656">
        <f>[9]Финансирование!I131+[9]Финансирование!J131+[9]Финансирование!K131+[9]Финансирование!L131+[9]Финансирование!M131+[9]Финансирование!N131+[9]Финансирование!O131+[9]Финансирование!P131</f>
        <v>21.85</v>
      </c>
      <c r="J131" s="656">
        <f>[9]Финансирование!Q131+[9]Финансирование!T131+[9]Финансирование!U131+[9]Финансирование!V131+[9]Финансирование!W131+[9]Финансирование!X131+[9]Финансирование!Y131+[9]Финансирование!Z131</f>
        <v>43.51</v>
      </c>
      <c r="K131" s="656">
        <f t="shared" si="10"/>
        <v>0</v>
      </c>
      <c r="L131" s="659">
        <v>43.51</v>
      </c>
      <c r="M131" s="658">
        <f t="shared" si="11"/>
        <v>0</v>
      </c>
    </row>
    <row r="132" spans="1:16" x14ac:dyDescent="0.15">
      <c r="A132" s="660" t="s">
        <v>98</v>
      </c>
      <c r="B132" s="661" t="s">
        <v>79</v>
      </c>
      <c r="C132" s="661" t="s">
        <v>100</v>
      </c>
      <c r="D132" s="661" t="s">
        <v>110</v>
      </c>
      <c r="E132" s="662" t="s">
        <v>938</v>
      </c>
      <c r="F132" s="662" t="s">
        <v>102</v>
      </c>
      <c r="G132" s="663"/>
      <c r="H132" s="643">
        <f>SUM(H119:H131)</f>
        <v>15473.609999999999</v>
      </c>
      <c r="I132" s="664">
        <f>SUM(I119:I131)</f>
        <v>6913.8700000000008</v>
      </c>
      <c r="J132" s="664">
        <f>SUM(J119:J131)</f>
        <v>8302.69</v>
      </c>
      <c r="K132" s="664">
        <f>SUM(K119:K131)</f>
        <v>257.04999999999984</v>
      </c>
      <c r="L132" s="681">
        <f>SUM(L119:L131)</f>
        <v>8204.0339999999997</v>
      </c>
      <c r="M132" s="646"/>
      <c r="N132" s="646"/>
      <c r="O132" s="646"/>
      <c r="P132" s="646"/>
    </row>
    <row r="133" spans="1:16" ht="52" x14ac:dyDescent="0.15">
      <c r="A133" s="640" t="str">
        <f>'[9]Новая роспись'!A138</f>
        <v>Субсидия на финансовое обеспечение государственного задания на оказание государственных услуг (выполнение работ)</v>
      </c>
      <c r="B133" s="641"/>
      <c r="C133" s="641"/>
      <c r="D133" s="641"/>
      <c r="E133" s="666"/>
      <c r="F133" s="640">
        <f>'[9]Новая роспись'!F138</f>
        <v>611</v>
      </c>
      <c r="G133" s="640" t="str">
        <f>'[9]Новая роспись'!G138</f>
        <v>241</v>
      </c>
      <c r="H133" s="645">
        <f>'[9]Новая роспись'!H138</f>
        <v>8546.0299999999988</v>
      </c>
      <c r="I133" s="648">
        <f>[9]Финансирование!I133+[9]Финансирование!J133+[9]Финансирование!K133+[9]Финансирование!L133+[9]Финансирование!M133+[9]Финансирование!N133+[9]Финансирование!O133+[9]Финансирование!P133+[9]Финансирование!Q133+[9]Финансирование!T133+[9]Финансирование!U133+[9]Финансирование!V133+[9]Финансирование!W133+[9]Финансирование!X133+[9]Финансирование!Y133+[9]Финансирование!Z133</f>
        <v>8288.98</v>
      </c>
      <c r="J133" s="648"/>
      <c r="K133" s="648">
        <f>H133-I133</f>
        <v>257.04999999999927</v>
      </c>
      <c r="L133" s="646"/>
      <c r="M133" s="646"/>
      <c r="N133" s="646"/>
      <c r="O133" s="646"/>
      <c r="P133" s="646"/>
    </row>
    <row r="134" spans="1:16" x14ac:dyDescent="0.15">
      <c r="A134" s="645" t="str">
        <f>'[9]Новая роспись'!A139</f>
        <v>Субсидии на иные цели</v>
      </c>
      <c r="B134" s="645" t="str">
        <f>'[9]Новая роспись'!B139</f>
        <v>056</v>
      </c>
      <c r="C134" s="645" t="str">
        <f>'[9]Новая роспись'!C139</f>
        <v>07</v>
      </c>
      <c r="D134" s="645" t="str">
        <f>'[9]Новая роспись'!D139</f>
        <v>04</v>
      </c>
      <c r="E134" s="645" t="str">
        <f>'[9]Новая роспись'!E139</f>
        <v>4279902</v>
      </c>
      <c r="F134" s="645" t="str">
        <f>'[9]Новая роспись'!F139</f>
        <v>612</v>
      </c>
      <c r="G134" s="645" t="str">
        <f>'[9]Новая роспись'!G139</f>
        <v>241</v>
      </c>
      <c r="H134" s="645">
        <f>'[9]Новая роспись'!H139</f>
        <v>13.71</v>
      </c>
      <c r="I134" s="648">
        <f>[9]Финансирование!I134+[9]Финансирование!J134+[9]Финансирование!K134+[9]Финансирование!L134+[9]Финансирование!M134+[9]Финансирование!N134+[9]Финансирование!O134+[9]Финансирование!P134+[9]Финансирование!Q134+[9]Финансирование!T134+[9]Финансирование!U134+[9]Финансирование!V134+[9]Финансирование!W134+[9]Финансирование!X134+[9]Финансирование!Y134+[9]Финансирование!Z134</f>
        <v>13.71</v>
      </c>
      <c r="J134" s="648"/>
      <c r="K134" s="648">
        <f>H134-I134</f>
        <v>0</v>
      </c>
      <c r="L134" s="646"/>
      <c r="M134" s="646"/>
      <c r="N134" s="646"/>
      <c r="O134" s="646"/>
      <c r="P134" s="646"/>
    </row>
    <row r="135" spans="1:16" x14ac:dyDescent="0.15">
      <c r="A135" s="682" t="s">
        <v>113</v>
      </c>
      <c r="B135" s="683"/>
      <c r="C135" s="683"/>
      <c r="D135" s="683"/>
      <c r="E135" s="683"/>
      <c r="F135" s="683"/>
      <c r="G135" s="684"/>
      <c r="H135" s="648"/>
      <c r="I135" s="685">
        <f>[9]Финансирование!I135+[9]Финансирование!J135+[9]Финансирование!K135+[9]Финансирование!L135+[9]Финансирование!M135+[9]Финансирование!N135+[9]Финансирование!O135+[9]Финансирование!P135+[9]Финансирование!Q135+[9]Финансирование!T135+[9]Финансирование!U135+[9]Финансирование!V135+[9]Финансирование!W135+[9]Финансирование!X135+[9]Финансирование!Y135+[9]Финансирование!Z135</f>
        <v>0</v>
      </c>
      <c r="J135" s="685"/>
      <c r="K135" s="685"/>
      <c r="L135" s="646"/>
      <c r="M135" s="646"/>
      <c r="N135" s="646"/>
      <c r="O135" s="646"/>
      <c r="P135" s="646"/>
    </row>
    <row r="136" spans="1:16" x14ac:dyDescent="0.15">
      <c r="A136" s="686" t="str">
        <f>[9]Роспись!A127</f>
        <v>Заработная плата</v>
      </c>
      <c r="B136" s="687" t="str">
        <f>[9]Роспись!B127</f>
        <v>056</v>
      </c>
      <c r="C136" s="687" t="str">
        <f>[9]Роспись!C127</f>
        <v>07</v>
      </c>
      <c r="D136" s="687" t="str">
        <f>[9]Роспись!D127</f>
        <v>04</v>
      </c>
      <c r="E136" s="687" t="str">
        <f>[9]Роспись!E127</f>
        <v>4279902</v>
      </c>
      <c r="F136" s="687" t="str">
        <f>[9]Роспись!F127</f>
        <v>001</v>
      </c>
      <c r="G136" s="687">
        <f>[9]Роспись!G127</f>
        <v>211</v>
      </c>
      <c r="H136" s="648">
        <f>[9]Роспись!H127</f>
        <v>12136.300000000001</v>
      </c>
      <c r="I136" s="685">
        <f>[9]Финансирование!I136+[9]Финансирование!J136+[9]Финансирование!K136+[9]Финансирование!L136+[9]Финансирование!M136+[9]Финансирование!N136+[9]Финансирование!O136+[9]Финансирование!P136</f>
        <v>5578.83</v>
      </c>
      <c r="J136" s="685">
        <f>[9]Финансирование!Q136+[9]Финансирование!T136+[9]Финансирование!U136+[9]Финансирование!V136+[9]Финансирование!W136+[9]Финансирование!X136+[9]Финансирование!Y136+[9]Финансирование!Z136</f>
        <v>6557.470000000003</v>
      </c>
      <c r="K136" s="685">
        <f>H136-I136-J136</f>
        <v>0</v>
      </c>
    </row>
    <row r="137" spans="1:16" x14ac:dyDescent="0.15">
      <c r="A137" s="686" t="str">
        <f>[9]Роспись!A128</f>
        <v>Прочие выплаты</v>
      </c>
      <c r="B137" s="687" t="str">
        <f>[9]Роспись!B128</f>
        <v>056</v>
      </c>
      <c r="C137" s="687" t="str">
        <f>[9]Роспись!C128</f>
        <v>07</v>
      </c>
      <c r="D137" s="687" t="str">
        <f>[9]Роспись!D128</f>
        <v>04</v>
      </c>
      <c r="E137" s="687" t="str">
        <f>[9]Роспись!E128</f>
        <v>4279902</v>
      </c>
      <c r="F137" s="687" t="str">
        <f>[9]Роспись!F128</f>
        <v>001</v>
      </c>
      <c r="G137" s="687">
        <f>[9]Роспись!G128</f>
        <v>212</v>
      </c>
      <c r="H137" s="648">
        <f>[9]Роспись!H128</f>
        <v>66</v>
      </c>
      <c r="I137" s="685">
        <f>[9]Финансирование!I137+[9]Финансирование!J137+[9]Финансирование!K137+[9]Финансирование!L137+[9]Финансирование!M137+[9]Финансирование!N137+[9]Финансирование!O137+[9]Финансирование!P137</f>
        <v>27.5</v>
      </c>
      <c r="J137" s="685">
        <f>[9]Финансирование!Q137+[9]Финансирование!T137+[9]Финансирование!U137+[9]Финансирование!V137+[9]Финансирование!W137+[9]Финансирование!X137+[9]Финансирование!Y137+[9]Финансирование!Z137</f>
        <v>0</v>
      </c>
      <c r="K137" s="685">
        <f t="shared" ref="K137:K148" si="12">H137-I137-J137</f>
        <v>38.5</v>
      </c>
    </row>
    <row r="138" spans="1:16" x14ac:dyDescent="0.15">
      <c r="A138" s="686" t="str">
        <f>[9]Роспись!A129</f>
        <v>Начисления на оплату труда</v>
      </c>
      <c r="B138" s="687" t="str">
        <f>[9]Роспись!B129</f>
        <v>056</v>
      </c>
      <c r="C138" s="687" t="str">
        <f>[9]Роспись!C129</f>
        <v>07</v>
      </c>
      <c r="D138" s="687" t="str">
        <f>[9]Роспись!D129</f>
        <v>04</v>
      </c>
      <c r="E138" s="687" t="str">
        <f>[9]Роспись!E129</f>
        <v>4279902</v>
      </c>
      <c r="F138" s="687" t="str">
        <f>[9]Роспись!F129</f>
        <v>001</v>
      </c>
      <c r="G138" s="687">
        <f>[9]Роспись!G129</f>
        <v>213</v>
      </c>
      <c r="H138" s="648">
        <f>[9]Роспись!H129</f>
        <v>3653.6</v>
      </c>
      <c r="I138" s="685">
        <f>[9]Финансирование!I138+[9]Финансирование!J138+[9]Финансирование!K138+[9]Финансирование!L138+[9]Финансирование!M138+[9]Финансирование!N138+[9]Финансирование!O138+[9]Финансирование!P138</f>
        <v>1805.23</v>
      </c>
      <c r="J138" s="685">
        <f>[9]Финансирование!Q138+[9]Финансирование!T138+[9]Финансирование!U138+[9]Финансирование!V138+[9]Финансирование!W138+[9]Финансирование!X138+[9]Финансирование!Y138+[9]Финансирование!Z138</f>
        <v>1848.3700000000001</v>
      </c>
      <c r="K138" s="685">
        <f t="shared" si="12"/>
        <v>0</v>
      </c>
    </row>
    <row r="139" spans="1:16" x14ac:dyDescent="0.15">
      <c r="A139" s="686" t="str">
        <f>[9]Роспись!A130</f>
        <v xml:space="preserve">Оплата услуг связи </v>
      </c>
      <c r="B139" s="687" t="str">
        <f>[9]Роспись!B130</f>
        <v>056</v>
      </c>
      <c r="C139" s="687" t="str">
        <f>[9]Роспись!C130</f>
        <v>07</v>
      </c>
      <c r="D139" s="687" t="str">
        <f>[9]Роспись!D130</f>
        <v>04</v>
      </c>
      <c r="E139" s="687" t="str">
        <f>[9]Роспись!E130</f>
        <v>4279902</v>
      </c>
      <c r="F139" s="687" t="str">
        <f>[9]Роспись!F130</f>
        <v>001</v>
      </c>
      <c r="G139" s="687">
        <f>[9]Роспись!G130</f>
        <v>221</v>
      </c>
      <c r="H139" s="648">
        <f>[9]Роспись!H130</f>
        <v>15</v>
      </c>
      <c r="I139" s="685">
        <f>[9]Финансирование!I139+[9]Финансирование!J139+[9]Финансирование!K139+[9]Финансирование!L139+[9]Финансирование!M139+[9]Финансирование!N139+[9]Финансирование!O139+[9]Финансирование!P139</f>
        <v>3.8</v>
      </c>
      <c r="J139" s="685">
        <f>[9]Финансирование!Q139+[9]Финансирование!T139+[9]Финансирование!U139+[9]Финансирование!V139+[9]Финансирование!W139+[9]Финансирование!X139+[9]Финансирование!Y139+[9]Финансирование!Z139</f>
        <v>11.2</v>
      </c>
      <c r="K139" s="685">
        <f t="shared" si="12"/>
        <v>0</v>
      </c>
    </row>
    <row r="140" spans="1:16" x14ac:dyDescent="0.15">
      <c r="A140" s="686" t="str">
        <f>[9]Роспись!A131</f>
        <v>Транспортные услуги</v>
      </c>
      <c r="B140" s="687" t="str">
        <f>[9]Роспись!B131</f>
        <v>056</v>
      </c>
      <c r="C140" s="687" t="str">
        <f>[9]Роспись!C131</f>
        <v>07</v>
      </c>
      <c r="D140" s="687" t="str">
        <f>[9]Роспись!D131</f>
        <v>04</v>
      </c>
      <c r="E140" s="687" t="str">
        <f>[9]Роспись!E131</f>
        <v>4279902</v>
      </c>
      <c r="F140" s="687" t="str">
        <f>[9]Роспись!F131</f>
        <v>001</v>
      </c>
      <c r="G140" s="687">
        <f>[9]Роспись!G131</f>
        <v>222</v>
      </c>
      <c r="H140" s="648">
        <f>[9]Роспись!H131</f>
        <v>0</v>
      </c>
      <c r="I140" s="685">
        <f>[9]Финансирование!I140+[9]Финансирование!J140+[9]Финансирование!K140+[9]Финансирование!L140+[9]Финансирование!M140+[9]Финансирование!N140+[9]Финансирование!O140+[9]Финансирование!P140</f>
        <v>0</v>
      </c>
      <c r="J140" s="685">
        <f>[9]Финансирование!Q140+[9]Финансирование!T140+[9]Финансирование!U140+[9]Финансирование!V140+[9]Финансирование!W140+[9]Финансирование!X140+[9]Финансирование!Y140+[9]Финансирование!Z140</f>
        <v>0</v>
      </c>
      <c r="K140" s="685">
        <f t="shared" si="12"/>
        <v>0</v>
      </c>
    </row>
    <row r="141" spans="1:16" x14ac:dyDescent="0.15">
      <c r="A141" s="686" t="str">
        <f>[9]Роспись!A132</f>
        <v>Коммунальные услуги</v>
      </c>
      <c r="B141" s="687" t="str">
        <f>[9]Роспись!B132</f>
        <v>056</v>
      </c>
      <c r="C141" s="687" t="str">
        <f>[9]Роспись!C132</f>
        <v>07</v>
      </c>
      <c r="D141" s="687" t="str">
        <f>[9]Роспись!D132</f>
        <v>04</v>
      </c>
      <c r="E141" s="687" t="str">
        <f>[9]Роспись!E132</f>
        <v>4279902</v>
      </c>
      <c r="F141" s="687" t="str">
        <f>[9]Роспись!F132</f>
        <v>001</v>
      </c>
      <c r="G141" s="687">
        <f>[9]Роспись!G132</f>
        <v>223</v>
      </c>
      <c r="H141" s="648">
        <f>[9]Роспись!H132</f>
        <v>287</v>
      </c>
      <c r="I141" s="685">
        <f>[9]Финансирование!I141+[9]Финансирование!J141+[9]Финансирование!K141+[9]Финансирование!L141+[9]Финансирование!M141+[9]Финансирование!N141+[9]Финансирование!O141+[9]Финансирование!P141</f>
        <v>144.30000000000001</v>
      </c>
      <c r="J141" s="685">
        <f>[9]Финансирование!Q141+[9]Финансирование!T141+[9]Финансирование!U141+[9]Финансирование!V141+[9]Финансирование!W141+[9]Финансирование!X141+[9]Финансирование!Y141+[9]Финансирование!Z141</f>
        <v>142.69999999999996</v>
      </c>
      <c r="K141" s="685">
        <f t="shared" si="12"/>
        <v>0</v>
      </c>
    </row>
    <row r="142" spans="1:16" x14ac:dyDescent="0.15">
      <c r="A142" s="686" t="str">
        <f>[9]Роспись!A133</f>
        <v>Аренда помещения</v>
      </c>
      <c r="B142" s="687" t="str">
        <f>[9]Роспись!B133</f>
        <v>056</v>
      </c>
      <c r="C142" s="687" t="str">
        <f>[9]Роспись!C133</f>
        <v>07</v>
      </c>
      <c r="D142" s="687" t="str">
        <f>[9]Роспись!D133</f>
        <v>04</v>
      </c>
      <c r="E142" s="687" t="str">
        <f>[9]Роспись!E133</f>
        <v>4279902</v>
      </c>
      <c r="F142" s="687" t="str">
        <f>[9]Роспись!F133</f>
        <v>001</v>
      </c>
      <c r="G142" s="687">
        <f>[9]Роспись!G133</f>
        <v>224</v>
      </c>
      <c r="H142" s="648">
        <f>[9]Роспись!H133</f>
        <v>0</v>
      </c>
      <c r="I142" s="685">
        <f>[9]Финансирование!I142+[9]Финансирование!J142+[9]Финансирование!K142+[9]Финансирование!L142+[9]Финансирование!M142+[9]Финансирование!N142+[9]Финансирование!O142+[9]Финансирование!P142</f>
        <v>0</v>
      </c>
      <c r="J142" s="685">
        <f>[9]Финансирование!Q142+[9]Финансирование!T142+[9]Финансирование!U142+[9]Финансирование!V142+[9]Финансирование!W142+[9]Финансирование!X142+[9]Финансирование!Y142+[9]Финансирование!Z142</f>
        <v>0</v>
      </c>
      <c r="K142" s="685">
        <f t="shared" si="12"/>
        <v>0</v>
      </c>
    </row>
    <row r="143" spans="1:16" x14ac:dyDescent="0.15">
      <c r="A143" s="686" t="str">
        <f>[9]Роспись!A134</f>
        <v>Услуги по содерж. имущества</v>
      </c>
      <c r="B143" s="687" t="str">
        <f>[9]Роспись!B134</f>
        <v>056</v>
      </c>
      <c r="C143" s="687" t="str">
        <f>[9]Роспись!C134</f>
        <v>07</v>
      </c>
      <c r="D143" s="687" t="str">
        <f>[9]Роспись!D134</f>
        <v>04</v>
      </c>
      <c r="E143" s="687" t="str">
        <f>[9]Роспись!E134</f>
        <v>4279902</v>
      </c>
      <c r="F143" s="687" t="str">
        <f>[9]Роспись!F134</f>
        <v>001</v>
      </c>
      <c r="G143" s="687">
        <f>[9]Роспись!G134</f>
        <v>225</v>
      </c>
      <c r="H143" s="648">
        <f>[9]Роспись!H134</f>
        <v>75</v>
      </c>
      <c r="I143" s="685">
        <f>[9]Финансирование!I143+[9]Финансирование!J143+[9]Финансирование!K143+[9]Финансирование!L143+[9]Финансирование!M143+[9]Финансирование!N143+[9]Финансирование!O143+[9]Финансирование!P143</f>
        <v>0</v>
      </c>
      <c r="J143" s="685">
        <f>[9]Финансирование!Q143+[9]Финансирование!T143+[9]Финансирование!U143+[9]Финансирование!V143+[9]Финансирование!W143+[9]Финансирование!X143+[9]Финансирование!Y143+[9]Финансирование!Z143</f>
        <v>58.462000000000003</v>
      </c>
      <c r="K143" s="685">
        <f t="shared" si="12"/>
        <v>16.537999999999997</v>
      </c>
    </row>
    <row r="144" spans="1:16" x14ac:dyDescent="0.15">
      <c r="A144" s="686" t="str">
        <f>[9]Роспись!A135</f>
        <v>Прочие услуги</v>
      </c>
      <c r="B144" s="687" t="str">
        <f>[9]Роспись!B135</f>
        <v>056</v>
      </c>
      <c r="C144" s="687" t="str">
        <f>[9]Роспись!C135</f>
        <v>07</v>
      </c>
      <c r="D144" s="687" t="str">
        <f>[9]Роспись!D135</f>
        <v>04</v>
      </c>
      <c r="E144" s="687" t="str">
        <f>[9]Роспись!E135</f>
        <v>4279902</v>
      </c>
      <c r="F144" s="687" t="str">
        <f>[9]Роспись!F135</f>
        <v>001</v>
      </c>
      <c r="G144" s="687">
        <f>[9]Роспись!G135</f>
        <v>226</v>
      </c>
      <c r="H144" s="648">
        <f>[9]Роспись!H135</f>
        <v>657</v>
      </c>
      <c r="I144" s="685">
        <f>[9]Финансирование!I144+[9]Финансирование!J144+[9]Финансирование!K144+[9]Финансирование!L144+[9]Финансирование!M144+[9]Финансирование!N144+[9]Финансирование!O144+[9]Финансирование!P144</f>
        <v>297.39</v>
      </c>
      <c r="J144" s="685">
        <f>[9]Финансирование!Q144+[9]Финансирование!T144+[9]Финансирование!U144+[9]Финансирование!V144+[9]Финансирование!W144+[9]Финансирование!X144+[9]Финансирование!Y144+[9]Финансирование!Z144</f>
        <v>149.58600000000001</v>
      </c>
      <c r="K144" s="685">
        <f>H144-I144-J144</f>
        <v>210.024</v>
      </c>
    </row>
    <row r="145" spans="1:16" x14ac:dyDescent="0.15">
      <c r="A145" s="686" t="str">
        <f>[9]Роспись!A136</f>
        <v xml:space="preserve">Прочие расходы </v>
      </c>
      <c r="B145" s="687" t="str">
        <f>[9]Роспись!B136</f>
        <v>056</v>
      </c>
      <c r="C145" s="687" t="str">
        <f>[9]Роспись!C136</f>
        <v>07</v>
      </c>
      <c r="D145" s="687" t="str">
        <f>[9]Роспись!D136</f>
        <v>04</v>
      </c>
      <c r="E145" s="687" t="str">
        <f>[9]Роспись!E136</f>
        <v>4279902</v>
      </c>
      <c r="F145" s="687" t="str">
        <f>[9]Роспись!F136</f>
        <v>001</v>
      </c>
      <c r="G145" s="687">
        <f>[9]Роспись!G136</f>
        <v>290</v>
      </c>
      <c r="H145" s="648">
        <f>[9]Роспись!H136</f>
        <v>928.4</v>
      </c>
      <c r="I145" s="685">
        <f>[9]Финансирование!I145+[9]Финансирование!J145+[9]Финансирование!K145+[9]Финансирование!L145+[9]Финансирование!M145+[9]Финансирование!N145+[9]Финансирование!O145+[9]Финансирование!P145</f>
        <v>375.65000000000003</v>
      </c>
      <c r="J145" s="685">
        <f>[9]Финансирование!Q145+[9]Финансирование!T145+[9]Финансирование!U145+[9]Финансирование!V145+[9]Финансирование!W145+[9]Финансирование!X145+[9]Финансирование!Y145+[9]Финансирование!Z145</f>
        <v>522.06500000000005</v>
      </c>
      <c r="K145" s="685">
        <f t="shared" si="12"/>
        <v>30.684999999999945</v>
      </c>
    </row>
    <row r="146" spans="1:16" x14ac:dyDescent="0.15">
      <c r="A146" s="686" t="str">
        <f>[9]Роспись!A137</f>
        <v xml:space="preserve">Прочие расходы </v>
      </c>
      <c r="B146" s="687" t="str">
        <f>[9]Роспись!B137</f>
        <v>056</v>
      </c>
      <c r="C146" s="687" t="str">
        <f>[9]Роспись!C137</f>
        <v>07</v>
      </c>
      <c r="D146" s="687" t="str">
        <f>[9]Роспись!D137</f>
        <v>04</v>
      </c>
      <c r="E146" s="687" t="str">
        <f>[9]Роспись!E137</f>
        <v>4279502</v>
      </c>
      <c r="F146" s="687" t="str">
        <f>[9]Роспись!F137</f>
        <v>001</v>
      </c>
      <c r="G146" s="687" t="str">
        <f>[9]Роспись!G137</f>
        <v>290</v>
      </c>
      <c r="H146" s="648">
        <f>[9]Роспись!H137</f>
        <v>172.10000000000002</v>
      </c>
      <c r="I146" s="685">
        <f>[9]Финансирование!I146+[9]Финансирование!J146+[9]Финансирование!K146+[9]Финансирование!L146+[9]Финансирование!M146+[9]Финансирование!N146+[9]Финансирование!O146+[9]Финансирование!P146</f>
        <v>118.9</v>
      </c>
      <c r="J146" s="685">
        <f>[9]Финансирование!Q146+[9]Финансирование!T146+[9]Финансирование!U146+[9]Финансирование!V146+[9]Финансирование!W146+[9]Финансирование!X146+[9]Финансирование!Y146+[9]Финансирование!Z146</f>
        <v>53.200000000000017</v>
      </c>
      <c r="K146" s="685">
        <f t="shared" si="12"/>
        <v>0</v>
      </c>
    </row>
    <row r="147" spans="1:16" x14ac:dyDescent="0.15">
      <c r="A147" s="686" t="str">
        <f>[9]Роспись!A138</f>
        <v>Увелич. стоимости осн. средств</v>
      </c>
      <c r="B147" s="687" t="str">
        <f>[9]Роспись!B138</f>
        <v>056</v>
      </c>
      <c r="C147" s="687" t="str">
        <f>[9]Роспись!C138</f>
        <v>07</v>
      </c>
      <c r="D147" s="687" t="str">
        <f>[9]Роспись!D138</f>
        <v>04</v>
      </c>
      <c r="E147" s="687" t="str">
        <f>[9]Роспись!E138</f>
        <v>4279902</v>
      </c>
      <c r="F147" s="687" t="str">
        <f>[9]Роспись!F138</f>
        <v>001</v>
      </c>
      <c r="G147" s="687">
        <f>[9]Роспись!G138</f>
        <v>310</v>
      </c>
      <c r="H147" s="648">
        <f>[9]Роспись!H138</f>
        <v>120</v>
      </c>
      <c r="I147" s="685">
        <f>[9]Финансирование!I147+[9]Финансирование!J147+[9]Финансирование!K147+[9]Финансирование!L147+[9]Финансирование!M147+[9]Финансирование!N147+[9]Финансирование!O147+[9]Финансирование!P147</f>
        <v>0</v>
      </c>
      <c r="J147" s="685">
        <f>[9]Финансирование!Q147+[9]Финансирование!T147+[9]Финансирование!U147+[9]Финансирование!V147+[9]Финансирование!W147+[9]Финансирование!X147+[9]Финансирование!Y147+[9]Финансирование!Z147</f>
        <v>0</v>
      </c>
      <c r="K147" s="685">
        <f t="shared" si="12"/>
        <v>120</v>
      </c>
    </row>
    <row r="148" spans="1:16" x14ac:dyDescent="0.15">
      <c r="A148" s="686" t="str">
        <f>[9]Роспись!A139</f>
        <v>Увелич. стоимости матер. запасов</v>
      </c>
      <c r="B148" s="687" t="str">
        <f>[9]Роспись!B139</f>
        <v>056</v>
      </c>
      <c r="C148" s="687" t="str">
        <f>[9]Роспись!C139</f>
        <v>07</v>
      </c>
      <c r="D148" s="687" t="str">
        <f>[9]Роспись!D139</f>
        <v>04</v>
      </c>
      <c r="E148" s="687" t="str">
        <f>[9]Роспись!E139</f>
        <v>4279902</v>
      </c>
      <c r="F148" s="687" t="str">
        <f>[9]Роспись!F139</f>
        <v>001</v>
      </c>
      <c r="G148" s="687">
        <f>[9]Роспись!G139</f>
        <v>340</v>
      </c>
      <c r="H148" s="648">
        <f>[9]Роспись!H139</f>
        <v>90</v>
      </c>
      <c r="I148" s="685">
        <f>[9]Финансирование!I148+[9]Финансирование!J148+[9]Финансирование!K148+[9]Финансирование!L148+[9]Финансирование!M148+[9]Финансирование!N148+[9]Финансирование!O148+[9]Финансирование!P148</f>
        <v>23.3</v>
      </c>
      <c r="J148" s="685">
        <f>[9]Финансирование!Q148+[9]Финансирование!T148+[9]Финансирование!U148+[9]Финансирование!V148+[9]Финансирование!W148+[9]Финансирование!X148+[9]Финансирование!Y148+[9]Финансирование!Z148</f>
        <v>61.016999999999996</v>
      </c>
      <c r="K148" s="685">
        <f t="shared" si="12"/>
        <v>5.6830000000000069</v>
      </c>
    </row>
    <row r="149" spans="1:16" x14ac:dyDescent="0.15">
      <c r="A149" s="682" t="s">
        <v>98</v>
      </c>
      <c r="B149" s="688" t="s">
        <v>79</v>
      </c>
      <c r="C149" s="688" t="s">
        <v>100</v>
      </c>
      <c r="D149" s="688" t="s">
        <v>110</v>
      </c>
      <c r="E149" s="689" t="s">
        <v>938</v>
      </c>
      <c r="F149" s="689" t="s">
        <v>102</v>
      </c>
      <c r="G149" s="684"/>
      <c r="H149" s="643">
        <f>SUM(H136:H148)</f>
        <v>18200.400000000001</v>
      </c>
      <c r="I149" s="676">
        <f>SUM(I136:I148)</f>
        <v>8374.9</v>
      </c>
      <c r="J149" s="676">
        <f>SUM(J136:J148)</f>
        <v>9404.0700000000052</v>
      </c>
      <c r="K149" s="651">
        <f>SUM(K136:K148)</f>
        <v>421.42999999999995</v>
      </c>
      <c r="L149" s="652">
        <f>H149-I149-H151</f>
        <v>9825.5000000000018</v>
      </c>
      <c r="M149" s="646"/>
      <c r="N149" s="646"/>
      <c r="O149" s="646"/>
      <c r="P149" s="646"/>
    </row>
    <row r="150" spans="1:16" ht="52" x14ac:dyDescent="0.15">
      <c r="A150" s="640" t="str">
        <f>'[9]Новая роспись'!A156</f>
        <v>Субсидия на финансовое обеспечение государственного задания на оказание государственных услуг (выполнение работ)</v>
      </c>
      <c r="B150" s="641"/>
      <c r="C150" s="641"/>
      <c r="D150" s="641"/>
      <c r="E150" s="666"/>
      <c r="F150" s="640">
        <f>'[9]Новая роспись'!F156</f>
        <v>611</v>
      </c>
      <c r="G150" s="640" t="str">
        <f>'[9]Новая роспись'!G156</f>
        <v>241</v>
      </c>
      <c r="H150" s="645">
        <f>'[9]Новая роспись'!H156</f>
        <v>9825.5000000000018</v>
      </c>
      <c r="I150" s="648">
        <f>[9]Финансирование!I150+[9]Финансирование!J150+[9]Финансирование!K150+[9]Финансирование!L150+[9]Финансирование!M150+[9]Финансирование!N150+[9]Финансирование!O150+[9]Финансирование!P150+[9]Финансирование!Q150+[9]Финансирование!T150+[9]Финансирование!U150+[9]Финансирование!V150+[9]Финансирование!W150+[9]Финансирование!X150+[9]Финансирование!Y150+[9]Финансирование!Z150</f>
        <v>9404.0700000000033</v>
      </c>
      <c r="J150" s="648"/>
      <c r="K150" s="648">
        <f>H150-I150</f>
        <v>421.42999999999847</v>
      </c>
      <c r="L150" s="646"/>
      <c r="M150" s="646"/>
      <c r="N150" s="646"/>
      <c r="O150" s="646"/>
      <c r="P150" s="646"/>
    </row>
    <row r="151" spans="1:16" x14ac:dyDescent="0.15">
      <c r="A151" s="660" t="s">
        <v>114</v>
      </c>
      <c r="B151" s="668"/>
      <c r="C151" s="668"/>
      <c r="D151" s="668"/>
      <c r="E151" s="668"/>
      <c r="F151" s="668"/>
      <c r="G151" s="663"/>
      <c r="H151" s="648"/>
      <c r="I151" s="656">
        <f>[9]Финансирование!I151+[9]Финансирование!J151+[9]Финансирование!K151+[9]Финансирование!L151+[9]Финансирование!M151+[9]Финансирование!N151+[9]Финансирование!O151+[9]Финансирование!P151+[9]Финансирование!Q151+[9]Финансирование!T151+[9]Финансирование!U151+[9]Финансирование!V151+[9]Финансирование!W151+[9]Финансирование!X151+[9]Финансирование!Y151+[9]Финансирование!Z151</f>
        <v>0</v>
      </c>
      <c r="J151" s="656"/>
      <c r="K151" s="656"/>
      <c r="L151" s="646"/>
      <c r="M151" s="646"/>
      <c r="N151" s="646"/>
      <c r="O151" s="646"/>
      <c r="P151" s="646"/>
    </row>
    <row r="152" spans="1:16" x14ac:dyDescent="0.15">
      <c r="A152" s="657" t="str">
        <f>[9]Роспись!A142</f>
        <v>Заработная плата</v>
      </c>
      <c r="B152" s="654" t="str">
        <f>[9]Роспись!B142</f>
        <v>056</v>
      </c>
      <c r="C152" s="654" t="str">
        <f>[9]Роспись!C142</f>
        <v>07</v>
      </c>
      <c r="D152" s="654" t="str">
        <f>[9]Роспись!D142</f>
        <v>04</v>
      </c>
      <c r="E152" s="654" t="str">
        <f>[9]Роспись!E142</f>
        <v>4279902</v>
      </c>
      <c r="F152" s="654" t="str">
        <f>[9]Роспись!F142</f>
        <v>001</v>
      </c>
      <c r="G152" s="654">
        <f>[9]Роспись!G142</f>
        <v>211</v>
      </c>
      <c r="H152" s="648">
        <f>[9]Роспись!H142</f>
        <v>7258.9</v>
      </c>
      <c r="I152" s="656">
        <f>[9]Финансирование!I152+[9]Финансирование!J152+[9]Финансирование!K152+[9]Финансирование!L152+[9]Финансирование!M152+[9]Финансирование!N152+[9]Финансирование!O152+[9]Финансирование!P152</f>
        <v>3347.3199999999997</v>
      </c>
      <c r="J152" s="656">
        <f>[9]Финансирование!Q152+[9]Финансирование!T152+[9]Финансирование!U152+[9]Финансирование!V152+[9]Финансирование!W152+[9]Финансирование!X152+[9]Финансирование!Y152+[9]Финансирование!Z152</f>
        <v>3911.5799999999995</v>
      </c>
      <c r="K152" s="656">
        <f>H152-I152-J152</f>
        <v>0</v>
      </c>
      <c r="L152" s="635">
        <v>3259.4279999999999</v>
      </c>
      <c r="M152" s="658">
        <f>L152-J152</f>
        <v>-652.15199999999959</v>
      </c>
    </row>
    <row r="153" spans="1:16" x14ac:dyDescent="0.15">
      <c r="A153" s="657" t="str">
        <f>[9]Роспись!A143</f>
        <v>Прочие выплаты</v>
      </c>
      <c r="B153" s="654" t="str">
        <f>[9]Роспись!B143</f>
        <v>056</v>
      </c>
      <c r="C153" s="654" t="str">
        <f>[9]Роспись!C143</f>
        <v>07</v>
      </c>
      <c r="D153" s="654" t="str">
        <f>[9]Роспись!D143</f>
        <v>04</v>
      </c>
      <c r="E153" s="654" t="str">
        <f>[9]Роспись!E143</f>
        <v>4279902</v>
      </c>
      <c r="F153" s="654" t="str">
        <f>[9]Роспись!F143</f>
        <v>001</v>
      </c>
      <c r="G153" s="654">
        <f>[9]Роспись!G143</f>
        <v>212</v>
      </c>
      <c r="H153" s="648">
        <f>[9]Роспись!H143</f>
        <v>59.400000000000006</v>
      </c>
      <c r="I153" s="656">
        <f>[9]Финансирование!I153+[9]Финансирование!J153+[9]Финансирование!K153+[9]Финансирование!L153+[9]Финансирование!M153+[9]Финансирование!N153+[9]Финансирование!O153+[9]Финансирование!P153</f>
        <v>31</v>
      </c>
      <c r="J153" s="656">
        <f>[9]Финансирование!Q153+[9]Финансирование!T153+[9]Финансирование!U153+[9]Финансирование!V153+[9]Финансирование!W153+[9]Финансирование!X153+[9]Финансирование!Y153+[9]Финансирование!Z153</f>
        <v>0</v>
      </c>
      <c r="K153" s="656">
        <f t="shared" ref="K153:K164" si="13">H153-I153-J153</f>
        <v>28.400000000000006</v>
      </c>
      <c r="M153" s="658">
        <f t="shared" ref="M153:M164" si="14">L153-J153</f>
        <v>0</v>
      </c>
    </row>
    <row r="154" spans="1:16" x14ac:dyDescent="0.15">
      <c r="A154" s="657" t="str">
        <f>[9]Роспись!A144</f>
        <v>Начисления на оплату труда</v>
      </c>
      <c r="B154" s="654" t="str">
        <f>[9]Роспись!B144</f>
        <v>056</v>
      </c>
      <c r="C154" s="654" t="str">
        <f>[9]Роспись!C144</f>
        <v>07</v>
      </c>
      <c r="D154" s="654" t="str">
        <f>[9]Роспись!D144</f>
        <v>04</v>
      </c>
      <c r="E154" s="654" t="str">
        <f>[9]Роспись!E144</f>
        <v>4279902</v>
      </c>
      <c r="F154" s="654" t="str">
        <f>[9]Роспись!F144</f>
        <v>001</v>
      </c>
      <c r="G154" s="654">
        <f>[9]Роспись!G144</f>
        <v>213</v>
      </c>
      <c r="H154" s="648">
        <f>[9]Роспись!H144</f>
        <v>2192.1999999999998</v>
      </c>
      <c r="I154" s="656">
        <f>[9]Финансирование!I154+[9]Финансирование!J154+[9]Финансирование!K154+[9]Финансирование!L154+[9]Финансирование!M154+[9]Финансирование!N154+[9]Финансирование!O154+[9]Финансирование!P154</f>
        <v>1083.04</v>
      </c>
      <c r="J154" s="656">
        <f>[9]Финансирование!Q154+[9]Финансирование!T154+[9]Финансирование!U154+[9]Финансирование!V154+[9]Финансирование!W154+[9]Финансирование!X154+[9]Финансирование!Y154+[9]Финансирование!Z154</f>
        <v>1109.1600000000001</v>
      </c>
      <c r="K154" s="656">
        <f t="shared" si="13"/>
        <v>0</v>
      </c>
      <c r="L154" s="635">
        <v>1095.492</v>
      </c>
      <c r="M154" s="658">
        <f t="shared" si="14"/>
        <v>-13.66800000000012</v>
      </c>
    </row>
    <row r="155" spans="1:16" x14ac:dyDescent="0.15">
      <c r="A155" s="657" t="str">
        <f>[9]Роспись!A145</f>
        <v xml:space="preserve">Оплата услуг связи </v>
      </c>
      <c r="B155" s="654" t="str">
        <f>[9]Роспись!B145</f>
        <v>056</v>
      </c>
      <c r="C155" s="654" t="str">
        <f>[9]Роспись!C145</f>
        <v>07</v>
      </c>
      <c r="D155" s="654" t="str">
        <f>[9]Роспись!D145</f>
        <v>04</v>
      </c>
      <c r="E155" s="654" t="str">
        <f>[9]Роспись!E145</f>
        <v>4279902</v>
      </c>
      <c r="F155" s="654" t="str">
        <f>[9]Роспись!F145</f>
        <v>001</v>
      </c>
      <c r="G155" s="654">
        <f>[9]Роспись!G145</f>
        <v>221</v>
      </c>
      <c r="H155" s="648">
        <f>[9]Роспись!H145</f>
        <v>15</v>
      </c>
      <c r="I155" s="656">
        <f>[9]Финансирование!I155+[9]Финансирование!J155+[9]Финансирование!K155+[9]Финансирование!L155+[9]Финансирование!M155+[9]Финансирование!N155+[9]Финансирование!O155+[9]Финансирование!P155</f>
        <v>3.65</v>
      </c>
      <c r="J155" s="656">
        <f>[9]Финансирование!Q155+[9]Финансирование!T155+[9]Финансирование!U155+[9]Финансирование!V155+[9]Финансирование!W155+[9]Финансирование!X155+[9]Финансирование!Y155+[9]Финансирование!Z155</f>
        <v>0</v>
      </c>
      <c r="K155" s="656">
        <f t="shared" si="13"/>
        <v>11.35</v>
      </c>
      <c r="M155" s="658">
        <f t="shared" si="14"/>
        <v>0</v>
      </c>
    </row>
    <row r="156" spans="1:16" x14ac:dyDescent="0.15">
      <c r="A156" s="657" t="str">
        <f>[9]Роспись!A146</f>
        <v>Транспортные услуги</v>
      </c>
      <c r="B156" s="654" t="str">
        <f>[9]Роспись!B146</f>
        <v>056</v>
      </c>
      <c r="C156" s="654" t="str">
        <f>[9]Роспись!C146</f>
        <v>07</v>
      </c>
      <c r="D156" s="654" t="str">
        <f>[9]Роспись!D146</f>
        <v>04</v>
      </c>
      <c r="E156" s="654" t="str">
        <f>[9]Роспись!E146</f>
        <v>4279902</v>
      </c>
      <c r="F156" s="654" t="str">
        <f>[9]Роспись!F146</f>
        <v>001</v>
      </c>
      <c r="G156" s="654">
        <f>[9]Роспись!G146</f>
        <v>222</v>
      </c>
      <c r="H156" s="648">
        <f>[9]Роспись!H146</f>
        <v>25</v>
      </c>
      <c r="I156" s="656">
        <f>[9]Финансирование!I156+[9]Финансирование!J156+[9]Финансирование!K156+[9]Финансирование!L156+[9]Финансирование!M156+[9]Финансирование!N156+[9]Финансирование!O156+[9]Финансирование!P156</f>
        <v>5</v>
      </c>
      <c r="J156" s="656">
        <f>[9]Финансирование!Q156+[9]Финансирование!T156+[9]Финансирование!U156+[9]Финансирование!V156+[9]Финансирование!W156+[9]Финансирование!X156+[9]Финансирование!Y156+[9]Финансирование!Z156</f>
        <v>0</v>
      </c>
      <c r="K156" s="656">
        <f t="shared" si="13"/>
        <v>20</v>
      </c>
      <c r="M156" s="658">
        <f t="shared" si="14"/>
        <v>0</v>
      </c>
    </row>
    <row r="157" spans="1:16" x14ac:dyDescent="0.15">
      <c r="A157" s="657" t="str">
        <f>[9]Роспись!A147</f>
        <v>Коммунальные услуги</v>
      </c>
      <c r="B157" s="654" t="str">
        <f>[9]Роспись!B147</f>
        <v>056</v>
      </c>
      <c r="C157" s="654" t="str">
        <f>[9]Роспись!C147</f>
        <v>07</v>
      </c>
      <c r="D157" s="654" t="str">
        <f>[9]Роспись!D147</f>
        <v>04</v>
      </c>
      <c r="E157" s="654" t="str">
        <f>[9]Роспись!E147</f>
        <v>4279902</v>
      </c>
      <c r="F157" s="654" t="str">
        <f>[9]Роспись!F147</f>
        <v>001</v>
      </c>
      <c r="G157" s="654">
        <f>[9]Роспись!G147</f>
        <v>223</v>
      </c>
      <c r="H157" s="648">
        <f>[9]Роспись!H147</f>
        <v>78</v>
      </c>
      <c r="I157" s="656">
        <f>[9]Финансирование!I157+[9]Финансирование!J157+[9]Финансирование!K157+[9]Финансирование!L157+[9]Финансирование!M157+[9]Финансирование!N157+[9]Финансирование!O157+[9]Финансирование!P157</f>
        <v>34.6</v>
      </c>
      <c r="J157" s="656">
        <f>[9]Финансирование!Q157+[9]Финансирование!T157+[9]Финансирование!U157+[9]Финансирование!V157+[9]Финансирование!W157+[9]Финансирование!X157+[9]Финансирование!Y157+[9]Финансирование!Z157</f>
        <v>43.4</v>
      </c>
      <c r="K157" s="656">
        <f t="shared" si="13"/>
        <v>0</v>
      </c>
      <c r="L157" s="690">
        <v>19.600000000000001</v>
      </c>
      <c r="M157" s="658">
        <f t="shared" si="14"/>
        <v>-23.799999999999997</v>
      </c>
      <c r="N157" s="690"/>
      <c r="O157" s="690"/>
      <c r="P157" s="690"/>
    </row>
    <row r="158" spans="1:16" x14ac:dyDescent="0.15">
      <c r="A158" s="657" t="str">
        <f>[9]Роспись!A148</f>
        <v>Аренда помещения</v>
      </c>
      <c r="B158" s="654" t="str">
        <f>[9]Роспись!B148</f>
        <v>056</v>
      </c>
      <c r="C158" s="654" t="str">
        <f>[9]Роспись!C148</f>
        <v>07</v>
      </c>
      <c r="D158" s="654" t="str">
        <f>[9]Роспись!D148</f>
        <v>04</v>
      </c>
      <c r="E158" s="654" t="str">
        <f>[9]Роспись!E148</f>
        <v>4279902</v>
      </c>
      <c r="F158" s="654" t="str">
        <f>[9]Роспись!F148</f>
        <v>001</v>
      </c>
      <c r="G158" s="654">
        <f>[9]Роспись!G148</f>
        <v>224</v>
      </c>
      <c r="H158" s="648">
        <f>[9]Роспись!H148</f>
        <v>3</v>
      </c>
      <c r="I158" s="656">
        <f>[9]Финансирование!I158+[9]Финансирование!J158+[9]Финансирование!K158+[9]Финансирование!L158+[9]Финансирование!M158+[9]Финансирование!N158+[9]Финансирование!O158+[9]Финансирование!P158</f>
        <v>3</v>
      </c>
      <c r="J158" s="656">
        <f>[9]Финансирование!Q158+[9]Финансирование!T158+[9]Финансирование!U158+[9]Финансирование!V158+[9]Финансирование!W158+[9]Финансирование!X158+[9]Финансирование!Y158+[9]Финансирование!Z158</f>
        <v>0</v>
      </c>
      <c r="K158" s="656">
        <f t="shared" si="13"/>
        <v>0</v>
      </c>
      <c r="L158" s="690"/>
      <c r="M158" s="658">
        <f t="shared" si="14"/>
        <v>0</v>
      </c>
      <c r="N158" s="690"/>
      <c r="O158" s="690"/>
      <c r="P158" s="690"/>
    </row>
    <row r="159" spans="1:16" x14ac:dyDescent="0.15">
      <c r="A159" s="657" t="str">
        <f>[9]Роспись!A149</f>
        <v>Услуги по содерж. имущества</v>
      </c>
      <c r="B159" s="654" t="str">
        <f>[9]Роспись!B149</f>
        <v>056</v>
      </c>
      <c r="C159" s="654" t="str">
        <f>[9]Роспись!C149</f>
        <v>07</v>
      </c>
      <c r="D159" s="654" t="str">
        <f>[9]Роспись!D149</f>
        <v>04</v>
      </c>
      <c r="E159" s="654" t="str">
        <f>[9]Роспись!E149</f>
        <v>4279902</v>
      </c>
      <c r="F159" s="654" t="str">
        <f>[9]Роспись!F149</f>
        <v>001</v>
      </c>
      <c r="G159" s="654">
        <f>[9]Роспись!G149</f>
        <v>225</v>
      </c>
      <c r="H159" s="648">
        <f>[9]Роспись!H149</f>
        <v>10</v>
      </c>
      <c r="I159" s="656">
        <f>[9]Финансирование!I159+[9]Финансирование!J159+[9]Финансирование!K159+[9]Финансирование!L159+[9]Финансирование!M159+[9]Финансирование!N159+[9]Финансирование!O159+[9]Финансирование!P159</f>
        <v>2.5</v>
      </c>
      <c r="J159" s="656">
        <f>[9]Финансирование!Q159+[9]Финансирование!T159+[9]Финансирование!U159+[9]Финансирование!V159+[9]Финансирование!W159+[9]Финансирование!X159+[9]Финансирование!Y159+[9]Финансирование!Z159</f>
        <v>7.5</v>
      </c>
      <c r="K159" s="656">
        <f t="shared" si="13"/>
        <v>0</v>
      </c>
      <c r="L159" s="635">
        <v>7.5</v>
      </c>
      <c r="M159" s="658">
        <f t="shared" si="14"/>
        <v>0</v>
      </c>
    </row>
    <row r="160" spans="1:16" x14ac:dyDescent="0.15">
      <c r="A160" s="657" t="str">
        <f>[9]Роспись!A150</f>
        <v>Прочие услуги</v>
      </c>
      <c r="B160" s="654" t="str">
        <f>[9]Роспись!B150</f>
        <v>056</v>
      </c>
      <c r="C160" s="654" t="str">
        <f>[9]Роспись!C150</f>
        <v>07</v>
      </c>
      <c r="D160" s="654" t="str">
        <f>[9]Роспись!D150</f>
        <v>04</v>
      </c>
      <c r="E160" s="654" t="str">
        <f>[9]Роспись!E150</f>
        <v>4279902</v>
      </c>
      <c r="F160" s="654" t="str">
        <f>[9]Роспись!F150</f>
        <v>001</v>
      </c>
      <c r="G160" s="654">
        <f>[9]Роспись!G150</f>
        <v>226</v>
      </c>
      <c r="H160" s="648">
        <f>[9]Роспись!H150</f>
        <v>195</v>
      </c>
      <c r="I160" s="656">
        <f>[9]Финансирование!I160+[9]Финансирование!J160+[9]Финансирование!K160+[9]Финансирование!L160+[9]Финансирование!M160+[9]Финансирование!N160+[9]Финансирование!O160+[9]Финансирование!P160</f>
        <v>135</v>
      </c>
      <c r="J160" s="656">
        <f>[9]Финансирование!Q160+[9]Финансирование!T160+[9]Финансирование!U160+[9]Финансирование!V160+[9]Финансирование!W160+[9]Финансирование!X160+[9]Финансирование!Y160+[9]Финансирование!Z160</f>
        <v>4.22</v>
      </c>
      <c r="K160" s="656">
        <f t="shared" si="13"/>
        <v>55.78</v>
      </c>
      <c r="M160" s="658">
        <f t="shared" si="14"/>
        <v>-4.22</v>
      </c>
    </row>
    <row r="161" spans="1:16" x14ac:dyDescent="0.15">
      <c r="A161" s="657" t="str">
        <f>[9]Роспись!A151</f>
        <v xml:space="preserve">Прочие расходы </v>
      </c>
      <c r="B161" s="654" t="str">
        <f>[9]Роспись!B151</f>
        <v>056</v>
      </c>
      <c r="C161" s="654" t="str">
        <f>[9]Роспись!C151</f>
        <v>07</v>
      </c>
      <c r="D161" s="654" t="str">
        <f>[9]Роспись!D151</f>
        <v>04</v>
      </c>
      <c r="E161" s="654" t="str">
        <f>[9]Роспись!E151</f>
        <v>4279902</v>
      </c>
      <c r="F161" s="654" t="str">
        <f>[9]Роспись!F151</f>
        <v>001</v>
      </c>
      <c r="G161" s="654">
        <f>[9]Роспись!G151</f>
        <v>290</v>
      </c>
      <c r="H161" s="648">
        <f>[9]Роспись!H151</f>
        <v>587.9</v>
      </c>
      <c r="I161" s="656">
        <f>[9]Финансирование!I161+[9]Финансирование!J161+[9]Финансирование!K161+[9]Финансирование!L161+[9]Финансирование!M161+[9]Финансирование!N161+[9]Финансирование!O161+[9]Финансирование!P161</f>
        <v>237.20000000000002</v>
      </c>
      <c r="J161" s="656">
        <f>[9]Финансирование!Q161+[9]Финансирование!T161+[9]Финансирование!U161+[9]Финансирование!V161+[9]Финансирование!W161+[9]Финансирование!X161+[9]Финансирование!Y161+[9]Финансирование!Z161</f>
        <v>350.7</v>
      </c>
      <c r="K161" s="656">
        <f t="shared" si="13"/>
        <v>0</v>
      </c>
      <c r="L161" s="635">
        <v>275.12900000000002</v>
      </c>
      <c r="M161" s="658">
        <f t="shared" si="14"/>
        <v>-75.57099999999997</v>
      </c>
    </row>
    <row r="162" spans="1:16" x14ac:dyDescent="0.15">
      <c r="A162" s="657" t="str">
        <f>[9]Роспись!A152</f>
        <v xml:space="preserve">Прочие расходы </v>
      </c>
      <c r="B162" s="654" t="str">
        <f>[9]Роспись!B152</f>
        <v>056</v>
      </c>
      <c r="C162" s="654" t="str">
        <f>[9]Роспись!C152</f>
        <v>07</v>
      </c>
      <c r="D162" s="654" t="str">
        <f>[9]Роспись!D152</f>
        <v>04</v>
      </c>
      <c r="E162" s="654" t="str">
        <f>[9]Роспись!E152</f>
        <v>4279502</v>
      </c>
      <c r="F162" s="654" t="str">
        <f>[9]Роспись!F152</f>
        <v>001</v>
      </c>
      <c r="G162" s="654" t="str">
        <f>[9]Роспись!G152</f>
        <v>290</v>
      </c>
      <c r="H162" s="648">
        <f>[9]Роспись!H152</f>
        <v>1.1000000000000001</v>
      </c>
      <c r="I162" s="656">
        <f>[9]Финансирование!I162+[9]Финансирование!J162+[9]Финансирование!K162+[9]Финансирование!L162+[9]Финансирование!M162+[9]Финансирование!N162+[9]Финансирование!O162+[9]Финансирование!P162</f>
        <v>1.1000000000000014</v>
      </c>
      <c r="J162" s="656">
        <f>[9]Финансирование!Q162+[9]Финансирование!T162+[9]Финансирование!U162+[9]Финансирование!V162+[9]Финансирование!W162+[9]Финансирование!X162+[9]Финансирование!Y162+[9]Финансирование!Z162</f>
        <v>-1.3322676295501878E-15</v>
      </c>
      <c r="K162" s="656">
        <f t="shared" si="13"/>
        <v>0</v>
      </c>
      <c r="M162" s="658">
        <f t="shared" si="14"/>
        <v>1.3322676295501878E-15</v>
      </c>
    </row>
    <row r="163" spans="1:16" x14ac:dyDescent="0.15">
      <c r="A163" s="657" t="str">
        <f>[9]Роспись!A153</f>
        <v>Увелич. стоимости осн. средств</v>
      </c>
      <c r="B163" s="654" t="str">
        <f>[9]Роспись!B153</f>
        <v>056</v>
      </c>
      <c r="C163" s="654" t="str">
        <f>[9]Роспись!C153</f>
        <v>07</v>
      </c>
      <c r="D163" s="654" t="str">
        <f>[9]Роспись!D153</f>
        <v>04</v>
      </c>
      <c r="E163" s="654" t="str">
        <f>[9]Роспись!E153</f>
        <v>4279902</v>
      </c>
      <c r="F163" s="654" t="str">
        <f>[9]Роспись!F153</f>
        <v>001</v>
      </c>
      <c r="G163" s="654">
        <f>[9]Роспись!G153</f>
        <v>310</v>
      </c>
      <c r="H163" s="648">
        <f>[9]Роспись!H153</f>
        <v>10</v>
      </c>
      <c r="I163" s="656">
        <f>[9]Финансирование!I163+[9]Финансирование!J163+[9]Финансирование!K163+[9]Финансирование!L163+[9]Финансирование!M163+[9]Финансирование!N163+[9]Финансирование!O163+[9]Финансирование!P163</f>
        <v>0</v>
      </c>
      <c r="J163" s="656">
        <f>[9]Финансирование!Q163+[9]Финансирование!T163+[9]Финансирование!U163+[9]Финансирование!V163+[9]Финансирование!W163+[9]Финансирование!X163+[9]Финансирование!Y163+[9]Финансирование!Z163</f>
        <v>0</v>
      </c>
      <c r="K163" s="656">
        <f t="shared" si="13"/>
        <v>10</v>
      </c>
      <c r="M163" s="658">
        <f t="shared" si="14"/>
        <v>0</v>
      </c>
    </row>
    <row r="164" spans="1:16" x14ac:dyDescent="0.15">
      <c r="A164" s="657" t="str">
        <f>[9]Роспись!A154</f>
        <v>Увелич. стоимости матер. запасов</v>
      </c>
      <c r="B164" s="654" t="str">
        <f>[9]Роспись!B154</f>
        <v>056</v>
      </c>
      <c r="C164" s="654" t="str">
        <f>[9]Роспись!C154</f>
        <v>07</v>
      </c>
      <c r="D164" s="654" t="str">
        <f>[9]Роспись!D154</f>
        <v>04</v>
      </c>
      <c r="E164" s="654" t="str">
        <f>[9]Роспись!E154</f>
        <v>4279902</v>
      </c>
      <c r="F164" s="654" t="str">
        <f>[9]Роспись!F154</f>
        <v>001</v>
      </c>
      <c r="G164" s="654">
        <f>[9]Роспись!G154</f>
        <v>340</v>
      </c>
      <c r="H164" s="648">
        <f>[9]Роспись!H154</f>
        <v>36</v>
      </c>
      <c r="I164" s="656">
        <f>[9]Финансирование!I164+[9]Финансирование!J164+[9]Финансирование!K164+[9]Финансирование!L164+[9]Финансирование!M164+[9]Финансирование!N164+[9]Финансирование!O164+[9]Финансирование!P164</f>
        <v>12</v>
      </c>
      <c r="J164" s="656">
        <f>[9]Финансирование!Q164+[9]Финансирование!T164+[9]Финансирование!U164+[9]Финансирование!V164+[9]Финансирование!W164+[9]Финансирование!X164+[9]Финансирование!Y164+[9]Финансирование!Z164</f>
        <v>0</v>
      </c>
      <c r="K164" s="656">
        <f t="shared" si="13"/>
        <v>24</v>
      </c>
      <c r="M164" s="658">
        <f t="shared" si="14"/>
        <v>0</v>
      </c>
    </row>
    <row r="165" spans="1:16" x14ac:dyDescent="0.15">
      <c r="A165" s="653" t="s">
        <v>98</v>
      </c>
      <c r="B165" s="662" t="s">
        <v>79</v>
      </c>
      <c r="C165" s="662" t="s">
        <v>100</v>
      </c>
      <c r="D165" s="662" t="s">
        <v>110</v>
      </c>
      <c r="E165" s="662" t="s">
        <v>938</v>
      </c>
      <c r="F165" s="662" t="s">
        <v>102</v>
      </c>
      <c r="G165" s="691"/>
      <c r="H165" s="643">
        <f>SUM(H152:H164)</f>
        <v>10471.5</v>
      </c>
      <c r="I165" s="664">
        <f>SUM(I152:I164)</f>
        <v>4895.41</v>
      </c>
      <c r="J165" s="664">
        <f>SUM(J152:J164)</f>
        <v>5426.5599999999995</v>
      </c>
      <c r="K165" s="665">
        <f>SUM(K152:K164)</f>
        <v>149.53</v>
      </c>
      <c r="L165" s="652"/>
      <c r="M165" s="678"/>
      <c r="N165" s="678"/>
      <c r="O165" s="678"/>
      <c r="P165" s="678"/>
    </row>
    <row r="166" spans="1:16" ht="52" x14ac:dyDescent="0.15">
      <c r="A166" s="692" t="str">
        <f>'[9]Новая роспись'!A173</f>
        <v>Субсидия на финансовое обеспечение государственного задания на оказание государственных услуг (выполнение работ)</v>
      </c>
      <c r="B166" s="666"/>
      <c r="C166" s="666"/>
      <c r="D166" s="666"/>
      <c r="E166" s="666"/>
      <c r="F166" s="667">
        <f>'[9]Новая роспись'!F173</f>
        <v>611</v>
      </c>
      <c r="G166" s="667" t="str">
        <f>'[9]Новая роспись'!G173</f>
        <v>241</v>
      </c>
      <c r="H166" s="645">
        <f>'[9]Новая роспись'!H173</f>
        <v>5576.0899999999992</v>
      </c>
      <c r="I166" s="648">
        <f>[9]Финансирование!I166+[9]Финансирование!J166+[9]Финансирование!K166+[9]Финансирование!L166+[9]Финансирование!M166+[9]Финансирование!N166+[9]Финансирование!O166+[9]Финансирование!P166+[9]Финансирование!Q166+[9]Финансирование!T166+[9]Финансирование!U166+[9]Финансирование!V166+[9]Финансирование!W166+[9]Финансирование!X166+[9]Финансирование!Y166+[9]Финансирование!Z166</f>
        <v>5426.5599999999995</v>
      </c>
      <c r="J166" s="648"/>
      <c r="K166" s="648">
        <f>H166-I166</f>
        <v>149.52999999999975</v>
      </c>
      <c r="L166" s="678"/>
      <c r="M166" s="678"/>
      <c r="N166" s="678"/>
      <c r="O166" s="678"/>
      <c r="P166" s="678"/>
    </row>
    <row r="167" spans="1:16" ht="15" thickBot="1" x14ac:dyDescent="0.2">
      <c r="A167" s="78" t="s">
        <v>115</v>
      </c>
      <c r="B167" s="672"/>
      <c r="C167" s="672"/>
      <c r="D167" s="672"/>
      <c r="E167" s="672"/>
      <c r="F167" s="672"/>
      <c r="G167" s="649"/>
      <c r="H167" s="648"/>
      <c r="I167" s="693"/>
      <c r="J167" s="693"/>
      <c r="K167" s="648"/>
      <c r="L167" s="646"/>
      <c r="M167" s="646"/>
      <c r="N167" s="646"/>
      <c r="O167" s="646"/>
      <c r="P167" s="646"/>
    </row>
    <row r="168" spans="1:16" ht="15" thickBot="1" x14ac:dyDescent="0.2">
      <c r="A168" s="647" t="str">
        <f>[9]Роспись!A157</f>
        <v>Заработная плата</v>
      </c>
      <c r="B168" s="81" t="str">
        <f>[9]Роспись!B157</f>
        <v>056</v>
      </c>
      <c r="C168" s="81" t="str">
        <f>[9]Роспись!C157</f>
        <v>07</v>
      </c>
      <c r="D168" s="81" t="str">
        <f>[9]Роспись!D157</f>
        <v>04</v>
      </c>
      <c r="E168" s="81" t="str">
        <f>[9]Роспись!E157</f>
        <v>4279902</v>
      </c>
      <c r="F168" s="81" t="str">
        <f>[9]Роспись!F157</f>
        <v>001</v>
      </c>
      <c r="G168" s="81">
        <f>[9]Роспись!G157</f>
        <v>211</v>
      </c>
      <c r="H168" s="648">
        <f t="shared" ref="H168:K180" si="15">H152+H136+H119+H102</f>
        <v>44521.399999999994</v>
      </c>
      <c r="I168" s="693">
        <f t="shared" si="15"/>
        <v>20512.669999999998</v>
      </c>
      <c r="J168" s="693">
        <f t="shared" si="15"/>
        <v>24008.730000000003</v>
      </c>
      <c r="K168" s="693">
        <f t="shared" si="15"/>
        <v>0</v>
      </c>
      <c r="M168" s="694">
        <v>22417.39</v>
      </c>
      <c r="N168" s="695">
        <v>1591.34</v>
      </c>
      <c r="O168" s="658">
        <f>J168-M168</f>
        <v>1591.3400000000038</v>
      </c>
    </row>
    <row r="169" spans="1:16" ht="15" thickBot="1" x14ac:dyDescent="0.2">
      <c r="A169" s="647" t="str">
        <f>[9]Роспись!A158</f>
        <v>Прочие выплаты</v>
      </c>
      <c r="B169" s="81" t="str">
        <f>[9]Роспись!B158</f>
        <v>056</v>
      </c>
      <c r="C169" s="81" t="str">
        <f>[9]Роспись!C158</f>
        <v>07</v>
      </c>
      <c r="D169" s="81" t="str">
        <f>[9]Роспись!D158</f>
        <v>04</v>
      </c>
      <c r="E169" s="81" t="str">
        <f>[9]Роспись!E158</f>
        <v>4279902</v>
      </c>
      <c r="F169" s="81" t="str">
        <f>[9]Роспись!F158</f>
        <v>001</v>
      </c>
      <c r="G169" s="81">
        <f>[9]Роспись!G158</f>
        <v>212</v>
      </c>
      <c r="H169" s="648">
        <f t="shared" si="15"/>
        <v>297.95999999999998</v>
      </c>
      <c r="I169" s="693">
        <f t="shared" si="15"/>
        <v>130.15</v>
      </c>
      <c r="J169" s="693">
        <f t="shared" si="15"/>
        <v>71.2</v>
      </c>
      <c r="K169" s="693">
        <f t="shared" si="15"/>
        <v>96.610000000000014</v>
      </c>
      <c r="M169" s="696">
        <v>0.6</v>
      </c>
      <c r="N169" s="697">
        <v>167.21</v>
      </c>
      <c r="O169" s="658">
        <f t="shared" ref="O169:O180" si="16">J169-M169</f>
        <v>70.600000000000009</v>
      </c>
    </row>
    <row r="170" spans="1:16" ht="15" thickBot="1" x14ac:dyDescent="0.2">
      <c r="A170" s="647" t="str">
        <f>[9]Роспись!A159</f>
        <v>Начисления на оплату труда</v>
      </c>
      <c r="B170" s="81" t="str">
        <f>[9]Роспись!B159</f>
        <v>056</v>
      </c>
      <c r="C170" s="81" t="str">
        <f>[9]Роспись!C159</f>
        <v>07</v>
      </c>
      <c r="D170" s="81" t="str">
        <f>[9]Роспись!D159</f>
        <v>04</v>
      </c>
      <c r="E170" s="81" t="str">
        <f>[9]Роспись!E159</f>
        <v>4279902</v>
      </c>
      <c r="F170" s="81" t="str">
        <f>[9]Роспись!F159</f>
        <v>001</v>
      </c>
      <c r="G170" s="81">
        <f>[9]Роспись!G159</f>
        <v>213</v>
      </c>
      <c r="H170" s="648">
        <f t="shared" si="15"/>
        <v>13433.8</v>
      </c>
      <c r="I170" s="693">
        <f t="shared" si="15"/>
        <v>6637.25</v>
      </c>
      <c r="J170" s="693">
        <f t="shared" si="15"/>
        <v>6796.55</v>
      </c>
      <c r="K170" s="693">
        <f t="shared" si="15"/>
        <v>0</v>
      </c>
      <c r="M170" s="696">
        <v>6796.55</v>
      </c>
      <c r="N170" s="697">
        <v>0</v>
      </c>
      <c r="O170" s="658">
        <f t="shared" si="16"/>
        <v>0</v>
      </c>
    </row>
    <row r="171" spans="1:16" ht="15" thickBot="1" x14ac:dyDescent="0.2">
      <c r="A171" s="647" t="str">
        <f>[9]Роспись!A160</f>
        <v xml:space="preserve">Оплата услуг связи </v>
      </c>
      <c r="B171" s="81" t="str">
        <f>[9]Роспись!B160</f>
        <v>056</v>
      </c>
      <c r="C171" s="81" t="str">
        <f>[9]Роспись!C160</f>
        <v>07</v>
      </c>
      <c r="D171" s="81" t="str">
        <f>[9]Роспись!D160</f>
        <v>04</v>
      </c>
      <c r="E171" s="81" t="str">
        <f>[9]Роспись!E160</f>
        <v>4279902</v>
      </c>
      <c r="F171" s="81" t="str">
        <f>[9]Роспись!F160</f>
        <v>001</v>
      </c>
      <c r="G171" s="81">
        <f>[9]Роспись!G160</f>
        <v>221</v>
      </c>
      <c r="H171" s="648">
        <f t="shared" si="15"/>
        <v>82</v>
      </c>
      <c r="I171" s="693">
        <f t="shared" si="15"/>
        <v>16.75</v>
      </c>
      <c r="J171" s="693">
        <f t="shared" si="15"/>
        <v>53.9</v>
      </c>
      <c r="K171" s="693">
        <f t="shared" si="15"/>
        <v>11.35</v>
      </c>
      <c r="M171" s="696">
        <v>0</v>
      </c>
      <c r="N171" s="697">
        <v>50.25</v>
      </c>
      <c r="O171" s="658">
        <f t="shared" si="16"/>
        <v>53.9</v>
      </c>
    </row>
    <row r="172" spans="1:16" ht="15" thickBot="1" x14ac:dyDescent="0.2">
      <c r="A172" s="647" t="str">
        <f>[9]Роспись!A161</f>
        <v>Транспортные услуги</v>
      </c>
      <c r="B172" s="81" t="str">
        <f>[9]Роспись!B161</f>
        <v>056</v>
      </c>
      <c r="C172" s="81" t="str">
        <f>[9]Роспись!C161</f>
        <v>07</v>
      </c>
      <c r="D172" s="81" t="str">
        <f>[9]Роспись!D161</f>
        <v>04</v>
      </c>
      <c r="E172" s="81" t="str">
        <f>[9]Роспись!E161</f>
        <v>4279902</v>
      </c>
      <c r="F172" s="81" t="str">
        <f>[9]Роспись!F161</f>
        <v>001</v>
      </c>
      <c r="G172" s="81">
        <f>[9]Роспись!G161</f>
        <v>222</v>
      </c>
      <c r="H172" s="648">
        <f t="shared" si="15"/>
        <v>215.71</v>
      </c>
      <c r="I172" s="693">
        <f t="shared" si="15"/>
        <v>47.5</v>
      </c>
      <c r="J172" s="693">
        <f t="shared" si="15"/>
        <v>35.71</v>
      </c>
      <c r="K172" s="693">
        <f t="shared" si="15"/>
        <v>132.5</v>
      </c>
      <c r="M172" s="696">
        <v>20.71</v>
      </c>
      <c r="N172" s="697">
        <v>147.5</v>
      </c>
      <c r="O172" s="658">
        <f t="shared" si="16"/>
        <v>15</v>
      </c>
    </row>
    <row r="173" spans="1:16" ht="15" thickBot="1" x14ac:dyDescent="0.2">
      <c r="A173" s="647" t="str">
        <f>[9]Роспись!A162</f>
        <v>Коммунальные услуги</v>
      </c>
      <c r="B173" s="81" t="str">
        <f>[9]Роспись!B162</f>
        <v>056</v>
      </c>
      <c r="C173" s="81" t="str">
        <f>[9]Роспись!C162</f>
        <v>07</v>
      </c>
      <c r="D173" s="81" t="str">
        <f>[9]Роспись!D162</f>
        <v>04</v>
      </c>
      <c r="E173" s="81" t="str">
        <f>[9]Роспись!E162</f>
        <v>4279902</v>
      </c>
      <c r="F173" s="81" t="str">
        <f>[9]Роспись!F162</f>
        <v>001</v>
      </c>
      <c r="G173" s="81">
        <f>[9]Роспись!G162</f>
        <v>223</v>
      </c>
      <c r="H173" s="648">
        <f t="shared" si="15"/>
        <v>1247</v>
      </c>
      <c r="I173" s="693">
        <f t="shared" si="15"/>
        <v>538.32999999999993</v>
      </c>
      <c r="J173" s="693">
        <f t="shared" si="15"/>
        <v>628.67399999999998</v>
      </c>
      <c r="K173" s="693">
        <f t="shared" si="15"/>
        <v>79.995999999999981</v>
      </c>
      <c r="L173" s="658">
        <f>K173+K177+K178</f>
        <v>367.73099999999977</v>
      </c>
      <c r="M173" s="696">
        <v>323.58</v>
      </c>
      <c r="N173" s="697">
        <v>385.09</v>
      </c>
      <c r="O173" s="658">
        <f t="shared" si="16"/>
        <v>305.09399999999999</v>
      </c>
    </row>
    <row r="174" spans="1:16" ht="15" thickBot="1" x14ac:dyDescent="0.2">
      <c r="A174" s="647" t="str">
        <f>[9]Роспись!A163</f>
        <v>Аренда помещения</v>
      </c>
      <c r="B174" s="81" t="str">
        <f>[9]Роспись!B163</f>
        <v>056</v>
      </c>
      <c r="C174" s="81" t="str">
        <f>[9]Роспись!C163</f>
        <v>07</v>
      </c>
      <c r="D174" s="81" t="str">
        <f>[9]Роспись!D163</f>
        <v>04</v>
      </c>
      <c r="E174" s="81" t="str">
        <f>[9]Роспись!E163</f>
        <v>4279902</v>
      </c>
      <c r="F174" s="81" t="str">
        <f>[9]Роспись!F163</f>
        <v>001</v>
      </c>
      <c r="G174" s="81">
        <f>[9]Роспись!G163</f>
        <v>224</v>
      </c>
      <c r="H174" s="648">
        <f t="shared" si="15"/>
        <v>3</v>
      </c>
      <c r="I174" s="693">
        <f t="shared" si="15"/>
        <v>3</v>
      </c>
      <c r="J174" s="693">
        <f t="shared" si="15"/>
        <v>0</v>
      </c>
      <c r="K174" s="693">
        <f t="shared" si="15"/>
        <v>0</v>
      </c>
      <c r="M174" s="696">
        <v>0</v>
      </c>
      <c r="N174" s="697">
        <v>0</v>
      </c>
      <c r="O174" s="658">
        <f t="shared" si="16"/>
        <v>0</v>
      </c>
    </row>
    <row r="175" spans="1:16" ht="15" thickBot="1" x14ac:dyDescent="0.2">
      <c r="A175" s="647" t="str">
        <f>[9]Роспись!A164</f>
        <v>Услуги по содерж. имущества</v>
      </c>
      <c r="B175" s="81" t="str">
        <f>[9]Роспись!B164</f>
        <v>056</v>
      </c>
      <c r="C175" s="81" t="str">
        <f>[9]Роспись!C164</f>
        <v>07</v>
      </c>
      <c r="D175" s="81" t="str">
        <f>[9]Роспись!D164</f>
        <v>04</v>
      </c>
      <c r="E175" s="81" t="str">
        <f>[9]Роспись!E164</f>
        <v>4279902</v>
      </c>
      <c r="F175" s="81" t="str">
        <f>[9]Роспись!F164</f>
        <v>001</v>
      </c>
      <c r="G175" s="81">
        <f>[9]Роспись!G164</f>
        <v>225</v>
      </c>
      <c r="H175" s="648">
        <f t="shared" si="15"/>
        <v>2455</v>
      </c>
      <c r="I175" s="693">
        <f t="shared" si="15"/>
        <v>595</v>
      </c>
      <c r="J175" s="693">
        <f t="shared" si="15"/>
        <v>1843.462</v>
      </c>
      <c r="K175" s="693">
        <f t="shared" si="15"/>
        <v>16.537999999999997</v>
      </c>
      <c r="M175" s="696">
        <v>1800</v>
      </c>
      <c r="N175" s="697">
        <v>60</v>
      </c>
      <c r="O175" s="658">
        <f t="shared" si="16"/>
        <v>43.461999999999989</v>
      </c>
    </row>
    <row r="176" spans="1:16" ht="15" thickBot="1" x14ac:dyDescent="0.2">
      <c r="A176" s="647" t="str">
        <f>[9]Роспись!A165</f>
        <v>Прочие услуги</v>
      </c>
      <c r="B176" s="81" t="str">
        <f>[9]Роспись!B165</f>
        <v>056</v>
      </c>
      <c r="C176" s="81" t="str">
        <f>[9]Роспись!C165</f>
        <v>07</v>
      </c>
      <c r="D176" s="81" t="str">
        <f>[9]Роспись!D165</f>
        <v>04</v>
      </c>
      <c r="E176" s="81" t="str">
        <f>[9]Роспись!E165</f>
        <v>4279902</v>
      </c>
      <c r="F176" s="81" t="str">
        <f>[9]Роспись!F165</f>
        <v>001</v>
      </c>
      <c r="G176" s="81">
        <f>[9]Роспись!G165</f>
        <v>226</v>
      </c>
      <c r="H176" s="648">
        <f t="shared" si="15"/>
        <v>1321.48</v>
      </c>
      <c r="I176" s="693">
        <f t="shared" si="15"/>
        <v>795.3</v>
      </c>
      <c r="J176" s="693">
        <f t="shared" si="15"/>
        <v>184.14600000000002</v>
      </c>
      <c r="K176" s="693">
        <f t="shared" si="15"/>
        <v>342.03399999999993</v>
      </c>
      <c r="M176" s="696">
        <v>263.62</v>
      </c>
      <c r="N176" s="697">
        <v>277.56</v>
      </c>
      <c r="O176" s="658">
        <f t="shared" si="16"/>
        <v>-79.47399999999999</v>
      </c>
    </row>
    <row r="177" spans="1:16" ht="15" thickBot="1" x14ac:dyDescent="0.2">
      <c r="A177" s="647" t="str">
        <f>[9]Роспись!A166</f>
        <v xml:space="preserve">Прочие расходы </v>
      </c>
      <c r="B177" s="81" t="str">
        <f>[9]Роспись!B166</f>
        <v>056</v>
      </c>
      <c r="C177" s="81" t="str">
        <f>[9]Роспись!C166</f>
        <v>07</v>
      </c>
      <c r="D177" s="81" t="str">
        <f>[9]Роспись!D166</f>
        <v>04</v>
      </c>
      <c r="E177" s="81" t="str">
        <f>[9]Роспись!E166</f>
        <v>4279902</v>
      </c>
      <c r="F177" s="81" t="str">
        <f>[9]Роспись!F166</f>
        <v>001</v>
      </c>
      <c r="G177" s="81">
        <f>[9]Роспись!G166</f>
        <v>290</v>
      </c>
      <c r="H177" s="648">
        <f t="shared" si="15"/>
        <v>5393.91</v>
      </c>
      <c r="I177" s="693">
        <f t="shared" si="15"/>
        <v>2207.0299999999997</v>
      </c>
      <c r="J177" s="693">
        <f t="shared" si="15"/>
        <v>2899.145</v>
      </c>
      <c r="K177" s="693">
        <f t="shared" si="15"/>
        <v>287.73499999999979</v>
      </c>
      <c r="M177" s="696">
        <v>2648.085</v>
      </c>
      <c r="N177" s="697">
        <v>538.79499999999996</v>
      </c>
      <c r="O177" s="658">
        <f t="shared" si="16"/>
        <v>251.05999999999995</v>
      </c>
    </row>
    <row r="178" spans="1:16" ht="15" thickBot="1" x14ac:dyDescent="0.2">
      <c r="A178" s="647" t="str">
        <f>[9]Роспись!A167</f>
        <v xml:space="preserve">Прочие расходы </v>
      </c>
      <c r="B178" s="81" t="str">
        <f>[9]Роспись!B167</f>
        <v>056</v>
      </c>
      <c r="C178" s="81" t="str">
        <f>[9]Роспись!C167</f>
        <v>07</v>
      </c>
      <c r="D178" s="81" t="str">
        <f>[9]Роспись!D167</f>
        <v>04</v>
      </c>
      <c r="E178" s="81" t="str">
        <f>[9]Роспись!E167</f>
        <v>4279502</v>
      </c>
      <c r="F178" s="81" t="str">
        <f>[9]Роспись!F167</f>
        <v>001</v>
      </c>
      <c r="G178" s="81" t="str">
        <f>[9]Роспись!G167</f>
        <v>290</v>
      </c>
      <c r="H178" s="648">
        <f t="shared" si="15"/>
        <v>810.7</v>
      </c>
      <c r="I178" s="693">
        <f t="shared" si="15"/>
        <v>473.5</v>
      </c>
      <c r="J178" s="693">
        <f t="shared" si="15"/>
        <v>337.20000000000005</v>
      </c>
      <c r="K178" s="693">
        <f t="shared" si="15"/>
        <v>-8.8817841970012523E-16</v>
      </c>
      <c r="M178" s="696">
        <v>163</v>
      </c>
      <c r="N178" s="697">
        <v>174.2</v>
      </c>
      <c r="O178" s="658">
        <f t="shared" si="16"/>
        <v>174.20000000000005</v>
      </c>
    </row>
    <row r="179" spans="1:16" ht="15" thickBot="1" x14ac:dyDescent="0.2">
      <c r="A179" s="647" t="str">
        <f>[9]Роспись!A168</f>
        <v>Увелич. стоимости осн. средств</v>
      </c>
      <c r="B179" s="81" t="str">
        <f>[9]Роспись!B168</f>
        <v>056</v>
      </c>
      <c r="C179" s="81" t="str">
        <f>[9]Роспись!C168</f>
        <v>07</v>
      </c>
      <c r="D179" s="81" t="str">
        <f>[9]Роспись!D168</f>
        <v>04</v>
      </c>
      <c r="E179" s="81" t="str">
        <f>[9]Роспись!E168</f>
        <v>4279902</v>
      </c>
      <c r="F179" s="81" t="str">
        <f>[9]Роспись!F168</f>
        <v>001</v>
      </c>
      <c r="G179" s="81">
        <f>[9]Роспись!G168</f>
        <v>310</v>
      </c>
      <c r="H179" s="648">
        <f t="shared" si="15"/>
        <v>430</v>
      </c>
      <c r="I179" s="693">
        <f t="shared" si="15"/>
        <v>0</v>
      </c>
      <c r="J179" s="693">
        <f t="shared" si="15"/>
        <v>150</v>
      </c>
      <c r="K179" s="693">
        <f t="shared" si="15"/>
        <v>280</v>
      </c>
      <c r="M179" s="696">
        <v>0</v>
      </c>
      <c r="N179" s="697">
        <v>430</v>
      </c>
      <c r="O179" s="658">
        <f t="shared" si="16"/>
        <v>150</v>
      </c>
    </row>
    <row r="180" spans="1:16" ht="15" thickBot="1" x14ac:dyDescent="0.2">
      <c r="A180" s="647" t="str">
        <f>[9]Роспись!A169</f>
        <v>Увелич. стоимости матер. запасов</v>
      </c>
      <c r="B180" s="81" t="str">
        <f>[9]Роспись!B169</f>
        <v>056</v>
      </c>
      <c r="C180" s="81" t="str">
        <f>[9]Роспись!C169</f>
        <v>07</v>
      </c>
      <c r="D180" s="81" t="str">
        <f>[9]Роспись!D169</f>
        <v>04</v>
      </c>
      <c r="E180" s="81" t="str">
        <f>[9]Роспись!E169</f>
        <v>4279902</v>
      </c>
      <c r="F180" s="81" t="str">
        <f>[9]Роспись!F169</f>
        <v>001</v>
      </c>
      <c r="G180" s="81">
        <f>[9]Роспись!G169</f>
        <v>340</v>
      </c>
      <c r="H180" s="648">
        <f t="shared" si="15"/>
        <v>291.25</v>
      </c>
      <c r="I180" s="693">
        <f t="shared" si="15"/>
        <v>90.42</v>
      </c>
      <c r="J180" s="693">
        <f t="shared" si="15"/>
        <v>120.82299999999998</v>
      </c>
      <c r="K180" s="693">
        <f t="shared" si="15"/>
        <v>80.007000000000005</v>
      </c>
      <c r="M180" s="696">
        <v>6.58</v>
      </c>
      <c r="N180" s="697">
        <v>194.25</v>
      </c>
      <c r="O180" s="658">
        <f t="shared" si="16"/>
        <v>114.24299999999998</v>
      </c>
    </row>
    <row r="181" spans="1:16" ht="15" thickBot="1" x14ac:dyDescent="0.2">
      <c r="A181" s="78" t="s">
        <v>98</v>
      </c>
      <c r="B181" s="641" t="s">
        <v>79</v>
      </c>
      <c r="C181" s="641" t="s">
        <v>100</v>
      </c>
      <c r="D181" s="641" t="s">
        <v>110</v>
      </c>
      <c r="E181" s="666" t="s">
        <v>938</v>
      </c>
      <c r="F181" s="666" t="s">
        <v>102</v>
      </c>
      <c r="G181" s="649"/>
      <c r="H181" s="650">
        <f>SUM(H168:H180)</f>
        <v>70503.209999999992</v>
      </c>
      <c r="I181" s="676">
        <f>SUM(I168:I180)</f>
        <v>32046.899999999998</v>
      </c>
      <c r="J181" s="676">
        <f>SUM(J168:J180)</f>
        <v>37129.539999999994</v>
      </c>
      <c r="K181" s="651">
        <f>SUM(K168:K180)</f>
        <v>1326.77</v>
      </c>
      <c r="L181" s="652">
        <f>H181-I181-H183</f>
        <v>38419.799999999996</v>
      </c>
      <c r="M181" s="698">
        <v>34440.114999999998</v>
      </c>
      <c r="N181" s="699">
        <f>SUM(N168:N180)</f>
        <v>4016.1949999999997</v>
      </c>
      <c r="O181" s="646"/>
      <c r="P181" s="646"/>
    </row>
    <row r="182" spans="1:16" ht="52" x14ac:dyDescent="0.15">
      <c r="A182" s="640" t="str">
        <f>A116</f>
        <v>Субсидия на финансовое обеспечение государственного задания на оказание государственных услуг (выполнение работ)</v>
      </c>
      <c r="B182" s="81" t="str">
        <f>'[9]Новая роспись'!B190</f>
        <v>056</v>
      </c>
      <c r="C182" s="81" t="str">
        <f>'[9]Новая роспись'!C190</f>
        <v>07</v>
      </c>
      <c r="D182" s="81" t="str">
        <f>'[9]Новая роспись'!D190</f>
        <v>04</v>
      </c>
      <c r="E182" s="81" t="str">
        <f>'[9]Новая роспись'!E190</f>
        <v>4279902</v>
      </c>
      <c r="F182" s="81">
        <f>'[9]Новая роспись'!F190</f>
        <v>611</v>
      </c>
      <c r="G182" s="81" t="str">
        <f>'[9]Новая роспись'!G190</f>
        <v>241</v>
      </c>
      <c r="H182" s="648">
        <f>H166+H150+H133+H116</f>
        <v>38419.799999999996</v>
      </c>
      <c r="I182" s="693">
        <f>I166+I150+I133+I116</f>
        <v>37093.03</v>
      </c>
      <c r="J182" s="693"/>
      <c r="K182" s="693">
        <f>H182-I182</f>
        <v>1326.7699999999968</v>
      </c>
      <c r="L182" s="652">
        <f>H181-I178</f>
        <v>70029.709999999992</v>
      </c>
      <c r="M182" s="652">
        <f>I182-35956.745</f>
        <v>1136.2849999999962</v>
      </c>
      <c r="N182" s="652">
        <f>I182+1553.14</f>
        <v>38646.17</v>
      </c>
      <c r="O182" s="646"/>
      <c r="P182" s="646"/>
    </row>
    <row r="183" spans="1:16" x14ac:dyDescent="0.15">
      <c r="A183" s="640" t="str">
        <f>A117</f>
        <v>Субсидии на иные цели</v>
      </c>
      <c r="B183" s="81" t="str">
        <f>'[9]Новая роспись'!B191</f>
        <v>056</v>
      </c>
      <c r="C183" s="81" t="str">
        <f>'[9]Новая роспись'!C191</f>
        <v>07</v>
      </c>
      <c r="D183" s="81" t="str">
        <f>'[9]Новая роспись'!D191</f>
        <v>04</v>
      </c>
      <c r="E183" s="81" t="str">
        <f>'[9]Новая роспись'!E191</f>
        <v>4279902</v>
      </c>
      <c r="F183" s="81" t="str">
        <f>'[9]Новая роспись'!F191</f>
        <v>612</v>
      </c>
      <c r="G183" s="81" t="str">
        <f>'[9]Новая роспись'!G191</f>
        <v>241</v>
      </c>
      <c r="H183" s="648">
        <f>H134+H117</f>
        <v>36.510000000000005</v>
      </c>
      <c r="I183" s="693">
        <f>I134+I117</f>
        <v>36.510000000000005</v>
      </c>
      <c r="J183" s="693">
        <f>J134+J117</f>
        <v>0</v>
      </c>
      <c r="K183" s="693">
        <f>K134+K117</f>
        <v>0</v>
      </c>
      <c r="L183" s="646"/>
      <c r="M183" s="646"/>
      <c r="N183" s="646"/>
      <c r="O183" s="646"/>
      <c r="P183" s="646"/>
    </row>
    <row r="184" spans="1:16" x14ac:dyDescent="0.15">
      <c r="A184" s="78" t="s">
        <v>227</v>
      </c>
      <c r="B184" s="641"/>
      <c r="C184" s="641"/>
      <c r="D184" s="641"/>
      <c r="E184" s="641"/>
      <c r="F184" s="641"/>
      <c r="G184" s="649"/>
      <c r="H184" s="648"/>
      <c r="I184" s="693"/>
      <c r="J184" s="693"/>
      <c r="K184" s="648"/>
      <c r="L184" s="646"/>
      <c r="M184" s="646"/>
      <c r="N184" s="646"/>
      <c r="O184" s="646"/>
      <c r="P184" s="646"/>
    </row>
    <row r="185" spans="1:16" x14ac:dyDescent="0.15">
      <c r="A185" s="647" t="str">
        <f>[9]Роспись!A172</f>
        <v>Заработная плата</v>
      </c>
      <c r="B185" s="81" t="str">
        <f>[9]Роспись!B172</f>
        <v>056</v>
      </c>
      <c r="C185" s="81" t="str">
        <f>[9]Роспись!C172</f>
        <v>07</v>
      </c>
      <c r="D185" s="81" t="str">
        <f>[9]Роспись!D172</f>
        <v>05</v>
      </c>
      <c r="E185" s="81" t="str">
        <f>[9]Роспись!E172</f>
        <v>4299901</v>
      </c>
      <c r="F185" s="81" t="str">
        <f>[9]Роспись!F172</f>
        <v>001</v>
      </c>
      <c r="G185" s="81">
        <f>[9]Роспись!G172</f>
        <v>211</v>
      </c>
      <c r="H185" s="648">
        <f>[9]Роспись!H172</f>
        <v>2296.6020000000003</v>
      </c>
      <c r="I185" s="648">
        <f>[9]Финансирование!I185+[9]Финансирование!J185+[9]Финансирование!K185+[9]Финансирование!L185+[9]Финансирование!M185+[9]Финансирование!N185+[9]Финансирование!O185+[9]Финансирование!P185</f>
        <v>1097.22</v>
      </c>
      <c r="J185" s="648">
        <f>[9]Финансирование!Q185+[9]Финансирование!T185+[9]Финансирование!U185+[9]Финансирование!V185+[9]Финансирование!W185+[9]Финансирование!X185+[9]Финансирование!Y185+[9]Финансирование!Z185</f>
        <v>1199.3820000000001</v>
      </c>
      <c r="K185" s="648">
        <f>H185-I185-J185</f>
        <v>0</v>
      </c>
      <c r="M185" s="658">
        <f>K182+M182</f>
        <v>2463.054999999993</v>
      </c>
    </row>
    <row r="186" spans="1:16" x14ac:dyDescent="0.15">
      <c r="A186" s="647" t="str">
        <f>[9]Роспись!A173</f>
        <v>Прочие выплаты</v>
      </c>
      <c r="B186" s="81" t="str">
        <f>[9]Роспись!B173</f>
        <v>056</v>
      </c>
      <c r="C186" s="81" t="str">
        <f>[9]Роспись!C173</f>
        <v>07</v>
      </c>
      <c r="D186" s="81" t="str">
        <f>[9]Роспись!D173</f>
        <v>05</v>
      </c>
      <c r="E186" s="81" t="str">
        <f>[9]Роспись!E173</f>
        <v>4299901</v>
      </c>
      <c r="F186" s="81" t="str">
        <f>[9]Роспись!F173</f>
        <v>001</v>
      </c>
      <c r="G186" s="81">
        <f>[9]Роспись!G173</f>
        <v>212</v>
      </c>
      <c r="H186" s="648">
        <f>[9]Роспись!H173</f>
        <v>2.08</v>
      </c>
      <c r="I186" s="648">
        <f>[9]Финансирование!I186+[9]Финансирование!J186+[9]Финансирование!K186+[9]Финансирование!L186+[9]Финансирование!M186+[9]Финансирование!N186+[9]Финансирование!O186+[9]Финансирование!P186</f>
        <v>2.08</v>
      </c>
      <c r="J186" s="648">
        <f>[9]Финансирование!Q186+[9]Финансирование!T186+[9]Финансирование!U186+[9]Финансирование!V186+[9]Финансирование!W186+[9]Финансирование!X186+[9]Финансирование!Y186+[9]Финансирование!Z186</f>
        <v>0</v>
      </c>
      <c r="K186" s="648">
        <f t="shared" ref="K186:K197" si="17">H186-I186-J186</f>
        <v>0</v>
      </c>
    </row>
    <row r="187" spans="1:16" x14ac:dyDescent="0.15">
      <c r="A187" s="647" t="str">
        <f>[9]Роспись!A174</f>
        <v>Начисления на оплату труда</v>
      </c>
      <c r="B187" s="81" t="str">
        <f>[9]Роспись!B174</f>
        <v>056</v>
      </c>
      <c r="C187" s="81" t="str">
        <f>[9]Роспись!C174</f>
        <v>07</v>
      </c>
      <c r="D187" s="81" t="str">
        <f>[9]Роспись!D174</f>
        <v>05</v>
      </c>
      <c r="E187" s="81" t="str">
        <f>[9]Роспись!E174</f>
        <v>4299901</v>
      </c>
      <c r="F187" s="81" t="str">
        <f>[9]Роспись!F174</f>
        <v>001</v>
      </c>
      <c r="G187" s="81">
        <f>[9]Роспись!G174</f>
        <v>213</v>
      </c>
      <c r="H187" s="648">
        <f>[9]Роспись!H174</f>
        <v>657.625</v>
      </c>
      <c r="I187" s="648">
        <f>[9]Финансирование!I187+[9]Финансирование!J187+[9]Финансирование!K187+[9]Финансирование!L187+[9]Финансирование!M187+[9]Финансирование!N187+[9]Финансирование!O187+[9]Финансирование!P187</f>
        <v>354.99</v>
      </c>
      <c r="J187" s="648">
        <f>[9]Финансирование!Q187+[9]Финансирование!T187+[9]Финансирование!U187+[9]Финансирование!V187+[9]Финансирование!W187+[9]Финансирование!X187+[9]Финансирование!Y187+[9]Финансирование!Z187</f>
        <v>302.63499999999999</v>
      </c>
      <c r="K187" s="648">
        <f t="shared" si="17"/>
        <v>0</v>
      </c>
    </row>
    <row r="188" spans="1:16" x14ac:dyDescent="0.15">
      <c r="A188" s="647" t="str">
        <f>[9]Роспись!A175</f>
        <v xml:space="preserve">Оплата услуг связи </v>
      </c>
      <c r="B188" s="81" t="str">
        <f>[9]Роспись!B175</f>
        <v>056</v>
      </c>
      <c r="C188" s="81" t="str">
        <f>[9]Роспись!C175</f>
        <v>07</v>
      </c>
      <c r="D188" s="81" t="str">
        <f>[9]Роспись!D175</f>
        <v>05</v>
      </c>
      <c r="E188" s="81" t="str">
        <f>[9]Роспись!E175</f>
        <v>4299901</v>
      </c>
      <c r="F188" s="81" t="str">
        <f>[9]Роспись!F175</f>
        <v>001</v>
      </c>
      <c r="G188" s="81">
        <f>[9]Роспись!G175</f>
        <v>221</v>
      </c>
      <c r="H188" s="648">
        <f>[9]Роспись!H175</f>
        <v>40</v>
      </c>
      <c r="I188" s="648">
        <f>[9]Финансирование!I188+[9]Финансирование!J188+[9]Финансирование!K188+[9]Финансирование!L188+[9]Финансирование!M188+[9]Финансирование!N188+[9]Финансирование!O188+[9]Финансирование!P188</f>
        <v>10</v>
      </c>
      <c r="J188" s="648">
        <f>[9]Финансирование!Q188+[9]Финансирование!T188+[9]Финансирование!U188+[9]Финансирование!V188+[9]Финансирование!W188+[9]Финансирование!X188+[9]Финансирование!Y188+[9]Финансирование!Z188</f>
        <v>30</v>
      </c>
      <c r="K188" s="648">
        <f t="shared" si="17"/>
        <v>0</v>
      </c>
    </row>
    <row r="189" spans="1:16" x14ac:dyDescent="0.15">
      <c r="A189" s="647" t="str">
        <f>[9]Роспись!A176</f>
        <v>Транспортные услуги</v>
      </c>
      <c r="B189" s="81" t="str">
        <f>[9]Роспись!B176</f>
        <v>056</v>
      </c>
      <c r="C189" s="81" t="str">
        <f>[9]Роспись!C176</f>
        <v>07</v>
      </c>
      <c r="D189" s="81" t="str">
        <f>[9]Роспись!D176</f>
        <v>05</v>
      </c>
      <c r="E189" s="81" t="str">
        <f>[9]Роспись!E176</f>
        <v>4299901</v>
      </c>
      <c r="F189" s="81" t="str">
        <f>[9]Роспись!F176</f>
        <v>001</v>
      </c>
      <c r="G189" s="81">
        <f>[9]Роспись!G176</f>
        <v>222</v>
      </c>
      <c r="H189" s="648">
        <f>[9]Роспись!H176</f>
        <v>11.25</v>
      </c>
      <c r="I189" s="648">
        <f>[9]Финансирование!I189+[9]Финансирование!J189+[9]Финансирование!K189+[9]Финансирование!L189+[9]Финансирование!M189+[9]Финансирование!N189+[9]Финансирование!O189+[9]Финансирование!P189</f>
        <v>11.25</v>
      </c>
      <c r="J189" s="648">
        <f>[9]Финансирование!Q189+[9]Финансирование!T189+[9]Финансирование!U189+[9]Финансирование!V189+[9]Финансирование!W189+[9]Финансирование!X189+[9]Финансирование!Y189+[9]Финансирование!Z189</f>
        <v>0</v>
      </c>
      <c r="K189" s="648">
        <f t="shared" si="17"/>
        <v>0</v>
      </c>
    </row>
    <row r="190" spans="1:16" x14ac:dyDescent="0.15">
      <c r="A190" s="647" t="str">
        <f>[9]Роспись!A177</f>
        <v>Коммунальные услуги</v>
      </c>
      <c r="B190" s="81" t="str">
        <f>[9]Роспись!B177</f>
        <v>056</v>
      </c>
      <c r="C190" s="81" t="str">
        <f>[9]Роспись!C177</f>
        <v>07</v>
      </c>
      <c r="D190" s="81" t="str">
        <f>[9]Роспись!D177</f>
        <v>05</v>
      </c>
      <c r="E190" s="81" t="str">
        <f>[9]Роспись!E177</f>
        <v>4299901</v>
      </c>
      <c r="F190" s="81" t="str">
        <f>[9]Роспись!F177</f>
        <v>001</v>
      </c>
      <c r="G190" s="81">
        <f>[9]Роспись!G177</f>
        <v>223</v>
      </c>
      <c r="H190" s="648">
        <f>[9]Роспись!H177</f>
        <v>0</v>
      </c>
      <c r="I190" s="648">
        <f>[9]Финансирование!I190+[9]Финансирование!J190+[9]Финансирование!K190+[9]Финансирование!L190+[9]Финансирование!M190+[9]Финансирование!N190+[9]Финансирование!O190+[9]Финансирование!P190</f>
        <v>0</v>
      </c>
      <c r="J190" s="648">
        <f>[9]Финансирование!Q190+[9]Финансирование!T190+[9]Финансирование!U190+[9]Финансирование!V190+[9]Финансирование!W190+[9]Финансирование!X190+[9]Финансирование!Y190+[9]Финансирование!Z190</f>
        <v>0</v>
      </c>
      <c r="K190" s="648">
        <f t="shared" si="17"/>
        <v>0</v>
      </c>
    </row>
    <row r="191" spans="1:16" x14ac:dyDescent="0.15">
      <c r="A191" s="647" t="str">
        <f>[9]Роспись!A178</f>
        <v>Аренда помещения</v>
      </c>
      <c r="B191" s="81" t="str">
        <f>[9]Роспись!B178</f>
        <v>056</v>
      </c>
      <c r="C191" s="81" t="str">
        <f>[9]Роспись!C178</f>
        <v>07</v>
      </c>
      <c r="D191" s="81" t="str">
        <f>[9]Роспись!D178</f>
        <v>05</v>
      </c>
      <c r="E191" s="81" t="str">
        <f>[9]Роспись!E178</f>
        <v>4299901</v>
      </c>
      <c r="F191" s="81" t="str">
        <f>[9]Роспись!F178</f>
        <v>001</v>
      </c>
      <c r="G191" s="81">
        <f>[9]Роспись!G178</f>
        <v>224</v>
      </c>
      <c r="H191" s="648">
        <f>[9]Роспись!H178</f>
        <v>0</v>
      </c>
      <c r="I191" s="648">
        <f>[9]Финансирование!I191+[9]Финансирование!J191+[9]Финансирование!K191+[9]Финансирование!L191+[9]Финансирование!M191+[9]Финансирование!N191+[9]Финансирование!O191+[9]Финансирование!P191</f>
        <v>0</v>
      </c>
      <c r="J191" s="648">
        <f>[9]Финансирование!Q191+[9]Финансирование!T191+[9]Финансирование!U191+[9]Финансирование!V191+[9]Финансирование!W191+[9]Финансирование!X191+[9]Финансирование!Y191+[9]Финансирование!Z191</f>
        <v>0</v>
      </c>
      <c r="K191" s="648">
        <f t="shared" si="17"/>
        <v>0</v>
      </c>
    </row>
    <row r="192" spans="1:16" x14ac:dyDescent="0.15">
      <c r="A192" s="647" t="str">
        <f>[9]Роспись!A179</f>
        <v>Услуги по содерж. имущества</v>
      </c>
      <c r="B192" s="81" t="str">
        <f>[9]Роспись!B179</f>
        <v>056</v>
      </c>
      <c r="C192" s="81" t="str">
        <f>[9]Роспись!C179</f>
        <v>07</v>
      </c>
      <c r="D192" s="81" t="str">
        <f>[9]Роспись!D179</f>
        <v>05</v>
      </c>
      <c r="E192" s="81" t="str">
        <f>[9]Роспись!E179</f>
        <v>4299901</v>
      </c>
      <c r="F192" s="81" t="str">
        <f>[9]Роспись!F179</f>
        <v>001</v>
      </c>
      <c r="G192" s="81">
        <f>[9]Роспись!G179</f>
        <v>225</v>
      </c>
      <c r="H192" s="648">
        <f>[9]Роспись!H179</f>
        <v>3.1</v>
      </c>
      <c r="I192" s="648">
        <f>[9]Финансирование!I192+[9]Финансирование!J192+[9]Финансирование!K192+[9]Финансирование!L192+[9]Финансирование!M192+[9]Финансирование!N192+[9]Финансирование!O192+[9]Финансирование!P192</f>
        <v>0.78</v>
      </c>
      <c r="J192" s="648">
        <f>[9]Финансирование!Q192+[9]Финансирование!T192+[9]Финансирование!U192+[9]Финансирование!V192+[9]Финансирование!W192+[9]Финансирование!X192+[9]Финансирование!Y192+[9]Финансирование!Z192</f>
        <v>2.3200000000000003</v>
      </c>
      <c r="K192" s="648">
        <f t="shared" si="17"/>
        <v>0</v>
      </c>
    </row>
    <row r="193" spans="1:16" x14ac:dyDescent="0.15">
      <c r="A193" s="647" t="str">
        <f>[9]Роспись!A180</f>
        <v>Прочие услуги</v>
      </c>
      <c r="B193" s="81" t="str">
        <f>[9]Роспись!B180</f>
        <v>056</v>
      </c>
      <c r="C193" s="81" t="str">
        <f>[9]Роспись!C180</f>
        <v>07</v>
      </c>
      <c r="D193" s="81" t="str">
        <f>[9]Роспись!D180</f>
        <v>05</v>
      </c>
      <c r="E193" s="81" t="str">
        <f>[9]Роспись!E180</f>
        <v>4299901</v>
      </c>
      <c r="F193" s="81" t="str">
        <f>[9]Роспись!F180</f>
        <v>001</v>
      </c>
      <c r="G193" s="81">
        <f>[9]Роспись!G180</f>
        <v>226</v>
      </c>
      <c r="H193" s="648">
        <f>[9]Роспись!H180</f>
        <v>275.68299999999999</v>
      </c>
      <c r="I193" s="648">
        <f>[9]Финансирование!I193+[9]Финансирование!J193+[9]Финансирование!K193+[9]Финансирование!L193+[9]Финансирование!M193+[9]Финансирование!N193+[9]Финансирование!O193+[9]Финансирование!P193</f>
        <v>18</v>
      </c>
      <c r="J193" s="648">
        <f>[9]Финансирование!Q193+[9]Финансирование!T193+[9]Финансирование!U193+[9]Финансирование!V193+[9]Финансирование!W193+[9]Финансирование!X193+[9]Финансирование!Y193+[9]Финансирование!Z193</f>
        <v>257.68299999999999</v>
      </c>
      <c r="K193" s="648">
        <f t="shared" si="17"/>
        <v>0</v>
      </c>
    </row>
    <row r="194" spans="1:16" x14ac:dyDescent="0.15">
      <c r="A194" s="647" t="str">
        <f>[9]Роспись!A181</f>
        <v xml:space="preserve">Прочие расходы </v>
      </c>
      <c r="B194" s="81" t="str">
        <f>[9]Роспись!B181</f>
        <v>056</v>
      </c>
      <c r="C194" s="81" t="str">
        <f>[9]Роспись!C181</f>
        <v>07</v>
      </c>
      <c r="D194" s="81" t="str">
        <f>[9]Роспись!D181</f>
        <v>05</v>
      </c>
      <c r="E194" s="81" t="str">
        <f>[9]Роспись!E181</f>
        <v>4299901</v>
      </c>
      <c r="F194" s="81" t="str">
        <f>[9]Роспись!F181</f>
        <v>001</v>
      </c>
      <c r="G194" s="81">
        <f>[9]Роспись!G181</f>
        <v>290</v>
      </c>
      <c r="H194" s="648">
        <f>[9]Роспись!H181</f>
        <v>3.6</v>
      </c>
      <c r="I194" s="648">
        <f>[9]Финансирование!I194+[9]Финансирование!J194+[9]Финансирование!K194+[9]Финансирование!L194+[9]Финансирование!M194+[9]Финансирование!N194+[9]Финансирование!O194+[9]Финансирование!P194</f>
        <v>1.2</v>
      </c>
      <c r="J194" s="648">
        <f>[9]Финансирование!Q194+[9]Финансирование!T194+[9]Финансирование!U194+[9]Финансирование!V194+[9]Финансирование!W194+[9]Финансирование!X194+[9]Финансирование!Y194+[9]Финансирование!Z194</f>
        <v>2.4000000000000004</v>
      </c>
      <c r="K194" s="648">
        <f t="shared" si="17"/>
        <v>0</v>
      </c>
    </row>
    <row r="195" spans="1:16" x14ac:dyDescent="0.15">
      <c r="A195" s="647" t="str">
        <f>[9]Роспись!A182</f>
        <v xml:space="preserve">Прочие расходы </v>
      </c>
      <c r="B195" s="81" t="str">
        <f>[9]Роспись!B182</f>
        <v>056</v>
      </c>
      <c r="C195" s="81" t="str">
        <f>[9]Роспись!C182</f>
        <v>07</v>
      </c>
      <c r="D195" s="81" t="str">
        <f>[9]Роспись!D182</f>
        <v>05</v>
      </c>
      <c r="E195" s="81" t="str">
        <f>[9]Роспись!E182</f>
        <v>4299501</v>
      </c>
      <c r="F195" s="81" t="str">
        <f>[9]Роспись!F182</f>
        <v>001</v>
      </c>
      <c r="G195" s="81" t="str">
        <f>[9]Роспись!G182</f>
        <v>290</v>
      </c>
      <c r="H195" s="648">
        <f>[9]Роспись!H182</f>
        <v>4.3599999999999994</v>
      </c>
      <c r="I195" s="648">
        <f>[9]Финансирование!I195+[9]Финансирование!J195+[9]Финансирование!K195+[9]Финансирование!L195+[9]Финансирование!M195+[9]Финансирование!N195+[9]Финансирование!O195+[9]Финансирование!P195</f>
        <v>4.3600000000000003</v>
      </c>
      <c r="J195" s="648">
        <f>[9]Финансирование!Q195+[9]Финансирование!T195+[9]Финансирование!U195+[9]Финансирование!V195+[9]Финансирование!W195+[9]Финансирование!X195+[9]Финансирование!Y195+[9]Финансирование!Z195</f>
        <v>0</v>
      </c>
      <c r="K195" s="648">
        <f t="shared" si="17"/>
        <v>-8.8817841970012523E-16</v>
      </c>
    </row>
    <row r="196" spans="1:16" x14ac:dyDescent="0.15">
      <c r="A196" s="647" t="str">
        <f>[9]Роспись!A183</f>
        <v>Увелич. стоимости осн. средств</v>
      </c>
      <c r="B196" s="81" t="str">
        <f>[9]Роспись!B183</f>
        <v>056</v>
      </c>
      <c r="C196" s="81" t="str">
        <f>[9]Роспись!C183</f>
        <v>07</v>
      </c>
      <c r="D196" s="81" t="str">
        <f>[9]Роспись!D183</f>
        <v>05</v>
      </c>
      <c r="E196" s="81" t="str">
        <f>[9]Роспись!E183</f>
        <v>4299901</v>
      </c>
      <c r="F196" s="81" t="str">
        <f>[9]Роспись!F183</f>
        <v>001</v>
      </c>
      <c r="G196" s="81">
        <f>[9]Роспись!G183</f>
        <v>310</v>
      </c>
      <c r="H196" s="648">
        <f>[9]Роспись!H183</f>
        <v>0</v>
      </c>
      <c r="I196" s="648">
        <f>[9]Финансирование!I196+[9]Финансирование!J196+[9]Финансирование!K196+[9]Финансирование!L196+[9]Финансирование!M196+[9]Финансирование!N196+[9]Финансирование!O196+[9]Финансирование!P196</f>
        <v>0</v>
      </c>
      <c r="J196" s="648">
        <f>[9]Финансирование!Q196+[9]Финансирование!T196+[9]Финансирование!U196+[9]Финансирование!V196+[9]Финансирование!W196+[9]Финансирование!X196+[9]Финансирование!Y196+[9]Финансирование!Z196</f>
        <v>0</v>
      </c>
      <c r="K196" s="648">
        <f t="shared" si="17"/>
        <v>0</v>
      </c>
    </row>
    <row r="197" spans="1:16" x14ac:dyDescent="0.15">
      <c r="A197" s="647" t="str">
        <f>[9]Роспись!A184</f>
        <v>Увелич. стоимости матер. запасов</v>
      </c>
      <c r="B197" s="81" t="str">
        <f>[9]Роспись!B184</f>
        <v>056</v>
      </c>
      <c r="C197" s="81" t="str">
        <f>[9]Роспись!C184</f>
        <v>07</v>
      </c>
      <c r="D197" s="81" t="str">
        <f>[9]Роспись!D184</f>
        <v>05</v>
      </c>
      <c r="E197" s="81" t="str">
        <f>[9]Роспись!E184</f>
        <v>4299901</v>
      </c>
      <c r="F197" s="81" t="str">
        <f>[9]Роспись!F184</f>
        <v>001</v>
      </c>
      <c r="G197" s="81">
        <f>[9]Роспись!G184</f>
        <v>340</v>
      </c>
      <c r="H197" s="648">
        <f>[9]Роспись!H184</f>
        <v>61</v>
      </c>
      <c r="I197" s="648">
        <f>[9]Финансирование!I197+[9]Финансирование!J197+[9]Финансирование!K197+[9]Финансирование!L197+[9]Финансирование!M197+[9]Финансирование!N197+[9]Финансирование!O197+[9]Финансирование!P197</f>
        <v>20.329999999999998</v>
      </c>
      <c r="J197" s="648">
        <f>[9]Финансирование!Q197+[9]Финансирование!T197+[9]Финансирование!U197+[9]Финансирование!V197+[9]Финансирование!W197+[9]Финансирование!X197+[9]Финансирование!Y197+[9]Финансирование!Z197</f>
        <v>40.67</v>
      </c>
      <c r="K197" s="648">
        <f t="shared" si="17"/>
        <v>0</v>
      </c>
    </row>
    <row r="198" spans="1:16" x14ac:dyDescent="0.15">
      <c r="A198" s="682" t="s">
        <v>98</v>
      </c>
      <c r="B198" s="688" t="s">
        <v>79</v>
      </c>
      <c r="C198" s="688" t="s">
        <v>100</v>
      </c>
      <c r="D198" s="688" t="s">
        <v>117</v>
      </c>
      <c r="E198" s="689" t="s">
        <v>939</v>
      </c>
      <c r="F198" s="689" t="s">
        <v>102</v>
      </c>
      <c r="G198" s="684"/>
      <c r="H198" s="650">
        <f>SUM(H185:H197)</f>
        <v>3355.3</v>
      </c>
      <c r="I198" s="676">
        <f>SUM(I185:I197)</f>
        <v>1520.2099999999998</v>
      </c>
      <c r="J198" s="676">
        <f>SUM(J185:J197)</f>
        <v>1835.0900000000001</v>
      </c>
      <c r="K198" s="651">
        <f>SUM(K185:K197)</f>
        <v>-8.8817841970012523E-16</v>
      </c>
      <c r="L198" s="652">
        <f>H198-I195</f>
        <v>3350.94</v>
      </c>
      <c r="M198" s="646"/>
      <c r="N198" s="646"/>
      <c r="O198" s="646"/>
      <c r="P198" s="646"/>
    </row>
    <row r="199" spans="1:16" ht="52" x14ac:dyDescent="0.15">
      <c r="A199" s="640" t="str">
        <f>'[9]Новая роспись'!A208</f>
        <v>Субсидия на финансовое обеспечение государственного задания на оказание государственных услуг (выполнение работ)</v>
      </c>
      <c r="B199" s="641"/>
      <c r="C199" s="641"/>
      <c r="D199" s="641"/>
      <c r="E199" s="666"/>
      <c r="F199" s="667">
        <f>'[9]Новая роспись'!F208</f>
        <v>611</v>
      </c>
      <c r="G199" s="667" t="str">
        <f>'[9]Новая роспись'!G208</f>
        <v>241</v>
      </c>
      <c r="H199" s="645">
        <f>'[9]Новая роспись'!H208</f>
        <v>1835.0900000000004</v>
      </c>
      <c r="I199" s="648">
        <f>J198</f>
        <v>1835.0900000000001</v>
      </c>
      <c r="J199" s="648"/>
      <c r="K199" s="648">
        <f>H199-I199</f>
        <v>0</v>
      </c>
      <c r="L199" s="646"/>
      <c r="M199" s="646"/>
      <c r="N199" s="646"/>
      <c r="O199" s="646"/>
      <c r="P199" s="646"/>
    </row>
    <row r="200" spans="1:16" x14ac:dyDescent="0.15">
      <c r="A200" s="78" t="s">
        <v>940</v>
      </c>
      <c r="B200" s="700" t="s">
        <v>79</v>
      </c>
      <c r="C200" s="700" t="s">
        <v>100</v>
      </c>
      <c r="D200" s="700" t="s">
        <v>120</v>
      </c>
      <c r="E200" s="672" t="s">
        <v>121</v>
      </c>
      <c r="F200" s="672" t="s">
        <v>122</v>
      </c>
      <c r="G200" s="701">
        <v>290</v>
      </c>
      <c r="H200" s="650">
        <f>[9]Роспись!H186</f>
        <v>756</v>
      </c>
      <c r="I200" s="702">
        <f>[9]Финансирование!I200+[9]Финансирование!J200+[9]Финансирование!K200+[9]Финансирование!L200+[9]Финансирование!M200+[9]Финансирование!N200+[9]Финансирование!O200+[9]Финансирование!P200+[9]Финансирование!Q200+[9]Финансирование!T200+[9]Финансирование!U200+[9]Финансирование!V200+[9]Финансирование!W200+[9]Финансирование!X200+[9]Финансирование!Y200</f>
        <v>756</v>
      </c>
      <c r="J200" s="702"/>
      <c r="K200" s="651">
        <f>H200-I200</f>
        <v>0</v>
      </c>
      <c r="L200" s="671"/>
      <c r="M200" s="671"/>
      <c r="N200" s="671"/>
      <c r="O200" s="671"/>
      <c r="P200" s="671"/>
    </row>
    <row r="201" spans="1:16" x14ac:dyDescent="0.15">
      <c r="A201" s="78" t="s">
        <v>940</v>
      </c>
      <c r="B201" s="81" t="str">
        <f>[9]Роспись!B187</f>
        <v>056</v>
      </c>
      <c r="C201" s="81" t="str">
        <f>[9]Роспись!C187</f>
        <v>07</v>
      </c>
      <c r="D201" s="81" t="str">
        <f>[9]Роспись!D187</f>
        <v>09</v>
      </c>
      <c r="E201" s="81" t="str">
        <f>[9]Роспись!E187</f>
        <v>4369300</v>
      </c>
      <c r="F201" s="81" t="str">
        <f>[9]Роспись!F187</f>
        <v>350</v>
      </c>
      <c r="G201" s="81" t="str">
        <f>[9]Роспись!G187</f>
        <v>290</v>
      </c>
      <c r="H201" s="703">
        <f>[9]Роспись!H187</f>
        <v>2200</v>
      </c>
      <c r="I201" s="702">
        <f>[9]Финансирование!I201+[9]Финансирование!J201+[9]Финансирование!K201+[9]Финансирование!L201+[9]Финансирование!M201+[9]Финансирование!N201+[9]Финансирование!Z201</f>
        <v>2200</v>
      </c>
      <c r="J201" s="648"/>
      <c r="K201" s="648">
        <f>H201-I201</f>
        <v>0</v>
      </c>
      <c r="L201" s="671"/>
      <c r="M201" s="671"/>
      <c r="N201" s="671"/>
      <c r="O201" s="671"/>
      <c r="P201" s="671"/>
    </row>
    <row r="202" spans="1:16" x14ac:dyDescent="0.15">
      <c r="A202" s="78" t="s">
        <v>123</v>
      </c>
      <c r="B202" s="641"/>
      <c r="C202" s="641"/>
      <c r="D202" s="641"/>
      <c r="E202" s="641"/>
      <c r="F202" s="641"/>
      <c r="G202" s="649"/>
      <c r="H202" s="648"/>
      <c r="I202" s="693"/>
      <c r="J202" s="693"/>
      <c r="K202" s="648"/>
      <c r="L202" s="671"/>
      <c r="M202" s="671"/>
      <c r="N202" s="671"/>
      <c r="O202" s="671"/>
      <c r="P202" s="671"/>
    </row>
    <row r="203" spans="1:16" x14ac:dyDescent="0.15">
      <c r="A203" s="647" t="str">
        <f>[9]Роспись!A189</f>
        <v>Заработная плата</v>
      </c>
      <c r="B203" s="81" t="str">
        <f>[9]Роспись!B189</f>
        <v>056</v>
      </c>
      <c r="C203" s="81" t="str">
        <f>[9]Роспись!C189</f>
        <v>07</v>
      </c>
      <c r="D203" s="81">
        <f>[9]Роспись!D189</f>
        <v>0</v>
      </c>
      <c r="E203" s="81">
        <f>[9]Роспись!E189</f>
        <v>0</v>
      </c>
      <c r="F203" s="81">
        <f>[9]Роспись!F189</f>
        <v>0</v>
      </c>
      <c r="G203" s="81">
        <f>[9]Роспись!G189</f>
        <v>211</v>
      </c>
      <c r="H203" s="648">
        <f t="shared" ref="H203:J211" si="18">H185+H168+H86</f>
        <v>61701.251999999993</v>
      </c>
      <c r="I203" s="693">
        <f t="shared" si="18"/>
        <v>28463.85</v>
      </c>
      <c r="J203" s="693">
        <f>J185+J168+J86</f>
        <v>33237.402000000002</v>
      </c>
      <c r="K203" s="693">
        <f t="shared" ref="K203:K211" si="19">K185+K168+K86</f>
        <v>0</v>
      </c>
    </row>
    <row r="204" spans="1:16" x14ac:dyDescent="0.15">
      <c r="A204" s="647" t="str">
        <f>[9]Роспись!A190</f>
        <v>Прочие выплаты</v>
      </c>
      <c r="B204" s="81" t="str">
        <f>[9]Роспись!B190</f>
        <v>056</v>
      </c>
      <c r="C204" s="81" t="str">
        <f>[9]Роспись!C190</f>
        <v>07</v>
      </c>
      <c r="D204" s="81">
        <f>[9]Роспись!D190</f>
        <v>0</v>
      </c>
      <c r="E204" s="81">
        <f>[9]Роспись!E190</f>
        <v>0</v>
      </c>
      <c r="F204" s="81">
        <f>[9]Роспись!F190</f>
        <v>0</v>
      </c>
      <c r="G204" s="81">
        <f>[9]Роспись!G190</f>
        <v>212</v>
      </c>
      <c r="H204" s="648">
        <f t="shared" si="18"/>
        <v>399.64</v>
      </c>
      <c r="I204" s="693">
        <f t="shared" si="18"/>
        <v>173.73000000000002</v>
      </c>
      <c r="J204" s="693">
        <f t="shared" si="18"/>
        <v>104</v>
      </c>
      <c r="K204" s="693">
        <f t="shared" si="19"/>
        <v>121.91000000000001</v>
      </c>
    </row>
    <row r="205" spans="1:16" x14ac:dyDescent="0.15">
      <c r="A205" s="647" t="str">
        <f>[9]Роспись!A191</f>
        <v>Начисления на оплату труда</v>
      </c>
      <c r="B205" s="81" t="str">
        <f>[9]Роспись!B191</f>
        <v>056</v>
      </c>
      <c r="C205" s="81" t="str">
        <f>[9]Роспись!C191</f>
        <v>07</v>
      </c>
      <c r="D205" s="81">
        <f>[9]Роспись!D191</f>
        <v>0</v>
      </c>
      <c r="E205" s="81">
        <f>[9]Роспись!E191</f>
        <v>0</v>
      </c>
      <c r="F205" s="81">
        <f>[9]Роспись!F191</f>
        <v>0</v>
      </c>
      <c r="G205" s="81">
        <f>[9]Роспись!G191</f>
        <v>213</v>
      </c>
      <c r="H205" s="648">
        <f t="shared" si="18"/>
        <v>18539.545999999998</v>
      </c>
      <c r="I205" s="693">
        <f t="shared" si="18"/>
        <v>9209.98</v>
      </c>
      <c r="J205" s="693">
        <f t="shared" si="18"/>
        <v>9313.5660000000007</v>
      </c>
      <c r="K205" s="693">
        <f t="shared" si="19"/>
        <v>16.000000000000057</v>
      </c>
    </row>
    <row r="206" spans="1:16" x14ac:dyDescent="0.15">
      <c r="A206" s="647" t="str">
        <f>[9]Роспись!A192</f>
        <v xml:space="preserve">Оплата услуг связи </v>
      </c>
      <c r="B206" s="81" t="str">
        <f>[9]Роспись!B192</f>
        <v>056</v>
      </c>
      <c r="C206" s="81" t="str">
        <f>[9]Роспись!C192</f>
        <v>07</v>
      </c>
      <c r="D206" s="81">
        <f>[9]Роспись!D192</f>
        <v>0</v>
      </c>
      <c r="E206" s="81">
        <f>[9]Роспись!E192</f>
        <v>0</v>
      </c>
      <c r="F206" s="81">
        <f>[9]Роспись!F192</f>
        <v>0</v>
      </c>
      <c r="G206" s="81">
        <f>[9]Роспись!G192</f>
        <v>221</v>
      </c>
      <c r="H206" s="648">
        <f t="shared" si="18"/>
        <v>159.5</v>
      </c>
      <c r="I206" s="693">
        <f t="shared" si="18"/>
        <v>33.25</v>
      </c>
      <c r="J206" s="693">
        <f t="shared" si="18"/>
        <v>114.9</v>
      </c>
      <c r="K206" s="693">
        <f t="shared" si="19"/>
        <v>11.35</v>
      </c>
    </row>
    <row r="207" spans="1:16" x14ac:dyDescent="0.15">
      <c r="A207" s="647" t="str">
        <f>[9]Роспись!A193</f>
        <v>Транспортные услуги</v>
      </c>
      <c r="B207" s="81" t="str">
        <f>[9]Роспись!B193</f>
        <v>056</v>
      </c>
      <c r="C207" s="81" t="str">
        <f>[9]Роспись!C193</f>
        <v>07</v>
      </c>
      <c r="D207" s="81">
        <f>[9]Роспись!D193</f>
        <v>0</v>
      </c>
      <c r="E207" s="81">
        <f>[9]Роспись!E193</f>
        <v>0</v>
      </c>
      <c r="F207" s="81">
        <f>[9]Роспись!F193</f>
        <v>0</v>
      </c>
      <c r="G207" s="81">
        <f>[9]Роспись!G193</f>
        <v>222</v>
      </c>
      <c r="H207" s="648">
        <f t="shared" si="18"/>
        <v>256.96000000000004</v>
      </c>
      <c r="I207" s="693">
        <f t="shared" si="18"/>
        <v>66.25</v>
      </c>
      <c r="J207" s="693">
        <f t="shared" si="18"/>
        <v>58.21</v>
      </c>
      <c r="K207" s="693">
        <f t="shared" si="19"/>
        <v>132.5</v>
      </c>
    </row>
    <row r="208" spans="1:16" x14ac:dyDescent="0.15">
      <c r="A208" s="647" t="str">
        <f>[9]Роспись!A194</f>
        <v>Коммунальные услуги</v>
      </c>
      <c r="B208" s="81" t="str">
        <f>[9]Роспись!B194</f>
        <v>056</v>
      </c>
      <c r="C208" s="81" t="str">
        <f>[9]Роспись!C194</f>
        <v>07</v>
      </c>
      <c r="D208" s="81">
        <f>[9]Роспись!D194</f>
        <v>0</v>
      </c>
      <c r="E208" s="81">
        <f>[9]Роспись!E194</f>
        <v>0</v>
      </c>
      <c r="F208" s="81">
        <f>[9]Роспись!F194</f>
        <v>0</v>
      </c>
      <c r="G208" s="81">
        <f>[9]Роспись!G194</f>
        <v>223</v>
      </c>
      <c r="H208" s="648">
        <f t="shared" si="18"/>
        <v>1979.431</v>
      </c>
      <c r="I208" s="693">
        <f t="shared" si="18"/>
        <v>854.57999999999993</v>
      </c>
      <c r="J208" s="693">
        <f t="shared" si="18"/>
        <v>1033.355</v>
      </c>
      <c r="K208" s="693">
        <f t="shared" si="19"/>
        <v>91.495999999999981</v>
      </c>
    </row>
    <row r="209" spans="1:16" x14ac:dyDescent="0.15">
      <c r="A209" s="647" t="str">
        <f>[9]Роспись!A195</f>
        <v>Аренда помещения</v>
      </c>
      <c r="B209" s="81" t="str">
        <f>[9]Роспись!B195</f>
        <v>056</v>
      </c>
      <c r="C209" s="81" t="str">
        <f>[9]Роспись!C195</f>
        <v>07</v>
      </c>
      <c r="D209" s="81">
        <f>[9]Роспись!D195</f>
        <v>0</v>
      </c>
      <c r="E209" s="81">
        <f>[9]Роспись!E195</f>
        <v>0</v>
      </c>
      <c r="F209" s="81">
        <f>[9]Роспись!F195</f>
        <v>0</v>
      </c>
      <c r="G209" s="81">
        <f>[9]Роспись!G195</f>
        <v>224</v>
      </c>
      <c r="H209" s="648">
        <f t="shared" si="18"/>
        <v>3</v>
      </c>
      <c r="I209" s="693">
        <f t="shared" si="18"/>
        <v>3</v>
      </c>
      <c r="J209" s="693">
        <f t="shared" si="18"/>
        <v>0</v>
      </c>
      <c r="K209" s="693">
        <f t="shared" si="19"/>
        <v>0</v>
      </c>
    </row>
    <row r="210" spans="1:16" x14ac:dyDescent="0.15">
      <c r="A210" s="647" t="str">
        <f>[9]Роспись!A196</f>
        <v>Услуги по содерж. имущества</v>
      </c>
      <c r="B210" s="81" t="str">
        <f>[9]Роспись!B196</f>
        <v>056</v>
      </c>
      <c r="C210" s="81" t="str">
        <f>[9]Роспись!C196</f>
        <v>07</v>
      </c>
      <c r="D210" s="81">
        <f>[9]Роспись!D196</f>
        <v>0</v>
      </c>
      <c r="E210" s="81">
        <f>[9]Роспись!E196</f>
        <v>0</v>
      </c>
      <c r="F210" s="81">
        <f>[9]Роспись!F196</f>
        <v>0</v>
      </c>
      <c r="G210" s="81">
        <f>[9]Роспись!G196</f>
        <v>225</v>
      </c>
      <c r="H210" s="648">
        <f t="shared" si="18"/>
        <v>2558.1</v>
      </c>
      <c r="I210" s="693">
        <f t="shared" si="18"/>
        <v>620.78</v>
      </c>
      <c r="J210" s="693">
        <f t="shared" si="18"/>
        <v>1920.7819999999999</v>
      </c>
      <c r="K210" s="693">
        <f t="shared" si="19"/>
        <v>16.537999999999997</v>
      </c>
    </row>
    <row r="211" spans="1:16" x14ac:dyDescent="0.15">
      <c r="A211" s="647" t="str">
        <f>[9]Роспись!A197</f>
        <v>Прочие услуги</v>
      </c>
      <c r="B211" s="81" t="str">
        <f>[9]Роспись!B197</f>
        <v>056</v>
      </c>
      <c r="C211" s="81" t="str">
        <f>[9]Роспись!C197</f>
        <v>07</v>
      </c>
      <c r="D211" s="81">
        <f>[9]Роспись!D197</f>
        <v>0</v>
      </c>
      <c r="E211" s="81">
        <f>[9]Роспись!E197</f>
        <v>0</v>
      </c>
      <c r="F211" s="81">
        <f>[9]Роспись!F197</f>
        <v>0</v>
      </c>
      <c r="G211" s="81">
        <f>[9]Роспись!G197</f>
        <v>226</v>
      </c>
      <c r="H211" s="648">
        <f t="shared" si="18"/>
        <v>2638.8130000000001</v>
      </c>
      <c r="I211" s="693">
        <f t="shared" si="18"/>
        <v>1212.4099999999999</v>
      </c>
      <c r="J211" s="693">
        <f t="shared" si="18"/>
        <v>570.93200000000002</v>
      </c>
      <c r="K211" s="693">
        <f t="shared" si="19"/>
        <v>855.47099999999978</v>
      </c>
    </row>
    <row r="212" spans="1:16" x14ac:dyDescent="0.15">
      <c r="A212" s="647" t="str">
        <f>[9]Роспись!A198</f>
        <v xml:space="preserve">Прочие расходы </v>
      </c>
      <c r="B212" s="81" t="str">
        <f>[9]Роспись!B198</f>
        <v>056</v>
      </c>
      <c r="C212" s="81" t="str">
        <f>[9]Роспись!C198</f>
        <v>07</v>
      </c>
      <c r="D212" s="81">
        <f>[9]Роспись!D198</f>
        <v>0</v>
      </c>
      <c r="E212" s="81">
        <f>[9]Роспись!E198</f>
        <v>0</v>
      </c>
      <c r="F212" s="81">
        <f>[9]Роспись!F198</f>
        <v>0</v>
      </c>
      <c r="G212" s="81">
        <f>[9]Роспись!G198</f>
        <v>290</v>
      </c>
      <c r="H212" s="648">
        <f>H194+H177+H95+H200+H201</f>
        <v>8375.6389999999992</v>
      </c>
      <c r="I212" s="693">
        <f>I194+I177+I95+I200+I201</f>
        <v>5164.9299999999994</v>
      </c>
      <c r="J212" s="693">
        <f>J194+J177+J95+J200+J201</f>
        <v>2922.9740000000002</v>
      </c>
      <c r="K212" s="693">
        <f>K194+K177+K95+K200+K201</f>
        <v>287.73499999999979</v>
      </c>
    </row>
    <row r="213" spans="1:16" x14ac:dyDescent="0.15">
      <c r="A213" s="647" t="str">
        <f>[9]Роспись!A199</f>
        <v xml:space="preserve">Прочие расходы </v>
      </c>
      <c r="B213" s="81" t="str">
        <f>[9]Роспись!B199</f>
        <v>056</v>
      </c>
      <c r="C213" s="81" t="str">
        <f>[9]Роспись!C199</f>
        <v>07</v>
      </c>
      <c r="D213" s="81">
        <f>[9]Роспись!D199</f>
        <v>0</v>
      </c>
      <c r="E213" s="81">
        <f>[9]Роспись!E199</f>
        <v>0</v>
      </c>
      <c r="F213" s="81">
        <f>[9]Роспись!F199</f>
        <v>0</v>
      </c>
      <c r="G213" s="81" t="str">
        <f>[9]Роспись!G199</f>
        <v>290</v>
      </c>
      <c r="H213" s="648">
        <f>H195+H178+H96</f>
        <v>2399.86</v>
      </c>
      <c r="I213" s="693">
        <f t="shared" ref="H213:K215" si="20">I195+I178+I96</f>
        <v>1275.02</v>
      </c>
      <c r="J213" s="693">
        <f t="shared" si="20"/>
        <v>1124.8400000000001</v>
      </c>
      <c r="K213" s="693">
        <f t="shared" si="20"/>
        <v>-1.7763568394002505E-15</v>
      </c>
    </row>
    <row r="214" spans="1:16" x14ac:dyDescent="0.15">
      <c r="A214" s="647" t="str">
        <f>[9]Роспись!A200</f>
        <v>Увелич. стоимости осн. средств</v>
      </c>
      <c r="B214" s="81" t="str">
        <f>[9]Роспись!B200</f>
        <v>056</v>
      </c>
      <c r="C214" s="81" t="str">
        <f>[9]Роспись!C200</f>
        <v>07</v>
      </c>
      <c r="D214" s="81">
        <f>[9]Роспись!D200</f>
        <v>0</v>
      </c>
      <c r="E214" s="81">
        <f>[9]Роспись!E200</f>
        <v>0</v>
      </c>
      <c r="F214" s="81">
        <f>[9]Роспись!F200</f>
        <v>0</v>
      </c>
      <c r="G214" s="81">
        <f>[9]Роспись!G200</f>
        <v>310</v>
      </c>
      <c r="H214" s="648">
        <f t="shared" si="20"/>
        <v>475.41899999999998</v>
      </c>
      <c r="I214" s="693">
        <f t="shared" si="20"/>
        <v>0</v>
      </c>
      <c r="J214" s="693">
        <f t="shared" si="20"/>
        <v>166.91900000000001</v>
      </c>
      <c r="K214" s="693">
        <f t="shared" si="20"/>
        <v>308.5</v>
      </c>
    </row>
    <row r="215" spans="1:16" x14ac:dyDescent="0.15">
      <c r="A215" s="647" t="str">
        <f>[9]Роспись!A201</f>
        <v>Увелич. стоимости матер. запасов</v>
      </c>
      <c r="B215" s="81" t="str">
        <f>[9]Роспись!B201</f>
        <v>056</v>
      </c>
      <c r="C215" s="81" t="str">
        <f>[9]Роспись!C201</f>
        <v>07</v>
      </c>
      <c r="D215" s="81">
        <f>[9]Роспись!D201</f>
        <v>0</v>
      </c>
      <c r="E215" s="81">
        <f>[9]Роспись!E201</f>
        <v>0</v>
      </c>
      <c r="F215" s="81">
        <f>[9]Роспись!F201</f>
        <v>0</v>
      </c>
      <c r="G215" s="81">
        <f>[9]Роспись!G201</f>
        <v>340</v>
      </c>
      <c r="H215" s="648">
        <f t="shared" si="20"/>
        <v>446.45</v>
      </c>
      <c r="I215" s="693">
        <f t="shared" si="20"/>
        <v>142.15</v>
      </c>
      <c r="J215" s="693">
        <f t="shared" si="20"/>
        <v>168.29300000000001</v>
      </c>
      <c r="K215" s="693">
        <f t="shared" si="20"/>
        <v>136.00700000000001</v>
      </c>
    </row>
    <row r="216" spans="1:16" x14ac:dyDescent="0.15">
      <c r="A216" s="78" t="s">
        <v>98</v>
      </c>
      <c r="B216" s="641" t="s">
        <v>79</v>
      </c>
      <c r="C216" s="641" t="s">
        <v>100</v>
      </c>
      <c r="D216" s="641"/>
      <c r="E216" s="641"/>
      <c r="F216" s="641"/>
      <c r="G216" s="649"/>
      <c r="H216" s="643">
        <f>SUM(H203:H215)</f>
        <v>99933.609999999986</v>
      </c>
      <c r="I216" s="681">
        <f>SUM(I203:I215)</f>
        <v>47219.93</v>
      </c>
      <c r="J216" s="681">
        <f>SUM(J203:J215)</f>
        <v>50736.17300000001</v>
      </c>
      <c r="K216" s="681">
        <f>SUM(K203:K215)</f>
        <v>1977.5069999999996</v>
      </c>
      <c r="L216" s="652">
        <f>H201+H200+H198+H181+H99</f>
        <v>99933.61</v>
      </c>
      <c r="M216" s="652">
        <f>I201+I200+I198+I181+I99</f>
        <v>47219.93</v>
      </c>
      <c r="N216" s="652">
        <f>J201+J200+J198+J181+J99</f>
        <v>50736.172999999988</v>
      </c>
      <c r="O216" s="652">
        <f>K201+K200+K198+K181+K99</f>
        <v>1977.5070000000001</v>
      </c>
      <c r="P216" s="646"/>
    </row>
    <row r="217" spans="1:16" ht="52" x14ac:dyDescent="0.15">
      <c r="A217" s="640" t="str">
        <f>A182</f>
        <v>Субсидия на финансовое обеспечение государственного задания на оказание государственных услуг (выполнение работ)</v>
      </c>
      <c r="B217" s="641"/>
      <c r="C217" s="641"/>
      <c r="D217" s="641"/>
      <c r="E217" s="641"/>
      <c r="F217" s="645">
        <f>F182</f>
        <v>611</v>
      </c>
      <c r="G217" s="645" t="str">
        <f>G182</f>
        <v>241</v>
      </c>
      <c r="H217" s="643">
        <f>H199+H182+H100</f>
        <v>52677.17</v>
      </c>
      <c r="I217" s="681">
        <f>I199+I182+I100</f>
        <v>50699.662999999993</v>
      </c>
      <c r="J217" s="681"/>
      <c r="K217" s="681">
        <f>K199+K182+K100</f>
        <v>1977.5069999999982</v>
      </c>
      <c r="L217" s="652">
        <f>I216+1050</f>
        <v>48269.93</v>
      </c>
      <c r="M217" s="646"/>
      <c r="N217" s="646"/>
      <c r="O217" s="646"/>
      <c r="P217" s="646"/>
    </row>
    <row r="218" spans="1:16" x14ac:dyDescent="0.15">
      <c r="A218" s="640" t="str">
        <f>A183</f>
        <v>Субсидии на иные цели</v>
      </c>
      <c r="B218" s="641"/>
      <c r="C218" s="641"/>
      <c r="D218" s="641"/>
      <c r="E218" s="641"/>
      <c r="F218" s="645" t="str">
        <f>F183</f>
        <v>612</v>
      </c>
      <c r="G218" s="645" t="str">
        <f>G183</f>
        <v>241</v>
      </c>
      <c r="H218" s="643">
        <f>H183</f>
        <v>36.510000000000005</v>
      </c>
      <c r="I218" s="681">
        <f>I183</f>
        <v>36.510000000000005</v>
      </c>
      <c r="J218" s="681"/>
      <c r="K218" s="681">
        <f>K183</f>
        <v>0</v>
      </c>
      <c r="L218" s="646"/>
      <c r="M218" s="646"/>
      <c r="N218" s="646"/>
      <c r="O218" s="646"/>
      <c r="P218" s="646"/>
    </row>
    <row r="219" spans="1:16" x14ac:dyDescent="0.15">
      <c r="A219" s="78" t="s">
        <v>38</v>
      </c>
      <c r="B219" s="672"/>
      <c r="C219" s="672"/>
      <c r="D219" s="641"/>
      <c r="E219" s="641"/>
      <c r="F219" s="641"/>
      <c r="G219" s="649"/>
      <c r="H219" s="648"/>
      <c r="I219" s="693"/>
      <c r="J219" s="693"/>
      <c r="K219" s="648"/>
      <c r="L219" s="646"/>
      <c r="M219" s="646"/>
      <c r="N219" s="646"/>
      <c r="O219" s="646"/>
      <c r="P219" s="646"/>
    </row>
    <row r="220" spans="1:16" x14ac:dyDescent="0.15">
      <c r="A220" s="647" t="str">
        <f>[9]Роспись!A204</f>
        <v xml:space="preserve">Заработная плата </v>
      </c>
      <c r="B220" s="81" t="str">
        <f>[9]Роспись!B204</f>
        <v>056</v>
      </c>
      <c r="C220" s="81" t="str">
        <f>[9]Роспись!C204</f>
        <v>08</v>
      </c>
      <c r="D220" s="81" t="str">
        <f>[9]Роспись!D204</f>
        <v>01</v>
      </c>
      <c r="E220" s="81">
        <f>[9]Роспись!E204</f>
        <v>4409901</v>
      </c>
      <c r="F220" s="81" t="str">
        <f>[9]Роспись!F204</f>
        <v>001</v>
      </c>
      <c r="G220" s="81">
        <f>[9]Роспись!G204</f>
        <v>211</v>
      </c>
      <c r="H220" s="648">
        <f>[9]Роспись!H204</f>
        <v>17145.8</v>
      </c>
      <c r="I220" s="648">
        <f>[9]Финансирование!I220+[9]Финансирование!J220+[9]Финансирование!K220+[9]Финансирование!L220+[9]Финансирование!M220+[9]Финансирование!N220+[9]Финансирование!O220+[9]Финансирование!P220</f>
        <v>7762.76</v>
      </c>
      <c r="J220" s="648">
        <f>[9]Финансирование!Q220+[9]Финансирование!T220+[9]Финансирование!U220+[9]Финансирование!V220+[9]Финансирование!W220+[9]Финансирование!X220+[9]Финансирование!Y220+[9]Финансирование!Z220</f>
        <v>9383.0400000000009</v>
      </c>
      <c r="K220" s="648">
        <f>H220-I220-J220</f>
        <v>0</v>
      </c>
      <c r="L220" s="635">
        <v>9383.0400000000009</v>
      </c>
      <c r="M220" s="658">
        <f>L220-J220</f>
        <v>0</v>
      </c>
    </row>
    <row r="221" spans="1:16" x14ac:dyDescent="0.15">
      <c r="A221" s="647" t="str">
        <f>[9]Роспись!A205</f>
        <v>Прочие выплаты</v>
      </c>
      <c r="B221" s="81" t="str">
        <f>[9]Роспись!B205</f>
        <v>056</v>
      </c>
      <c r="C221" s="81" t="str">
        <f>[9]Роспись!C205</f>
        <v>08</v>
      </c>
      <c r="D221" s="81" t="str">
        <f>[9]Роспись!D205</f>
        <v>01</v>
      </c>
      <c r="E221" s="81">
        <f>[9]Роспись!E205</f>
        <v>4409901</v>
      </c>
      <c r="F221" s="81" t="str">
        <f>[9]Роспись!F205</f>
        <v>001</v>
      </c>
      <c r="G221" s="81">
        <f>[9]Роспись!G205</f>
        <v>212</v>
      </c>
      <c r="H221" s="648">
        <f>[9]Роспись!H205</f>
        <v>180</v>
      </c>
      <c r="I221" s="648">
        <f>[9]Финансирование!I221+[9]Финансирование!J221+[9]Финансирование!K221+[9]Финансирование!L221+[9]Финансирование!M221+[9]Финансирование!N221+[9]Финансирование!O221+[9]Финансирование!P221</f>
        <v>75</v>
      </c>
      <c r="J221" s="648">
        <f>[9]Финансирование!Q221+[9]Финансирование!T221+[9]Финансирование!U221+[9]Финансирование!V221+[9]Финансирование!W221+[9]Финансирование!X221+[9]Финансирование!Y221+[9]Финансирование!Z221</f>
        <v>105</v>
      </c>
      <c r="K221" s="648">
        <f t="shared" ref="K221:K232" si="21">H221-I221-J221</f>
        <v>0</v>
      </c>
      <c r="M221" s="658"/>
    </row>
    <row r="222" spans="1:16" x14ac:dyDescent="0.15">
      <c r="A222" s="647" t="str">
        <f>[9]Роспись!A206</f>
        <v>Начисления на оплату труда</v>
      </c>
      <c r="B222" s="81" t="str">
        <f>[9]Роспись!B206</f>
        <v>056</v>
      </c>
      <c r="C222" s="81" t="str">
        <f>[9]Роспись!C206</f>
        <v>08</v>
      </c>
      <c r="D222" s="81" t="str">
        <f>[9]Роспись!D206</f>
        <v>01</v>
      </c>
      <c r="E222" s="81">
        <f>[9]Роспись!E206</f>
        <v>4409901</v>
      </c>
      <c r="F222" s="81" t="str">
        <f>[9]Роспись!F206</f>
        <v>001</v>
      </c>
      <c r="G222" s="81">
        <f>[9]Роспись!G206</f>
        <v>213</v>
      </c>
      <c r="H222" s="648">
        <f>[9]Роспись!H206</f>
        <v>4883.8999999999996</v>
      </c>
      <c r="I222" s="648">
        <f>[9]Финансирование!I222+[9]Финансирование!J222+[9]Финансирование!K222+[9]Финансирование!L222+[9]Финансирование!M222+[9]Финансирование!N222+[9]Финансирование!O222+[9]Финансирование!P222</f>
        <v>2511.81</v>
      </c>
      <c r="J222" s="648">
        <f>[9]Финансирование!Q222+[9]Финансирование!T222+[9]Финансирование!U222+[9]Финансирование!V222+[9]Финансирование!W222+[9]Финансирование!X222+[9]Финансирование!Y222+[9]Финансирование!Z222</f>
        <v>2372.09</v>
      </c>
      <c r="K222" s="648">
        <f t="shared" si="21"/>
        <v>0</v>
      </c>
      <c r="M222" s="658"/>
    </row>
    <row r="223" spans="1:16" x14ac:dyDescent="0.15">
      <c r="A223" s="647" t="str">
        <f>[9]Роспись!A207</f>
        <v xml:space="preserve">Оплата услуг связи </v>
      </c>
      <c r="B223" s="81" t="str">
        <f>[9]Роспись!B207</f>
        <v>056</v>
      </c>
      <c r="C223" s="81" t="str">
        <f>[9]Роспись!C207</f>
        <v>08</v>
      </c>
      <c r="D223" s="81" t="str">
        <f>[9]Роспись!D207</f>
        <v>01</v>
      </c>
      <c r="E223" s="81">
        <f>[9]Роспись!E207</f>
        <v>4409901</v>
      </c>
      <c r="F223" s="81" t="str">
        <f>[9]Роспись!F207</f>
        <v>001</v>
      </c>
      <c r="G223" s="81">
        <f>[9]Роспись!G207</f>
        <v>221</v>
      </c>
      <c r="H223" s="648">
        <f>[9]Роспись!H207</f>
        <v>157</v>
      </c>
      <c r="I223" s="648">
        <f>[9]Финансирование!I223+[9]Финансирование!J223+[9]Финансирование!K223+[9]Финансирование!L223+[9]Финансирование!M223+[9]Финансирование!N223+[9]Финансирование!O223+[9]Финансирование!P223</f>
        <v>39.25</v>
      </c>
      <c r="J223" s="648">
        <f>[9]Финансирование!Q223+[9]Финансирование!T223+[9]Финансирование!U223+[9]Финансирование!V223+[9]Финансирование!W223+[9]Финансирование!X223+[9]Финансирование!Y223+[9]Финансирование!Z223</f>
        <v>117.75</v>
      </c>
      <c r="K223" s="648">
        <f t="shared" si="21"/>
        <v>0</v>
      </c>
      <c r="M223" s="658"/>
    </row>
    <row r="224" spans="1:16" x14ac:dyDescent="0.15">
      <c r="A224" s="647" t="str">
        <f>[9]Роспись!A208</f>
        <v>Транспортные услуги</v>
      </c>
      <c r="B224" s="81" t="str">
        <f>[9]Роспись!B208</f>
        <v>056</v>
      </c>
      <c r="C224" s="81" t="str">
        <f>[9]Роспись!C208</f>
        <v>08</v>
      </c>
      <c r="D224" s="81" t="str">
        <f>[9]Роспись!D208</f>
        <v>01</v>
      </c>
      <c r="E224" s="81">
        <f>[9]Роспись!E208</f>
        <v>4409901</v>
      </c>
      <c r="F224" s="81" t="str">
        <f>[9]Роспись!F208</f>
        <v>001</v>
      </c>
      <c r="G224" s="81">
        <f>[9]Роспись!G208</f>
        <v>222</v>
      </c>
      <c r="H224" s="648">
        <f>[9]Роспись!H208</f>
        <v>890</v>
      </c>
      <c r="I224" s="648">
        <f>[9]Финансирование!I224+[9]Финансирование!J224+[9]Финансирование!K224+[9]Финансирование!L224+[9]Финансирование!M224+[9]Финансирование!N224+[9]Финансирование!O224+[9]Финансирование!P224</f>
        <v>22.5</v>
      </c>
      <c r="J224" s="648">
        <f>[9]Финансирование!Q224+[9]Финансирование!T224+[9]Финансирование!U224+[9]Финансирование!V224+[9]Финансирование!W224+[9]Финансирование!X224+[9]Финансирование!Y224+[9]Финансирование!Z224</f>
        <v>867.5</v>
      </c>
      <c r="K224" s="648">
        <f t="shared" si="21"/>
        <v>0</v>
      </c>
      <c r="L224" s="635">
        <v>867.5</v>
      </c>
      <c r="M224" s="658">
        <f>L224-J224</f>
        <v>0</v>
      </c>
    </row>
    <row r="225" spans="1:16" x14ac:dyDescent="0.15">
      <c r="A225" s="647" t="str">
        <f>[9]Роспись!A209</f>
        <v>Коммунальные услуги</v>
      </c>
      <c r="B225" s="81" t="str">
        <f>[9]Роспись!B209</f>
        <v>056</v>
      </c>
      <c r="C225" s="81" t="str">
        <f>[9]Роспись!C209</f>
        <v>08</v>
      </c>
      <c r="D225" s="81" t="str">
        <f>[9]Роспись!D209</f>
        <v>01</v>
      </c>
      <c r="E225" s="81">
        <f>[9]Роспись!E209</f>
        <v>4409901</v>
      </c>
      <c r="F225" s="81" t="str">
        <f>[9]Роспись!F209</f>
        <v>001</v>
      </c>
      <c r="G225" s="81">
        <f>[9]Роспись!G209</f>
        <v>223</v>
      </c>
      <c r="H225" s="648">
        <f>[9]Роспись!H209</f>
        <v>121</v>
      </c>
      <c r="I225" s="648">
        <f>[9]Финансирование!I225+[9]Финансирование!J225+[9]Финансирование!K225+[9]Финансирование!L225+[9]Финансирование!M225+[9]Финансирование!N225+[9]Финансирование!O225+[9]Финансирование!P225</f>
        <v>74.58</v>
      </c>
      <c r="J225" s="648">
        <f>[9]Финансирование!Q225+[9]Финансирование!T225+[9]Финансирование!U225+[9]Финансирование!V225+[9]Финансирование!W225+[9]Финансирование!X225+[9]Финансирование!Y225+[9]Финансирование!Z225</f>
        <v>46.42</v>
      </c>
      <c r="K225" s="648">
        <f t="shared" si="21"/>
        <v>0</v>
      </c>
      <c r="M225" s="658"/>
    </row>
    <row r="226" spans="1:16" x14ac:dyDescent="0.15">
      <c r="A226" s="647" t="str">
        <f>[9]Роспись!A210</f>
        <v>Аренда помещения</v>
      </c>
      <c r="B226" s="81" t="str">
        <f>[9]Роспись!B210</f>
        <v>056</v>
      </c>
      <c r="C226" s="81" t="str">
        <f>[9]Роспись!C210</f>
        <v>08</v>
      </c>
      <c r="D226" s="81" t="str">
        <f>[9]Роспись!D210</f>
        <v>01</v>
      </c>
      <c r="E226" s="81">
        <f>[9]Роспись!E210</f>
        <v>4409901</v>
      </c>
      <c r="F226" s="81" t="str">
        <f>[9]Роспись!F210</f>
        <v>001</v>
      </c>
      <c r="G226" s="81">
        <f>[9]Роспись!G210</f>
        <v>224</v>
      </c>
      <c r="H226" s="648">
        <f>[9]Роспись!H210</f>
        <v>0</v>
      </c>
      <c r="I226" s="648">
        <f>[9]Финансирование!I226+[9]Финансирование!J226+[9]Финансирование!K226+[9]Финансирование!L226+[9]Финансирование!M226+[9]Финансирование!N226+[9]Финансирование!O226+[9]Финансирование!P226</f>
        <v>0</v>
      </c>
      <c r="J226" s="648">
        <f>[9]Финансирование!Q226+[9]Финансирование!T226+[9]Финансирование!U226+[9]Финансирование!V226+[9]Финансирование!W226+[9]Финансирование!X226+[9]Финансирование!Y226+[9]Финансирование!Z226</f>
        <v>0</v>
      </c>
      <c r="K226" s="648">
        <f t="shared" si="21"/>
        <v>0</v>
      </c>
      <c r="M226" s="658"/>
    </row>
    <row r="227" spans="1:16" x14ac:dyDescent="0.15">
      <c r="A227" s="647" t="str">
        <f>[9]Роспись!A211</f>
        <v>Услуги по содерж. имущества</v>
      </c>
      <c r="B227" s="81" t="str">
        <f>[9]Роспись!B211</f>
        <v>056</v>
      </c>
      <c r="C227" s="81" t="str">
        <f>[9]Роспись!C211</f>
        <v>08</v>
      </c>
      <c r="D227" s="81" t="str">
        <f>[9]Роспись!D211</f>
        <v>01</v>
      </c>
      <c r="E227" s="81">
        <f>[9]Роспись!E211</f>
        <v>4409901</v>
      </c>
      <c r="F227" s="81" t="str">
        <f>[9]Роспись!F211</f>
        <v>001</v>
      </c>
      <c r="G227" s="81">
        <f>[9]Роспись!G211</f>
        <v>225</v>
      </c>
      <c r="H227" s="648">
        <f>[9]Роспись!H211</f>
        <v>289</v>
      </c>
      <c r="I227" s="648">
        <f>[9]Финансирование!I227+[9]Финансирование!J227+[9]Финансирование!K227+[9]Финансирование!L227+[9]Финансирование!M227+[9]Финансирование!N227+[9]Финансирование!O227+[9]Финансирование!P227</f>
        <v>72.25</v>
      </c>
      <c r="J227" s="648">
        <f>[9]Финансирование!Q227+[9]Финансирование!T227+[9]Финансирование!U227+[9]Финансирование!V227+[9]Финансирование!W227+[9]Финансирование!X227+[9]Финансирование!Y227+[9]Финансирование!Z227</f>
        <v>216.75</v>
      </c>
      <c r="K227" s="648">
        <f t="shared" si="21"/>
        <v>0</v>
      </c>
      <c r="M227" s="658"/>
    </row>
    <row r="228" spans="1:16" x14ac:dyDescent="0.15">
      <c r="A228" s="647" t="str">
        <f>[9]Роспись!A212</f>
        <v>Прочие услуги</v>
      </c>
      <c r="B228" s="81" t="str">
        <f>[9]Роспись!B212</f>
        <v>056</v>
      </c>
      <c r="C228" s="81" t="str">
        <f>[9]Роспись!C212</f>
        <v>08</v>
      </c>
      <c r="D228" s="81" t="str">
        <f>[9]Роспись!D212</f>
        <v>01</v>
      </c>
      <c r="E228" s="81">
        <f>[9]Роспись!E212</f>
        <v>4409901</v>
      </c>
      <c r="F228" s="81" t="str">
        <f>[9]Роспись!F212</f>
        <v>001</v>
      </c>
      <c r="G228" s="81">
        <f>[9]Роспись!G212</f>
        <v>226</v>
      </c>
      <c r="H228" s="648">
        <f>[9]Роспись!H212</f>
        <v>11548.27</v>
      </c>
      <c r="I228" s="648">
        <f>[9]Финансирование!I228+[9]Финансирование!J228+[9]Финансирование!K228+[9]Финансирование!L228+[9]Финансирование!M228+[9]Финансирование!N228+[9]Финансирование!O228+[9]Финансирование!P228</f>
        <v>7089.54</v>
      </c>
      <c r="J228" s="648">
        <f>[9]Финансирование!Q228+[9]Финансирование!T228+[9]Финансирование!U228+[9]Финансирование!V228+[9]Финансирование!W228+[9]Финансирование!X228+[9]Финансирование!Y228+[9]Финансирование!Z228</f>
        <v>4458.7299999999996</v>
      </c>
      <c r="K228" s="648">
        <f t="shared" si="21"/>
        <v>0</v>
      </c>
      <c r="L228" s="635">
        <v>4458.7299999999996</v>
      </c>
      <c r="M228" s="658">
        <f>L228-J228</f>
        <v>0</v>
      </c>
    </row>
    <row r="229" spans="1:16" x14ac:dyDescent="0.15">
      <c r="A229" s="647" t="str">
        <f>[9]Роспись!A213</f>
        <v xml:space="preserve">Прочие расходы </v>
      </c>
      <c r="B229" s="81" t="str">
        <f>[9]Роспись!B213</f>
        <v>056</v>
      </c>
      <c r="C229" s="81" t="str">
        <f>[9]Роспись!C213</f>
        <v>08</v>
      </c>
      <c r="D229" s="81" t="str">
        <f>[9]Роспись!D213</f>
        <v>01</v>
      </c>
      <c r="E229" s="81">
        <f>[9]Роспись!E213</f>
        <v>4409901</v>
      </c>
      <c r="F229" s="81" t="str">
        <f>[9]Роспись!F213</f>
        <v>001</v>
      </c>
      <c r="G229" s="81">
        <f>[9]Роспись!G213</f>
        <v>290</v>
      </c>
      <c r="H229" s="648">
        <f>[9]Роспись!H213</f>
        <v>19.399999999999999</v>
      </c>
      <c r="I229" s="648">
        <f>[9]Финансирование!I229+[9]Финансирование!J229+[9]Финансирование!K229+[9]Финансирование!L229+[9]Финансирование!M229+[9]Финансирование!N229+[9]Финансирование!O229+[9]Финансирование!P229</f>
        <v>9.7000000000000011</v>
      </c>
      <c r="J229" s="648">
        <f>[9]Финансирование!Q229+[9]Финансирование!T229+[9]Финансирование!U229+[9]Финансирование!V229+[9]Финансирование!W229+[9]Финансирование!X229+[9]Финансирование!Y229+[9]Финансирование!Z229</f>
        <v>9.6999999999999993</v>
      </c>
      <c r="K229" s="648">
        <f t="shared" si="21"/>
        <v>0</v>
      </c>
      <c r="M229" s="658"/>
    </row>
    <row r="230" spans="1:16" x14ac:dyDescent="0.15">
      <c r="A230" s="647" t="str">
        <f>[9]Роспись!A214</f>
        <v xml:space="preserve">Прочие расходы </v>
      </c>
      <c r="B230" s="81" t="str">
        <f>[9]Роспись!B214</f>
        <v>056</v>
      </c>
      <c r="C230" s="81" t="str">
        <f>[9]Роспись!C214</f>
        <v>08</v>
      </c>
      <c r="D230" s="81" t="str">
        <f>[9]Роспись!D214</f>
        <v>01</v>
      </c>
      <c r="E230" s="81" t="str">
        <f>[9]Роспись!E214</f>
        <v>4409500</v>
      </c>
      <c r="F230" s="81" t="str">
        <f>[9]Роспись!F214</f>
        <v>001</v>
      </c>
      <c r="G230" s="81" t="str">
        <f>[9]Роспись!G214</f>
        <v>290</v>
      </c>
      <c r="H230" s="648">
        <f>[9]Роспись!H214</f>
        <v>54.459999999999994</v>
      </c>
      <c r="I230" s="648">
        <f>[9]Финансирование!I230+[9]Финансирование!J230+[9]Финансирование!K230+[9]Финансирование!L230+[9]Финансирование!M230+[9]Финансирование!N230+[9]Финансирование!O230+[9]Финансирование!P230</f>
        <v>54.46</v>
      </c>
      <c r="J230" s="648">
        <f>[9]Финансирование!Q230+[9]Финансирование!T230+[9]Финансирование!U230+[9]Финансирование!V230+[9]Финансирование!W230+[9]Финансирование!X230+[9]Финансирование!Y230+[9]Финансирование!Z230</f>
        <v>0</v>
      </c>
      <c r="K230" s="648">
        <f t="shared" si="21"/>
        <v>-7.1054273576010019E-15</v>
      </c>
      <c r="M230" s="658"/>
    </row>
    <row r="231" spans="1:16" x14ac:dyDescent="0.15">
      <c r="A231" s="647" t="str">
        <f>[9]Роспись!A215</f>
        <v>Увелич. стоимости осн. средств</v>
      </c>
      <c r="B231" s="81" t="str">
        <f>[9]Роспись!B215</f>
        <v>056</v>
      </c>
      <c r="C231" s="81" t="str">
        <f>[9]Роспись!C215</f>
        <v>08</v>
      </c>
      <c r="D231" s="81" t="str">
        <f>[9]Роспись!D215</f>
        <v>01</v>
      </c>
      <c r="E231" s="81">
        <f>[9]Роспись!E215</f>
        <v>4409901</v>
      </c>
      <c r="F231" s="81" t="str">
        <f>[9]Роспись!F215</f>
        <v>001</v>
      </c>
      <c r="G231" s="81">
        <f>[9]Роспись!G215</f>
        <v>310</v>
      </c>
      <c r="H231" s="648">
        <f>[9]Роспись!H215</f>
        <v>720</v>
      </c>
      <c r="I231" s="648">
        <f>[9]Финансирование!I231+[9]Финансирование!J231+[9]Финансирование!K231+[9]Финансирование!L231+[9]Финансирование!M231+[9]Финансирование!N231+[9]Финансирование!O231+[9]Финансирование!P231</f>
        <v>720</v>
      </c>
      <c r="J231" s="648">
        <f>[9]Финансирование!Q231+[9]Финансирование!T231+[9]Финансирование!U231+[9]Финансирование!V231+[9]Финансирование!W231+[9]Финансирование!X231+[9]Финансирование!Y231+[9]Финансирование!Z231</f>
        <v>0</v>
      </c>
      <c r="K231" s="648">
        <f t="shared" si="21"/>
        <v>0</v>
      </c>
      <c r="M231" s="658"/>
    </row>
    <row r="232" spans="1:16" x14ac:dyDescent="0.15">
      <c r="A232" s="647" t="str">
        <f>[9]Роспись!A216</f>
        <v>Увелич. стоимости матер. запасов</v>
      </c>
      <c r="B232" s="81" t="str">
        <f>[9]Роспись!B216</f>
        <v>056</v>
      </c>
      <c r="C232" s="81" t="str">
        <f>[9]Роспись!C216</f>
        <v>08</v>
      </c>
      <c r="D232" s="81" t="str">
        <f>[9]Роспись!D216</f>
        <v>01</v>
      </c>
      <c r="E232" s="81">
        <f>[9]Роспись!E216</f>
        <v>4409901</v>
      </c>
      <c r="F232" s="81" t="str">
        <f>[9]Роспись!F216</f>
        <v>001</v>
      </c>
      <c r="G232" s="81">
        <f>[9]Роспись!G216</f>
        <v>340</v>
      </c>
      <c r="H232" s="648">
        <f>[9]Роспись!H216</f>
        <v>730</v>
      </c>
      <c r="I232" s="648">
        <f>[9]Финансирование!I232+[9]Финансирование!J232+[9]Финансирование!K232+[9]Финансирование!L232+[9]Финансирование!M232+[9]Финансирование!N232+[9]Финансирование!O232+[9]Финансирование!P232</f>
        <v>243.32999999999998</v>
      </c>
      <c r="J232" s="648">
        <f>[9]Финансирование!Q232+[9]Финансирование!T232+[9]Финансирование!U232+[9]Финансирование!V232+[9]Финансирование!W232+[9]Финансирование!X232+[9]Финансирование!Y232+[9]Финансирование!Z232</f>
        <v>486.67</v>
      </c>
      <c r="K232" s="648">
        <f t="shared" si="21"/>
        <v>0</v>
      </c>
      <c r="M232" s="658"/>
    </row>
    <row r="233" spans="1:16" x14ac:dyDescent="0.15">
      <c r="A233" s="674" t="s">
        <v>98</v>
      </c>
      <c r="B233" s="666" t="s">
        <v>79</v>
      </c>
      <c r="C233" s="666" t="s">
        <v>80</v>
      </c>
      <c r="D233" s="666" t="s">
        <v>125</v>
      </c>
      <c r="E233" s="81" t="str">
        <f>[9]Роспись!E217</f>
        <v>4400000</v>
      </c>
      <c r="F233" s="666" t="s">
        <v>102</v>
      </c>
      <c r="G233" s="675"/>
      <c r="H233" s="643">
        <f>SUM(H220:H232)</f>
        <v>36738.83</v>
      </c>
      <c r="I233" s="676">
        <f>SUM(I220:I232)</f>
        <v>18675.18</v>
      </c>
      <c r="J233" s="676">
        <f>SUM(J220:J232)</f>
        <v>18063.649999999998</v>
      </c>
      <c r="K233" s="676">
        <f>SUM(K220:K232)</f>
        <v>-7.1054273576010019E-15</v>
      </c>
      <c r="L233" s="677">
        <f>I233-I230</f>
        <v>18620.72</v>
      </c>
      <c r="M233" s="677">
        <f>H233-I230</f>
        <v>36684.370000000003</v>
      </c>
      <c r="N233" s="678"/>
      <c r="O233" s="678"/>
      <c r="P233" s="678"/>
    </row>
    <row r="234" spans="1:16" ht="52" x14ac:dyDescent="0.15">
      <c r="A234" s="692" t="str">
        <f>'[9]Новая роспись'!A244</f>
        <v>Субсидия на финансовое обеспечение государственного задания на оказание государственных услуг (выполнение работ)</v>
      </c>
      <c r="B234" s="666"/>
      <c r="C234" s="666"/>
      <c r="D234" s="666"/>
      <c r="E234" s="81"/>
      <c r="F234" s="692">
        <f>'[9]Новая роспись'!F244</f>
        <v>611</v>
      </c>
      <c r="G234" s="692" t="str">
        <f>'[9]Новая роспись'!G244</f>
        <v>241</v>
      </c>
      <c r="H234" s="645">
        <f>'[9]Новая роспись'!H244</f>
        <v>18063.650000000001</v>
      </c>
      <c r="I234" s="648">
        <f>[9]Финансирование!I234+[9]Финансирование!J234+[9]Финансирование!K234+[9]Финансирование!L234+[9]Финансирование!M234+[9]Финансирование!N234+[9]Финансирование!O234+[9]Финансирование!P234+[9]Финансирование!Q234+[9]Финансирование!T234+[9]Финансирование!U234+[9]Финансирование!V234+[9]Финансирование!W234+[9]Финансирование!X234+[9]Финансирование!Y234+[9]Финансирование!Z234</f>
        <v>18063.649999999998</v>
      </c>
      <c r="J234" s="648"/>
      <c r="K234" s="648">
        <f>H234-I234</f>
        <v>0</v>
      </c>
      <c r="L234" s="678"/>
      <c r="M234" s="678"/>
      <c r="N234" s="678"/>
      <c r="O234" s="678"/>
      <c r="P234" s="678"/>
    </row>
    <row r="235" spans="1:16" x14ac:dyDescent="0.15">
      <c r="A235" s="674" t="s">
        <v>126</v>
      </c>
      <c r="B235" s="666"/>
      <c r="C235" s="666"/>
      <c r="D235" s="666"/>
      <c r="E235" s="666"/>
      <c r="F235" s="666"/>
      <c r="G235" s="675"/>
      <c r="H235" s="643"/>
      <c r="I235" s="648">
        <f>[9]Финансирование!I235+[9]Финансирование!J235+[9]Финансирование!K235+[9]Финансирование!L235+[9]Финансирование!M235+[9]Финансирование!N235+[9]Финансирование!O235+[9]Финансирование!P235+[9]Финансирование!Q235+[9]Финансирование!T235+[9]Финансирование!U235+[9]Финансирование!V235+[9]Финансирование!W235+[9]Финансирование!X235+[9]Финансирование!Y235+[9]Финансирование!Z235</f>
        <v>0</v>
      </c>
      <c r="J235" s="648"/>
      <c r="K235" s="643"/>
      <c r="L235" s="678"/>
      <c r="M235" s="678"/>
      <c r="N235" s="678"/>
      <c r="O235" s="678"/>
      <c r="P235" s="678"/>
    </row>
    <row r="236" spans="1:16" x14ac:dyDescent="0.15">
      <c r="A236" s="647" t="str">
        <f>[9]Роспись!A219</f>
        <v xml:space="preserve">Заработная плата </v>
      </c>
      <c r="B236" s="81" t="str">
        <f>[9]Роспись!B219</f>
        <v>056</v>
      </c>
      <c r="C236" s="81" t="str">
        <f>[9]Роспись!C219</f>
        <v>08</v>
      </c>
      <c r="D236" s="81" t="str">
        <f>[9]Роспись!D219</f>
        <v>01</v>
      </c>
      <c r="E236" s="81">
        <f>[9]Роспись!E219</f>
        <v>4409900</v>
      </c>
      <c r="F236" s="81" t="str">
        <f>[9]Роспись!F219</f>
        <v>001</v>
      </c>
      <c r="G236" s="81">
        <f>[9]Роспись!G219</f>
        <v>211</v>
      </c>
      <c r="H236" s="648">
        <f>[9]Роспись!H219</f>
        <v>8569.7999999999993</v>
      </c>
      <c r="I236" s="648">
        <f>[9]Финансирование!I236+[9]Финансирование!J236+[9]Финансирование!K236+[9]Финансирование!L236+[9]Финансирование!M236+[9]Финансирование!N236+[9]Финансирование!O236+[9]Финансирование!P236</f>
        <v>3951.8199999999993</v>
      </c>
      <c r="J236" s="648">
        <f>[9]Финансирование!Q236+[9]Финансирование!T236+[9]Финансирование!U236+[9]Финансирование!V236+[9]Финансирование!W236+[9]Финансирование!X236+[9]Финансирование!Y236+[9]Финансирование!Z236</f>
        <v>4617.9799999999996</v>
      </c>
      <c r="K236" s="648">
        <f>H236-I236-J236</f>
        <v>0</v>
      </c>
      <c r="L236" s="678">
        <v>4617.9799999999996</v>
      </c>
      <c r="M236" s="677">
        <f>J236-L236</f>
        <v>0</v>
      </c>
      <c r="N236" s="678"/>
      <c r="O236" s="678"/>
      <c r="P236" s="678"/>
    </row>
    <row r="237" spans="1:16" x14ac:dyDescent="0.15">
      <c r="A237" s="647" t="str">
        <f>[9]Роспись!A220</f>
        <v>Прочие выплаты</v>
      </c>
      <c r="B237" s="81" t="str">
        <f>[9]Роспись!B220</f>
        <v>056</v>
      </c>
      <c r="C237" s="81" t="str">
        <f>[9]Роспись!C220</f>
        <v>08</v>
      </c>
      <c r="D237" s="81" t="str">
        <f>[9]Роспись!D220</f>
        <v>01</v>
      </c>
      <c r="E237" s="81">
        <f>[9]Роспись!E220</f>
        <v>4409900</v>
      </c>
      <c r="F237" s="81" t="str">
        <f>[9]Роспись!F220</f>
        <v>001</v>
      </c>
      <c r="G237" s="81">
        <f>[9]Роспись!G220</f>
        <v>212</v>
      </c>
      <c r="H237" s="648">
        <f>[9]Роспись!H220</f>
        <v>0</v>
      </c>
      <c r="I237" s="648">
        <f>[9]Финансирование!I237+[9]Финансирование!J237+[9]Финансирование!K237+[9]Финансирование!L237+[9]Финансирование!M237+[9]Финансирование!N237+[9]Финансирование!O237+[9]Финансирование!P237</f>
        <v>0</v>
      </c>
      <c r="J237" s="648">
        <f>[9]Финансирование!Q237+[9]Финансирование!T237+[9]Финансирование!U237+[9]Финансирование!V237+[9]Финансирование!W237+[9]Финансирование!X237+[9]Финансирование!Y237+[9]Финансирование!Z237</f>
        <v>0</v>
      </c>
      <c r="K237" s="648">
        <f t="shared" ref="K237:K248" si="22">H237-I237-J237</f>
        <v>0</v>
      </c>
      <c r="L237" s="678"/>
      <c r="M237" s="677">
        <f>J237-L237</f>
        <v>0</v>
      </c>
      <c r="N237" s="678"/>
      <c r="O237" s="678"/>
      <c r="P237" s="678"/>
    </row>
    <row r="238" spans="1:16" x14ac:dyDescent="0.15">
      <c r="A238" s="647" t="str">
        <f>[9]Роспись!A221</f>
        <v>Начисления на оплату труда</v>
      </c>
      <c r="B238" s="81" t="str">
        <f>[9]Роспись!B221</f>
        <v>056</v>
      </c>
      <c r="C238" s="81" t="str">
        <f>[9]Роспись!C221</f>
        <v>08</v>
      </c>
      <c r="D238" s="81" t="str">
        <f>[9]Роспись!D221</f>
        <v>01</v>
      </c>
      <c r="E238" s="81">
        <f>[9]Роспись!E221</f>
        <v>4409900</v>
      </c>
      <c r="F238" s="81" t="str">
        <f>[9]Роспись!F221</f>
        <v>001</v>
      </c>
      <c r="G238" s="81">
        <f>[9]Роспись!G221</f>
        <v>213</v>
      </c>
      <c r="H238" s="648">
        <f>[9]Роспись!H221</f>
        <v>2588.1</v>
      </c>
      <c r="I238" s="648">
        <f>[9]Финансирование!I238+[9]Финансирование!J238+[9]Финансирование!K238+[9]Финансирование!L238+[9]Финансирование!M238+[9]Финансирование!N238+[9]Финансирование!O238+[9]Финансирование!P238</f>
        <v>1278.71</v>
      </c>
      <c r="J238" s="648">
        <f>[9]Финансирование!Q238+[9]Финансирование!T238+[9]Финансирование!U238+[9]Финансирование!V238+[9]Финансирование!W238+[9]Финансирование!X238+[9]Финансирование!Y238+[9]Финансирование!Z238</f>
        <v>1309.3900000000003</v>
      </c>
      <c r="K238" s="648">
        <f t="shared" si="22"/>
        <v>0</v>
      </c>
      <c r="L238" s="678">
        <v>1309.3900000000001</v>
      </c>
      <c r="M238" s="677">
        <f>J238-L238</f>
        <v>0</v>
      </c>
      <c r="N238" s="678"/>
      <c r="O238" s="678"/>
      <c r="P238" s="678"/>
    </row>
    <row r="239" spans="1:16" x14ac:dyDescent="0.15">
      <c r="A239" s="647" t="str">
        <f>[9]Роспись!A222</f>
        <v xml:space="preserve">Оплата услуг связи </v>
      </c>
      <c r="B239" s="81" t="str">
        <f>[9]Роспись!B222</f>
        <v>056</v>
      </c>
      <c r="C239" s="81" t="str">
        <f>[9]Роспись!C222</f>
        <v>08</v>
      </c>
      <c r="D239" s="81" t="str">
        <f>[9]Роспись!D222</f>
        <v>01</v>
      </c>
      <c r="E239" s="81">
        <f>[9]Роспись!E222</f>
        <v>4409900</v>
      </c>
      <c r="F239" s="81" t="str">
        <f>[9]Роспись!F222</f>
        <v>001</v>
      </c>
      <c r="G239" s="81">
        <f>[9]Роспись!G222</f>
        <v>221</v>
      </c>
      <c r="H239" s="648">
        <f>[9]Роспись!H222</f>
        <v>16</v>
      </c>
      <c r="I239" s="648">
        <f>[9]Финансирование!I239+[9]Финансирование!J239+[9]Финансирование!K239+[9]Финансирование!L239+[9]Финансирование!M239+[9]Финансирование!N239+[9]Финансирование!O239+[9]Финансирование!P239</f>
        <v>4</v>
      </c>
      <c r="J239" s="648">
        <f>[9]Финансирование!Q239+[9]Финансирование!T239+[9]Финансирование!U239+[9]Финансирование!V239+[9]Финансирование!W239+[9]Финансирование!X239+[9]Финансирование!Y239+[9]Финансирование!Z239</f>
        <v>12</v>
      </c>
      <c r="K239" s="648">
        <f t="shared" si="22"/>
        <v>0</v>
      </c>
      <c r="L239" s="678"/>
      <c r="M239" s="678"/>
      <c r="N239" s="678"/>
      <c r="O239" s="678"/>
      <c r="P239" s="678"/>
    </row>
    <row r="240" spans="1:16" x14ac:dyDescent="0.15">
      <c r="A240" s="647" t="str">
        <f>[9]Роспись!A223</f>
        <v>Транспортные услуги</v>
      </c>
      <c r="B240" s="81" t="str">
        <f>[9]Роспись!B223</f>
        <v>056</v>
      </c>
      <c r="C240" s="81" t="str">
        <f>[9]Роспись!C223</f>
        <v>08</v>
      </c>
      <c r="D240" s="81" t="str">
        <f>[9]Роспись!D223</f>
        <v>01</v>
      </c>
      <c r="E240" s="81">
        <f>[9]Роспись!E223</f>
        <v>4409900</v>
      </c>
      <c r="F240" s="81" t="str">
        <f>[9]Роспись!F223</f>
        <v>001</v>
      </c>
      <c r="G240" s="81">
        <f>[9]Роспись!G223</f>
        <v>222</v>
      </c>
      <c r="H240" s="648">
        <f>[9]Роспись!H223</f>
        <v>0</v>
      </c>
      <c r="I240" s="648">
        <f>[9]Финансирование!I240+[9]Финансирование!J240+[9]Финансирование!K240+[9]Финансирование!L240+[9]Финансирование!M240+[9]Финансирование!N240+[9]Финансирование!O240+[9]Финансирование!P240</f>
        <v>0</v>
      </c>
      <c r="J240" s="648">
        <f>[9]Финансирование!Q240+[9]Финансирование!T240+[9]Финансирование!U240+[9]Финансирование!V240+[9]Финансирование!W240+[9]Финансирование!X240+[9]Финансирование!Y240+[9]Финансирование!Z240</f>
        <v>0</v>
      </c>
      <c r="K240" s="648">
        <f t="shared" si="22"/>
        <v>0</v>
      </c>
      <c r="L240" s="678"/>
      <c r="M240" s="678"/>
      <c r="N240" s="678"/>
      <c r="O240" s="678"/>
      <c r="P240" s="678"/>
    </row>
    <row r="241" spans="1:16" x14ac:dyDescent="0.15">
      <c r="A241" s="647" t="str">
        <f>[9]Роспись!A224</f>
        <v>Коммунальные услуги</v>
      </c>
      <c r="B241" s="81" t="str">
        <f>[9]Роспись!B224</f>
        <v>056</v>
      </c>
      <c r="C241" s="81" t="str">
        <f>[9]Роспись!C224</f>
        <v>08</v>
      </c>
      <c r="D241" s="81" t="str">
        <f>[9]Роспись!D224</f>
        <v>01</v>
      </c>
      <c r="E241" s="81">
        <f>[9]Роспись!E224</f>
        <v>4409900</v>
      </c>
      <c r="F241" s="81" t="str">
        <f>[9]Роспись!F224</f>
        <v>001</v>
      </c>
      <c r="G241" s="81">
        <f>[9]Роспись!G224</f>
        <v>223</v>
      </c>
      <c r="H241" s="648">
        <f>[9]Роспись!H224</f>
        <v>237</v>
      </c>
      <c r="I241" s="648">
        <f>[9]Финансирование!I241+[9]Финансирование!J241+[9]Финансирование!K241+[9]Финансирование!L241+[9]Финансирование!M241+[9]Финансирование!N241+[9]Финансирование!O241+[9]Финансирование!P241</f>
        <v>98.75</v>
      </c>
      <c r="J241" s="648">
        <f>[9]Финансирование!Q241+[9]Финансирование!T241+[9]Финансирование!U241+[9]Финансирование!V241+[9]Финансирование!W241+[9]Финансирование!X241+[9]Финансирование!Y241+[9]Финансирование!Z241</f>
        <v>138.25</v>
      </c>
      <c r="K241" s="648">
        <f t="shared" si="22"/>
        <v>0</v>
      </c>
      <c r="L241" s="658">
        <f>K241+K245+K246</f>
        <v>0</v>
      </c>
      <c r="M241" s="678"/>
      <c r="N241" s="678"/>
      <c r="O241" s="678"/>
      <c r="P241" s="678"/>
    </row>
    <row r="242" spans="1:16" x14ac:dyDescent="0.15">
      <c r="A242" s="647" t="str">
        <f>[9]Роспись!A225</f>
        <v>Аренда помещения</v>
      </c>
      <c r="B242" s="81" t="str">
        <f>[9]Роспись!B225</f>
        <v>056</v>
      </c>
      <c r="C242" s="81" t="str">
        <f>[9]Роспись!C225</f>
        <v>08</v>
      </c>
      <c r="D242" s="81" t="str">
        <f>[9]Роспись!D225</f>
        <v>01</v>
      </c>
      <c r="E242" s="81">
        <f>[9]Роспись!E225</f>
        <v>4409900</v>
      </c>
      <c r="F242" s="81" t="str">
        <f>[9]Роспись!F225</f>
        <v>001</v>
      </c>
      <c r="G242" s="81">
        <f>[9]Роспись!G225</f>
        <v>224</v>
      </c>
      <c r="H242" s="648">
        <f>[9]Роспись!H225</f>
        <v>0</v>
      </c>
      <c r="I242" s="648">
        <f>[9]Финансирование!I242+[9]Финансирование!J242+[9]Финансирование!K242+[9]Финансирование!L242+[9]Финансирование!M242+[9]Финансирование!N242+[9]Финансирование!O242+[9]Финансирование!P242</f>
        <v>0</v>
      </c>
      <c r="J242" s="648">
        <f>[9]Финансирование!Q242+[9]Финансирование!T242+[9]Финансирование!U242+[9]Финансирование!V242+[9]Финансирование!W242+[9]Финансирование!X242+[9]Финансирование!Y242+[9]Финансирование!Z242</f>
        <v>0</v>
      </c>
      <c r="K242" s="648">
        <f t="shared" si="22"/>
        <v>0</v>
      </c>
      <c r="L242" s="678"/>
      <c r="M242" s="678"/>
      <c r="N242" s="678"/>
      <c r="O242" s="678"/>
      <c r="P242" s="678"/>
    </row>
    <row r="243" spans="1:16" x14ac:dyDescent="0.15">
      <c r="A243" s="647" t="str">
        <f>[9]Роспись!A226</f>
        <v>Услуги по содерж. имущества</v>
      </c>
      <c r="B243" s="81" t="str">
        <f>[9]Роспись!B226</f>
        <v>056</v>
      </c>
      <c r="C243" s="81" t="str">
        <f>[9]Роспись!C226</f>
        <v>08</v>
      </c>
      <c r="D243" s="81" t="str">
        <f>[9]Роспись!D226</f>
        <v>01</v>
      </c>
      <c r="E243" s="81">
        <f>[9]Роспись!E226</f>
        <v>4409900</v>
      </c>
      <c r="F243" s="81" t="str">
        <f>[9]Роспись!F226</f>
        <v>001</v>
      </c>
      <c r="G243" s="81">
        <f>[9]Роспись!G226</f>
        <v>225</v>
      </c>
      <c r="H243" s="648">
        <f>[9]Роспись!H226</f>
        <v>22304.9</v>
      </c>
      <c r="I243" s="648">
        <f>[9]Финансирование!I243+[9]Финансирование!J243+[9]Финансирование!K243+[9]Финансирование!L243+[9]Финансирование!M243+[9]Финансирование!N243+[9]Финансирование!O243+[9]Финансирование!P243</f>
        <v>0</v>
      </c>
      <c r="J243" s="648">
        <f>[9]Финансирование!Q243+[9]Финансирование!T243+[9]Финансирование!U243+[9]Финансирование!V243+[9]Финансирование!W243+[9]Финансирование!X243+[9]Финансирование!Y243+[9]Финансирование!Z243</f>
        <v>22304.9</v>
      </c>
      <c r="K243" s="648">
        <f t="shared" si="22"/>
        <v>0</v>
      </c>
      <c r="L243" s="678"/>
      <c r="M243" s="678"/>
      <c r="N243" s="678"/>
      <c r="O243" s="678"/>
      <c r="P243" s="678"/>
    </row>
    <row r="244" spans="1:16" x14ac:dyDescent="0.15">
      <c r="A244" s="647" t="str">
        <f>[9]Роспись!A227</f>
        <v>Прочие услуги</v>
      </c>
      <c r="B244" s="81" t="str">
        <f>[9]Роспись!B227</f>
        <v>056</v>
      </c>
      <c r="C244" s="81" t="str">
        <f>[9]Роспись!C227</f>
        <v>08</v>
      </c>
      <c r="D244" s="81" t="str">
        <f>[9]Роспись!D227</f>
        <v>01</v>
      </c>
      <c r="E244" s="81">
        <f>[9]Роспись!E227</f>
        <v>4409900</v>
      </c>
      <c r="F244" s="81" t="str">
        <f>[9]Роспись!F227</f>
        <v>001</v>
      </c>
      <c r="G244" s="81">
        <f>[9]Роспись!G227</f>
        <v>226</v>
      </c>
      <c r="H244" s="648">
        <f>[9]Роспись!H227</f>
        <v>505</v>
      </c>
      <c r="I244" s="648">
        <f>[9]Финансирование!I244+[9]Финансирование!J244+[9]Финансирование!K244+[9]Финансирование!L244+[9]Финансирование!M244+[9]Финансирование!N244+[9]Финансирование!O244+[9]Финансирование!P244</f>
        <v>205.89</v>
      </c>
      <c r="J244" s="648">
        <f>[9]Финансирование!Q244+[9]Финансирование!T244+[9]Финансирование!U244+[9]Финансирование!V244+[9]Финансирование!W244+[9]Финансирование!X244+[9]Финансирование!Y244+[9]Финансирование!Z244</f>
        <v>299.11</v>
      </c>
      <c r="K244" s="648">
        <f t="shared" si="22"/>
        <v>0</v>
      </c>
      <c r="L244" s="678"/>
      <c r="M244" s="678"/>
      <c r="N244" s="678"/>
      <c r="O244" s="678"/>
      <c r="P244" s="678"/>
    </row>
    <row r="245" spans="1:16" x14ac:dyDescent="0.15">
      <c r="A245" s="647" t="str">
        <f>[9]Роспись!A228</f>
        <v xml:space="preserve">Прочие расходы </v>
      </c>
      <c r="B245" s="81" t="str">
        <f>[9]Роспись!B228</f>
        <v>056</v>
      </c>
      <c r="C245" s="81" t="str">
        <f>[9]Роспись!C228</f>
        <v>08</v>
      </c>
      <c r="D245" s="81" t="str">
        <f>[9]Роспись!D228</f>
        <v>01</v>
      </c>
      <c r="E245" s="81">
        <f>[9]Роспись!E228</f>
        <v>4409900</v>
      </c>
      <c r="F245" s="81" t="str">
        <f>[9]Роспись!F228</f>
        <v>001</v>
      </c>
      <c r="G245" s="81">
        <f>[9]Роспись!G228</f>
        <v>290</v>
      </c>
      <c r="H245" s="648">
        <f>[9]Роспись!H228</f>
        <v>14.8</v>
      </c>
      <c r="I245" s="648">
        <f>[9]Финансирование!I245+[9]Финансирование!J245+[9]Финансирование!K245+[9]Финансирование!L245+[9]Финансирование!M245+[9]Финансирование!N245+[9]Финансирование!O245+[9]Финансирование!P245</f>
        <v>7.4</v>
      </c>
      <c r="J245" s="648">
        <f>[9]Финансирование!Q245+[9]Финансирование!T245+[9]Финансирование!U245+[9]Финансирование!V245+[9]Финансирование!W245+[9]Финансирование!X245+[9]Финансирование!Y245+[9]Финансирование!Z245</f>
        <v>7.4</v>
      </c>
      <c r="K245" s="648">
        <f t="shared" si="22"/>
        <v>0</v>
      </c>
      <c r="L245" s="678"/>
      <c r="M245" s="678"/>
      <c r="N245" s="678"/>
      <c r="O245" s="678"/>
      <c r="P245" s="678"/>
    </row>
    <row r="246" spans="1:16" x14ac:dyDescent="0.15">
      <c r="A246" s="647" t="str">
        <f>[9]Роспись!A229</f>
        <v xml:space="preserve">Прочие расходы </v>
      </c>
      <c r="B246" s="81" t="str">
        <f>[9]Роспись!B229</f>
        <v>056</v>
      </c>
      <c r="C246" s="81" t="str">
        <f>[9]Роспись!C229</f>
        <v>08</v>
      </c>
      <c r="D246" s="81" t="str">
        <f>[9]Роспись!D229</f>
        <v>01</v>
      </c>
      <c r="E246" s="81">
        <f>[9]Роспись!E229</f>
        <v>4409500</v>
      </c>
      <c r="F246" s="81" t="str">
        <f>[9]Роспись!F229</f>
        <v>001</v>
      </c>
      <c r="G246" s="81" t="str">
        <f>[9]Роспись!G229</f>
        <v>290</v>
      </c>
      <c r="H246" s="648">
        <f>[9]Роспись!H229</f>
        <v>298.60000000000002</v>
      </c>
      <c r="I246" s="648">
        <f>[9]Финансирование!I246+[9]Финансирование!J246+[9]Финансирование!K246+[9]Финансирование!L246+[9]Финансирование!M246+[9]Финансирование!N246+[9]Финансирование!O246+[9]Финансирование!P246</f>
        <v>199.3</v>
      </c>
      <c r="J246" s="648">
        <f>[9]Финансирование!Q246+[9]Финансирование!T246+[9]Финансирование!U246+[9]Финансирование!V246+[9]Финансирование!W246+[9]Финансирование!X246+[9]Финансирование!Y246+[9]Финансирование!Z246</f>
        <v>99.300000000000011</v>
      </c>
      <c r="K246" s="648">
        <f t="shared" si="22"/>
        <v>0</v>
      </c>
      <c r="L246" s="678"/>
      <c r="M246" s="678"/>
      <c r="N246" s="678"/>
      <c r="O246" s="678"/>
      <c r="P246" s="678"/>
    </row>
    <row r="247" spans="1:16" x14ac:dyDescent="0.15">
      <c r="A247" s="647" t="str">
        <f>[9]Роспись!A230</f>
        <v>Увелич. стоимости осн. средств</v>
      </c>
      <c r="B247" s="81" t="str">
        <f>[9]Роспись!B230</f>
        <v>056</v>
      </c>
      <c r="C247" s="81" t="str">
        <f>[9]Роспись!C230</f>
        <v>08</v>
      </c>
      <c r="D247" s="81" t="str">
        <f>[9]Роспись!D230</f>
        <v>01</v>
      </c>
      <c r="E247" s="81">
        <f>[9]Роспись!E230</f>
        <v>4409900</v>
      </c>
      <c r="F247" s="81" t="str">
        <f>[9]Роспись!F230</f>
        <v>001</v>
      </c>
      <c r="G247" s="81">
        <f>[9]Роспись!G230</f>
        <v>310</v>
      </c>
      <c r="H247" s="648">
        <f>[9]Роспись!H230</f>
        <v>0</v>
      </c>
      <c r="I247" s="648">
        <f>[9]Финансирование!I247+[9]Финансирование!J247+[9]Финансирование!K247+[9]Финансирование!L247+[9]Финансирование!M247+[9]Финансирование!N247+[9]Финансирование!O247+[9]Финансирование!P247</f>
        <v>0</v>
      </c>
      <c r="J247" s="648">
        <f>[9]Финансирование!Q247+[9]Финансирование!T247+[9]Финансирование!U247+[9]Финансирование!V247+[9]Финансирование!W247+[9]Финансирование!X247+[9]Финансирование!Y247+[9]Финансирование!Z247</f>
        <v>0</v>
      </c>
      <c r="K247" s="648">
        <f t="shared" si="22"/>
        <v>0</v>
      </c>
      <c r="L247" s="678"/>
      <c r="M247" s="678"/>
      <c r="N247" s="678"/>
      <c r="O247" s="678"/>
      <c r="P247" s="678"/>
    </row>
    <row r="248" spans="1:16" x14ac:dyDescent="0.15">
      <c r="A248" s="647" t="str">
        <f>[9]Роспись!A231</f>
        <v>Увелич. стоимости матер. запасов</v>
      </c>
      <c r="B248" s="81" t="str">
        <f>[9]Роспись!B231</f>
        <v>056</v>
      </c>
      <c r="C248" s="81" t="str">
        <f>[9]Роспись!C231</f>
        <v>08</v>
      </c>
      <c r="D248" s="81" t="str">
        <f>[9]Роспись!D231</f>
        <v>01</v>
      </c>
      <c r="E248" s="81">
        <f>[9]Роспись!E231</f>
        <v>4409900</v>
      </c>
      <c r="F248" s="81" t="str">
        <f>[9]Роспись!F231</f>
        <v>001</v>
      </c>
      <c r="G248" s="81">
        <f>[9]Роспись!G231</f>
        <v>340</v>
      </c>
      <c r="H248" s="648">
        <f>[9]Роспись!H231</f>
        <v>0</v>
      </c>
      <c r="I248" s="648">
        <f>[9]Финансирование!I248+[9]Финансирование!J248+[9]Финансирование!K248+[9]Финансирование!L248+[9]Финансирование!M248+[9]Финансирование!N248+[9]Финансирование!O248+[9]Финансирование!P248</f>
        <v>0</v>
      </c>
      <c r="J248" s="648">
        <f>[9]Финансирование!Q248+[9]Финансирование!T248+[9]Финансирование!U248+[9]Финансирование!V248+[9]Финансирование!W248+[9]Финансирование!X248+[9]Финансирование!Y248+[9]Финансирование!Z248</f>
        <v>0</v>
      </c>
      <c r="K248" s="648">
        <f t="shared" si="22"/>
        <v>0</v>
      </c>
      <c r="L248" s="678"/>
      <c r="M248" s="678"/>
      <c r="N248" s="678"/>
      <c r="O248" s="678"/>
      <c r="P248" s="678"/>
    </row>
    <row r="249" spans="1:16" x14ac:dyDescent="0.15">
      <c r="A249" s="704" t="s">
        <v>98</v>
      </c>
      <c r="B249" s="689" t="s">
        <v>79</v>
      </c>
      <c r="C249" s="689" t="s">
        <v>80</v>
      </c>
      <c r="D249" s="689" t="s">
        <v>125</v>
      </c>
      <c r="E249" s="689" t="s">
        <v>213</v>
      </c>
      <c r="F249" s="689" t="s">
        <v>102</v>
      </c>
      <c r="G249" s="705"/>
      <c r="H249" s="643">
        <f>SUM(H236:H248)</f>
        <v>34534.200000000004</v>
      </c>
      <c r="I249" s="676">
        <f>SUM(I236:I248)</f>
        <v>5745.869999999999</v>
      </c>
      <c r="J249" s="676">
        <f>SUM(J236:J248)</f>
        <v>28788.33</v>
      </c>
      <c r="K249" s="651">
        <f>SUM(K236:K248)</f>
        <v>0</v>
      </c>
      <c r="L249" s="677">
        <f>J249-J243</f>
        <v>6483.43</v>
      </c>
      <c r="M249" s="677">
        <f>I249-I246</f>
        <v>5546.5699999999988</v>
      </c>
      <c r="N249" s="677">
        <f>H249-I246</f>
        <v>34334.9</v>
      </c>
      <c r="O249" s="678"/>
      <c r="P249" s="678"/>
    </row>
    <row r="250" spans="1:16" ht="52" x14ac:dyDescent="0.15">
      <c r="A250" s="692" t="str">
        <f>'[9]Новая роспись'!A261</f>
        <v>Субсидия на финансовое обеспечение государственного задания на оказание государственных услуг (выполнение работ)</v>
      </c>
      <c r="B250" s="666"/>
      <c r="C250" s="666"/>
      <c r="D250" s="666"/>
      <c r="E250" s="666"/>
      <c r="F250" s="692">
        <f>'[9]Новая роспись'!F261</f>
        <v>611</v>
      </c>
      <c r="G250" s="692" t="str">
        <f>'[9]Новая роспись'!G261</f>
        <v>241</v>
      </c>
      <c r="H250" s="645">
        <f>'[9]Новая роспись'!H261</f>
        <v>6483.43</v>
      </c>
      <c r="I250" s="648">
        <f>J249-I251</f>
        <v>6483.4300000000039</v>
      </c>
      <c r="J250" s="648"/>
      <c r="K250" s="648">
        <f>H250-I250</f>
        <v>0</v>
      </c>
      <c r="L250" s="677">
        <f>I249-5546.57</f>
        <v>199.29999999999927</v>
      </c>
      <c r="M250" s="678"/>
      <c r="N250" s="678"/>
      <c r="O250" s="678"/>
      <c r="P250" s="678"/>
    </row>
    <row r="251" spans="1:16" x14ac:dyDescent="0.15">
      <c r="A251" s="692" t="str">
        <f>'[9]Новая роспись'!A262</f>
        <v>Субсидии на иные цели</v>
      </c>
      <c r="B251" s="666"/>
      <c r="C251" s="666"/>
      <c r="D251" s="666"/>
      <c r="E251" s="666"/>
      <c r="F251" s="692">
        <f>'[9]Новая роспись'!F262</f>
        <v>612</v>
      </c>
      <c r="G251" s="692" t="str">
        <f>'[9]Новая роспись'!G262</f>
        <v>241</v>
      </c>
      <c r="H251" s="645">
        <f>'[9]Новая роспись'!H262</f>
        <v>22304.9</v>
      </c>
      <c r="I251" s="648">
        <f>[9]Финансирование!I251+[9]Финансирование!J251+[9]Финансирование!K251+[9]Финансирование!L251+[9]Финансирование!M251+[9]Финансирование!N251+[9]Финансирование!O251+[9]Финансирование!P251+[9]Финансирование!Q251+[9]Финансирование!T251+[9]Финансирование!U251+[9]Финансирование!V251+[9]Финансирование!W251+[9]Финансирование!X251+[9]Финансирование!Y251+[9]Финансирование!Z251</f>
        <v>22304.899999999998</v>
      </c>
      <c r="J251" s="648"/>
      <c r="K251" s="648">
        <f>H251-I251</f>
        <v>0</v>
      </c>
      <c r="L251" s="678"/>
      <c r="M251" s="678"/>
      <c r="N251" s="678"/>
      <c r="O251" s="678"/>
      <c r="P251" s="678"/>
    </row>
    <row r="252" spans="1:16" x14ac:dyDescent="0.15">
      <c r="A252" s="674" t="s">
        <v>127</v>
      </c>
      <c r="B252" s="666"/>
      <c r="C252" s="666"/>
      <c r="D252" s="666"/>
      <c r="E252" s="666"/>
      <c r="F252" s="666"/>
      <c r="G252" s="675"/>
      <c r="H252" s="643"/>
      <c r="I252" s="681"/>
      <c r="J252" s="681"/>
      <c r="K252" s="643"/>
      <c r="L252" s="706"/>
      <c r="M252" s="706"/>
      <c r="N252" s="706"/>
      <c r="O252" s="706"/>
      <c r="P252" s="706"/>
    </row>
    <row r="253" spans="1:16" x14ac:dyDescent="0.15">
      <c r="A253" s="647" t="str">
        <f>[9]Роспись!A234</f>
        <v xml:space="preserve">Заработная плата </v>
      </c>
      <c r="B253" s="81" t="str">
        <f>[9]Роспись!B234</f>
        <v>056</v>
      </c>
      <c r="C253" s="81" t="str">
        <f>[9]Роспись!C234</f>
        <v>08</v>
      </c>
      <c r="D253" s="81" t="str">
        <f>[9]Роспись!D234</f>
        <v>01</v>
      </c>
      <c r="E253" s="81" t="str">
        <f>[9]Роспись!E234</f>
        <v>4400000</v>
      </c>
      <c r="F253" s="81" t="str">
        <f>[9]Роспись!F234</f>
        <v>001</v>
      </c>
      <c r="G253" s="81">
        <f>[9]Роспись!G234</f>
        <v>211</v>
      </c>
      <c r="H253" s="648">
        <f t="shared" ref="H253:K265" si="23">H236+H220</f>
        <v>25715.599999999999</v>
      </c>
      <c r="I253" s="673">
        <f t="shared" si="23"/>
        <v>11714.58</v>
      </c>
      <c r="J253" s="673">
        <f t="shared" si="23"/>
        <v>14001.02</v>
      </c>
      <c r="K253" s="673">
        <f t="shared" si="23"/>
        <v>0</v>
      </c>
      <c r="L253" s="707"/>
      <c r="M253" s="707"/>
      <c r="N253" s="707"/>
      <c r="O253" s="707"/>
      <c r="P253" s="707"/>
    </row>
    <row r="254" spans="1:16" x14ac:dyDescent="0.15">
      <c r="A254" s="647" t="str">
        <f>[9]Роспись!A235</f>
        <v>Прочие выплаты</v>
      </c>
      <c r="B254" s="81" t="str">
        <f>[9]Роспись!B235</f>
        <v>056</v>
      </c>
      <c r="C254" s="81" t="str">
        <f>[9]Роспись!C235</f>
        <v>08</v>
      </c>
      <c r="D254" s="81" t="str">
        <f>[9]Роспись!D235</f>
        <v>01</v>
      </c>
      <c r="E254" s="81" t="str">
        <f>[9]Роспись!E235</f>
        <v>4400000</v>
      </c>
      <c r="F254" s="81" t="str">
        <f>[9]Роспись!F235</f>
        <v>001</v>
      </c>
      <c r="G254" s="81">
        <f>[9]Роспись!G235</f>
        <v>212</v>
      </c>
      <c r="H254" s="648">
        <f t="shared" si="23"/>
        <v>180</v>
      </c>
      <c r="I254" s="673">
        <f t="shared" si="23"/>
        <v>75</v>
      </c>
      <c r="J254" s="673">
        <f t="shared" si="23"/>
        <v>105</v>
      </c>
      <c r="K254" s="673">
        <f t="shared" si="23"/>
        <v>0</v>
      </c>
      <c r="L254" s="707"/>
      <c r="M254" s="707"/>
      <c r="N254" s="707"/>
      <c r="O254" s="707"/>
      <c r="P254" s="707"/>
    </row>
    <row r="255" spans="1:16" x14ac:dyDescent="0.15">
      <c r="A255" s="647" t="str">
        <f>[9]Роспись!A236</f>
        <v>Начисления на оплату труда</v>
      </c>
      <c r="B255" s="81" t="str">
        <f>[9]Роспись!B236</f>
        <v>056</v>
      </c>
      <c r="C255" s="81" t="str">
        <f>[9]Роспись!C236</f>
        <v>08</v>
      </c>
      <c r="D255" s="81" t="str">
        <f>[9]Роспись!D236</f>
        <v>01</v>
      </c>
      <c r="E255" s="81" t="str">
        <f>[9]Роспись!E236</f>
        <v>4400000</v>
      </c>
      <c r="F255" s="81" t="str">
        <f>[9]Роспись!F236</f>
        <v>001</v>
      </c>
      <c r="G255" s="81">
        <f>[9]Роспись!G236</f>
        <v>213</v>
      </c>
      <c r="H255" s="648">
        <f t="shared" si="23"/>
        <v>7472</v>
      </c>
      <c r="I255" s="673">
        <f t="shared" si="23"/>
        <v>3790.52</v>
      </c>
      <c r="J255" s="673">
        <f t="shared" si="23"/>
        <v>3681.4800000000005</v>
      </c>
      <c r="K255" s="673">
        <f t="shared" si="23"/>
        <v>0</v>
      </c>
      <c r="L255" s="707"/>
      <c r="M255" s="707"/>
      <c r="N255" s="707"/>
      <c r="O255" s="707"/>
      <c r="P255" s="707"/>
    </row>
    <row r="256" spans="1:16" x14ac:dyDescent="0.15">
      <c r="A256" s="647" t="str">
        <f>[9]Роспись!A237</f>
        <v xml:space="preserve">Оплата услуг связи </v>
      </c>
      <c r="B256" s="81" t="str">
        <f>[9]Роспись!B237</f>
        <v>056</v>
      </c>
      <c r="C256" s="81" t="str">
        <f>[9]Роспись!C237</f>
        <v>08</v>
      </c>
      <c r="D256" s="81" t="str">
        <f>[9]Роспись!D237</f>
        <v>01</v>
      </c>
      <c r="E256" s="81" t="str">
        <f>[9]Роспись!E237</f>
        <v>4400000</v>
      </c>
      <c r="F256" s="81" t="str">
        <f>[9]Роспись!F237</f>
        <v>001</v>
      </c>
      <c r="G256" s="81">
        <f>[9]Роспись!G237</f>
        <v>221</v>
      </c>
      <c r="H256" s="648">
        <f t="shared" si="23"/>
        <v>173</v>
      </c>
      <c r="I256" s="673">
        <f t="shared" si="23"/>
        <v>43.25</v>
      </c>
      <c r="J256" s="673">
        <f t="shared" si="23"/>
        <v>129.75</v>
      </c>
      <c r="K256" s="673">
        <f t="shared" si="23"/>
        <v>0</v>
      </c>
      <c r="L256" s="707"/>
      <c r="M256" s="707"/>
      <c r="N256" s="707"/>
      <c r="O256" s="707"/>
      <c r="P256" s="707"/>
    </row>
    <row r="257" spans="1:16" x14ac:dyDescent="0.15">
      <c r="A257" s="647" t="str">
        <f>[9]Роспись!A238</f>
        <v>Транспортные услуги</v>
      </c>
      <c r="B257" s="81" t="str">
        <f>[9]Роспись!B238</f>
        <v>056</v>
      </c>
      <c r="C257" s="81" t="str">
        <f>[9]Роспись!C238</f>
        <v>08</v>
      </c>
      <c r="D257" s="81" t="str">
        <f>[9]Роспись!D238</f>
        <v>01</v>
      </c>
      <c r="E257" s="81" t="str">
        <f>[9]Роспись!E238</f>
        <v>4400000</v>
      </c>
      <c r="F257" s="81" t="str">
        <f>[9]Роспись!F238</f>
        <v>001</v>
      </c>
      <c r="G257" s="81">
        <f>[9]Роспись!G238</f>
        <v>222</v>
      </c>
      <c r="H257" s="648">
        <f t="shared" si="23"/>
        <v>890</v>
      </c>
      <c r="I257" s="673">
        <f t="shared" si="23"/>
        <v>22.5</v>
      </c>
      <c r="J257" s="673">
        <f t="shared" si="23"/>
        <v>867.5</v>
      </c>
      <c r="K257" s="673">
        <f t="shared" si="23"/>
        <v>0</v>
      </c>
      <c r="L257" s="707"/>
      <c r="M257" s="707"/>
      <c r="N257" s="707"/>
      <c r="O257" s="707"/>
      <c r="P257" s="707"/>
    </row>
    <row r="258" spans="1:16" x14ac:dyDescent="0.15">
      <c r="A258" s="647" t="str">
        <f>[9]Роспись!A239</f>
        <v>Коммунальные услуги</v>
      </c>
      <c r="B258" s="81" t="str">
        <f>[9]Роспись!B239</f>
        <v>056</v>
      </c>
      <c r="C258" s="81" t="str">
        <f>[9]Роспись!C239</f>
        <v>08</v>
      </c>
      <c r="D258" s="81" t="str">
        <f>[9]Роспись!D239</f>
        <v>01</v>
      </c>
      <c r="E258" s="81" t="str">
        <f>[9]Роспись!E239</f>
        <v>4400000</v>
      </c>
      <c r="F258" s="81" t="str">
        <f>[9]Роспись!F239</f>
        <v>001</v>
      </c>
      <c r="G258" s="81">
        <f>[9]Роспись!G239</f>
        <v>223</v>
      </c>
      <c r="H258" s="648">
        <f t="shared" si="23"/>
        <v>358</v>
      </c>
      <c r="I258" s="673">
        <f t="shared" si="23"/>
        <v>173.32999999999998</v>
      </c>
      <c r="J258" s="673">
        <f t="shared" si="23"/>
        <v>184.67000000000002</v>
      </c>
      <c r="K258" s="673">
        <f t="shared" si="23"/>
        <v>0</v>
      </c>
      <c r="L258" s="707"/>
      <c r="M258" s="707"/>
      <c r="N258" s="707"/>
      <c r="O258" s="707"/>
      <c r="P258" s="707"/>
    </row>
    <row r="259" spans="1:16" x14ac:dyDescent="0.15">
      <c r="A259" s="647" t="str">
        <f>[9]Роспись!A240</f>
        <v>Аренда помещения</v>
      </c>
      <c r="B259" s="81" t="str">
        <f>[9]Роспись!B240</f>
        <v>056</v>
      </c>
      <c r="C259" s="81" t="str">
        <f>[9]Роспись!C240</f>
        <v>08</v>
      </c>
      <c r="D259" s="81" t="str">
        <f>[9]Роспись!D240</f>
        <v>01</v>
      </c>
      <c r="E259" s="81" t="str">
        <f>[9]Роспись!E240</f>
        <v>4400000</v>
      </c>
      <c r="F259" s="81" t="str">
        <f>[9]Роспись!F240</f>
        <v>001</v>
      </c>
      <c r="G259" s="81">
        <f>[9]Роспись!G240</f>
        <v>224</v>
      </c>
      <c r="H259" s="648">
        <f t="shared" si="23"/>
        <v>0</v>
      </c>
      <c r="I259" s="673">
        <f t="shared" si="23"/>
        <v>0</v>
      </c>
      <c r="J259" s="673">
        <f t="shared" si="23"/>
        <v>0</v>
      </c>
      <c r="K259" s="673">
        <f t="shared" si="23"/>
        <v>0</v>
      </c>
      <c r="L259" s="707"/>
      <c r="M259" s="707"/>
      <c r="N259" s="707"/>
      <c r="O259" s="707"/>
      <c r="P259" s="707"/>
    </row>
    <row r="260" spans="1:16" x14ac:dyDescent="0.15">
      <c r="A260" s="647" t="str">
        <f>[9]Роспись!A241</f>
        <v>Услуги по содерж. имущества</v>
      </c>
      <c r="B260" s="81" t="str">
        <f>[9]Роспись!B241</f>
        <v>056</v>
      </c>
      <c r="C260" s="81" t="str">
        <f>[9]Роспись!C241</f>
        <v>08</v>
      </c>
      <c r="D260" s="81" t="str">
        <f>[9]Роспись!D241</f>
        <v>01</v>
      </c>
      <c r="E260" s="81" t="str">
        <f>[9]Роспись!E241</f>
        <v>4400000</v>
      </c>
      <c r="F260" s="81" t="str">
        <f>[9]Роспись!F241</f>
        <v>001</v>
      </c>
      <c r="G260" s="81">
        <f>[9]Роспись!G241</f>
        <v>225</v>
      </c>
      <c r="H260" s="648">
        <f t="shared" si="23"/>
        <v>22593.9</v>
      </c>
      <c r="I260" s="673">
        <f t="shared" si="23"/>
        <v>72.25</v>
      </c>
      <c r="J260" s="673">
        <f t="shared" si="23"/>
        <v>22521.65</v>
      </c>
      <c r="K260" s="673">
        <f t="shared" si="23"/>
        <v>0</v>
      </c>
      <c r="L260" s="707"/>
      <c r="M260" s="707"/>
      <c r="N260" s="707"/>
      <c r="O260" s="707"/>
      <c r="P260" s="707"/>
    </row>
    <row r="261" spans="1:16" x14ac:dyDescent="0.15">
      <c r="A261" s="647" t="str">
        <f>[9]Роспись!A242</f>
        <v>Прочие услуги</v>
      </c>
      <c r="B261" s="81" t="str">
        <f>[9]Роспись!B242</f>
        <v>056</v>
      </c>
      <c r="C261" s="81" t="str">
        <f>[9]Роспись!C242</f>
        <v>08</v>
      </c>
      <c r="D261" s="81" t="str">
        <f>[9]Роспись!D242</f>
        <v>01</v>
      </c>
      <c r="E261" s="81" t="str">
        <f>[9]Роспись!E242</f>
        <v>4400000</v>
      </c>
      <c r="F261" s="81" t="str">
        <f>[9]Роспись!F242</f>
        <v>001</v>
      </c>
      <c r="G261" s="81">
        <f>[9]Роспись!G242</f>
        <v>226</v>
      </c>
      <c r="H261" s="648">
        <f t="shared" si="23"/>
        <v>12053.27</v>
      </c>
      <c r="I261" s="673">
        <f t="shared" si="23"/>
        <v>7295.43</v>
      </c>
      <c r="J261" s="673">
        <f t="shared" si="23"/>
        <v>4757.8399999999992</v>
      </c>
      <c r="K261" s="673">
        <f t="shared" si="23"/>
        <v>0</v>
      </c>
      <c r="L261" s="707"/>
      <c r="M261" s="707"/>
      <c r="N261" s="707"/>
      <c r="O261" s="707"/>
      <c r="P261" s="707"/>
    </row>
    <row r="262" spans="1:16" x14ac:dyDescent="0.15">
      <c r="A262" s="647" t="str">
        <f>[9]Роспись!A243</f>
        <v xml:space="preserve">Прочие расходы </v>
      </c>
      <c r="B262" s="81" t="str">
        <f>[9]Роспись!B243</f>
        <v>056</v>
      </c>
      <c r="C262" s="81" t="str">
        <f>[9]Роспись!C243</f>
        <v>08</v>
      </c>
      <c r="D262" s="81" t="str">
        <f>[9]Роспись!D243</f>
        <v>01</v>
      </c>
      <c r="E262" s="81" t="str">
        <f>[9]Роспись!E243</f>
        <v>4400000</v>
      </c>
      <c r="F262" s="81" t="str">
        <f>[9]Роспись!F243</f>
        <v>001</v>
      </c>
      <c r="G262" s="81">
        <f>[9]Роспись!G243</f>
        <v>290</v>
      </c>
      <c r="H262" s="648">
        <f t="shared" si="23"/>
        <v>34.200000000000003</v>
      </c>
      <c r="I262" s="673">
        <f t="shared" si="23"/>
        <v>17.100000000000001</v>
      </c>
      <c r="J262" s="673">
        <f t="shared" si="23"/>
        <v>17.100000000000001</v>
      </c>
      <c r="K262" s="673">
        <f t="shared" si="23"/>
        <v>0</v>
      </c>
      <c r="L262" s="707"/>
      <c r="M262" s="707"/>
      <c r="N262" s="707"/>
      <c r="O262" s="707"/>
      <c r="P262" s="707"/>
    </row>
    <row r="263" spans="1:16" x14ac:dyDescent="0.15">
      <c r="A263" s="647" t="str">
        <f>[9]Роспись!A244</f>
        <v xml:space="preserve">Прочие расходы </v>
      </c>
      <c r="B263" s="81" t="str">
        <f>[9]Роспись!B244</f>
        <v>056</v>
      </c>
      <c r="C263" s="81" t="str">
        <f>[9]Роспись!C244</f>
        <v>08</v>
      </c>
      <c r="D263" s="81" t="str">
        <f>[9]Роспись!D244</f>
        <v>01</v>
      </c>
      <c r="E263" s="81" t="str">
        <f>[9]Роспись!E244</f>
        <v>4409500</v>
      </c>
      <c r="F263" s="81" t="str">
        <f>[9]Роспись!F244</f>
        <v>001</v>
      </c>
      <c r="G263" s="81" t="str">
        <f>[9]Роспись!G244</f>
        <v>290</v>
      </c>
      <c r="H263" s="648">
        <f t="shared" si="23"/>
        <v>353.06</v>
      </c>
      <c r="I263" s="708">
        <f t="shared" si="23"/>
        <v>253.76000000000002</v>
      </c>
      <c r="J263" s="673">
        <f t="shared" si="23"/>
        <v>99.300000000000011</v>
      </c>
      <c r="K263" s="673">
        <f t="shared" si="23"/>
        <v>-7.1054273576010019E-15</v>
      </c>
      <c r="L263" s="707"/>
      <c r="M263" s="707"/>
      <c r="N263" s="707"/>
      <c r="O263" s="707"/>
      <c r="P263" s="707"/>
    </row>
    <row r="264" spans="1:16" x14ac:dyDescent="0.15">
      <c r="A264" s="647" t="str">
        <f>[9]Роспись!A245</f>
        <v>Увелич. стоимости осн. средств</v>
      </c>
      <c r="B264" s="81" t="str">
        <f>[9]Роспись!B245</f>
        <v>056</v>
      </c>
      <c r="C264" s="81" t="str">
        <f>[9]Роспись!C245</f>
        <v>08</v>
      </c>
      <c r="D264" s="81" t="str">
        <f>[9]Роспись!D245</f>
        <v>01</v>
      </c>
      <c r="E264" s="81" t="str">
        <f>[9]Роспись!E245</f>
        <v>4400000</v>
      </c>
      <c r="F264" s="81" t="str">
        <f>[9]Роспись!F245</f>
        <v>001</v>
      </c>
      <c r="G264" s="81">
        <f>[9]Роспись!G245</f>
        <v>310</v>
      </c>
      <c r="H264" s="648">
        <f t="shared" si="23"/>
        <v>720</v>
      </c>
      <c r="I264" s="673">
        <f t="shared" si="23"/>
        <v>720</v>
      </c>
      <c r="J264" s="673">
        <f t="shared" si="23"/>
        <v>0</v>
      </c>
      <c r="K264" s="673">
        <f t="shared" si="23"/>
        <v>0</v>
      </c>
      <c r="L264" s="707"/>
      <c r="M264" s="707"/>
      <c r="N264" s="707"/>
      <c r="O264" s="707"/>
      <c r="P264" s="707"/>
    </row>
    <row r="265" spans="1:16" x14ac:dyDescent="0.15">
      <c r="A265" s="647" t="str">
        <f>[9]Роспись!A246</f>
        <v>Увелич. стоимости матер. запасов</v>
      </c>
      <c r="B265" s="81" t="str">
        <f>[9]Роспись!B246</f>
        <v>056</v>
      </c>
      <c r="C265" s="81" t="str">
        <f>[9]Роспись!C246</f>
        <v>08</v>
      </c>
      <c r="D265" s="81" t="str">
        <f>[9]Роспись!D246</f>
        <v>01</v>
      </c>
      <c r="E265" s="81" t="str">
        <f>[9]Роспись!E246</f>
        <v>4400000</v>
      </c>
      <c r="F265" s="81" t="str">
        <f>[9]Роспись!F246</f>
        <v>001</v>
      </c>
      <c r="G265" s="81">
        <f>[9]Роспись!G246</f>
        <v>340</v>
      </c>
      <c r="H265" s="648">
        <f t="shared" si="23"/>
        <v>730</v>
      </c>
      <c r="I265" s="673">
        <f t="shared" si="23"/>
        <v>243.32999999999998</v>
      </c>
      <c r="J265" s="673">
        <f t="shared" si="23"/>
        <v>486.67</v>
      </c>
      <c r="K265" s="673">
        <f t="shared" si="23"/>
        <v>0</v>
      </c>
      <c r="L265" s="707"/>
      <c r="M265" s="709">
        <f>I266-I263</f>
        <v>24167.29</v>
      </c>
      <c r="N265" s="707"/>
      <c r="O265" s="707"/>
      <c r="P265" s="707"/>
    </row>
    <row r="266" spans="1:16" x14ac:dyDescent="0.15">
      <c r="A266" s="674" t="s">
        <v>98</v>
      </c>
      <c r="B266" s="666" t="s">
        <v>79</v>
      </c>
      <c r="C266" s="666" t="s">
        <v>80</v>
      </c>
      <c r="D266" s="666" t="s">
        <v>125</v>
      </c>
      <c r="E266" s="666" t="s">
        <v>213</v>
      </c>
      <c r="F266" s="666" t="s">
        <v>102</v>
      </c>
      <c r="G266" s="675"/>
      <c r="H266" s="650">
        <f>SUM(H253:H265)</f>
        <v>71273.03</v>
      </c>
      <c r="I266" s="681">
        <f>SUM(I253:I265)</f>
        <v>24421.05</v>
      </c>
      <c r="J266" s="681">
        <f>SUM(J253:J265)</f>
        <v>46851.979999999996</v>
      </c>
      <c r="K266" s="643">
        <f>SUM(K253:K265)</f>
        <v>-7.1054273576010019E-15</v>
      </c>
      <c r="L266" s="706"/>
      <c r="M266" s="706"/>
      <c r="N266" s="706"/>
      <c r="O266" s="706"/>
      <c r="P266" s="706"/>
    </row>
    <row r="267" spans="1:16" ht="52" x14ac:dyDescent="0.15">
      <c r="A267" s="692" t="str">
        <f>A250</f>
        <v>Субсидия на финансовое обеспечение государственного задания на оказание государственных услуг (выполнение работ)</v>
      </c>
      <c r="B267" s="666"/>
      <c r="C267" s="666"/>
      <c r="D267" s="666"/>
      <c r="E267" s="666"/>
      <c r="F267" s="692">
        <f>F250</f>
        <v>611</v>
      </c>
      <c r="G267" s="692" t="str">
        <f>G250</f>
        <v>241</v>
      </c>
      <c r="H267" s="643">
        <f>H250+H234</f>
        <v>24547.08</v>
      </c>
      <c r="I267" s="681">
        <f>I250+I234</f>
        <v>24547.08</v>
      </c>
      <c r="J267" s="681"/>
      <c r="K267" s="681">
        <f>K250+K234</f>
        <v>0</v>
      </c>
      <c r="L267" s="706"/>
      <c r="M267" s="706"/>
      <c r="N267" s="706"/>
      <c r="O267" s="706"/>
      <c r="P267" s="706"/>
    </row>
    <row r="268" spans="1:16" x14ac:dyDescent="0.15">
      <c r="A268" s="692" t="str">
        <f>A251</f>
        <v>Субсидии на иные цели</v>
      </c>
      <c r="B268" s="666"/>
      <c r="C268" s="666"/>
      <c r="D268" s="666"/>
      <c r="E268" s="666"/>
      <c r="F268" s="692">
        <f>F251</f>
        <v>612</v>
      </c>
      <c r="G268" s="692" t="str">
        <f>G251</f>
        <v>241</v>
      </c>
      <c r="H268" s="643">
        <f>H251</f>
        <v>22304.9</v>
      </c>
      <c r="I268" s="681">
        <f>I251</f>
        <v>22304.899999999998</v>
      </c>
      <c r="J268" s="681"/>
      <c r="K268" s="681">
        <f>K251</f>
        <v>0</v>
      </c>
      <c r="L268" s="706"/>
      <c r="M268" s="706"/>
      <c r="N268" s="706"/>
      <c r="O268" s="706"/>
      <c r="P268" s="706"/>
    </row>
    <row r="269" spans="1:16" x14ac:dyDescent="0.15">
      <c r="A269" s="78" t="s">
        <v>128</v>
      </c>
      <c r="B269" s="672"/>
      <c r="C269" s="672"/>
      <c r="D269" s="672"/>
      <c r="E269" s="641"/>
      <c r="F269" s="641"/>
      <c r="G269" s="649"/>
      <c r="H269" s="648"/>
      <c r="I269" s="693"/>
      <c r="J269" s="693"/>
      <c r="K269" s="648"/>
      <c r="L269" s="646"/>
      <c r="M269" s="646"/>
      <c r="N269" s="646"/>
      <c r="O269" s="646"/>
      <c r="P269" s="646"/>
    </row>
    <row r="270" spans="1:16" x14ac:dyDescent="0.15">
      <c r="A270" s="647" t="str">
        <f>[9]Роспись!A249</f>
        <v xml:space="preserve">Заработная плата </v>
      </c>
      <c r="B270" s="81" t="str">
        <f>[9]Роспись!B249</f>
        <v>056</v>
      </c>
      <c r="C270" s="81" t="str">
        <f>[9]Роспись!C249</f>
        <v>08</v>
      </c>
      <c r="D270" s="81" t="str">
        <f>[9]Роспись!D249</f>
        <v>01</v>
      </c>
      <c r="E270" s="81">
        <f>[9]Роспись!E249</f>
        <v>4419901</v>
      </c>
      <c r="F270" s="81" t="str">
        <f>[9]Роспись!F249</f>
        <v>001</v>
      </c>
      <c r="G270" s="81">
        <f>[9]Роспись!G249</f>
        <v>211</v>
      </c>
      <c r="H270" s="648">
        <f>[9]Роспись!H249</f>
        <v>31935.1</v>
      </c>
      <c r="I270" s="648">
        <f>[9]Финансирование!I270+[9]Финансирование!J270+[9]Финансирование!K270+[9]Финансирование!L270+[9]Финансирование!M270+[9]Финансирование!N270+[9]Финансирование!O270+[9]Финансирование!P270</f>
        <v>14726.3</v>
      </c>
      <c r="J270" s="648">
        <f>[9]Финансирование!Q270+[9]Финансирование!T270+[9]Финансирование!U270+[9]Финансирование!V270+[9]Финансирование!W270+[9]Финансирование!X270+[9]Финансирование!Y270+[9]Финансирование!Z270</f>
        <v>17208.8</v>
      </c>
      <c r="K270" s="648">
        <f>H270-I270-J270</f>
        <v>0</v>
      </c>
    </row>
    <row r="271" spans="1:16" x14ac:dyDescent="0.15">
      <c r="A271" s="647" t="str">
        <f>[9]Роспись!A250</f>
        <v>Прочие выплаты</v>
      </c>
      <c r="B271" s="81" t="str">
        <f>[9]Роспись!B250</f>
        <v>056</v>
      </c>
      <c r="C271" s="81" t="str">
        <f>[9]Роспись!C250</f>
        <v>08</v>
      </c>
      <c r="D271" s="81" t="str">
        <f>[9]Роспись!D250</f>
        <v>01</v>
      </c>
      <c r="E271" s="81">
        <f>[9]Роспись!E250</f>
        <v>4419901</v>
      </c>
      <c r="F271" s="81" t="str">
        <f>[9]Роспись!F250</f>
        <v>001</v>
      </c>
      <c r="G271" s="81">
        <f>[9]Роспись!G250</f>
        <v>212</v>
      </c>
      <c r="H271" s="648">
        <f>[9]Роспись!H250</f>
        <v>5</v>
      </c>
      <c r="I271" s="648">
        <f>[9]Финансирование!I271+[9]Финансирование!J271+[9]Финансирование!K271+[9]Финансирование!L271+[9]Финансирование!M271+[9]Финансирование!N271+[9]Финансирование!O271+[9]Финансирование!P271</f>
        <v>2.08</v>
      </c>
      <c r="J271" s="648">
        <f>[9]Финансирование!Q271+[9]Финансирование!T271+[9]Финансирование!U271+[9]Финансирование!V271+[9]Финансирование!W271+[9]Финансирование!X271+[9]Финансирование!Y271+[9]Финансирование!Z271</f>
        <v>2.92</v>
      </c>
      <c r="K271" s="648">
        <f t="shared" ref="K271:K282" si="24">H271-I271-J271</f>
        <v>0</v>
      </c>
    </row>
    <row r="272" spans="1:16" x14ac:dyDescent="0.15">
      <c r="A272" s="647" t="str">
        <f>[9]Роспись!A251</f>
        <v>Начисления на оплату труда</v>
      </c>
      <c r="B272" s="81" t="str">
        <f>[9]Роспись!B251</f>
        <v>056</v>
      </c>
      <c r="C272" s="81" t="str">
        <f>[9]Роспись!C251</f>
        <v>08</v>
      </c>
      <c r="D272" s="81" t="str">
        <f>[9]Роспись!D251</f>
        <v>01</v>
      </c>
      <c r="E272" s="81">
        <f>[9]Роспись!E251</f>
        <v>4419901</v>
      </c>
      <c r="F272" s="81" t="str">
        <f>[9]Роспись!F251</f>
        <v>001</v>
      </c>
      <c r="G272" s="81">
        <f>[9]Роспись!G251</f>
        <v>213</v>
      </c>
      <c r="H272" s="648">
        <f>[9]Роспись!H251</f>
        <v>9644.5</v>
      </c>
      <c r="I272" s="648">
        <f>[9]Финансирование!I272+[9]Финансирование!J272+[9]Финансирование!K272+[9]Финансирование!L272+[9]Финансирование!M272+[9]Финансирование!N272+[9]Финансирование!O272+[9]Финансирование!P272</f>
        <v>4870.5</v>
      </c>
      <c r="J272" s="648">
        <f>[9]Финансирование!Q272+[9]Финансирование!T272+[9]Финансирование!U272+[9]Финансирование!V272+[9]Финансирование!W272+[9]Финансирование!X272+[9]Финансирование!Y272+[9]Финансирование!Z272</f>
        <v>4774</v>
      </c>
      <c r="K272" s="648">
        <f t="shared" si="24"/>
        <v>0</v>
      </c>
    </row>
    <row r="273" spans="1:16" x14ac:dyDescent="0.15">
      <c r="A273" s="647" t="str">
        <f>[9]Роспись!A252</f>
        <v xml:space="preserve">Оплата услуг связи </v>
      </c>
      <c r="B273" s="81" t="str">
        <f>[9]Роспись!B252</f>
        <v>056</v>
      </c>
      <c r="C273" s="81" t="str">
        <f>[9]Роспись!C252</f>
        <v>08</v>
      </c>
      <c r="D273" s="81" t="str">
        <f>[9]Роспись!D252</f>
        <v>01</v>
      </c>
      <c r="E273" s="81">
        <f>[9]Роспись!E252</f>
        <v>4419901</v>
      </c>
      <c r="F273" s="81" t="str">
        <f>[9]Роспись!F252</f>
        <v>001</v>
      </c>
      <c r="G273" s="81">
        <f>[9]Роспись!G252</f>
        <v>221</v>
      </c>
      <c r="H273" s="648">
        <f>[9]Роспись!H252</f>
        <v>50</v>
      </c>
      <c r="I273" s="648">
        <f>[9]Финансирование!I273+[9]Финансирование!J273+[9]Финансирование!K273+[9]Финансирование!L273+[9]Финансирование!M273+[9]Финансирование!N273+[9]Финансирование!O273+[9]Финансирование!P273</f>
        <v>12.5</v>
      </c>
      <c r="J273" s="648">
        <f>[9]Финансирование!Q273+[9]Финансирование!T273+[9]Финансирование!U273+[9]Финансирование!V273+[9]Финансирование!W273+[9]Финансирование!X273+[9]Финансирование!Y273+[9]Финансирование!Z273</f>
        <v>37.5</v>
      </c>
      <c r="K273" s="648">
        <f t="shared" si="24"/>
        <v>0</v>
      </c>
    </row>
    <row r="274" spans="1:16" x14ac:dyDescent="0.15">
      <c r="A274" s="647" t="str">
        <f>[9]Роспись!A253</f>
        <v>Транспортные услуги</v>
      </c>
      <c r="B274" s="81" t="str">
        <f>[9]Роспись!B253</f>
        <v>056</v>
      </c>
      <c r="C274" s="81" t="str">
        <f>[9]Роспись!C253</f>
        <v>08</v>
      </c>
      <c r="D274" s="81" t="str">
        <f>[9]Роспись!D253</f>
        <v>01</v>
      </c>
      <c r="E274" s="81">
        <f>[9]Роспись!E253</f>
        <v>4419901</v>
      </c>
      <c r="F274" s="81" t="str">
        <f>[9]Роспись!F253</f>
        <v>001</v>
      </c>
      <c r="G274" s="81">
        <f>[9]Роспись!G253</f>
        <v>222</v>
      </c>
      <c r="H274" s="648">
        <f>[9]Роспись!H253</f>
        <v>10</v>
      </c>
      <c r="I274" s="648">
        <f>[9]Финансирование!I274+[9]Финансирование!J274+[9]Финансирование!K274+[9]Финансирование!L274+[9]Финансирование!M274+[9]Финансирование!N274+[9]Финансирование!O274+[9]Финансирование!P274</f>
        <v>2.5</v>
      </c>
      <c r="J274" s="648">
        <f>[9]Финансирование!Q274+[9]Финансирование!T274+[9]Финансирование!U274+[9]Финансирование!V274+[9]Финансирование!W274+[9]Финансирование!X274+[9]Финансирование!Y274+[9]Финансирование!Z274</f>
        <v>7.5</v>
      </c>
      <c r="K274" s="648">
        <f t="shared" si="24"/>
        <v>0</v>
      </c>
    </row>
    <row r="275" spans="1:16" x14ac:dyDescent="0.15">
      <c r="A275" s="647" t="str">
        <f>[9]Роспись!A254</f>
        <v>Коммунальные услуги</v>
      </c>
      <c r="B275" s="81" t="str">
        <f>[9]Роспись!B254</f>
        <v>056</v>
      </c>
      <c r="C275" s="81" t="str">
        <f>[9]Роспись!C254</f>
        <v>08</v>
      </c>
      <c r="D275" s="81" t="str">
        <f>[9]Роспись!D254</f>
        <v>01</v>
      </c>
      <c r="E275" s="81">
        <f>[9]Роспись!E254</f>
        <v>4419901</v>
      </c>
      <c r="F275" s="81" t="str">
        <f>[9]Роспись!F254</f>
        <v>001</v>
      </c>
      <c r="G275" s="81">
        <f>[9]Роспись!G254</f>
        <v>223</v>
      </c>
      <c r="H275" s="648">
        <f>[9]Роспись!H254</f>
        <v>1135</v>
      </c>
      <c r="I275" s="648">
        <f>[9]Финансирование!I275+[9]Финансирование!J275+[9]Финансирование!K275+[9]Финансирование!L275+[9]Финансирование!M275+[9]Финансирование!N275+[9]Финансирование!O275+[9]Финансирование!P275</f>
        <v>407.63</v>
      </c>
      <c r="J275" s="648">
        <f>[9]Финансирование!Q275+[9]Финансирование!T275+[9]Финансирование!U275+[9]Финансирование!V275+[9]Финансирование!W275+[9]Финансирование!X275+[9]Финансирование!Y275+[9]Финансирование!Z275</f>
        <v>727.37000000000012</v>
      </c>
      <c r="K275" s="648">
        <f t="shared" si="24"/>
        <v>0</v>
      </c>
      <c r="L275" s="635">
        <v>727.32</v>
      </c>
    </row>
    <row r="276" spans="1:16" x14ac:dyDescent="0.15">
      <c r="A276" s="647" t="str">
        <f>[9]Роспись!A255</f>
        <v>Аренда помещения</v>
      </c>
      <c r="B276" s="81" t="str">
        <f>[9]Роспись!B255</f>
        <v>056</v>
      </c>
      <c r="C276" s="81" t="str">
        <f>[9]Роспись!C255</f>
        <v>08</v>
      </c>
      <c r="D276" s="81" t="str">
        <f>[9]Роспись!D255</f>
        <v>01</v>
      </c>
      <c r="E276" s="81">
        <f>[9]Роспись!E255</f>
        <v>4419901</v>
      </c>
      <c r="F276" s="81" t="str">
        <f>[9]Роспись!F255</f>
        <v>001</v>
      </c>
      <c r="G276" s="81">
        <f>[9]Роспись!G255</f>
        <v>224</v>
      </c>
      <c r="H276" s="648">
        <f>[9]Роспись!H255</f>
        <v>0</v>
      </c>
      <c r="I276" s="648">
        <f>[9]Финансирование!I276+[9]Финансирование!J276+[9]Финансирование!K276+[9]Финансирование!L276+[9]Финансирование!M276+[9]Финансирование!N276+[9]Финансирование!O276+[9]Финансирование!P276</f>
        <v>0</v>
      </c>
      <c r="J276" s="648">
        <f>[9]Финансирование!Q276+[9]Финансирование!T276+[9]Финансирование!U276+[9]Финансирование!V276+[9]Финансирование!W276+[9]Финансирование!X276+[9]Финансирование!Y276+[9]Финансирование!Z276</f>
        <v>0</v>
      </c>
      <c r="K276" s="648">
        <f t="shared" si="24"/>
        <v>0</v>
      </c>
    </row>
    <row r="277" spans="1:16" x14ac:dyDescent="0.15">
      <c r="A277" s="647" t="str">
        <f>[9]Роспись!A256</f>
        <v>Услуги по содерж. имущества</v>
      </c>
      <c r="B277" s="81" t="str">
        <f>[9]Роспись!B256</f>
        <v>056</v>
      </c>
      <c r="C277" s="81" t="str">
        <f>[9]Роспись!C256</f>
        <v>08</v>
      </c>
      <c r="D277" s="81" t="str">
        <f>[9]Роспись!D256</f>
        <v>01</v>
      </c>
      <c r="E277" s="81">
        <f>[9]Роспись!E256</f>
        <v>4419901</v>
      </c>
      <c r="F277" s="81" t="str">
        <f>[9]Роспись!F256</f>
        <v>001</v>
      </c>
      <c r="G277" s="81">
        <f>[9]Роспись!G256</f>
        <v>225</v>
      </c>
      <c r="H277" s="648">
        <f>[9]Роспись!H256</f>
        <v>1515</v>
      </c>
      <c r="I277" s="648">
        <f>[9]Финансирование!I277+[9]Финансирование!J277+[9]Финансирование!K277+[9]Финансирование!L277+[9]Финансирование!M277+[9]Финансирование!N277+[9]Финансирование!O277+[9]Финансирование!P277</f>
        <v>378.7</v>
      </c>
      <c r="J277" s="648">
        <f>[9]Финансирование!Q277+[9]Финансирование!T277+[9]Финансирование!U277+[9]Финансирование!V277+[9]Финансирование!W277+[9]Финансирование!X277+[9]Финансирование!Y277+[9]Финансирование!Z277</f>
        <v>1136.3</v>
      </c>
      <c r="K277" s="648">
        <f t="shared" si="24"/>
        <v>0</v>
      </c>
    </row>
    <row r="278" spans="1:16" x14ac:dyDescent="0.15">
      <c r="A278" s="647" t="str">
        <f>[9]Роспись!A257</f>
        <v>Прочие услуги</v>
      </c>
      <c r="B278" s="81" t="str">
        <f>[9]Роспись!B257</f>
        <v>056</v>
      </c>
      <c r="C278" s="81" t="str">
        <f>[9]Роспись!C257</f>
        <v>08</v>
      </c>
      <c r="D278" s="81" t="str">
        <f>[9]Роспись!D257</f>
        <v>01</v>
      </c>
      <c r="E278" s="81">
        <f>[9]Роспись!E257</f>
        <v>4419901</v>
      </c>
      <c r="F278" s="81" t="str">
        <f>[9]Роспись!F257</f>
        <v>001</v>
      </c>
      <c r="G278" s="81">
        <f>[9]Роспись!G257</f>
        <v>226</v>
      </c>
      <c r="H278" s="648">
        <f>[9]Роспись!H257</f>
        <v>1887</v>
      </c>
      <c r="I278" s="648">
        <f>[9]Финансирование!I278+[9]Финансирование!J278+[9]Финансирование!K278+[9]Финансирование!L278+[9]Финансирование!M278+[9]Финансирование!N278+[9]Финансирование!O278+[9]Финансирование!P278</f>
        <v>418.99</v>
      </c>
      <c r="J278" s="648">
        <f>[9]Финансирование!Q278+[9]Финансирование!T278+[9]Финансирование!U278+[9]Финансирование!V278+[9]Финансирование!W278+[9]Финансирование!X278+[9]Финансирование!Y278+[9]Финансирование!Z278</f>
        <v>1468.0099999999998</v>
      </c>
      <c r="K278" s="648">
        <f t="shared" si="24"/>
        <v>0</v>
      </c>
      <c r="M278" s="658">
        <f>J278-700</f>
        <v>768.00999999999976</v>
      </c>
    </row>
    <row r="279" spans="1:16" x14ac:dyDescent="0.15">
      <c r="A279" s="647" t="str">
        <f>[9]Роспись!A258</f>
        <v xml:space="preserve">Прочие расходы </v>
      </c>
      <c r="B279" s="81" t="str">
        <f>[9]Роспись!B258</f>
        <v>056</v>
      </c>
      <c r="C279" s="81" t="str">
        <f>[9]Роспись!C258</f>
        <v>08</v>
      </c>
      <c r="D279" s="81" t="str">
        <f>[9]Роспись!D258</f>
        <v>01</v>
      </c>
      <c r="E279" s="81">
        <f>[9]Роспись!E258</f>
        <v>4419901</v>
      </c>
      <c r="F279" s="81" t="str">
        <f>[9]Роспись!F258</f>
        <v>001</v>
      </c>
      <c r="G279" s="81">
        <f>[9]Роспись!G258</f>
        <v>290</v>
      </c>
      <c r="H279" s="648">
        <f>[9]Роспись!H258</f>
        <v>117.2</v>
      </c>
      <c r="I279" s="648">
        <f>[9]Финансирование!I279+[9]Финансирование!J279+[9]Финансирование!K279+[9]Финансирование!L279+[9]Финансирование!M279+[9]Финансирование!N279+[9]Финансирование!O279+[9]Финансирование!P279</f>
        <v>33.6</v>
      </c>
      <c r="J279" s="648">
        <f>[9]Финансирование!Q279+[9]Финансирование!T279+[9]Финансирование!U279+[9]Финансирование!V279+[9]Финансирование!W279+[9]Финансирование!X279+[9]Финансирование!Y279+[9]Финансирование!Z279</f>
        <v>83.6</v>
      </c>
      <c r="K279" s="648">
        <f t="shared" si="24"/>
        <v>0</v>
      </c>
    </row>
    <row r="280" spans="1:16" x14ac:dyDescent="0.15">
      <c r="A280" s="647" t="str">
        <f>[9]Роспись!A259</f>
        <v xml:space="preserve">Прочие расходы </v>
      </c>
      <c r="B280" s="81" t="str">
        <f>[9]Роспись!B259</f>
        <v>056</v>
      </c>
      <c r="C280" s="81" t="str">
        <f>[9]Роспись!C259</f>
        <v>08</v>
      </c>
      <c r="D280" s="81" t="str">
        <f>[9]Роспись!D259</f>
        <v>01</v>
      </c>
      <c r="E280" s="81" t="str">
        <f>[9]Роспись!E259</f>
        <v>4419500</v>
      </c>
      <c r="F280" s="81" t="str">
        <f>[9]Роспись!F259</f>
        <v>001</v>
      </c>
      <c r="G280" s="81" t="str">
        <f>[9]Роспись!G259</f>
        <v>290</v>
      </c>
      <c r="H280" s="648">
        <f>[9]Роспись!H259</f>
        <v>664.90000000000009</v>
      </c>
      <c r="I280" s="648">
        <f>[9]Финансирование!I280+[9]Финансирование!J280+[9]Финансирование!K280+[9]Финансирование!L280+[9]Финансирование!M280+[9]Финансирование!N280+[9]Финансирование!O280+[9]Финансирование!P280</f>
        <v>529.4</v>
      </c>
      <c r="J280" s="648">
        <f>[9]Финансирование!Q280+[9]Финансирование!T280+[9]Финансирование!U280+[9]Финансирование!V280+[9]Финансирование!W280+[9]Финансирование!X280+[9]Финансирование!Y280+[9]Финансирование!Z280</f>
        <v>135.5</v>
      </c>
      <c r="K280" s="648">
        <f t="shared" si="24"/>
        <v>0</v>
      </c>
      <c r="L280" s="658">
        <v>33.6</v>
      </c>
      <c r="M280" s="658">
        <f>J279+J280</f>
        <v>219.1</v>
      </c>
      <c r="N280" s="658">
        <f>M280-50</f>
        <v>169.1</v>
      </c>
    </row>
    <row r="281" spans="1:16" x14ac:dyDescent="0.15">
      <c r="A281" s="647" t="str">
        <f>[9]Роспись!A260</f>
        <v>Увелич. стоимости осн. средств</v>
      </c>
      <c r="B281" s="81" t="str">
        <f>[9]Роспись!B260</f>
        <v>056</v>
      </c>
      <c r="C281" s="81" t="str">
        <f>[9]Роспись!C260</f>
        <v>08</v>
      </c>
      <c r="D281" s="81" t="str">
        <f>[9]Роспись!D260</f>
        <v>01</v>
      </c>
      <c r="E281" s="81">
        <f>[9]Роспись!E260</f>
        <v>4419901</v>
      </c>
      <c r="F281" s="81" t="str">
        <f>[9]Роспись!F260</f>
        <v>001</v>
      </c>
      <c r="G281" s="81">
        <f>[9]Роспись!G260</f>
        <v>310</v>
      </c>
      <c r="H281" s="648">
        <f>[9]Роспись!H260</f>
        <v>250</v>
      </c>
      <c r="I281" s="648">
        <f>[9]Финансирование!I281+[9]Финансирование!J281+[9]Финансирование!K281+[9]Финансирование!L281+[9]Финансирование!M281+[9]Финансирование!N281+[9]Финансирование!O281+[9]Финансирование!P281</f>
        <v>0</v>
      </c>
      <c r="J281" s="648">
        <f>[9]Финансирование!Q281+[9]Финансирование!T281+[9]Финансирование!U281+[9]Финансирование!V281+[9]Финансирование!W281+[9]Финансирование!X281+[9]Финансирование!Y281+[9]Финансирование!Z281</f>
        <v>250</v>
      </c>
      <c r="K281" s="648">
        <f t="shared" si="24"/>
        <v>0</v>
      </c>
    </row>
    <row r="282" spans="1:16" x14ac:dyDescent="0.15">
      <c r="A282" s="647" t="str">
        <f>[9]Роспись!A261</f>
        <v>Увелич. стоимости матер. запасов</v>
      </c>
      <c r="B282" s="81" t="str">
        <f>[9]Роспись!B261</f>
        <v>056</v>
      </c>
      <c r="C282" s="81" t="str">
        <f>[9]Роспись!C261</f>
        <v>08</v>
      </c>
      <c r="D282" s="81" t="str">
        <f>[9]Роспись!D261</f>
        <v>01</v>
      </c>
      <c r="E282" s="81">
        <f>[9]Роспись!E261</f>
        <v>4419901</v>
      </c>
      <c r="F282" s="81" t="str">
        <f>[9]Роспись!F261</f>
        <v>001</v>
      </c>
      <c r="G282" s="81">
        <f>[9]Роспись!G261</f>
        <v>340</v>
      </c>
      <c r="H282" s="648">
        <f>[9]Роспись!H261</f>
        <v>230</v>
      </c>
      <c r="I282" s="648">
        <f>[9]Финансирование!I282+[9]Финансирование!J282+[9]Финансирование!K282+[9]Финансирование!L282+[9]Финансирование!M282+[9]Финансирование!N282+[9]Финансирование!O282+[9]Финансирование!P282</f>
        <v>76.64</v>
      </c>
      <c r="J282" s="648">
        <f>[9]Финансирование!Q282+[9]Финансирование!T282+[9]Финансирование!U282+[9]Финансирование!V282+[9]Финансирование!W282+[9]Финансирование!X282+[9]Финансирование!Y282+[9]Финансирование!Z282</f>
        <v>153.36000000000001</v>
      </c>
      <c r="K282" s="648">
        <f t="shared" si="24"/>
        <v>0</v>
      </c>
    </row>
    <row r="283" spans="1:16" x14ac:dyDescent="0.15">
      <c r="A283" s="674" t="s">
        <v>98</v>
      </c>
      <c r="B283" s="666" t="s">
        <v>79</v>
      </c>
      <c r="C283" s="666" t="s">
        <v>80</v>
      </c>
      <c r="D283" s="666" t="s">
        <v>125</v>
      </c>
      <c r="E283" s="666" t="s">
        <v>214</v>
      </c>
      <c r="F283" s="666" t="s">
        <v>102</v>
      </c>
      <c r="G283" s="675"/>
      <c r="H283" s="643">
        <f>SUM(H270:H282)</f>
        <v>47443.7</v>
      </c>
      <c r="I283" s="681">
        <f>SUM(I270:I282)</f>
        <v>21458.84</v>
      </c>
      <c r="J283" s="681">
        <f>SUM(J270:J282)</f>
        <v>25984.859999999993</v>
      </c>
      <c r="K283" s="643">
        <f>SUM(K270:K282)</f>
        <v>0</v>
      </c>
      <c r="L283" s="678"/>
      <c r="M283" s="678"/>
      <c r="N283" s="678"/>
      <c r="O283" s="678"/>
      <c r="P283" s="678"/>
    </row>
    <row r="284" spans="1:16" ht="52" x14ac:dyDescent="0.15">
      <c r="A284" s="692" t="str">
        <f>'[9]Новая роспись'!A296</f>
        <v>Субсидия на финансовое обеспечение государственного задания на оказание государственных услуг (выполнение работ)</v>
      </c>
      <c r="B284" s="666"/>
      <c r="C284" s="666"/>
      <c r="D284" s="666"/>
      <c r="E284" s="666"/>
      <c r="F284" s="692">
        <f>'[9]Новая роспись'!F296</f>
        <v>611</v>
      </c>
      <c r="G284" s="692" t="str">
        <f>'[9]Новая роспись'!G296</f>
        <v>241</v>
      </c>
      <c r="H284" s="710">
        <f>'[9]Новая роспись'!H296</f>
        <v>25234.859999999997</v>
      </c>
      <c r="I284" s="648">
        <f>J283-I285</f>
        <v>25234.859999999993</v>
      </c>
      <c r="J284" s="648"/>
      <c r="K284" s="648">
        <f>H284-I284</f>
        <v>0</v>
      </c>
      <c r="L284" s="678"/>
      <c r="M284" s="678"/>
      <c r="N284" s="678"/>
      <c r="O284" s="678"/>
      <c r="P284" s="678"/>
    </row>
    <row r="285" spans="1:16" x14ac:dyDescent="0.15">
      <c r="A285" s="692" t="str">
        <f>'[9]Новая роспись'!A297</f>
        <v>Субсидии на иные цели</v>
      </c>
      <c r="B285" s="692" t="str">
        <f>'[9]Новая роспись'!B297</f>
        <v>056</v>
      </c>
      <c r="C285" s="692" t="str">
        <f>'[9]Новая роспись'!C297</f>
        <v>08</v>
      </c>
      <c r="D285" s="692" t="str">
        <f>'[9]Новая роспись'!D297</f>
        <v>01</v>
      </c>
      <c r="E285" s="692" t="str">
        <f>'[9]Новая роспись'!E297</f>
        <v>4419901</v>
      </c>
      <c r="F285" s="692">
        <f>'[9]Новая роспись'!F297</f>
        <v>612</v>
      </c>
      <c r="G285" s="692" t="str">
        <f>'[9]Новая роспись'!G297</f>
        <v>241</v>
      </c>
      <c r="H285" s="645">
        <f>'[9]Новая роспись'!H297</f>
        <v>750</v>
      </c>
      <c r="I285" s="648">
        <f>[9]Финансирование!I285+[9]Финансирование!J285+[9]Финансирование!K285+[9]Финансирование!L285+[9]Финансирование!M285+[9]Финансирование!N285+[9]Финансирование!O285+[9]Финансирование!P285+[9]Финансирование!Q285+[9]Финансирование!T285+[9]Финансирование!U285+[9]Финансирование!V285+[9]Финансирование!W285+[9]Финансирование!X285+[9]Финансирование!Y285+[9]Финансирование!Z285</f>
        <v>750</v>
      </c>
      <c r="J285" s="711"/>
      <c r="K285" s="648">
        <f>H285-I285</f>
        <v>0</v>
      </c>
      <c r="L285" s="712"/>
      <c r="M285" s="712"/>
      <c r="N285" s="712"/>
      <c r="O285" s="712"/>
      <c r="P285" s="712"/>
    </row>
    <row r="286" spans="1:16" x14ac:dyDescent="0.15">
      <c r="A286" s="682" t="s">
        <v>129</v>
      </c>
      <c r="B286" s="683"/>
      <c r="C286" s="683"/>
      <c r="D286" s="683"/>
      <c r="E286" s="683"/>
      <c r="F286" s="683"/>
      <c r="G286" s="684"/>
      <c r="H286" s="648"/>
      <c r="I286" s="685">
        <f>[9]Финансирование!I286+[9]Финансирование!J286+[9]Финансирование!K286+[9]Финансирование!L286+[9]Финансирование!M286+[9]Финансирование!N286+[9]Финансирование!O286+[9]Финансирование!P286+[9]Финансирование!Q286+[9]Финансирование!T286+[9]Финансирование!U286+[9]Финансирование!V286+[9]Финансирование!W286+[9]Финансирование!X286+[9]Финансирование!Y286+[9]Финансирование!Z286</f>
        <v>0</v>
      </c>
      <c r="J286" s="685"/>
      <c r="K286" s="685"/>
      <c r="L286" s="646"/>
      <c r="M286" s="646"/>
      <c r="N286" s="646"/>
      <c r="O286" s="646"/>
      <c r="P286" s="646"/>
    </row>
    <row r="287" spans="1:16" x14ac:dyDescent="0.15">
      <c r="A287" s="686" t="str">
        <f>[9]Роспись!A264</f>
        <v xml:space="preserve">Заработная плата </v>
      </c>
      <c r="B287" s="687" t="str">
        <f>[9]Роспись!B264</f>
        <v>056</v>
      </c>
      <c r="C287" s="687" t="str">
        <f>[9]Роспись!C264</f>
        <v>08</v>
      </c>
      <c r="D287" s="687" t="str">
        <f>[9]Роспись!D264</f>
        <v>01</v>
      </c>
      <c r="E287" s="687">
        <f>[9]Роспись!E264</f>
        <v>4419901</v>
      </c>
      <c r="F287" s="687" t="str">
        <f>[9]Роспись!F264</f>
        <v>001</v>
      </c>
      <c r="G287" s="687">
        <f>[9]Роспись!G264</f>
        <v>211</v>
      </c>
      <c r="H287" s="648">
        <f>[9]Роспись!H264</f>
        <v>7072.9</v>
      </c>
      <c r="I287" s="685">
        <f>[9]Финансирование!I287+[9]Финансирование!J287+[9]Финансирование!K287+[9]Финансирование!L287+[9]Финансирование!M287+[9]Финансирование!N287+[9]Финансирование!O287+[9]Финансирование!P287</f>
        <v>3261.55</v>
      </c>
      <c r="J287" s="685">
        <f>[9]Финансирование!Q287+[9]Финансирование!T287+[9]Финансирование!U287+[9]Финансирование!V287+[9]Финансирование!W287+[9]Финансирование!X287+[9]Финансирование!Y287+[9]Финансирование!Z287</f>
        <v>3811.35</v>
      </c>
      <c r="K287" s="685">
        <f>H287-I287-J287</f>
        <v>0</v>
      </c>
      <c r="L287" s="635">
        <v>3808.7950000000001</v>
      </c>
      <c r="M287" s="658">
        <f>J287-L287</f>
        <v>2.5549999999998363</v>
      </c>
    </row>
    <row r="288" spans="1:16" x14ac:dyDescent="0.15">
      <c r="A288" s="686" t="str">
        <f>[9]Роспись!A265</f>
        <v>Прочие выплаты</v>
      </c>
      <c r="B288" s="687" t="str">
        <f>[9]Роспись!B265</f>
        <v>056</v>
      </c>
      <c r="C288" s="687" t="str">
        <f>[9]Роспись!C265</f>
        <v>08</v>
      </c>
      <c r="D288" s="687" t="str">
        <f>[9]Роспись!D265</f>
        <v>01</v>
      </c>
      <c r="E288" s="687">
        <f>[9]Роспись!E265</f>
        <v>4419901</v>
      </c>
      <c r="F288" s="687" t="str">
        <f>[9]Роспись!F265</f>
        <v>001</v>
      </c>
      <c r="G288" s="687">
        <f>[9]Роспись!G265</f>
        <v>212</v>
      </c>
      <c r="H288" s="648">
        <f>[9]Роспись!H265</f>
        <v>5.8999999999999995</v>
      </c>
      <c r="I288" s="685">
        <f>[9]Финансирование!I288+[9]Финансирование!J288+[9]Финансирование!K288+[9]Финансирование!L288+[9]Финансирование!M288+[9]Финансирование!N288+[9]Финансирование!O288+[9]Финансирование!P288</f>
        <v>0</v>
      </c>
      <c r="J288" s="685">
        <f>[9]Финансирование!Q288+[9]Финансирование!T288+[9]Финансирование!U288+[9]Финансирование!V288+[9]Финансирование!W288+[9]Финансирование!X288+[9]Финансирование!Y288+[9]Финансирование!Z288</f>
        <v>5.8999999999999995</v>
      </c>
      <c r="K288" s="685">
        <f t="shared" ref="K288:K299" si="25">H288-I288-J288</f>
        <v>0</v>
      </c>
      <c r="L288" s="658">
        <f>J288-M291</f>
        <v>1.7999999999999998</v>
      </c>
    </row>
    <row r="289" spans="1:16" x14ac:dyDescent="0.15">
      <c r="A289" s="686" t="str">
        <f>[9]Роспись!A266</f>
        <v>Начисления на оплату труда</v>
      </c>
      <c r="B289" s="687" t="str">
        <f>[9]Роспись!B266</f>
        <v>056</v>
      </c>
      <c r="C289" s="687" t="str">
        <f>[9]Роспись!C266</f>
        <v>08</v>
      </c>
      <c r="D289" s="687" t="str">
        <f>[9]Роспись!D266</f>
        <v>01</v>
      </c>
      <c r="E289" s="687">
        <f>[9]Роспись!E266</f>
        <v>4419901</v>
      </c>
      <c r="F289" s="687" t="str">
        <f>[9]Роспись!F266</f>
        <v>001</v>
      </c>
      <c r="G289" s="687">
        <f>[9]Роспись!G266</f>
        <v>213</v>
      </c>
      <c r="H289" s="648">
        <f>[9]Роспись!H266</f>
        <v>2136</v>
      </c>
      <c r="I289" s="685">
        <f>[9]Финансирование!I289+[9]Финансирование!J289+[9]Финансирование!K289+[9]Финансирование!L289+[9]Финансирование!M289+[9]Финансирование!N289+[9]Финансирование!O289+[9]Финансирование!P289</f>
        <v>1079</v>
      </c>
      <c r="J289" s="685">
        <f>[9]Финансирование!Q289+[9]Финансирование!T289+[9]Финансирование!U289+[9]Финансирование!V289+[9]Финансирование!W289+[9]Финансирование!X289+[9]Финансирование!Y289+[9]Финансирование!Z289</f>
        <v>1057</v>
      </c>
      <c r="K289" s="685">
        <f t="shared" si="25"/>
        <v>0</v>
      </c>
    </row>
    <row r="290" spans="1:16" ht="15" thickBot="1" x14ac:dyDescent="0.2">
      <c r="A290" s="686" t="str">
        <f>[9]Роспись!A267</f>
        <v xml:space="preserve">Оплата услуг связи </v>
      </c>
      <c r="B290" s="687" t="str">
        <f>[9]Роспись!B267</f>
        <v>056</v>
      </c>
      <c r="C290" s="687" t="str">
        <f>[9]Роспись!C267</f>
        <v>08</v>
      </c>
      <c r="D290" s="687" t="str">
        <f>[9]Роспись!D267</f>
        <v>01</v>
      </c>
      <c r="E290" s="687">
        <f>[9]Роспись!E267</f>
        <v>4419901</v>
      </c>
      <c r="F290" s="687" t="str">
        <f>[9]Роспись!F267</f>
        <v>001</v>
      </c>
      <c r="G290" s="687">
        <f>[9]Роспись!G267</f>
        <v>221</v>
      </c>
      <c r="H290" s="648">
        <f>[9]Роспись!H267</f>
        <v>16</v>
      </c>
      <c r="I290" s="685">
        <f>[9]Финансирование!I290+[9]Финансирование!J290+[9]Финансирование!K290+[9]Финансирование!L290+[9]Финансирование!M290+[9]Финансирование!N290+[9]Финансирование!O290+[9]Финансирование!P290</f>
        <v>4</v>
      </c>
      <c r="J290" s="685">
        <f>[9]Финансирование!Q290+[9]Финансирование!T290+[9]Финансирование!U290+[9]Финансирование!V290+[9]Финансирование!W290+[9]Финансирование!X290+[9]Финансирование!Y290+[9]Финансирование!Z290</f>
        <v>12</v>
      </c>
      <c r="K290" s="685">
        <f t="shared" si="25"/>
        <v>0</v>
      </c>
    </row>
    <row r="291" spans="1:16" ht="15" thickBot="1" x14ac:dyDescent="0.2">
      <c r="A291" s="686" t="str">
        <f>[9]Роспись!A268</f>
        <v>Транспортные услуги</v>
      </c>
      <c r="B291" s="687" t="str">
        <f>[9]Роспись!B268</f>
        <v>056</v>
      </c>
      <c r="C291" s="687" t="str">
        <f>[9]Роспись!C268</f>
        <v>08</v>
      </c>
      <c r="D291" s="687" t="str">
        <f>[9]Роспись!D268</f>
        <v>01</v>
      </c>
      <c r="E291" s="687">
        <f>[9]Роспись!E268</f>
        <v>4419901</v>
      </c>
      <c r="F291" s="687" t="str">
        <f>[9]Роспись!F268</f>
        <v>001</v>
      </c>
      <c r="G291" s="687">
        <f>[9]Роспись!G268</f>
        <v>222</v>
      </c>
      <c r="H291" s="648">
        <f>[9]Роспись!H268</f>
        <v>184.79</v>
      </c>
      <c r="I291" s="685">
        <f>[9]Финансирование!I291+[9]Финансирование!J291+[9]Финансирование!K291+[9]Финансирование!L291+[9]Финансирование!M291+[9]Финансирование!N291+[9]Финансирование!O291+[9]Финансирование!P291</f>
        <v>10</v>
      </c>
      <c r="J291" s="685">
        <f>[9]Финансирование!Q291+[9]Финансирование!T291+[9]Финансирование!U291+[9]Финансирование!V291+[9]Финансирование!W291+[9]Финансирование!X291+[9]Финансирование!Y291+[9]Финансирование!Z291</f>
        <v>174.79</v>
      </c>
      <c r="K291" s="685">
        <f t="shared" si="25"/>
        <v>0</v>
      </c>
      <c r="L291" s="713">
        <v>212</v>
      </c>
      <c r="M291" s="714">
        <v>4.0999999999999996</v>
      </c>
      <c r="N291" s="658">
        <f>J291-M292</f>
        <v>38.539999999999992</v>
      </c>
    </row>
    <row r="292" spans="1:16" ht="15" thickBot="1" x14ac:dyDescent="0.2">
      <c r="A292" s="686" t="str">
        <f>[9]Роспись!A269</f>
        <v>Коммунальные услуги</v>
      </c>
      <c r="B292" s="687" t="str">
        <f>[9]Роспись!B269</f>
        <v>056</v>
      </c>
      <c r="C292" s="687" t="str">
        <f>[9]Роспись!C269</f>
        <v>08</v>
      </c>
      <c r="D292" s="687" t="str">
        <f>[9]Роспись!D269</f>
        <v>01</v>
      </c>
      <c r="E292" s="687">
        <f>[9]Роспись!E269</f>
        <v>4419901</v>
      </c>
      <c r="F292" s="687" t="str">
        <f>[9]Роспись!F269</f>
        <v>001</v>
      </c>
      <c r="G292" s="687">
        <f>[9]Роспись!G269</f>
        <v>223</v>
      </c>
      <c r="H292" s="648">
        <f>[9]Роспись!H269</f>
        <v>406</v>
      </c>
      <c r="I292" s="685">
        <f>[9]Финансирование!I292+[9]Финансирование!J292+[9]Финансирование!K292+[9]Финансирование!L292+[9]Финансирование!M292+[9]Финансирование!N292+[9]Финансирование!O292+[9]Финансирование!P292</f>
        <v>208</v>
      </c>
      <c r="J292" s="685">
        <f>[9]Финансирование!Q292+[9]Финансирование!T292+[9]Финансирование!U292+[9]Финансирование!V292+[9]Финансирование!W292+[9]Финансирование!X292+[9]Финансирование!Y292+[9]Финансирование!Z292</f>
        <v>198</v>
      </c>
      <c r="K292" s="685">
        <f t="shared" si="25"/>
        <v>0</v>
      </c>
      <c r="L292" s="715">
        <v>222</v>
      </c>
      <c r="M292" s="716">
        <v>136.25</v>
      </c>
    </row>
    <row r="293" spans="1:16" ht="15" thickBot="1" x14ac:dyDescent="0.2">
      <c r="A293" s="686" t="str">
        <f>[9]Роспись!A270</f>
        <v>Аренда помещения</v>
      </c>
      <c r="B293" s="687" t="str">
        <f>[9]Роспись!B270</f>
        <v>056</v>
      </c>
      <c r="C293" s="687" t="str">
        <f>[9]Роспись!C270</f>
        <v>08</v>
      </c>
      <c r="D293" s="687" t="str">
        <f>[9]Роспись!D270</f>
        <v>01</v>
      </c>
      <c r="E293" s="687">
        <f>[9]Роспись!E270</f>
        <v>4419901</v>
      </c>
      <c r="F293" s="687" t="str">
        <f>[9]Роспись!F270</f>
        <v>001</v>
      </c>
      <c r="G293" s="687">
        <f>[9]Роспись!G270</f>
        <v>224</v>
      </c>
      <c r="H293" s="648">
        <f>[9]Роспись!H270</f>
        <v>0</v>
      </c>
      <c r="I293" s="685">
        <f>[9]Финансирование!I293+[9]Финансирование!J293+[9]Финансирование!K293+[9]Финансирование!L293+[9]Финансирование!M293+[9]Финансирование!N293+[9]Финансирование!O293+[9]Финансирование!P293</f>
        <v>0</v>
      </c>
      <c r="J293" s="685">
        <f>[9]Финансирование!Q293+[9]Финансирование!T293+[9]Финансирование!U293+[9]Финансирование!V293+[9]Финансирование!W293+[9]Финансирование!X293+[9]Финансирование!Y293+[9]Финансирование!Z293</f>
        <v>0</v>
      </c>
      <c r="K293" s="685">
        <f t="shared" si="25"/>
        <v>0</v>
      </c>
      <c r="L293" s="715">
        <v>226</v>
      </c>
      <c r="M293" s="717">
        <v>4089.22</v>
      </c>
    </row>
    <row r="294" spans="1:16" ht="15" thickBot="1" x14ac:dyDescent="0.2">
      <c r="A294" s="686" t="str">
        <f>[9]Роспись!A271</f>
        <v>Услуги по содерж. имущества</v>
      </c>
      <c r="B294" s="687" t="str">
        <f>[9]Роспись!B271</f>
        <v>056</v>
      </c>
      <c r="C294" s="687" t="str">
        <f>[9]Роспись!C271</f>
        <v>08</v>
      </c>
      <c r="D294" s="687" t="str">
        <f>[9]Роспись!D271</f>
        <v>01</v>
      </c>
      <c r="E294" s="687">
        <f>[9]Роспись!E271</f>
        <v>4419901</v>
      </c>
      <c r="F294" s="687" t="str">
        <f>[9]Роспись!F271</f>
        <v>001</v>
      </c>
      <c r="G294" s="687">
        <f>[9]Роспись!G271</f>
        <v>225</v>
      </c>
      <c r="H294" s="648">
        <f>[9]Роспись!H271</f>
        <v>855</v>
      </c>
      <c r="I294" s="685">
        <f>[9]Финансирование!I294+[9]Финансирование!J294+[9]Финансирование!K294+[9]Финансирование!L294+[9]Финансирование!M294+[9]Финансирование!N294+[9]Финансирование!O294+[9]Финансирование!P294</f>
        <v>213.8</v>
      </c>
      <c r="J294" s="685">
        <f>[9]Финансирование!Q294+[9]Финансирование!T294+[9]Финансирование!U294+[9]Финансирование!V294+[9]Финансирование!W294+[9]Финансирование!X294+[9]Финансирование!Y294+[9]Финансирование!Z294</f>
        <v>641.20000000000005</v>
      </c>
      <c r="K294" s="685">
        <f t="shared" si="25"/>
        <v>0</v>
      </c>
      <c r="L294" s="715">
        <v>340</v>
      </c>
      <c r="M294" s="716">
        <v>92.9</v>
      </c>
    </row>
    <row r="295" spans="1:16" x14ac:dyDescent="0.15">
      <c r="A295" s="686" t="str">
        <f>[9]Роспись!A272</f>
        <v>Прочие услуги</v>
      </c>
      <c r="B295" s="687" t="str">
        <f>[9]Роспись!B272</f>
        <v>056</v>
      </c>
      <c r="C295" s="687" t="str">
        <f>[9]Роспись!C272</f>
        <v>08</v>
      </c>
      <c r="D295" s="687" t="str">
        <f>[9]Роспись!D272</f>
        <v>01</v>
      </c>
      <c r="E295" s="687">
        <f>[9]Роспись!E272</f>
        <v>4419901</v>
      </c>
      <c r="F295" s="687" t="str">
        <f>[9]Роспись!F272</f>
        <v>001</v>
      </c>
      <c r="G295" s="687">
        <f>[9]Роспись!G272</f>
        <v>226</v>
      </c>
      <c r="H295" s="648">
        <f>[9]Роспись!H272</f>
        <v>5002.2949999999992</v>
      </c>
      <c r="I295" s="685">
        <f>[9]Финансирование!I295+[9]Финансирование!J295+[9]Финансирование!K295+[9]Финансирование!L295+[9]Финансирование!M295+[9]Финансирование!N295+[9]Финансирование!O295+[9]Финансирование!P295</f>
        <v>361.64</v>
      </c>
      <c r="J295" s="685">
        <f>[9]Финансирование!Q295+[9]Финансирование!T295+[9]Финансирование!U295+[9]Финансирование!V295+[9]Финансирование!W295+[9]Финансирование!X295+[9]Финансирование!Y295+[9]Финансирование!Z295</f>
        <v>4640.6549999999997</v>
      </c>
      <c r="K295" s="685">
        <f t="shared" si="25"/>
        <v>0</v>
      </c>
      <c r="L295" s="718">
        <f>J295-M293</f>
        <v>551.43499999999995</v>
      </c>
    </row>
    <row r="296" spans="1:16" x14ac:dyDescent="0.15">
      <c r="A296" s="686" t="str">
        <f>[9]Роспись!A273</f>
        <v xml:space="preserve">Прочие расходы </v>
      </c>
      <c r="B296" s="687" t="str">
        <f>[9]Роспись!B273</f>
        <v>056</v>
      </c>
      <c r="C296" s="687" t="str">
        <f>[9]Роспись!C273</f>
        <v>08</v>
      </c>
      <c r="D296" s="687" t="str">
        <f>[9]Роспись!D273</f>
        <v>01</v>
      </c>
      <c r="E296" s="687">
        <f>[9]Роспись!E273</f>
        <v>4419901</v>
      </c>
      <c r="F296" s="687" t="str">
        <f>[9]Роспись!F273</f>
        <v>001</v>
      </c>
      <c r="G296" s="687">
        <f>[9]Роспись!G273</f>
        <v>290</v>
      </c>
      <c r="H296" s="648">
        <f>[9]Роспись!H273</f>
        <v>14.8</v>
      </c>
      <c r="I296" s="685">
        <f>[9]Финансирование!I296+[9]Финансирование!J296+[9]Финансирование!K296+[9]Финансирование!L296+[9]Финансирование!M296+[9]Финансирование!N296+[9]Финансирование!O296+[9]Финансирование!P296</f>
        <v>7.4</v>
      </c>
      <c r="J296" s="685">
        <f>[9]Финансирование!Q296+[9]Финансирование!T296+[9]Финансирование!U296+[9]Финансирование!V296+[9]Финансирование!W296+[9]Финансирование!X296+[9]Финансирование!Y296+[9]Финансирование!Z296</f>
        <v>7.4</v>
      </c>
      <c r="K296" s="685">
        <f t="shared" si="25"/>
        <v>0</v>
      </c>
    </row>
    <row r="297" spans="1:16" x14ac:dyDescent="0.15">
      <c r="A297" s="686" t="str">
        <f>[9]Роспись!A274</f>
        <v xml:space="preserve">Прочие расходы </v>
      </c>
      <c r="B297" s="687" t="str">
        <f>[9]Роспись!B274</f>
        <v>056</v>
      </c>
      <c r="C297" s="687" t="str">
        <f>[9]Роспись!C274</f>
        <v>08</v>
      </c>
      <c r="D297" s="687" t="str">
        <f>[9]Роспись!D274</f>
        <v>01</v>
      </c>
      <c r="E297" s="687" t="str">
        <f>[9]Роспись!E274</f>
        <v>4419500</v>
      </c>
      <c r="F297" s="687" t="str">
        <f>[9]Роспись!F274</f>
        <v>001</v>
      </c>
      <c r="G297" s="687" t="str">
        <f>[9]Роспись!G274</f>
        <v>290</v>
      </c>
      <c r="H297" s="648">
        <f>[9]Роспись!H274</f>
        <v>230.3</v>
      </c>
      <c r="I297" s="685">
        <f>[9]Финансирование!I297+[9]Финансирование!J297+[9]Финансирование!K297+[9]Финансирование!L297+[9]Финансирование!M297+[9]Финансирование!N297+[9]Финансирование!O297+[9]Финансирование!P297</f>
        <v>99.66</v>
      </c>
      <c r="J297" s="685">
        <f>[9]Финансирование!Q297+[9]Финансирование!T297+[9]Финансирование!U297+[9]Финансирование!V297+[9]Финансирование!W297+[9]Финансирование!X297+[9]Финансирование!Y297+[9]Финансирование!Z297</f>
        <v>130.63999999999999</v>
      </c>
      <c r="K297" s="685">
        <f t="shared" si="25"/>
        <v>0</v>
      </c>
    </row>
    <row r="298" spans="1:16" x14ac:dyDescent="0.15">
      <c r="A298" s="686" t="str">
        <f>[9]Роспись!A275</f>
        <v>Увелич. стоимости осн. средств</v>
      </c>
      <c r="B298" s="687" t="str">
        <f>[9]Роспись!B275</f>
        <v>056</v>
      </c>
      <c r="C298" s="687" t="str">
        <f>[9]Роспись!C275</f>
        <v>08</v>
      </c>
      <c r="D298" s="687" t="str">
        <f>[9]Роспись!D275</f>
        <v>01</v>
      </c>
      <c r="E298" s="687">
        <f>[9]Роспись!E275</f>
        <v>4419901</v>
      </c>
      <c r="F298" s="687" t="str">
        <f>[9]Роспись!F275</f>
        <v>001</v>
      </c>
      <c r="G298" s="687">
        <f>[9]Роспись!G275</f>
        <v>310</v>
      </c>
      <c r="H298" s="648">
        <f>[9]Роспись!H275</f>
        <v>81.584999999999994</v>
      </c>
      <c r="I298" s="685">
        <f>[9]Финансирование!I298+[9]Финансирование!J298+[9]Финансирование!K298+[9]Финансирование!L298+[9]Финансирование!M298+[9]Финансирование!N298+[9]Финансирование!O298+[9]Финансирование!P298</f>
        <v>0</v>
      </c>
      <c r="J298" s="685">
        <f>[9]Финансирование!Q298+[9]Финансирование!T298+[9]Финансирование!U298+[9]Финансирование!V298+[9]Финансирование!W298+[9]Финансирование!X298+[9]Финансирование!Y298+[9]Финансирование!Z298</f>
        <v>81.584999999999994</v>
      </c>
      <c r="K298" s="685">
        <f t="shared" si="25"/>
        <v>0</v>
      </c>
    </row>
    <row r="299" spans="1:16" x14ac:dyDescent="0.15">
      <c r="A299" s="686" t="str">
        <f>[9]Роспись!A276</f>
        <v>Увелич. стоимости матер. запасов</v>
      </c>
      <c r="B299" s="687" t="str">
        <f>[9]Роспись!B276</f>
        <v>056</v>
      </c>
      <c r="C299" s="687" t="str">
        <f>[9]Роспись!C276</f>
        <v>08</v>
      </c>
      <c r="D299" s="687" t="str">
        <f>[9]Роспись!D276</f>
        <v>01</v>
      </c>
      <c r="E299" s="687">
        <f>[9]Роспись!E276</f>
        <v>4419901</v>
      </c>
      <c r="F299" s="687" t="str">
        <f>[9]Роспись!F276</f>
        <v>001</v>
      </c>
      <c r="G299" s="687">
        <f>[9]Роспись!G276</f>
        <v>340</v>
      </c>
      <c r="H299" s="648">
        <f>[9]Роспись!H276</f>
        <v>192.9</v>
      </c>
      <c r="I299" s="685">
        <f>[9]Финансирование!I299+[9]Финансирование!J299+[9]Финансирование!K299+[9]Финансирование!L299+[9]Финансирование!M299+[9]Финансирование!N299+[9]Финансирование!O299+[9]Финансирование!P299</f>
        <v>33.36</v>
      </c>
      <c r="J299" s="685">
        <f>[9]Финансирование!Q299+[9]Финансирование!T299+[9]Финансирование!U299+[9]Финансирование!V299+[9]Финансирование!W299+[9]Финансирование!X299+[9]Финансирование!Y299+[9]Финансирование!Z299</f>
        <v>159.54000000000002</v>
      </c>
      <c r="K299" s="685">
        <f t="shared" si="25"/>
        <v>0</v>
      </c>
      <c r="L299" s="658">
        <f>J299-M294</f>
        <v>66.640000000000015</v>
      </c>
    </row>
    <row r="300" spans="1:16" x14ac:dyDescent="0.15">
      <c r="A300" s="704" t="s">
        <v>98</v>
      </c>
      <c r="B300" s="689" t="s">
        <v>79</v>
      </c>
      <c r="C300" s="689" t="s">
        <v>80</v>
      </c>
      <c r="D300" s="689" t="s">
        <v>125</v>
      </c>
      <c r="E300" s="689" t="s">
        <v>214</v>
      </c>
      <c r="F300" s="689" t="s">
        <v>102</v>
      </c>
      <c r="G300" s="705"/>
      <c r="H300" s="643">
        <f>SUM(H287:H299)</f>
        <v>16198.469999999996</v>
      </c>
      <c r="I300" s="676">
        <f>SUM(I287:I299)</f>
        <v>5278.41</v>
      </c>
      <c r="J300" s="676">
        <f>SUM(J287:J299)</f>
        <v>10920.06</v>
      </c>
      <c r="K300" s="651">
        <f>SUM(K287:K299)</f>
        <v>0</v>
      </c>
      <c r="L300" s="678"/>
      <c r="M300" s="678"/>
      <c r="N300" s="678"/>
      <c r="O300" s="678"/>
      <c r="P300" s="678"/>
    </row>
    <row r="301" spans="1:16" ht="52" x14ac:dyDescent="0.15">
      <c r="A301" s="692" t="str">
        <f>'[9]Новая роспись'!A314</f>
        <v>Субсидия на финансовое обеспечение государственного задания на оказание государственных услуг (выполнение работ)</v>
      </c>
      <c r="B301" s="666"/>
      <c r="C301" s="666"/>
      <c r="D301" s="666"/>
      <c r="E301" s="666"/>
      <c r="F301" s="692">
        <f>'[9]Новая роспись'!F314</f>
        <v>611</v>
      </c>
      <c r="G301" s="692" t="str">
        <f>'[9]Новая роспись'!G314</f>
        <v>241</v>
      </c>
      <c r="H301" s="645">
        <f>'[9]Новая роспись'!H314</f>
        <v>6597.5899999999956</v>
      </c>
      <c r="I301" s="648">
        <f>J300-I302</f>
        <v>6597.5899999999992</v>
      </c>
      <c r="J301" s="648"/>
      <c r="K301" s="648">
        <f>H301-I301</f>
        <v>0</v>
      </c>
      <c r="L301" s="678"/>
      <c r="M301" s="678"/>
      <c r="N301" s="678"/>
      <c r="O301" s="678"/>
      <c r="P301" s="678"/>
    </row>
    <row r="302" spans="1:16" x14ac:dyDescent="0.15">
      <c r="A302" s="692" t="str">
        <f>'[9]Новая роспись'!A315</f>
        <v>Субсидии на иные цели</v>
      </c>
      <c r="B302" s="666"/>
      <c r="C302" s="666"/>
      <c r="D302" s="666"/>
      <c r="E302" s="666"/>
      <c r="F302" s="692" t="str">
        <f>'[9]Новая роспись'!F315</f>
        <v>612</v>
      </c>
      <c r="G302" s="692" t="str">
        <f>'[9]Новая роспись'!G315</f>
        <v>241</v>
      </c>
      <c r="H302" s="645">
        <f>'[9]Новая роспись'!H315</f>
        <v>4322.47</v>
      </c>
      <c r="I302" s="648">
        <f>[9]Финансирование!I302+[9]Финансирование!J302+[9]Финансирование!K302+[9]Финансирование!L302+[9]Финансирование!M302+[9]Финансирование!N302+[9]Финансирование!O302+[9]Финансирование!P302+[9]Финансирование!Q302+[9]Финансирование!T302+[9]Финансирование!U302+[9]Финансирование!V302+[9]Финансирование!W302+[9]Финансирование!X302+[9]Финансирование!Y302+[9]Финансирование!Z302</f>
        <v>4322.47</v>
      </c>
      <c r="J302" s="648"/>
      <c r="K302" s="648">
        <f>H302-I302</f>
        <v>0</v>
      </c>
      <c r="L302" s="678"/>
      <c r="M302" s="678"/>
      <c r="N302" s="678"/>
      <c r="O302" s="678"/>
      <c r="P302" s="678"/>
    </row>
    <row r="303" spans="1:16" x14ac:dyDescent="0.15">
      <c r="A303" s="682" t="s">
        <v>941</v>
      </c>
      <c r="B303" s="683"/>
      <c r="C303" s="683"/>
      <c r="D303" s="683"/>
      <c r="E303" s="683"/>
      <c r="F303" s="683"/>
      <c r="G303" s="684"/>
      <c r="H303" s="648"/>
      <c r="I303" s="685">
        <f>[9]Финансирование!I303+[9]Финансирование!J303+[9]Финансирование!K303+[9]Финансирование!L303+[9]Финансирование!M303+[9]Финансирование!N303+[9]Финансирование!O303+[9]Финансирование!P303+[9]Финансирование!Q303+[9]Финансирование!T303+[9]Финансирование!U303+[9]Финансирование!V303+[9]Финансирование!W303+[9]Финансирование!X303+[9]Финансирование!Y303+[9]Финансирование!Z303</f>
        <v>0</v>
      </c>
      <c r="J303" s="685"/>
      <c r="K303" s="685"/>
      <c r="L303" s="678"/>
      <c r="M303" s="678"/>
      <c r="N303" s="678"/>
      <c r="O303" s="678"/>
      <c r="P303" s="678"/>
    </row>
    <row r="304" spans="1:16" x14ac:dyDescent="0.15">
      <c r="A304" s="686" t="str">
        <f>[9]Роспись!A279</f>
        <v xml:space="preserve">Заработная плата </v>
      </c>
      <c r="B304" s="687" t="str">
        <f>[9]Роспись!B279</f>
        <v>056</v>
      </c>
      <c r="C304" s="687" t="str">
        <f>[9]Роспись!C279</f>
        <v>08</v>
      </c>
      <c r="D304" s="687" t="str">
        <f>[9]Роспись!D279</f>
        <v>01</v>
      </c>
      <c r="E304" s="687">
        <f>[9]Роспись!E279</f>
        <v>4419901</v>
      </c>
      <c r="F304" s="687" t="str">
        <f>[9]Роспись!F279</f>
        <v>001</v>
      </c>
      <c r="G304" s="687">
        <f>[9]Роспись!G279</f>
        <v>211</v>
      </c>
      <c r="H304" s="648">
        <f>[9]Роспись!H279</f>
        <v>12038.5</v>
      </c>
      <c r="I304" s="685">
        <f>[9]Финансирование!I304+[9]Финансирование!J304+[9]Финансирование!K304+[9]Финансирование!L304+[9]Финансирование!M304+[9]Финансирование!N304+[9]Финансирование!O304+[9]Финансирование!P304</f>
        <v>5484.76</v>
      </c>
      <c r="J304" s="685">
        <f>[9]Финансирование!Q304+[9]Финансирование!T304+[9]Финансирование!U304+[9]Финансирование!V304+[9]Финансирование!W304+[9]Финансирование!X304+[9]Финансирование!Y304+[9]Финансирование!Z304</f>
        <v>6553.74</v>
      </c>
      <c r="K304" s="685">
        <f t="shared" ref="K304:K316" si="26">H304-I304-J304</f>
        <v>0</v>
      </c>
      <c r="L304" s="678"/>
      <c r="M304" s="678"/>
      <c r="N304" s="678"/>
      <c r="O304" s="678"/>
      <c r="P304" s="678"/>
    </row>
    <row r="305" spans="1:16" x14ac:dyDescent="0.15">
      <c r="A305" s="686" t="str">
        <f>[9]Роспись!A280</f>
        <v>Прочие выплаты</v>
      </c>
      <c r="B305" s="687" t="str">
        <f>[9]Роспись!B280</f>
        <v>056</v>
      </c>
      <c r="C305" s="687" t="str">
        <f>[9]Роспись!C280</f>
        <v>08</v>
      </c>
      <c r="D305" s="687" t="str">
        <f>[9]Роспись!D280</f>
        <v>01</v>
      </c>
      <c r="E305" s="687">
        <f>[9]Роспись!E280</f>
        <v>4419901</v>
      </c>
      <c r="F305" s="687" t="str">
        <f>[9]Роспись!F280</f>
        <v>001</v>
      </c>
      <c r="G305" s="687">
        <f>[9]Роспись!G280</f>
        <v>212</v>
      </c>
      <c r="H305" s="648">
        <f>[9]Роспись!H280</f>
        <v>0</v>
      </c>
      <c r="I305" s="685">
        <f>[9]Финансирование!I305+[9]Финансирование!J305+[9]Финансирование!K305+[9]Финансирование!L305+[9]Финансирование!M305+[9]Финансирование!N305+[9]Финансирование!O305+[9]Финансирование!P305</f>
        <v>0</v>
      </c>
      <c r="J305" s="685">
        <f>[9]Финансирование!Q305+[9]Финансирование!T305+[9]Финансирование!U305+[9]Финансирование!V305+[9]Финансирование!W305+[9]Финансирование!X305+[9]Финансирование!Y305+[9]Финансирование!Z305</f>
        <v>0</v>
      </c>
      <c r="K305" s="685">
        <f t="shared" si="26"/>
        <v>0</v>
      </c>
      <c r="L305" s="678"/>
      <c r="M305" s="678"/>
      <c r="N305" s="678"/>
      <c r="O305" s="678"/>
      <c r="P305" s="678"/>
    </row>
    <row r="306" spans="1:16" x14ac:dyDescent="0.15">
      <c r="A306" s="686" t="str">
        <f>[9]Роспись!A281</f>
        <v>Начисления на оплату труда</v>
      </c>
      <c r="B306" s="687" t="str">
        <f>[9]Роспись!B281</f>
        <v>056</v>
      </c>
      <c r="C306" s="687" t="str">
        <f>[9]Роспись!C281</f>
        <v>08</v>
      </c>
      <c r="D306" s="687" t="str">
        <f>[9]Роспись!D281</f>
        <v>01</v>
      </c>
      <c r="E306" s="687">
        <f>[9]Роспись!E281</f>
        <v>4419901</v>
      </c>
      <c r="F306" s="687" t="str">
        <f>[9]Роспись!F281</f>
        <v>001</v>
      </c>
      <c r="G306" s="687">
        <f>[9]Роспись!G281</f>
        <v>213</v>
      </c>
      <c r="H306" s="648">
        <f>[9]Роспись!H281</f>
        <v>3635.6</v>
      </c>
      <c r="I306" s="685">
        <f>[9]Финансирование!I306+[9]Финансирование!J306+[9]Финансирование!K306+[9]Финансирование!L306+[9]Финансирование!M306+[9]Финансирование!N306+[9]Финансирование!O306+[9]Финансирование!P306</f>
        <v>1815.835</v>
      </c>
      <c r="J306" s="685">
        <f>[9]Финансирование!Q306+[9]Финансирование!T306+[9]Финансирование!U306+[9]Финансирование!V306+[9]Финансирование!W306+[9]Финансирование!X306+[9]Финансирование!Y306+[9]Финансирование!Z306</f>
        <v>1819.7650000000001</v>
      </c>
      <c r="K306" s="685">
        <f t="shared" si="26"/>
        <v>0</v>
      </c>
      <c r="L306" s="678"/>
      <c r="M306" s="678"/>
      <c r="N306" s="678"/>
      <c r="O306" s="678"/>
      <c r="P306" s="678"/>
    </row>
    <row r="307" spans="1:16" x14ac:dyDescent="0.15">
      <c r="A307" s="686" t="str">
        <f>[9]Роспись!A282</f>
        <v xml:space="preserve">Оплата услуг связи </v>
      </c>
      <c r="B307" s="687" t="str">
        <f>[9]Роспись!B282</f>
        <v>056</v>
      </c>
      <c r="C307" s="687" t="str">
        <f>[9]Роспись!C282</f>
        <v>08</v>
      </c>
      <c r="D307" s="687" t="str">
        <f>[9]Роспись!D282</f>
        <v>01</v>
      </c>
      <c r="E307" s="687">
        <f>[9]Роспись!E282</f>
        <v>4419901</v>
      </c>
      <c r="F307" s="687" t="str">
        <f>[9]Роспись!F282</f>
        <v>001</v>
      </c>
      <c r="G307" s="687">
        <f>[9]Роспись!G282</f>
        <v>221</v>
      </c>
      <c r="H307" s="648">
        <f>[9]Роспись!H282</f>
        <v>23.362000000000002</v>
      </c>
      <c r="I307" s="685">
        <f>[9]Финансирование!I307+[9]Финансирование!J307+[9]Финансирование!K307+[9]Финансирование!L307+[9]Финансирование!M307+[9]Финансирование!N307+[9]Финансирование!O307+[9]Финансирование!P307</f>
        <v>0</v>
      </c>
      <c r="J307" s="685">
        <f>[9]Финансирование!Q307+[9]Финансирование!T307+[9]Финансирование!U307+[9]Финансирование!V307+[9]Финансирование!W307+[9]Финансирование!X307+[9]Финансирование!Y307+[9]Финансирование!Z307</f>
        <v>23.362000000000002</v>
      </c>
      <c r="K307" s="685">
        <f t="shared" si="26"/>
        <v>0</v>
      </c>
      <c r="L307" s="678"/>
      <c r="M307" s="678"/>
      <c r="N307" s="678"/>
      <c r="O307" s="678"/>
      <c r="P307" s="678"/>
    </row>
    <row r="308" spans="1:16" x14ac:dyDescent="0.15">
      <c r="A308" s="686" t="str">
        <f>[9]Роспись!A283</f>
        <v>Транспортные услуги</v>
      </c>
      <c r="B308" s="687" t="str">
        <f>[9]Роспись!B283</f>
        <v>056</v>
      </c>
      <c r="C308" s="687" t="str">
        <f>[9]Роспись!C283</f>
        <v>08</v>
      </c>
      <c r="D308" s="687" t="str">
        <f>[9]Роспись!D283</f>
        <v>01</v>
      </c>
      <c r="E308" s="687">
        <f>[9]Роспись!E283</f>
        <v>4419901</v>
      </c>
      <c r="F308" s="687" t="str">
        <f>[9]Роспись!F283</f>
        <v>001</v>
      </c>
      <c r="G308" s="687">
        <f>[9]Роспись!G283</f>
        <v>222</v>
      </c>
      <c r="H308" s="648">
        <f>[9]Роспись!H283</f>
        <v>0</v>
      </c>
      <c r="I308" s="685">
        <f>[9]Финансирование!I308+[9]Финансирование!J308+[9]Финансирование!K308+[9]Финансирование!L308+[9]Финансирование!M308+[9]Финансирование!N308+[9]Финансирование!O308+[9]Финансирование!P308</f>
        <v>0</v>
      </c>
      <c r="J308" s="685">
        <f>[9]Финансирование!Q308+[9]Финансирование!T308+[9]Финансирование!U308+[9]Финансирование!V308+[9]Финансирование!W308+[9]Финансирование!X308+[9]Финансирование!Y308+[9]Финансирование!Z308</f>
        <v>0</v>
      </c>
      <c r="K308" s="685">
        <f t="shared" si="26"/>
        <v>0</v>
      </c>
      <c r="L308" s="678"/>
      <c r="M308" s="678"/>
      <c r="N308" s="678"/>
      <c r="O308" s="678"/>
      <c r="P308" s="678"/>
    </row>
    <row r="309" spans="1:16" x14ac:dyDescent="0.15">
      <c r="A309" s="686" t="str">
        <f>[9]Роспись!A284</f>
        <v>Коммунальные услуги</v>
      </c>
      <c r="B309" s="687" t="str">
        <f>[9]Роспись!B284</f>
        <v>056</v>
      </c>
      <c r="C309" s="687" t="str">
        <f>[9]Роспись!C284</f>
        <v>08</v>
      </c>
      <c r="D309" s="687" t="str">
        <f>[9]Роспись!D284</f>
        <v>01</v>
      </c>
      <c r="E309" s="687">
        <f>[9]Роспись!E284</f>
        <v>4419901</v>
      </c>
      <c r="F309" s="687" t="str">
        <f>[9]Роспись!F284</f>
        <v>001</v>
      </c>
      <c r="G309" s="687">
        <f>[9]Роспись!G284</f>
        <v>223</v>
      </c>
      <c r="H309" s="648">
        <f>[9]Роспись!H284</f>
        <v>171.20499999999998</v>
      </c>
      <c r="I309" s="685">
        <f>[9]Финансирование!I309+[9]Финансирование!J309+[9]Финансирование!K309+[9]Финансирование!L309+[9]Финансирование!M309+[9]Финансирование!N309+[9]Финансирование!O309+[9]Финансирование!P309</f>
        <v>54.660000000000004</v>
      </c>
      <c r="J309" s="685">
        <f>[9]Финансирование!Q309+[9]Финансирование!T309+[9]Финансирование!U309+[9]Финансирование!V309+[9]Финансирование!W309+[9]Финансирование!X309+[9]Финансирование!Y309+[9]Финансирование!Z309</f>
        <v>116.545</v>
      </c>
      <c r="K309" s="685">
        <f t="shared" si="26"/>
        <v>0</v>
      </c>
      <c r="L309" s="678"/>
      <c r="M309" s="678"/>
      <c r="N309" s="678"/>
      <c r="O309" s="678"/>
      <c r="P309" s="678"/>
    </row>
    <row r="310" spans="1:16" x14ac:dyDescent="0.15">
      <c r="A310" s="686" t="str">
        <f>[9]Роспись!A285</f>
        <v>Аренда помещения</v>
      </c>
      <c r="B310" s="687" t="str">
        <f>[9]Роспись!B285</f>
        <v>056</v>
      </c>
      <c r="C310" s="687" t="str">
        <f>[9]Роспись!C285</f>
        <v>08</v>
      </c>
      <c r="D310" s="687" t="str">
        <f>[9]Роспись!D285</f>
        <v>01</v>
      </c>
      <c r="E310" s="687">
        <f>[9]Роспись!E285</f>
        <v>4419901</v>
      </c>
      <c r="F310" s="687" t="str">
        <f>[9]Роспись!F285</f>
        <v>001</v>
      </c>
      <c r="G310" s="687">
        <f>[9]Роспись!G285</f>
        <v>224</v>
      </c>
      <c r="H310" s="648">
        <f>[9]Роспись!H285</f>
        <v>0</v>
      </c>
      <c r="I310" s="685">
        <f>[9]Финансирование!I310+[9]Финансирование!J310+[9]Финансирование!K310+[9]Финансирование!L310+[9]Финансирование!M310+[9]Финансирование!N310+[9]Финансирование!O310+[9]Финансирование!P310</f>
        <v>0</v>
      </c>
      <c r="J310" s="685">
        <f>[9]Финансирование!Q310+[9]Финансирование!T310+[9]Финансирование!U310+[9]Финансирование!V310+[9]Финансирование!W310+[9]Финансирование!X310+[9]Финансирование!Y310+[9]Финансирование!Z310</f>
        <v>0</v>
      </c>
      <c r="K310" s="685">
        <f t="shared" si="26"/>
        <v>0</v>
      </c>
      <c r="L310" s="678"/>
      <c r="M310" s="678"/>
      <c r="N310" s="678"/>
      <c r="O310" s="678"/>
      <c r="P310" s="678"/>
    </row>
    <row r="311" spans="1:16" x14ac:dyDescent="0.15">
      <c r="A311" s="686" t="str">
        <f>[9]Роспись!A286</f>
        <v>Услуги по содерж. имущества</v>
      </c>
      <c r="B311" s="687" t="str">
        <f>[9]Роспись!B286</f>
        <v>056</v>
      </c>
      <c r="C311" s="687" t="str">
        <f>[9]Роспись!C286</f>
        <v>08</v>
      </c>
      <c r="D311" s="687" t="str">
        <f>[9]Роспись!D286</f>
        <v>01</v>
      </c>
      <c r="E311" s="687">
        <f>[9]Роспись!E286</f>
        <v>4419901</v>
      </c>
      <c r="F311" s="687" t="str">
        <f>[9]Роспись!F286</f>
        <v>001</v>
      </c>
      <c r="G311" s="687">
        <f>[9]Роспись!G286</f>
        <v>225</v>
      </c>
      <c r="H311" s="648">
        <f>[9]Роспись!H286</f>
        <v>186.352</v>
      </c>
      <c r="I311" s="685">
        <f>[9]Финансирование!I311+[9]Финансирование!J311+[9]Финансирование!K311+[9]Финансирование!L311+[9]Финансирование!M311+[9]Финансирование!N311+[9]Финансирование!O311+[9]Финансирование!P311</f>
        <v>0</v>
      </c>
      <c r="J311" s="685">
        <f>[9]Финансирование!Q311+[9]Финансирование!T311+[9]Финансирование!U311+[9]Финансирование!V311+[9]Финансирование!W311+[9]Финансирование!X311+[9]Финансирование!Y311+[9]Финансирование!Z311</f>
        <v>186.352</v>
      </c>
      <c r="K311" s="685">
        <f t="shared" si="26"/>
        <v>0</v>
      </c>
      <c r="L311" s="678"/>
      <c r="M311" s="678"/>
      <c r="N311" s="678"/>
      <c r="O311" s="678"/>
      <c r="P311" s="678"/>
    </row>
    <row r="312" spans="1:16" x14ac:dyDescent="0.15">
      <c r="A312" s="686" t="str">
        <f>[9]Роспись!A287</f>
        <v>Прочие услуги</v>
      </c>
      <c r="B312" s="687" t="str">
        <f>[9]Роспись!B287</f>
        <v>056</v>
      </c>
      <c r="C312" s="687" t="str">
        <f>[9]Роспись!C287</f>
        <v>08</v>
      </c>
      <c r="D312" s="687" t="str">
        <f>[9]Роспись!D287</f>
        <v>01</v>
      </c>
      <c r="E312" s="687">
        <f>[9]Роспись!E287</f>
        <v>4419901</v>
      </c>
      <c r="F312" s="687" t="str">
        <f>[9]Роспись!F287</f>
        <v>001</v>
      </c>
      <c r="G312" s="687">
        <f>[9]Роспись!G287</f>
        <v>226</v>
      </c>
      <c r="H312" s="648">
        <f>[9]Роспись!H287</f>
        <v>190.28100000000001</v>
      </c>
      <c r="I312" s="685">
        <f>[9]Финансирование!I312+[9]Финансирование!J312+[9]Финансирование!K312+[9]Финансирование!L312+[9]Финансирование!M312+[9]Финансирование!N312+[9]Финансирование!O312+[9]Финансирование!P312</f>
        <v>104.64</v>
      </c>
      <c r="J312" s="685">
        <f>[9]Финансирование!Q312+[9]Финансирование!T312+[9]Финансирование!U312+[9]Финансирование!V312+[9]Финансирование!W312+[9]Финансирование!X312+[9]Финансирование!Y312+[9]Финансирование!Z312</f>
        <v>85.640999999999991</v>
      </c>
      <c r="K312" s="685">
        <f t="shared" si="26"/>
        <v>0</v>
      </c>
      <c r="L312" s="678"/>
      <c r="M312" s="678"/>
      <c r="N312" s="678"/>
      <c r="O312" s="678"/>
      <c r="P312" s="678"/>
    </row>
    <row r="313" spans="1:16" x14ac:dyDescent="0.15">
      <c r="A313" s="686" t="str">
        <f>[9]Роспись!A288</f>
        <v xml:space="preserve">Прочие расходы </v>
      </c>
      <c r="B313" s="687" t="str">
        <f>[9]Роспись!B288</f>
        <v>056</v>
      </c>
      <c r="C313" s="687" t="str">
        <f>[9]Роспись!C288</f>
        <v>08</v>
      </c>
      <c r="D313" s="687" t="str">
        <f>[9]Роспись!D288</f>
        <v>01</v>
      </c>
      <c r="E313" s="687">
        <f>[9]Роспись!E288</f>
        <v>4419901</v>
      </c>
      <c r="F313" s="687" t="str">
        <f>[9]Роспись!F288</f>
        <v>001</v>
      </c>
      <c r="G313" s="687">
        <f>[9]Роспись!G288</f>
        <v>290</v>
      </c>
      <c r="H313" s="648">
        <f>[9]Роспись!H288</f>
        <v>0.5</v>
      </c>
      <c r="I313" s="685">
        <f>[9]Финансирование!I313+[9]Финансирование!J313+[9]Финансирование!K313+[9]Финансирование!L313+[9]Финансирование!M313+[9]Финансирование!N313+[9]Финансирование!O313+[9]Финансирование!P313</f>
        <v>0</v>
      </c>
      <c r="J313" s="685">
        <f>[9]Финансирование!Q313+[9]Финансирование!T313+[9]Финансирование!U313+[9]Финансирование!V313+[9]Финансирование!W313+[9]Финансирование!X313+[9]Финансирование!Y313+[9]Финансирование!Z313</f>
        <v>0.5</v>
      </c>
      <c r="K313" s="685">
        <f t="shared" si="26"/>
        <v>0</v>
      </c>
      <c r="L313" s="678"/>
      <c r="M313" s="678"/>
      <c r="N313" s="678"/>
      <c r="O313" s="678"/>
      <c r="P313" s="678"/>
    </row>
    <row r="314" spans="1:16" x14ac:dyDescent="0.15">
      <c r="A314" s="686" t="str">
        <f>[9]Роспись!A289</f>
        <v xml:space="preserve">Прочие расходы </v>
      </c>
      <c r="B314" s="687" t="str">
        <f>[9]Роспись!B289</f>
        <v>056</v>
      </c>
      <c r="C314" s="687" t="str">
        <f>[9]Роспись!C289</f>
        <v>08</v>
      </c>
      <c r="D314" s="687" t="str">
        <f>[9]Роспись!D289</f>
        <v>01</v>
      </c>
      <c r="E314" s="687" t="str">
        <f>[9]Роспись!E289</f>
        <v>4419500</v>
      </c>
      <c r="F314" s="687" t="str">
        <f>[9]Роспись!F289</f>
        <v>001</v>
      </c>
      <c r="G314" s="687" t="str">
        <f>[9]Роспись!G289</f>
        <v>290</v>
      </c>
      <c r="H314" s="648">
        <f>[9]Роспись!H289</f>
        <v>61.5</v>
      </c>
      <c r="I314" s="685">
        <f>[9]Финансирование!I314+[9]Финансирование!J314+[9]Финансирование!K314+[9]Финансирование!L314+[9]Финансирование!M314+[9]Финансирование!N314+[9]Финансирование!O314+[9]Финансирование!P314</f>
        <v>31.8</v>
      </c>
      <c r="J314" s="685">
        <f>[9]Финансирование!Q314+[9]Финансирование!T314+[9]Финансирование!U314+[9]Финансирование!V314+[9]Финансирование!W314+[9]Финансирование!X314+[9]Финансирование!Y314+[9]Финансирование!Z314</f>
        <v>29.7</v>
      </c>
      <c r="K314" s="685">
        <f t="shared" si="26"/>
        <v>0</v>
      </c>
      <c r="L314" s="678"/>
      <c r="M314" s="678"/>
      <c r="N314" s="678"/>
      <c r="O314" s="678"/>
      <c r="P314" s="678"/>
    </row>
    <row r="315" spans="1:16" x14ac:dyDescent="0.15">
      <c r="A315" s="686" t="str">
        <f>[9]Роспись!A290</f>
        <v>Увелич. стоимости осн. средств</v>
      </c>
      <c r="B315" s="687" t="str">
        <f>[9]Роспись!B290</f>
        <v>056</v>
      </c>
      <c r="C315" s="687" t="str">
        <f>[9]Роспись!C290</f>
        <v>08</v>
      </c>
      <c r="D315" s="687" t="str">
        <f>[9]Роспись!D290</f>
        <v>01</v>
      </c>
      <c r="E315" s="687">
        <f>[9]Роспись!E290</f>
        <v>4419901</v>
      </c>
      <c r="F315" s="687" t="str">
        <f>[9]Роспись!F290</f>
        <v>001</v>
      </c>
      <c r="G315" s="687">
        <f>[9]Роспись!G290</f>
        <v>310</v>
      </c>
      <c r="H315" s="648">
        <f>[9]Роспись!H290</f>
        <v>0</v>
      </c>
      <c r="I315" s="685">
        <f>[9]Финансирование!I315+[9]Финансирование!J315+[9]Финансирование!K315+[9]Финансирование!L315+[9]Финансирование!M315+[9]Финансирование!N315+[9]Финансирование!O315+[9]Финансирование!P315</f>
        <v>0</v>
      </c>
      <c r="J315" s="685">
        <f>[9]Финансирование!Q315+[9]Финансирование!T315+[9]Финансирование!U315+[9]Финансирование!V315+[9]Финансирование!W315+[9]Финансирование!X315+[9]Финансирование!Y315+[9]Финансирование!Z315</f>
        <v>0</v>
      </c>
      <c r="K315" s="685">
        <f t="shared" si="26"/>
        <v>0</v>
      </c>
      <c r="L315" s="678"/>
      <c r="M315" s="678"/>
      <c r="N315" s="678"/>
      <c r="O315" s="678"/>
      <c r="P315" s="678"/>
    </row>
    <row r="316" spans="1:16" x14ac:dyDescent="0.15">
      <c r="A316" s="686" t="str">
        <f>[9]Роспись!A291</f>
        <v>Увелич. стоимости матер. запасов</v>
      </c>
      <c r="B316" s="687" t="str">
        <f>[9]Роспись!B291</f>
        <v>056</v>
      </c>
      <c r="C316" s="687" t="str">
        <f>[9]Роспись!C291</f>
        <v>08</v>
      </c>
      <c r="D316" s="687" t="str">
        <f>[9]Роспись!D291</f>
        <v>01</v>
      </c>
      <c r="E316" s="687">
        <f>[9]Роспись!E291</f>
        <v>4419901</v>
      </c>
      <c r="F316" s="687" t="str">
        <f>[9]Роспись!F291</f>
        <v>001</v>
      </c>
      <c r="G316" s="687">
        <f>[9]Роспись!G291</f>
        <v>340</v>
      </c>
      <c r="H316" s="648">
        <f>[9]Роспись!H291</f>
        <v>0</v>
      </c>
      <c r="I316" s="685">
        <f>[9]Финансирование!I316+[9]Финансирование!J316+[9]Финансирование!K316+[9]Финансирование!L316+[9]Финансирование!M316+[9]Финансирование!N316+[9]Финансирование!O316+[9]Финансирование!P316</f>
        <v>0</v>
      </c>
      <c r="J316" s="685">
        <f>[9]Финансирование!Q316+[9]Финансирование!T316+[9]Финансирование!U316+[9]Финансирование!V316+[9]Финансирование!W316+[9]Финансирование!X316+[9]Финансирование!Y316+[9]Финансирование!Z316</f>
        <v>0</v>
      </c>
      <c r="K316" s="685">
        <f t="shared" si="26"/>
        <v>0</v>
      </c>
      <c r="L316" s="678"/>
      <c r="M316" s="678"/>
      <c r="N316" s="678"/>
      <c r="O316" s="678"/>
      <c r="P316" s="678"/>
    </row>
    <row r="317" spans="1:16" x14ac:dyDescent="0.15">
      <c r="A317" s="704" t="s">
        <v>98</v>
      </c>
      <c r="B317" s="689" t="s">
        <v>79</v>
      </c>
      <c r="C317" s="689" t="s">
        <v>80</v>
      </c>
      <c r="D317" s="689" t="s">
        <v>125</v>
      </c>
      <c r="E317" s="689" t="s">
        <v>214</v>
      </c>
      <c r="F317" s="689" t="s">
        <v>102</v>
      </c>
      <c r="G317" s="705"/>
      <c r="H317" s="643">
        <f>SUM(H304:H316)</f>
        <v>16307.300000000001</v>
      </c>
      <c r="I317" s="676">
        <f>SUM(I304:I316)</f>
        <v>7491.6950000000006</v>
      </c>
      <c r="J317" s="676">
        <f>SUM(J304:J316)</f>
        <v>8815.6049999999996</v>
      </c>
      <c r="K317" s="651">
        <f>SUM(K304:K316)</f>
        <v>0</v>
      </c>
      <c r="L317" s="678"/>
      <c r="M317" s="678"/>
      <c r="N317" s="678"/>
      <c r="O317" s="678"/>
      <c r="P317" s="678"/>
    </row>
    <row r="318" spans="1:16" ht="52" x14ac:dyDescent="0.15">
      <c r="A318" s="692" t="str">
        <f>'[9]Новая роспись'!A332</f>
        <v>Субсидия на финансовое обеспечение государственного задания на оказание государственных услуг (выполнение работ)</v>
      </c>
      <c r="B318" s="666"/>
      <c r="C318" s="666"/>
      <c r="D318" s="666"/>
      <c r="E318" s="666"/>
      <c r="F318" s="692">
        <f>'[9]Новая роспись'!F332</f>
        <v>611</v>
      </c>
      <c r="G318" s="692" t="str">
        <f>'[9]Новая роспись'!G332</f>
        <v>241</v>
      </c>
      <c r="H318" s="645">
        <f>'[9]Новая роспись'!H332</f>
        <v>8815.6049999999996</v>
      </c>
      <c r="I318" s="648">
        <f>[9]Финансирование!I318+[9]Финансирование!J318+[9]Финансирование!K318+[9]Финансирование!L318+[9]Финансирование!M318+[9]Финансирование!N318+[9]Финансирование!O318+[9]Финансирование!P318+[9]Финансирование!Q318+[9]Финансирование!T318+[9]Финансирование!U318+[9]Финансирование!V318+[9]Финансирование!W318+[9]Финансирование!X318+[9]Финансирование!Y318+[9]Финансирование!Z318</f>
        <v>8815.6049999999996</v>
      </c>
      <c r="J318" s="648"/>
      <c r="K318" s="648"/>
      <c r="L318" s="678"/>
      <c r="M318" s="678"/>
      <c r="N318" s="678"/>
      <c r="O318" s="678"/>
      <c r="P318" s="678"/>
    </row>
    <row r="319" spans="1:16" x14ac:dyDescent="0.15">
      <c r="A319" s="682" t="s">
        <v>131</v>
      </c>
      <c r="B319" s="688"/>
      <c r="C319" s="688"/>
      <c r="D319" s="688"/>
      <c r="E319" s="689"/>
      <c r="F319" s="689"/>
      <c r="G319" s="719"/>
      <c r="H319" s="643"/>
      <c r="I319" s="685">
        <f>[9]Финансирование!I319+[9]Финансирование!J319+[9]Финансирование!K319+[9]Финансирование!L319+[9]Финансирование!M319+[9]Финансирование!N319+[9]Финансирование!O319+[9]Финансирование!P319+[9]Финансирование!Q319+[9]Финансирование!T319+[9]Финансирование!U319+[9]Финансирование!V319+[9]Финансирование!W319+[9]Финансирование!X319+[9]Финансирование!Y319+[9]Финансирование!Z319</f>
        <v>0</v>
      </c>
      <c r="J319" s="685"/>
      <c r="K319" s="651"/>
      <c r="L319" s="646"/>
      <c r="M319" s="646"/>
      <c r="N319" s="646"/>
      <c r="O319" s="646"/>
      <c r="P319" s="646"/>
    </row>
    <row r="320" spans="1:16" x14ac:dyDescent="0.15">
      <c r="A320" s="686" t="str">
        <f>[9]Роспись!A294</f>
        <v xml:space="preserve">Заработная плата </v>
      </c>
      <c r="B320" s="687" t="str">
        <f>[9]Роспись!B294</f>
        <v>056</v>
      </c>
      <c r="C320" s="687" t="str">
        <f>[9]Роспись!C294</f>
        <v>08</v>
      </c>
      <c r="D320" s="687" t="str">
        <f>[9]Роспись!D294</f>
        <v>01</v>
      </c>
      <c r="E320" s="687">
        <f>[9]Роспись!E294</f>
        <v>4419901</v>
      </c>
      <c r="F320" s="687" t="str">
        <f>[9]Роспись!F294</f>
        <v>001</v>
      </c>
      <c r="G320" s="687">
        <f>[9]Роспись!G294</f>
        <v>211</v>
      </c>
      <c r="H320" s="648">
        <f>[9]Роспись!H294</f>
        <v>3519.569</v>
      </c>
      <c r="I320" s="685">
        <f>[9]Финансирование!I320+[9]Финансирование!J320+[9]Финансирование!K320+[9]Финансирование!L320+[9]Финансирование!M320+[9]Финансирование!N320+[9]Финансирование!O320+[9]Финансирование!P320</f>
        <v>1436.1799999999998</v>
      </c>
      <c r="J320" s="685">
        <f>[9]Финансирование!Q320+[9]Финансирование!T320+[9]Финансирование!U320+[9]Финансирование!V320+[9]Финансирование!W320+[9]Финансирование!X320+[9]Финансирование!Y320+[9]Финансирование!Z320</f>
        <v>2083.3890000000001</v>
      </c>
      <c r="K320" s="685">
        <f>H320-I320-J320</f>
        <v>0</v>
      </c>
      <c r="L320" s="646"/>
      <c r="M320" s="646"/>
      <c r="N320" s="646"/>
      <c r="O320" s="646">
        <v>2083.3890000000001</v>
      </c>
      <c r="P320" s="652">
        <f>O320-J320</f>
        <v>0</v>
      </c>
    </row>
    <row r="321" spans="1:16" x14ac:dyDescent="0.15">
      <c r="A321" s="686" t="str">
        <f>[9]Роспись!A295</f>
        <v>Прочие выплаты</v>
      </c>
      <c r="B321" s="687" t="str">
        <f>[9]Роспись!B295</f>
        <v>056</v>
      </c>
      <c r="C321" s="687" t="str">
        <f>[9]Роспись!C295</f>
        <v>08</v>
      </c>
      <c r="D321" s="687" t="str">
        <f>[9]Роспись!D295</f>
        <v>01</v>
      </c>
      <c r="E321" s="687">
        <f>[9]Роспись!E295</f>
        <v>4419901</v>
      </c>
      <c r="F321" s="687" t="str">
        <f>[9]Роспись!F295</f>
        <v>001</v>
      </c>
      <c r="G321" s="687">
        <f>[9]Роспись!G295</f>
        <v>212</v>
      </c>
      <c r="H321" s="648">
        <f>[9]Роспись!H295</f>
        <v>4.2</v>
      </c>
      <c r="I321" s="685">
        <f>[9]Финансирование!I321+[9]Финансирование!J321+[9]Финансирование!K321+[9]Финансирование!L321+[9]Финансирование!M321+[9]Финансирование!N321+[9]Финансирование!O321+[9]Финансирование!P321</f>
        <v>0</v>
      </c>
      <c r="J321" s="656">
        <f>[9]Финансирование!Q321+[9]Финансирование!T321+[9]Финансирование!U321+[9]Финансирование!V321+[9]Финансирование!W321+[9]Финансирование!X321+[9]Финансирование!Y321+[9]Финансирование!Z321</f>
        <v>4.2</v>
      </c>
      <c r="K321" s="685">
        <f t="shared" ref="K321:K332" si="27">H321-I321-J321</f>
        <v>0</v>
      </c>
      <c r="L321" s="652">
        <f>J321-N324</f>
        <v>0</v>
      </c>
      <c r="M321" s="646"/>
      <c r="N321" s="646"/>
      <c r="O321" s="646"/>
      <c r="P321" s="652">
        <f>O321-L321</f>
        <v>0</v>
      </c>
    </row>
    <row r="322" spans="1:16" x14ac:dyDescent="0.15">
      <c r="A322" s="686" t="str">
        <f>[9]Роспись!A296</f>
        <v>Начисления на оплату труда</v>
      </c>
      <c r="B322" s="687" t="str">
        <f>[9]Роспись!B296</f>
        <v>056</v>
      </c>
      <c r="C322" s="687" t="str">
        <f>[9]Роспись!C296</f>
        <v>08</v>
      </c>
      <c r="D322" s="687" t="str">
        <f>[9]Роспись!D296</f>
        <v>01</v>
      </c>
      <c r="E322" s="687">
        <f>[9]Роспись!E296</f>
        <v>4419901</v>
      </c>
      <c r="F322" s="687" t="str">
        <f>[9]Роспись!F296</f>
        <v>001</v>
      </c>
      <c r="G322" s="687">
        <f>[9]Роспись!G296</f>
        <v>213</v>
      </c>
      <c r="H322" s="648">
        <f>[9]Роспись!H296</f>
        <v>1044.568</v>
      </c>
      <c r="I322" s="685">
        <f>[9]Финансирование!I322+[9]Финансирование!J322+[9]Финансирование!K322+[9]Финансирование!L322+[9]Финансирование!M322+[9]Финансирование!N322+[9]Финансирование!O322+[9]Финансирование!P322</f>
        <v>470.06</v>
      </c>
      <c r="J322" s="656">
        <f>[9]Финансирование!Q322+[9]Финансирование!T322+[9]Финансирование!U322+[9]Финансирование!V322+[9]Финансирование!W322+[9]Финансирование!X322+[9]Финансирование!Y322+[9]Финансирование!Z322</f>
        <v>574.50800000000004</v>
      </c>
      <c r="K322" s="685">
        <f t="shared" si="27"/>
        <v>0</v>
      </c>
      <c r="L322" s="652"/>
      <c r="M322" s="646"/>
      <c r="N322" s="646"/>
      <c r="O322" s="646">
        <v>574.50800000000004</v>
      </c>
      <c r="P322" s="652">
        <f t="shared" ref="P322:P332" si="28">O322-J322</f>
        <v>0</v>
      </c>
    </row>
    <row r="323" spans="1:16" ht="15" thickBot="1" x14ac:dyDescent="0.2">
      <c r="A323" s="686" t="str">
        <f>[9]Роспись!A297</f>
        <v xml:space="preserve">Оплата услуг связи </v>
      </c>
      <c r="B323" s="687" t="str">
        <f>[9]Роспись!B297</f>
        <v>056</v>
      </c>
      <c r="C323" s="687" t="str">
        <f>[9]Роспись!C297</f>
        <v>08</v>
      </c>
      <c r="D323" s="687" t="str">
        <f>[9]Роспись!D297</f>
        <v>01</v>
      </c>
      <c r="E323" s="687">
        <f>[9]Роспись!E297</f>
        <v>4419901</v>
      </c>
      <c r="F323" s="687" t="str">
        <f>[9]Роспись!F297</f>
        <v>001</v>
      </c>
      <c r="G323" s="687">
        <f>[9]Роспись!G297</f>
        <v>221</v>
      </c>
      <c r="H323" s="648">
        <f>[9]Роспись!H297</f>
        <v>76.001000000000005</v>
      </c>
      <c r="I323" s="685">
        <f>[9]Финансирование!I323+[9]Финансирование!J323+[9]Финансирование!K323+[9]Финансирование!L323+[9]Финансирование!M323+[9]Финансирование!N323+[9]Финансирование!O323+[9]Финансирование!P323</f>
        <v>14.25</v>
      </c>
      <c r="J323" s="656">
        <f>[9]Финансирование!Q323+[9]Финансирование!T323+[9]Финансирование!U323+[9]Финансирование!V323+[9]Финансирование!W323+[9]Финансирование!X323+[9]Финансирование!Y323+[9]Финансирование!Z323</f>
        <v>61.751000000000005</v>
      </c>
      <c r="K323" s="685">
        <f t="shared" si="27"/>
        <v>0</v>
      </c>
      <c r="L323" s="646"/>
      <c r="M323" s="646"/>
      <c r="N323" s="646"/>
      <c r="O323" s="646"/>
      <c r="P323" s="652">
        <f t="shared" si="28"/>
        <v>-61.751000000000005</v>
      </c>
    </row>
    <row r="324" spans="1:16" ht="15" thickBot="1" x14ac:dyDescent="0.2">
      <c r="A324" s="686" t="str">
        <f>[9]Роспись!A298</f>
        <v>Транспортные услуги</v>
      </c>
      <c r="B324" s="687" t="str">
        <f>[9]Роспись!B298</f>
        <v>056</v>
      </c>
      <c r="C324" s="687" t="str">
        <f>[9]Роспись!C298</f>
        <v>08</v>
      </c>
      <c r="D324" s="687" t="str">
        <f>[9]Роспись!D298</f>
        <v>01</v>
      </c>
      <c r="E324" s="687">
        <f>[9]Роспись!E298</f>
        <v>4419901</v>
      </c>
      <c r="F324" s="687" t="str">
        <f>[9]Роспись!F298</f>
        <v>001</v>
      </c>
      <c r="G324" s="687">
        <f>[9]Роспись!G298</f>
        <v>222</v>
      </c>
      <c r="H324" s="648">
        <f>[9]Роспись!H298</f>
        <v>412.053</v>
      </c>
      <c r="I324" s="685">
        <f>[9]Финансирование!I324+[9]Финансирование!J324+[9]Финансирование!K324+[9]Финансирование!L324+[9]Финансирование!M324+[9]Финансирование!N324+[9]Финансирование!O324+[9]Финансирование!P324</f>
        <v>75</v>
      </c>
      <c r="J324" s="656">
        <f>[9]Финансирование!Q324+[9]Финансирование!T324+[9]Финансирование!U324+[9]Финансирование!V324+[9]Финансирование!W324+[9]Финансирование!X324+[9]Финансирование!Y324+[9]Финансирование!Z324</f>
        <v>337.053</v>
      </c>
      <c r="K324" s="685">
        <f t="shared" si="27"/>
        <v>0</v>
      </c>
      <c r="L324" s="646"/>
      <c r="M324" s="679">
        <v>212</v>
      </c>
      <c r="N324" s="720">
        <v>4.2</v>
      </c>
      <c r="O324" s="646">
        <v>157.255</v>
      </c>
      <c r="P324" s="652">
        <f>O324-L325</f>
        <v>-110.58299999999997</v>
      </c>
    </row>
    <row r="325" spans="1:16" ht="15" thickBot="1" x14ac:dyDescent="0.2">
      <c r="A325" s="686" t="str">
        <f>[9]Роспись!A299</f>
        <v>Коммунальные услуги</v>
      </c>
      <c r="B325" s="687" t="str">
        <f>[9]Роспись!B299</f>
        <v>056</v>
      </c>
      <c r="C325" s="687" t="str">
        <f>[9]Роспись!C299</f>
        <v>08</v>
      </c>
      <c r="D325" s="687" t="str">
        <f>[9]Роспись!D299</f>
        <v>01</v>
      </c>
      <c r="E325" s="687">
        <f>[9]Роспись!E299</f>
        <v>4419901</v>
      </c>
      <c r="F325" s="687" t="str">
        <f>[9]Роспись!F299</f>
        <v>001</v>
      </c>
      <c r="G325" s="687">
        <f>[9]Роспись!G299</f>
        <v>223</v>
      </c>
      <c r="H325" s="648">
        <f>[9]Роспись!H299</f>
        <v>170.57600000000002</v>
      </c>
      <c r="I325" s="685">
        <f>[9]Финансирование!I325+[9]Финансирование!J325+[9]Финансирование!K325+[9]Финансирование!L325+[9]Финансирование!M325+[9]Финансирование!N325+[9]Финансирование!O325+[9]Финансирование!P325</f>
        <v>82.63</v>
      </c>
      <c r="J325" s="656">
        <f>[9]Финансирование!Q325+[9]Финансирование!T325+[9]Финансирование!U325+[9]Финансирование!V325+[9]Финансирование!W325+[9]Финансирование!X325+[9]Финансирование!Y325+[9]Финансирование!Z325</f>
        <v>87.945999999999998</v>
      </c>
      <c r="K325" s="685">
        <f t="shared" si="27"/>
        <v>0</v>
      </c>
      <c r="L325" s="652">
        <f>J324-N325</f>
        <v>267.83799999999997</v>
      </c>
      <c r="M325" s="680">
        <v>222</v>
      </c>
      <c r="N325" s="716">
        <v>69.215000000000003</v>
      </c>
      <c r="O325" s="646">
        <v>87.945999999999998</v>
      </c>
      <c r="P325" s="652">
        <f t="shared" si="28"/>
        <v>0</v>
      </c>
    </row>
    <row r="326" spans="1:16" ht="15" thickBot="1" x14ac:dyDescent="0.2">
      <c r="A326" s="686" t="str">
        <f>[9]Роспись!A300</f>
        <v>Аренда помещения</v>
      </c>
      <c r="B326" s="687" t="str">
        <f>[9]Роспись!B300</f>
        <v>056</v>
      </c>
      <c r="C326" s="687" t="str">
        <f>[9]Роспись!C300</f>
        <v>08</v>
      </c>
      <c r="D326" s="687" t="str">
        <f>[9]Роспись!D300</f>
        <v>01</v>
      </c>
      <c r="E326" s="687">
        <f>[9]Роспись!E300</f>
        <v>4419901</v>
      </c>
      <c r="F326" s="687" t="str">
        <f>[9]Роспись!F300</f>
        <v>001</v>
      </c>
      <c r="G326" s="687">
        <f>[9]Роспись!G300</f>
        <v>224</v>
      </c>
      <c r="H326" s="648">
        <f>[9]Роспись!H300</f>
        <v>0</v>
      </c>
      <c r="I326" s="685">
        <f>[9]Финансирование!I326+[9]Финансирование!J326+[9]Финансирование!K326+[9]Финансирование!L326+[9]Финансирование!M326+[9]Финансирование!N326+[9]Финансирование!O326+[9]Финансирование!P326</f>
        <v>0</v>
      </c>
      <c r="J326" s="656">
        <f>[9]Финансирование!Q326+[9]Финансирование!T326+[9]Финансирование!U326+[9]Финансирование!V326+[9]Финансирование!W326+[9]Финансирование!X326+[9]Финансирование!Y326+[9]Финансирование!Z326</f>
        <v>0</v>
      </c>
      <c r="K326" s="685">
        <f t="shared" si="27"/>
        <v>0</v>
      </c>
      <c r="L326" s="652">
        <f>J328-N326</f>
        <v>2257.9580000000001</v>
      </c>
      <c r="M326" s="680">
        <v>226</v>
      </c>
      <c r="N326" s="717">
        <v>1060.75</v>
      </c>
      <c r="O326" s="646"/>
      <c r="P326" s="652">
        <f t="shared" si="28"/>
        <v>0</v>
      </c>
    </row>
    <row r="327" spans="1:16" x14ac:dyDescent="0.15">
      <c r="A327" s="686" t="str">
        <f>[9]Роспись!A301</f>
        <v>Услуги по содерж. имущества</v>
      </c>
      <c r="B327" s="687" t="str">
        <f>[9]Роспись!B301</f>
        <v>056</v>
      </c>
      <c r="C327" s="687" t="str">
        <f>[9]Роспись!C301</f>
        <v>08</v>
      </c>
      <c r="D327" s="687" t="str">
        <f>[9]Роспись!D301</f>
        <v>01</v>
      </c>
      <c r="E327" s="687">
        <f>[9]Роспись!E301</f>
        <v>4419901</v>
      </c>
      <c r="F327" s="687" t="str">
        <f>[9]Роспись!F301</f>
        <v>001</v>
      </c>
      <c r="G327" s="687">
        <f>[9]Роспись!G301</f>
        <v>225</v>
      </c>
      <c r="H327" s="648">
        <f>[9]Роспись!H301</f>
        <v>453.34899999999999</v>
      </c>
      <c r="I327" s="685">
        <f>[9]Финансирование!I327+[9]Финансирование!J327+[9]Финансирование!K327+[9]Финансирование!L327+[9]Финансирование!M327+[9]Финансирование!N327+[9]Финансирование!O327+[9]Финансирование!P327</f>
        <v>137.5</v>
      </c>
      <c r="J327" s="656">
        <f>[9]Финансирование!Q327+[9]Финансирование!T327+[9]Финансирование!U327+[9]Финансирование!V327+[9]Финансирование!W327+[9]Финансирование!X327+[9]Финансирование!Y327+[9]Финансирование!Z327</f>
        <v>315.84899999999999</v>
      </c>
      <c r="K327" s="685">
        <f t="shared" si="27"/>
        <v>0</v>
      </c>
      <c r="L327" s="646"/>
      <c r="M327" s="646"/>
      <c r="N327" s="646"/>
      <c r="O327" s="646">
        <v>315.84899999999999</v>
      </c>
      <c r="P327" s="652">
        <f t="shared" si="28"/>
        <v>0</v>
      </c>
    </row>
    <row r="328" spans="1:16" x14ac:dyDescent="0.15">
      <c r="A328" s="686" t="str">
        <f>[9]Роспись!A302</f>
        <v>Прочие услуги</v>
      </c>
      <c r="B328" s="687" t="str">
        <f>[9]Роспись!B302</f>
        <v>056</v>
      </c>
      <c r="C328" s="687" t="str">
        <f>[9]Роспись!C302</f>
        <v>08</v>
      </c>
      <c r="D328" s="687" t="str">
        <f>[9]Роспись!D302</f>
        <v>01</v>
      </c>
      <c r="E328" s="687">
        <f>[9]Роспись!E302</f>
        <v>4419901</v>
      </c>
      <c r="F328" s="687" t="str">
        <f>[9]Роспись!F302</f>
        <v>001</v>
      </c>
      <c r="G328" s="687">
        <f>[9]Роспись!G302</f>
        <v>226</v>
      </c>
      <c r="H328" s="648">
        <f>[9]Роспись!H302</f>
        <v>4251.3779999999988</v>
      </c>
      <c r="I328" s="685">
        <f>[9]Финансирование!I328+[9]Финансирование!J328+[9]Финансирование!K328+[9]Финансирование!L328+[9]Финансирование!M328+[9]Финансирование!N328+[9]Финансирование!O328+[9]Финансирование!P328</f>
        <v>932.67</v>
      </c>
      <c r="J328" s="656">
        <f>[9]Финансирование!Q328+[9]Финансирование!T328+[9]Финансирование!U328+[9]Финансирование!V328+[9]Финансирование!W328+[9]Финансирование!X328+[9]Финансирование!Y328+[9]Финансирование!Z328</f>
        <v>3318.7080000000001</v>
      </c>
      <c r="K328" s="685">
        <f t="shared" si="27"/>
        <v>0</v>
      </c>
      <c r="L328" s="646"/>
      <c r="M328" s="646"/>
      <c r="N328" s="646"/>
      <c r="O328" s="646">
        <v>2257.9580000000001</v>
      </c>
      <c r="P328" s="652">
        <f>O328-L326</f>
        <v>0</v>
      </c>
    </row>
    <row r="329" spans="1:16" x14ac:dyDescent="0.15">
      <c r="A329" s="686" t="str">
        <f>[9]Роспись!A303</f>
        <v xml:space="preserve">Прочие расходы </v>
      </c>
      <c r="B329" s="687" t="str">
        <f>[9]Роспись!B303</f>
        <v>056</v>
      </c>
      <c r="C329" s="687" t="str">
        <f>[9]Роспись!C303</f>
        <v>08</v>
      </c>
      <c r="D329" s="687" t="str">
        <f>[9]Роспись!D303</f>
        <v>01</v>
      </c>
      <c r="E329" s="687">
        <f>[9]Роспись!E303</f>
        <v>4419901</v>
      </c>
      <c r="F329" s="687" t="str">
        <f>[9]Роспись!F303</f>
        <v>001</v>
      </c>
      <c r="G329" s="687">
        <f>[9]Роспись!G303</f>
        <v>290</v>
      </c>
      <c r="H329" s="648">
        <f>[9]Роспись!H303</f>
        <v>4.5999999999999996</v>
      </c>
      <c r="I329" s="685">
        <f>[9]Финансирование!I329+[9]Финансирование!J329+[9]Финансирование!K329+[9]Финансирование!L329+[9]Финансирование!M329+[9]Финансирование!N329+[9]Финансирование!O329+[9]Финансирование!P329</f>
        <v>2.2999999999999998</v>
      </c>
      <c r="J329" s="656">
        <f>[9]Финансирование!Q329+[9]Финансирование!T329+[9]Финансирование!U329+[9]Финансирование!V329+[9]Финансирование!W329+[9]Финансирование!X329+[9]Финансирование!Y329+[9]Финансирование!Z329</f>
        <v>2.2999999999999998</v>
      </c>
      <c r="K329" s="685">
        <f t="shared" si="27"/>
        <v>0</v>
      </c>
      <c r="L329" s="646"/>
      <c r="M329" s="646"/>
      <c r="N329" s="646"/>
      <c r="O329" s="646"/>
      <c r="P329" s="652">
        <f t="shared" si="28"/>
        <v>-2.2999999999999998</v>
      </c>
    </row>
    <row r="330" spans="1:16" x14ac:dyDescent="0.15">
      <c r="A330" s="686" t="str">
        <f>[9]Роспись!A304</f>
        <v xml:space="preserve">Прочие расходы </v>
      </c>
      <c r="B330" s="687" t="str">
        <f>[9]Роспись!B304</f>
        <v>056</v>
      </c>
      <c r="C330" s="687" t="str">
        <f>[9]Роспись!C304</f>
        <v>08</v>
      </c>
      <c r="D330" s="687" t="str">
        <f>[9]Роспись!D304</f>
        <v>01</v>
      </c>
      <c r="E330" s="687" t="str">
        <f>[9]Роспись!E304</f>
        <v>4419500</v>
      </c>
      <c r="F330" s="687" t="str">
        <f>[9]Роспись!F304</f>
        <v>001</v>
      </c>
      <c r="G330" s="687" t="str">
        <f>[9]Роспись!G304</f>
        <v>290</v>
      </c>
      <c r="H330" s="648">
        <f>[9]Роспись!H304</f>
        <v>176.78800000000001</v>
      </c>
      <c r="I330" s="685">
        <f>[9]Финансирование!I330+[9]Финансирование!J330+[9]Финансирование!K330+[9]Финансирование!L330+[9]Финансирование!M330+[9]Финансирование!N330+[9]Финансирование!O330+[9]Финансирование!P330</f>
        <v>127</v>
      </c>
      <c r="J330" s="656">
        <f>[9]Финансирование!Q330+[9]Финансирование!T330+[9]Финансирование!U330+[9]Финансирование!V330+[9]Финансирование!W330+[9]Финансирование!X330+[9]Финансирование!Y330+[9]Финансирование!Z330</f>
        <v>49.788000000000004</v>
      </c>
      <c r="K330" s="685">
        <f t="shared" si="27"/>
        <v>0</v>
      </c>
      <c r="L330" s="646"/>
      <c r="M330" s="646"/>
      <c r="N330" s="646"/>
      <c r="O330" s="646">
        <v>51.393999999999998</v>
      </c>
      <c r="P330" s="652">
        <f t="shared" si="28"/>
        <v>1.6059999999999945</v>
      </c>
    </row>
    <row r="331" spans="1:16" x14ac:dyDescent="0.15">
      <c r="A331" s="686" t="str">
        <f>[9]Роспись!A305</f>
        <v>Увелич. стоимости осн. средств</v>
      </c>
      <c r="B331" s="687" t="str">
        <f>[9]Роспись!B305</f>
        <v>056</v>
      </c>
      <c r="C331" s="687" t="str">
        <f>[9]Роспись!C305</f>
        <v>08</v>
      </c>
      <c r="D331" s="687" t="str">
        <f>[9]Роспись!D305</f>
        <v>01</v>
      </c>
      <c r="E331" s="687">
        <f>[9]Роспись!E305</f>
        <v>4419901</v>
      </c>
      <c r="F331" s="687" t="str">
        <f>[9]Роспись!F305</f>
        <v>001</v>
      </c>
      <c r="G331" s="687">
        <f>[9]Роспись!G305</f>
        <v>310</v>
      </c>
      <c r="H331" s="648">
        <f>[9]Роспись!H305</f>
        <v>1553.1289999999999</v>
      </c>
      <c r="I331" s="685">
        <f>[9]Финансирование!I331+[9]Финансирование!J331+[9]Финансирование!K331+[9]Финансирование!L331+[9]Финансирование!M331+[9]Финансирование!N331+[9]Финансирование!O331+[9]Финансирование!P331</f>
        <v>0</v>
      </c>
      <c r="J331" s="656">
        <f>[9]Финансирование!Q331+[9]Финансирование!T331+[9]Финансирование!U331+[9]Финансирование!V331+[9]Финансирование!W331+[9]Финансирование!X331+[9]Финансирование!Y331+[9]Финансирование!Z331</f>
        <v>1553.1289999999999</v>
      </c>
      <c r="K331" s="685">
        <f t="shared" si="27"/>
        <v>0</v>
      </c>
      <c r="L331" s="646"/>
      <c r="M331" s="646"/>
      <c r="N331" s="646"/>
      <c r="O331" s="646"/>
      <c r="P331" s="652">
        <f t="shared" si="28"/>
        <v>-1553.1289999999999</v>
      </c>
    </row>
    <row r="332" spans="1:16" x14ac:dyDescent="0.15">
      <c r="A332" s="686" t="str">
        <f>[9]Роспись!A306</f>
        <v>Увелич. стоимости матер. запасов</v>
      </c>
      <c r="B332" s="687" t="str">
        <f>[9]Роспись!B306</f>
        <v>056</v>
      </c>
      <c r="C332" s="687" t="str">
        <f>[9]Роспись!C306</f>
        <v>08</v>
      </c>
      <c r="D332" s="687" t="str">
        <f>[9]Роспись!D306</f>
        <v>01</v>
      </c>
      <c r="E332" s="687">
        <f>[9]Роспись!E306</f>
        <v>4419901</v>
      </c>
      <c r="F332" s="687" t="str">
        <f>[9]Роспись!F306</f>
        <v>001</v>
      </c>
      <c r="G332" s="687">
        <f>[9]Роспись!G306</f>
        <v>340</v>
      </c>
      <c r="H332" s="648">
        <f>[9]Роспись!H306</f>
        <v>425.654</v>
      </c>
      <c r="I332" s="685">
        <f>[9]Финансирование!I332+[9]Финансирование!J332+[9]Финансирование!K332+[9]Финансирование!L332+[9]Финансирование!M332+[9]Финансирование!N332+[9]Финансирование!O332+[9]Финансирование!P332</f>
        <v>143.32999999999998</v>
      </c>
      <c r="J332" s="656">
        <f>[9]Финансирование!Q332+[9]Финансирование!T332+[9]Финансирование!U332+[9]Финансирование!V332+[9]Финансирование!W332+[9]Финансирование!X332+[9]Финансирование!Y332+[9]Финансирование!Z332</f>
        <v>282.32399999999996</v>
      </c>
      <c r="K332" s="685">
        <f t="shared" si="27"/>
        <v>0</v>
      </c>
      <c r="L332" s="646"/>
      <c r="M332" s="646"/>
      <c r="N332" s="646"/>
      <c r="O332" s="646"/>
      <c r="P332" s="652">
        <f t="shared" si="28"/>
        <v>-282.32399999999996</v>
      </c>
    </row>
    <row r="333" spans="1:16" x14ac:dyDescent="0.15">
      <c r="A333" s="682" t="s">
        <v>98</v>
      </c>
      <c r="B333" s="683" t="s">
        <v>79</v>
      </c>
      <c r="C333" s="683" t="s">
        <v>80</v>
      </c>
      <c r="D333" s="683" t="s">
        <v>125</v>
      </c>
      <c r="E333" s="683" t="s">
        <v>214</v>
      </c>
      <c r="F333" s="683" t="s">
        <v>102</v>
      </c>
      <c r="G333" s="721"/>
      <c r="H333" s="643">
        <f>SUM(H320:H332)</f>
        <v>12091.865</v>
      </c>
      <c r="I333" s="676">
        <f>SUM(I320:I332)</f>
        <v>3420.92</v>
      </c>
      <c r="J333" s="676">
        <f>SUM(J320:J332)</f>
        <v>8670.9449999999997</v>
      </c>
      <c r="K333" s="651">
        <f>SUM(K320:K332)</f>
        <v>0</v>
      </c>
      <c r="L333" s="646"/>
      <c r="M333" s="646"/>
      <c r="N333" s="646"/>
      <c r="O333" s="646"/>
      <c r="P333" s="652"/>
    </row>
    <row r="334" spans="1:16" ht="52" x14ac:dyDescent="0.15">
      <c r="A334" s="640" t="str">
        <f>'[9]Новая роспись'!A349</f>
        <v>Субсидия на финансовое обеспечение государственного задания на оказание государственных услуг (выполнение работ)</v>
      </c>
      <c r="B334" s="672"/>
      <c r="C334" s="672"/>
      <c r="D334" s="672"/>
      <c r="E334" s="672"/>
      <c r="F334" s="640">
        <f>'[9]Новая роспись'!F349</f>
        <v>611</v>
      </c>
      <c r="G334" s="640" t="str">
        <f>'[9]Новая роспись'!G349</f>
        <v>241</v>
      </c>
      <c r="H334" s="645">
        <f>'[9]Новая роспись'!H349</f>
        <v>7536.78</v>
      </c>
      <c r="I334" s="648">
        <f>J333-I335</f>
        <v>7536.78</v>
      </c>
      <c r="J334" s="648"/>
      <c r="K334" s="648">
        <f>H334-I334</f>
        <v>0</v>
      </c>
      <c r="L334" s="646"/>
      <c r="M334" s="646"/>
      <c r="N334" s="646"/>
      <c r="O334" s="646"/>
      <c r="P334" s="646"/>
    </row>
    <row r="335" spans="1:16" x14ac:dyDescent="0.15">
      <c r="A335" s="640" t="str">
        <f>'[9]Новая роспись'!A350</f>
        <v>Субсидии на иные цели</v>
      </c>
      <c r="B335" s="672"/>
      <c r="C335" s="672"/>
      <c r="D335" s="672"/>
      <c r="E335" s="672"/>
      <c r="F335" s="640" t="str">
        <f>'[9]Новая роспись'!F350</f>
        <v>612</v>
      </c>
      <c r="G335" s="640" t="str">
        <f>'[9]Новая роспись'!G350</f>
        <v>241</v>
      </c>
      <c r="H335" s="645">
        <f>'[9]Новая роспись'!H350</f>
        <v>1134.1650000000002</v>
      </c>
      <c r="I335" s="648">
        <f>[9]Финансирование!I335+[9]Финансирование!J335+[9]Финансирование!K335+[9]Финансирование!L335+[9]Финансирование!M335+[9]Финансирование!N335+[9]Финансирование!O335+[9]Финансирование!P335+[9]Финансирование!Q335+[9]Финансирование!T335+[9]Финансирование!U335+[9]Финансирование!V335+[9]Финансирование!W335+[9]Финансирование!X335+[9]Финансирование!Y335+[9]Финансирование!Z335</f>
        <v>1134.165</v>
      </c>
      <c r="J335" s="648"/>
      <c r="K335" s="648">
        <f>H335-I335</f>
        <v>0</v>
      </c>
      <c r="L335" s="646"/>
      <c r="M335" s="646"/>
      <c r="N335" s="646"/>
      <c r="O335" s="646"/>
      <c r="P335" s="646"/>
    </row>
    <row r="336" spans="1:16" x14ac:dyDescent="0.15">
      <c r="A336" s="78" t="s">
        <v>132</v>
      </c>
      <c r="B336" s="672"/>
      <c r="C336" s="672"/>
      <c r="D336" s="672"/>
      <c r="E336" s="672"/>
      <c r="F336" s="672"/>
      <c r="G336" s="649"/>
      <c r="H336" s="648"/>
      <c r="I336" s="693"/>
      <c r="J336" s="693"/>
      <c r="K336" s="648"/>
      <c r="L336" s="646"/>
      <c r="M336" s="646"/>
      <c r="N336" s="646"/>
      <c r="O336" s="646"/>
      <c r="P336" s="646"/>
    </row>
    <row r="337" spans="1:16" x14ac:dyDescent="0.15">
      <c r="A337" s="647" t="str">
        <f>[9]Роспись!A309</f>
        <v xml:space="preserve">Заработная плата </v>
      </c>
      <c r="B337" s="81" t="str">
        <f>[9]Роспись!B309</f>
        <v>056</v>
      </c>
      <c r="C337" s="81" t="str">
        <f>[9]Роспись!C309</f>
        <v>08</v>
      </c>
      <c r="D337" s="81" t="str">
        <f>[9]Роспись!D309</f>
        <v>01</v>
      </c>
      <c r="E337" s="81" t="str">
        <f>[9]Роспись!E309</f>
        <v>4419901</v>
      </c>
      <c r="F337" s="81" t="str">
        <f>[9]Роспись!F309</f>
        <v>001</v>
      </c>
      <c r="G337" s="81">
        <f>[9]Роспись!G309</f>
        <v>211</v>
      </c>
      <c r="H337" s="648">
        <f t="shared" ref="H337:K350" si="29">H270+H287+H320+H304</f>
        <v>54566.069000000003</v>
      </c>
      <c r="I337" s="673">
        <f t="shared" si="29"/>
        <v>24908.79</v>
      </c>
      <c r="J337" s="673">
        <f t="shared" si="29"/>
        <v>29657.278999999995</v>
      </c>
      <c r="K337" s="673">
        <f t="shared" si="29"/>
        <v>0</v>
      </c>
      <c r="L337" s="658" t="e">
        <f>#REF!-#REF!</f>
        <v>#REF!</v>
      </c>
      <c r="M337" s="722">
        <v>1050.5999999999999</v>
      </c>
    </row>
    <row r="338" spans="1:16" x14ac:dyDescent="0.15">
      <c r="A338" s="647" t="str">
        <f>[9]Роспись!A310</f>
        <v>Прочие выплаты</v>
      </c>
      <c r="B338" s="81" t="str">
        <f>[9]Роспись!B310</f>
        <v>056</v>
      </c>
      <c r="C338" s="81" t="str">
        <f>[9]Роспись!C310</f>
        <v>08</v>
      </c>
      <c r="D338" s="81" t="str">
        <f>[9]Роспись!D310</f>
        <v>01</v>
      </c>
      <c r="E338" s="81" t="str">
        <f>[9]Роспись!E310</f>
        <v>4419901</v>
      </c>
      <c r="F338" s="81" t="str">
        <f>[9]Роспись!F310</f>
        <v>001</v>
      </c>
      <c r="G338" s="81">
        <f>[9]Роспись!G310</f>
        <v>212</v>
      </c>
      <c r="H338" s="648">
        <f t="shared" si="29"/>
        <v>15.099999999999998</v>
      </c>
      <c r="I338" s="673">
        <f t="shared" si="29"/>
        <v>2.08</v>
      </c>
      <c r="J338" s="673">
        <f t="shared" si="29"/>
        <v>13.02</v>
      </c>
      <c r="K338" s="673">
        <f t="shared" si="29"/>
        <v>0</v>
      </c>
      <c r="L338" s="658" t="e">
        <f>#REF!-#REF!</f>
        <v>#REF!</v>
      </c>
      <c r="M338" s="722"/>
    </row>
    <row r="339" spans="1:16" x14ac:dyDescent="0.15">
      <c r="A339" s="647" t="str">
        <f>[9]Роспись!A311</f>
        <v>Начисления на оплату труда</v>
      </c>
      <c r="B339" s="81" t="str">
        <f>[9]Роспись!B311</f>
        <v>056</v>
      </c>
      <c r="C339" s="81" t="str">
        <f>[9]Роспись!C311</f>
        <v>08</v>
      </c>
      <c r="D339" s="81" t="str">
        <f>[9]Роспись!D311</f>
        <v>01</v>
      </c>
      <c r="E339" s="81" t="str">
        <f>[9]Роспись!E311</f>
        <v>4419901</v>
      </c>
      <c r="F339" s="81" t="str">
        <f>[9]Роспись!F311</f>
        <v>001</v>
      </c>
      <c r="G339" s="81">
        <f>[9]Роспись!G311</f>
        <v>213</v>
      </c>
      <c r="H339" s="648">
        <f t="shared" si="29"/>
        <v>16460.667999999998</v>
      </c>
      <c r="I339" s="673">
        <f t="shared" si="29"/>
        <v>8235.3950000000004</v>
      </c>
      <c r="J339" s="673">
        <f t="shared" si="29"/>
        <v>8225.2729999999992</v>
      </c>
      <c r="K339" s="673">
        <f t="shared" si="29"/>
        <v>0</v>
      </c>
      <c r="L339" s="658" t="e">
        <f>#REF!-#REF!</f>
        <v>#REF!</v>
      </c>
      <c r="M339" s="722">
        <v>317.39999999999998</v>
      </c>
    </row>
    <row r="340" spans="1:16" x14ac:dyDescent="0.15">
      <c r="A340" s="647" t="str">
        <f>[9]Роспись!A312</f>
        <v xml:space="preserve">Оплата услуг связи </v>
      </c>
      <c r="B340" s="81" t="str">
        <f>[9]Роспись!B312</f>
        <v>056</v>
      </c>
      <c r="C340" s="81" t="str">
        <f>[9]Роспись!C312</f>
        <v>08</v>
      </c>
      <c r="D340" s="81" t="str">
        <f>[9]Роспись!D312</f>
        <v>01</v>
      </c>
      <c r="E340" s="81" t="str">
        <f>[9]Роспись!E312</f>
        <v>4419901</v>
      </c>
      <c r="F340" s="81" t="str">
        <f>[9]Роспись!F312</f>
        <v>001</v>
      </c>
      <c r="G340" s="81">
        <f>[9]Роспись!G312</f>
        <v>221</v>
      </c>
      <c r="H340" s="648">
        <f t="shared" si="29"/>
        <v>165.363</v>
      </c>
      <c r="I340" s="673">
        <f t="shared" si="29"/>
        <v>30.75</v>
      </c>
      <c r="J340" s="673">
        <f t="shared" si="29"/>
        <v>134.613</v>
      </c>
      <c r="K340" s="673">
        <f t="shared" si="29"/>
        <v>0</v>
      </c>
      <c r="L340" s="658" t="e">
        <f>#REF!-#REF!</f>
        <v>#REF!</v>
      </c>
    </row>
    <row r="341" spans="1:16" x14ac:dyDescent="0.15">
      <c r="A341" s="647" t="str">
        <f>[9]Роспись!A313</f>
        <v>Транспортные услуги</v>
      </c>
      <c r="B341" s="81" t="str">
        <f>[9]Роспись!B313</f>
        <v>056</v>
      </c>
      <c r="C341" s="81" t="str">
        <f>[9]Роспись!C313</f>
        <v>08</v>
      </c>
      <c r="D341" s="81" t="str">
        <f>[9]Роспись!D313</f>
        <v>01</v>
      </c>
      <c r="E341" s="81" t="str">
        <f>[9]Роспись!E313</f>
        <v>4419901</v>
      </c>
      <c r="F341" s="81" t="str">
        <f>[9]Роспись!F313</f>
        <v>001</v>
      </c>
      <c r="G341" s="81">
        <f>[9]Роспись!G313</f>
        <v>222</v>
      </c>
      <c r="H341" s="648">
        <f t="shared" si="29"/>
        <v>606.84299999999996</v>
      </c>
      <c r="I341" s="673">
        <f t="shared" si="29"/>
        <v>87.5</v>
      </c>
      <c r="J341" s="673">
        <f t="shared" si="29"/>
        <v>519.34299999999996</v>
      </c>
      <c r="K341" s="673">
        <f t="shared" si="29"/>
        <v>0</v>
      </c>
      <c r="L341" s="658" t="e">
        <f>#REF!-#REF!</f>
        <v>#REF!</v>
      </c>
    </row>
    <row r="342" spans="1:16" x14ac:dyDescent="0.15">
      <c r="A342" s="647" t="str">
        <f>[9]Роспись!A314</f>
        <v>Коммунальные услуги</v>
      </c>
      <c r="B342" s="81" t="str">
        <f>[9]Роспись!B314</f>
        <v>056</v>
      </c>
      <c r="C342" s="81" t="str">
        <f>[9]Роспись!C314</f>
        <v>08</v>
      </c>
      <c r="D342" s="81" t="str">
        <f>[9]Роспись!D314</f>
        <v>01</v>
      </c>
      <c r="E342" s="81" t="str">
        <f>[9]Роспись!E314</f>
        <v>4419901</v>
      </c>
      <c r="F342" s="81" t="str">
        <f>[9]Роспись!F314</f>
        <v>001</v>
      </c>
      <c r="G342" s="81">
        <f>[9]Роспись!G314</f>
        <v>223</v>
      </c>
      <c r="H342" s="648">
        <f t="shared" si="29"/>
        <v>1882.7809999999999</v>
      </c>
      <c r="I342" s="673">
        <f t="shared" si="29"/>
        <v>752.92</v>
      </c>
      <c r="J342" s="673">
        <f t="shared" si="29"/>
        <v>1129.8610000000001</v>
      </c>
      <c r="K342" s="673">
        <f t="shared" si="29"/>
        <v>0</v>
      </c>
      <c r="L342" s="658" t="e">
        <f>#REF!-#REF!</f>
        <v>#REF!</v>
      </c>
    </row>
    <row r="343" spans="1:16" x14ac:dyDescent="0.15">
      <c r="A343" s="647" t="str">
        <f>[9]Роспись!A315</f>
        <v>Аренда помещения</v>
      </c>
      <c r="B343" s="81" t="str">
        <f>[9]Роспись!B315</f>
        <v>056</v>
      </c>
      <c r="C343" s="81" t="str">
        <f>[9]Роспись!C315</f>
        <v>08</v>
      </c>
      <c r="D343" s="81" t="str">
        <f>[9]Роспись!D315</f>
        <v>01</v>
      </c>
      <c r="E343" s="81" t="str">
        <f>[9]Роспись!E315</f>
        <v>4419901</v>
      </c>
      <c r="F343" s="81" t="str">
        <f>[9]Роспись!F315</f>
        <v>001</v>
      </c>
      <c r="G343" s="81">
        <f>[9]Роспись!G315</f>
        <v>224</v>
      </c>
      <c r="H343" s="648">
        <f t="shared" si="29"/>
        <v>0</v>
      </c>
      <c r="I343" s="673">
        <f t="shared" si="29"/>
        <v>0</v>
      </c>
      <c r="J343" s="673">
        <f t="shared" si="29"/>
        <v>0</v>
      </c>
      <c r="K343" s="673">
        <f t="shared" si="29"/>
        <v>0</v>
      </c>
      <c r="L343" s="658" t="e">
        <f>#REF!-#REF!</f>
        <v>#REF!</v>
      </c>
    </row>
    <row r="344" spans="1:16" x14ac:dyDescent="0.15">
      <c r="A344" s="647" t="str">
        <f>[9]Роспись!A316</f>
        <v>Услуги по содерж. имущества</v>
      </c>
      <c r="B344" s="81" t="str">
        <f>[9]Роспись!B316</f>
        <v>056</v>
      </c>
      <c r="C344" s="81" t="str">
        <f>[9]Роспись!C316</f>
        <v>08</v>
      </c>
      <c r="D344" s="81" t="str">
        <f>[9]Роспись!D316</f>
        <v>01</v>
      </c>
      <c r="E344" s="81" t="str">
        <f>[9]Роспись!E316</f>
        <v>4419901</v>
      </c>
      <c r="F344" s="81" t="str">
        <f>[9]Роспись!F316</f>
        <v>001</v>
      </c>
      <c r="G344" s="81">
        <f>[9]Роспись!G316</f>
        <v>225</v>
      </c>
      <c r="H344" s="648">
        <f t="shared" si="29"/>
        <v>3009.701</v>
      </c>
      <c r="I344" s="673">
        <f t="shared" si="29"/>
        <v>730</v>
      </c>
      <c r="J344" s="673">
        <f t="shared" si="29"/>
        <v>2279.701</v>
      </c>
      <c r="K344" s="673">
        <f t="shared" si="29"/>
        <v>0</v>
      </c>
      <c r="L344" s="658" t="e">
        <f>#REF!-#REF!</f>
        <v>#REF!</v>
      </c>
    </row>
    <row r="345" spans="1:16" x14ac:dyDescent="0.15">
      <c r="A345" s="647" t="str">
        <f>[9]Роспись!A317</f>
        <v>Прочие услуги</v>
      </c>
      <c r="B345" s="81" t="str">
        <f>[9]Роспись!B317</f>
        <v>056</v>
      </c>
      <c r="C345" s="81" t="str">
        <f>[9]Роспись!C317</f>
        <v>08</v>
      </c>
      <c r="D345" s="81" t="str">
        <f>[9]Роспись!D317</f>
        <v>01</v>
      </c>
      <c r="E345" s="81" t="str">
        <f>[9]Роспись!E317</f>
        <v>4419901</v>
      </c>
      <c r="F345" s="81" t="str">
        <f>[9]Роспись!F317</f>
        <v>001</v>
      </c>
      <c r="G345" s="81">
        <f>[9]Роспись!G317</f>
        <v>226</v>
      </c>
      <c r="H345" s="648">
        <f t="shared" si="29"/>
        <v>11330.954</v>
      </c>
      <c r="I345" s="673">
        <f t="shared" si="29"/>
        <v>1817.94</v>
      </c>
      <c r="J345" s="673">
        <f t="shared" si="29"/>
        <v>9513.0139999999992</v>
      </c>
      <c r="K345" s="673">
        <f t="shared" si="29"/>
        <v>0</v>
      </c>
      <c r="L345" s="658" t="e">
        <f>#REF!-#REF!</f>
        <v>#REF!</v>
      </c>
    </row>
    <row r="346" spans="1:16" x14ac:dyDescent="0.15">
      <c r="A346" s="647" t="str">
        <f>[9]Роспись!A318</f>
        <v xml:space="preserve">Прочие расходы </v>
      </c>
      <c r="B346" s="81" t="str">
        <f>[9]Роспись!B318</f>
        <v>056</v>
      </c>
      <c r="C346" s="81" t="str">
        <f>[9]Роспись!C318</f>
        <v>08</v>
      </c>
      <c r="D346" s="81" t="str">
        <f>[9]Роспись!D318</f>
        <v>01</v>
      </c>
      <c r="E346" s="81" t="str">
        <f>[9]Роспись!E318</f>
        <v>4419901</v>
      </c>
      <c r="F346" s="81" t="str">
        <f>[9]Роспись!F318</f>
        <v>001</v>
      </c>
      <c r="G346" s="81">
        <f>[9]Роспись!G318</f>
        <v>290</v>
      </c>
      <c r="H346" s="648">
        <f t="shared" si="29"/>
        <v>137.1</v>
      </c>
      <c r="I346" s="673">
        <f t="shared" si="29"/>
        <v>43.3</v>
      </c>
      <c r="J346" s="673">
        <f t="shared" si="29"/>
        <v>93.8</v>
      </c>
      <c r="K346" s="673">
        <f t="shared" si="29"/>
        <v>0</v>
      </c>
      <c r="L346" s="658" t="e">
        <f>#REF!-#REF!</f>
        <v>#REF!</v>
      </c>
    </row>
    <row r="347" spans="1:16" x14ac:dyDescent="0.15">
      <c r="A347" s="647" t="str">
        <f>[9]Роспись!A319</f>
        <v xml:space="preserve">Прочие расходы </v>
      </c>
      <c r="B347" s="81" t="str">
        <f>[9]Роспись!B319</f>
        <v>056</v>
      </c>
      <c r="C347" s="81" t="str">
        <f>[9]Роспись!C319</f>
        <v>08</v>
      </c>
      <c r="D347" s="81" t="str">
        <f>[9]Роспись!D319</f>
        <v>01</v>
      </c>
      <c r="E347" s="81" t="str">
        <f>[9]Роспись!E319</f>
        <v>4419500</v>
      </c>
      <c r="F347" s="81" t="str">
        <f>[9]Роспись!F319</f>
        <v>001</v>
      </c>
      <c r="G347" s="81" t="str">
        <f>[9]Роспись!G319</f>
        <v>290</v>
      </c>
      <c r="H347" s="648">
        <f t="shared" si="29"/>
        <v>1133.4880000000001</v>
      </c>
      <c r="I347" s="673">
        <f t="shared" si="29"/>
        <v>787.8599999999999</v>
      </c>
      <c r="J347" s="673">
        <f t="shared" si="29"/>
        <v>345.62799999999999</v>
      </c>
      <c r="K347" s="673">
        <f t="shared" si="29"/>
        <v>0</v>
      </c>
      <c r="L347" s="658" t="e">
        <f>#REF!-#REF!</f>
        <v>#REF!</v>
      </c>
    </row>
    <row r="348" spans="1:16" x14ac:dyDescent="0.15">
      <c r="A348" s="647" t="str">
        <f>[9]Роспись!A320</f>
        <v>Увелич. стоимости осн. средств</v>
      </c>
      <c r="B348" s="81" t="str">
        <f>[9]Роспись!B320</f>
        <v>056</v>
      </c>
      <c r="C348" s="81" t="str">
        <f>[9]Роспись!C320</f>
        <v>08</v>
      </c>
      <c r="D348" s="81" t="str">
        <f>[9]Роспись!D320</f>
        <v>01</v>
      </c>
      <c r="E348" s="81" t="str">
        <f>[9]Роспись!E320</f>
        <v>4419901</v>
      </c>
      <c r="F348" s="81" t="str">
        <f>[9]Роспись!F320</f>
        <v>001</v>
      </c>
      <c r="G348" s="81">
        <f>[9]Роспись!G320</f>
        <v>310</v>
      </c>
      <c r="H348" s="648">
        <f t="shared" si="29"/>
        <v>1884.7139999999999</v>
      </c>
      <c r="I348" s="673">
        <f t="shared" si="29"/>
        <v>0</v>
      </c>
      <c r="J348" s="673">
        <f t="shared" si="29"/>
        <v>1884.7139999999999</v>
      </c>
      <c r="K348" s="673">
        <f t="shared" si="29"/>
        <v>0</v>
      </c>
      <c r="L348" s="658" t="e">
        <f>#REF!-#REF!</f>
        <v>#REF!</v>
      </c>
    </row>
    <row r="349" spans="1:16" x14ac:dyDescent="0.15">
      <c r="A349" s="647" t="str">
        <f>[9]Роспись!A321</f>
        <v>Увелич. стоимости матер. запасов</v>
      </c>
      <c r="B349" s="81" t="str">
        <f>[9]Роспись!B321</f>
        <v>056</v>
      </c>
      <c r="C349" s="81" t="str">
        <f>[9]Роспись!C321</f>
        <v>08</v>
      </c>
      <c r="D349" s="81" t="str">
        <f>[9]Роспись!D321</f>
        <v>01</v>
      </c>
      <c r="E349" s="81" t="str">
        <f>[9]Роспись!E321</f>
        <v>4419901</v>
      </c>
      <c r="F349" s="81" t="str">
        <f>[9]Роспись!F321</f>
        <v>001</v>
      </c>
      <c r="G349" s="81">
        <f>[9]Роспись!G321</f>
        <v>340</v>
      </c>
      <c r="H349" s="648">
        <f t="shared" si="29"/>
        <v>848.55399999999997</v>
      </c>
      <c r="I349" s="673">
        <f t="shared" si="29"/>
        <v>253.32999999999998</v>
      </c>
      <c r="J349" s="673">
        <f t="shared" si="29"/>
        <v>595.22399999999993</v>
      </c>
      <c r="K349" s="673">
        <f t="shared" si="29"/>
        <v>0</v>
      </c>
      <c r="L349" s="658" t="e">
        <f>#REF!-#REF!</f>
        <v>#REF!</v>
      </c>
    </row>
    <row r="350" spans="1:16" x14ac:dyDescent="0.15">
      <c r="A350" s="78" t="s">
        <v>98</v>
      </c>
      <c r="B350" s="641" t="s">
        <v>79</v>
      </c>
      <c r="C350" s="641" t="s">
        <v>80</v>
      </c>
      <c r="D350" s="641" t="s">
        <v>125</v>
      </c>
      <c r="E350" s="81" t="str">
        <f>[9]Роспись!E322</f>
        <v>4410000</v>
      </c>
      <c r="F350" s="666" t="s">
        <v>102</v>
      </c>
      <c r="G350" s="649"/>
      <c r="H350" s="650">
        <f t="shared" si="29"/>
        <v>92041.334999999992</v>
      </c>
      <c r="I350" s="676">
        <f t="shared" si="29"/>
        <v>37649.864999999998</v>
      </c>
      <c r="J350" s="676">
        <f t="shared" si="29"/>
        <v>54391.469999999987</v>
      </c>
      <c r="K350" s="676">
        <f t="shared" si="29"/>
        <v>0</v>
      </c>
      <c r="L350" s="646"/>
      <c r="M350" s="652">
        <f>I350-I347</f>
        <v>36862.004999999997</v>
      </c>
      <c r="N350" s="652">
        <f>H350-I347</f>
        <v>91253.474999999991</v>
      </c>
      <c r="O350" s="646"/>
      <c r="P350" s="646"/>
    </row>
    <row r="351" spans="1:16" ht="52" x14ac:dyDescent="0.15">
      <c r="A351" s="640" t="str">
        <f>A334</f>
        <v>Субсидия на финансовое обеспечение государственного задания на оказание государственных услуг (выполнение работ)</v>
      </c>
      <c r="B351" s="641"/>
      <c r="C351" s="641"/>
      <c r="D351" s="641"/>
      <c r="E351" s="81"/>
      <c r="F351" s="640">
        <f>F334</f>
        <v>611</v>
      </c>
      <c r="G351" s="640" t="str">
        <f>G334</f>
        <v>241</v>
      </c>
      <c r="H351" s="643">
        <f>H334+H318+H301+H284</f>
        <v>48184.834999999992</v>
      </c>
      <c r="I351" s="681">
        <f t="shared" ref="I351:K352" si="30">I334+I318+I301+I284</f>
        <v>48184.834999999992</v>
      </c>
      <c r="J351" s="681">
        <f t="shared" si="30"/>
        <v>0</v>
      </c>
      <c r="K351" s="681">
        <f t="shared" si="30"/>
        <v>0</v>
      </c>
      <c r="L351" s="723">
        <f>H266+H822+H899+H839</f>
        <v>575386.47600000014</v>
      </c>
      <c r="M351" s="646"/>
      <c r="N351" s="646"/>
      <c r="O351" s="646"/>
      <c r="P351" s="646"/>
    </row>
    <row r="352" spans="1:16" x14ac:dyDescent="0.15">
      <c r="A352" s="640" t="str">
        <f>A335</f>
        <v>Субсидии на иные цели</v>
      </c>
      <c r="B352" s="641"/>
      <c r="C352" s="641"/>
      <c r="D352" s="641"/>
      <c r="E352" s="81"/>
      <c r="F352" s="640" t="str">
        <f>F335</f>
        <v>612</v>
      </c>
      <c r="G352" s="640" t="str">
        <f>G335</f>
        <v>241</v>
      </c>
      <c r="H352" s="643">
        <f>H335+H319+H302+H285</f>
        <v>6206.6350000000002</v>
      </c>
      <c r="I352" s="681">
        <f t="shared" si="30"/>
        <v>6206.6350000000002</v>
      </c>
      <c r="J352" s="681">
        <f t="shared" si="30"/>
        <v>0</v>
      </c>
      <c r="K352" s="681">
        <f t="shared" si="30"/>
        <v>0</v>
      </c>
      <c r="L352" s="652">
        <f>I352-6167.1</f>
        <v>39.534999999999854</v>
      </c>
      <c r="M352" s="646"/>
      <c r="N352" s="646"/>
      <c r="O352" s="646"/>
      <c r="P352" s="646"/>
    </row>
    <row r="353" spans="1:16" x14ac:dyDescent="0.15">
      <c r="A353" s="660" t="s">
        <v>133</v>
      </c>
      <c r="B353" s="668"/>
      <c r="C353" s="668"/>
      <c r="D353" s="668"/>
      <c r="E353" s="661"/>
      <c r="F353" s="661"/>
      <c r="G353" s="663"/>
      <c r="H353" s="648"/>
      <c r="I353" s="655"/>
      <c r="J353" s="655"/>
      <c r="K353" s="656"/>
      <c r="L353" s="646"/>
      <c r="M353" s="646"/>
      <c r="N353" s="646"/>
      <c r="O353" s="646"/>
      <c r="P353" s="646"/>
    </row>
    <row r="354" spans="1:16" x14ac:dyDescent="0.15">
      <c r="A354" s="657" t="str">
        <f>[9]Роспись!A324</f>
        <v>Заработная плата</v>
      </c>
      <c r="B354" s="654" t="str">
        <f>[9]Роспись!B324</f>
        <v>056</v>
      </c>
      <c r="C354" s="654" t="str">
        <f>[9]Роспись!C324</f>
        <v>08</v>
      </c>
      <c r="D354" s="654" t="str">
        <f>[9]Роспись!D324</f>
        <v>01</v>
      </c>
      <c r="E354" s="654">
        <f>[9]Роспись!E324</f>
        <v>4429901</v>
      </c>
      <c r="F354" s="654" t="str">
        <f>[9]Роспись!F324</f>
        <v>001</v>
      </c>
      <c r="G354" s="654">
        <f>[9]Роспись!G324</f>
        <v>211</v>
      </c>
      <c r="H354" s="648">
        <f>[9]Роспись!H324</f>
        <v>21446.1</v>
      </c>
      <c r="I354" s="656">
        <f>[9]Финансирование!I354+[9]Финансирование!J354+[9]Финансирование!K354+[9]Финансирование!L354+[9]Финансирование!M354+[9]Финансирование!N354+[9]Финансирование!O354+[9]Финансирование!P354</f>
        <v>9889.51</v>
      </c>
      <c r="J354" s="656">
        <f>[9]Финансирование!Q354+[9]Финансирование!T354+[9]Финансирование!U354+[9]Финансирование!V354+[9]Финансирование!W354+[9]Финансирование!X354+[9]Финансирование!Y354+[9]Финансирование!Z354</f>
        <v>11556.59</v>
      </c>
      <c r="K354" s="656">
        <f>H354-I354-J354</f>
        <v>0</v>
      </c>
      <c r="L354" s="635">
        <v>11533.181</v>
      </c>
      <c r="M354" s="658">
        <f>L354-J354</f>
        <v>-23.408999999999651</v>
      </c>
    </row>
    <row r="355" spans="1:16" x14ac:dyDescent="0.15">
      <c r="A355" s="657" t="str">
        <f>[9]Роспись!A325</f>
        <v xml:space="preserve">Прочие выплаты </v>
      </c>
      <c r="B355" s="654" t="str">
        <f>[9]Роспись!B325</f>
        <v>056</v>
      </c>
      <c r="C355" s="654" t="str">
        <f>[9]Роспись!C325</f>
        <v>08</v>
      </c>
      <c r="D355" s="654" t="str">
        <f>[9]Роспись!D325</f>
        <v>01</v>
      </c>
      <c r="E355" s="654">
        <f>[9]Роспись!E325</f>
        <v>4429901</v>
      </c>
      <c r="F355" s="654" t="str">
        <f>[9]Роспись!F325</f>
        <v>001</v>
      </c>
      <c r="G355" s="654">
        <f>[9]Роспись!G325</f>
        <v>212</v>
      </c>
      <c r="H355" s="648">
        <f>[9]Роспись!H325</f>
        <v>0</v>
      </c>
      <c r="I355" s="656">
        <f>[9]Финансирование!I355+[9]Финансирование!J355+[9]Финансирование!K355+[9]Финансирование!L355+[9]Финансирование!M355+[9]Финансирование!N355+[9]Финансирование!O355+[9]Финансирование!P355</f>
        <v>0</v>
      </c>
      <c r="J355" s="656">
        <f>[9]Финансирование!Q355+[9]Финансирование!T355+[9]Финансирование!U355+[9]Финансирование!V355+[9]Финансирование!W355+[9]Финансирование!X355+[9]Финансирование!Y355+[9]Финансирование!Z355</f>
        <v>0</v>
      </c>
      <c r="K355" s="656">
        <f t="shared" ref="K355:K366" si="31">H355-I355-J355</f>
        <v>0</v>
      </c>
      <c r="M355" s="658">
        <f>L355-J355</f>
        <v>0</v>
      </c>
    </row>
    <row r="356" spans="1:16" x14ac:dyDescent="0.15">
      <c r="A356" s="657" t="str">
        <f>[9]Роспись!A326</f>
        <v>Начисления на оплату труда</v>
      </c>
      <c r="B356" s="654" t="str">
        <f>[9]Роспись!B326</f>
        <v>056</v>
      </c>
      <c r="C356" s="654" t="str">
        <f>[9]Роспись!C326</f>
        <v>08</v>
      </c>
      <c r="D356" s="654" t="str">
        <f>[9]Роспись!D326</f>
        <v>01</v>
      </c>
      <c r="E356" s="654">
        <f>[9]Роспись!E326</f>
        <v>4429901</v>
      </c>
      <c r="F356" s="654" t="str">
        <f>[9]Роспись!F326</f>
        <v>001</v>
      </c>
      <c r="G356" s="654">
        <f>[9]Роспись!G326</f>
        <v>213</v>
      </c>
      <c r="H356" s="648">
        <f>[9]Роспись!H326</f>
        <v>6476.7</v>
      </c>
      <c r="I356" s="656">
        <f>[9]Финансирование!I356+[9]Финансирование!J356+[9]Финансирование!K356+[9]Финансирование!L356+[9]Финансирование!M356+[9]Финансирование!N356+[9]Финансирование!O356+[9]Финансирование!P356</f>
        <v>3198.65</v>
      </c>
      <c r="J356" s="656">
        <f>[9]Финансирование!Q356+[9]Финансирование!T356+[9]Финансирование!U356+[9]Финансирование!V356+[9]Финансирование!W356+[9]Финансирование!X356+[9]Финансирование!Y356+[9]Финансирование!Z356</f>
        <v>3223.5390000000002</v>
      </c>
      <c r="K356" s="656">
        <f t="shared" si="31"/>
        <v>54.510999999999513</v>
      </c>
      <c r="L356" s="635">
        <v>3175.7730000000001</v>
      </c>
      <c r="M356" s="658">
        <f>L356-J356</f>
        <v>-47.766000000000076</v>
      </c>
      <c r="N356" s="635">
        <v>54.511000000000003</v>
      </c>
    </row>
    <row r="357" spans="1:16" x14ac:dyDescent="0.15">
      <c r="A357" s="657" t="str">
        <f>[9]Роспись!A327</f>
        <v xml:space="preserve">Оплата услуг связи </v>
      </c>
      <c r="B357" s="654" t="str">
        <f>[9]Роспись!B327</f>
        <v>056</v>
      </c>
      <c r="C357" s="654" t="str">
        <f>[9]Роспись!C327</f>
        <v>08</v>
      </c>
      <c r="D357" s="654" t="str">
        <f>[9]Роспись!D327</f>
        <v>01</v>
      </c>
      <c r="E357" s="654">
        <f>[9]Роспись!E327</f>
        <v>4429901</v>
      </c>
      <c r="F357" s="654" t="str">
        <f>[9]Роспись!F327</f>
        <v>001</v>
      </c>
      <c r="G357" s="654">
        <f>[9]Роспись!G327</f>
        <v>221</v>
      </c>
      <c r="H357" s="648">
        <f>[9]Роспись!H327</f>
        <v>51</v>
      </c>
      <c r="I357" s="656">
        <f>[9]Финансирование!I357+[9]Финансирование!J357+[9]Финансирование!K357+[9]Финансирование!L357+[9]Финансирование!M357+[9]Финансирование!N357+[9]Финансирование!O357+[9]Финансирование!P357</f>
        <v>12.75</v>
      </c>
      <c r="J357" s="656">
        <f>[9]Финансирование!Q357+[9]Финансирование!T357+[9]Финансирование!U357+[9]Финансирование!V357+[9]Финансирование!W357+[9]Финансирование!X357+[9]Финансирование!Y357+[9]Финансирование!Z357</f>
        <v>38.25</v>
      </c>
      <c r="K357" s="656">
        <f t="shared" si="31"/>
        <v>0</v>
      </c>
      <c r="M357" s="658"/>
    </row>
    <row r="358" spans="1:16" x14ac:dyDescent="0.15">
      <c r="A358" s="657" t="str">
        <f>[9]Роспись!A328</f>
        <v>Транспортные услуги</v>
      </c>
      <c r="B358" s="654" t="str">
        <f>[9]Роспись!B328</f>
        <v>056</v>
      </c>
      <c r="C358" s="654" t="str">
        <f>[9]Роспись!C328</f>
        <v>08</v>
      </c>
      <c r="D358" s="654" t="str">
        <f>[9]Роспись!D328</f>
        <v>01</v>
      </c>
      <c r="E358" s="654">
        <f>[9]Роспись!E328</f>
        <v>4429901</v>
      </c>
      <c r="F358" s="654" t="str">
        <f>[9]Роспись!F328</f>
        <v>001</v>
      </c>
      <c r="G358" s="654">
        <f>[9]Роспись!G328</f>
        <v>222</v>
      </c>
      <c r="H358" s="648">
        <f>[9]Роспись!H328</f>
        <v>0</v>
      </c>
      <c r="I358" s="656">
        <f>[9]Финансирование!I358+[9]Финансирование!J358+[9]Финансирование!K358+[9]Финансирование!L358+[9]Финансирование!M358+[9]Финансирование!N358+[9]Финансирование!O358+[9]Финансирование!P358</f>
        <v>0</v>
      </c>
      <c r="J358" s="656">
        <f>[9]Финансирование!Q358+[9]Финансирование!T358+[9]Финансирование!U358+[9]Финансирование!V358+[9]Финансирование!W358+[9]Финансирование!X358+[9]Финансирование!Y358+[9]Финансирование!Z358</f>
        <v>0</v>
      </c>
      <c r="K358" s="656">
        <f t="shared" si="31"/>
        <v>0</v>
      </c>
      <c r="M358" s="658"/>
    </row>
    <row r="359" spans="1:16" x14ac:dyDescent="0.15">
      <c r="A359" s="657" t="str">
        <f>[9]Роспись!A329</f>
        <v>Коммунальные услуги</v>
      </c>
      <c r="B359" s="654" t="str">
        <f>[9]Роспись!B329</f>
        <v>056</v>
      </c>
      <c r="C359" s="654" t="str">
        <f>[9]Роспись!C329</f>
        <v>08</v>
      </c>
      <c r="D359" s="654" t="str">
        <f>[9]Роспись!D329</f>
        <v>01</v>
      </c>
      <c r="E359" s="654">
        <f>[9]Роспись!E329</f>
        <v>4429901</v>
      </c>
      <c r="F359" s="654" t="str">
        <f>[9]Роспись!F329</f>
        <v>001</v>
      </c>
      <c r="G359" s="654">
        <f>[9]Роспись!G329</f>
        <v>223</v>
      </c>
      <c r="H359" s="648">
        <f>[9]Роспись!H329</f>
        <v>1840</v>
      </c>
      <c r="I359" s="656">
        <f>[9]Финансирование!I359+[9]Финансирование!J359+[9]Финансирование!K359+[9]Финансирование!L359+[9]Финансирование!M359+[9]Финансирование!N359+[9]Финансирование!O359+[9]Финансирование!P359</f>
        <v>808.33</v>
      </c>
      <c r="J359" s="656">
        <f>[9]Финансирование!Q359+[9]Финансирование!T359+[9]Финансирование!U359+[9]Финансирование!V359+[9]Финансирование!W359+[9]Финансирование!X359+[9]Финансирование!Y359+[9]Финансирование!Z359</f>
        <v>907.14100000000008</v>
      </c>
      <c r="K359" s="656">
        <f t="shared" si="31"/>
        <v>124.529</v>
      </c>
      <c r="L359" s="635">
        <v>907.14099999999996</v>
      </c>
      <c r="M359" s="658">
        <f>L359-J359</f>
        <v>0</v>
      </c>
    </row>
    <row r="360" spans="1:16" x14ac:dyDescent="0.15">
      <c r="A360" s="657" t="str">
        <f>[9]Роспись!A330</f>
        <v>Арендная плата</v>
      </c>
      <c r="B360" s="654" t="str">
        <f>[9]Роспись!B330</f>
        <v>056</v>
      </c>
      <c r="C360" s="654" t="str">
        <f>[9]Роспись!C330</f>
        <v>08</v>
      </c>
      <c r="D360" s="654" t="str">
        <f>[9]Роспись!D330</f>
        <v>01</v>
      </c>
      <c r="E360" s="654">
        <f>[9]Роспись!E330</f>
        <v>4429901</v>
      </c>
      <c r="F360" s="654" t="str">
        <f>[9]Роспись!F330</f>
        <v>001</v>
      </c>
      <c r="G360" s="654">
        <f>[9]Роспись!G330</f>
        <v>224</v>
      </c>
      <c r="H360" s="648">
        <f>[9]Роспись!H330</f>
        <v>0</v>
      </c>
      <c r="I360" s="656">
        <f>[9]Финансирование!I360+[9]Финансирование!J360+[9]Финансирование!K360+[9]Финансирование!L360+[9]Финансирование!M360+[9]Финансирование!N360+[9]Финансирование!O360+[9]Финансирование!P360</f>
        <v>0</v>
      </c>
      <c r="J360" s="656">
        <f>[9]Финансирование!Q360+[9]Финансирование!T360+[9]Финансирование!U360+[9]Финансирование!V360+[9]Финансирование!W360+[9]Финансирование!X360+[9]Финансирование!Y360+[9]Финансирование!Z360</f>
        <v>0</v>
      </c>
      <c r="K360" s="656">
        <f t="shared" si="31"/>
        <v>0</v>
      </c>
      <c r="L360" s="659"/>
      <c r="M360" s="658"/>
      <c r="N360" s="659"/>
      <c r="O360" s="659"/>
      <c r="P360" s="659"/>
    </row>
    <row r="361" spans="1:16" x14ac:dyDescent="0.15">
      <c r="A361" s="657" t="str">
        <f>[9]Роспись!A331</f>
        <v>Услуги по содерж. имущества</v>
      </c>
      <c r="B361" s="654" t="str">
        <f>[9]Роспись!B331</f>
        <v>056</v>
      </c>
      <c r="C361" s="654" t="str">
        <f>[9]Роспись!C331</f>
        <v>08</v>
      </c>
      <c r="D361" s="654" t="str">
        <f>[9]Роспись!D331</f>
        <v>01</v>
      </c>
      <c r="E361" s="654">
        <f>[9]Роспись!E331</f>
        <v>4429901</v>
      </c>
      <c r="F361" s="654" t="str">
        <f>[9]Роспись!F331</f>
        <v>001</v>
      </c>
      <c r="G361" s="654">
        <f>[9]Роспись!G331</f>
        <v>225</v>
      </c>
      <c r="H361" s="648">
        <f>[9]Роспись!H331</f>
        <v>1680</v>
      </c>
      <c r="I361" s="656">
        <f>[9]Финансирование!I361+[9]Финансирование!J361+[9]Финансирование!K361+[9]Финансирование!L361+[9]Финансирование!M361+[9]Финансирование!N361+[9]Финансирование!O361+[9]Финансирование!P361</f>
        <v>420</v>
      </c>
      <c r="J361" s="656">
        <f>[9]Финансирование!Q361+[9]Финансирование!T361+[9]Финансирование!U361+[9]Финансирование!V361+[9]Финансирование!W361+[9]Финансирование!X361+[9]Финансирование!Y361+[9]Финансирование!Z361</f>
        <v>1258.2460000000001</v>
      </c>
      <c r="K361" s="656">
        <f t="shared" si="31"/>
        <v>1.7539999999999054</v>
      </c>
      <c r="L361" s="635">
        <v>1258.2460000000001</v>
      </c>
      <c r="M361" s="658">
        <f>L361-J361</f>
        <v>0</v>
      </c>
    </row>
    <row r="362" spans="1:16" x14ac:dyDescent="0.15">
      <c r="A362" s="657" t="str">
        <f>[9]Роспись!A332</f>
        <v>Прочие услуги</v>
      </c>
      <c r="B362" s="654" t="str">
        <f>[9]Роспись!B332</f>
        <v>056</v>
      </c>
      <c r="C362" s="654" t="str">
        <f>[9]Роспись!C332</f>
        <v>08</v>
      </c>
      <c r="D362" s="654" t="str">
        <f>[9]Роспись!D332</f>
        <v>01</v>
      </c>
      <c r="E362" s="654">
        <f>[9]Роспись!E332</f>
        <v>4429901</v>
      </c>
      <c r="F362" s="654" t="str">
        <f>[9]Роспись!F332</f>
        <v>001</v>
      </c>
      <c r="G362" s="654">
        <f>[9]Роспись!G332</f>
        <v>226</v>
      </c>
      <c r="H362" s="648">
        <f>[9]Роспись!H332</f>
        <v>1121</v>
      </c>
      <c r="I362" s="656">
        <f>[9]Финансирование!I362+[9]Финансирование!J362+[9]Финансирование!K362+[9]Финансирование!L362+[9]Финансирование!M362+[9]Финансирование!N362+[9]Финансирование!O362+[9]Финансирование!P362</f>
        <v>416.78999999999996</v>
      </c>
      <c r="J362" s="656">
        <f>[9]Финансирование!Q362+[9]Финансирование!T362+[9]Финансирование!U362+[9]Финансирование!V362+[9]Финансирование!W362+[9]Финансирование!X362+[9]Финансирование!Y362+[9]Финансирование!Z362</f>
        <v>701.32400000000007</v>
      </c>
      <c r="K362" s="656">
        <f t="shared" si="31"/>
        <v>2.8859999999999673</v>
      </c>
      <c r="L362" s="635">
        <v>701.32399999999996</v>
      </c>
      <c r="M362" s="658">
        <f>L362-J362</f>
        <v>0</v>
      </c>
    </row>
    <row r="363" spans="1:16" x14ac:dyDescent="0.15">
      <c r="A363" s="657" t="str">
        <f>[9]Роспись!A333</f>
        <v xml:space="preserve">Прочие расходы </v>
      </c>
      <c r="B363" s="654" t="str">
        <f>[9]Роспись!B333</f>
        <v>056</v>
      </c>
      <c r="C363" s="654" t="str">
        <f>[9]Роспись!C333</f>
        <v>08</v>
      </c>
      <c r="D363" s="654" t="str">
        <f>[9]Роспись!D333</f>
        <v>01</v>
      </c>
      <c r="E363" s="654">
        <f>[9]Роспись!E333</f>
        <v>4429901</v>
      </c>
      <c r="F363" s="654" t="str">
        <f>[9]Роспись!F333</f>
        <v>001</v>
      </c>
      <c r="G363" s="654">
        <f>[9]Роспись!G333</f>
        <v>290</v>
      </c>
      <c r="H363" s="648">
        <f>[9]Роспись!H333</f>
        <v>44.6</v>
      </c>
      <c r="I363" s="656">
        <f>[9]Финансирование!I363+[9]Финансирование!J363+[9]Финансирование!K363+[9]Финансирование!L363+[9]Финансирование!M363+[9]Финансирование!N363+[9]Финансирование!O363+[9]Финансирование!P363</f>
        <v>22.4</v>
      </c>
      <c r="J363" s="656">
        <f>[9]Финансирование!Q363+[9]Финансирование!T363+[9]Финансирование!U363+[9]Финансирование!V363+[9]Финансирование!W363+[9]Финансирование!X363+[9]Финансирование!Y363+[9]Финансирование!Z363</f>
        <v>22.200000000000003</v>
      </c>
      <c r="K363" s="656">
        <f t="shared" si="31"/>
        <v>0</v>
      </c>
      <c r="M363" s="658"/>
    </row>
    <row r="364" spans="1:16" x14ac:dyDescent="0.15">
      <c r="A364" s="657" t="str">
        <f>[9]Роспись!A334</f>
        <v xml:space="preserve">Прочие расходы </v>
      </c>
      <c r="B364" s="654" t="str">
        <f>[9]Роспись!B334</f>
        <v>056</v>
      </c>
      <c r="C364" s="654" t="str">
        <f>[9]Роспись!C334</f>
        <v>08</v>
      </c>
      <c r="D364" s="654" t="str">
        <f>[9]Роспись!D334</f>
        <v>01</v>
      </c>
      <c r="E364" s="654" t="str">
        <f>[9]Роспись!E334</f>
        <v>4429500</v>
      </c>
      <c r="F364" s="654" t="str">
        <f>[9]Роспись!F334</f>
        <v>001</v>
      </c>
      <c r="G364" s="654" t="str">
        <f>[9]Роспись!G334</f>
        <v>290</v>
      </c>
      <c r="H364" s="648">
        <f>[9]Роспись!H334</f>
        <v>2239.6</v>
      </c>
      <c r="I364" s="656">
        <f>[9]Финансирование!I364+[9]Финансирование!J364+[9]Финансирование!K364+[9]Финансирование!L364+[9]Финансирование!M364+[9]Финансирование!N364+[9]Финансирование!O364+[9]Финансирование!P364</f>
        <v>1119.8</v>
      </c>
      <c r="J364" s="656">
        <f>[9]Финансирование!Q364+[9]Финансирование!T364+[9]Финансирование!U364+[9]Финансирование!V364+[9]Финансирование!W364+[9]Финансирование!X364+[9]Финансирование!Y364+[9]Финансирование!Z364</f>
        <v>1119.8000000000002</v>
      </c>
      <c r="K364" s="656">
        <f t="shared" si="31"/>
        <v>0</v>
      </c>
      <c r="M364" s="658"/>
    </row>
    <row r="365" spans="1:16" x14ac:dyDescent="0.15">
      <c r="A365" s="657" t="str">
        <f>[9]Роспись!A335</f>
        <v>Увелич. стоимости осн. средств</v>
      </c>
      <c r="B365" s="654" t="str">
        <f>[9]Роспись!B335</f>
        <v>056</v>
      </c>
      <c r="C365" s="654" t="str">
        <f>[9]Роспись!C335</f>
        <v>08</v>
      </c>
      <c r="D365" s="654" t="str">
        <f>[9]Роспись!D335</f>
        <v>01</v>
      </c>
      <c r="E365" s="654">
        <f>[9]Роспись!E335</f>
        <v>4429901</v>
      </c>
      <c r="F365" s="654" t="str">
        <f>[9]Роспись!F335</f>
        <v>001</v>
      </c>
      <c r="G365" s="654">
        <f>[9]Роспись!G335</f>
        <v>310</v>
      </c>
      <c r="H365" s="648">
        <f>[9]Роспись!H335</f>
        <v>50</v>
      </c>
      <c r="I365" s="656">
        <f>[9]Финансирование!I365+[9]Финансирование!J365+[9]Финансирование!K365+[9]Финансирование!L365+[9]Финансирование!M365+[9]Финансирование!N365+[9]Финансирование!O365+[9]Финансирование!P365</f>
        <v>0</v>
      </c>
      <c r="J365" s="656">
        <f>[9]Финансирование!Q365+[9]Финансирование!T365+[9]Финансирование!U365+[9]Финансирование!V365+[9]Финансирование!W365+[9]Финансирование!X365+[9]Финансирование!Y365+[9]Финансирование!Z365</f>
        <v>50</v>
      </c>
      <c r="K365" s="656">
        <f t="shared" si="31"/>
        <v>0</v>
      </c>
      <c r="M365" s="658"/>
    </row>
    <row r="366" spans="1:16" x14ac:dyDescent="0.15">
      <c r="A366" s="657" t="str">
        <f>[9]Роспись!A336</f>
        <v>Увелич. стоимости матер. запасов</v>
      </c>
      <c r="B366" s="654" t="str">
        <f>[9]Роспись!B336</f>
        <v>056</v>
      </c>
      <c r="C366" s="654" t="str">
        <f>[9]Роспись!C336</f>
        <v>08</v>
      </c>
      <c r="D366" s="654" t="str">
        <f>[9]Роспись!D336</f>
        <v>01</v>
      </c>
      <c r="E366" s="654">
        <f>[9]Роспись!E336</f>
        <v>4429901</v>
      </c>
      <c r="F366" s="654" t="str">
        <f>[9]Роспись!F336</f>
        <v>001</v>
      </c>
      <c r="G366" s="654">
        <f>[9]Роспись!G336</f>
        <v>340</v>
      </c>
      <c r="H366" s="648">
        <f>[9]Роспись!H336</f>
        <v>218</v>
      </c>
      <c r="I366" s="656">
        <f>[9]Финансирование!I366+[9]Финансирование!J366+[9]Финансирование!K366+[9]Финансирование!L366+[9]Финансирование!M366+[9]Финансирование!N366+[9]Финансирование!O366+[9]Финансирование!P366</f>
        <v>72.570000000000007</v>
      </c>
      <c r="J366" s="656">
        <f>[9]Финансирование!Q366+[9]Финансирование!T366+[9]Финансирование!U366+[9]Финансирование!V366+[9]Финансирование!W366+[9]Финансирование!X366+[9]Финансирование!Y366+[9]Финансирование!Z366</f>
        <v>145.43</v>
      </c>
      <c r="K366" s="656">
        <f t="shared" si="31"/>
        <v>0</v>
      </c>
      <c r="M366" s="658"/>
    </row>
    <row r="367" spans="1:16" x14ac:dyDescent="0.15">
      <c r="A367" s="653" t="s">
        <v>98</v>
      </c>
      <c r="B367" s="662" t="s">
        <v>79</v>
      </c>
      <c r="C367" s="662" t="s">
        <v>80</v>
      </c>
      <c r="D367" s="662" t="s">
        <v>125</v>
      </c>
      <c r="E367" s="662" t="s">
        <v>215</v>
      </c>
      <c r="F367" s="662" t="s">
        <v>102</v>
      </c>
      <c r="G367" s="691"/>
      <c r="H367" s="643">
        <f>SUM(H354:H366)</f>
        <v>35167</v>
      </c>
      <c r="I367" s="664">
        <f>SUM(I354:I366)</f>
        <v>15960.799999999997</v>
      </c>
      <c r="J367" s="664">
        <f>SUM(J354:J366)</f>
        <v>19022.52</v>
      </c>
      <c r="K367" s="665">
        <f>SUM(K354:K366)</f>
        <v>183.67999999999938</v>
      </c>
      <c r="L367" s="678"/>
      <c r="M367" s="678"/>
      <c r="N367" s="678"/>
      <c r="O367" s="678"/>
      <c r="P367" s="678"/>
    </row>
    <row r="368" spans="1:16" ht="52" x14ac:dyDescent="0.15">
      <c r="A368" s="692" t="str">
        <f>'[9]Новая роспись'!A384</f>
        <v>Субсидия на финансовое обеспечение государственного задания на оказание государственных услуг (выполнение работ)</v>
      </c>
      <c r="B368" s="666"/>
      <c r="C368" s="666"/>
      <c r="D368" s="666"/>
      <c r="E368" s="666"/>
      <c r="F368" s="692">
        <f>'[9]Новая роспись'!F384</f>
        <v>611</v>
      </c>
      <c r="G368" s="692" t="str">
        <f>'[9]Новая роспись'!G384</f>
        <v>241</v>
      </c>
      <c r="H368" s="645">
        <f>'[9]Новая роспись'!H384</f>
        <v>19206.2</v>
      </c>
      <c r="I368" s="648">
        <f>[9]Финансирование!I368+[9]Финансирование!J368+[9]Финансирование!K368+[9]Финансирование!L368+[9]Финансирование!M368+[9]Финансирование!N368+[9]Финансирование!O368+[9]Финансирование!P368+[9]Финансирование!Q368+[9]Финансирование!T368+[9]Финансирование!U368+[9]Финансирование!V368+[9]Финансирование!W368+[9]Финансирование!X368+[9]Финансирование!Y368+[9]Финансирование!Z368</f>
        <v>16426.075000000001</v>
      </c>
      <c r="J368" s="648"/>
      <c r="K368" s="648">
        <f>H368-I368</f>
        <v>2780.125</v>
      </c>
      <c r="L368" s="678"/>
      <c r="M368" s="678"/>
      <c r="N368" s="678"/>
      <c r="O368" s="678"/>
      <c r="P368" s="678"/>
    </row>
    <row r="369" spans="1:16" x14ac:dyDescent="0.15">
      <c r="A369" s="682" t="s">
        <v>135</v>
      </c>
      <c r="B369" s="683"/>
      <c r="C369" s="683"/>
      <c r="D369" s="683"/>
      <c r="E369" s="683"/>
      <c r="F369" s="683"/>
      <c r="G369" s="684"/>
      <c r="H369" s="648"/>
      <c r="I369" s="685">
        <f>[9]Финансирование!I369+[9]Финансирование!J369+[9]Финансирование!K369+[9]Финансирование!L369+[9]Финансирование!M369+[9]Финансирование!N369+[9]Финансирование!O369+[9]Финансирование!P369+[9]Финансирование!Q369+[9]Финансирование!T369+[9]Финансирование!U369+[9]Финансирование!V369+[9]Финансирование!W369+[9]Финансирование!X369+[9]Финансирование!Y369+[9]Финансирование!Z369</f>
        <v>0</v>
      </c>
      <c r="J369" s="685"/>
      <c r="K369" s="685"/>
      <c r="L369" s="646"/>
      <c r="M369" s="646"/>
      <c r="N369" s="646"/>
      <c r="O369" s="646"/>
      <c r="P369" s="646"/>
    </row>
    <row r="370" spans="1:16" x14ac:dyDescent="0.15">
      <c r="A370" s="686" t="str">
        <f>[9]Роспись!A339</f>
        <v>Заработная плата</v>
      </c>
      <c r="B370" s="687" t="str">
        <f>[9]Роспись!B339</f>
        <v>056</v>
      </c>
      <c r="C370" s="687" t="str">
        <f>[9]Роспись!C339</f>
        <v>08</v>
      </c>
      <c r="D370" s="687" t="str">
        <f>[9]Роспись!D339</f>
        <v>01</v>
      </c>
      <c r="E370" s="687">
        <f>[9]Роспись!E339</f>
        <v>4429901</v>
      </c>
      <c r="F370" s="687" t="str">
        <f>[9]Роспись!F339</f>
        <v>001</v>
      </c>
      <c r="G370" s="687">
        <f>[9]Роспись!G339</f>
        <v>211</v>
      </c>
      <c r="H370" s="648">
        <f>[9]Роспись!H339</f>
        <v>5779.5</v>
      </c>
      <c r="I370" s="685">
        <f>[9]Финансирование!I370+[9]Финансирование!J370+[9]Финансирование!K370+[9]Финансирование!L370+[9]Финансирование!M370+[9]Финансирование!N370+[9]Финансирование!O370+[9]Финансирование!P370</f>
        <v>2665.11</v>
      </c>
      <c r="J370" s="685">
        <f>[9]Финансирование!Q370+[9]Финансирование!T370+[9]Финансирование!U370+[9]Финансирование!V370+[9]Финансирование!W370+[9]Финансирование!X370+[9]Финансирование!Y370+[9]Финансирование!Z370</f>
        <v>3114.3900000000012</v>
      </c>
      <c r="K370" s="685">
        <f>H370-I370-J370</f>
        <v>0</v>
      </c>
      <c r="L370" s="635">
        <v>3090.0720000000001</v>
      </c>
    </row>
    <row r="371" spans="1:16" x14ac:dyDescent="0.15">
      <c r="A371" s="686" t="str">
        <f>[9]Роспись!A280</f>
        <v>Прочие выплаты</v>
      </c>
      <c r="B371" s="687" t="str">
        <f>[9]Роспись!B340</f>
        <v>056</v>
      </c>
      <c r="C371" s="687" t="str">
        <f>[9]Роспись!C340</f>
        <v>08</v>
      </c>
      <c r="D371" s="687" t="str">
        <f>[9]Роспись!D340</f>
        <v>01</v>
      </c>
      <c r="E371" s="687">
        <f>[9]Роспись!E340</f>
        <v>4429901</v>
      </c>
      <c r="F371" s="687" t="str">
        <f>[9]Роспись!F340</f>
        <v>001</v>
      </c>
      <c r="G371" s="687">
        <f>[9]Роспись!G340</f>
        <v>212</v>
      </c>
      <c r="H371" s="648">
        <f>[9]Роспись!H340</f>
        <v>3</v>
      </c>
      <c r="I371" s="685">
        <f>[9]Финансирование!I371+[9]Финансирование!J371+[9]Финансирование!K371+[9]Финансирование!L371+[9]Финансирование!M371+[9]Финансирование!N371+[9]Финансирование!O371+[9]Финансирование!P371</f>
        <v>1.25</v>
      </c>
      <c r="J371" s="685">
        <f>[9]Финансирование!Q371+[9]Финансирование!T371+[9]Финансирование!U371+[9]Финансирование!V371+[9]Финансирование!W371+[9]Финансирование!X371+[9]Финансирование!Y371+[9]Финансирование!Z371</f>
        <v>1.75</v>
      </c>
      <c r="K371" s="685">
        <f t="shared" ref="K371:K382" si="32">H371-I371-J371</f>
        <v>0</v>
      </c>
    </row>
    <row r="372" spans="1:16" x14ac:dyDescent="0.15">
      <c r="A372" s="686" t="str">
        <f>[9]Роспись!A341</f>
        <v>Начисления на оплату труда</v>
      </c>
      <c r="B372" s="687" t="str">
        <f>[9]Роспись!B341</f>
        <v>056</v>
      </c>
      <c r="C372" s="687" t="str">
        <f>[9]Роспись!C341</f>
        <v>08</v>
      </c>
      <c r="D372" s="687" t="str">
        <f>[9]Роспись!D341</f>
        <v>01</v>
      </c>
      <c r="E372" s="687">
        <f>[9]Роспись!E341</f>
        <v>4429901</v>
      </c>
      <c r="F372" s="687" t="str">
        <f>[9]Роспись!F341</f>
        <v>001</v>
      </c>
      <c r="G372" s="687">
        <f>[9]Роспись!G341</f>
        <v>213</v>
      </c>
      <c r="H372" s="648">
        <f>[9]Роспись!H341</f>
        <v>1745.5</v>
      </c>
      <c r="I372" s="685">
        <f>[9]Финансирование!I372+[9]Финансирование!J372+[9]Финансирование!K372+[9]Финансирование!L372+[9]Финансирование!M372+[9]Финансирование!N372+[9]Финансирование!O372+[9]Финансирование!P372</f>
        <v>864.1400000000001</v>
      </c>
      <c r="J372" s="685">
        <f>[9]Финансирование!Q372+[9]Финансирование!T372+[9]Финансирование!U372+[9]Финансирование!V372+[9]Финансирование!W372+[9]Финансирование!X372+[9]Финансирование!Y372+[9]Финансирование!Z372</f>
        <v>799.01199999999994</v>
      </c>
      <c r="K372" s="685">
        <f t="shared" si="32"/>
        <v>82.347999999999956</v>
      </c>
      <c r="L372" s="635">
        <v>763.88199999999995</v>
      </c>
    </row>
    <row r="373" spans="1:16" x14ac:dyDescent="0.15">
      <c r="A373" s="686" t="str">
        <f>[9]Роспись!A342</f>
        <v xml:space="preserve">Оплата услуг связи </v>
      </c>
      <c r="B373" s="687" t="str">
        <f>[9]Роспись!B342</f>
        <v>056</v>
      </c>
      <c r="C373" s="687" t="str">
        <f>[9]Роспись!C342</f>
        <v>08</v>
      </c>
      <c r="D373" s="687" t="str">
        <f>[9]Роспись!D342</f>
        <v>01</v>
      </c>
      <c r="E373" s="687">
        <f>[9]Роспись!E342</f>
        <v>4429901</v>
      </c>
      <c r="F373" s="687" t="str">
        <f>[9]Роспись!F342</f>
        <v>001</v>
      </c>
      <c r="G373" s="687">
        <f>[9]Роспись!G342</f>
        <v>221</v>
      </c>
      <c r="H373" s="648">
        <f>[9]Роспись!H342</f>
        <v>33</v>
      </c>
      <c r="I373" s="685">
        <f>[9]Финансирование!I373+[9]Финансирование!J373+[9]Финансирование!K373+[9]Финансирование!L373+[9]Финансирование!M373+[9]Финансирование!N373+[9]Финансирование!O373+[9]Финансирование!P373</f>
        <v>8.3000000000000007</v>
      </c>
      <c r="J373" s="685">
        <f>[9]Финансирование!Q373+[9]Финансирование!T373+[9]Финансирование!U373+[9]Финансирование!V373+[9]Финансирование!W373+[9]Финансирование!X373+[9]Финансирование!Y373+[9]Финансирование!Z373</f>
        <v>24.7</v>
      </c>
      <c r="K373" s="685">
        <f t="shared" si="32"/>
        <v>0</v>
      </c>
    </row>
    <row r="374" spans="1:16" x14ac:dyDescent="0.15">
      <c r="A374" s="686" t="str">
        <f>[9]Роспись!A343</f>
        <v>Транспортные услуги</v>
      </c>
      <c r="B374" s="687" t="str">
        <f>[9]Роспись!B343</f>
        <v>056</v>
      </c>
      <c r="C374" s="687" t="str">
        <f>[9]Роспись!C343</f>
        <v>08</v>
      </c>
      <c r="D374" s="687" t="str">
        <f>[9]Роспись!D343</f>
        <v>01</v>
      </c>
      <c r="E374" s="687">
        <f>[9]Роспись!E343</f>
        <v>4429901</v>
      </c>
      <c r="F374" s="687" t="str">
        <f>[9]Роспись!F343</f>
        <v>001</v>
      </c>
      <c r="G374" s="687">
        <f>[9]Роспись!G343</f>
        <v>222</v>
      </c>
      <c r="H374" s="648">
        <f>[9]Роспись!H343</f>
        <v>5</v>
      </c>
      <c r="I374" s="685">
        <f>[9]Финансирование!I374+[9]Финансирование!J374+[9]Финансирование!K374+[9]Финансирование!L374+[9]Финансирование!M374+[9]Финансирование!N374+[9]Финансирование!O374+[9]Финансирование!P374</f>
        <v>1.25</v>
      </c>
      <c r="J374" s="685">
        <f>[9]Финансирование!Q374+[9]Финансирование!T374+[9]Финансирование!U374+[9]Финансирование!V374+[9]Финансирование!W374+[9]Финансирование!X374+[9]Финансирование!Y374+[9]Финансирование!Z374</f>
        <v>3.75</v>
      </c>
      <c r="K374" s="685">
        <f t="shared" si="32"/>
        <v>0</v>
      </c>
    </row>
    <row r="375" spans="1:16" x14ac:dyDescent="0.15">
      <c r="A375" s="686" t="str">
        <f>[9]Роспись!A344</f>
        <v>Коммунальные услуги</v>
      </c>
      <c r="B375" s="687" t="str">
        <f>[9]Роспись!B344</f>
        <v>056</v>
      </c>
      <c r="C375" s="687" t="str">
        <f>[9]Роспись!C344</f>
        <v>08</v>
      </c>
      <c r="D375" s="687" t="str">
        <f>[9]Роспись!D344</f>
        <v>01</v>
      </c>
      <c r="E375" s="687">
        <f>[9]Роспись!E344</f>
        <v>4429901</v>
      </c>
      <c r="F375" s="687" t="str">
        <f>[9]Роспись!F344</f>
        <v>001</v>
      </c>
      <c r="G375" s="687">
        <f>[9]Роспись!G344</f>
        <v>223</v>
      </c>
      <c r="H375" s="648">
        <f>[9]Роспись!H344</f>
        <v>200</v>
      </c>
      <c r="I375" s="685">
        <f>[9]Финансирование!I375+[9]Финансирование!J375+[9]Финансирование!K375+[9]Финансирование!L375+[9]Финансирование!M375+[9]Финансирование!N375+[9]Финансирование!O375+[9]Финансирование!P375</f>
        <v>41.669999999999995</v>
      </c>
      <c r="J375" s="685">
        <f>[9]Финансирование!Q375+[9]Финансирование!T375+[9]Финансирование!U375+[9]Финансирование!V375+[9]Финансирование!W375+[9]Финансирование!X375+[9]Финансирование!Y375+[9]Финансирование!Z375</f>
        <v>19.999999999999982</v>
      </c>
      <c r="K375" s="685">
        <f t="shared" si="32"/>
        <v>138.33000000000004</v>
      </c>
    </row>
    <row r="376" spans="1:16" x14ac:dyDescent="0.15">
      <c r="A376" s="686" t="str">
        <f>[9]Роспись!A345</f>
        <v>Арендная плата</v>
      </c>
      <c r="B376" s="687" t="str">
        <f>[9]Роспись!B345</f>
        <v>056</v>
      </c>
      <c r="C376" s="687" t="str">
        <f>[9]Роспись!C345</f>
        <v>08</v>
      </c>
      <c r="D376" s="687" t="str">
        <f>[9]Роспись!D345</f>
        <v>01</v>
      </c>
      <c r="E376" s="687">
        <f>[9]Роспись!E345</f>
        <v>4429901</v>
      </c>
      <c r="F376" s="687" t="str">
        <f>[9]Роспись!F345</f>
        <v>001</v>
      </c>
      <c r="G376" s="687">
        <f>[9]Роспись!G345</f>
        <v>224</v>
      </c>
      <c r="H376" s="648">
        <f>[9]Роспись!H345</f>
        <v>0</v>
      </c>
      <c r="I376" s="685">
        <f>[9]Финансирование!I376+[9]Финансирование!J376+[9]Финансирование!K376+[9]Финансирование!L376+[9]Финансирование!M376+[9]Финансирование!N376+[9]Финансирование!O376+[9]Финансирование!P376</f>
        <v>0</v>
      </c>
      <c r="J376" s="685">
        <f>[9]Финансирование!Q376+[9]Финансирование!T376+[9]Финансирование!U376+[9]Финансирование!V376+[9]Финансирование!W376+[9]Финансирование!X376+[9]Финансирование!Y376+[9]Финансирование!Z376</f>
        <v>0</v>
      </c>
      <c r="K376" s="685">
        <f t="shared" si="32"/>
        <v>0</v>
      </c>
      <c r="L376" s="659"/>
      <c r="M376" s="659"/>
      <c r="N376" s="659"/>
      <c r="O376" s="659"/>
      <c r="P376" s="659"/>
    </row>
    <row r="377" spans="1:16" x14ac:dyDescent="0.15">
      <c r="A377" s="686" t="str">
        <f>[9]Роспись!A346</f>
        <v>Услуги по содерж. имущества</v>
      </c>
      <c r="B377" s="687" t="str">
        <f>[9]Роспись!B346</f>
        <v>056</v>
      </c>
      <c r="C377" s="687" t="str">
        <f>[9]Роспись!C346</f>
        <v>08</v>
      </c>
      <c r="D377" s="687" t="str">
        <f>[9]Роспись!D346</f>
        <v>01</v>
      </c>
      <c r="E377" s="687">
        <f>[9]Роспись!E346</f>
        <v>4429901</v>
      </c>
      <c r="F377" s="687" t="str">
        <f>[9]Роспись!F346</f>
        <v>001</v>
      </c>
      <c r="G377" s="687">
        <f>[9]Роспись!G346</f>
        <v>225</v>
      </c>
      <c r="H377" s="648">
        <f>[9]Роспись!H346</f>
        <v>420</v>
      </c>
      <c r="I377" s="685">
        <f>[9]Финансирование!I377+[9]Финансирование!J377+[9]Финансирование!K377+[9]Финансирование!L377+[9]Финансирование!M377+[9]Финансирование!N377+[9]Финансирование!O377+[9]Финансирование!P377</f>
        <v>105</v>
      </c>
      <c r="J377" s="685">
        <f>[9]Финансирование!Q377+[9]Финансирование!T377+[9]Финансирование!U377+[9]Финансирование!V377+[9]Финансирование!W377+[9]Финансирование!X377+[9]Финансирование!Y377+[9]Финансирование!Z377</f>
        <v>315</v>
      </c>
      <c r="K377" s="685">
        <f t="shared" si="32"/>
        <v>0</v>
      </c>
    </row>
    <row r="378" spans="1:16" x14ac:dyDescent="0.15">
      <c r="A378" s="686" t="str">
        <f>[9]Роспись!A347</f>
        <v>Прочие услуги</v>
      </c>
      <c r="B378" s="687" t="str">
        <f>[9]Роспись!B347</f>
        <v>056</v>
      </c>
      <c r="C378" s="687" t="str">
        <f>[9]Роспись!C347</f>
        <v>08</v>
      </c>
      <c r="D378" s="687" t="str">
        <f>[9]Роспись!D347</f>
        <v>01</v>
      </c>
      <c r="E378" s="687">
        <f>[9]Роспись!E347</f>
        <v>4429901</v>
      </c>
      <c r="F378" s="687" t="str">
        <f>[9]Роспись!F347</f>
        <v>001</v>
      </c>
      <c r="G378" s="687">
        <f>[9]Роспись!G347</f>
        <v>226</v>
      </c>
      <c r="H378" s="648">
        <f>[9]Роспись!H347</f>
        <v>952</v>
      </c>
      <c r="I378" s="685">
        <f>[9]Финансирование!I378+[9]Финансирование!J378+[9]Финансирование!K378+[9]Финансирование!L378+[9]Финансирование!M378+[9]Финансирование!N378+[9]Финансирование!O378+[9]Финансирование!P378</f>
        <v>331.74</v>
      </c>
      <c r="J378" s="685">
        <f>[9]Финансирование!Q378+[9]Финансирование!T378+[9]Финансирование!U378+[9]Финансирование!V378+[9]Финансирование!W378+[9]Финансирование!X378+[9]Финансирование!Y378+[9]Финансирование!Z378</f>
        <v>601.68799999999999</v>
      </c>
      <c r="K378" s="685">
        <f t="shared" si="32"/>
        <v>18.572000000000003</v>
      </c>
    </row>
    <row r="379" spans="1:16" x14ac:dyDescent="0.15">
      <c r="A379" s="686" t="str">
        <f>[9]Роспись!A348</f>
        <v xml:space="preserve">Прочие расходы </v>
      </c>
      <c r="B379" s="687" t="str">
        <f>[9]Роспись!B348</f>
        <v>056</v>
      </c>
      <c r="C379" s="687" t="str">
        <f>[9]Роспись!C348</f>
        <v>08</v>
      </c>
      <c r="D379" s="687" t="str">
        <f>[9]Роспись!D348</f>
        <v>01</v>
      </c>
      <c r="E379" s="687">
        <f>[9]Роспись!E348</f>
        <v>4429901</v>
      </c>
      <c r="F379" s="687" t="str">
        <f>[9]Роспись!F348</f>
        <v>001</v>
      </c>
      <c r="G379" s="687">
        <f>[9]Роспись!G348</f>
        <v>290</v>
      </c>
      <c r="H379" s="648">
        <f>[9]Роспись!H348</f>
        <v>12.5</v>
      </c>
      <c r="I379" s="685">
        <f>[9]Финансирование!I379+[9]Финансирование!J379+[9]Финансирование!K379+[9]Финансирование!L379+[9]Финансирование!M379+[9]Финансирование!N379+[9]Финансирование!O379+[9]Финансирование!P379</f>
        <v>6</v>
      </c>
      <c r="J379" s="685">
        <f>[9]Финансирование!Q379+[9]Финансирование!T379+[9]Финансирование!U379+[9]Финансирование!V379+[9]Финансирование!W379+[9]Финансирование!X379+[9]Финансирование!Y379+[9]Финансирование!Z379</f>
        <v>6.5</v>
      </c>
      <c r="K379" s="685">
        <f t="shared" si="32"/>
        <v>0</v>
      </c>
    </row>
    <row r="380" spans="1:16" x14ac:dyDescent="0.15">
      <c r="A380" s="686" t="str">
        <f>[9]Роспись!A349</f>
        <v xml:space="preserve">Прочие расходы </v>
      </c>
      <c r="B380" s="687" t="str">
        <f>[9]Роспись!B349</f>
        <v>056</v>
      </c>
      <c r="C380" s="687" t="str">
        <f>[9]Роспись!C349</f>
        <v>08</v>
      </c>
      <c r="D380" s="687" t="str">
        <f>[9]Роспись!D349</f>
        <v>01</v>
      </c>
      <c r="E380" s="687" t="str">
        <f>[9]Роспись!E349</f>
        <v>4429500</v>
      </c>
      <c r="F380" s="687" t="str">
        <f>[9]Роспись!F349</f>
        <v>001</v>
      </c>
      <c r="G380" s="687" t="str">
        <f>[9]Роспись!G349</f>
        <v>290</v>
      </c>
      <c r="H380" s="648">
        <f>[9]Роспись!H349</f>
        <v>123.09999999999997</v>
      </c>
      <c r="I380" s="685">
        <f>[9]Финансирование!I380+[9]Финансирование!J380+[9]Финансирование!K380+[9]Финансирование!L380+[9]Финансирование!M380+[9]Финансирование!N380+[9]Финансирование!O380+[9]Финансирование!P380</f>
        <v>82</v>
      </c>
      <c r="J380" s="685">
        <f>[9]Финансирование!Q380+[9]Финансирование!T380+[9]Финансирование!U380+[9]Финансирование!V380+[9]Финансирование!W380+[9]Финансирование!X380+[9]Финансирование!Y380+[9]Финансирование!Z380</f>
        <v>41.099999999999966</v>
      </c>
      <c r="K380" s="685">
        <f t="shared" si="32"/>
        <v>0</v>
      </c>
    </row>
    <row r="381" spans="1:16" x14ac:dyDescent="0.15">
      <c r="A381" s="686" t="str">
        <f>[9]Роспись!A350</f>
        <v>Увелич. стоимости осн. средств</v>
      </c>
      <c r="B381" s="687" t="str">
        <f>[9]Роспись!B350</f>
        <v>056</v>
      </c>
      <c r="C381" s="687" t="str">
        <f>[9]Роспись!C350</f>
        <v>08</v>
      </c>
      <c r="D381" s="687" t="str">
        <f>[9]Роспись!D350</f>
        <v>01</v>
      </c>
      <c r="E381" s="687">
        <f>[9]Роспись!E350</f>
        <v>4429901</v>
      </c>
      <c r="F381" s="687" t="str">
        <f>[9]Роспись!F350</f>
        <v>001</v>
      </c>
      <c r="G381" s="687">
        <f>[9]Роспись!G350</f>
        <v>310</v>
      </c>
      <c r="H381" s="648">
        <f>[9]Роспись!H350</f>
        <v>255</v>
      </c>
      <c r="I381" s="685">
        <f>[9]Финансирование!I381+[9]Финансирование!J381+[9]Финансирование!K381+[9]Финансирование!L381+[9]Финансирование!M381+[9]Финансирование!N381+[9]Финансирование!O381+[9]Финансирование!P381</f>
        <v>0</v>
      </c>
      <c r="J381" s="685">
        <f>[9]Финансирование!Q381+[9]Финансирование!T381+[9]Финансирование!U381+[9]Финансирование!V381+[9]Финансирование!W381+[9]Финансирование!X381+[9]Финансирование!Y381+[9]Финансирование!Z381</f>
        <v>197.75</v>
      </c>
      <c r="K381" s="685">
        <f t="shared" si="32"/>
        <v>57.25</v>
      </c>
    </row>
    <row r="382" spans="1:16" x14ac:dyDescent="0.15">
      <c r="A382" s="686" t="str">
        <f>[9]Роспись!A351</f>
        <v>Увелич. стоимости матер. запасов</v>
      </c>
      <c r="B382" s="687" t="str">
        <f>[9]Роспись!B351</f>
        <v>056</v>
      </c>
      <c r="C382" s="687" t="str">
        <f>[9]Роспись!C351</f>
        <v>08</v>
      </c>
      <c r="D382" s="687" t="str">
        <f>[9]Роспись!D351</f>
        <v>01</v>
      </c>
      <c r="E382" s="687">
        <f>[9]Роспись!E351</f>
        <v>4429901</v>
      </c>
      <c r="F382" s="687" t="str">
        <f>[9]Роспись!F351</f>
        <v>001</v>
      </c>
      <c r="G382" s="687">
        <f>[9]Роспись!G351</f>
        <v>340</v>
      </c>
      <c r="H382" s="648">
        <f>[9]Роспись!H351</f>
        <v>17</v>
      </c>
      <c r="I382" s="685">
        <f>[9]Финансирование!I382+[9]Финансирование!J382+[9]Финансирование!K382+[9]Финансирование!L382+[9]Финансирование!M382+[9]Финансирование!N382+[9]Финансирование!O382+[9]Финансирование!P382</f>
        <v>5.6999999999999993</v>
      </c>
      <c r="J382" s="685">
        <f>[9]Финансирование!Q382+[9]Финансирование!T382+[9]Финансирование!U382+[9]Финансирование!V382+[9]Финансирование!W382+[9]Финансирование!X382+[9]Финансирование!Y382+[9]Финансирование!Z382</f>
        <v>11.299999999999999</v>
      </c>
      <c r="K382" s="685">
        <f t="shared" si="32"/>
        <v>0</v>
      </c>
    </row>
    <row r="383" spans="1:16" x14ac:dyDescent="0.15">
      <c r="A383" s="704" t="s">
        <v>98</v>
      </c>
      <c r="B383" s="689" t="s">
        <v>79</v>
      </c>
      <c r="C383" s="689" t="s">
        <v>80</v>
      </c>
      <c r="D383" s="689" t="s">
        <v>125</v>
      </c>
      <c r="E383" s="689" t="s">
        <v>215</v>
      </c>
      <c r="F383" s="689" t="s">
        <v>102</v>
      </c>
      <c r="G383" s="705"/>
      <c r="H383" s="643">
        <f>SUM(H370:H382)</f>
        <v>9545.6</v>
      </c>
      <c r="I383" s="676">
        <f>SUM(I370:I382)</f>
        <v>4112.16</v>
      </c>
      <c r="J383" s="676">
        <f>SUM(J370:J382)</f>
        <v>5136.9400000000014</v>
      </c>
      <c r="K383" s="651">
        <f>SUM(K370:K382)</f>
        <v>296.5</v>
      </c>
      <c r="L383" s="678"/>
      <c r="M383" s="678"/>
      <c r="N383" s="678"/>
      <c r="O383" s="678"/>
      <c r="P383" s="678"/>
    </row>
    <row r="384" spans="1:16" ht="52" x14ac:dyDescent="0.15">
      <c r="A384" s="692" t="str">
        <f>'[9]Новая роспись'!A401</f>
        <v>Субсидия на финансовое обеспечение государственного задания на оказание государственных услуг (выполнение работ)</v>
      </c>
      <c r="B384" s="666"/>
      <c r="C384" s="666"/>
      <c r="D384" s="666"/>
      <c r="E384" s="666"/>
      <c r="F384" s="692">
        <f>'[9]Новая роспись'!F401</f>
        <v>611</v>
      </c>
      <c r="G384" s="692" t="str">
        <f>'[9]Новая роспись'!G401</f>
        <v>241</v>
      </c>
      <c r="H384" s="645">
        <f>'[9]Новая роспись'!H401</f>
        <v>5433.4400000000005</v>
      </c>
      <c r="I384" s="648">
        <f>[9]Финансирование!I384+[9]Финансирование!J384+[9]Финансирование!K384+[9]Финансирование!L384+[9]Финансирование!M384+[9]Финансирование!N384+[9]Финансирование!O384+[9]Финансирование!P384+[9]Финансирование!Q384+[9]Финансирование!T384+[9]Финансирование!U384+[9]Финансирование!V384+[9]Финансирование!W384+[9]Финансирование!X384+[9]Финансирование!Y384+[9]Финансирование!Z384</f>
        <v>4402.8100000000004</v>
      </c>
      <c r="J384" s="648"/>
      <c r="K384" s="648">
        <f>H384-I384</f>
        <v>1030.6300000000001</v>
      </c>
      <c r="L384" s="678"/>
      <c r="M384" s="678"/>
      <c r="N384" s="678"/>
      <c r="O384" s="678"/>
      <c r="P384" s="678"/>
    </row>
    <row r="385" spans="1:16" x14ac:dyDescent="0.15">
      <c r="A385" s="660" t="s">
        <v>136</v>
      </c>
      <c r="B385" s="668"/>
      <c r="C385" s="668"/>
      <c r="D385" s="668"/>
      <c r="E385" s="668"/>
      <c r="F385" s="668"/>
      <c r="G385" s="663"/>
      <c r="H385" s="648"/>
      <c r="I385" s="656">
        <f>[9]Финансирование!I385+[9]Финансирование!J385+[9]Финансирование!K385+[9]Финансирование!L385+[9]Финансирование!M385+[9]Финансирование!N385+[9]Финансирование!O385+[9]Финансирование!P385+[9]Финансирование!Q385+[9]Финансирование!T385+[9]Финансирование!U385+[9]Финансирование!V385+[9]Финансирование!W385+[9]Финансирование!X385+[9]Финансирование!Y385+[9]Финансирование!Z385</f>
        <v>0</v>
      </c>
      <c r="J385" s="656"/>
      <c r="K385" s="656"/>
      <c r="L385" s="646"/>
      <c r="M385" s="646"/>
      <c r="N385" s="646"/>
      <c r="O385" s="646"/>
      <c r="P385" s="646"/>
    </row>
    <row r="386" spans="1:16" x14ac:dyDescent="0.15">
      <c r="A386" s="657" t="str">
        <f>[9]Роспись!A354</f>
        <v>Заработная плата</v>
      </c>
      <c r="B386" s="654" t="str">
        <f>[9]Роспись!B354</f>
        <v>056</v>
      </c>
      <c r="C386" s="654" t="str">
        <f>[9]Роспись!C354</f>
        <v>08</v>
      </c>
      <c r="D386" s="654" t="str">
        <f>[9]Роспись!D354</f>
        <v>01</v>
      </c>
      <c r="E386" s="654">
        <f>[9]Роспись!E354</f>
        <v>4429901</v>
      </c>
      <c r="F386" s="654" t="str">
        <f>[9]Роспись!F354</f>
        <v>001</v>
      </c>
      <c r="G386" s="654">
        <f>[9]Роспись!G354</f>
        <v>211</v>
      </c>
      <c r="H386" s="648">
        <f>[9]Роспись!H354</f>
        <v>4908.2</v>
      </c>
      <c r="I386" s="656">
        <f>[9]Финансирование!I386+[9]Финансирование!J386+[9]Финансирование!K386+[9]Финансирование!L386+[9]Финансирование!M386+[9]Финансирование!N386+[9]Финансирование!O386+[9]Финансирование!P386</f>
        <v>2263.3399999999997</v>
      </c>
      <c r="J386" s="656">
        <f>[9]Финансирование!Q386+[9]Финансирование!T386+[9]Финансирование!U386+[9]Финансирование!V386+[9]Финансирование!W386+[9]Финансирование!X386+[9]Финансирование!Y386+[9]Финансирование!Z386</f>
        <v>2644.86</v>
      </c>
      <c r="K386" s="656">
        <f>H386-I386-J386</f>
        <v>0</v>
      </c>
      <c r="L386" s="635">
        <v>2644.81</v>
      </c>
      <c r="M386" s="658">
        <f>L386-J386</f>
        <v>-5.0000000000181899E-2</v>
      </c>
      <c r="O386" s="658">
        <f>M386+M394+M397</f>
        <v>-5.0240000000001848</v>
      </c>
    </row>
    <row r="387" spans="1:16" x14ac:dyDescent="0.15">
      <c r="A387" s="657" t="str">
        <f>[9]Роспись!A355</f>
        <v xml:space="preserve">Прочие выплаты </v>
      </c>
      <c r="B387" s="654" t="str">
        <f>[9]Роспись!B355</f>
        <v>056</v>
      </c>
      <c r="C387" s="654" t="str">
        <f>[9]Роспись!C355</f>
        <v>08</v>
      </c>
      <c r="D387" s="654" t="str">
        <f>[9]Роспись!D355</f>
        <v>01</v>
      </c>
      <c r="E387" s="654">
        <f>[9]Роспись!E355</f>
        <v>4429901</v>
      </c>
      <c r="F387" s="654" t="str">
        <f>[9]Роспись!F355</f>
        <v>001</v>
      </c>
      <c r="G387" s="654">
        <f>[9]Роспись!G355</f>
        <v>212</v>
      </c>
      <c r="H387" s="648">
        <f>[9]Роспись!H355</f>
        <v>0</v>
      </c>
      <c r="I387" s="656">
        <f>[9]Финансирование!I387+[9]Финансирование!J387+[9]Финансирование!K387+[9]Финансирование!L387+[9]Финансирование!M387+[9]Финансирование!N387+[9]Финансирование!O387+[9]Финансирование!P387</f>
        <v>0</v>
      </c>
      <c r="J387" s="656">
        <f>[9]Финансирование!Q387+[9]Финансирование!T387+[9]Финансирование!U387+[9]Финансирование!V387+[9]Финансирование!W387+[9]Финансирование!X387+[9]Финансирование!Y387+[9]Финансирование!Z387</f>
        <v>0</v>
      </c>
      <c r="K387" s="656">
        <f t="shared" ref="K387:K398" si="33">H387-I387-J387</f>
        <v>0</v>
      </c>
      <c r="M387" s="658"/>
    </row>
    <row r="388" spans="1:16" x14ac:dyDescent="0.15">
      <c r="A388" s="657" t="str">
        <f>[9]Роспись!A356</f>
        <v>Начисления на оплату труда</v>
      </c>
      <c r="B388" s="654" t="str">
        <f>[9]Роспись!B356</f>
        <v>056</v>
      </c>
      <c r="C388" s="654" t="str">
        <f>[9]Роспись!C356</f>
        <v>08</v>
      </c>
      <c r="D388" s="654" t="str">
        <f>[9]Роспись!D356</f>
        <v>01</v>
      </c>
      <c r="E388" s="654">
        <f>[9]Роспись!E356</f>
        <v>4429901</v>
      </c>
      <c r="F388" s="654" t="str">
        <f>[9]Роспись!F356</f>
        <v>001</v>
      </c>
      <c r="G388" s="654">
        <f>[9]Роспись!G356</f>
        <v>213</v>
      </c>
      <c r="H388" s="648">
        <f>[9]Роспись!H356</f>
        <v>1482.62</v>
      </c>
      <c r="I388" s="656">
        <f>[9]Финансирование!I388+[9]Финансирование!J388+[9]Финансирование!K388+[9]Финансирование!L388+[9]Финансирование!M388+[9]Финансирование!N388+[9]Финансирование!O388+[9]Финансирование!P388</f>
        <v>732.03</v>
      </c>
      <c r="J388" s="656">
        <f>[9]Финансирование!Q388+[9]Финансирование!T388+[9]Финансирование!U388+[9]Финансирование!V388+[9]Финансирование!W388+[9]Финансирование!X388+[9]Финансирование!Y388+[9]Финансирование!Z388</f>
        <v>750.59</v>
      </c>
      <c r="K388" s="656">
        <f t="shared" si="33"/>
        <v>0</v>
      </c>
      <c r="L388" s="635">
        <v>750.59</v>
      </c>
      <c r="M388" s="658">
        <f>L388-J388</f>
        <v>0</v>
      </c>
    </row>
    <row r="389" spans="1:16" x14ac:dyDescent="0.15">
      <c r="A389" s="657" t="str">
        <f>[9]Роспись!A357</f>
        <v xml:space="preserve">Оплата услуг связи </v>
      </c>
      <c r="B389" s="654" t="str">
        <f>[9]Роспись!B357</f>
        <v>056</v>
      </c>
      <c r="C389" s="654" t="str">
        <f>[9]Роспись!C357</f>
        <v>08</v>
      </c>
      <c r="D389" s="654" t="str">
        <f>[9]Роспись!D357</f>
        <v>01</v>
      </c>
      <c r="E389" s="654">
        <f>[9]Роспись!E357</f>
        <v>4429901</v>
      </c>
      <c r="F389" s="654" t="str">
        <f>[9]Роспись!F357</f>
        <v>001</v>
      </c>
      <c r="G389" s="654">
        <f>[9]Роспись!G357</f>
        <v>221</v>
      </c>
      <c r="H389" s="648">
        <f>[9]Роспись!H357</f>
        <v>14</v>
      </c>
      <c r="I389" s="656">
        <f>[9]Финансирование!I389+[9]Финансирование!J389+[9]Финансирование!K389+[9]Финансирование!L389+[9]Финансирование!M389+[9]Финансирование!N389+[9]Финансирование!O389+[9]Финансирование!P389</f>
        <v>3.5</v>
      </c>
      <c r="J389" s="656">
        <f>[9]Финансирование!Q389+[9]Финансирование!T389+[9]Финансирование!U389+[9]Финансирование!V389+[9]Финансирование!W389+[9]Финансирование!X389+[9]Финансирование!Y389+[9]Финансирование!Z389</f>
        <v>10.5</v>
      </c>
      <c r="K389" s="656">
        <f t="shared" si="33"/>
        <v>0</v>
      </c>
      <c r="M389" s="658"/>
    </row>
    <row r="390" spans="1:16" x14ac:dyDescent="0.15">
      <c r="A390" s="657" t="str">
        <f>[9]Роспись!A358</f>
        <v>Транспортные услуги</v>
      </c>
      <c r="B390" s="654" t="str">
        <f>[9]Роспись!B358</f>
        <v>056</v>
      </c>
      <c r="C390" s="654" t="str">
        <f>[9]Роспись!C358</f>
        <v>08</v>
      </c>
      <c r="D390" s="654" t="str">
        <f>[9]Роспись!D358</f>
        <v>01</v>
      </c>
      <c r="E390" s="654">
        <f>[9]Роспись!E358</f>
        <v>4429901</v>
      </c>
      <c r="F390" s="654" t="str">
        <f>[9]Роспись!F358</f>
        <v>001</v>
      </c>
      <c r="G390" s="654">
        <f>[9]Роспись!G358</f>
        <v>222</v>
      </c>
      <c r="H390" s="648">
        <f>[9]Роспись!H358</f>
        <v>0</v>
      </c>
      <c r="I390" s="656">
        <f>[9]Финансирование!I390+[9]Финансирование!J390+[9]Финансирование!K390+[9]Финансирование!L390+[9]Финансирование!M390+[9]Финансирование!N390+[9]Финансирование!O390+[9]Финансирование!P390</f>
        <v>0</v>
      </c>
      <c r="J390" s="656">
        <f>[9]Финансирование!Q390+[9]Финансирование!T390+[9]Финансирование!U390+[9]Финансирование!V390+[9]Финансирование!W390+[9]Финансирование!X390+[9]Финансирование!Y390+[9]Финансирование!Z390</f>
        <v>0</v>
      </c>
      <c r="K390" s="656">
        <f t="shared" si="33"/>
        <v>0</v>
      </c>
      <c r="M390" s="658"/>
    </row>
    <row r="391" spans="1:16" x14ac:dyDescent="0.15">
      <c r="A391" s="657" t="str">
        <f>[9]Роспись!A359</f>
        <v>Коммунальные услуги</v>
      </c>
      <c r="B391" s="654" t="str">
        <f>[9]Роспись!B359</f>
        <v>056</v>
      </c>
      <c r="C391" s="654" t="str">
        <f>[9]Роспись!C359</f>
        <v>08</v>
      </c>
      <c r="D391" s="654" t="str">
        <f>[9]Роспись!D359</f>
        <v>01</v>
      </c>
      <c r="E391" s="654">
        <f>[9]Роспись!E359</f>
        <v>4429901</v>
      </c>
      <c r="F391" s="654" t="str">
        <f>[9]Роспись!F359</f>
        <v>001</v>
      </c>
      <c r="G391" s="654">
        <f>[9]Роспись!G359</f>
        <v>223</v>
      </c>
      <c r="H391" s="648">
        <f>[9]Роспись!H359</f>
        <v>100</v>
      </c>
      <c r="I391" s="656">
        <f>[9]Финансирование!I391+[9]Финансирование!J391+[9]Финансирование!K391+[9]Финансирование!L391+[9]Финансирование!M391+[9]Финансирование!N391+[9]Финансирование!O391+[9]Финансирование!P391</f>
        <v>54.58</v>
      </c>
      <c r="J391" s="656">
        <f>[9]Финансирование!Q391+[9]Финансирование!T391+[9]Финансирование!U391+[9]Финансирование!V391+[9]Финансирование!W391+[9]Финансирование!X391+[9]Финансирование!Y391+[9]Финансирование!Z391</f>
        <v>45.419999999999995</v>
      </c>
      <c r="K391" s="656">
        <f t="shared" si="33"/>
        <v>0</v>
      </c>
      <c r="M391" s="658"/>
    </row>
    <row r="392" spans="1:16" x14ac:dyDescent="0.15">
      <c r="A392" s="657" t="str">
        <f>[9]Роспись!A360</f>
        <v>Арендная плата</v>
      </c>
      <c r="B392" s="654" t="str">
        <f>[9]Роспись!B360</f>
        <v>056</v>
      </c>
      <c r="C392" s="654" t="str">
        <f>[9]Роспись!C360</f>
        <v>08</v>
      </c>
      <c r="D392" s="654" t="str">
        <f>[9]Роспись!D360</f>
        <v>01</v>
      </c>
      <c r="E392" s="654">
        <f>[9]Роспись!E360</f>
        <v>4429901</v>
      </c>
      <c r="F392" s="654" t="str">
        <f>[9]Роспись!F360</f>
        <v>001</v>
      </c>
      <c r="G392" s="654">
        <f>[9]Роспись!G360</f>
        <v>224</v>
      </c>
      <c r="H392" s="648">
        <f>[9]Роспись!H360</f>
        <v>600</v>
      </c>
      <c r="I392" s="656">
        <f>[9]Финансирование!I392+[9]Финансирование!J392+[9]Финансирование!K392+[9]Финансирование!L392+[9]Финансирование!M392+[9]Финансирование!N392+[9]Финансирование!O392+[9]Финансирование!P392</f>
        <v>250</v>
      </c>
      <c r="J392" s="656">
        <f>[9]Финансирование!Q392+[9]Финансирование!T392+[9]Финансирование!U392+[9]Финансирование!V392+[9]Финансирование!W392+[9]Финансирование!X392+[9]Финансирование!Y392+[9]Финансирование!Z392</f>
        <v>45.816000000000003</v>
      </c>
      <c r="K392" s="656">
        <f t="shared" si="33"/>
        <v>304.18399999999997</v>
      </c>
      <c r="L392" s="690">
        <v>45.816000000000003</v>
      </c>
      <c r="M392" s="658">
        <f>L392-J392</f>
        <v>0</v>
      </c>
      <c r="N392" s="690"/>
      <c r="O392" s="690"/>
      <c r="P392" s="690"/>
    </row>
    <row r="393" spans="1:16" x14ac:dyDescent="0.15">
      <c r="A393" s="657" t="str">
        <f>[9]Роспись!A361</f>
        <v>Услуги по содерж. имущества</v>
      </c>
      <c r="B393" s="654" t="str">
        <f>[9]Роспись!B361</f>
        <v>056</v>
      </c>
      <c r="C393" s="654" t="str">
        <f>[9]Роспись!C361</f>
        <v>08</v>
      </c>
      <c r="D393" s="654" t="str">
        <f>[9]Роспись!D361</f>
        <v>01</v>
      </c>
      <c r="E393" s="654">
        <f>[9]Роспись!E361</f>
        <v>4429901</v>
      </c>
      <c r="F393" s="654" t="str">
        <f>[9]Роспись!F361</f>
        <v>001</v>
      </c>
      <c r="G393" s="654">
        <f>[9]Роспись!G361</f>
        <v>225</v>
      </c>
      <c r="H393" s="648">
        <f>[9]Роспись!H361</f>
        <v>20</v>
      </c>
      <c r="I393" s="656">
        <f>[9]Финансирование!I393+[9]Финансирование!J393+[9]Финансирование!K393+[9]Финансирование!L393+[9]Финансирование!M393+[9]Финансирование!N393+[9]Финансирование!O393+[9]Финансирование!P393</f>
        <v>5</v>
      </c>
      <c r="J393" s="656">
        <f>[9]Финансирование!Q393+[9]Финансирование!T393+[9]Финансирование!U393+[9]Финансирование!V393+[9]Финансирование!W393+[9]Финансирование!X393+[9]Финансирование!Y393+[9]Финансирование!Z393</f>
        <v>15</v>
      </c>
      <c r="K393" s="656">
        <f t="shared" si="33"/>
        <v>0</v>
      </c>
      <c r="M393" s="658"/>
    </row>
    <row r="394" spans="1:16" x14ac:dyDescent="0.15">
      <c r="A394" s="657" t="str">
        <f>[9]Роспись!A362</f>
        <v>Прочие услуги</v>
      </c>
      <c r="B394" s="654" t="str">
        <f>[9]Роспись!B362</f>
        <v>056</v>
      </c>
      <c r="C394" s="654" t="str">
        <f>[9]Роспись!C362</f>
        <v>08</v>
      </c>
      <c r="D394" s="654" t="str">
        <f>[9]Роспись!D362</f>
        <v>01</v>
      </c>
      <c r="E394" s="654">
        <f>[9]Роспись!E362</f>
        <v>4429901</v>
      </c>
      <c r="F394" s="654" t="str">
        <f>[9]Роспись!F362</f>
        <v>001</v>
      </c>
      <c r="G394" s="654">
        <f>[9]Роспись!G362</f>
        <v>226</v>
      </c>
      <c r="H394" s="648">
        <f>[9]Роспись!H362</f>
        <v>304.60000000000002</v>
      </c>
      <c r="I394" s="656">
        <f>[9]Финансирование!I394+[9]Финансирование!J394+[9]Финансирование!K394+[9]Финансирование!L394+[9]Финансирование!M394+[9]Финансирование!N394+[9]Финансирование!O394+[9]Финансирование!P394</f>
        <v>212.49</v>
      </c>
      <c r="J394" s="656">
        <f>[9]Финансирование!Q394+[9]Финансирование!T394+[9]Финансирование!U394+[9]Финансирование!V394+[9]Финансирование!W394+[9]Финансирование!X394+[9]Финансирование!Y394+[9]Финансирование!Z394</f>
        <v>7.91</v>
      </c>
      <c r="K394" s="656">
        <f t="shared" si="33"/>
        <v>84.200000000000017</v>
      </c>
      <c r="L394" s="635">
        <v>4.2</v>
      </c>
      <c r="M394" s="658">
        <f>L394-J394</f>
        <v>-3.71</v>
      </c>
    </row>
    <row r="395" spans="1:16" x14ac:dyDescent="0.15">
      <c r="A395" s="657" t="str">
        <f>[9]Роспись!A363</f>
        <v xml:space="preserve">Прочие расходы </v>
      </c>
      <c r="B395" s="654" t="str">
        <f>[9]Роспись!B363</f>
        <v>056</v>
      </c>
      <c r="C395" s="654" t="str">
        <f>[9]Роспись!C363</f>
        <v>08</v>
      </c>
      <c r="D395" s="654" t="str">
        <f>[9]Роспись!D363</f>
        <v>01</v>
      </c>
      <c r="E395" s="654">
        <f>[9]Роспись!E363</f>
        <v>4429901</v>
      </c>
      <c r="F395" s="654" t="str">
        <f>[9]Роспись!F363</f>
        <v>001</v>
      </c>
      <c r="G395" s="654">
        <f>[9]Роспись!G363</f>
        <v>290</v>
      </c>
      <c r="H395" s="648">
        <f>[9]Роспись!H363</f>
        <v>9.6999999999999993</v>
      </c>
      <c r="I395" s="656">
        <f>[9]Финансирование!I395+[9]Финансирование!J395+[9]Финансирование!K395+[9]Финансирование!L395+[9]Финансирование!M395+[9]Финансирование!N395+[9]Финансирование!O395+[9]Финансирование!P395</f>
        <v>4.8</v>
      </c>
      <c r="J395" s="656">
        <f>[9]Финансирование!Q395+[9]Финансирование!T395+[9]Финансирование!U395+[9]Финансирование!V395+[9]Финансирование!W395+[9]Финансирование!X395+[9]Финансирование!Y395+[9]Финансирование!Z395</f>
        <v>4.9000000000000004</v>
      </c>
      <c r="K395" s="656">
        <f t="shared" si="33"/>
        <v>0</v>
      </c>
      <c r="M395" s="658"/>
    </row>
    <row r="396" spans="1:16" x14ac:dyDescent="0.15">
      <c r="A396" s="657" t="str">
        <f>[9]Роспись!A364</f>
        <v xml:space="preserve">Прочие расходы </v>
      </c>
      <c r="B396" s="654" t="str">
        <f>[9]Роспись!B364</f>
        <v>056</v>
      </c>
      <c r="C396" s="654" t="str">
        <f>[9]Роспись!C364</f>
        <v>08</v>
      </c>
      <c r="D396" s="654" t="str">
        <f>[9]Роспись!D364</f>
        <v>01</v>
      </c>
      <c r="E396" s="654" t="str">
        <f>[9]Роспись!E364</f>
        <v>4429500</v>
      </c>
      <c r="F396" s="654" t="str">
        <f>[9]Роспись!F364</f>
        <v>001</v>
      </c>
      <c r="G396" s="654" t="str">
        <f>[9]Роспись!G364</f>
        <v>290</v>
      </c>
      <c r="H396" s="648">
        <f>[9]Роспись!H364</f>
        <v>10.200000000000001</v>
      </c>
      <c r="I396" s="656">
        <f>[9]Финансирование!I396+[9]Финансирование!J396+[9]Финансирование!K396+[9]Финансирование!L396+[9]Финансирование!M396+[9]Финансирование!N396+[9]Финансирование!O396+[9]Финансирование!P396</f>
        <v>10.199999999999999</v>
      </c>
      <c r="J396" s="656">
        <f>[9]Финансирование!Q396+[9]Финансирование!T396+[9]Финансирование!U396+[9]Финансирование!V396+[9]Финансирование!W396+[9]Финансирование!X396+[9]Финансирование!Y396+[9]Финансирование!Z396</f>
        <v>0</v>
      </c>
      <c r="K396" s="656">
        <f t="shared" si="33"/>
        <v>1.7763568394002505E-15</v>
      </c>
      <c r="M396" s="658"/>
    </row>
    <row r="397" spans="1:16" x14ac:dyDescent="0.15">
      <c r="A397" s="657" t="str">
        <f>[9]Роспись!A365</f>
        <v>Увелич. стоимости осн. средств</v>
      </c>
      <c r="B397" s="654" t="str">
        <f>[9]Роспись!B365</f>
        <v>056</v>
      </c>
      <c r="C397" s="654" t="str">
        <f>[9]Роспись!C365</f>
        <v>08</v>
      </c>
      <c r="D397" s="654" t="str">
        <f>[9]Роспись!D365</f>
        <v>01</v>
      </c>
      <c r="E397" s="654">
        <f>[9]Роспись!E365</f>
        <v>4429901</v>
      </c>
      <c r="F397" s="654" t="str">
        <f>[9]Роспись!F365</f>
        <v>001</v>
      </c>
      <c r="G397" s="654">
        <f>[9]Роспись!G365</f>
        <v>310</v>
      </c>
      <c r="H397" s="648">
        <f>[9]Роспись!H365</f>
        <v>80.080000000000013</v>
      </c>
      <c r="I397" s="656">
        <f>[9]Финансирование!I397+[9]Финансирование!J397+[9]Финансирование!K397+[9]Финансирование!L397+[9]Финансирование!M397+[9]Финансирование!N397+[9]Финансирование!O397+[9]Финансирование!P397</f>
        <v>0</v>
      </c>
      <c r="J397" s="656">
        <f>[9]Финансирование!Q397+[9]Финансирование!T397+[9]Финансирование!U397+[9]Финансирование!V397+[9]Финансирование!W397+[9]Финансирование!X397+[9]Финансирование!Y397+[9]Финансирование!Z397</f>
        <v>34.264000000000003</v>
      </c>
      <c r="K397" s="656">
        <f t="shared" si="33"/>
        <v>45.81600000000001</v>
      </c>
      <c r="L397" s="635">
        <v>33</v>
      </c>
      <c r="M397" s="658">
        <f>L397-J397</f>
        <v>-1.2640000000000029</v>
      </c>
    </row>
    <row r="398" spans="1:16" x14ac:dyDescent="0.15">
      <c r="A398" s="657" t="str">
        <f>[9]Роспись!A366</f>
        <v>Увелич. стоимости матер. запасов</v>
      </c>
      <c r="B398" s="654" t="str">
        <f>[9]Роспись!B366</f>
        <v>056</v>
      </c>
      <c r="C398" s="654" t="str">
        <f>[9]Роспись!C366</f>
        <v>08</v>
      </c>
      <c r="D398" s="654" t="str">
        <f>[9]Роспись!D366</f>
        <v>01</v>
      </c>
      <c r="E398" s="654">
        <f>[9]Роспись!E366</f>
        <v>4429901</v>
      </c>
      <c r="F398" s="654" t="str">
        <f>[9]Роспись!F366</f>
        <v>001</v>
      </c>
      <c r="G398" s="654">
        <f>[9]Роспись!G366</f>
        <v>340</v>
      </c>
      <c r="H398" s="648">
        <f>[9]Роспись!H366</f>
        <v>102.1</v>
      </c>
      <c r="I398" s="656">
        <f>[9]Финансирование!I398+[9]Финансирование!J398+[9]Финансирование!K398+[9]Финансирование!L398+[9]Финансирование!M398+[9]Финансирование!N398+[9]Финансирование!O398+[9]Финансирование!P398</f>
        <v>6.7</v>
      </c>
      <c r="J398" s="656">
        <f>[9]Финансирование!Q398+[9]Финансирование!T398+[9]Финансирование!U398+[9]Финансирование!V398+[9]Финансирование!W398+[9]Финансирование!X398+[9]Финансирование!Y398+[9]Финансирование!Z398</f>
        <v>95.4</v>
      </c>
      <c r="K398" s="656">
        <f t="shared" si="33"/>
        <v>0</v>
      </c>
      <c r="M398" s="658"/>
    </row>
    <row r="399" spans="1:16" x14ac:dyDescent="0.15">
      <c r="A399" s="653" t="s">
        <v>98</v>
      </c>
      <c r="B399" s="662" t="s">
        <v>79</v>
      </c>
      <c r="C399" s="662" t="s">
        <v>80</v>
      </c>
      <c r="D399" s="662" t="s">
        <v>125</v>
      </c>
      <c r="E399" s="662" t="s">
        <v>215</v>
      </c>
      <c r="F399" s="662" t="s">
        <v>102</v>
      </c>
      <c r="G399" s="691"/>
      <c r="H399" s="643">
        <f>SUM(H386:H398)</f>
        <v>7631.5</v>
      </c>
      <c r="I399" s="664">
        <f>SUM(I386:I398)</f>
        <v>3542.6399999999994</v>
      </c>
      <c r="J399" s="664">
        <f>SUM(J386:J398)</f>
        <v>3654.6600000000003</v>
      </c>
      <c r="K399" s="665">
        <f>SUM(K386:K398)</f>
        <v>434.20000000000005</v>
      </c>
      <c r="L399" s="678"/>
      <c r="M399" s="678"/>
      <c r="N399" s="678"/>
      <c r="O399" s="678"/>
      <c r="P399" s="678"/>
    </row>
    <row r="400" spans="1:16" ht="52" x14ac:dyDescent="0.15">
      <c r="A400" s="692" t="str">
        <f>'[9]Новая роспись'!A418</f>
        <v>Субсидия на финансовое обеспечение государственного задания на оказание государственных услуг (выполнение работ)</v>
      </c>
      <c r="B400" s="666"/>
      <c r="C400" s="666"/>
      <c r="D400" s="666"/>
      <c r="E400" s="666"/>
      <c r="F400" s="692">
        <f>'[9]Новая роспись'!F418</f>
        <v>611</v>
      </c>
      <c r="G400" s="692" t="str">
        <f>'[9]Новая роспись'!G418</f>
        <v>241</v>
      </c>
      <c r="H400" s="645">
        <f>'[9]Новая роспись'!H418</f>
        <v>4088.8600000000006</v>
      </c>
      <c r="I400" s="648">
        <f>[9]Финансирование!I400+[9]Финансирование!J400+[9]Финансирование!K400+[9]Финансирование!L400+[9]Финансирование!M400+[9]Финансирование!N400+[9]Финансирование!O400+[9]Финансирование!P400+[9]Финансирование!Q400+[9]Финансирование!T400+[9]Финансирование!U400+[9]Финансирование!V400+[9]Финансирование!W400+[9]Финансирование!X400+[9]Финансирование!Y400+[9]Финансирование!Z400</f>
        <v>3278.335</v>
      </c>
      <c r="J400" s="648"/>
      <c r="K400" s="648">
        <f>H400-I400</f>
        <v>810.52500000000055</v>
      </c>
      <c r="L400" s="678"/>
      <c r="M400" s="678"/>
      <c r="N400" s="678"/>
      <c r="O400" s="678"/>
      <c r="P400" s="678"/>
    </row>
    <row r="401" spans="1:16" x14ac:dyDescent="0.15">
      <c r="A401" s="660" t="s">
        <v>137</v>
      </c>
      <c r="B401" s="668"/>
      <c r="C401" s="668"/>
      <c r="D401" s="668"/>
      <c r="E401" s="668"/>
      <c r="F401" s="668"/>
      <c r="G401" s="663"/>
      <c r="H401" s="648"/>
      <c r="I401" s="656">
        <f>[9]Финансирование!I401+[9]Финансирование!J401+[9]Финансирование!K401+[9]Финансирование!L401+[9]Финансирование!M401+[9]Финансирование!N401+[9]Финансирование!O401+[9]Финансирование!P401+[9]Финансирование!Q401+[9]Финансирование!T401+[9]Финансирование!U401+[9]Финансирование!V401+[9]Финансирование!W401+[9]Финансирование!X401+[9]Финансирование!Y401+[9]Финансирование!Z401</f>
        <v>0</v>
      </c>
      <c r="J401" s="656"/>
      <c r="K401" s="656"/>
      <c r="L401" s="646"/>
      <c r="M401" s="646"/>
      <c r="N401" s="646"/>
      <c r="O401" s="646"/>
      <c r="P401" s="646"/>
    </row>
    <row r="402" spans="1:16" x14ac:dyDescent="0.15">
      <c r="A402" s="657" t="str">
        <f>[9]Роспись!A369</f>
        <v>Заработная плата</v>
      </c>
      <c r="B402" s="654" t="str">
        <f>[9]Роспись!B369</f>
        <v>056</v>
      </c>
      <c r="C402" s="654" t="str">
        <f>[9]Роспись!C369</f>
        <v>08</v>
      </c>
      <c r="D402" s="654" t="str">
        <f>[9]Роспись!D369</f>
        <v>01</v>
      </c>
      <c r="E402" s="654">
        <f>[9]Роспись!E369</f>
        <v>4429901</v>
      </c>
      <c r="F402" s="654" t="str">
        <f>[9]Роспись!F369</f>
        <v>001</v>
      </c>
      <c r="G402" s="654">
        <f>[9]Роспись!G369</f>
        <v>211</v>
      </c>
      <c r="H402" s="648">
        <f>[9]Роспись!H369</f>
        <v>2078.7270000000003</v>
      </c>
      <c r="I402" s="656">
        <f>[9]Финансирование!I402+[9]Финансирование!J402+[9]Финансирование!K402+[9]Финансирование!L402+[9]Финансирование!M402+[9]Финансирование!N402+[9]Финансирование!O402+[9]Финансирование!P402</f>
        <v>946.37999999999988</v>
      </c>
      <c r="J402" s="656">
        <f>[9]Финансирование!Q402+[9]Финансирование!T402+[9]Финансирование!U402+[9]Финансирование!V402+[9]Финансирование!W402+[9]Финансирование!X402+[9]Финансирование!Y402+[9]Финансирование!Z402</f>
        <v>1132.3469999999998</v>
      </c>
      <c r="K402" s="656">
        <f>H402-I402-J402</f>
        <v>0</v>
      </c>
      <c r="L402" s="635">
        <v>1132.347</v>
      </c>
      <c r="M402" s="658">
        <f>L402-J402</f>
        <v>0</v>
      </c>
      <c r="O402" s="658">
        <f>M402+M413+M414</f>
        <v>0</v>
      </c>
    </row>
    <row r="403" spans="1:16" x14ac:dyDescent="0.15">
      <c r="A403" s="657" t="str">
        <f>[9]Роспись!A370</f>
        <v xml:space="preserve">Прочие выплаты </v>
      </c>
      <c r="B403" s="654" t="str">
        <f>[9]Роспись!B370</f>
        <v>056</v>
      </c>
      <c r="C403" s="654" t="str">
        <f>[9]Роспись!C370</f>
        <v>08</v>
      </c>
      <c r="D403" s="654" t="str">
        <f>[9]Роспись!D370</f>
        <v>01</v>
      </c>
      <c r="E403" s="654">
        <f>[9]Роспись!E370</f>
        <v>4429901</v>
      </c>
      <c r="F403" s="654" t="str">
        <f>[9]Роспись!F370</f>
        <v>001</v>
      </c>
      <c r="G403" s="654">
        <f>[9]Роспись!G370</f>
        <v>212</v>
      </c>
      <c r="H403" s="648">
        <f>[9]Роспись!H370</f>
        <v>3</v>
      </c>
      <c r="I403" s="656">
        <f>[9]Финансирование!I403+[9]Финансирование!J403+[9]Финансирование!K403+[9]Финансирование!L403+[9]Финансирование!M403+[9]Финансирование!N403+[9]Финансирование!O403+[9]Финансирование!P403</f>
        <v>1.25</v>
      </c>
      <c r="J403" s="656">
        <f>[9]Финансирование!Q403+[9]Финансирование!T403+[9]Финансирование!U403+[9]Финансирование!V403+[9]Финансирование!W403+[9]Финансирование!X403+[9]Финансирование!Y403+[9]Финансирование!Z403</f>
        <v>1.75</v>
      </c>
      <c r="K403" s="656">
        <f t="shared" ref="K403:K414" si="34">H403-I403-J403</f>
        <v>0</v>
      </c>
      <c r="M403" s="658"/>
      <c r="O403" s="658">
        <f>M404+M410</f>
        <v>0</v>
      </c>
    </row>
    <row r="404" spans="1:16" x14ac:dyDescent="0.15">
      <c r="A404" s="657" t="str">
        <f>[9]Роспись!A371</f>
        <v>Начисления на оплату труда</v>
      </c>
      <c r="B404" s="654" t="str">
        <f>[9]Роспись!B371</f>
        <v>056</v>
      </c>
      <c r="C404" s="654" t="str">
        <f>[9]Роспись!C371</f>
        <v>08</v>
      </c>
      <c r="D404" s="654" t="str">
        <f>[9]Роспись!D371</f>
        <v>01</v>
      </c>
      <c r="E404" s="654">
        <f>[9]Роспись!E371</f>
        <v>4429901</v>
      </c>
      <c r="F404" s="654" t="str">
        <f>[9]Роспись!F371</f>
        <v>001</v>
      </c>
      <c r="G404" s="654">
        <f>[9]Роспись!G371</f>
        <v>213</v>
      </c>
      <c r="H404" s="648">
        <f>[9]Роспись!H371</f>
        <v>619.79999999999995</v>
      </c>
      <c r="I404" s="656">
        <f>[9]Финансирование!I404+[9]Финансирование!J404+[9]Финансирование!K404+[9]Финансирование!L404+[9]Финансирование!M404+[9]Финансирование!N404+[9]Финансирование!O404+[9]Финансирование!P404</f>
        <v>306.12</v>
      </c>
      <c r="J404" s="656">
        <f>[9]Финансирование!Q404+[9]Финансирование!T404+[9]Финансирование!U404+[9]Финансирование!V404+[9]Финансирование!W404+[9]Финансирование!X404+[9]Финансирование!Y404+[9]Финансирование!Z404</f>
        <v>288.76800000000003</v>
      </c>
      <c r="K404" s="656">
        <f t="shared" si="34"/>
        <v>24.911999999999921</v>
      </c>
      <c r="L404" s="635">
        <v>288.76799999999997</v>
      </c>
      <c r="M404" s="658">
        <f>L404-J404</f>
        <v>0</v>
      </c>
    </row>
    <row r="405" spans="1:16" x14ac:dyDescent="0.15">
      <c r="A405" s="657" t="str">
        <f>[9]Роспись!A372</f>
        <v xml:space="preserve">Оплата услуг связи </v>
      </c>
      <c r="B405" s="654" t="str">
        <f>[9]Роспись!B372</f>
        <v>056</v>
      </c>
      <c r="C405" s="654" t="str">
        <f>[9]Роспись!C372</f>
        <v>08</v>
      </c>
      <c r="D405" s="654" t="str">
        <f>[9]Роспись!D372</f>
        <v>01</v>
      </c>
      <c r="E405" s="654">
        <f>[9]Роспись!E372</f>
        <v>4429901</v>
      </c>
      <c r="F405" s="654" t="str">
        <f>[9]Роспись!F372</f>
        <v>001</v>
      </c>
      <c r="G405" s="654">
        <f>[9]Роспись!G372</f>
        <v>221</v>
      </c>
      <c r="H405" s="648">
        <f>[9]Роспись!H372</f>
        <v>9</v>
      </c>
      <c r="I405" s="656">
        <f>[9]Финансирование!I405+[9]Финансирование!J405+[9]Финансирование!K405+[9]Финансирование!L405+[9]Финансирование!M405+[9]Финансирование!N405+[9]Финансирование!O405+[9]Финансирование!P405</f>
        <v>2.2000000000000002</v>
      </c>
      <c r="J405" s="656">
        <f>[9]Финансирование!Q405+[9]Финансирование!T405+[9]Финансирование!U405+[9]Финансирование!V405+[9]Финансирование!W405+[9]Финансирование!X405+[9]Финансирование!Y405+[9]Финансирование!Z405</f>
        <v>6.8</v>
      </c>
      <c r="K405" s="656">
        <f t="shared" si="34"/>
        <v>0</v>
      </c>
      <c r="M405" s="658"/>
    </row>
    <row r="406" spans="1:16" x14ac:dyDescent="0.15">
      <c r="A406" s="657" t="str">
        <f>[9]Роспись!A373</f>
        <v>Транспортные услуги</v>
      </c>
      <c r="B406" s="654" t="str">
        <f>[9]Роспись!B373</f>
        <v>056</v>
      </c>
      <c r="C406" s="654" t="str">
        <f>[9]Роспись!C373</f>
        <v>08</v>
      </c>
      <c r="D406" s="654" t="str">
        <f>[9]Роспись!D373</f>
        <v>01</v>
      </c>
      <c r="E406" s="654">
        <f>[9]Роспись!E373</f>
        <v>4429901</v>
      </c>
      <c r="F406" s="654" t="str">
        <f>[9]Роспись!F373</f>
        <v>001</v>
      </c>
      <c r="G406" s="654">
        <f>[9]Роспись!G373</f>
        <v>222</v>
      </c>
      <c r="H406" s="648">
        <f>[9]Роспись!H373</f>
        <v>3</v>
      </c>
      <c r="I406" s="656">
        <f>[9]Финансирование!I406+[9]Финансирование!J406+[9]Финансирование!K406+[9]Финансирование!L406+[9]Финансирование!M406+[9]Финансирование!N406+[9]Финансирование!O406+[9]Финансирование!P406</f>
        <v>0.75</v>
      </c>
      <c r="J406" s="656">
        <f>[9]Финансирование!Q406+[9]Финансирование!T406+[9]Финансирование!U406+[9]Финансирование!V406+[9]Финансирование!W406+[9]Финансирование!X406+[9]Финансирование!Y406+[9]Финансирование!Z406</f>
        <v>2.25</v>
      </c>
      <c r="K406" s="656">
        <f t="shared" si="34"/>
        <v>0</v>
      </c>
      <c r="M406" s="658"/>
    </row>
    <row r="407" spans="1:16" x14ac:dyDescent="0.15">
      <c r="A407" s="657" t="str">
        <f>[9]Роспись!A374</f>
        <v>Коммунальные услуги</v>
      </c>
      <c r="B407" s="654" t="str">
        <f>[9]Роспись!B374</f>
        <v>056</v>
      </c>
      <c r="C407" s="654" t="str">
        <f>[9]Роспись!C374</f>
        <v>08</v>
      </c>
      <c r="D407" s="654" t="str">
        <f>[9]Роспись!D374</f>
        <v>01</v>
      </c>
      <c r="E407" s="654">
        <f>[9]Роспись!E374</f>
        <v>4429901</v>
      </c>
      <c r="F407" s="654" t="str">
        <f>[9]Роспись!F374</f>
        <v>001</v>
      </c>
      <c r="G407" s="654">
        <f>[9]Роспись!G374</f>
        <v>223</v>
      </c>
      <c r="H407" s="648">
        <f>[9]Роспись!H374</f>
        <v>52</v>
      </c>
      <c r="I407" s="656">
        <f>[9]Финансирование!I407+[9]Финансирование!J407+[9]Финансирование!K407+[9]Финансирование!L407+[9]Финансирование!M407+[9]Финансирование!N407+[9]Финансирование!O407+[9]Финансирование!P407</f>
        <v>21.67</v>
      </c>
      <c r="J407" s="656">
        <f>[9]Финансирование!Q407+[9]Финансирование!T407+[9]Финансирование!U407+[9]Финансирование!V407+[9]Финансирование!W407+[9]Финансирование!X407+[9]Финансирование!Y407+[9]Финансирование!Z407</f>
        <v>30.33</v>
      </c>
      <c r="K407" s="656">
        <f t="shared" si="34"/>
        <v>0</v>
      </c>
      <c r="M407" s="658"/>
    </row>
    <row r="408" spans="1:16" x14ac:dyDescent="0.15">
      <c r="A408" s="657" t="str">
        <f>[9]Роспись!A375</f>
        <v>Арендная плата</v>
      </c>
      <c r="B408" s="654" t="str">
        <f>[9]Роспись!B375</f>
        <v>056</v>
      </c>
      <c r="C408" s="654" t="str">
        <f>[9]Роспись!C375</f>
        <v>08</v>
      </c>
      <c r="D408" s="654" t="str">
        <f>[9]Роспись!D375</f>
        <v>01</v>
      </c>
      <c r="E408" s="654">
        <f>[9]Роспись!E375</f>
        <v>4429901</v>
      </c>
      <c r="F408" s="654" t="str">
        <f>[9]Роспись!F375</f>
        <v>001</v>
      </c>
      <c r="G408" s="654">
        <f>[9]Роспись!G375</f>
        <v>224</v>
      </c>
      <c r="H408" s="648">
        <f>[9]Роспись!H375</f>
        <v>20</v>
      </c>
      <c r="I408" s="656">
        <f>[9]Финансирование!I408+[9]Финансирование!J408+[9]Финансирование!K408+[9]Финансирование!L408+[9]Финансирование!M408+[9]Финансирование!N408+[9]Финансирование!O408+[9]Финансирование!P408</f>
        <v>8.33</v>
      </c>
      <c r="J408" s="656">
        <f>[9]Финансирование!Q408+[9]Финансирование!T408+[9]Финансирование!U408+[9]Финансирование!V408+[9]Финансирование!W408+[9]Финансирование!X408+[9]Финансирование!Y408+[9]Финансирование!Z408</f>
        <v>11.67</v>
      </c>
      <c r="K408" s="656">
        <f t="shared" si="34"/>
        <v>0</v>
      </c>
      <c r="L408" s="690"/>
      <c r="M408" s="658"/>
      <c r="N408" s="690"/>
      <c r="O408" s="690"/>
      <c r="P408" s="690"/>
    </row>
    <row r="409" spans="1:16" x14ac:dyDescent="0.15">
      <c r="A409" s="657" t="str">
        <f>[9]Роспись!A376</f>
        <v>Услуги по содерж. имущества</v>
      </c>
      <c r="B409" s="654" t="str">
        <f>[9]Роспись!B376</f>
        <v>056</v>
      </c>
      <c r="C409" s="654" t="str">
        <f>[9]Роспись!C376</f>
        <v>08</v>
      </c>
      <c r="D409" s="654" t="str">
        <f>[9]Роспись!D376</f>
        <v>01</v>
      </c>
      <c r="E409" s="654">
        <f>[9]Роспись!E376</f>
        <v>4429901</v>
      </c>
      <c r="F409" s="654" t="str">
        <f>[9]Роспись!F376</f>
        <v>001</v>
      </c>
      <c r="G409" s="654">
        <f>[9]Роспись!G376</f>
        <v>225</v>
      </c>
      <c r="H409" s="648">
        <f>[9]Роспись!H376</f>
        <v>24</v>
      </c>
      <c r="I409" s="656">
        <f>[9]Финансирование!I409+[9]Финансирование!J409+[9]Финансирование!K409+[9]Финансирование!L409+[9]Финансирование!M409+[9]Финансирование!N409+[9]Финансирование!O409+[9]Финансирование!P409</f>
        <v>6</v>
      </c>
      <c r="J409" s="656">
        <f>[9]Финансирование!Q409+[9]Финансирование!T409+[9]Финансирование!U409+[9]Финансирование!V409+[9]Финансирование!W409+[9]Финансирование!X409+[9]Финансирование!Y409+[9]Финансирование!Z409</f>
        <v>18</v>
      </c>
      <c r="K409" s="656">
        <f t="shared" si="34"/>
        <v>0</v>
      </c>
      <c r="M409" s="658"/>
    </row>
    <row r="410" spans="1:16" x14ac:dyDescent="0.15">
      <c r="A410" s="657" t="str">
        <f>[9]Роспись!A377</f>
        <v>Прочие услуги</v>
      </c>
      <c r="B410" s="654" t="str">
        <f>[9]Роспись!B377</f>
        <v>056</v>
      </c>
      <c r="C410" s="654" t="str">
        <f>[9]Роспись!C377</f>
        <v>08</v>
      </c>
      <c r="D410" s="654" t="str">
        <f>[9]Роспись!D377</f>
        <v>01</v>
      </c>
      <c r="E410" s="654">
        <f>[9]Роспись!E377</f>
        <v>4429901</v>
      </c>
      <c r="F410" s="654" t="str">
        <f>[9]Роспись!F377</f>
        <v>001</v>
      </c>
      <c r="G410" s="654">
        <f>[9]Роспись!G377</f>
        <v>226</v>
      </c>
      <c r="H410" s="648">
        <f>[9]Роспись!H377</f>
        <v>93.573000000000008</v>
      </c>
      <c r="I410" s="656">
        <f>[9]Финансирование!I410+[9]Финансирование!J410+[9]Финансирование!K410+[9]Финансирование!L410+[9]Финансирование!M410+[9]Финансирование!N410+[9]Финансирование!O410+[9]Финансирование!P410</f>
        <v>63.86</v>
      </c>
      <c r="J410" s="656">
        <f>[9]Финансирование!Q410+[9]Финансирование!T410+[9]Финансирование!U410+[9]Финансирование!V410+[9]Финансирование!W410+[9]Финансирование!X410+[9]Финансирование!Y410+[9]Финансирование!Z410</f>
        <v>6.1400000000000006</v>
      </c>
      <c r="K410" s="656">
        <f t="shared" si="34"/>
        <v>23.573000000000008</v>
      </c>
      <c r="L410" s="635">
        <v>6.14</v>
      </c>
      <c r="M410" s="658">
        <f>L410-J410</f>
        <v>0</v>
      </c>
    </row>
    <row r="411" spans="1:16" x14ac:dyDescent="0.15">
      <c r="A411" s="657" t="str">
        <f>[9]Роспись!A378</f>
        <v xml:space="preserve">Прочие расходы </v>
      </c>
      <c r="B411" s="654" t="str">
        <f>[9]Роспись!B378</f>
        <v>056</v>
      </c>
      <c r="C411" s="654" t="str">
        <f>[9]Роспись!C378</f>
        <v>08</v>
      </c>
      <c r="D411" s="654" t="str">
        <f>[9]Роспись!D378</f>
        <v>01</v>
      </c>
      <c r="E411" s="654">
        <f>[9]Роспись!E378</f>
        <v>4429901</v>
      </c>
      <c r="F411" s="654" t="str">
        <f>[9]Роспись!F378</f>
        <v>001</v>
      </c>
      <c r="G411" s="654">
        <f>[9]Роспись!G378</f>
        <v>290</v>
      </c>
      <c r="H411" s="648">
        <f>[9]Роспись!H378</f>
        <v>4</v>
      </c>
      <c r="I411" s="656">
        <f>[9]Финансирование!I411+[9]Финансирование!J411+[9]Финансирование!K411+[9]Финансирование!L411+[9]Финансирование!M411+[9]Финансирование!N411+[9]Финансирование!O411+[9]Финансирование!P411</f>
        <v>2.2000000000000002</v>
      </c>
      <c r="J411" s="656">
        <f>[9]Финансирование!Q411+[9]Финансирование!T411+[9]Финансирование!U411+[9]Финансирование!V411+[9]Финансирование!W411+[9]Финансирование!X411+[9]Финансирование!Y411+[9]Финансирование!Z411</f>
        <v>1.8</v>
      </c>
      <c r="K411" s="656">
        <f t="shared" si="34"/>
        <v>0</v>
      </c>
      <c r="M411" s="658"/>
    </row>
    <row r="412" spans="1:16" x14ac:dyDescent="0.15">
      <c r="A412" s="657" t="str">
        <f>[9]Роспись!A379</f>
        <v xml:space="preserve">Прочие расходы </v>
      </c>
      <c r="B412" s="654" t="str">
        <f>[9]Роспись!B379</f>
        <v>056</v>
      </c>
      <c r="C412" s="654" t="str">
        <f>[9]Роспись!C379</f>
        <v>08</v>
      </c>
      <c r="D412" s="654" t="str">
        <f>[9]Роспись!D379</f>
        <v>01</v>
      </c>
      <c r="E412" s="654" t="str">
        <f>[9]Роспись!E379</f>
        <v>4429500</v>
      </c>
      <c r="F412" s="654" t="str">
        <f>[9]Роспись!F379</f>
        <v>001</v>
      </c>
      <c r="G412" s="654" t="str">
        <f>[9]Роспись!G379</f>
        <v>290</v>
      </c>
      <c r="H412" s="648">
        <f>[9]Роспись!H379</f>
        <v>5.4</v>
      </c>
      <c r="I412" s="656">
        <f>[9]Финансирование!I412+[9]Финансирование!J412+[9]Финансирование!K412+[9]Финансирование!L412+[9]Финансирование!M412+[9]Финансирование!N412+[9]Финансирование!O412+[9]Финансирование!P412</f>
        <v>2.7</v>
      </c>
      <c r="J412" s="656">
        <f>[9]Финансирование!Q412+[9]Финансирование!T412+[9]Финансирование!U412+[9]Финансирование!V412+[9]Финансирование!W412+[9]Финансирование!X412+[9]Финансирование!Y412+[9]Финансирование!Z412</f>
        <v>2.7</v>
      </c>
      <c r="K412" s="656">
        <f t="shared" si="34"/>
        <v>0</v>
      </c>
      <c r="M412" s="658"/>
    </row>
    <row r="413" spans="1:16" x14ac:dyDescent="0.15">
      <c r="A413" s="657" t="str">
        <f>[9]Роспись!A380</f>
        <v>Увелич. стоимости осн. средств</v>
      </c>
      <c r="B413" s="654" t="str">
        <f>[9]Роспись!B380</f>
        <v>056</v>
      </c>
      <c r="C413" s="654" t="str">
        <f>[9]Роспись!C380</f>
        <v>08</v>
      </c>
      <c r="D413" s="654" t="str">
        <f>[9]Роспись!D380</f>
        <v>01</v>
      </c>
      <c r="E413" s="654">
        <f>[9]Роспись!E380</f>
        <v>4429901</v>
      </c>
      <c r="F413" s="654" t="str">
        <f>[9]Роспись!F380</f>
        <v>001</v>
      </c>
      <c r="G413" s="654">
        <f>[9]Роспись!G380</f>
        <v>310</v>
      </c>
      <c r="H413" s="648">
        <f>[9]Роспись!H380</f>
        <v>60</v>
      </c>
      <c r="I413" s="656">
        <f>[9]Финансирование!I413+[9]Финансирование!J413+[9]Финансирование!K413+[9]Финансирование!L413+[9]Финансирование!M413+[9]Финансирование!N413+[9]Финансирование!O413+[9]Финансирование!P413</f>
        <v>0</v>
      </c>
      <c r="J413" s="656">
        <f>[9]Финансирование!Q413+[9]Финансирование!T413+[9]Финансирование!U413+[9]Финансирование!V413+[9]Финансирование!W413+[9]Финансирование!X413+[9]Финансирование!Y413+[9]Финансирование!Z413</f>
        <v>12.715</v>
      </c>
      <c r="K413" s="656">
        <f t="shared" si="34"/>
        <v>47.284999999999997</v>
      </c>
      <c r="L413" s="635">
        <v>12.715</v>
      </c>
      <c r="M413" s="658">
        <f>L413-J413</f>
        <v>0</v>
      </c>
      <c r="N413" s="658">
        <f>K413-L413</f>
        <v>34.569999999999993</v>
      </c>
    </row>
    <row r="414" spans="1:16" x14ac:dyDescent="0.15">
      <c r="A414" s="657" t="str">
        <f>[9]Роспись!A381</f>
        <v>Увелич. стоимости матер. запасов</v>
      </c>
      <c r="B414" s="654" t="str">
        <f>[9]Роспись!B381</f>
        <v>056</v>
      </c>
      <c r="C414" s="654" t="str">
        <f>[9]Роспись!C381</f>
        <v>08</v>
      </c>
      <c r="D414" s="654" t="str">
        <f>[9]Роспись!D381</f>
        <v>01</v>
      </c>
      <c r="E414" s="654">
        <f>[9]Роспись!E381</f>
        <v>4429901</v>
      </c>
      <c r="F414" s="654" t="str">
        <f>[9]Роспись!F381</f>
        <v>001</v>
      </c>
      <c r="G414" s="654">
        <f>[9]Роспись!G381</f>
        <v>340</v>
      </c>
      <c r="H414" s="648">
        <f>[9]Роспись!H381</f>
        <v>20</v>
      </c>
      <c r="I414" s="656">
        <f>[9]Финансирование!I414+[9]Финансирование!J414+[9]Финансирование!K414+[9]Финансирование!L414+[9]Финансирование!M414+[9]Финансирование!N414+[9]Финансирование!O414+[9]Финансирование!P414</f>
        <v>6.7</v>
      </c>
      <c r="J414" s="656">
        <f>[9]Финансирование!Q414+[9]Финансирование!T414+[9]Финансирование!U414+[9]Финансирование!V414+[9]Финансирование!W414+[9]Финансирование!X414+[9]Финансирование!Y414+[9]Финансирование!Z414</f>
        <v>13.3</v>
      </c>
      <c r="K414" s="656">
        <f t="shared" si="34"/>
        <v>0</v>
      </c>
      <c r="L414" s="635">
        <v>13.3</v>
      </c>
      <c r="M414" s="658">
        <f>L414-J414</f>
        <v>0</v>
      </c>
      <c r="N414" s="658">
        <f>K414-L414</f>
        <v>-13.3</v>
      </c>
    </row>
    <row r="415" spans="1:16" x14ac:dyDescent="0.15">
      <c r="A415" s="660" t="s">
        <v>98</v>
      </c>
      <c r="B415" s="661" t="s">
        <v>79</v>
      </c>
      <c r="C415" s="661" t="s">
        <v>80</v>
      </c>
      <c r="D415" s="661" t="s">
        <v>125</v>
      </c>
      <c r="E415" s="662" t="s">
        <v>215</v>
      </c>
      <c r="F415" s="662" t="s">
        <v>102</v>
      </c>
      <c r="G415" s="663"/>
      <c r="H415" s="643">
        <f>SUM(H402:H414)</f>
        <v>2992.5</v>
      </c>
      <c r="I415" s="664">
        <f>SUM(I402:I414)</f>
        <v>1368.16</v>
      </c>
      <c r="J415" s="664">
        <f>SUM(J402:J414)</f>
        <v>1528.5699999999997</v>
      </c>
      <c r="K415" s="665">
        <f>SUM(K402:K414)</f>
        <v>95.769999999999925</v>
      </c>
      <c r="L415" s="646"/>
      <c r="M415" s="646"/>
      <c r="N415" s="646"/>
      <c r="O415" s="646"/>
      <c r="P415" s="646"/>
    </row>
    <row r="416" spans="1:16" ht="52" x14ac:dyDescent="0.15">
      <c r="A416" s="724" t="str">
        <f>'[9]Новая роспись'!A435</f>
        <v>Субсидия на финансовое обеспечение государственного задания на оказание государственных услуг (выполнение работ)</v>
      </c>
      <c r="B416" s="641"/>
      <c r="C416" s="641"/>
      <c r="D416" s="641"/>
      <c r="E416" s="666"/>
      <c r="F416" s="724">
        <f>'[9]Новая роспись'!F435</f>
        <v>611</v>
      </c>
      <c r="G416" s="724" t="str">
        <f>'[9]Новая роспись'!G435</f>
        <v>241</v>
      </c>
      <c r="H416" s="725">
        <f>'[9]Новая роспись'!H435</f>
        <v>1624.34</v>
      </c>
      <c r="I416" s="648">
        <f>[9]Финансирование!I416+[9]Финансирование!J416+[9]Финансирование!K416+[9]Финансирование!L416+[9]Финансирование!M416+[9]Финансирование!N416+[9]Финансирование!O416+[9]Финансирование!P416+[9]Финансирование!Q416+[9]Финансирование!T416+[9]Финансирование!U416+[9]Финансирование!V416+[9]Финансирование!W416+[9]Финансирование!X416+[9]Финансирование!Y416+[9]Финансирование!Z416</f>
        <v>1382.8500000000001</v>
      </c>
      <c r="J416" s="648"/>
      <c r="K416" s="648">
        <f>H416-I416</f>
        <v>241.48999999999978</v>
      </c>
      <c r="L416" s="646"/>
      <c r="M416" s="652"/>
      <c r="N416" s="646"/>
      <c r="O416" s="646"/>
      <c r="P416" s="646"/>
    </row>
    <row r="417" spans="1:16" x14ac:dyDescent="0.15">
      <c r="A417" s="3082" t="s">
        <v>138</v>
      </c>
      <c r="B417" s="3083"/>
      <c r="C417" s="672"/>
      <c r="D417" s="672"/>
      <c r="E417" s="672"/>
      <c r="F417" s="672"/>
      <c r="G417" s="649"/>
      <c r="H417" s="648"/>
      <c r="I417" s="693"/>
      <c r="J417" s="693"/>
      <c r="K417" s="648"/>
      <c r="L417" s="646"/>
      <c r="M417" s="646"/>
      <c r="N417" s="646"/>
      <c r="O417" s="646"/>
      <c r="P417" s="646"/>
    </row>
    <row r="418" spans="1:16" x14ac:dyDescent="0.15">
      <c r="A418" s="647" t="str">
        <f>[9]Роспись!A384</f>
        <v>Заработная плата</v>
      </c>
      <c r="B418" s="81" t="str">
        <f>[9]Роспись!B384</f>
        <v>056</v>
      </c>
      <c r="C418" s="81" t="str">
        <f>[9]Роспись!C384</f>
        <v>08</v>
      </c>
      <c r="D418" s="81" t="str">
        <f>[9]Роспись!D384</f>
        <v>01</v>
      </c>
      <c r="E418" s="81" t="str">
        <f>[9]Роспись!E384</f>
        <v>4429901</v>
      </c>
      <c r="F418" s="81" t="str">
        <f>[9]Роспись!F384</f>
        <v>001</v>
      </c>
      <c r="G418" s="81">
        <f>[9]Роспись!G384</f>
        <v>211</v>
      </c>
      <c r="H418" s="648">
        <f t="shared" ref="H418:K430" si="35">H402+H386+H370+H354</f>
        <v>34212.527000000002</v>
      </c>
      <c r="I418" s="693">
        <f t="shared" si="35"/>
        <v>15764.34</v>
      </c>
      <c r="J418" s="693">
        <f t="shared" si="35"/>
        <v>18448.187000000002</v>
      </c>
      <c r="K418" s="693">
        <f t="shared" si="35"/>
        <v>0</v>
      </c>
    </row>
    <row r="419" spans="1:16" x14ac:dyDescent="0.15">
      <c r="A419" s="647" t="str">
        <f>[9]Роспись!A385</f>
        <v xml:space="preserve">Прочие выплаты </v>
      </c>
      <c r="B419" s="81" t="str">
        <f>[9]Роспись!B385</f>
        <v>056</v>
      </c>
      <c r="C419" s="81" t="str">
        <f>[9]Роспись!C385</f>
        <v>08</v>
      </c>
      <c r="D419" s="81" t="str">
        <f>[9]Роспись!D385</f>
        <v>01</v>
      </c>
      <c r="E419" s="81" t="str">
        <f>[9]Роспись!E385</f>
        <v>4429901</v>
      </c>
      <c r="F419" s="81" t="str">
        <f>[9]Роспись!F385</f>
        <v>001</v>
      </c>
      <c r="G419" s="81">
        <f>[9]Роспись!G385</f>
        <v>212</v>
      </c>
      <c r="H419" s="648">
        <f t="shared" si="35"/>
        <v>6</v>
      </c>
      <c r="I419" s="693">
        <f t="shared" si="35"/>
        <v>2.5</v>
      </c>
      <c r="J419" s="693">
        <f t="shared" si="35"/>
        <v>3.5</v>
      </c>
      <c r="K419" s="693">
        <f t="shared" si="35"/>
        <v>0</v>
      </c>
    </row>
    <row r="420" spans="1:16" x14ac:dyDescent="0.15">
      <c r="A420" s="647" t="str">
        <f>[9]Роспись!A386</f>
        <v>Начисления на оплату труда</v>
      </c>
      <c r="B420" s="81" t="str">
        <f>[9]Роспись!B386</f>
        <v>056</v>
      </c>
      <c r="C420" s="81" t="str">
        <f>[9]Роспись!C386</f>
        <v>08</v>
      </c>
      <c r="D420" s="81" t="str">
        <f>[9]Роспись!D386</f>
        <v>01</v>
      </c>
      <c r="E420" s="81" t="str">
        <f>[9]Роспись!E386</f>
        <v>4429901</v>
      </c>
      <c r="F420" s="81" t="str">
        <f>[9]Роспись!F386</f>
        <v>001</v>
      </c>
      <c r="G420" s="81">
        <f>[9]Роспись!G386</f>
        <v>213</v>
      </c>
      <c r="H420" s="648">
        <f t="shared" si="35"/>
        <v>10324.619999999999</v>
      </c>
      <c r="I420" s="693">
        <f t="shared" si="35"/>
        <v>5100.9400000000005</v>
      </c>
      <c r="J420" s="693">
        <f t="shared" si="35"/>
        <v>5061.9090000000006</v>
      </c>
      <c r="K420" s="693">
        <f t="shared" si="35"/>
        <v>161.77099999999939</v>
      </c>
    </row>
    <row r="421" spans="1:16" x14ac:dyDescent="0.15">
      <c r="A421" s="647" t="str">
        <f>[9]Роспись!A387</f>
        <v xml:space="preserve">Оплата услуг связи </v>
      </c>
      <c r="B421" s="81" t="str">
        <f>[9]Роспись!B387</f>
        <v>056</v>
      </c>
      <c r="C421" s="81" t="str">
        <f>[9]Роспись!C387</f>
        <v>08</v>
      </c>
      <c r="D421" s="81" t="str">
        <f>[9]Роспись!D387</f>
        <v>01</v>
      </c>
      <c r="E421" s="81" t="str">
        <f>[9]Роспись!E387</f>
        <v>4429901</v>
      </c>
      <c r="F421" s="81" t="str">
        <f>[9]Роспись!F387</f>
        <v>001</v>
      </c>
      <c r="G421" s="81">
        <f>[9]Роспись!G387</f>
        <v>221</v>
      </c>
      <c r="H421" s="648">
        <f t="shared" si="35"/>
        <v>107</v>
      </c>
      <c r="I421" s="693">
        <f t="shared" si="35"/>
        <v>26.75</v>
      </c>
      <c r="J421" s="693">
        <f t="shared" si="35"/>
        <v>80.25</v>
      </c>
      <c r="K421" s="693">
        <f t="shared" si="35"/>
        <v>0</v>
      </c>
    </row>
    <row r="422" spans="1:16" x14ac:dyDescent="0.15">
      <c r="A422" s="647" t="str">
        <f>[9]Роспись!A388</f>
        <v>Транспортные услуги</v>
      </c>
      <c r="B422" s="81" t="str">
        <f>[9]Роспись!B388</f>
        <v>056</v>
      </c>
      <c r="C422" s="81" t="str">
        <f>[9]Роспись!C388</f>
        <v>08</v>
      </c>
      <c r="D422" s="81" t="str">
        <f>[9]Роспись!D388</f>
        <v>01</v>
      </c>
      <c r="E422" s="81" t="str">
        <f>[9]Роспись!E388</f>
        <v>4429901</v>
      </c>
      <c r="F422" s="81" t="str">
        <f>[9]Роспись!F388</f>
        <v>001</v>
      </c>
      <c r="G422" s="81">
        <f>[9]Роспись!G388</f>
        <v>222</v>
      </c>
      <c r="H422" s="648">
        <f t="shared" si="35"/>
        <v>8</v>
      </c>
      <c r="I422" s="693">
        <f t="shared" si="35"/>
        <v>2</v>
      </c>
      <c r="J422" s="693">
        <f t="shared" si="35"/>
        <v>6</v>
      </c>
      <c r="K422" s="693">
        <f t="shared" si="35"/>
        <v>0</v>
      </c>
    </row>
    <row r="423" spans="1:16" x14ac:dyDescent="0.15">
      <c r="A423" s="647" t="str">
        <f>[9]Роспись!A389</f>
        <v>Коммунальные услуги</v>
      </c>
      <c r="B423" s="81" t="str">
        <f>[9]Роспись!B389</f>
        <v>056</v>
      </c>
      <c r="C423" s="81" t="str">
        <f>[9]Роспись!C389</f>
        <v>08</v>
      </c>
      <c r="D423" s="81" t="str">
        <f>[9]Роспись!D389</f>
        <v>01</v>
      </c>
      <c r="E423" s="81" t="str">
        <f>[9]Роспись!E389</f>
        <v>4429901</v>
      </c>
      <c r="F423" s="81" t="str">
        <f>[9]Роспись!F389</f>
        <v>001</v>
      </c>
      <c r="G423" s="81">
        <f>[9]Роспись!G389</f>
        <v>223</v>
      </c>
      <c r="H423" s="648">
        <f t="shared" si="35"/>
        <v>2192</v>
      </c>
      <c r="I423" s="693">
        <f t="shared" si="35"/>
        <v>926.25</v>
      </c>
      <c r="J423" s="693">
        <f t="shared" si="35"/>
        <v>1002.8910000000001</v>
      </c>
      <c r="K423" s="693">
        <f t="shared" si="35"/>
        <v>262.85900000000004</v>
      </c>
      <c r="L423" s="658">
        <f>K423+K427+K428</f>
        <v>262.85900000000004</v>
      </c>
    </row>
    <row r="424" spans="1:16" x14ac:dyDescent="0.15">
      <c r="A424" s="647" t="str">
        <f>[9]Роспись!A390</f>
        <v>Арендная плата</v>
      </c>
      <c r="B424" s="81" t="str">
        <f>[9]Роспись!B390</f>
        <v>056</v>
      </c>
      <c r="C424" s="81" t="str">
        <f>[9]Роспись!C390</f>
        <v>08</v>
      </c>
      <c r="D424" s="81" t="str">
        <f>[9]Роспись!D390</f>
        <v>01</v>
      </c>
      <c r="E424" s="81" t="str">
        <f>[9]Роспись!E390</f>
        <v>4429901</v>
      </c>
      <c r="F424" s="81" t="str">
        <f>[9]Роспись!F390</f>
        <v>001</v>
      </c>
      <c r="G424" s="81">
        <f>[9]Роспись!G390</f>
        <v>224</v>
      </c>
      <c r="H424" s="648">
        <f t="shared" si="35"/>
        <v>620</v>
      </c>
      <c r="I424" s="693">
        <f t="shared" si="35"/>
        <v>258.33</v>
      </c>
      <c r="J424" s="693">
        <f t="shared" si="35"/>
        <v>57.486000000000004</v>
      </c>
      <c r="K424" s="693">
        <f t="shared" si="35"/>
        <v>304.18399999999997</v>
      </c>
    </row>
    <row r="425" spans="1:16" x14ac:dyDescent="0.15">
      <c r="A425" s="647" t="str">
        <f>[9]Роспись!A391</f>
        <v>Услуги по содерж. имущества</v>
      </c>
      <c r="B425" s="81" t="str">
        <f>[9]Роспись!B391</f>
        <v>056</v>
      </c>
      <c r="C425" s="81" t="str">
        <f>[9]Роспись!C391</f>
        <v>08</v>
      </c>
      <c r="D425" s="81" t="str">
        <f>[9]Роспись!D391</f>
        <v>01</v>
      </c>
      <c r="E425" s="81" t="str">
        <f>[9]Роспись!E391</f>
        <v>4429901</v>
      </c>
      <c r="F425" s="81" t="str">
        <f>[9]Роспись!F391</f>
        <v>001</v>
      </c>
      <c r="G425" s="81">
        <f>[9]Роспись!G391</f>
        <v>225</v>
      </c>
      <c r="H425" s="648">
        <f t="shared" si="35"/>
        <v>2144</v>
      </c>
      <c r="I425" s="693">
        <f t="shared" si="35"/>
        <v>536</v>
      </c>
      <c r="J425" s="693">
        <f t="shared" si="35"/>
        <v>1606.2460000000001</v>
      </c>
      <c r="K425" s="693">
        <f t="shared" si="35"/>
        <v>1.7539999999999054</v>
      </c>
    </row>
    <row r="426" spans="1:16" x14ac:dyDescent="0.15">
      <c r="A426" s="647" t="str">
        <f>[9]Роспись!A392</f>
        <v>Прочие услуги</v>
      </c>
      <c r="B426" s="81" t="str">
        <f>[9]Роспись!B392</f>
        <v>056</v>
      </c>
      <c r="C426" s="81" t="str">
        <f>[9]Роспись!C392</f>
        <v>08</v>
      </c>
      <c r="D426" s="81" t="str">
        <f>[9]Роспись!D392</f>
        <v>01</v>
      </c>
      <c r="E426" s="81" t="str">
        <f>[9]Роспись!E392</f>
        <v>4429901</v>
      </c>
      <c r="F426" s="81" t="str">
        <f>[9]Роспись!F392</f>
        <v>001</v>
      </c>
      <c r="G426" s="81">
        <f>[9]Роспись!G392</f>
        <v>226</v>
      </c>
      <c r="H426" s="648">
        <f t="shared" si="35"/>
        <v>2471.1729999999998</v>
      </c>
      <c r="I426" s="693">
        <f t="shared" si="35"/>
        <v>1024.8800000000001</v>
      </c>
      <c r="J426" s="693">
        <f t="shared" si="35"/>
        <v>1317.0619999999999</v>
      </c>
      <c r="K426" s="693">
        <f t="shared" si="35"/>
        <v>129.23099999999999</v>
      </c>
    </row>
    <row r="427" spans="1:16" x14ac:dyDescent="0.15">
      <c r="A427" s="647" t="str">
        <f>[9]Роспись!A393</f>
        <v xml:space="preserve">Прочие расходы </v>
      </c>
      <c r="B427" s="81" t="str">
        <f>[9]Роспись!B393</f>
        <v>056</v>
      </c>
      <c r="C427" s="81" t="str">
        <f>[9]Роспись!C393</f>
        <v>08</v>
      </c>
      <c r="D427" s="81" t="str">
        <f>[9]Роспись!D393</f>
        <v>01</v>
      </c>
      <c r="E427" s="81" t="str">
        <f>[9]Роспись!E393</f>
        <v>4429901</v>
      </c>
      <c r="F427" s="81" t="str">
        <f>[9]Роспись!F393</f>
        <v>001</v>
      </c>
      <c r="G427" s="81">
        <f>[9]Роспись!G393</f>
        <v>290</v>
      </c>
      <c r="H427" s="648">
        <f t="shared" si="35"/>
        <v>70.8</v>
      </c>
      <c r="I427" s="693">
        <f t="shared" si="35"/>
        <v>35.4</v>
      </c>
      <c r="J427" s="693">
        <f t="shared" si="35"/>
        <v>35.400000000000006</v>
      </c>
      <c r="K427" s="693">
        <f t="shared" si="35"/>
        <v>0</v>
      </c>
    </row>
    <row r="428" spans="1:16" x14ac:dyDescent="0.15">
      <c r="A428" s="647" t="str">
        <f>[9]Роспись!A394</f>
        <v xml:space="preserve">Прочие расходы </v>
      </c>
      <c r="B428" s="81" t="str">
        <f>[9]Роспись!B394</f>
        <v>056</v>
      </c>
      <c r="C428" s="81" t="str">
        <f>[9]Роспись!C394</f>
        <v>08</v>
      </c>
      <c r="D428" s="81" t="str">
        <f>[9]Роспись!D394</f>
        <v>01</v>
      </c>
      <c r="E428" s="81" t="str">
        <f>[9]Роспись!E394</f>
        <v>4429500</v>
      </c>
      <c r="F428" s="81" t="str">
        <f>[9]Роспись!F394</f>
        <v>001</v>
      </c>
      <c r="G428" s="81" t="str">
        <f>[9]Роспись!G394</f>
        <v>290</v>
      </c>
      <c r="H428" s="648">
        <f t="shared" si="35"/>
        <v>2378.2999999999997</v>
      </c>
      <c r="I428" s="693">
        <f t="shared" si="35"/>
        <v>1214.7</v>
      </c>
      <c r="J428" s="693">
        <f t="shared" si="35"/>
        <v>1163.6000000000001</v>
      </c>
      <c r="K428" s="693">
        <f t="shared" si="35"/>
        <v>1.7763568394002505E-15</v>
      </c>
    </row>
    <row r="429" spans="1:16" x14ac:dyDescent="0.15">
      <c r="A429" s="647" t="str">
        <f>[9]Роспись!A395</f>
        <v>Увелич. стоимости осн. средств</v>
      </c>
      <c r="B429" s="81" t="str">
        <f>[9]Роспись!B395</f>
        <v>056</v>
      </c>
      <c r="C429" s="81" t="str">
        <f>[9]Роспись!C395</f>
        <v>08</v>
      </c>
      <c r="D429" s="81" t="str">
        <f>[9]Роспись!D395</f>
        <v>01</v>
      </c>
      <c r="E429" s="81" t="str">
        <f>[9]Роспись!E395</f>
        <v>4429901</v>
      </c>
      <c r="F429" s="81" t="str">
        <f>[9]Роспись!F395</f>
        <v>001</v>
      </c>
      <c r="G429" s="81">
        <f>[9]Роспись!G395</f>
        <v>310</v>
      </c>
      <c r="H429" s="648">
        <f t="shared" si="35"/>
        <v>445.08000000000004</v>
      </c>
      <c r="I429" s="693">
        <f t="shared" si="35"/>
        <v>0</v>
      </c>
      <c r="J429" s="693">
        <f t="shared" si="35"/>
        <v>294.72899999999998</v>
      </c>
      <c r="K429" s="693">
        <f t="shared" si="35"/>
        <v>150.351</v>
      </c>
    </row>
    <row r="430" spans="1:16" x14ac:dyDescent="0.15">
      <c r="A430" s="647" t="str">
        <f>[9]Роспись!A396</f>
        <v>Увелич. стоимости матер. запасов</v>
      </c>
      <c r="B430" s="81" t="str">
        <f>[9]Роспись!B396</f>
        <v>056</v>
      </c>
      <c r="C430" s="81" t="str">
        <f>[9]Роспись!C396</f>
        <v>08</v>
      </c>
      <c r="D430" s="81" t="str">
        <f>[9]Роспись!D396</f>
        <v>01</v>
      </c>
      <c r="E430" s="81" t="str">
        <f>[9]Роспись!E396</f>
        <v>4429901</v>
      </c>
      <c r="F430" s="81" t="str">
        <f>[9]Роспись!F396</f>
        <v>001</v>
      </c>
      <c r="G430" s="81">
        <f>[9]Роспись!G396</f>
        <v>340</v>
      </c>
      <c r="H430" s="648">
        <f t="shared" si="35"/>
        <v>357.1</v>
      </c>
      <c r="I430" s="693">
        <f t="shared" si="35"/>
        <v>91.670000000000016</v>
      </c>
      <c r="J430" s="693">
        <f t="shared" si="35"/>
        <v>265.43</v>
      </c>
      <c r="K430" s="693">
        <f t="shared" si="35"/>
        <v>0</v>
      </c>
    </row>
    <row r="431" spans="1:16" x14ac:dyDescent="0.15">
      <c r="A431" s="78" t="s">
        <v>98</v>
      </c>
      <c r="B431" s="641" t="s">
        <v>79</v>
      </c>
      <c r="C431" s="641" t="s">
        <v>80</v>
      </c>
      <c r="D431" s="641" t="s">
        <v>125</v>
      </c>
      <c r="E431" s="81" t="str">
        <f>[9]Роспись!E397</f>
        <v>4420000</v>
      </c>
      <c r="F431" s="666" t="s">
        <v>102</v>
      </c>
      <c r="G431" s="649"/>
      <c r="H431" s="650">
        <f>SUM(H418:H430)</f>
        <v>55336.600000000006</v>
      </c>
      <c r="I431" s="676">
        <f>SUM(I418:I430)</f>
        <v>24983.760000000002</v>
      </c>
      <c r="J431" s="676">
        <f>SUM(J418:J430)</f>
        <v>29342.690000000002</v>
      </c>
      <c r="K431" s="651">
        <f>SUM(K418:K430)</f>
        <v>1010.1499999999993</v>
      </c>
      <c r="L431" s="652">
        <f>I431-I428</f>
        <v>23769.06</v>
      </c>
      <c r="M431" s="652">
        <f>H431-I428</f>
        <v>54121.900000000009</v>
      </c>
      <c r="N431" s="646"/>
      <c r="O431" s="646"/>
      <c r="P431" s="646"/>
    </row>
    <row r="432" spans="1:16" ht="52" x14ac:dyDescent="0.15">
      <c r="A432" s="640" t="str">
        <f>A416</f>
        <v>Субсидия на финансовое обеспечение государственного задания на оказание государственных услуг (выполнение работ)</v>
      </c>
      <c r="B432" s="641"/>
      <c r="C432" s="641"/>
      <c r="D432" s="641"/>
      <c r="E432" s="81"/>
      <c r="F432" s="640">
        <f>F416</f>
        <v>611</v>
      </c>
      <c r="G432" s="640" t="str">
        <f>G416</f>
        <v>241</v>
      </c>
      <c r="H432" s="643">
        <f>H416+H400+H384+H368</f>
        <v>30352.840000000004</v>
      </c>
      <c r="I432" s="681">
        <f>I416+I400+I384+I368</f>
        <v>25490.07</v>
      </c>
      <c r="J432" s="681"/>
      <c r="K432" s="681">
        <f>K416+K400+K384+K368</f>
        <v>4862.7700000000004</v>
      </c>
      <c r="L432" s="652">
        <f>I432-26785.65</f>
        <v>-1295.5800000000017</v>
      </c>
      <c r="M432" s="652">
        <f>K432+L432</f>
        <v>3567.1899999999987</v>
      </c>
      <c r="N432" s="646"/>
      <c r="O432" s="646"/>
      <c r="P432" s="646"/>
    </row>
    <row r="433" spans="1:16" x14ac:dyDescent="0.15">
      <c r="A433" s="660" t="s">
        <v>139</v>
      </c>
      <c r="B433" s="668"/>
      <c r="C433" s="668"/>
      <c r="D433" s="668"/>
      <c r="E433" s="661"/>
      <c r="F433" s="661"/>
      <c r="G433" s="663"/>
      <c r="H433" s="648"/>
      <c r="I433" s="655"/>
      <c r="J433" s="655"/>
      <c r="K433" s="656"/>
      <c r="L433" s="646"/>
      <c r="M433" s="646"/>
      <c r="N433" s="646"/>
      <c r="O433" s="646"/>
      <c r="P433" s="646"/>
    </row>
    <row r="434" spans="1:16" ht="15" thickBot="1" x14ac:dyDescent="0.2">
      <c r="A434" s="657" t="str">
        <f>[9]Роспись!A399</f>
        <v>Заработная плата</v>
      </c>
      <c r="B434" s="654" t="str">
        <f>[9]Роспись!B399</f>
        <v>056</v>
      </c>
      <c r="C434" s="654" t="str">
        <f>[9]Роспись!C399</f>
        <v>08</v>
      </c>
      <c r="D434" s="654" t="str">
        <f>[9]Роспись!D399</f>
        <v>01</v>
      </c>
      <c r="E434" s="654">
        <f>[9]Роспись!E399</f>
        <v>4439901</v>
      </c>
      <c r="F434" s="654" t="str">
        <f>[9]Роспись!F399</f>
        <v>001</v>
      </c>
      <c r="G434" s="654">
        <f>[9]Роспись!G399</f>
        <v>211</v>
      </c>
      <c r="H434" s="648">
        <f>[9]Роспись!H399</f>
        <v>22267.966</v>
      </c>
      <c r="I434" s="656">
        <f>[9]Финансирование!I434+[9]Финансирование!J434+[9]Финансирование!K434+[9]Финансирование!L434+[9]Финансирование!M434+[9]Финансирование!N434+[9]Финансирование!O434+[9]Финансирование!P434</f>
        <v>10268</v>
      </c>
      <c r="J434" s="656">
        <f>[9]Финансирование!Q434+[9]Финансирование!T434+[9]Финансирование!U434+[9]Финансирование!V434+[9]Финансирование!W434+[9]Финансирование!X434+[9]Финансирование!Y434+[9]Финансирование!Z434</f>
        <v>11999.966</v>
      </c>
      <c r="K434" s="656">
        <f>H434-I434-J434</f>
        <v>0</v>
      </c>
      <c r="L434" s="635">
        <v>11999.966</v>
      </c>
      <c r="M434" s="658">
        <f>L434-J434</f>
        <v>0</v>
      </c>
    </row>
    <row r="435" spans="1:16" ht="15" thickBot="1" x14ac:dyDescent="0.2">
      <c r="A435" s="657" t="str">
        <f>[9]Роспись!A400</f>
        <v xml:space="preserve">Прочие выплаты </v>
      </c>
      <c r="B435" s="654" t="str">
        <f>[9]Роспись!B400</f>
        <v>056</v>
      </c>
      <c r="C435" s="654" t="str">
        <f>[9]Роспись!C400</f>
        <v>08</v>
      </c>
      <c r="D435" s="654" t="str">
        <f>[9]Роспись!D400</f>
        <v>01</v>
      </c>
      <c r="E435" s="654">
        <f>[9]Роспись!E400</f>
        <v>4439901</v>
      </c>
      <c r="F435" s="654" t="str">
        <f>[9]Роспись!F400</f>
        <v>001</v>
      </c>
      <c r="G435" s="654">
        <f>[9]Роспись!G400</f>
        <v>212</v>
      </c>
      <c r="H435" s="648">
        <f>[9]Роспись!H400</f>
        <v>0</v>
      </c>
      <c r="I435" s="656">
        <f>[9]Финансирование!I435+[9]Финансирование!J435+[9]Финансирование!K435+[9]Финансирование!L435+[9]Финансирование!M435+[9]Финансирование!N435+[9]Финансирование!O435+[9]Финансирование!P435</f>
        <v>0</v>
      </c>
      <c r="J435" s="656">
        <f>[9]Финансирование!Q435+[9]Финансирование!T435+[9]Финансирование!U435+[9]Финансирование!V435+[9]Финансирование!W435+[9]Финансирование!X435+[9]Финансирование!Y435+[9]Финансирование!Z435</f>
        <v>0</v>
      </c>
      <c r="K435" s="656">
        <f t="shared" ref="K435:K446" si="36">H435-I435-J435</f>
        <v>0</v>
      </c>
      <c r="M435" s="658">
        <f t="shared" ref="M435:M446" si="37">L435-J435</f>
        <v>0</v>
      </c>
      <c r="P435" s="726">
        <v>222</v>
      </c>
    </row>
    <row r="436" spans="1:16" ht="15" thickBot="1" x14ac:dyDescent="0.2">
      <c r="A436" s="657" t="str">
        <f>[9]Роспись!A401</f>
        <v>Начисления на оплату труда</v>
      </c>
      <c r="B436" s="654" t="str">
        <f>[9]Роспись!B401</f>
        <v>056</v>
      </c>
      <c r="C436" s="654" t="str">
        <f>[9]Роспись!C401</f>
        <v>08</v>
      </c>
      <c r="D436" s="654" t="str">
        <f>[9]Роспись!D401</f>
        <v>01</v>
      </c>
      <c r="E436" s="654">
        <f>[9]Роспись!E401</f>
        <v>4439901</v>
      </c>
      <c r="F436" s="654" t="str">
        <f>[9]Роспись!F401</f>
        <v>001</v>
      </c>
      <c r="G436" s="654">
        <f>[9]Роспись!G401</f>
        <v>213</v>
      </c>
      <c r="H436" s="648">
        <f>[9]Роспись!H401</f>
        <v>6724.6</v>
      </c>
      <c r="I436" s="656">
        <f>[9]Финансирование!I436+[9]Финансирование!J436+[9]Финансирование!K436+[9]Финансирование!L436+[9]Финансирование!M436+[9]Финансирование!N436+[9]Финансирование!O436+[9]Финансирование!P436</f>
        <v>3322.4300000000003</v>
      </c>
      <c r="J436" s="656">
        <f>[9]Финансирование!Q436+[9]Финансирование!T436+[9]Финансирование!U436+[9]Финансирование!V436+[9]Финансирование!W436+[9]Финансирование!X436+[9]Финансирование!Y436+[9]Финансирование!Z436</f>
        <v>3402.1700000000005</v>
      </c>
      <c r="K436" s="656">
        <f t="shared" si="36"/>
        <v>0</v>
      </c>
      <c r="L436" s="635">
        <v>3401.97</v>
      </c>
      <c r="M436" s="658">
        <f t="shared" si="37"/>
        <v>-0.2000000000007276</v>
      </c>
      <c r="P436" s="727">
        <v>226</v>
      </c>
    </row>
    <row r="437" spans="1:16" x14ac:dyDescent="0.15">
      <c r="A437" s="657" t="str">
        <f>[9]Роспись!A402</f>
        <v xml:space="preserve">Оплата услуг связи </v>
      </c>
      <c r="B437" s="654" t="str">
        <f>[9]Роспись!B402</f>
        <v>056</v>
      </c>
      <c r="C437" s="654" t="str">
        <f>[9]Роспись!C402</f>
        <v>08</v>
      </c>
      <c r="D437" s="654" t="str">
        <f>[9]Роспись!D402</f>
        <v>01</v>
      </c>
      <c r="E437" s="654">
        <f>[9]Роспись!E402</f>
        <v>4439901</v>
      </c>
      <c r="F437" s="654" t="str">
        <f>[9]Роспись!F402</f>
        <v>001</v>
      </c>
      <c r="G437" s="654">
        <f>[9]Роспись!G402</f>
        <v>221</v>
      </c>
      <c r="H437" s="648">
        <f>[9]Роспись!H402</f>
        <v>0</v>
      </c>
      <c r="I437" s="656">
        <f>[9]Финансирование!I437+[9]Финансирование!J437+[9]Финансирование!K437+[9]Финансирование!L437+[9]Финансирование!M437+[9]Финансирование!N437+[9]Финансирование!O437+[9]Финансирование!P437</f>
        <v>0</v>
      </c>
      <c r="J437" s="656">
        <f>[9]Финансирование!Q437+[9]Финансирование!T437+[9]Финансирование!U437+[9]Финансирование!V437+[9]Финансирование!W437+[9]Финансирование!X437+[9]Финансирование!Y437+[9]Финансирование!Z437</f>
        <v>0</v>
      </c>
      <c r="K437" s="656">
        <f t="shared" si="36"/>
        <v>0</v>
      </c>
      <c r="M437" s="658">
        <f t="shared" si="37"/>
        <v>0</v>
      </c>
    </row>
    <row r="438" spans="1:16" x14ac:dyDescent="0.15">
      <c r="A438" s="657" t="str">
        <f>[9]Роспись!A403</f>
        <v>Транспортные услуги</v>
      </c>
      <c r="B438" s="654" t="str">
        <f>[9]Роспись!B403</f>
        <v>056</v>
      </c>
      <c r="C438" s="654" t="str">
        <f>[9]Роспись!C403</f>
        <v>08</v>
      </c>
      <c r="D438" s="654" t="str">
        <f>[9]Роспись!D403</f>
        <v>01</v>
      </c>
      <c r="E438" s="654">
        <f>[9]Роспись!E403</f>
        <v>4439901</v>
      </c>
      <c r="F438" s="654" t="str">
        <f>[9]Роспись!F403</f>
        <v>001</v>
      </c>
      <c r="G438" s="654">
        <f>[9]Роспись!G403</f>
        <v>222</v>
      </c>
      <c r="H438" s="648">
        <f>[9]Роспись!H403</f>
        <v>84.710000000000008</v>
      </c>
      <c r="I438" s="656">
        <f>[9]Финансирование!I438+[9]Финансирование!J438+[9]Финансирование!K438+[9]Финансирование!L438+[9]Финансирование!M438+[9]Финансирование!N438+[9]Финансирование!O438+[9]Финансирование!P438</f>
        <v>0</v>
      </c>
      <c r="J438" s="656">
        <f>[9]Финансирование!Q438+[9]Финансирование!T438+[9]Финансирование!U438+[9]Финансирование!V438+[9]Финансирование!W438+[9]Финансирование!X438+[9]Финансирование!Y438+[9]Финансирование!Z438</f>
        <v>84.710000000000008</v>
      </c>
      <c r="K438" s="656">
        <f t="shared" si="36"/>
        <v>0</v>
      </c>
      <c r="L438" s="635">
        <v>0</v>
      </c>
      <c r="M438" s="658">
        <f>L438-J438+84.71</f>
        <v>0</v>
      </c>
    </row>
    <row r="439" spans="1:16" x14ac:dyDescent="0.15">
      <c r="A439" s="657" t="str">
        <f>[9]Роспись!A404</f>
        <v>Коммунальные услуги</v>
      </c>
      <c r="B439" s="654" t="str">
        <f>[9]Роспись!B404</f>
        <v>056</v>
      </c>
      <c r="C439" s="654" t="str">
        <f>[9]Роспись!C404</f>
        <v>08</v>
      </c>
      <c r="D439" s="654" t="str">
        <f>[9]Роспись!D404</f>
        <v>01</v>
      </c>
      <c r="E439" s="654">
        <f>[9]Роспись!E404</f>
        <v>4439901</v>
      </c>
      <c r="F439" s="654" t="str">
        <f>[9]Роспись!F404</f>
        <v>001</v>
      </c>
      <c r="G439" s="654">
        <f>[9]Роспись!G404</f>
        <v>223</v>
      </c>
      <c r="H439" s="648">
        <f>[9]Роспись!H404</f>
        <v>2055</v>
      </c>
      <c r="I439" s="656">
        <f>[9]Финансирование!I439+[9]Финансирование!J439+[9]Финансирование!K439+[9]Финансирование!L439+[9]Финансирование!M439+[9]Финансирование!N439+[9]Финансирование!O439+[9]Финансирование!P439</f>
        <v>782.05</v>
      </c>
      <c r="J439" s="656">
        <f>[9]Финансирование!Q439+[9]Финансирование!T439+[9]Финансирование!U439+[9]Финансирование!V439+[9]Финансирование!W439+[9]Финансирование!X439+[9]Финансирование!Y439+[9]Финансирование!Z439</f>
        <v>733</v>
      </c>
      <c r="K439" s="656">
        <f t="shared" si="36"/>
        <v>539.95000000000005</v>
      </c>
      <c r="L439" s="659">
        <v>501.9</v>
      </c>
      <c r="M439" s="658">
        <f t="shared" si="37"/>
        <v>-231.10000000000002</v>
      </c>
    </row>
    <row r="440" spans="1:16" x14ac:dyDescent="0.15">
      <c r="A440" s="657" t="str">
        <f>[9]Роспись!A405</f>
        <v>Арендная плата</v>
      </c>
      <c r="B440" s="654" t="str">
        <f>[9]Роспись!B405</f>
        <v>056</v>
      </c>
      <c r="C440" s="654" t="str">
        <f>[9]Роспись!C405</f>
        <v>08</v>
      </c>
      <c r="D440" s="654" t="str">
        <f>[9]Роспись!D405</f>
        <v>01</v>
      </c>
      <c r="E440" s="654">
        <f>[9]Роспись!E405</f>
        <v>4439901</v>
      </c>
      <c r="F440" s="654" t="str">
        <f>[9]Роспись!F405</f>
        <v>001</v>
      </c>
      <c r="G440" s="654">
        <f>[9]Роспись!G405</f>
        <v>224</v>
      </c>
      <c r="H440" s="648">
        <f>[9]Роспись!H405</f>
        <v>0</v>
      </c>
      <c r="I440" s="656">
        <f>[9]Финансирование!I440+[9]Финансирование!J440+[9]Финансирование!K440+[9]Финансирование!L440+[9]Финансирование!M440+[9]Финансирование!N440+[9]Финансирование!O440+[9]Финансирование!P440</f>
        <v>0</v>
      </c>
      <c r="J440" s="656">
        <f>[9]Финансирование!Q440+[9]Финансирование!T440+[9]Финансирование!U440+[9]Финансирование!V440+[9]Финансирование!W440+[9]Финансирование!X440+[9]Финансирование!Y440+[9]Финансирование!Z440</f>
        <v>0</v>
      </c>
      <c r="K440" s="656">
        <f t="shared" si="36"/>
        <v>0</v>
      </c>
      <c r="M440" s="658">
        <f t="shared" si="37"/>
        <v>0</v>
      </c>
    </row>
    <row r="441" spans="1:16" x14ac:dyDescent="0.15">
      <c r="A441" s="657" t="str">
        <f>[9]Роспись!A406</f>
        <v>Услуги по содерж. имущества</v>
      </c>
      <c r="B441" s="654" t="str">
        <f>[9]Роспись!B406</f>
        <v>056</v>
      </c>
      <c r="C441" s="654" t="str">
        <f>[9]Роспись!C406</f>
        <v>08</v>
      </c>
      <c r="D441" s="654" t="str">
        <f>[9]Роспись!D406</f>
        <v>01</v>
      </c>
      <c r="E441" s="654">
        <f>[9]Роспись!E406</f>
        <v>4439901</v>
      </c>
      <c r="F441" s="654" t="str">
        <f>[9]Роспись!F406</f>
        <v>001</v>
      </c>
      <c r="G441" s="654">
        <f>[9]Роспись!G406</f>
        <v>225</v>
      </c>
      <c r="H441" s="648">
        <f>[9]Роспись!H406</f>
        <v>231</v>
      </c>
      <c r="I441" s="656">
        <f>[9]Финансирование!I441+[9]Финансирование!J441+[9]Финансирование!K441+[9]Финансирование!L441+[9]Финансирование!M441+[9]Финансирование!N441+[9]Финансирование!O441+[9]Финансирование!P441</f>
        <v>57.75</v>
      </c>
      <c r="J441" s="656">
        <f>[9]Финансирование!Q441+[9]Финансирование!T441+[9]Финансирование!U441+[9]Финансирование!V441+[9]Финансирование!W441+[9]Финансирование!X441+[9]Финансирование!Y441+[9]Финансирование!Z441</f>
        <v>173.25</v>
      </c>
      <c r="K441" s="656">
        <f t="shared" si="36"/>
        <v>0</v>
      </c>
      <c r="L441" s="659">
        <v>0</v>
      </c>
      <c r="M441" s="658">
        <f t="shared" si="37"/>
        <v>-173.25</v>
      </c>
    </row>
    <row r="442" spans="1:16" x14ac:dyDescent="0.15">
      <c r="A442" s="657" t="str">
        <f>[9]Роспись!A407</f>
        <v>Прочие услуги</v>
      </c>
      <c r="B442" s="654" t="str">
        <f>[9]Роспись!B407</f>
        <v>056</v>
      </c>
      <c r="C442" s="654" t="str">
        <f>[9]Роспись!C407</f>
        <v>08</v>
      </c>
      <c r="D442" s="654" t="str">
        <f>[9]Роспись!D407</f>
        <v>01</v>
      </c>
      <c r="E442" s="654">
        <f>[9]Роспись!E407</f>
        <v>4439901</v>
      </c>
      <c r="F442" s="654" t="str">
        <f>[9]Роспись!F407</f>
        <v>001</v>
      </c>
      <c r="G442" s="654">
        <f>[9]Роспись!G407</f>
        <v>226</v>
      </c>
      <c r="H442" s="648">
        <f>[9]Роспись!H407</f>
        <v>1131.221</v>
      </c>
      <c r="I442" s="656">
        <f>[9]Финансирование!I442+[9]Финансирование!J442+[9]Финансирование!K442+[9]Финансирование!L442+[9]Финансирование!M442+[9]Финансирование!N442+[9]Финансирование!O442+[9]Финансирование!P442</f>
        <v>136.77000000000001</v>
      </c>
      <c r="J442" s="656">
        <f>[9]Финансирование!Q442+[9]Финансирование!T442+[9]Финансирование!U442+[9]Финансирование!V442+[9]Финансирование!W442+[9]Финансирование!X442+[9]Финансирование!Y442+[9]Финансирование!Z442</f>
        <v>831.221</v>
      </c>
      <c r="K442" s="656">
        <f t="shared" si="36"/>
        <v>163.23000000000002</v>
      </c>
      <c r="L442" s="659">
        <v>0</v>
      </c>
      <c r="M442" s="658">
        <f>L442-J442+831.221</f>
        <v>0</v>
      </c>
    </row>
    <row r="443" spans="1:16" x14ac:dyDescent="0.15">
      <c r="A443" s="657" t="str">
        <f>[9]Роспись!A408</f>
        <v xml:space="preserve">Прочие расходы </v>
      </c>
      <c r="B443" s="654" t="str">
        <f>[9]Роспись!B408</f>
        <v>056</v>
      </c>
      <c r="C443" s="654" t="str">
        <f>[9]Роспись!C408</f>
        <v>08</v>
      </c>
      <c r="D443" s="654" t="str">
        <f>[9]Роспись!D408</f>
        <v>01</v>
      </c>
      <c r="E443" s="654">
        <f>[9]Роспись!E408</f>
        <v>4439901</v>
      </c>
      <c r="F443" s="654" t="str">
        <f>[9]Роспись!F408</f>
        <v>001</v>
      </c>
      <c r="G443" s="654">
        <f>[9]Роспись!G408</f>
        <v>290</v>
      </c>
      <c r="H443" s="648">
        <f>[9]Роспись!H408</f>
        <v>47.5</v>
      </c>
      <c r="I443" s="656">
        <f>[9]Финансирование!I443+[9]Финансирование!J443+[9]Финансирование!K443+[9]Финансирование!L443+[9]Финансирование!M443+[9]Финансирование!N443+[9]Финансирование!O443+[9]Финансирование!P443</f>
        <v>23.6</v>
      </c>
      <c r="J443" s="656">
        <f>[9]Финансирование!Q443+[9]Финансирование!T443+[9]Финансирование!U443+[9]Финансирование!V443+[9]Финансирование!W443+[9]Финансирование!X443+[9]Финансирование!Y443+[9]Финансирование!Z443</f>
        <v>23.9</v>
      </c>
      <c r="K443" s="656">
        <f t="shared" si="36"/>
        <v>0</v>
      </c>
      <c r="M443" s="658">
        <f t="shared" si="37"/>
        <v>-23.9</v>
      </c>
    </row>
    <row r="444" spans="1:16" x14ac:dyDescent="0.15">
      <c r="A444" s="657" t="str">
        <f>[9]Роспись!A409</f>
        <v xml:space="preserve">Прочие расходы </v>
      </c>
      <c r="B444" s="654" t="str">
        <f>[9]Роспись!B409</f>
        <v>056</v>
      </c>
      <c r="C444" s="654" t="str">
        <f>[9]Роспись!C409</f>
        <v>08</v>
      </c>
      <c r="D444" s="654" t="str">
        <f>[9]Роспись!D409</f>
        <v>01</v>
      </c>
      <c r="E444" s="654" t="str">
        <f>[9]Роспись!E409</f>
        <v>4439500</v>
      </c>
      <c r="F444" s="654" t="str">
        <f>[9]Роспись!F409</f>
        <v>001</v>
      </c>
      <c r="G444" s="654" t="str">
        <f>[9]Роспись!G409</f>
        <v>290</v>
      </c>
      <c r="H444" s="648">
        <f>[9]Роспись!H409</f>
        <v>3791.1000000000004</v>
      </c>
      <c r="I444" s="656">
        <f>[9]Финансирование!I444+[9]Финансирование!J444+[9]Финансирование!K444+[9]Финансирование!L444+[9]Финансирование!M444+[9]Финансирование!N444+[9]Финансирование!O444+[9]Финансирование!P444</f>
        <v>2090.4</v>
      </c>
      <c r="J444" s="656">
        <f>[9]Финансирование!Q444+[9]Финансирование!T444+[9]Финансирование!U444+[9]Финансирование!V444+[9]Финансирование!W444+[9]Финансирование!X444+[9]Финансирование!Y444+[9]Финансирование!Z444</f>
        <v>1700.6999999999998</v>
      </c>
      <c r="K444" s="656">
        <f t="shared" si="36"/>
        <v>0</v>
      </c>
      <c r="L444" s="658">
        <v>1052</v>
      </c>
      <c r="M444" s="658">
        <f t="shared" si="37"/>
        <v>-648.69999999999982</v>
      </c>
    </row>
    <row r="445" spans="1:16" x14ac:dyDescent="0.15">
      <c r="A445" s="657" t="str">
        <f>[9]Роспись!A410</f>
        <v>Увелич. стоимости осн. средств</v>
      </c>
      <c r="B445" s="654" t="str">
        <f>[9]Роспись!B410</f>
        <v>056</v>
      </c>
      <c r="C445" s="654" t="str">
        <f>[9]Роспись!C410</f>
        <v>08</v>
      </c>
      <c r="D445" s="654" t="str">
        <f>[9]Роспись!D410</f>
        <v>01</v>
      </c>
      <c r="E445" s="654">
        <f>[9]Роспись!E410</f>
        <v>4439901</v>
      </c>
      <c r="F445" s="654" t="str">
        <f>[9]Роспись!F410</f>
        <v>001</v>
      </c>
      <c r="G445" s="654">
        <f>[9]Роспись!G410</f>
        <v>310</v>
      </c>
      <c r="H445" s="648">
        <f>[9]Роспись!H410</f>
        <v>200</v>
      </c>
      <c r="I445" s="656">
        <f>[9]Финансирование!I445+[9]Финансирование!J445+[9]Финансирование!K445+[9]Финансирование!L445+[9]Финансирование!M445+[9]Финансирование!N445+[9]Финансирование!O445+[9]Финансирование!P445</f>
        <v>0</v>
      </c>
      <c r="J445" s="656">
        <f>[9]Финансирование!Q445+[9]Финансирование!T445+[9]Финансирование!U445+[9]Финансирование!V445+[9]Финансирование!W445+[9]Финансирование!X445+[9]Финансирование!Y445+[9]Финансирование!Z445</f>
        <v>200</v>
      </c>
      <c r="K445" s="656">
        <f t="shared" si="36"/>
        <v>0</v>
      </c>
      <c r="L445" s="659">
        <v>0</v>
      </c>
      <c r="M445" s="658">
        <f t="shared" si="37"/>
        <v>-200</v>
      </c>
    </row>
    <row r="446" spans="1:16" x14ac:dyDescent="0.15">
      <c r="A446" s="657" t="str">
        <f>[9]Роспись!A411</f>
        <v>Увелич. стоимости матер. запасов</v>
      </c>
      <c r="B446" s="654" t="str">
        <f>[9]Роспись!B411</f>
        <v>056</v>
      </c>
      <c r="C446" s="654" t="str">
        <f>[9]Роспись!C411</f>
        <v>08</v>
      </c>
      <c r="D446" s="654" t="str">
        <f>[9]Роспись!D411</f>
        <v>01</v>
      </c>
      <c r="E446" s="654">
        <f>[9]Роспись!E411</f>
        <v>4439901</v>
      </c>
      <c r="F446" s="654" t="str">
        <f>[9]Роспись!F411</f>
        <v>001</v>
      </c>
      <c r="G446" s="654">
        <f>[9]Роспись!G411</f>
        <v>340</v>
      </c>
      <c r="H446" s="648">
        <f>[9]Роспись!H411</f>
        <v>248.834</v>
      </c>
      <c r="I446" s="656">
        <f>[9]Финансирование!I446+[9]Финансирование!J446+[9]Финансирование!K446+[9]Финансирование!L446+[9]Финансирование!M446+[9]Финансирование!N446+[9]Финансирование!O446+[9]Финансирование!P446</f>
        <v>83.3</v>
      </c>
      <c r="J446" s="656">
        <f>[9]Финансирование!Q446+[9]Финансирование!T446+[9]Финансирование!U446+[9]Финансирование!V446+[9]Финансирование!W446+[9]Финансирование!X446+[9]Финансирование!Y446+[9]Финансирование!Z446</f>
        <v>165.53399999999999</v>
      </c>
      <c r="K446" s="656">
        <f t="shared" si="36"/>
        <v>0</v>
      </c>
      <c r="L446" s="659">
        <v>0</v>
      </c>
      <c r="M446" s="658">
        <f t="shared" si="37"/>
        <v>-165.53399999999999</v>
      </c>
    </row>
    <row r="447" spans="1:16" x14ac:dyDescent="0.15">
      <c r="A447" s="653" t="s">
        <v>98</v>
      </c>
      <c r="B447" s="662" t="s">
        <v>79</v>
      </c>
      <c r="C447" s="662" t="s">
        <v>80</v>
      </c>
      <c r="D447" s="662" t="s">
        <v>125</v>
      </c>
      <c r="E447" s="662" t="s">
        <v>216</v>
      </c>
      <c r="F447" s="662" t="s">
        <v>102</v>
      </c>
      <c r="G447" s="691"/>
      <c r="H447" s="643">
        <f>SUM(H434:H446)</f>
        <v>36781.931000000004</v>
      </c>
      <c r="I447" s="664">
        <f>SUM(I434:I446)</f>
        <v>16764.3</v>
      </c>
      <c r="J447" s="664">
        <f>SUM(J434:J446)</f>
        <v>19314.451000000001</v>
      </c>
      <c r="K447" s="665">
        <f>SUM(K434:K446)</f>
        <v>703.18000000000006</v>
      </c>
      <c r="L447" s="678"/>
      <c r="M447" s="678"/>
      <c r="N447" s="678"/>
      <c r="O447" s="678"/>
      <c r="P447" s="678"/>
    </row>
    <row r="448" spans="1:16" ht="52" x14ac:dyDescent="0.15">
      <c r="A448" s="692" t="str">
        <f>'[9]Новая роспись'!A468</f>
        <v>Субсидия на финансовое обеспечение государственного задания на оказание государственных услуг (выполнение работ)</v>
      </c>
      <c r="B448" s="666"/>
      <c r="C448" s="666"/>
      <c r="D448" s="666"/>
      <c r="E448" s="666"/>
      <c r="F448" s="692">
        <f>'[9]Новая роспись'!F468</f>
        <v>611</v>
      </c>
      <c r="G448" s="692" t="str">
        <f>'[9]Новая роспись'!G468</f>
        <v>241</v>
      </c>
      <c r="H448" s="645">
        <f>'[9]Новая роспись'!H468</f>
        <v>19101.700000000004</v>
      </c>
      <c r="I448" s="648">
        <f>J447-I449</f>
        <v>18398.52</v>
      </c>
      <c r="J448" s="648"/>
      <c r="K448" s="648">
        <f>H448-I448</f>
        <v>703.18000000000393</v>
      </c>
      <c r="L448" s="678"/>
      <c r="M448" s="678"/>
      <c r="N448" s="678"/>
      <c r="O448" s="678"/>
      <c r="P448" s="678"/>
    </row>
    <row r="449" spans="1:16" x14ac:dyDescent="0.15">
      <c r="A449" s="692" t="str">
        <f>'[9]Новая роспись'!A469</f>
        <v>Субсидии на иные цели</v>
      </c>
      <c r="B449" s="666"/>
      <c r="C449" s="666"/>
      <c r="D449" s="666"/>
      <c r="E449" s="666"/>
      <c r="F449" s="692">
        <f>'[9]Новая роспись'!F469</f>
        <v>612</v>
      </c>
      <c r="G449" s="692" t="str">
        <f>'[9]Новая роспись'!G469</f>
        <v>241</v>
      </c>
      <c r="H449" s="645">
        <f>'[9]Новая роспись'!H469</f>
        <v>915.93100000000004</v>
      </c>
      <c r="I449" s="648">
        <f>[9]Финансирование!I449+[9]Финансирование!J449+[9]Финансирование!K449+[9]Финансирование!L449+[9]Финансирование!M449+[9]Финансирование!N449+[9]Финансирование!O449+[9]Финансирование!P449+[9]Финансирование!Q449+[9]Финансирование!T449+[9]Финансирование!U449+[9]Финансирование!V449+[9]Финансирование!W449+[9]Финансирование!X449+[9]Финансирование!Y449+[9]Финансирование!Z449</f>
        <v>915.93100000000004</v>
      </c>
      <c r="J449" s="692">
        <f>'[9]Новая роспись'!J469</f>
        <v>0</v>
      </c>
      <c r="K449" s="648">
        <f>H449-I449</f>
        <v>0</v>
      </c>
      <c r="L449" s="678"/>
      <c r="M449" s="678"/>
      <c r="N449" s="678"/>
      <c r="O449" s="678"/>
      <c r="P449" s="678"/>
    </row>
    <row r="450" spans="1:16" x14ac:dyDescent="0.15">
      <c r="A450" s="682" t="s">
        <v>140</v>
      </c>
      <c r="B450" s="683"/>
      <c r="C450" s="683"/>
      <c r="D450" s="683"/>
      <c r="E450" s="683"/>
      <c r="F450" s="683"/>
      <c r="G450" s="684"/>
      <c r="H450" s="648"/>
      <c r="I450" s="685">
        <f>[9]Финансирование!I450+[9]Финансирование!J450+[9]Финансирование!K450+[9]Финансирование!L450+[9]Финансирование!M450+[9]Финансирование!N450+[9]Финансирование!O450+[9]Финансирование!P450+[9]Финансирование!Q450+[9]Финансирование!T450+[9]Финансирование!U450+[9]Финансирование!V450+[9]Финансирование!W450+[9]Финансирование!X450+[9]Финансирование!Y450+[9]Финансирование!Z450</f>
        <v>0</v>
      </c>
      <c r="J450" s="685"/>
      <c r="K450" s="685"/>
      <c r="L450" s="646"/>
      <c r="M450" s="646"/>
      <c r="N450" s="646"/>
      <c r="O450" s="646"/>
      <c r="P450" s="646"/>
    </row>
    <row r="451" spans="1:16" x14ac:dyDescent="0.15">
      <c r="A451" s="686" t="str">
        <f>[9]Роспись!A414</f>
        <v>Заработная плата</v>
      </c>
      <c r="B451" s="687" t="str">
        <f>[9]Роспись!B414</f>
        <v>056</v>
      </c>
      <c r="C451" s="687" t="str">
        <f>[9]Роспись!C414</f>
        <v>08</v>
      </c>
      <c r="D451" s="687" t="str">
        <f>[9]Роспись!D414</f>
        <v>01</v>
      </c>
      <c r="E451" s="687">
        <f>[9]Роспись!E414</f>
        <v>4439901</v>
      </c>
      <c r="F451" s="687" t="str">
        <f>[9]Роспись!F414</f>
        <v>001</v>
      </c>
      <c r="G451" s="687">
        <f>[9]Роспись!G414</f>
        <v>211</v>
      </c>
      <c r="H451" s="648">
        <f>[9]Роспись!H414</f>
        <v>23218.400000000001</v>
      </c>
      <c r="I451" s="685">
        <f>[9]Финансирование!I451+[9]Финансирование!J451+[9]Финансирование!K451+[9]Финансирование!L451+[9]Финансирование!M451+[9]Финансирование!N451+[9]Финансирование!O451+[9]Финансирование!P451</f>
        <v>10642.24</v>
      </c>
      <c r="J451" s="685">
        <f>[9]Финансирование!Q451+[9]Финансирование!T451+[9]Финансирование!U451+[9]Финансирование!V451+[9]Финансирование!W451+[9]Финансирование!X451+[9]Финансирование!Y451+[9]Финансирование!Z451</f>
        <v>12576.16</v>
      </c>
      <c r="K451" s="685">
        <f>H451-I451-J451</f>
        <v>0</v>
      </c>
      <c r="L451" s="658"/>
    </row>
    <row r="452" spans="1:16" x14ac:dyDescent="0.15">
      <c r="A452" s="686" t="str">
        <f>[9]Роспись!A415</f>
        <v xml:space="preserve">Прочие выплаты </v>
      </c>
      <c r="B452" s="687" t="str">
        <f>[9]Роспись!B415</f>
        <v>056</v>
      </c>
      <c r="C452" s="687" t="str">
        <f>[9]Роспись!C415</f>
        <v>08</v>
      </c>
      <c r="D452" s="687" t="str">
        <f>[9]Роспись!D415</f>
        <v>01</v>
      </c>
      <c r="E452" s="687">
        <f>[9]Роспись!E415</f>
        <v>4439901</v>
      </c>
      <c r="F452" s="687" t="str">
        <f>[9]Роспись!F415</f>
        <v>001</v>
      </c>
      <c r="G452" s="687">
        <f>[9]Роспись!G415</f>
        <v>212</v>
      </c>
      <c r="H452" s="648">
        <f>[9]Роспись!H415</f>
        <v>0</v>
      </c>
      <c r="I452" s="685">
        <f>[9]Финансирование!I452+[9]Финансирование!J452+[9]Финансирование!K452+[9]Финансирование!L452+[9]Финансирование!M452+[9]Финансирование!N452+[9]Финансирование!O452+[9]Финансирование!P452</f>
        <v>0</v>
      </c>
      <c r="J452" s="685">
        <f>[9]Финансирование!Q452+[9]Финансирование!T452+[9]Финансирование!U452+[9]Финансирование!V452+[9]Финансирование!W452+[9]Финансирование!X452+[9]Финансирование!Y452+[9]Финансирование!Z452</f>
        <v>0</v>
      </c>
      <c r="K452" s="685">
        <f t="shared" ref="K452:K463" si="38">H452-I452-J452</f>
        <v>0</v>
      </c>
    </row>
    <row r="453" spans="1:16" x14ac:dyDescent="0.15">
      <c r="A453" s="686" t="str">
        <f>[9]Роспись!A416</f>
        <v>Начисления на оплату труда</v>
      </c>
      <c r="B453" s="687" t="str">
        <f>[9]Роспись!B416</f>
        <v>056</v>
      </c>
      <c r="C453" s="687" t="str">
        <f>[9]Роспись!C416</f>
        <v>08</v>
      </c>
      <c r="D453" s="687" t="str">
        <f>[9]Роспись!D416</f>
        <v>01</v>
      </c>
      <c r="E453" s="687">
        <f>[9]Роспись!E416</f>
        <v>4439901</v>
      </c>
      <c r="F453" s="687" t="str">
        <f>[9]Роспись!F416</f>
        <v>001</v>
      </c>
      <c r="G453" s="687">
        <f>[9]Роспись!G416</f>
        <v>213</v>
      </c>
      <c r="H453" s="648">
        <f>[9]Роспись!H416</f>
        <v>6829.7</v>
      </c>
      <c r="I453" s="685">
        <f>[9]Финансирование!I453+[9]Финансирование!J453+[9]Финансирование!K453+[9]Финансирование!L453+[9]Финансирование!M453+[9]Финансирование!N453+[9]Финансирование!O453+[9]Финансирование!P453</f>
        <v>3443.7400000000002</v>
      </c>
      <c r="J453" s="685">
        <f>[9]Финансирование!Q453+[9]Финансирование!T453+[9]Финансирование!U453+[9]Финансирование!V453+[9]Финансирование!W453+[9]Финансирование!X453+[9]Финансирование!Y453+[9]Финансирование!Z453</f>
        <v>3385.96</v>
      </c>
      <c r="K453" s="685">
        <f t="shared" si="38"/>
        <v>0</v>
      </c>
    </row>
    <row r="454" spans="1:16" x14ac:dyDescent="0.15">
      <c r="A454" s="686" t="str">
        <f>[9]Роспись!A417</f>
        <v xml:space="preserve">Оплата услуг связи </v>
      </c>
      <c r="B454" s="687" t="str">
        <f>[9]Роспись!B417</f>
        <v>056</v>
      </c>
      <c r="C454" s="687" t="str">
        <f>[9]Роспись!C417</f>
        <v>08</v>
      </c>
      <c r="D454" s="687" t="str">
        <f>[9]Роспись!D417</f>
        <v>01</v>
      </c>
      <c r="E454" s="687">
        <f>[9]Роспись!E417</f>
        <v>4439901</v>
      </c>
      <c r="F454" s="687" t="str">
        <f>[9]Роспись!F417</f>
        <v>001</v>
      </c>
      <c r="G454" s="687">
        <f>[9]Роспись!G417</f>
        <v>221</v>
      </c>
      <c r="H454" s="648">
        <f>[9]Роспись!H417</f>
        <v>0</v>
      </c>
      <c r="I454" s="685">
        <f>[9]Финансирование!I454+[9]Финансирование!J454+[9]Финансирование!K454+[9]Финансирование!L454+[9]Финансирование!M454+[9]Финансирование!N454+[9]Финансирование!O454+[9]Финансирование!P454</f>
        <v>0</v>
      </c>
      <c r="J454" s="685">
        <f>[9]Финансирование!Q454+[9]Финансирование!T454+[9]Финансирование!U454+[9]Финансирование!V454+[9]Финансирование!W454+[9]Финансирование!X454+[9]Финансирование!Y454+[9]Финансирование!Z454</f>
        <v>0</v>
      </c>
      <c r="K454" s="685">
        <f t="shared" si="38"/>
        <v>0</v>
      </c>
    </row>
    <row r="455" spans="1:16" x14ac:dyDescent="0.15">
      <c r="A455" s="686" t="str">
        <f>[9]Роспись!A418</f>
        <v>Транспортные услуги</v>
      </c>
      <c r="B455" s="687" t="str">
        <f>[9]Роспись!B418</f>
        <v>056</v>
      </c>
      <c r="C455" s="687" t="str">
        <f>[9]Роспись!C418</f>
        <v>08</v>
      </c>
      <c r="D455" s="687" t="str">
        <f>[9]Роспись!D418</f>
        <v>01</v>
      </c>
      <c r="E455" s="687">
        <f>[9]Роспись!E418</f>
        <v>4439901</v>
      </c>
      <c r="F455" s="687" t="str">
        <f>[9]Роспись!F418</f>
        <v>001</v>
      </c>
      <c r="G455" s="687">
        <f>[9]Роспись!G418</f>
        <v>222</v>
      </c>
      <c r="H455" s="648">
        <f>[9]Роспись!H418</f>
        <v>0</v>
      </c>
      <c r="I455" s="685">
        <f>[9]Финансирование!I455+[9]Финансирование!J455+[9]Финансирование!K455+[9]Финансирование!L455+[9]Финансирование!M455+[9]Финансирование!N455+[9]Финансирование!O455+[9]Финансирование!P455</f>
        <v>0</v>
      </c>
      <c r="J455" s="685">
        <f>[9]Финансирование!Q455+[9]Финансирование!T455+[9]Финансирование!U455+[9]Финансирование!V455+[9]Финансирование!W455+[9]Финансирование!X455+[9]Финансирование!Y455+[9]Финансирование!Z455</f>
        <v>0</v>
      </c>
      <c r="K455" s="685">
        <f t="shared" si="38"/>
        <v>0</v>
      </c>
    </row>
    <row r="456" spans="1:16" x14ac:dyDescent="0.15">
      <c r="A456" s="686" t="str">
        <f>[9]Роспись!A419</f>
        <v>Коммунальные услуги</v>
      </c>
      <c r="B456" s="687" t="str">
        <f>[9]Роспись!B419</f>
        <v>056</v>
      </c>
      <c r="C456" s="687" t="str">
        <f>[9]Роспись!C419</f>
        <v>08</v>
      </c>
      <c r="D456" s="687" t="str">
        <f>[9]Роспись!D419</f>
        <v>01</v>
      </c>
      <c r="E456" s="687">
        <f>[9]Роспись!E419</f>
        <v>4439901</v>
      </c>
      <c r="F456" s="687" t="str">
        <f>[9]Роспись!F419</f>
        <v>001</v>
      </c>
      <c r="G456" s="687">
        <f>[9]Роспись!G419</f>
        <v>223</v>
      </c>
      <c r="H456" s="648">
        <f>[9]Роспись!H419</f>
        <v>820</v>
      </c>
      <c r="I456" s="685">
        <f>[9]Финансирование!I456+[9]Финансирование!J456+[9]Финансирование!K456+[9]Финансирование!L456+[9]Финансирование!M456+[9]Финансирование!N456+[9]Финансирование!O456+[9]Финансирование!P456</f>
        <v>345.82</v>
      </c>
      <c r="J456" s="685">
        <f>[9]Финансирование!Q456+[9]Финансирование!T456+[9]Финансирование!U456+[9]Финансирование!V456+[9]Финансирование!W456+[9]Финансирование!X456+[9]Финансирование!Y456+[9]Финансирование!Z456</f>
        <v>474.17999999999995</v>
      </c>
      <c r="K456" s="685">
        <f t="shared" si="38"/>
        <v>0</v>
      </c>
    </row>
    <row r="457" spans="1:16" x14ac:dyDescent="0.15">
      <c r="A457" s="686" t="str">
        <f>[9]Роспись!A420</f>
        <v>Арендная плата</v>
      </c>
      <c r="B457" s="687" t="str">
        <f>[9]Роспись!B420</f>
        <v>056</v>
      </c>
      <c r="C457" s="687" t="str">
        <f>[9]Роспись!C420</f>
        <v>08</v>
      </c>
      <c r="D457" s="687" t="str">
        <f>[9]Роспись!D420</f>
        <v>01</v>
      </c>
      <c r="E457" s="687">
        <f>[9]Роспись!E420</f>
        <v>4439901</v>
      </c>
      <c r="F457" s="687" t="str">
        <f>[9]Роспись!F420</f>
        <v>001</v>
      </c>
      <c r="G457" s="687">
        <f>[9]Роспись!G420</f>
        <v>224</v>
      </c>
      <c r="H457" s="648">
        <f>[9]Роспись!H420</f>
        <v>0</v>
      </c>
      <c r="I457" s="685">
        <f>[9]Финансирование!I457+[9]Финансирование!J457+[9]Финансирование!K457+[9]Финансирование!L457+[9]Финансирование!M457+[9]Финансирование!N457+[9]Финансирование!O457+[9]Финансирование!P457</f>
        <v>0</v>
      </c>
      <c r="J457" s="685">
        <f>[9]Финансирование!Q457+[9]Финансирование!T457+[9]Финансирование!U457+[9]Финансирование!V457+[9]Финансирование!W457+[9]Финансирование!X457+[9]Финансирование!Y457+[9]Финансирование!Z457</f>
        <v>0</v>
      </c>
      <c r="K457" s="685">
        <f t="shared" si="38"/>
        <v>0</v>
      </c>
    </row>
    <row r="458" spans="1:16" x14ac:dyDescent="0.15">
      <c r="A458" s="686" t="str">
        <f>[9]Роспись!A421</f>
        <v>Услуги по содерж. имущества</v>
      </c>
      <c r="B458" s="687" t="str">
        <f>[9]Роспись!B421</f>
        <v>056</v>
      </c>
      <c r="C458" s="687" t="str">
        <f>[9]Роспись!C421</f>
        <v>08</v>
      </c>
      <c r="D458" s="687" t="str">
        <f>[9]Роспись!D421</f>
        <v>01</v>
      </c>
      <c r="E458" s="687">
        <f>[9]Роспись!E421</f>
        <v>4439901</v>
      </c>
      <c r="F458" s="687" t="str">
        <f>[9]Роспись!F421</f>
        <v>001</v>
      </c>
      <c r="G458" s="687">
        <f>[9]Роспись!G421</f>
        <v>225</v>
      </c>
      <c r="H458" s="648">
        <f>[9]Роспись!H421</f>
        <v>350</v>
      </c>
      <c r="I458" s="685">
        <f>[9]Финансирование!I458+[9]Финансирование!J458+[9]Финансирование!K458+[9]Финансирование!L458+[9]Финансирование!M458+[9]Финансирование!N458+[9]Финансирование!O458+[9]Финансирование!P458</f>
        <v>62.5</v>
      </c>
      <c r="J458" s="685">
        <f>[9]Финансирование!Q458+[9]Финансирование!T458+[9]Финансирование!U458+[9]Финансирование!V458+[9]Финансирование!W458+[9]Финансирование!X458+[9]Финансирование!Y458+[9]Финансирование!Z458</f>
        <v>287.5</v>
      </c>
      <c r="K458" s="685">
        <f t="shared" si="38"/>
        <v>0</v>
      </c>
      <c r="L458" s="635">
        <v>235</v>
      </c>
    </row>
    <row r="459" spans="1:16" x14ac:dyDescent="0.15">
      <c r="A459" s="686" t="str">
        <f>[9]Роспись!A422</f>
        <v>Прочие услуги</v>
      </c>
      <c r="B459" s="687" t="str">
        <f>[9]Роспись!B422</f>
        <v>056</v>
      </c>
      <c r="C459" s="687" t="str">
        <f>[9]Роспись!C422</f>
        <v>08</v>
      </c>
      <c r="D459" s="687" t="str">
        <f>[9]Роспись!D422</f>
        <v>01</v>
      </c>
      <c r="E459" s="687">
        <f>[9]Роспись!E422</f>
        <v>4439901</v>
      </c>
      <c r="F459" s="687" t="str">
        <f>[9]Роспись!F422</f>
        <v>001</v>
      </c>
      <c r="G459" s="687">
        <f>[9]Роспись!G422</f>
        <v>226</v>
      </c>
      <c r="H459" s="648">
        <f>[9]Роспись!H422</f>
        <v>180</v>
      </c>
      <c r="I459" s="685">
        <f>[9]Финансирование!I459+[9]Финансирование!J459+[9]Финансирование!K459+[9]Финансирование!L459+[9]Финансирование!M459+[9]Финансирование!N459+[9]Финансирование!O459+[9]Финансирование!P459</f>
        <v>132.5</v>
      </c>
      <c r="J459" s="685">
        <f>[9]Финансирование!Q459+[9]Финансирование!T459+[9]Финансирование!U459+[9]Финансирование!V459+[9]Финансирование!W459+[9]Финансирование!X459+[9]Финансирование!Y459+[9]Финансирование!Z459</f>
        <v>47.5</v>
      </c>
      <c r="K459" s="685">
        <f t="shared" si="38"/>
        <v>0</v>
      </c>
      <c r="L459" s="635">
        <v>47.3</v>
      </c>
      <c r="M459" s="635">
        <v>348.3</v>
      </c>
      <c r="N459" s="635">
        <f>(M459+[9]Лист6!H37)/1000</f>
        <v>685.02830000000006</v>
      </c>
    </row>
    <row r="460" spans="1:16" x14ac:dyDescent="0.15">
      <c r="A460" s="686" t="str">
        <f>[9]Роспись!A423</f>
        <v xml:space="preserve">Прочие расходы </v>
      </c>
      <c r="B460" s="687" t="str">
        <f>[9]Роспись!B423</f>
        <v>056</v>
      </c>
      <c r="C460" s="687" t="str">
        <f>[9]Роспись!C423</f>
        <v>08</v>
      </c>
      <c r="D460" s="687" t="str">
        <f>[9]Роспись!D423</f>
        <v>01</v>
      </c>
      <c r="E460" s="687">
        <f>[9]Роспись!E423</f>
        <v>4439901</v>
      </c>
      <c r="F460" s="687" t="str">
        <f>[9]Роспись!F423</f>
        <v>001</v>
      </c>
      <c r="G460" s="687">
        <f>[9]Роспись!G423</f>
        <v>290</v>
      </c>
      <c r="H460" s="648">
        <f>[9]Роспись!H423</f>
        <v>40.1</v>
      </c>
      <c r="I460" s="685">
        <f>[9]Финансирование!I460+[9]Финансирование!J460+[9]Финансирование!K460+[9]Финансирование!L460+[9]Финансирование!M460+[9]Финансирование!N460+[9]Финансирование!O460+[9]Финансирование!P460</f>
        <v>20</v>
      </c>
      <c r="J460" s="685">
        <f>[9]Финансирование!Q460+[9]Финансирование!T460+[9]Финансирование!U460+[9]Финансирование!V460+[9]Финансирование!W460+[9]Финансирование!X460+[9]Финансирование!Y460+[9]Финансирование!Z460</f>
        <v>20.100000000000001</v>
      </c>
      <c r="K460" s="685">
        <f t="shared" si="38"/>
        <v>0</v>
      </c>
      <c r="L460" s="635">
        <v>830.59500000000003</v>
      </c>
    </row>
    <row r="461" spans="1:16" x14ac:dyDescent="0.15">
      <c r="A461" s="686" t="str">
        <f>[9]Роспись!A424</f>
        <v xml:space="preserve">Прочие расходы </v>
      </c>
      <c r="B461" s="687" t="str">
        <f>[9]Роспись!B424</f>
        <v>056</v>
      </c>
      <c r="C461" s="687" t="str">
        <f>[9]Роспись!C424</f>
        <v>08</v>
      </c>
      <c r="D461" s="687" t="str">
        <f>[9]Роспись!D424</f>
        <v>01</v>
      </c>
      <c r="E461" s="687" t="str">
        <f>[9]Роспись!E424</f>
        <v>4439500</v>
      </c>
      <c r="F461" s="687" t="str">
        <f>[9]Роспись!F424</f>
        <v>001</v>
      </c>
      <c r="G461" s="687" t="str">
        <f>[9]Роспись!G424</f>
        <v>290</v>
      </c>
      <c r="H461" s="648">
        <f>[9]Роспись!H424</f>
        <v>1694.6999999999998</v>
      </c>
      <c r="I461" s="685">
        <f>[9]Финансирование!I461+[9]Финансирование!J461+[9]Финансирование!K461+[9]Финансирование!L461+[9]Финансирование!M461+[9]Финансирование!N461+[9]Финансирование!O461+[9]Финансирование!P461</f>
        <v>847.4</v>
      </c>
      <c r="J461" s="685">
        <f>[9]Финансирование!Q461+[9]Финансирование!T461+[9]Финансирование!U461+[9]Финансирование!V461+[9]Финансирование!W461+[9]Финансирование!X461+[9]Финансирование!Y461+[9]Финансирование!Z461</f>
        <v>847.29999999999984</v>
      </c>
      <c r="K461" s="685">
        <f t="shared" si="38"/>
        <v>0</v>
      </c>
    </row>
    <row r="462" spans="1:16" x14ac:dyDescent="0.15">
      <c r="A462" s="686" t="str">
        <f>[9]Роспись!A425</f>
        <v>Увелич. стоимости осн. средств</v>
      </c>
      <c r="B462" s="687" t="str">
        <f>[9]Роспись!B425</f>
        <v>056</v>
      </c>
      <c r="C462" s="687" t="str">
        <f>[9]Роспись!C425</f>
        <v>08</v>
      </c>
      <c r="D462" s="687" t="str">
        <f>[9]Роспись!D425</f>
        <v>01</v>
      </c>
      <c r="E462" s="687">
        <f>[9]Роспись!E425</f>
        <v>4439901</v>
      </c>
      <c r="F462" s="687" t="str">
        <f>[9]Роспись!F425</f>
        <v>001</v>
      </c>
      <c r="G462" s="687">
        <f>[9]Роспись!G425</f>
        <v>310</v>
      </c>
      <c r="H462" s="648">
        <f>[9]Роспись!H425</f>
        <v>50</v>
      </c>
      <c r="I462" s="685">
        <f>[9]Финансирование!I462+[9]Финансирование!J462+[9]Финансирование!K462+[9]Финансирование!L462+[9]Финансирование!M462+[9]Финансирование!N462+[9]Финансирование!O462+[9]Финансирование!P462</f>
        <v>0</v>
      </c>
      <c r="J462" s="685">
        <f>[9]Финансирование!Q462+[9]Финансирование!T462+[9]Финансирование!U462+[9]Финансирование!V462+[9]Финансирование!W462+[9]Финансирование!X462+[9]Финансирование!Y462+[9]Финансирование!Z462</f>
        <v>50</v>
      </c>
      <c r="K462" s="685">
        <f t="shared" si="38"/>
        <v>0</v>
      </c>
      <c r="L462" s="659">
        <v>50</v>
      </c>
    </row>
    <row r="463" spans="1:16" x14ac:dyDescent="0.15">
      <c r="A463" s="686" t="str">
        <f>[9]Роспись!A426</f>
        <v>Увелич. стоимости матер. запасов</v>
      </c>
      <c r="B463" s="687" t="str">
        <f>[9]Роспись!B426</f>
        <v>056</v>
      </c>
      <c r="C463" s="687" t="str">
        <f>[9]Роспись!C426</f>
        <v>08</v>
      </c>
      <c r="D463" s="687" t="str">
        <f>[9]Роспись!D426</f>
        <v>01</v>
      </c>
      <c r="E463" s="687">
        <f>[9]Роспись!E426</f>
        <v>4439901</v>
      </c>
      <c r="F463" s="687" t="str">
        <f>[9]Роспись!F426</f>
        <v>001</v>
      </c>
      <c r="G463" s="687">
        <f>[9]Роспись!G426</f>
        <v>340</v>
      </c>
      <c r="H463" s="648">
        <f>[9]Роспись!H426</f>
        <v>70</v>
      </c>
      <c r="I463" s="685">
        <f>[9]Финансирование!I463+[9]Финансирование!J463+[9]Финансирование!K463+[9]Финансирование!L463+[9]Финансирование!M463+[9]Финансирование!N463+[9]Финансирование!O463+[9]Финансирование!P463</f>
        <v>56.7</v>
      </c>
      <c r="J463" s="685">
        <f>[9]Финансирование!Q463+[9]Финансирование!T463+[9]Финансирование!U463+[9]Финансирование!V463+[9]Финансирование!W463+[9]Финансирование!X463+[9]Финансирование!Y463+[9]Финансирование!Z463</f>
        <v>13.3</v>
      </c>
      <c r="K463" s="685">
        <f t="shared" si="38"/>
        <v>0</v>
      </c>
      <c r="L463" s="659">
        <v>13.3</v>
      </c>
    </row>
    <row r="464" spans="1:16" x14ac:dyDescent="0.15">
      <c r="A464" s="704" t="s">
        <v>98</v>
      </c>
      <c r="B464" s="689" t="s">
        <v>79</v>
      </c>
      <c r="C464" s="689" t="s">
        <v>80</v>
      </c>
      <c r="D464" s="689" t="s">
        <v>125</v>
      </c>
      <c r="E464" s="683" t="s">
        <v>216</v>
      </c>
      <c r="F464" s="683" t="s">
        <v>102</v>
      </c>
      <c r="G464" s="705"/>
      <c r="H464" s="643">
        <f>SUM(H451:H463)</f>
        <v>33252.9</v>
      </c>
      <c r="I464" s="676">
        <f>SUM(I451:I463)</f>
        <v>15550.9</v>
      </c>
      <c r="J464" s="676">
        <f>SUM(J451:J463)</f>
        <v>17701.999999999996</v>
      </c>
      <c r="K464" s="651">
        <f>SUM(K451:K463)</f>
        <v>0</v>
      </c>
      <c r="L464" s="678"/>
      <c r="M464" s="678">
        <f>L464/1000</f>
        <v>0</v>
      </c>
      <c r="N464" s="678">
        <f>M464-[9]Лист6!H37/1000</f>
        <v>-684.68</v>
      </c>
      <c r="O464" s="678">
        <f>K464*1000</f>
        <v>0</v>
      </c>
      <c r="P464" s="678">
        <f>O464-[9]декабрь!H34</f>
        <v>-348300</v>
      </c>
    </row>
    <row r="465" spans="1:16" ht="52" x14ac:dyDescent="0.15">
      <c r="A465" s="692" t="str">
        <f>'[9]Новая роспись'!A486</f>
        <v>Субсидия на финансовое обеспечение государственного задания на оказание государственных услуг (выполнение работ)</v>
      </c>
      <c r="B465" s="666"/>
      <c r="C465" s="666"/>
      <c r="D465" s="666"/>
      <c r="E465" s="672"/>
      <c r="F465" s="692">
        <f>'[9]Новая роспись'!F486</f>
        <v>611</v>
      </c>
      <c r="G465" s="692" t="str">
        <f>'[9]Новая роспись'!G486</f>
        <v>241</v>
      </c>
      <c r="H465" s="645">
        <f>'[9]Новая роспись'!H486</f>
        <v>17702</v>
      </c>
      <c r="I465" s="648">
        <f>[9]Финансирование!I465+[9]Финансирование!J465+[9]Финансирование!K465+[9]Финансирование!L465+[9]Финансирование!M465+[9]Финансирование!N465+[9]Финансирование!O465+[9]Финансирование!P465+[9]Финансирование!Q465+[9]Финансирование!T465+[9]Финансирование!U465+[9]Финансирование!V465+[9]Финансирование!W465+[9]Финансирование!X465+[9]Финансирование!Y465+[9]Финансирование!Z465</f>
        <v>17702</v>
      </c>
      <c r="J465" s="648"/>
      <c r="K465" s="648">
        <f>H465-I465</f>
        <v>0</v>
      </c>
      <c r="L465" s="678"/>
      <c r="M465" s="678"/>
      <c r="N465" s="678"/>
      <c r="O465" s="678"/>
      <c r="P465" s="678"/>
    </row>
    <row r="466" spans="1:16" x14ac:dyDescent="0.15">
      <c r="A466" s="78" t="s">
        <v>141</v>
      </c>
      <c r="B466" s="672"/>
      <c r="C466" s="672"/>
      <c r="D466" s="672"/>
      <c r="E466" s="672"/>
      <c r="F466" s="672"/>
      <c r="G466" s="649"/>
      <c r="H466" s="648"/>
      <c r="I466" s="648">
        <f>[9]Финансирование!I466+[9]Финансирование!J466+[9]Финансирование!K466+[9]Финансирование!L466+[9]Финансирование!M466+[9]Финансирование!N466+[9]Финансирование!O466+[9]Финансирование!P466+[9]Финансирование!Q466+[9]Финансирование!T466+[9]Финансирование!U466+[9]Финансирование!V466+[9]Финансирование!W466+[9]Финансирование!X466+[9]Финансирование!Y466+[9]Финансирование!Z466</f>
        <v>0</v>
      </c>
      <c r="J466" s="648"/>
      <c r="K466" s="648"/>
      <c r="L466" s="646"/>
      <c r="M466" s="646"/>
      <c r="N466" s="646"/>
      <c r="O466" s="646"/>
      <c r="P466" s="646"/>
    </row>
    <row r="467" spans="1:16" x14ac:dyDescent="0.15">
      <c r="A467" s="647" t="str">
        <f>[9]Роспись!A429</f>
        <v>Заработная плата</v>
      </c>
      <c r="B467" s="81" t="str">
        <f>[9]Роспись!B429</f>
        <v>056</v>
      </c>
      <c r="C467" s="81" t="str">
        <f>[9]Роспись!C429</f>
        <v>08</v>
      </c>
      <c r="D467" s="81" t="str">
        <f>[9]Роспись!D429</f>
        <v>01</v>
      </c>
      <c r="E467" s="81">
        <f>[9]Роспись!E429</f>
        <v>4439901</v>
      </c>
      <c r="F467" s="81" t="str">
        <f>[9]Роспись!F429</f>
        <v>001</v>
      </c>
      <c r="G467" s="687">
        <f>[9]Роспись!G429</f>
        <v>211</v>
      </c>
      <c r="H467" s="648">
        <f>[9]Роспись!H429</f>
        <v>19889.8</v>
      </c>
      <c r="I467" s="685">
        <f>[9]Финансирование!I467+[9]Финансирование!J467+[9]Финансирование!K467+[9]Финансирование!L467+[9]Финансирование!M467+[9]Финансирование!N467+[9]Финансирование!O467+[9]Финансирование!P467</f>
        <v>9078.61</v>
      </c>
      <c r="J467" s="685">
        <f>[9]Финансирование!Q467+[9]Финансирование!T467+[9]Финансирование!U467+[9]Финансирование!V467+[9]Финансирование!W467+[9]Финансирование!X467+[9]Финансирование!Y467+[9]Финансирование!Z467</f>
        <v>10811.189999999993</v>
      </c>
      <c r="K467" s="685">
        <f>H467-I467-J467</f>
        <v>0</v>
      </c>
    </row>
    <row r="468" spans="1:16" x14ac:dyDescent="0.15">
      <c r="A468" s="647" t="str">
        <f>[9]Роспись!A430</f>
        <v xml:space="preserve">Прочие выплаты </v>
      </c>
      <c r="B468" s="81" t="str">
        <f>[9]Роспись!B430</f>
        <v>056</v>
      </c>
      <c r="C468" s="81" t="str">
        <f>[9]Роспись!C430</f>
        <v>08</v>
      </c>
      <c r="D468" s="81" t="str">
        <f>[9]Роспись!D430</f>
        <v>01</v>
      </c>
      <c r="E468" s="81">
        <f>[9]Роспись!E430</f>
        <v>4439901</v>
      </c>
      <c r="F468" s="81" t="str">
        <f>[9]Роспись!F430</f>
        <v>001</v>
      </c>
      <c r="G468" s="687">
        <f>[9]Роспись!G430</f>
        <v>212</v>
      </c>
      <c r="H468" s="648">
        <f>[9]Роспись!H430</f>
        <v>0</v>
      </c>
      <c r="I468" s="685">
        <f>[9]Финансирование!I468+[9]Финансирование!J468+[9]Финансирование!K468+[9]Финансирование!L468+[9]Финансирование!M468+[9]Финансирование!N468+[9]Финансирование!O468+[9]Финансирование!P468</f>
        <v>0</v>
      </c>
      <c r="J468" s="685">
        <f>[9]Финансирование!Q468+[9]Финансирование!T468+[9]Финансирование!U468+[9]Финансирование!V468+[9]Финансирование!W468+[9]Финансирование!X468+[9]Финансирование!Y468+[9]Финансирование!Z468</f>
        <v>0</v>
      </c>
      <c r="K468" s="685">
        <f t="shared" ref="K468:K479" si="39">H468-I468-J468</f>
        <v>0</v>
      </c>
    </row>
    <row r="469" spans="1:16" x14ac:dyDescent="0.15">
      <c r="A469" s="647" t="str">
        <f>[9]Роспись!A431</f>
        <v>Начисления на оплату труда</v>
      </c>
      <c r="B469" s="81" t="str">
        <f>[9]Роспись!B431</f>
        <v>056</v>
      </c>
      <c r="C469" s="81" t="str">
        <f>[9]Роспись!C431</f>
        <v>08</v>
      </c>
      <c r="D469" s="81" t="str">
        <f>[9]Роспись!D431</f>
        <v>01</v>
      </c>
      <c r="E469" s="81">
        <f>[9]Роспись!E431</f>
        <v>4439901</v>
      </c>
      <c r="F469" s="81" t="str">
        <f>[9]Роспись!F431</f>
        <v>001</v>
      </c>
      <c r="G469" s="687">
        <f>[9]Роспись!G431</f>
        <v>213</v>
      </c>
      <c r="H469" s="648">
        <f>[9]Роспись!H431</f>
        <v>5943.5999999999995</v>
      </c>
      <c r="I469" s="685">
        <f>[9]Финансирование!I469+[9]Финансирование!J469+[9]Финансирование!K469+[9]Финансирование!L469+[9]Финансирование!M469+[9]Финансирование!N469+[9]Финансирование!O469+[9]Финансирование!P469</f>
        <v>2937.5</v>
      </c>
      <c r="J469" s="685">
        <f>[9]Финансирование!Q469+[9]Финансирование!T469+[9]Финансирование!U469+[9]Финансирование!V469+[9]Финансирование!W469+[9]Финансирование!X469+[9]Финансирование!Y469+[9]Финансирование!Z469</f>
        <v>3006.0999999999995</v>
      </c>
      <c r="K469" s="685">
        <f t="shared" si="39"/>
        <v>0</v>
      </c>
    </row>
    <row r="470" spans="1:16" x14ac:dyDescent="0.15">
      <c r="A470" s="647" t="str">
        <f>[9]Роспись!A432</f>
        <v xml:space="preserve">Оплата услуг связи </v>
      </c>
      <c r="B470" s="81" t="str">
        <f>[9]Роспись!B432</f>
        <v>056</v>
      </c>
      <c r="C470" s="81" t="str">
        <f>[9]Роспись!C432</f>
        <v>08</v>
      </c>
      <c r="D470" s="81" t="str">
        <f>[9]Роспись!D432</f>
        <v>01</v>
      </c>
      <c r="E470" s="81">
        <f>[9]Роспись!E432</f>
        <v>4439901</v>
      </c>
      <c r="F470" s="81" t="str">
        <f>[9]Роспись!F432</f>
        <v>001</v>
      </c>
      <c r="G470" s="687">
        <f>[9]Роспись!G432</f>
        <v>221</v>
      </c>
      <c r="H470" s="648">
        <f>[9]Роспись!H432</f>
        <v>0</v>
      </c>
      <c r="I470" s="685">
        <f>[9]Финансирование!I470+[9]Финансирование!J470+[9]Финансирование!K470+[9]Финансирование!L470+[9]Финансирование!M470+[9]Финансирование!N470+[9]Финансирование!O470+[9]Финансирование!P470</f>
        <v>0</v>
      </c>
      <c r="J470" s="685">
        <f>[9]Финансирование!Q470+[9]Финансирование!T470+[9]Финансирование!U470+[9]Финансирование!V470+[9]Финансирование!W470+[9]Финансирование!X470+[9]Финансирование!Y470+[9]Финансирование!Z470</f>
        <v>0</v>
      </c>
      <c r="K470" s="685">
        <f t="shared" si="39"/>
        <v>0</v>
      </c>
    </row>
    <row r="471" spans="1:16" x14ac:dyDescent="0.15">
      <c r="A471" s="647" t="str">
        <f>[9]Роспись!A433</f>
        <v>Транспортные услуги</v>
      </c>
      <c r="B471" s="81" t="str">
        <f>[9]Роспись!B433</f>
        <v>056</v>
      </c>
      <c r="C471" s="81" t="str">
        <f>[9]Роспись!C433</f>
        <v>08</v>
      </c>
      <c r="D471" s="81" t="str">
        <f>[9]Роспись!D433</f>
        <v>01</v>
      </c>
      <c r="E471" s="81">
        <f>[9]Роспись!E433</f>
        <v>4439901</v>
      </c>
      <c r="F471" s="81" t="str">
        <f>[9]Роспись!F433</f>
        <v>001</v>
      </c>
      <c r="G471" s="687">
        <f>[9]Роспись!G433</f>
        <v>222</v>
      </c>
      <c r="H471" s="648">
        <f>[9]Роспись!H433</f>
        <v>0</v>
      </c>
      <c r="I471" s="685">
        <f>[9]Финансирование!I471+[9]Финансирование!J471+[9]Финансирование!K471+[9]Финансирование!L471+[9]Финансирование!M471+[9]Финансирование!N471+[9]Финансирование!O471+[9]Финансирование!P471</f>
        <v>0</v>
      </c>
      <c r="J471" s="685">
        <f>[9]Финансирование!Q471+[9]Финансирование!T471+[9]Финансирование!U471+[9]Финансирование!V471+[9]Финансирование!W471+[9]Финансирование!X471+[9]Финансирование!Y471+[9]Финансирование!Z471</f>
        <v>0</v>
      </c>
      <c r="K471" s="685">
        <f t="shared" si="39"/>
        <v>0</v>
      </c>
    </row>
    <row r="472" spans="1:16" x14ac:dyDescent="0.15">
      <c r="A472" s="647" t="str">
        <f>[9]Роспись!A434</f>
        <v>Коммунальные услуги</v>
      </c>
      <c r="B472" s="81" t="str">
        <f>[9]Роспись!B434</f>
        <v>056</v>
      </c>
      <c r="C472" s="81" t="str">
        <f>[9]Роспись!C434</f>
        <v>08</v>
      </c>
      <c r="D472" s="81" t="str">
        <f>[9]Роспись!D434</f>
        <v>01</v>
      </c>
      <c r="E472" s="81">
        <f>[9]Роспись!E434</f>
        <v>4439901</v>
      </c>
      <c r="F472" s="81" t="str">
        <f>[9]Роспись!F434</f>
        <v>001</v>
      </c>
      <c r="G472" s="687">
        <f>[9]Роспись!G434</f>
        <v>223</v>
      </c>
      <c r="H472" s="648">
        <f>[9]Роспись!H434</f>
        <v>1050</v>
      </c>
      <c r="I472" s="685">
        <f>[9]Финансирование!I472+[9]Финансирование!J472+[9]Финансирование!K472+[9]Финансирование!L472+[9]Финансирование!M472+[9]Финансирование!N472+[9]Финансирование!O472+[9]Финансирование!P472</f>
        <v>576.52</v>
      </c>
      <c r="J472" s="685">
        <f>[9]Финансирование!Q472+[9]Финансирование!T472+[9]Финансирование!U472+[9]Финансирование!V472+[9]Финансирование!W472+[9]Финансирование!X472+[9]Финансирование!Y472+[9]Финансирование!Z472</f>
        <v>473.48</v>
      </c>
      <c r="K472" s="685">
        <f t="shared" si="39"/>
        <v>0</v>
      </c>
      <c r="L472" s="635">
        <v>214.3</v>
      </c>
    </row>
    <row r="473" spans="1:16" x14ac:dyDescent="0.15">
      <c r="A473" s="647" t="str">
        <f>[9]Роспись!A435</f>
        <v>Арендная плата</v>
      </c>
      <c r="B473" s="81" t="str">
        <f>[9]Роспись!B435</f>
        <v>056</v>
      </c>
      <c r="C473" s="81" t="str">
        <f>[9]Роспись!C435</f>
        <v>08</v>
      </c>
      <c r="D473" s="81" t="str">
        <f>[9]Роспись!D435</f>
        <v>01</v>
      </c>
      <c r="E473" s="81">
        <f>[9]Роспись!E435</f>
        <v>4439901</v>
      </c>
      <c r="F473" s="81" t="str">
        <f>[9]Роспись!F435</f>
        <v>001</v>
      </c>
      <c r="G473" s="687">
        <f>[9]Роспись!G435</f>
        <v>224</v>
      </c>
      <c r="H473" s="648">
        <f>[9]Роспись!H435</f>
        <v>0</v>
      </c>
      <c r="I473" s="685">
        <f>[9]Финансирование!I473+[9]Финансирование!J473+[9]Финансирование!K473+[9]Финансирование!L473+[9]Финансирование!M473+[9]Финансирование!N473+[9]Финансирование!O473+[9]Финансирование!P473</f>
        <v>0</v>
      </c>
      <c r="J473" s="685">
        <f>[9]Финансирование!Q473+[9]Финансирование!T473+[9]Финансирование!U473+[9]Финансирование!V473+[9]Финансирование!W473+[9]Финансирование!X473+[9]Финансирование!Y473+[9]Финансирование!Z473</f>
        <v>0</v>
      </c>
      <c r="K473" s="685">
        <f t="shared" si="39"/>
        <v>0</v>
      </c>
    </row>
    <row r="474" spans="1:16" x14ac:dyDescent="0.15">
      <c r="A474" s="647" t="str">
        <f>[9]Роспись!A436</f>
        <v>Услуги по содерж. имущества</v>
      </c>
      <c r="B474" s="81" t="str">
        <f>[9]Роспись!B436</f>
        <v>056</v>
      </c>
      <c r="C474" s="81" t="str">
        <f>[9]Роспись!C436</f>
        <v>08</v>
      </c>
      <c r="D474" s="81" t="str">
        <f>[9]Роспись!D436</f>
        <v>01</v>
      </c>
      <c r="E474" s="81">
        <f>[9]Роспись!E436</f>
        <v>4439901</v>
      </c>
      <c r="F474" s="81" t="str">
        <f>[9]Роспись!F436</f>
        <v>001</v>
      </c>
      <c r="G474" s="687">
        <f>[9]Роспись!G436</f>
        <v>225</v>
      </c>
      <c r="H474" s="648">
        <f>[9]Роспись!H436</f>
        <v>0</v>
      </c>
      <c r="I474" s="685">
        <f>[9]Финансирование!I474+[9]Финансирование!J474+[9]Финансирование!K474+[9]Финансирование!L474+[9]Финансирование!M474+[9]Финансирование!N474+[9]Финансирование!O474+[9]Финансирование!P474</f>
        <v>0</v>
      </c>
      <c r="J474" s="685">
        <f>[9]Финансирование!Q474+[9]Финансирование!T474+[9]Финансирование!U474+[9]Финансирование!V474+[9]Финансирование!W474+[9]Финансирование!X474+[9]Финансирование!Y474+[9]Финансирование!Z474</f>
        <v>0</v>
      </c>
      <c r="K474" s="685">
        <f t="shared" si="39"/>
        <v>0</v>
      </c>
    </row>
    <row r="475" spans="1:16" x14ac:dyDescent="0.15">
      <c r="A475" s="647" t="str">
        <f>[9]Роспись!A437</f>
        <v>Прочие услуги</v>
      </c>
      <c r="B475" s="81" t="str">
        <f>[9]Роспись!B437</f>
        <v>056</v>
      </c>
      <c r="C475" s="81" t="str">
        <f>[9]Роспись!C437</f>
        <v>08</v>
      </c>
      <c r="D475" s="81" t="str">
        <f>[9]Роспись!D437</f>
        <v>01</v>
      </c>
      <c r="E475" s="81">
        <f>[9]Роспись!E437</f>
        <v>4439901</v>
      </c>
      <c r="F475" s="81" t="str">
        <f>[9]Роспись!F437</f>
        <v>001</v>
      </c>
      <c r="G475" s="687">
        <f>[9]Роспись!G437</f>
        <v>226</v>
      </c>
      <c r="H475" s="648">
        <f>[9]Роспись!H437</f>
        <v>154.63999999999999</v>
      </c>
      <c r="I475" s="685">
        <f>[9]Финансирование!I475+[9]Финансирование!J475+[9]Финансирование!K475+[9]Финансирование!L475+[9]Финансирование!M475+[9]Финансирование!N475+[9]Финансирование!O475+[9]Финансирование!P475</f>
        <v>154.63999999999999</v>
      </c>
      <c r="J475" s="685">
        <f>[9]Финансирование!Q475+[9]Финансирование!T475+[9]Финансирование!U475+[9]Финансирование!V475+[9]Финансирование!W475+[9]Финансирование!X475+[9]Финансирование!Y475+[9]Финансирование!Z475</f>
        <v>-1.4210854715202004E-14</v>
      </c>
      <c r="K475" s="685">
        <f t="shared" si="39"/>
        <v>1.4210854715202004E-14</v>
      </c>
    </row>
    <row r="476" spans="1:16" x14ac:dyDescent="0.15">
      <c r="A476" s="647" t="str">
        <f>[9]Роспись!A438</f>
        <v xml:space="preserve">Прочие расходы </v>
      </c>
      <c r="B476" s="81" t="str">
        <f>[9]Роспись!B438</f>
        <v>056</v>
      </c>
      <c r="C476" s="81" t="str">
        <f>[9]Роспись!C438</f>
        <v>08</v>
      </c>
      <c r="D476" s="81" t="str">
        <f>[9]Роспись!D438</f>
        <v>01</v>
      </c>
      <c r="E476" s="81">
        <f>[9]Роспись!E438</f>
        <v>4439901</v>
      </c>
      <c r="F476" s="81" t="str">
        <f>[9]Роспись!F438</f>
        <v>001</v>
      </c>
      <c r="G476" s="687">
        <f>[9]Роспись!G438</f>
        <v>290</v>
      </c>
      <c r="H476" s="648">
        <f>[9]Роспись!H438</f>
        <v>40.299999999999997</v>
      </c>
      <c r="I476" s="685">
        <f>[9]Финансирование!I476+[9]Финансирование!J476+[9]Финансирование!K476+[9]Финансирование!L476+[9]Финансирование!M476+[9]Финансирование!N476+[9]Финансирование!O476+[9]Финансирование!P476</f>
        <v>20.2</v>
      </c>
      <c r="J476" s="685">
        <f>[9]Финансирование!Q476+[9]Финансирование!T476+[9]Финансирование!U476+[9]Финансирование!V476+[9]Финансирование!W476+[9]Финансирование!X476+[9]Финансирование!Y476+[9]Финансирование!Z476</f>
        <v>20.099999999999998</v>
      </c>
      <c r="K476" s="685">
        <f t="shared" si="39"/>
        <v>0</v>
      </c>
    </row>
    <row r="477" spans="1:16" x14ac:dyDescent="0.15">
      <c r="A477" s="647" t="str">
        <f>[9]Роспись!A439</f>
        <v xml:space="preserve">Прочие расходы </v>
      </c>
      <c r="B477" s="81" t="str">
        <f>[9]Роспись!B439</f>
        <v>056</v>
      </c>
      <c r="C477" s="81" t="str">
        <f>[9]Роспись!C439</f>
        <v>08</v>
      </c>
      <c r="D477" s="81" t="str">
        <f>[9]Роспись!D439</f>
        <v>01</v>
      </c>
      <c r="E477" s="81" t="str">
        <f>[9]Роспись!E439</f>
        <v>4439500</v>
      </c>
      <c r="F477" s="81" t="str">
        <f>[9]Роспись!F439</f>
        <v>001</v>
      </c>
      <c r="G477" s="687" t="str">
        <f>[9]Роспись!G439</f>
        <v>290</v>
      </c>
      <c r="H477" s="648">
        <f>[9]Роспись!H439</f>
        <v>3099.1</v>
      </c>
      <c r="I477" s="685">
        <f>[9]Финансирование!I477+[9]Финансирование!J477+[9]Финансирование!K477+[9]Финансирование!L477+[9]Финансирование!M477+[9]Финансирование!N477+[9]Финансирование!O477+[9]Финансирование!P477</f>
        <v>1488</v>
      </c>
      <c r="J477" s="685">
        <f>[9]Финансирование!Q477+[9]Финансирование!T477+[9]Финансирование!U477+[9]Финансирование!V477+[9]Финансирование!W477+[9]Финансирование!X477+[9]Финансирование!Y477+[9]Финансирование!Z477</f>
        <v>1611.1</v>
      </c>
      <c r="K477" s="685">
        <f t="shared" si="39"/>
        <v>0</v>
      </c>
    </row>
    <row r="478" spans="1:16" x14ac:dyDescent="0.15">
      <c r="A478" s="647" t="str">
        <f>[9]Роспись!A440</f>
        <v>Увелич. стоимости осн. средств</v>
      </c>
      <c r="B478" s="81" t="str">
        <f>[9]Роспись!B440</f>
        <v>056</v>
      </c>
      <c r="C478" s="81" t="str">
        <f>[9]Роспись!C440</f>
        <v>08</v>
      </c>
      <c r="D478" s="81" t="str">
        <f>[9]Роспись!D440</f>
        <v>01</v>
      </c>
      <c r="E478" s="81">
        <f>[9]Роспись!E440</f>
        <v>4439901</v>
      </c>
      <c r="F478" s="81" t="str">
        <f>[9]Роспись!F440</f>
        <v>001</v>
      </c>
      <c r="G478" s="687">
        <f>[9]Роспись!G440</f>
        <v>310</v>
      </c>
      <c r="H478" s="648">
        <f>[9]Роспись!H440</f>
        <v>200.36</v>
      </c>
      <c r="I478" s="685">
        <f>[9]Финансирование!I478+[9]Финансирование!J478+[9]Финансирование!K478+[9]Финансирование!L478+[9]Финансирование!M478+[9]Финансирование!N478+[9]Финансирование!O478+[9]Финансирование!P478</f>
        <v>0</v>
      </c>
      <c r="J478" s="685">
        <f>[9]Финансирование!Q478+[9]Финансирование!T478+[9]Финансирование!U478+[9]Финансирование!V478+[9]Финансирование!W478+[9]Финансирование!X478+[9]Финансирование!Y478+[9]Финансирование!Z478</f>
        <v>200.36</v>
      </c>
      <c r="K478" s="685">
        <f t="shared" si="39"/>
        <v>0</v>
      </c>
    </row>
    <row r="479" spans="1:16" x14ac:dyDescent="0.15">
      <c r="A479" s="647" t="str">
        <f>[9]Роспись!A441</f>
        <v>Увелич. стоимости матер. запасов</v>
      </c>
      <c r="B479" s="81" t="str">
        <f>[9]Роспись!B441</f>
        <v>056</v>
      </c>
      <c r="C479" s="81" t="str">
        <f>[9]Роспись!C441</f>
        <v>08</v>
      </c>
      <c r="D479" s="81" t="str">
        <f>[9]Роспись!D441</f>
        <v>01</v>
      </c>
      <c r="E479" s="81">
        <f>[9]Роспись!E441</f>
        <v>4439901</v>
      </c>
      <c r="F479" s="81" t="str">
        <f>[9]Роспись!F441</f>
        <v>001</v>
      </c>
      <c r="G479" s="687">
        <f>[9]Роспись!G441</f>
        <v>340</v>
      </c>
      <c r="H479" s="648">
        <f>[9]Роспись!H441</f>
        <v>200</v>
      </c>
      <c r="I479" s="685">
        <f>[9]Финансирование!I479+[9]Финансирование!J479+[9]Финансирование!K479+[9]Финансирование!L479+[9]Финансирование!M479+[9]Финансирование!N479+[9]Финансирование!O479+[9]Финансирование!P479</f>
        <v>66.7</v>
      </c>
      <c r="J479" s="685">
        <f>[9]Финансирование!Q479+[9]Финансирование!T479+[9]Финансирование!U479+[9]Финансирование!V479+[9]Финансирование!W479+[9]Финансирование!X479+[9]Финансирование!Y479+[9]Финансирование!Z479</f>
        <v>133.30000000000001</v>
      </c>
      <c r="K479" s="685">
        <f t="shared" si="39"/>
        <v>0</v>
      </c>
    </row>
    <row r="480" spans="1:16" x14ac:dyDescent="0.15">
      <c r="A480" s="674" t="s">
        <v>98</v>
      </c>
      <c r="B480" s="666" t="s">
        <v>79</v>
      </c>
      <c r="C480" s="666" t="s">
        <v>80</v>
      </c>
      <c r="D480" s="666" t="s">
        <v>125</v>
      </c>
      <c r="E480" s="666" t="s">
        <v>216</v>
      </c>
      <c r="F480" s="666" t="s">
        <v>102</v>
      </c>
      <c r="G480" s="705"/>
      <c r="H480" s="643">
        <f>SUM(H467:H479)</f>
        <v>30577.799999999996</v>
      </c>
      <c r="I480" s="676">
        <f>SUM(I467:I479)</f>
        <v>14322.170000000002</v>
      </c>
      <c r="J480" s="676">
        <f>SUM(J467:J479)</f>
        <v>16255.629999999994</v>
      </c>
      <c r="K480" s="651">
        <f>SUM(K467:K479)</f>
        <v>1.4210854715202004E-14</v>
      </c>
      <c r="L480" s="678"/>
      <c r="M480" s="678"/>
      <c r="N480" s="678"/>
      <c r="O480" s="678"/>
      <c r="P480" s="678"/>
    </row>
    <row r="481" spans="1:16" ht="52" x14ac:dyDescent="0.15">
      <c r="A481" s="692" t="str">
        <f>'[9]Новая роспись'!A503</f>
        <v>Субсидия на финансовое обеспечение государственного задания на оказание государственных услуг (выполнение работ)</v>
      </c>
      <c r="B481" s="666"/>
      <c r="C481" s="666"/>
      <c r="D481" s="666"/>
      <c r="E481" s="666"/>
      <c r="F481" s="692">
        <f>'[9]Новая роспись'!F503</f>
        <v>611</v>
      </c>
      <c r="G481" s="692" t="str">
        <f>'[9]Новая роспись'!G503</f>
        <v>241</v>
      </c>
      <c r="H481" s="645">
        <f>'[9]Новая роспись'!H503</f>
        <v>16255.629999999994</v>
      </c>
      <c r="I481" s="648">
        <f>[9]Финансирование!I481+[9]Финансирование!J481+[9]Финансирование!K481+[9]Финансирование!L481+[9]Финансирование!M481+[9]Финансирование!N481+[9]Финансирование!O481+[9]Финансирование!P481+[9]Финансирование!Q481+[9]Финансирование!T481+[9]Финансирование!U481+[9]Финансирование!V481+[9]Финансирование!W481+[9]Финансирование!X481+[9]Финансирование!Y481+[9]Финансирование!Z481</f>
        <v>16255.629999999994</v>
      </c>
      <c r="J481" s="648"/>
      <c r="K481" s="648">
        <f>H481-I481</f>
        <v>0</v>
      </c>
      <c r="L481" s="678"/>
      <c r="M481" s="678"/>
      <c r="N481" s="678"/>
      <c r="O481" s="678"/>
      <c r="P481" s="678"/>
    </row>
    <row r="482" spans="1:16" x14ac:dyDescent="0.15">
      <c r="A482" s="78" t="s">
        <v>142</v>
      </c>
      <c r="B482" s="672"/>
      <c r="C482" s="672"/>
      <c r="D482" s="672"/>
      <c r="E482" s="672"/>
      <c r="F482" s="672"/>
      <c r="G482" s="649"/>
      <c r="H482" s="648"/>
      <c r="I482" s="648">
        <f>[9]Финансирование!I482+[9]Финансирование!J482+[9]Финансирование!K482+[9]Финансирование!L482+[9]Финансирование!M482+[9]Финансирование!N482+[9]Финансирование!O482+[9]Финансирование!P482+[9]Финансирование!Q482+[9]Финансирование!T482+[9]Финансирование!U482+[9]Финансирование!V482+[9]Финансирование!W482+[9]Финансирование!X482+[9]Финансирование!Y482+[9]Финансирование!Z482</f>
        <v>0</v>
      </c>
      <c r="J482" s="648"/>
      <c r="K482" s="648"/>
      <c r="L482" s="646"/>
      <c r="M482" s="646"/>
      <c r="N482" s="646"/>
      <c r="O482" s="646"/>
      <c r="P482" s="646"/>
    </row>
    <row r="483" spans="1:16" x14ac:dyDescent="0.15">
      <c r="A483" s="647" t="str">
        <f>[9]Роспись!A444</f>
        <v>Заработная плата</v>
      </c>
      <c r="B483" s="81" t="str">
        <f>[9]Роспись!B444</f>
        <v>056</v>
      </c>
      <c r="C483" s="81" t="str">
        <f>[9]Роспись!C444</f>
        <v>08</v>
      </c>
      <c r="D483" s="81" t="str">
        <f>[9]Роспись!D444</f>
        <v>01</v>
      </c>
      <c r="E483" s="81">
        <f>[9]Роспись!E444</f>
        <v>4439901</v>
      </c>
      <c r="F483" s="81" t="str">
        <f>[9]Роспись!F444</f>
        <v>001</v>
      </c>
      <c r="G483" s="81">
        <f>[9]Роспись!G444</f>
        <v>211</v>
      </c>
      <c r="H483" s="648">
        <f>[9]Роспись!H444</f>
        <v>17181.900000000001</v>
      </c>
      <c r="I483" s="648">
        <f>[9]Финансирование!I483+[9]Финансирование!J483+[9]Финансирование!K483+[9]Финансирование!L483+[9]Финансирование!M483+[9]Финансирование!N483+[9]Финансирование!O483+[9]Финансирование!P483</f>
        <v>7923.1500000000005</v>
      </c>
      <c r="J483" s="648">
        <f>[9]Финансирование!Q483+[9]Финансирование!T483+[9]Финансирование!U483+[9]Финансирование!V483+[9]Финансирование!W483+[9]Финансирование!X483+[9]Финансирование!Y483+[9]Финансирование!Z483</f>
        <v>9258.7500000000036</v>
      </c>
      <c r="K483" s="648">
        <f>H483-I483-J483</f>
        <v>0</v>
      </c>
      <c r="L483" s="635">
        <v>9010.9979999999996</v>
      </c>
    </row>
    <row r="484" spans="1:16" x14ac:dyDescent="0.15">
      <c r="A484" s="647" t="str">
        <f>[9]Роспись!A445</f>
        <v xml:space="preserve">Прочие выплаты </v>
      </c>
      <c r="B484" s="81" t="str">
        <f>[9]Роспись!B445</f>
        <v>056</v>
      </c>
      <c r="C484" s="81" t="str">
        <f>[9]Роспись!C445</f>
        <v>08</v>
      </c>
      <c r="D484" s="81" t="str">
        <f>[9]Роспись!D445</f>
        <v>01</v>
      </c>
      <c r="E484" s="81">
        <f>[9]Роспись!E445</f>
        <v>4439901</v>
      </c>
      <c r="F484" s="81" t="str">
        <f>[9]Роспись!F445</f>
        <v>001</v>
      </c>
      <c r="G484" s="81">
        <f>[9]Роспись!G445</f>
        <v>212</v>
      </c>
      <c r="H484" s="648">
        <f>[9]Роспись!H445</f>
        <v>0</v>
      </c>
      <c r="I484" s="648">
        <f>[9]Финансирование!I484+[9]Финансирование!J484+[9]Финансирование!K484+[9]Финансирование!L484+[9]Финансирование!M484+[9]Финансирование!N484+[9]Финансирование!O484+[9]Финансирование!P484</f>
        <v>0</v>
      </c>
      <c r="J484" s="648">
        <f>[9]Финансирование!Q484+[9]Финансирование!T484+[9]Финансирование!U484+[9]Финансирование!V484+[9]Финансирование!W484+[9]Финансирование!X484+[9]Финансирование!Y484+[9]Финансирование!Z484</f>
        <v>0</v>
      </c>
      <c r="K484" s="648">
        <f t="shared" ref="K484:K495" si="40">H484-I484-J484</f>
        <v>0</v>
      </c>
    </row>
    <row r="485" spans="1:16" x14ac:dyDescent="0.15">
      <c r="A485" s="647" t="str">
        <f>[9]Роспись!A446</f>
        <v>Начисления на оплату труда</v>
      </c>
      <c r="B485" s="81" t="str">
        <f>[9]Роспись!B446</f>
        <v>056</v>
      </c>
      <c r="C485" s="81" t="str">
        <f>[9]Роспись!C446</f>
        <v>08</v>
      </c>
      <c r="D485" s="81" t="str">
        <f>[9]Роспись!D446</f>
        <v>01</v>
      </c>
      <c r="E485" s="81">
        <f>[9]Роспись!E446</f>
        <v>4439901</v>
      </c>
      <c r="F485" s="81" t="str">
        <f>[9]Роспись!F446</f>
        <v>001</v>
      </c>
      <c r="G485" s="81">
        <f>[9]Роспись!G446</f>
        <v>213</v>
      </c>
      <c r="H485" s="648">
        <f>[9]Роспись!H446</f>
        <v>5188.8999999999996</v>
      </c>
      <c r="I485" s="648">
        <f>[9]Финансирование!I485+[9]Финансирование!J485+[9]Финансирование!K485+[9]Финансирование!L485+[9]Финансирование!M485+[9]Финансирование!N485+[9]Финансирование!O485+[9]Финансирование!P485</f>
        <v>2563.7600000000002</v>
      </c>
      <c r="J485" s="648">
        <f>[9]Финансирование!Q485+[9]Финансирование!T485+[9]Финансирование!U485+[9]Финансирование!V485+[9]Финансирование!W485+[9]Финансирование!X485+[9]Финансирование!Y485+[9]Финансирование!Z485</f>
        <v>2625.139999999999</v>
      </c>
      <c r="K485" s="648">
        <f t="shared" si="40"/>
        <v>0</v>
      </c>
      <c r="L485" s="635">
        <v>2619.8919999999998</v>
      </c>
    </row>
    <row r="486" spans="1:16" x14ac:dyDescent="0.15">
      <c r="A486" s="647" t="str">
        <f>[9]Роспись!A447</f>
        <v xml:space="preserve">Оплата услуг связи </v>
      </c>
      <c r="B486" s="81" t="str">
        <f>[9]Роспись!B447</f>
        <v>056</v>
      </c>
      <c r="C486" s="81" t="str">
        <f>[9]Роспись!C447</f>
        <v>08</v>
      </c>
      <c r="D486" s="81" t="str">
        <f>[9]Роспись!D447</f>
        <v>01</v>
      </c>
      <c r="E486" s="81">
        <f>[9]Роспись!E447</f>
        <v>4439901</v>
      </c>
      <c r="F486" s="81" t="str">
        <f>[9]Роспись!F447</f>
        <v>001</v>
      </c>
      <c r="G486" s="81">
        <f>[9]Роспись!G447</f>
        <v>221</v>
      </c>
      <c r="H486" s="648">
        <f>[9]Роспись!H447</f>
        <v>0</v>
      </c>
      <c r="I486" s="648">
        <f>[9]Финансирование!I486+[9]Финансирование!J486+[9]Финансирование!K486+[9]Финансирование!L486+[9]Финансирование!M486+[9]Финансирование!N486+[9]Финансирование!O486+[9]Финансирование!P486</f>
        <v>0</v>
      </c>
      <c r="J486" s="648">
        <f>[9]Финансирование!Q486+[9]Финансирование!T486+[9]Финансирование!U486+[9]Финансирование!V486+[9]Финансирование!W486+[9]Финансирование!X486+[9]Финансирование!Y486+[9]Финансирование!Z486</f>
        <v>0</v>
      </c>
      <c r="K486" s="648">
        <f t="shared" si="40"/>
        <v>0</v>
      </c>
    </row>
    <row r="487" spans="1:16" x14ac:dyDescent="0.15">
      <c r="A487" s="647" t="str">
        <f>[9]Роспись!A448</f>
        <v>Транспортные услуги</v>
      </c>
      <c r="B487" s="81" t="str">
        <f>[9]Роспись!B448</f>
        <v>056</v>
      </c>
      <c r="C487" s="81" t="str">
        <f>[9]Роспись!C448</f>
        <v>08</v>
      </c>
      <c r="D487" s="81" t="str">
        <f>[9]Роспись!D448</f>
        <v>01</v>
      </c>
      <c r="E487" s="81">
        <f>[9]Роспись!E448</f>
        <v>4439901</v>
      </c>
      <c r="F487" s="81" t="str">
        <f>[9]Роспись!F448</f>
        <v>001</v>
      </c>
      <c r="G487" s="81">
        <f>[9]Роспись!G448</f>
        <v>222</v>
      </c>
      <c r="H487" s="648">
        <f>[9]Роспись!H448</f>
        <v>0</v>
      </c>
      <c r="I487" s="648">
        <f>[9]Финансирование!I487+[9]Финансирование!J487+[9]Финансирование!K487+[9]Финансирование!L487+[9]Финансирование!M487+[9]Финансирование!N487+[9]Финансирование!O487+[9]Финансирование!P487</f>
        <v>0</v>
      </c>
      <c r="J487" s="648">
        <f>[9]Финансирование!Q487+[9]Финансирование!T487+[9]Финансирование!U487+[9]Финансирование!V487+[9]Финансирование!W487+[9]Финансирование!X487+[9]Финансирование!Y487+[9]Финансирование!Z487</f>
        <v>0</v>
      </c>
      <c r="K487" s="648">
        <f t="shared" si="40"/>
        <v>0</v>
      </c>
    </row>
    <row r="488" spans="1:16" x14ac:dyDescent="0.15">
      <c r="A488" s="647" t="str">
        <f>[9]Роспись!A449</f>
        <v>Коммунальные услуги</v>
      </c>
      <c r="B488" s="81" t="str">
        <f>[9]Роспись!B449</f>
        <v>056</v>
      </c>
      <c r="C488" s="81" t="str">
        <f>[9]Роспись!C449</f>
        <v>08</v>
      </c>
      <c r="D488" s="81" t="str">
        <f>[9]Роспись!D449</f>
        <v>01</v>
      </c>
      <c r="E488" s="81">
        <f>[9]Роспись!E449</f>
        <v>4439901</v>
      </c>
      <c r="F488" s="81" t="str">
        <f>[9]Роспись!F449</f>
        <v>001</v>
      </c>
      <c r="G488" s="81">
        <f>[9]Роспись!G449</f>
        <v>223</v>
      </c>
      <c r="H488" s="648">
        <f>[9]Роспись!H449</f>
        <v>507</v>
      </c>
      <c r="I488" s="648">
        <f>[9]Финансирование!I488+[9]Финансирование!J488+[9]Финансирование!K488+[9]Финансирование!L488+[9]Финансирование!M488+[9]Финансирование!N488+[9]Финансирование!O488+[9]Финансирование!P488</f>
        <v>222.8</v>
      </c>
      <c r="J488" s="648">
        <f>[9]Финансирование!Q488+[9]Финансирование!T488+[9]Финансирование!U488+[9]Финансирование!V488+[9]Финансирование!W488+[9]Финансирование!X488+[9]Финансирование!Y488+[9]Финансирование!Z488</f>
        <v>284.19999999999993</v>
      </c>
      <c r="K488" s="648">
        <f t="shared" si="40"/>
        <v>0</v>
      </c>
      <c r="L488" s="635">
        <v>117.89100000000001</v>
      </c>
    </row>
    <row r="489" spans="1:16" x14ac:dyDescent="0.15">
      <c r="A489" s="647" t="str">
        <f>[9]Роспись!A450</f>
        <v>Арендная плата</v>
      </c>
      <c r="B489" s="81" t="str">
        <f>[9]Роспись!B450</f>
        <v>056</v>
      </c>
      <c r="C489" s="81" t="str">
        <f>[9]Роспись!C450</f>
        <v>08</v>
      </c>
      <c r="D489" s="81" t="str">
        <f>[9]Роспись!D450</f>
        <v>01</v>
      </c>
      <c r="E489" s="81">
        <f>[9]Роспись!E450</f>
        <v>4439901</v>
      </c>
      <c r="F489" s="81" t="str">
        <f>[9]Роспись!F450</f>
        <v>001</v>
      </c>
      <c r="G489" s="81">
        <f>[9]Роспись!G450</f>
        <v>224</v>
      </c>
      <c r="H489" s="648">
        <f>[9]Роспись!H450</f>
        <v>0</v>
      </c>
      <c r="I489" s="648">
        <f>[9]Финансирование!I489+[9]Финансирование!J489+[9]Финансирование!K489+[9]Финансирование!L489+[9]Финансирование!M489+[9]Финансирование!N489+[9]Финансирование!O489+[9]Финансирование!P489</f>
        <v>0</v>
      </c>
      <c r="J489" s="648">
        <f>[9]Финансирование!Q489+[9]Финансирование!T489+[9]Финансирование!U489+[9]Финансирование!V489+[9]Финансирование!W489+[9]Финансирование!X489+[9]Финансирование!Y489+[9]Финансирование!Z489</f>
        <v>0</v>
      </c>
      <c r="K489" s="648">
        <f t="shared" si="40"/>
        <v>0</v>
      </c>
    </row>
    <row r="490" spans="1:16" x14ac:dyDescent="0.15">
      <c r="A490" s="647" t="str">
        <f>[9]Роспись!A451</f>
        <v>Услуги по содерж. имущества</v>
      </c>
      <c r="B490" s="81" t="str">
        <f>[9]Роспись!B451</f>
        <v>056</v>
      </c>
      <c r="C490" s="81" t="str">
        <f>[9]Роспись!C451</f>
        <v>08</v>
      </c>
      <c r="D490" s="81" t="str">
        <f>[9]Роспись!D451</f>
        <v>01</v>
      </c>
      <c r="E490" s="81">
        <f>[9]Роспись!E451</f>
        <v>4439901</v>
      </c>
      <c r="F490" s="81" t="str">
        <f>[9]Роспись!F451</f>
        <v>001</v>
      </c>
      <c r="G490" s="81">
        <f>[9]Роспись!G451</f>
        <v>225</v>
      </c>
      <c r="H490" s="648">
        <f>[9]Роспись!H451</f>
        <v>0</v>
      </c>
      <c r="I490" s="648">
        <f>[9]Финансирование!I490+[9]Финансирование!J490+[9]Финансирование!K490+[9]Финансирование!L490+[9]Финансирование!M490+[9]Финансирование!N490+[9]Финансирование!O490+[9]Финансирование!P490</f>
        <v>0</v>
      </c>
      <c r="J490" s="648">
        <f>[9]Финансирование!Q490+[9]Финансирование!T490+[9]Финансирование!U490+[9]Финансирование!V490+[9]Финансирование!W490+[9]Финансирование!X490+[9]Финансирование!Y490+[9]Финансирование!Z490</f>
        <v>0</v>
      </c>
      <c r="K490" s="648">
        <f t="shared" si="40"/>
        <v>0</v>
      </c>
    </row>
    <row r="491" spans="1:16" x14ac:dyDescent="0.15">
      <c r="A491" s="647" t="str">
        <f>[9]Роспись!A452</f>
        <v>Прочие услуги</v>
      </c>
      <c r="B491" s="81" t="str">
        <f>[9]Роспись!B452</f>
        <v>056</v>
      </c>
      <c r="C491" s="81" t="str">
        <f>[9]Роспись!C452</f>
        <v>08</v>
      </c>
      <c r="D491" s="81" t="str">
        <f>[9]Роспись!D452</f>
        <v>01</v>
      </c>
      <c r="E491" s="81">
        <f>[9]Роспись!E452</f>
        <v>4439901</v>
      </c>
      <c r="F491" s="81" t="str">
        <f>[9]Роспись!F452</f>
        <v>001</v>
      </c>
      <c r="G491" s="81">
        <f>[9]Роспись!G452</f>
        <v>226</v>
      </c>
      <c r="H491" s="648">
        <f>[9]Роспись!H452</f>
        <v>335</v>
      </c>
      <c r="I491" s="648">
        <f>[9]Финансирование!I491+[9]Финансирование!J491+[9]Финансирование!K491+[9]Финансирование!L491+[9]Финансирование!M491+[9]Финансирование!N491+[9]Финансирование!O491+[9]Финансирование!P491</f>
        <v>312.98</v>
      </c>
      <c r="J491" s="648">
        <f>[9]Финансирование!Q491+[9]Финансирование!T491+[9]Финансирование!U491+[9]Финансирование!V491+[9]Финансирование!W491+[9]Финансирование!X491+[9]Финансирование!Y491+[9]Финансирование!Z491</f>
        <v>0</v>
      </c>
      <c r="K491" s="648">
        <f t="shared" si="40"/>
        <v>22.019999999999982</v>
      </c>
    </row>
    <row r="492" spans="1:16" x14ac:dyDescent="0.15">
      <c r="A492" s="647" t="str">
        <f>[9]Роспись!A453</f>
        <v xml:space="preserve">Прочие расходы </v>
      </c>
      <c r="B492" s="81" t="str">
        <f>[9]Роспись!B453</f>
        <v>056</v>
      </c>
      <c r="C492" s="81" t="str">
        <f>[9]Роспись!C453</f>
        <v>08</v>
      </c>
      <c r="D492" s="81" t="str">
        <f>[9]Роспись!D453</f>
        <v>01</v>
      </c>
      <c r="E492" s="81">
        <f>[9]Роспись!E453</f>
        <v>4439901</v>
      </c>
      <c r="F492" s="81" t="str">
        <f>[9]Роспись!F453</f>
        <v>001</v>
      </c>
      <c r="G492" s="81">
        <f>[9]Роспись!G453</f>
        <v>290</v>
      </c>
      <c r="H492" s="648">
        <f>[9]Роспись!H453</f>
        <v>33.200000000000003</v>
      </c>
      <c r="I492" s="648">
        <f>[9]Финансирование!I492+[9]Финансирование!J492+[9]Финансирование!K492+[9]Финансирование!L492+[9]Финансирование!M492+[9]Финансирование!N492+[9]Финансирование!O492+[9]Финансирование!P492</f>
        <v>16.600000000000001</v>
      </c>
      <c r="J492" s="648">
        <f>[9]Финансирование!Q492+[9]Финансирование!T492+[9]Финансирование!U492+[9]Финансирование!V492+[9]Финансирование!W492+[9]Финансирование!X492+[9]Финансирование!Y492+[9]Финансирование!Z492</f>
        <v>16.600000000000001</v>
      </c>
      <c r="K492" s="648">
        <f t="shared" si="40"/>
        <v>0</v>
      </c>
    </row>
    <row r="493" spans="1:16" x14ac:dyDescent="0.15">
      <c r="A493" s="647" t="str">
        <f>[9]Роспись!A454</f>
        <v xml:space="preserve">Прочие расходы </v>
      </c>
      <c r="B493" s="81" t="str">
        <f>[9]Роспись!B454</f>
        <v>056</v>
      </c>
      <c r="C493" s="81" t="str">
        <f>[9]Роспись!C454</f>
        <v>08</v>
      </c>
      <c r="D493" s="81" t="str">
        <f>[9]Роспись!D454</f>
        <v>01</v>
      </c>
      <c r="E493" s="81" t="str">
        <f>[9]Роспись!E454</f>
        <v>4439500</v>
      </c>
      <c r="F493" s="81" t="str">
        <f>[9]Роспись!F454</f>
        <v>001</v>
      </c>
      <c r="G493" s="81" t="str">
        <f>[9]Роспись!G454</f>
        <v>290</v>
      </c>
      <c r="H493" s="648">
        <f>[9]Роспись!H454</f>
        <v>1491.2</v>
      </c>
      <c r="I493" s="648">
        <f>[9]Финансирование!I493+[9]Финансирование!J493+[9]Финансирование!K493+[9]Финансирование!L493+[9]Финансирование!M493+[9]Финансирование!N493+[9]Финансирование!O493+[9]Финансирование!P493</f>
        <v>745.6</v>
      </c>
      <c r="J493" s="648">
        <f>[9]Финансирование!Q493+[9]Финансирование!T493+[9]Финансирование!U493+[9]Финансирование!V493+[9]Финансирование!W493+[9]Финансирование!X493+[9]Финансирование!Y493+[9]Финансирование!Z493</f>
        <v>745.6</v>
      </c>
      <c r="K493" s="648">
        <f t="shared" si="40"/>
        <v>0</v>
      </c>
    </row>
    <row r="494" spans="1:16" x14ac:dyDescent="0.15">
      <c r="A494" s="647" t="str">
        <f>[9]Роспись!A455</f>
        <v>Увелич. стоимости осн. средств</v>
      </c>
      <c r="B494" s="81" t="str">
        <f>[9]Роспись!B455</f>
        <v>056</v>
      </c>
      <c r="C494" s="81" t="str">
        <f>[9]Роспись!C455</f>
        <v>08</v>
      </c>
      <c r="D494" s="81" t="str">
        <f>[9]Роспись!D455</f>
        <v>01</v>
      </c>
      <c r="E494" s="81">
        <f>[9]Роспись!E455</f>
        <v>4439901</v>
      </c>
      <c r="F494" s="81" t="str">
        <f>[9]Роспись!F455</f>
        <v>001</v>
      </c>
      <c r="G494" s="81">
        <f>[9]Роспись!G455</f>
        <v>310</v>
      </c>
      <c r="H494" s="648">
        <f>[9]Роспись!H455</f>
        <v>150</v>
      </c>
      <c r="I494" s="648">
        <f>[9]Финансирование!I494+[9]Финансирование!J494+[9]Финансирование!K494+[9]Финансирование!L494+[9]Финансирование!M494+[9]Финансирование!N494+[9]Финансирование!O494+[9]Финансирование!P494</f>
        <v>0</v>
      </c>
      <c r="J494" s="648">
        <f>[9]Финансирование!Q494+[9]Финансирование!T494+[9]Финансирование!U494+[9]Финансирование!V494+[9]Финансирование!W494+[9]Финансирование!X494+[9]Финансирование!Y494+[9]Финансирование!Z494</f>
        <v>0</v>
      </c>
      <c r="K494" s="648">
        <f t="shared" si="40"/>
        <v>150</v>
      </c>
    </row>
    <row r="495" spans="1:16" x14ac:dyDescent="0.15">
      <c r="A495" s="647" t="str">
        <f>[9]Роспись!A456</f>
        <v>Увелич. стоимости матер. запасов</v>
      </c>
      <c r="B495" s="81" t="str">
        <f>[9]Роспись!B456</f>
        <v>056</v>
      </c>
      <c r="C495" s="81" t="str">
        <f>[9]Роспись!C456</f>
        <v>08</v>
      </c>
      <c r="D495" s="81" t="str">
        <f>[9]Роспись!D456</f>
        <v>01</v>
      </c>
      <c r="E495" s="81">
        <f>[9]Роспись!E456</f>
        <v>4439901</v>
      </c>
      <c r="F495" s="81" t="str">
        <f>[9]Роспись!F456</f>
        <v>001</v>
      </c>
      <c r="G495" s="81">
        <f>[9]Роспись!G456</f>
        <v>340</v>
      </c>
      <c r="H495" s="648">
        <f>[9]Роспись!H456</f>
        <v>170</v>
      </c>
      <c r="I495" s="648">
        <f>[9]Финансирование!I495+[9]Финансирование!J495+[9]Финансирование!K495+[9]Финансирование!L495+[9]Финансирование!M495+[9]Финансирование!N495+[9]Финансирование!O495+[9]Финансирование!P495</f>
        <v>56.7</v>
      </c>
      <c r="J495" s="648">
        <f>[9]Финансирование!Q495+[9]Финансирование!T495+[9]Финансирование!U495+[9]Финансирование!V495+[9]Финансирование!W495+[9]Финансирование!X495+[9]Финансирование!Y495+[9]Финансирование!Z495</f>
        <v>0</v>
      </c>
      <c r="K495" s="648">
        <f t="shared" si="40"/>
        <v>113.3</v>
      </c>
    </row>
    <row r="496" spans="1:16" x14ac:dyDescent="0.15">
      <c r="A496" s="674" t="s">
        <v>98</v>
      </c>
      <c r="B496" s="666" t="s">
        <v>79</v>
      </c>
      <c r="C496" s="666" t="s">
        <v>80</v>
      </c>
      <c r="D496" s="666" t="s">
        <v>125</v>
      </c>
      <c r="E496" s="666" t="s">
        <v>216</v>
      </c>
      <c r="F496" s="666" t="s">
        <v>102</v>
      </c>
      <c r="G496" s="675"/>
      <c r="H496" s="643">
        <f>SUM(H483:H495)</f>
        <v>25057.200000000004</v>
      </c>
      <c r="I496" s="681">
        <f>SUM(I483:I495)</f>
        <v>11841.59</v>
      </c>
      <c r="J496" s="681">
        <f>SUM(J483:J495)</f>
        <v>12930.290000000005</v>
      </c>
      <c r="K496" s="643">
        <f>SUM(K483:K495)</f>
        <v>285.32</v>
      </c>
      <c r="L496" s="678"/>
      <c r="M496" s="678"/>
      <c r="N496" s="678"/>
      <c r="O496" s="678"/>
      <c r="P496" s="678"/>
    </row>
    <row r="497" spans="1:16" ht="52" x14ac:dyDescent="0.15">
      <c r="A497" s="692" t="str">
        <f>'[9]Новая роспись'!A520</f>
        <v>Субсидия на финансовое обеспечение государственного задания на оказание государственных услуг (выполнение работ)</v>
      </c>
      <c r="B497" s="666"/>
      <c r="C497" s="666"/>
      <c r="D497" s="666"/>
      <c r="E497" s="666"/>
      <c r="F497" s="692">
        <f>'[9]Новая роспись'!F520</f>
        <v>611</v>
      </c>
      <c r="G497" s="692" t="str">
        <f>'[9]Новая роспись'!G520</f>
        <v>241</v>
      </c>
      <c r="H497" s="645">
        <f>'[9]Новая роспись'!H520</f>
        <v>13215.610000000004</v>
      </c>
      <c r="I497" s="648">
        <f>[9]Финансирование!I497+[9]Финансирование!J497+[9]Финансирование!K497+[9]Финансирование!L497+[9]Финансирование!M497+[9]Финансирование!N497+[9]Финансирование!O497+[9]Финансирование!P497+[9]Финансирование!Q497+[9]Финансирование!T497+[9]Финансирование!U497+[9]Финансирование!V497+[9]Финансирование!W497+[9]Финансирование!X497+[9]Финансирование!Y497+[9]Финансирование!Z497</f>
        <v>12930.290000000003</v>
      </c>
      <c r="J497" s="648"/>
      <c r="K497" s="648">
        <f>H497-I497</f>
        <v>285.32000000000153</v>
      </c>
      <c r="L497" s="678"/>
      <c r="M497" s="678"/>
      <c r="N497" s="678"/>
      <c r="O497" s="678"/>
      <c r="P497" s="678"/>
    </row>
    <row r="498" spans="1:16" x14ac:dyDescent="0.15">
      <c r="A498" s="78" t="s">
        <v>143</v>
      </c>
      <c r="B498" s="672"/>
      <c r="C498" s="672"/>
      <c r="D498" s="672"/>
      <c r="E498" s="672"/>
      <c r="F498" s="672"/>
      <c r="G498" s="649"/>
      <c r="H498" s="648"/>
      <c r="I498" s="648">
        <f>[9]Финансирование!I498+[9]Финансирование!J498+[9]Финансирование!K498+[9]Финансирование!L498+[9]Финансирование!M498+[9]Финансирование!N498+[9]Финансирование!O498+[9]Финансирование!P498+[9]Финансирование!Q498+[9]Финансирование!T498+[9]Финансирование!U498+[9]Финансирование!V498+[9]Финансирование!W498+[9]Финансирование!X498+[9]Финансирование!Y498+[9]Финансирование!Z498</f>
        <v>0</v>
      </c>
      <c r="J498" s="648"/>
      <c r="K498" s="648"/>
      <c r="L498" s="646"/>
      <c r="M498" s="646"/>
      <c r="N498" s="646"/>
      <c r="O498" s="646"/>
      <c r="P498" s="646"/>
    </row>
    <row r="499" spans="1:16" x14ac:dyDescent="0.15">
      <c r="A499" s="647" t="str">
        <f>[9]Роспись!A459</f>
        <v>Заработная плата</v>
      </c>
      <c r="B499" s="81" t="str">
        <f>[9]Роспись!B459</f>
        <v>056</v>
      </c>
      <c r="C499" s="81" t="str">
        <f>[9]Роспись!C459</f>
        <v>08</v>
      </c>
      <c r="D499" s="81" t="str">
        <f>[9]Роспись!D459</f>
        <v>01</v>
      </c>
      <c r="E499" s="81">
        <f>[9]Роспись!E459</f>
        <v>4439901</v>
      </c>
      <c r="F499" s="81" t="str">
        <f>[9]Роспись!F459</f>
        <v>001</v>
      </c>
      <c r="G499" s="81">
        <f>[9]Роспись!G459</f>
        <v>211</v>
      </c>
      <c r="H499" s="648">
        <f>[9]Роспись!H459</f>
        <v>10880.02</v>
      </c>
      <c r="I499" s="648">
        <f>[9]Финансирование!I499+[9]Финансирование!J499+[9]Финансирование!K499+[9]Финансирование!L499+[9]Финансирование!M499+[9]Финансирование!N499+[9]Финансирование!O499+[9]Финансирование!P499</f>
        <v>4847.8999999999996</v>
      </c>
      <c r="J499" s="648">
        <f>[9]Финансирование!Q499+[9]Финансирование!T499+[9]Финансирование!U499+[9]Финансирование!V499+[9]Финансирование!W499+[9]Финансирование!X499+[9]Финансирование!Y499+[9]Финансирование!Z499</f>
        <v>6032.12</v>
      </c>
      <c r="K499" s="648">
        <f>H499-I499-J499</f>
        <v>0</v>
      </c>
    </row>
    <row r="500" spans="1:16" x14ac:dyDescent="0.15">
      <c r="A500" s="647" t="str">
        <f>[9]Роспись!A460</f>
        <v xml:space="preserve">Прочие выплаты </v>
      </c>
      <c r="B500" s="81" t="str">
        <f>[9]Роспись!B460</f>
        <v>056</v>
      </c>
      <c r="C500" s="81" t="str">
        <f>[9]Роспись!C460</f>
        <v>08</v>
      </c>
      <c r="D500" s="81" t="str">
        <f>[9]Роспись!D460</f>
        <v>01</v>
      </c>
      <c r="E500" s="81">
        <f>[9]Роспись!E460</f>
        <v>4439901</v>
      </c>
      <c r="F500" s="81" t="str">
        <f>[9]Роспись!F460</f>
        <v>001</v>
      </c>
      <c r="G500" s="81">
        <f>[9]Роспись!G460</f>
        <v>212</v>
      </c>
      <c r="H500" s="648">
        <f>[9]Роспись!H460</f>
        <v>0</v>
      </c>
      <c r="I500" s="648">
        <f>[9]Финансирование!I500+[9]Финансирование!J500+[9]Финансирование!K500+[9]Финансирование!L500+[9]Финансирование!M500+[9]Финансирование!N500+[9]Финансирование!O500+[9]Финансирование!P500</f>
        <v>0</v>
      </c>
      <c r="J500" s="648">
        <f>[9]Финансирование!Q500+[9]Финансирование!T500+[9]Финансирование!U500+[9]Финансирование!V500+[9]Финансирование!W500+[9]Финансирование!X500+[9]Финансирование!Y500+[9]Финансирование!Z500</f>
        <v>0</v>
      </c>
      <c r="K500" s="648">
        <f t="shared" ref="K500:K511" si="41">H500-I500-J500</f>
        <v>0</v>
      </c>
    </row>
    <row r="501" spans="1:16" x14ac:dyDescent="0.15">
      <c r="A501" s="647" t="str">
        <f>[9]Роспись!A461</f>
        <v>Начисления на оплату труда</v>
      </c>
      <c r="B501" s="81" t="str">
        <f>[9]Роспись!B461</f>
        <v>056</v>
      </c>
      <c r="C501" s="81" t="str">
        <f>[9]Роспись!C461</f>
        <v>08</v>
      </c>
      <c r="D501" s="81" t="str">
        <f>[9]Роспись!D461</f>
        <v>01</v>
      </c>
      <c r="E501" s="81">
        <f>[9]Роспись!E461</f>
        <v>4439901</v>
      </c>
      <c r="F501" s="81" t="str">
        <f>[9]Роспись!F461</f>
        <v>001</v>
      </c>
      <c r="G501" s="81">
        <f>[9]Роспись!G461</f>
        <v>213</v>
      </c>
      <c r="H501" s="648">
        <f>[9]Роспись!H461</f>
        <v>3073.3</v>
      </c>
      <c r="I501" s="648">
        <f>[9]Финансирование!I501+[9]Финансирование!J501+[9]Финансирование!K501+[9]Финансирование!L501+[9]Финансирование!M501+[9]Финансирование!N501+[9]Финансирование!O501+[9]Финансирование!P501</f>
        <v>1568.58</v>
      </c>
      <c r="J501" s="648">
        <f>[9]Финансирование!Q501+[9]Финансирование!T501+[9]Финансирование!U501+[9]Финансирование!V501+[9]Финансирование!W501+[9]Финансирование!X501+[9]Финансирование!Y501+[9]Финансирование!Z501</f>
        <v>1504.7199999999998</v>
      </c>
      <c r="K501" s="648">
        <f t="shared" si="41"/>
        <v>0</v>
      </c>
      <c r="L501" s="635">
        <v>1129.9639999999999</v>
      </c>
    </row>
    <row r="502" spans="1:16" x14ac:dyDescent="0.15">
      <c r="A502" s="647" t="str">
        <f>[9]Роспись!A462</f>
        <v xml:space="preserve">Оплата услуг связи </v>
      </c>
      <c r="B502" s="81" t="str">
        <f>[9]Роспись!B462</f>
        <v>056</v>
      </c>
      <c r="C502" s="81" t="str">
        <f>[9]Роспись!C462</f>
        <v>08</v>
      </c>
      <c r="D502" s="81" t="str">
        <f>[9]Роспись!D462</f>
        <v>01</v>
      </c>
      <c r="E502" s="81">
        <f>[9]Роспись!E462</f>
        <v>4439901</v>
      </c>
      <c r="F502" s="81" t="str">
        <f>[9]Роспись!F462</f>
        <v>001</v>
      </c>
      <c r="G502" s="81">
        <f>[9]Роспись!G462</f>
        <v>221</v>
      </c>
      <c r="H502" s="648">
        <f>[9]Роспись!H462</f>
        <v>0</v>
      </c>
      <c r="I502" s="648">
        <f>[9]Финансирование!I502+[9]Финансирование!J502+[9]Финансирование!K502+[9]Финансирование!L502+[9]Финансирование!M502+[9]Финансирование!N502+[9]Финансирование!O502+[9]Финансирование!P502</f>
        <v>0</v>
      </c>
      <c r="J502" s="648">
        <f>[9]Финансирование!Q502+[9]Финансирование!T502+[9]Финансирование!U502+[9]Финансирование!V502+[9]Финансирование!W502+[9]Финансирование!X502+[9]Финансирование!Y502+[9]Финансирование!Z502</f>
        <v>0</v>
      </c>
      <c r="K502" s="648">
        <f t="shared" si="41"/>
        <v>0</v>
      </c>
    </row>
    <row r="503" spans="1:16" x14ac:dyDescent="0.15">
      <c r="A503" s="647" t="str">
        <f>[9]Роспись!A463</f>
        <v>Транспортные услуги</v>
      </c>
      <c r="B503" s="81" t="str">
        <f>[9]Роспись!B463</f>
        <v>056</v>
      </c>
      <c r="C503" s="81" t="str">
        <f>[9]Роспись!C463</f>
        <v>08</v>
      </c>
      <c r="D503" s="81" t="str">
        <f>[9]Роспись!D463</f>
        <v>01</v>
      </c>
      <c r="E503" s="81">
        <f>[9]Роспись!E463</f>
        <v>4439901</v>
      </c>
      <c r="F503" s="81" t="str">
        <f>[9]Роспись!F463</f>
        <v>001</v>
      </c>
      <c r="G503" s="81">
        <f>[9]Роспись!G463</f>
        <v>222</v>
      </c>
      <c r="H503" s="648">
        <f>[9]Роспись!H463</f>
        <v>0</v>
      </c>
      <c r="I503" s="648">
        <f>[9]Финансирование!I503+[9]Финансирование!J503+[9]Финансирование!K503+[9]Финансирование!L503+[9]Финансирование!M503+[9]Финансирование!N503+[9]Финансирование!O503+[9]Финансирование!P503</f>
        <v>0</v>
      </c>
      <c r="J503" s="648">
        <f>[9]Финансирование!Q503+[9]Финансирование!T503+[9]Финансирование!U503+[9]Финансирование!V503+[9]Финансирование!W503+[9]Финансирование!X503+[9]Финансирование!Y503+[9]Финансирование!Z503</f>
        <v>0</v>
      </c>
      <c r="K503" s="648">
        <f t="shared" si="41"/>
        <v>0</v>
      </c>
    </row>
    <row r="504" spans="1:16" x14ac:dyDescent="0.15">
      <c r="A504" s="647" t="str">
        <f>[9]Роспись!A464</f>
        <v>Коммунальные услуги</v>
      </c>
      <c r="B504" s="81" t="str">
        <f>[9]Роспись!B464</f>
        <v>056</v>
      </c>
      <c r="C504" s="81" t="str">
        <f>[9]Роспись!C464</f>
        <v>08</v>
      </c>
      <c r="D504" s="81" t="str">
        <f>[9]Роспись!D464</f>
        <v>01</v>
      </c>
      <c r="E504" s="81">
        <f>[9]Роспись!E464</f>
        <v>4439901</v>
      </c>
      <c r="F504" s="81" t="str">
        <f>[9]Роспись!F464</f>
        <v>001</v>
      </c>
      <c r="G504" s="81">
        <f>[9]Роспись!G464</f>
        <v>223</v>
      </c>
      <c r="H504" s="648">
        <f>[9]Роспись!H464</f>
        <v>654.88</v>
      </c>
      <c r="I504" s="648">
        <f>[9]Финансирование!I504+[9]Финансирование!J504+[9]Финансирование!K504+[9]Финансирование!L504+[9]Финансирование!M504+[9]Финансирование!N504+[9]Финансирование!O504+[9]Финансирование!P504</f>
        <v>364.79999999999995</v>
      </c>
      <c r="J504" s="648">
        <f>[9]Финансирование!Q504+[9]Финансирование!T504+[9]Финансирование!U504+[9]Финансирование!V504+[9]Финансирование!W504+[9]Финансирование!X504+[9]Финансирование!Y504+[9]Финансирование!Z504</f>
        <v>290.08000000000004</v>
      </c>
      <c r="K504" s="648">
        <f t="shared" si="41"/>
        <v>0</v>
      </c>
      <c r="L504" s="635">
        <v>290.08</v>
      </c>
    </row>
    <row r="505" spans="1:16" x14ac:dyDescent="0.15">
      <c r="A505" s="647" t="str">
        <f>[9]Роспись!A465</f>
        <v>Арендная плата</v>
      </c>
      <c r="B505" s="81" t="str">
        <f>[9]Роспись!B465</f>
        <v>056</v>
      </c>
      <c r="C505" s="81" t="str">
        <f>[9]Роспись!C465</f>
        <v>08</v>
      </c>
      <c r="D505" s="81" t="str">
        <f>[9]Роспись!D465</f>
        <v>01</v>
      </c>
      <c r="E505" s="81">
        <f>[9]Роспись!E465</f>
        <v>4439901</v>
      </c>
      <c r="F505" s="81" t="str">
        <f>[9]Роспись!F465</f>
        <v>001</v>
      </c>
      <c r="G505" s="81">
        <f>[9]Роспись!G465</f>
        <v>224</v>
      </c>
      <c r="H505" s="648">
        <f>[9]Роспись!H465</f>
        <v>0</v>
      </c>
      <c r="I505" s="648">
        <f>[9]Финансирование!I505+[9]Финансирование!J505+[9]Финансирование!K505+[9]Финансирование!L505+[9]Финансирование!M505+[9]Финансирование!N505+[9]Финансирование!O505+[9]Финансирование!P505</f>
        <v>0</v>
      </c>
      <c r="J505" s="648">
        <f>[9]Финансирование!Q505+[9]Финансирование!T505+[9]Финансирование!U505+[9]Финансирование!V505+[9]Финансирование!W505+[9]Финансирование!X505+[9]Финансирование!Y505+[9]Финансирование!Z505</f>
        <v>0</v>
      </c>
      <c r="K505" s="648">
        <f t="shared" si="41"/>
        <v>0</v>
      </c>
    </row>
    <row r="506" spans="1:16" x14ac:dyDescent="0.15">
      <c r="A506" s="647" t="str">
        <f>[9]Роспись!A466</f>
        <v>Услуги по содерж. имущества</v>
      </c>
      <c r="B506" s="81" t="str">
        <f>[9]Роспись!B466</f>
        <v>056</v>
      </c>
      <c r="C506" s="81" t="str">
        <f>[9]Роспись!C466</f>
        <v>08</v>
      </c>
      <c r="D506" s="81" t="str">
        <f>[9]Роспись!D466</f>
        <v>01</v>
      </c>
      <c r="E506" s="81">
        <f>[9]Роспись!E466</f>
        <v>4439901</v>
      </c>
      <c r="F506" s="81" t="str">
        <f>[9]Роспись!F466</f>
        <v>001</v>
      </c>
      <c r="G506" s="81">
        <f>[9]Роспись!G466</f>
        <v>225</v>
      </c>
      <c r="H506" s="648">
        <f>[9]Роспись!H466</f>
        <v>0</v>
      </c>
      <c r="I506" s="648">
        <f>[9]Финансирование!I506+[9]Финансирование!J506+[9]Финансирование!K506+[9]Финансирование!L506+[9]Финансирование!M506+[9]Финансирование!N506+[9]Финансирование!O506+[9]Финансирование!P506</f>
        <v>0</v>
      </c>
      <c r="J506" s="648">
        <f>[9]Финансирование!Q506+[9]Финансирование!T506+[9]Финансирование!U506+[9]Финансирование!V506+[9]Финансирование!W506+[9]Финансирование!X506+[9]Финансирование!Y506+[9]Финансирование!Z506</f>
        <v>0</v>
      </c>
      <c r="K506" s="648">
        <f t="shared" si="41"/>
        <v>0</v>
      </c>
    </row>
    <row r="507" spans="1:16" x14ac:dyDescent="0.15">
      <c r="A507" s="647" t="str">
        <f>[9]Роспись!A467</f>
        <v>Прочие услуги</v>
      </c>
      <c r="B507" s="81" t="str">
        <f>[9]Роспись!B467</f>
        <v>056</v>
      </c>
      <c r="C507" s="81" t="str">
        <f>[9]Роспись!C467</f>
        <v>08</v>
      </c>
      <c r="D507" s="81" t="str">
        <f>[9]Роспись!D467</f>
        <v>01</v>
      </c>
      <c r="E507" s="81">
        <f>[9]Роспись!E467</f>
        <v>4439901</v>
      </c>
      <c r="F507" s="81" t="str">
        <f>[9]Роспись!F467</f>
        <v>001</v>
      </c>
      <c r="G507" s="81">
        <f>[9]Роспись!G467</f>
        <v>226</v>
      </c>
      <c r="H507" s="648">
        <f>[9]Роспись!H467</f>
        <v>225</v>
      </c>
      <c r="I507" s="648">
        <f>[9]Финансирование!I507+[9]Финансирование!J507+[9]Финансирование!K507+[9]Финансирование!L507+[9]Финансирование!M507+[9]Финансирование!N507+[9]Финансирование!O507+[9]Финансирование!P507</f>
        <v>225</v>
      </c>
      <c r="J507" s="648">
        <f>[9]Финансирование!Q507+[9]Финансирование!T507+[9]Финансирование!U507+[9]Финансирование!V507+[9]Финансирование!W507+[9]Финансирование!X507+[9]Финансирование!Y507+[9]Финансирование!Z507</f>
        <v>-1.4210854715202004E-14</v>
      </c>
      <c r="K507" s="648">
        <f t="shared" si="41"/>
        <v>1.4210854715202004E-14</v>
      </c>
    </row>
    <row r="508" spans="1:16" x14ac:dyDescent="0.15">
      <c r="A508" s="647" t="str">
        <f>[9]Роспись!A468</f>
        <v xml:space="preserve">Прочие расходы </v>
      </c>
      <c r="B508" s="81" t="str">
        <f>[9]Роспись!B468</f>
        <v>056</v>
      </c>
      <c r="C508" s="81" t="str">
        <f>[9]Роспись!C468</f>
        <v>08</v>
      </c>
      <c r="D508" s="81" t="str">
        <f>[9]Роспись!D468</f>
        <v>01</v>
      </c>
      <c r="E508" s="81">
        <f>[9]Роспись!E468</f>
        <v>4439901</v>
      </c>
      <c r="F508" s="81" t="str">
        <f>[9]Роспись!F468</f>
        <v>001</v>
      </c>
      <c r="G508" s="81">
        <f>[9]Роспись!G468</f>
        <v>290</v>
      </c>
      <c r="H508" s="648">
        <f>[9]Роспись!H468</f>
        <v>19</v>
      </c>
      <c r="I508" s="648">
        <f>[9]Финансирование!I508+[9]Финансирование!J508+[9]Финансирование!K508+[9]Финансирование!L508+[9]Финансирование!M508+[9]Финансирование!N508+[9]Финансирование!O508+[9]Финансирование!P508</f>
        <v>9.6</v>
      </c>
      <c r="J508" s="648">
        <f>[9]Финансирование!Q508+[9]Финансирование!T508+[9]Финансирование!U508+[9]Финансирование!V508+[9]Финансирование!W508+[9]Финансирование!X508+[9]Финансирование!Y508+[9]Финансирование!Z508</f>
        <v>9.4</v>
      </c>
      <c r="K508" s="648">
        <f t="shared" si="41"/>
        <v>0</v>
      </c>
    </row>
    <row r="509" spans="1:16" x14ac:dyDescent="0.15">
      <c r="A509" s="647" t="str">
        <f>[9]Роспись!A469</f>
        <v xml:space="preserve">Прочие расходы </v>
      </c>
      <c r="B509" s="81" t="str">
        <f>[9]Роспись!B469</f>
        <v>056</v>
      </c>
      <c r="C509" s="81" t="str">
        <f>[9]Роспись!C469</f>
        <v>08</v>
      </c>
      <c r="D509" s="81" t="str">
        <f>[9]Роспись!D469</f>
        <v>01</v>
      </c>
      <c r="E509" s="81" t="str">
        <f>[9]Роспись!E469</f>
        <v>4439500</v>
      </c>
      <c r="F509" s="81" t="str">
        <f>[9]Роспись!F469</f>
        <v>001</v>
      </c>
      <c r="G509" s="81" t="str">
        <f>[9]Роспись!G469</f>
        <v>290</v>
      </c>
      <c r="H509" s="648">
        <f>[9]Роспись!H469</f>
        <v>204.8</v>
      </c>
      <c r="I509" s="648">
        <f>[9]Финансирование!I509+[9]Финансирование!J509+[9]Финансирование!K509+[9]Финансирование!L509+[9]Финансирование!M509+[9]Финансирование!N509+[9]Финансирование!O509+[9]Финансирование!P509</f>
        <v>196.8</v>
      </c>
      <c r="J509" s="648">
        <f>[9]Финансирование!Q509+[9]Финансирование!T509+[9]Финансирование!U509+[9]Финансирование!V509+[9]Финансирование!W509+[9]Финансирование!X509+[9]Финансирование!Y509+[9]Финансирование!Z509</f>
        <v>8</v>
      </c>
      <c r="K509" s="648">
        <f t="shared" si="41"/>
        <v>0</v>
      </c>
    </row>
    <row r="510" spans="1:16" x14ac:dyDescent="0.15">
      <c r="A510" s="647" t="str">
        <f>[9]Роспись!A470</f>
        <v>Увелич. стоимости осн. средств</v>
      </c>
      <c r="B510" s="81" t="str">
        <f>[9]Роспись!B470</f>
        <v>056</v>
      </c>
      <c r="C510" s="81" t="str">
        <f>[9]Роспись!C470</f>
        <v>08</v>
      </c>
      <c r="D510" s="81" t="str">
        <f>[9]Роспись!D470</f>
        <v>01</v>
      </c>
      <c r="E510" s="81">
        <f>[9]Роспись!E470</f>
        <v>4439901</v>
      </c>
      <c r="F510" s="81" t="str">
        <f>[9]Роспись!F470</f>
        <v>001</v>
      </c>
      <c r="G510" s="81">
        <f>[9]Роспись!G470</f>
        <v>310</v>
      </c>
      <c r="H510" s="648">
        <f>[9]Роспись!H470</f>
        <v>500</v>
      </c>
      <c r="I510" s="648">
        <f>[9]Финансирование!I510+[9]Финансирование!J510+[9]Финансирование!K510+[9]Финансирование!L510+[9]Финансирование!M510+[9]Финансирование!N510+[9]Финансирование!O510+[9]Финансирование!P510</f>
        <v>0</v>
      </c>
      <c r="J510" s="648">
        <f>[9]Финансирование!Q510+[9]Финансирование!T510+[9]Финансирование!U510+[9]Финансирование!V510+[9]Финансирование!W510+[9]Финансирование!X510+[9]Финансирование!Y510+[9]Финансирование!Z510</f>
        <v>0</v>
      </c>
      <c r="K510" s="648">
        <f t="shared" si="41"/>
        <v>500</v>
      </c>
    </row>
    <row r="511" spans="1:16" x14ac:dyDescent="0.15">
      <c r="A511" s="647" t="str">
        <f>[9]Роспись!A471</f>
        <v>Увелич. стоимости матер. запасов</v>
      </c>
      <c r="B511" s="81" t="str">
        <f>[9]Роспись!B471</f>
        <v>056</v>
      </c>
      <c r="C511" s="81" t="str">
        <f>[9]Роспись!C471</f>
        <v>08</v>
      </c>
      <c r="D511" s="81" t="str">
        <f>[9]Роспись!D471</f>
        <v>01</v>
      </c>
      <c r="E511" s="81">
        <f>[9]Роспись!E471</f>
        <v>4439901</v>
      </c>
      <c r="F511" s="81" t="str">
        <f>[9]Роспись!F471</f>
        <v>001</v>
      </c>
      <c r="G511" s="81">
        <f>[9]Роспись!G471</f>
        <v>340</v>
      </c>
      <c r="H511" s="648">
        <f>[9]Роспись!H471</f>
        <v>80</v>
      </c>
      <c r="I511" s="648">
        <f>[9]Финансирование!I511+[9]Финансирование!J511+[9]Финансирование!K511+[9]Финансирование!L511+[9]Финансирование!M511+[9]Финансирование!N511+[9]Финансирование!O511+[9]Финансирование!P511</f>
        <v>60</v>
      </c>
      <c r="J511" s="648">
        <f>[9]Финансирование!Q511+[9]Финансирование!T511+[9]Финансирование!U511+[9]Финансирование!V511+[9]Финансирование!W511+[9]Финансирование!X511+[9]Финансирование!Y511+[9]Финансирование!Z511</f>
        <v>0</v>
      </c>
      <c r="K511" s="648">
        <f t="shared" si="41"/>
        <v>20</v>
      </c>
    </row>
    <row r="512" spans="1:16" x14ac:dyDescent="0.15">
      <c r="A512" s="674" t="s">
        <v>98</v>
      </c>
      <c r="B512" s="666" t="s">
        <v>79</v>
      </c>
      <c r="C512" s="666" t="s">
        <v>80</v>
      </c>
      <c r="D512" s="666" t="s">
        <v>125</v>
      </c>
      <c r="E512" s="666" t="s">
        <v>216</v>
      </c>
      <c r="F512" s="666" t="s">
        <v>102</v>
      </c>
      <c r="G512" s="675"/>
      <c r="H512" s="643">
        <f>SUM(H499:H511)</f>
        <v>15636.999999999998</v>
      </c>
      <c r="I512" s="681">
        <f>SUM(I499:I511)</f>
        <v>7272.68</v>
      </c>
      <c r="J512" s="681">
        <f>SUM(J499:J511)</f>
        <v>7844.32</v>
      </c>
      <c r="K512" s="643">
        <f>SUM(K499:K511)</f>
        <v>520</v>
      </c>
      <c r="L512" s="678"/>
      <c r="M512" s="678"/>
      <c r="N512" s="678"/>
      <c r="O512" s="678"/>
      <c r="P512" s="678"/>
    </row>
    <row r="513" spans="1:16" ht="52" x14ac:dyDescent="0.15">
      <c r="A513" s="692" t="str">
        <f>'[9]Новая роспись'!A537</f>
        <v>Субсидия на финансовое обеспечение государственного задания на оказание государственных услуг (выполнение работ)</v>
      </c>
      <c r="B513" s="666"/>
      <c r="C513" s="666"/>
      <c r="D513" s="666"/>
      <c r="E513" s="666"/>
      <c r="F513" s="692">
        <f>'[9]Новая роспись'!F537</f>
        <v>611</v>
      </c>
      <c r="G513" s="692" t="str">
        <f>'[9]Новая роспись'!G537</f>
        <v>241</v>
      </c>
      <c r="H513" s="645">
        <f>'[9]Новая роспись'!H537</f>
        <v>8364.3199999999979</v>
      </c>
      <c r="I513" s="648">
        <f>[9]Финансирование!I513+[9]Финансирование!J513+[9]Финансирование!K513+[9]Финансирование!L513+[9]Финансирование!M513+[9]Финансирование!N513+[9]Финансирование!O513+[9]Финансирование!P513+[9]Финансирование!Q513+[9]Финансирование!T513+[9]Финансирование!U513+[9]Финансирование!V513+[9]Финансирование!W513+[9]Финансирование!X513+[9]Финансирование!Y513+[9]Финансирование!Z513</f>
        <v>7844.3200000000006</v>
      </c>
      <c r="J513" s="648"/>
      <c r="K513" s="648">
        <f>H513-I513</f>
        <v>519.99999999999727</v>
      </c>
      <c r="L513" s="678"/>
      <c r="M513" s="678"/>
      <c r="N513" s="678"/>
      <c r="O513" s="678"/>
      <c r="P513" s="678"/>
    </row>
    <row r="514" spans="1:16" x14ac:dyDescent="0.15">
      <c r="A514" s="78" t="s">
        <v>144</v>
      </c>
      <c r="B514" s="672"/>
      <c r="C514" s="672"/>
      <c r="D514" s="672"/>
      <c r="E514" s="672"/>
      <c r="F514" s="672"/>
      <c r="G514" s="649"/>
      <c r="H514" s="648"/>
      <c r="I514" s="648">
        <f>[9]Финансирование!I514+[9]Финансирование!J514+[9]Финансирование!K514+[9]Финансирование!L514+[9]Финансирование!M514+[9]Финансирование!N514+[9]Финансирование!O514+[9]Финансирование!P514+[9]Финансирование!Q514+[9]Финансирование!T514+[9]Финансирование!U514+[9]Финансирование!V514+[9]Финансирование!W514+[9]Финансирование!X514+[9]Финансирование!Y514+[9]Финансирование!Z514</f>
        <v>0</v>
      </c>
      <c r="J514" s="648"/>
      <c r="K514" s="648"/>
      <c r="L514" s="646"/>
      <c r="M514" s="646"/>
      <c r="N514" s="646"/>
      <c r="O514" s="646"/>
      <c r="P514" s="646"/>
    </row>
    <row r="515" spans="1:16" x14ac:dyDescent="0.15">
      <c r="A515" s="647" t="str">
        <f>[9]Роспись!A474</f>
        <v>Заработная плата</v>
      </c>
      <c r="B515" s="81" t="str">
        <f>[9]Роспись!B474</f>
        <v>056</v>
      </c>
      <c r="C515" s="81" t="str">
        <f>[9]Роспись!C474</f>
        <v>08</v>
      </c>
      <c r="D515" s="81" t="str">
        <f>[9]Роспись!D474</f>
        <v>01</v>
      </c>
      <c r="E515" s="81">
        <f>[9]Роспись!E474</f>
        <v>4439901</v>
      </c>
      <c r="F515" s="81" t="str">
        <f>[9]Роспись!F474</f>
        <v>001</v>
      </c>
      <c r="G515" s="81">
        <f>[9]Роспись!G474</f>
        <v>211</v>
      </c>
      <c r="H515" s="648">
        <f>[9]Роспись!H474</f>
        <v>14441</v>
      </c>
      <c r="I515" s="648">
        <f>[9]Финансирование!I515+[9]Финансирование!J515+[9]Финансирование!K515+[9]Финансирование!L515+[9]Финансирование!M515+[9]Финансирование!N515+[9]Финансирование!O515+[9]Финансирование!P515</f>
        <v>6659.25</v>
      </c>
      <c r="J515" s="648">
        <f>[9]Финансирование!Q515+[9]Финансирование!T515+[9]Финансирование!U515+[9]Финансирование!V515+[9]Финансирование!W515+[9]Финансирование!X515+[9]Финансирование!Y515+[9]Финансирование!Z515</f>
        <v>7781.7500000000009</v>
      </c>
      <c r="K515" s="648">
        <f>H515-I515-J515</f>
        <v>0</v>
      </c>
    </row>
    <row r="516" spans="1:16" x14ac:dyDescent="0.15">
      <c r="A516" s="647" t="str">
        <f>[9]Роспись!A475</f>
        <v xml:space="preserve">Прочие выплаты </v>
      </c>
      <c r="B516" s="81" t="str">
        <f>[9]Роспись!B475</f>
        <v>056</v>
      </c>
      <c r="C516" s="81" t="str">
        <f>[9]Роспись!C475</f>
        <v>08</v>
      </c>
      <c r="D516" s="81" t="str">
        <f>[9]Роспись!D475</f>
        <v>01</v>
      </c>
      <c r="E516" s="81">
        <f>[9]Роспись!E475</f>
        <v>4439901</v>
      </c>
      <c r="F516" s="81" t="str">
        <f>[9]Роспись!F475</f>
        <v>001</v>
      </c>
      <c r="G516" s="81">
        <f>[9]Роспись!G475</f>
        <v>212</v>
      </c>
      <c r="H516" s="648">
        <f>[9]Роспись!H475</f>
        <v>0</v>
      </c>
      <c r="I516" s="648">
        <f>[9]Финансирование!I516+[9]Финансирование!J516+[9]Финансирование!K516+[9]Финансирование!L516+[9]Финансирование!M516+[9]Финансирование!N516+[9]Финансирование!O516+[9]Финансирование!P516</f>
        <v>0</v>
      </c>
      <c r="J516" s="648">
        <f>[9]Финансирование!Q516+[9]Финансирование!T516+[9]Финансирование!U516+[9]Финансирование!V516+[9]Финансирование!W516+[9]Финансирование!X516+[9]Финансирование!Y516+[9]Финансирование!Z516</f>
        <v>0</v>
      </c>
      <c r="K516" s="648">
        <f t="shared" ref="K516:K527" si="42">H516-I516-J516</f>
        <v>0</v>
      </c>
    </row>
    <row r="517" spans="1:16" x14ac:dyDescent="0.15">
      <c r="A517" s="647" t="str">
        <f>[9]Роспись!A476</f>
        <v>Начисления на оплату труда</v>
      </c>
      <c r="B517" s="81" t="str">
        <f>[9]Роспись!B476</f>
        <v>056</v>
      </c>
      <c r="C517" s="81" t="str">
        <f>[9]Роспись!C476</f>
        <v>08</v>
      </c>
      <c r="D517" s="81" t="str">
        <f>[9]Роспись!D476</f>
        <v>01</v>
      </c>
      <c r="E517" s="81">
        <f>[9]Роспись!E476</f>
        <v>4439901</v>
      </c>
      <c r="F517" s="81" t="str">
        <f>[9]Роспись!F476</f>
        <v>001</v>
      </c>
      <c r="G517" s="81">
        <f>[9]Роспись!G476</f>
        <v>213</v>
      </c>
      <c r="H517" s="648">
        <f>[9]Роспись!H476</f>
        <v>4361.2</v>
      </c>
      <c r="I517" s="648">
        <f>[9]Финансирование!I517+[9]Финансирование!J517+[9]Финансирование!K517+[9]Финансирование!L517+[9]Финансирование!M517+[9]Финансирование!N517+[9]Финансирование!O517+[9]Финансирование!P517</f>
        <v>2154.7399999999998</v>
      </c>
      <c r="J517" s="648">
        <f>[9]Финансирование!Q517+[9]Финансирование!T517+[9]Финансирование!U517+[9]Финансирование!V517+[9]Финансирование!W517+[9]Финансирование!X517+[9]Финансирование!Y517+[9]Финансирование!Z517</f>
        <v>2206.46</v>
      </c>
      <c r="K517" s="648">
        <f t="shared" si="42"/>
        <v>0</v>
      </c>
    </row>
    <row r="518" spans="1:16" x14ac:dyDescent="0.15">
      <c r="A518" s="647" t="str">
        <f>[9]Роспись!A477</f>
        <v xml:space="preserve">Оплата услуг связи </v>
      </c>
      <c r="B518" s="81" t="str">
        <f>[9]Роспись!B477</f>
        <v>056</v>
      </c>
      <c r="C518" s="81" t="str">
        <f>[9]Роспись!C477</f>
        <v>08</v>
      </c>
      <c r="D518" s="81" t="str">
        <f>[9]Роспись!D477</f>
        <v>01</v>
      </c>
      <c r="E518" s="81">
        <f>[9]Роспись!E477</f>
        <v>4439901</v>
      </c>
      <c r="F518" s="81" t="str">
        <f>[9]Роспись!F477</f>
        <v>001</v>
      </c>
      <c r="G518" s="81">
        <f>[9]Роспись!G477</f>
        <v>221</v>
      </c>
      <c r="H518" s="648">
        <f>[9]Роспись!H477</f>
        <v>0</v>
      </c>
      <c r="I518" s="648">
        <f>[9]Финансирование!I518+[9]Финансирование!J518+[9]Финансирование!K518+[9]Финансирование!L518+[9]Финансирование!M518+[9]Финансирование!N518+[9]Финансирование!O518+[9]Финансирование!P518</f>
        <v>0</v>
      </c>
      <c r="J518" s="648">
        <f>[9]Финансирование!Q518+[9]Финансирование!T518+[9]Финансирование!U518+[9]Финансирование!V518+[9]Финансирование!W518+[9]Финансирование!X518+[9]Финансирование!Y518+[9]Финансирование!Z518</f>
        <v>0</v>
      </c>
      <c r="K518" s="648">
        <f t="shared" si="42"/>
        <v>0</v>
      </c>
    </row>
    <row r="519" spans="1:16" x14ac:dyDescent="0.15">
      <c r="A519" s="647" t="str">
        <f>[9]Роспись!A478</f>
        <v>Транспортные услуги</v>
      </c>
      <c r="B519" s="81" t="str">
        <f>[9]Роспись!B478</f>
        <v>056</v>
      </c>
      <c r="C519" s="81" t="str">
        <f>[9]Роспись!C478</f>
        <v>08</v>
      </c>
      <c r="D519" s="81" t="str">
        <f>[9]Роспись!D478</f>
        <v>01</v>
      </c>
      <c r="E519" s="81">
        <f>[9]Роспись!E478</f>
        <v>4439901</v>
      </c>
      <c r="F519" s="81" t="str">
        <f>[9]Роспись!F478</f>
        <v>001</v>
      </c>
      <c r="G519" s="81">
        <f>[9]Роспись!G478</f>
        <v>222</v>
      </c>
      <c r="H519" s="648">
        <f>[9]Роспись!H478</f>
        <v>0</v>
      </c>
      <c r="I519" s="648">
        <f>[9]Финансирование!I519+[9]Финансирование!J519+[9]Финансирование!K519+[9]Финансирование!L519+[9]Финансирование!M519+[9]Финансирование!N519+[9]Финансирование!O519+[9]Финансирование!P519</f>
        <v>0</v>
      </c>
      <c r="J519" s="648">
        <f>[9]Финансирование!Q519+[9]Финансирование!T519+[9]Финансирование!U519+[9]Финансирование!V519+[9]Финансирование!W519+[9]Финансирование!X519+[9]Финансирование!Y519+[9]Финансирование!Z519</f>
        <v>0</v>
      </c>
      <c r="K519" s="648">
        <f t="shared" si="42"/>
        <v>0</v>
      </c>
    </row>
    <row r="520" spans="1:16" x14ac:dyDescent="0.15">
      <c r="A520" s="647" t="str">
        <f>[9]Роспись!A479</f>
        <v>Коммунальные услуги</v>
      </c>
      <c r="B520" s="81" t="str">
        <f>[9]Роспись!B479</f>
        <v>056</v>
      </c>
      <c r="C520" s="81" t="str">
        <f>[9]Роспись!C479</f>
        <v>08</v>
      </c>
      <c r="D520" s="81" t="str">
        <f>[9]Роспись!D479</f>
        <v>01</v>
      </c>
      <c r="E520" s="81">
        <f>[9]Роспись!E479</f>
        <v>4439901</v>
      </c>
      <c r="F520" s="81" t="str">
        <f>[9]Роспись!F479</f>
        <v>001</v>
      </c>
      <c r="G520" s="81">
        <f>[9]Роспись!G479</f>
        <v>223</v>
      </c>
      <c r="H520" s="648">
        <f>[9]Роспись!H479</f>
        <v>0</v>
      </c>
      <c r="I520" s="648">
        <f>[9]Финансирование!I520+[9]Финансирование!J520+[9]Финансирование!K520+[9]Финансирование!L520+[9]Финансирование!M520+[9]Финансирование!N520+[9]Финансирование!O520+[9]Финансирование!P520</f>
        <v>0</v>
      </c>
      <c r="J520" s="648">
        <f>[9]Финансирование!Q520+[9]Финансирование!T520+[9]Финансирование!U520+[9]Финансирование!V520+[9]Финансирование!W520+[9]Финансирование!X520+[9]Финансирование!Y520+[9]Финансирование!Z520</f>
        <v>0</v>
      </c>
      <c r="K520" s="648">
        <f t="shared" si="42"/>
        <v>0</v>
      </c>
    </row>
    <row r="521" spans="1:16" x14ac:dyDescent="0.15">
      <c r="A521" s="647" t="str">
        <f>[9]Роспись!A480</f>
        <v>Арендная плата</v>
      </c>
      <c r="B521" s="81" t="str">
        <f>[9]Роспись!B480</f>
        <v>056</v>
      </c>
      <c r="C521" s="81" t="str">
        <f>[9]Роспись!C480</f>
        <v>08</v>
      </c>
      <c r="D521" s="81" t="str">
        <f>[9]Роспись!D480</f>
        <v>01</v>
      </c>
      <c r="E521" s="81">
        <f>[9]Роспись!E480</f>
        <v>4439901</v>
      </c>
      <c r="F521" s="81" t="str">
        <f>[9]Роспись!F480</f>
        <v>001</v>
      </c>
      <c r="G521" s="81">
        <f>[9]Роспись!G480</f>
        <v>224</v>
      </c>
      <c r="H521" s="648">
        <f>[9]Роспись!H480</f>
        <v>0</v>
      </c>
      <c r="I521" s="648">
        <f>[9]Финансирование!I521+[9]Финансирование!J521+[9]Финансирование!K521+[9]Финансирование!L521+[9]Финансирование!M521+[9]Финансирование!N521+[9]Финансирование!O521+[9]Финансирование!P521</f>
        <v>0</v>
      </c>
      <c r="J521" s="648">
        <f>[9]Финансирование!Q521+[9]Финансирование!T521+[9]Финансирование!U521+[9]Финансирование!V521+[9]Финансирование!W521+[9]Финансирование!X521+[9]Финансирование!Y521+[9]Финансирование!Z521</f>
        <v>0</v>
      </c>
      <c r="K521" s="648">
        <f t="shared" si="42"/>
        <v>0</v>
      </c>
    </row>
    <row r="522" spans="1:16" x14ac:dyDescent="0.15">
      <c r="A522" s="647" t="str">
        <f>[9]Роспись!A481</f>
        <v>Услуги по содерж. имущества</v>
      </c>
      <c r="B522" s="81" t="str">
        <f>[9]Роспись!B481</f>
        <v>056</v>
      </c>
      <c r="C522" s="81" t="str">
        <f>[9]Роспись!C481</f>
        <v>08</v>
      </c>
      <c r="D522" s="81" t="str">
        <f>[9]Роспись!D481</f>
        <v>01</v>
      </c>
      <c r="E522" s="81">
        <f>[9]Роспись!E481</f>
        <v>4439901</v>
      </c>
      <c r="F522" s="81" t="str">
        <f>[9]Роспись!F481</f>
        <v>001</v>
      </c>
      <c r="G522" s="81">
        <f>[9]Роспись!G481</f>
        <v>225</v>
      </c>
      <c r="H522" s="648">
        <f>[9]Роспись!H481</f>
        <v>0</v>
      </c>
      <c r="I522" s="648">
        <f>[9]Финансирование!I522+[9]Финансирование!J522+[9]Финансирование!K522+[9]Финансирование!L522+[9]Финансирование!M522+[9]Финансирование!N522+[9]Финансирование!O522+[9]Финансирование!P522</f>
        <v>0</v>
      </c>
      <c r="J522" s="648">
        <f>[9]Финансирование!Q522+[9]Финансирование!T522+[9]Финансирование!U522+[9]Финансирование!V522+[9]Финансирование!W522+[9]Финансирование!X522+[9]Финансирование!Y522+[9]Финансирование!Z522</f>
        <v>0</v>
      </c>
      <c r="K522" s="648">
        <f t="shared" si="42"/>
        <v>0</v>
      </c>
    </row>
    <row r="523" spans="1:16" x14ac:dyDescent="0.15">
      <c r="A523" s="647" t="str">
        <f>[9]Роспись!A482</f>
        <v>Прочие услуги</v>
      </c>
      <c r="B523" s="81" t="str">
        <f>[9]Роспись!B482</f>
        <v>056</v>
      </c>
      <c r="C523" s="81" t="str">
        <f>[9]Роспись!C482</f>
        <v>08</v>
      </c>
      <c r="D523" s="81" t="str">
        <f>[9]Роспись!D482</f>
        <v>01</v>
      </c>
      <c r="E523" s="81">
        <f>[9]Роспись!E482</f>
        <v>4439901</v>
      </c>
      <c r="F523" s="81" t="str">
        <f>[9]Роспись!F482</f>
        <v>001</v>
      </c>
      <c r="G523" s="81">
        <f>[9]Роспись!G482</f>
        <v>226</v>
      </c>
      <c r="H523" s="648">
        <f>[9]Роспись!H482</f>
        <v>234.64</v>
      </c>
      <c r="I523" s="648">
        <f>[9]Финансирование!I523+[9]Финансирование!J523+[9]Финансирование!K523+[9]Финансирование!L523+[9]Финансирование!M523+[9]Финансирование!N523+[9]Финансирование!O523+[9]Финансирование!P523</f>
        <v>234.64</v>
      </c>
      <c r="J523" s="648">
        <f>[9]Финансирование!Q523+[9]Финансирование!T523+[9]Финансирование!U523+[9]Финансирование!V523+[9]Финансирование!W523+[9]Финансирование!X523+[9]Финансирование!Y523+[9]Финансирование!Z523</f>
        <v>0</v>
      </c>
      <c r="K523" s="648">
        <f t="shared" si="42"/>
        <v>0</v>
      </c>
    </row>
    <row r="524" spans="1:16" x14ac:dyDescent="0.15">
      <c r="A524" s="647" t="str">
        <f>[9]Роспись!A483</f>
        <v xml:space="preserve">Прочие расходы </v>
      </c>
      <c r="B524" s="81" t="str">
        <f>[9]Роспись!B483</f>
        <v>056</v>
      </c>
      <c r="C524" s="81" t="str">
        <f>[9]Роспись!C483</f>
        <v>08</v>
      </c>
      <c r="D524" s="81" t="str">
        <f>[9]Роспись!D483</f>
        <v>01</v>
      </c>
      <c r="E524" s="81">
        <f>[9]Роспись!E483</f>
        <v>4439901</v>
      </c>
      <c r="F524" s="81" t="str">
        <f>[9]Роспись!F483</f>
        <v>001</v>
      </c>
      <c r="G524" s="81">
        <f>[9]Роспись!G483</f>
        <v>290</v>
      </c>
      <c r="H524" s="648">
        <f>[9]Роспись!H483</f>
        <v>21.8</v>
      </c>
      <c r="I524" s="648">
        <f>[9]Финансирование!I524+[9]Финансирование!J524+[9]Финансирование!K524+[9]Финансирование!L524+[9]Финансирование!M524+[9]Финансирование!N524+[9]Финансирование!O524+[9]Финансирование!P524</f>
        <v>11</v>
      </c>
      <c r="J524" s="648">
        <f>[9]Финансирование!Q524+[9]Финансирование!T524+[9]Финансирование!U524+[9]Финансирование!V524+[9]Финансирование!W524+[9]Финансирование!X524+[9]Финансирование!Y524+[9]Финансирование!Z524</f>
        <v>10.8</v>
      </c>
      <c r="K524" s="648">
        <f t="shared" si="42"/>
        <v>0</v>
      </c>
    </row>
    <row r="525" spans="1:16" x14ac:dyDescent="0.15">
      <c r="A525" s="647" t="str">
        <f>[9]Роспись!A484</f>
        <v xml:space="preserve">Прочие расходы </v>
      </c>
      <c r="B525" s="81" t="str">
        <f>[9]Роспись!B484</f>
        <v>056</v>
      </c>
      <c r="C525" s="81" t="str">
        <f>[9]Роспись!C484</f>
        <v>08</v>
      </c>
      <c r="D525" s="81" t="str">
        <f>[9]Роспись!D484</f>
        <v>01</v>
      </c>
      <c r="E525" s="81" t="str">
        <f>[9]Роспись!E484</f>
        <v>4439500</v>
      </c>
      <c r="F525" s="81" t="str">
        <f>[9]Роспись!F484</f>
        <v>001</v>
      </c>
      <c r="G525" s="81" t="str">
        <f>[9]Роспись!G484</f>
        <v>290</v>
      </c>
      <c r="H525" s="648">
        <f>[9]Роспись!H484</f>
        <v>39</v>
      </c>
      <c r="I525" s="648">
        <f>[9]Финансирование!I525+[9]Финансирование!J525+[9]Финансирование!K525+[9]Финансирование!L525+[9]Финансирование!M525+[9]Финансирование!N525+[9]Финансирование!O525+[9]Финансирование!P525</f>
        <v>19.600000000000001</v>
      </c>
      <c r="J525" s="648">
        <f>[9]Финансирование!Q525+[9]Финансирование!T525+[9]Финансирование!U525+[9]Финансирование!V525+[9]Финансирование!W525+[9]Финансирование!X525+[9]Финансирование!Y525+[9]Финансирование!Z525</f>
        <v>19.399999999999999</v>
      </c>
      <c r="K525" s="648">
        <f t="shared" si="42"/>
        <v>0</v>
      </c>
    </row>
    <row r="526" spans="1:16" x14ac:dyDescent="0.15">
      <c r="A526" s="647" t="str">
        <f>[9]Роспись!A485</f>
        <v>Увелич. стоимости осн. средств</v>
      </c>
      <c r="B526" s="81" t="str">
        <f>[9]Роспись!B485</f>
        <v>056</v>
      </c>
      <c r="C526" s="81" t="str">
        <f>[9]Роспись!C485</f>
        <v>08</v>
      </c>
      <c r="D526" s="81" t="str">
        <f>[9]Роспись!D485</f>
        <v>01</v>
      </c>
      <c r="E526" s="81">
        <f>[9]Роспись!E485</f>
        <v>4439901</v>
      </c>
      <c r="F526" s="81" t="str">
        <f>[9]Роспись!F485</f>
        <v>001</v>
      </c>
      <c r="G526" s="81">
        <f>[9]Роспись!G485</f>
        <v>310</v>
      </c>
      <c r="H526" s="648">
        <f>[9]Роспись!H485</f>
        <v>70.36</v>
      </c>
      <c r="I526" s="648">
        <f>[9]Финансирование!I526+[9]Финансирование!J526+[9]Финансирование!K526+[9]Финансирование!L526+[9]Финансирование!M526+[9]Финансирование!N526+[9]Финансирование!O526+[9]Финансирование!P526</f>
        <v>0</v>
      </c>
      <c r="J526" s="648">
        <f>[9]Финансирование!Q526+[9]Финансирование!T526+[9]Финансирование!U526+[9]Финансирование!V526+[9]Финансирование!W526+[9]Финансирование!X526+[9]Финансирование!Y526+[9]Финансирование!Z526</f>
        <v>70.36</v>
      </c>
      <c r="K526" s="648">
        <f t="shared" si="42"/>
        <v>0</v>
      </c>
    </row>
    <row r="527" spans="1:16" x14ac:dyDescent="0.15">
      <c r="A527" s="647" t="str">
        <f>[9]Роспись!A486</f>
        <v>Увелич. стоимости матер. запасов</v>
      </c>
      <c r="B527" s="81" t="str">
        <f>[9]Роспись!B486</f>
        <v>056</v>
      </c>
      <c r="C527" s="81" t="str">
        <f>[9]Роспись!C486</f>
        <v>08</v>
      </c>
      <c r="D527" s="81" t="str">
        <f>[9]Роспись!D486</f>
        <v>01</v>
      </c>
      <c r="E527" s="81">
        <f>[9]Роспись!E486</f>
        <v>4439901</v>
      </c>
      <c r="F527" s="81" t="str">
        <f>[9]Роспись!F486</f>
        <v>001</v>
      </c>
      <c r="G527" s="81">
        <f>[9]Роспись!G486</f>
        <v>340</v>
      </c>
      <c r="H527" s="648">
        <f>[9]Роспись!H486</f>
        <v>450</v>
      </c>
      <c r="I527" s="648">
        <f>[9]Финансирование!I527+[9]Финансирование!J527+[9]Финансирование!K527+[9]Финансирование!L527+[9]Финансирование!M527+[9]Финансирование!N527+[9]Финансирование!O527+[9]Финансирование!P527</f>
        <v>150</v>
      </c>
      <c r="J527" s="648">
        <f>[9]Финансирование!Q527+[9]Финансирование!T527+[9]Финансирование!U527+[9]Финансирование!V527+[9]Финансирование!W527+[9]Финансирование!X527+[9]Финансирование!Y527+[9]Финансирование!Z527</f>
        <v>145.77600000000001</v>
      </c>
      <c r="K527" s="648">
        <f t="shared" si="42"/>
        <v>154.22399999999999</v>
      </c>
    </row>
    <row r="528" spans="1:16" x14ac:dyDescent="0.15">
      <c r="A528" s="674" t="s">
        <v>98</v>
      </c>
      <c r="B528" s="666" t="s">
        <v>79</v>
      </c>
      <c r="C528" s="666" t="s">
        <v>80</v>
      </c>
      <c r="D528" s="666" t="s">
        <v>125</v>
      </c>
      <c r="E528" s="666" t="s">
        <v>216</v>
      </c>
      <c r="F528" s="666" t="s">
        <v>102</v>
      </c>
      <c r="G528" s="675"/>
      <c r="H528" s="643">
        <f>SUM(H515:H527)</f>
        <v>19618</v>
      </c>
      <c r="I528" s="681">
        <f>SUM(I515:I527)</f>
        <v>9229.23</v>
      </c>
      <c r="J528" s="681">
        <f>SUM(J515:J527)</f>
        <v>10234.546</v>
      </c>
      <c r="K528" s="643">
        <f>SUM(K515:K527)</f>
        <v>154.22399999999999</v>
      </c>
      <c r="L528" s="678"/>
      <c r="M528" s="678"/>
      <c r="N528" s="678"/>
      <c r="O528" s="678"/>
      <c r="P528" s="678"/>
    </row>
    <row r="529" spans="1:16" ht="52" x14ac:dyDescent="0.15">
      <c r="A529" s="692" t="str">
        <f>'[9]Новая роспись'!A554</f>
        <v>Субсидия на финансовое обеспечение государственного задания на оказание государственных услуг (выполнение работ)</v>
      </c>
      <c r="B529" s="666"/>
      <c r="C529" s="666"/>
      <c r="D529" s="666"/>
      <c r="E529" s="666"/>
      <c r="F529" s="692">
        <f>'[9]Новая роспись'!F554</f>
        <v>611</v>
      </c>
      <c r="G529" s="692" t="str">
        <f>'[9]Новая роспись'!G554</f>
        <v>241</v>
      </c>
      <c r="H529" s="645">
        <f>'[9]Новая роспись'!H554</f>
        <v>10388.77</v>
      </c>
      <c r="I529" s="648">
        <f>[9]Финансирование!I529+[9]Финансирование!J529+[9]Финансирование!K529+[9]Финансирование!L529+[9]Финансирование!M529+[9]Финансирование!N529+[9]Финансирование!O529+[9]Финансирование!P529+[9]Финансирование!Q529+[9]Финансирование!T529+[9]Финансирование!U529+[9]Финансирование!V529+[9]Финансирование!W529+[9]Финансирование!X529+[9]Финансирование!Y529+[9]Финансирование!Z529</f>
        <v>10234.546</v>
      </c>
      <c r="J529" s="648"/>
      <c r="K529" s="648">
        <f>H529-I529</f>
        <v>154.22400000000016</v>
      </c>
      <c r="L529" s="678"/>
      <c r="M529" s="678"/>
      <c r="N529" s="678"/>
      <c r="O529" s="678"/>
      <c r="P529" s="678"/>
    </row>
    <row r="530" spans="1:16" x14ac:dyDescent="0.15">
      <c r="A530" s="660" t="s">
        <v>145</v>
      </c>
      <c r="B530" s="668"/>
      <c r="C530" s="668"/>
      <c r="D530" s="668"/>
      <c r="E530" s="668"/>
      <c r="F530" s="668"/>
      <c r="G530" s="663"/>
      <c r="H530" s="648"/>
      <c r="I530" s="656">
        <f>[9]Финансирование!I530+[9]Финансирование!J530+[9]Финансирование!K530+[9]Финансирование!L530+[9]Финансирование!M530+[9]Финансирование!N530+[9]Финансирование!O530+[9]Финансирование!P530+[9]Финансирование!Q530+[9]Финансирование!T530+[9]Финансирование!U530+[9]Финансирование!V530+[9]Финансирование!W530+[9]Финансирование!X530+[9]Финансирование!Y530+[9]Финансирование!Z530</f>
        <v>0</v>
      </c>
      <c r="J530" s="656"/>
      <c r="K530" s="656"/>
      <c r="L530" s="646"/>
      <c r="M530" s="646"/>
      <c r="N530" s="646"/>
      <c r="O530" s="646"/>
      <c r="P530" s="646"/>
    </row>
    <row r="531" spans="1:16" x14ac:dyDescent="0.15">
      <c r="A531" s="657" t="str">
        <f>[9]Роспись!A489</f>
        <v>Заработная плата</v>
      </c>
      <c r="B531" s="654" t="str">
        <f>[9]Роспись!B489</f>
        <v>056</v>
      </c>
      <c r="C531" s="654" t="str">
        <f>[9]Роспись!C489</f>
        <v>08</v>
      </c>
      <c r="D531" s="654" t="str">
        <f>[9]Роспись!D489</f>
        <v>01</v>
      </c>
      <c r="E531" s="654">
        <f>[9]Роспись!E489</f>
        <v>4439901</v>
      </c>
      <c r="F531" s="654" t="str">
        <f>[9]Роспись!F489</f>
        <v>001</v>
      </c>
      <c r="G531" s="654">
        <f>[9]Роспись!G489</f>
        <v>211</v>
      </c>
      <c r="H531" s="648">
        <f>[9]Роспись!H489</f>
        <v>13938</v>
      </c>
      <c r="I531" s="656">
        <f>[9]Финансирование!I531+[9]Финансирование!J531+[9]Финансирование!K531+[9]Финансирование!L531+[9]Финансирование!M531+[9]Финансирование!N531+[9]Финансирование!O531+[9]Финансирование!P531</f>
        <v>6362.23</v>
      </c>
      <c r="J531" s="656">
        <f>[9]Финансирование!Q531+[9]Финансирование!T531+[9]Финансирование!U531+[9]Финансирование!V531+[9]Финансирование!W531+[9]Финансирование!X531+[9]Финансирование!Y531+[9]Финансирование!Z531</f>
        <v>7575.77</v>
      </c>
      <c r="K531" s="656">
        <f>H531-I531-J531</f>
        <v>0</v>
      </c>
      <c r="L531" s="635">
        <v>7575.7730000000001</v>
      </c>
      <c r="M531" s="658">
        <f>J531-L531</f>
        <v>-2.9999999997016857E-3</v>
      </c>
    </row>
    <row r="532" spans="1:16" x14ac:dyDescent="0.15">
      <c r="A532" s="657" t="str">
        <f>[9]Роспись!A490</f>
        <v xml:space="preserve">Прочие выплаты </v>
      </c>
      <c r="B532" s="654" t="str">
        <f>[9]Роспись!B490</f>
        <v>056</v>
      </c>
      <c r="C532" s="654" t="str">
        <f>[9]Роспись!C490</f>
        <v>08</v>
      </c>
      <c r="D532" s="654" t="str">
        <f>[9]Роспись!D490</f>
        <v>01</v>
      </c>
      <c r="E532" s="654">
        <f>[9]Роспись!E490</f>
        <v>4439901</v>
      </c>
      <c r="F532" s="654" t="str">
        <f>[9]Роспись!F490</f>
        <v>001</v>
      </c>
      <c r="G532" s="654">
        <f>[9]Роспись!G490</f>
        <v>212</v>
      </c>
      <c r="H532" s="648">
        <f>[9]Роспись!H490</f>
        <v>0</v>
      </c>
      <c r="I532" s="656">
        <f>[9]Финансирование!I532+[9]Финансирование!J532+[9]Финансирование!K532+[9]Финансирование!L532+[9]Финансирование!M532+[9]Финансирование!N532+[9]Финансирование!O532+[9]Финансирование!P532</f>
        <v>0</v>
      </c>
      <c r="J532" s="656">
        <f>[9]Финансирование!Q532+[9]Финансирование!T532+[9]Финансирование!U532+[9]Финансирование!V532+[9]Финансирование!W532+[9]Финансирование!X532+[9]Финансирование!Y532+[9]Финансирование!Z532</f>
        <v>0</v>
      </c>
      <c r="K532" s="656">
        <f t="shared" ref="K532:K543" si="43">H532-I532-J532</f>
        <v>0</v>
      </c>
      <c r="M532" s="658">
        <f>J532-L532</f>
        <v>0</v>
      </c>
    </row>
    <row r="533" spans="1:16" x14ac:dyDescent="0.15">
      <c r="A533" s="657" t="str">
        <f>[9]Роспись!A491</f>
        <v>Начисления на оплату труда</v>
      </c>
      <c r="B533" s="654" t="str">
        <f>[9]Роспись!B491</f>
        <v>056</v>
      </c>
      <c r="C533" s="654" t="str">
        <f>[9]Роспись!C491</f>
        <v>08</v>
      </c>
      <c r="D533" s="654" t="str">
        <f>[9]Роспись!D491</f>
        <v>01</v>
      </c>
      <c r="E533" s="654">
        <f>[9]Роспись!E491</f>
        <v>4439901</v>
      </c>
      <c r="F533" s="654" t="str">
        <f>[9]Роспись!F491</f>
        <v>001</v>
      </c>
      <c r="G533" s="654">
        <f>[9]Роспись!G491</f>
        <v>213</v>
      </c>
      <c r="H533" s="648">
        <f>[9]Роспись!H491</f>
        <v>4181.8</v>
      </c>
      <c r="I533" s="656">
        <f>[9]Финансирование!I533+[9]Финансирование!J533+[9]Финансирование!K533+[9]Финансирование!L533+[9]Финансирование!M533+[9]Финансирование!N533+[9]Финансирование!O533+[9]Финансирование!P533</f>
        <v>2058.7200000000003</v>
      </c>
      <c r="J533" s="656">
        <f>[9]Финансирование!Q533+[9]Финансирование!T533+[9]Финансирование!U533+[9]Финансирование!V533+[9]Финансирование!W533+[9]Финансирование!X533+[9]Финансирование!Y533+[9]Финансирование!Z533</f>
        <v>2123.08</v>
      </c>
      <c r="K533" s="656">
        <f t="shared" si="43"/>
        <v>0</v>
      </c>
      <c r="L533" s="635">
        <v>2123.0810000000001</v>
      </c>
      <c r="M533" s="658">
        <f>J533-L533</f>
        <v>-1.0000000002037268E-3</v>
      </c>
      <c r="N533" s="658">
        <f>M533+M531</f>
        <v>-3.9999999999054126E-3</v>
      </c>
    </row>
    <row r="534" spans="1:16" x14ac:dyDescent="0.15">
      <c r="A534" s="657" t="str">
        <f>[9]Роспись!A492</f>
        <v xml:space="preserve">Оплата услуг связи </v>
      </c>
      <c r="B534" s="654" t="str">
        <f>[9]Роспись!B492</f>
        <v>056</v>
      </c>
      <c r="C534" s="654" t="str">
        <f>[9]Роспись!C492</f>
        <v>08</v>
      </c>
      <c r="D534" s="654" t="str">
        <f>[9]Роспись!D492</f>
        <v>01</v>
      </c>
      <c r="E534" s="654">
        <f>[9]Роспись!E492</f>
        <v>4439901</v>
      </c>
      <c r="F534" s="654" t="str">
        <f>[9]Роспись!F492</f>
        <v>001</v>
      </c>
      <c r="G534" s="654">
        <f>[9]Роспись!G492</f>
        <v>221</v>
      </c>
      <c r="H534" s="648">
        <f>[9]Роспись!H492</f>
        <v>0</v>
      </c>
      <c r="I534" s="656">
        <f>[9]Финансирование!I534+[9]Финансирование!J534+[9]Финансирование!K534+[9]Финансирование!L534+[9]Финансирование!M534+[9]Финансирование!N534+[9]Финансирование!O534+[9]Финансирование!P534</f>
        <v>0</v>
      </c>
      <c r="J534" s="656">
        <f>[9]Финансирование!Q534+[9]Финансирование!T534+[9]Финансирование!U534+[9]Финансирование!V534+[9]Финансирование!W534+[9]Финансирование!X534+[9]Финансирование!Y534+[9]Финансирование!Z534</f>
        <v>0</v>
      </c>
      <c r="K534" s="656">
        <f t="shared" si="43"/>
        <v>0</v>
      </c>
    </row>
    <row r="535" spans="1:16" x14ac:dyDescent="0.15">
      <c r="A535" s="657" t="str">
        <f>[9]Роспись!A493</f>
        <v>Транспортные услуги</v>
      </c>
      <c r="B535" s="654" t="str">
        <f>[9]Роспись!B493</f>
        <v>056</v>
      </c>
      <c r="C535" s="654" t="str">
        <f>[9]Роспись!C493</f>
        <v>08</v>
      </c>
      <c r="D535" s="654" t="str">
        <f>[9]Роспись!D493</f>
        <v>01</v>
      </c>
      <c r="E535" s="654">
        <f>[9]Роспись!E493</f>
        <v>4439901</v>
      </c>
      <c r="F535" s="654" t="str">
        <f>[9]Роспись!F493</f>
        <v>001</v>
      </c>
      <c r="G535" s="654">
        <f>[9]Роспись!G493</f>
        <v>222</v>
      </c>
      <c r="H535" s="648">
        <f>[9]Роспись!H493</f>
        <v>0</v>
      </c>
      <c r="I535" s="656">
        <f>[9]Финансирование!I535+[9]Финансирование!J535+[9]Финансирование!K535+[9]Финансирование!L535+[9]Финансирование!M535+[9]Финансирование!N535+[9]Финансирование!O535+[9]Финансирование!P535</f>
        <v>0</v>
      </c>
      <c r="J535" s="656">
        <f>[9]Финансирование!Q535+[9]Финансирование!T535+[9]Финансирование!U535+[9]Финансирование!V535+[9]Финансирование!W535+[9]Финансирование!X535+[9]Финансирование!Y535+[9]Финансирование!Z535</f>
        <v>0</v>
      </c>
      <c r="K535" s="656">
        <f t="shared" si="43"/>
        <v>0</v>
      </c>
    </row>
    <row r="536" spans="1:16" x14ac:dyDescent="0.15">
      <c r="A536" s="657" t="str">
        <f>[9]Роспись!A494</f>
        <v>Коммунальные услуги</v>
      </c>
      <c r="B536" s="654" t="str">
        <f>[9]Роспись!B494</f>
        <v>056</v>
      </c>
      <c r="C536" s="654" t="str">
        <f>[9]Роспись!C494</f>
        <v>08</v>
      </c>
      <c r="D536" s="654" t="str">
        <f>[9]Роспись!D494</f>
        <v>01</v>
      </c>
      <c r="E536" s="654">
        <f>[9]Роспись!E494</f>
        <v>4439901</v>
      </c>
      <c r="F536" s="654" t="str">
        <f>[9]Роспись!F494</f>
        <v>001</v>
      </c>
      <c r="G536" s="654">
        <f>[9]Роспись!G494</f>
        <v>223</v>
      </c>
      <c r="H536" s="648">
        <f>[9]Роспись!H494</f>
        <v>375.70000000000005</v>
      </c>
      <c r="I536" s="656">
        <f>[9]Финансирование!I536+[9]Финансирование!J536+[9]Финансирование!K536+[9]Финансирование!L536+[9]Финансирование!M536+[9]Финансирование!N536+[9]Финансирование!O536+[9]Финансирование!P536</f>
        <v>233.7</v>
      </c>
      <c r="J536" s="656">
        <f>[9]Финансирование!Q536+[9]Финансирование!T536+[9]Финансирование!U536+[9]Финансирование!V536+[9]Финансирование!W536+[9]Финансирование!X536+[9]Финансирование!Y536+[9]Финансирование!Z536</f>
        <v>142</v>
      </c>
      <c r="K536" s="656">
        <f t="shared" si="43"/>
        <v>0</v>
      </c>
    </row>
    <row r="537" spans="1:16" x14ac:dyDescent="0.15">
      <c r="A537" s="657" t="str">
        <f>[9]Роспись!A495</f>
        <v>Арендная плата</v>
      </c>
      <c r="B537" s="654" t="str">
        <f>[9]Роспись!B495</f>
        <v>056</v>
      </c>
      <c r="C537" s="654" t="str">
        <f>[9]Роспись!C495</f>
        <v>08</v>
      </c>
      <c r="D537" s="654" t="str">
        <f>[9]Роспись!D495</f>
        <v>01</v>
      </c>
      <c r="E537" s="654">
        <f>[9]Роспись!E495</f>
        <v>4439901</v>
      </c>
      <c r="F537" s="654" t="str">
        <f>[9]Роспись!F495</f>
        <v>001</v>
      </c>
      <c r="G537" s="654">
        <f>[9]Роспись!G495</f>
        <v>224</v>
      </c>
      <c r="H537" s="648">
        <f>[9]Роспись!H495</f>
        <v>0</v>
      </c>
      <c r="I537" s="656">
        <f>[9]Финансирование!I537+[9]Финансирование!J537+[9]Финансирование!K537+[9]Финансирование!L537+[9]Финансирование!M537+[9]Финансирование!N537+[9]Финансирование!O537+[9]Финансирование!P537</f>
        <v>0</v>
      </c>
      <c r="J537" s="656">
        <f>[9]Финансирование!Q537+[9]Финансирование!T537+[9]Финансирование!U537+[9]Финансирование!V537+[9]Финансирование!W537+[9]Финансирование!X537+[9]Финансирование!Y537+[9]Финансирование!Z537</f>
        <v>0</v>
      </c>
      <c r="K537" s="656">
        <f t="shared" si="43"/>
        <v>0</v>
      </c>
    </row>
    <row r="538" spans="1:16" x14ac:dyDescent="0.15">
      <c r="A538" s="657" t="str">
        <f>[9]Роспись!A496</f>
        <v>Услуги по содерж. имущества</v>
      </c>
      <c r="B538" s="654" t="str">
        <f>[9]Роспись!B496</f>
        <v>056</v>
      </c>
      <c r="C538" s="654" t="str">
        <f>[9]Роспись!C496</f>
        <v>08</v>
      </c>
      <c r="D538" s="654" t="str">
        <f>[9]Роспись!D496</f>
        <v>01</v>
      </c>
      <c r="E538" s="654">
        <f>[9]Роспись!E496</f>
        <v>4439901</v>
      </c>
      <c r="F538" s="654" t="str">
        <f>[9]Роспись!F496</f>
        <v>001</v>
      </c>
      <c r="G538" s="654">
        <f>[9]Роспись!G496</f>
        <v>225</v>
      </c>
      <c r="H538" s="648">
        <f>[9]Роспись!H496</f>
        <v>50</v>
      </c>
      <c r="I538" s="656">
        <f>[9]Финансирование!I538+[9]Финансирование!J538+[9]Финансирование!K538+[9]Финансирование!L538+[9]Финансирование!M538+[9]Финансирование!N538+[9]Финансирование!O538+[9]Финансирование!P538</f>
        <v>12.5</v>
      </c>
      <c r="J538" s="656">
        <f>[9]Финансирование!Q538+[9]Финансирование!T538+[9]Финансирование!U538+[9]Финансирование!V538+[9]Финансирование!W538+[9]Финансирование!X538+[9]Финансирование!Y538+[9]Финансирование!Z538</f>
        <v>37.5</v>
      </c>
      <c r="K538" s="656">
        <f t="shared" si="43"/>
        <v>0</v>
      </c>
    </row>
    <row r="539" spans="1:16" x14ac:dyDescent="0.15">
      <c r="A539" s="657" t="str">
        <f>[9]Роспись!A497</f>
        <v>Прочие услуги</v>
      </c>
      <c r="B539" s="654" t="str">
        <f>[9]Роспись!B497</f>
        <v>056</v>
      </c>
      <c r="C539" s="654" t="str">
        <f>[9]Роспись!C497</f>
        <v>08</v>
      </c>
      <c r="D539" s="654" t="str">
        <f>[9]Роспись!D497</f>
        <v>01</v>
      </c>
      <c r="E539" s="654">
        <f>[9]Роспись!E497</f>
        <v>4439901</v>
      </c>
      <c r="F539" s="654" t="str">
        <f>[9]Роспись!F497</f>
        <v>001</v>
      </c>
      <c r="G539" s="654">
        <f>[9]Роспись!G497</f>
        <v>226</v>
      </c>
      <c r="H539" s="648">
        <f>[9]Роспись!H497</f>
        <v>330</v>
      </c>
      <c r="I539" s="656">
        <f>[9]Финансирование!I539+[9]Финансирование!J539+[9]Финансирование!K539+[9]Финансирование!L539+[9]Финансирование!M539+[9]Финансирование!N539+[9]Финансирование!O539+[9]Финансирование!P539</f>
        <v>290.84000000000003</v>
      </c>
      <c r="J539" s="656">
        <f>[9]Финансирование!Q539+[9]Финансирование!T539+[9]Финансирование!U539+[9]Финансирование!V539+[9]Финансирование!W539+[9]Финансирование!X539+[9]Финансирование!Y539+[9]Финансирование!Z539</f>
        <v>39.159999999999997</v>
      </c>
      <c r="K539" s="656">
        <f t="shared" si="43"/>
        <v>0</v>
      </c>
    </row>
    <row r="540" spans="1:16" x14ac:dyDescent="0.15">
      <c r="A540" s="657" t="str">
        <f>[9]Роспись!A498</f>
        <v xml:space="preserve">Прочие расходы </v>
      </c>
      <c r="B540" s="654" t="str">
        <f>[9]Роспись!B498</f>
        <v>056</v>
      </c>
      <c r="C540" s="654" t="str">
        <f>[9]Роспись!C498</f>
        <v>08</v>
      </c>
      <c r="D540" s="654" t="str">
        <f>[9]Роспись!D498</f>
        <v>01</v>
      </c>
      <c r="E540" s="654">
        <f>[9]Роспись!E498</f>
        <v>4439901</v>
      </c>
      <c r="F540" s="654" t="str">
        <f>[9]Роспись!F498</f>
        <v>001</v>
      </c>
      <c r="G540" s="654">
        <f>[9]Роспись!G498</f>
        <v>290</v>
      </c>
      <c r="H540" s="648">
        <f>[9]Роспись!H498</f>
        <v>27.5</v>
      </c>
      <c r="I540" s="656">
        <f>[9]Финансирование!I540+[9]Финансирование!J540+[9]Финансирование!K540+[9]Финансирование!L540+[9]Финансирование!M540+[9]Финансирование!N540+[9]Финансирование!O540+[9]Финансирование!P540</f>
        <v>13.8</v>
      </c>
      <c r="J540" s="656">
        <f>[9]Финансирование!Q540+[9]Финансирование!T540+[9]Финансирование!U540+[9]Финансирование!V540+[9]Финансирование!W540+[9]Финансирование!X540+[9]Финансирование!Y540+[9]Финансирование!Z540</f>
        <v>13.7</v>
      </c>
      <c r="K540" s="656">
        <f t="shared" si="43"/>
        <v>0</v>
      </c>
    </row>
    <row r="541" spans="1:16" x14ac:dyDescent="0.15">
      <c r="A541" s="657" t="str">
        <f>[9]Роспись!A499</f>
        <v xml:space="preserve">Прочие расходы </v>
      </c>
      <c r="B541" s="654" t="str">
        <f>[9]Роспись!B499</f>
        <v>056</v>
      </c>
      <c r="C541" s="654" t="str">
        <f>[9]Роспись!C499</f>
        <v>08</v>
      </c>
      <c r="D541" s="654" t="str">
        <f>[9]Роспись!D499</f>
        <v>01</v>
      </c>
      <c r="E541" s="654" t="str">
        <f>[9]Роспись!E499</f>
        <v>4439500</v>
      </c>
      <c r="F541" s="654" t="str">
        <f>[9]Роспись!F499</f>
        <v>001</v>
      </c>
      <c r="G541" s="654" t="str">
        <f>[9]Роспись!G499</f>
        <v>290</v>
      </c>
      <c r="H541" s="648">
        <f>[9]Роспись!H499</f>
        <v>1491.6000000000001</v>
      </c>
      <c r="I541" s="656">
        <f>[9]Финансирование!I541+[9]Финансирование!J541+[9]Финансирование!K541+[9]Финансирование!L541+[9]Финансирование!M541+[9]Финансирование!N541+[9]Финансирование!O541+[9]Финансирование!P541</f>
        <v>745.8</v>
      </c>
      <c r="J541" s="656">
        <f>[9]Финансирование!Q541+[9]Финансирование!T541+[9]Финансирование!U541+[9]Финансирование!V541+[9]Финансирование!W541+[9]Финансирование!X541+[9]Финансирование!Y541+[9]Финансирование!Z541</f>
        <v>745.8</v>
      </c>
      <c r="K541" s="656">
        <f t="shared" si="43"/>
        <v>0</v>
      </c>
      <c r="L541" s="635">
        <v>759.5</v>
      </c>
      <c r="M541" s="658">
        <f>(J541+J540)-L541</f>
        <v>0</v>
      </c>
    </row>
    <row r="542" spans="1:16" x14ac:dyDescent="0.15">
      <c r="A542" s="657" t="str">
        <f>[9]Роспись!A500</f>
        <v>Увелич. стоимости осн. средств</v>
      </c>
      <c r="B542" s="654" t="str">
        <f>[9]Роспись!B500</f>
        <v>056</v>
      </c>
      <c r="C542" s="654" t="str">
        <f>[9]Роспись!C500</f>
        <v>08</v>
      </c>
      <c r="D542" s="654" t="str">
        <f>[9]Роспись!D500</f>
        <v>01</v>
      </c>
      <c r="E542" s="654">
        <f>[9]Роспись!E500</f>
        <v>4439901</v>
      </c>
      <c r="F542" s="654" t="str">
        <f>[9]Роспись!F500</f>
        <v>001</v>
      </c>
      <c r="G542" s="654">
        <f>[9]Роспись!G500</f>
        <v>310</v>
      </c>
      <c r="H542" s="648">
        <f>[9]Роспись!H500</f>
        <v>175</v>
      </c>
      <c r="I542" s="656">
        <f>[9]Финансирование!I542+[9]Финансирование!J542+[9]Финансирование!K542+[9]Финансирование!L542+[9]Финансирование!M542+[9]Финансирование!N542+[9]Финансирование!O542+[9]Финансирование!P542</f>
        <v>0</v>
      </c>
      <c r="J542" s="656">
        <f>[9]Финансирование!Q542+[9]Финансирование!T542+[9]Финансирование!U542+[9]Финансирование!V542+[9]Финансирование!W542+[9]Финансирование!X542+[9]Финансирование!Y542+[9]Финансирование!Z542</f>
        <v>175</v>
      </c>
      <c r="K542" s="656">
        <f t="shared" si="43"/>
        <v>0</v>
      </c>
    </row>
    <row r="543" spans="1:16" x14ac:dyDescent="0.15">
      <c r="A543" s="657" t="str">
        <f>[9]Роспись!A501</f>
        <v>Увелич. стоимости матер. запасов</v>
      </c>
      <c r="B543" s="654" t="str">
        <f>[9]Роспись!B501</f>
        <v>056</v>
      </c>
      <c r="C543" s="654" t="str">
        <f>[9]Роспись!C501</f>
        <v>08</v>
      </c>
      <c r="D543" s="654" t="str">
        <f>[9]Роспись!D501</f>
        <v>01</v>
      </c>
      <c r="E543" s="654">
        <f>[9]Роспись!E501</f>
        <v>4439901</v>
      </c>
      <c r="F543" s="654" t="str">
        <f>[9]Роспись!F501</f>
        <v>001</v>
      </c>
      <c r="G543" s="654">
        <f>[9]Роспись!G501</f>
        <v>340</v>
      </c>
      <c r="H543" s="648">
        <f>[9]Роспись!H501</f>
        <v>350</v>
      </c>
      <c r="I543" s="656">
        <f>[9]Финансирование!I543+[9]Финансирование!J543+[9]Финансирование!K543+[9]Финансирование!L543+[9]Финансирование!M543+[9]Финансирование!N543+[9]Финансирование!O543+[9]Финансирование!P543</f>
        <v>116.7</v>
      </c>
      <c r="J543" s="656">
        <f>[9]Финансирование!Q543+[9]Финансирование!T543+[9]Финансирование!U543+[9]Финансирование!V543+[9]Финансирование!W543+[9]Финансирование!X543+[9]Финансирование!Y543+[9]Финансирование!Z543</f>
        <v>233.3</v>
      </c>
      <c r="K543" s="656">
        <f t="shared" si="43"/>
        <v>0</v>
      </c>
    </row>
    <row r="544" spans="1:16" x14ac:dyDescent="0.15">
      <c r="A544" s="653" t="s">
        <v>98</v>
      </c>
      <c r="B544" s="662" t="s">
        <v>79</v>
      </c>
      <c r="C544" s="662" t="s">
        <v>80</v>
      </c>
      <c r="D544" s="662" t="s">
        <v>125</v>
      </c>
      <c r="E544" s="662" t="s">
        <v>216</v>
      </c>
      <c r="F544" s="662" t="s">
        <v>102</v>
      </c>
      <c r="G544" s="691"/>
      <c r="H544" s="643">
        <f>SUM(H531:H543)</f>
        <v>20919.599999999999</v>
      </c>
      <c r="I544" s="664">
        <f>SUM(I531:I543)</f>
        <v>9834.2900000000009</v>
      </c>
      <c r="J544" s="664">
        <f>SUM(J531:J543)</f>
        <v>11085.31</v>
      </c>
      <c r="K544" s="665">
        <f>SUM(K531:K543)</f>
        <v>0</v>
      </c>
      <c r="L544" s="678"/>
      <c r="M544" s="678"/>
      <c r="N544" s="678"/>
      <c r="O544" s="678"/>
      <c r="P544" s="678"/>
    </row>
    <row r="545" spans="1:16" ht="52" x14ac:dyDescent="0.15">
      <c r="A545" s="692" t="str">
        <f>'[9]Новая роспись'!A571</f>
        <v>Субсидия на финансовое обеспечение государственного задания на оказание государственных услуг (выполнение работ)</v>
      </c>
      <c r="B545" s="666"/>
      <c r="C545" s="666"/>
      <c r="D545" s="666"/>
      <c r="E545" s="666"/>
      <c r="F545" s="692">
        <f>'[9]Новая роспись'!F571</f>
        <v>611</v>
      </c>
      <c r="G545" s="692" t="str">
        <f>'[9]Новая роспись'!G571</f>
        <v>241</v>
      </c>
      <c r="H545" s="645">
        <f>'[9]Новая роспись'!H571</f>
        <v>11085.31</v>
      </c>
      <c r="I545" s="648">
        <f>[9]Финансирование!I545+[9]Финансирование!J545+[9]Финансирование!K545+[9]Финансирование!L545+[9]Финансирование!M545+[9]Финансирование!N545+[9]Финансирование!O545+[9]Финансирование!P545+[9]Финансирование!Q545+[9]Финансирование!T545+[9]Финансирование!U545+[9]Финансирование!V545+[9]Финансирование!W545+[9]Финансирование!X545+[9]Финансирование!Y545+[9]Финансирование!Z545</f>
        <v>11085.31</v>
      </c>
      <c r="J545" s="648"/>
      <c r="K545" s="648">
        <f>H545-I545</f>
        <v>0</v>
      </c>
      <c r="L545" s="678"/>
      <c r="M545" s="678"/>
      <c r="N545" s="678"/>
      <c r="O545" s="678"/>
      <c r="P545" s="678"/>
    </row>
    <row r="546" spans="1:16" x14ac:dyDescent="0.15">
      <c r="A546" s="78" t="s">
        <v>146</v>
      </c>
      <c r="B546" s="672"/>
      <c r="C546" s="672"/>
      <c r="D546" s="672"/>
      <c r="E546" s="672"/>
      <c r="F546" s="672"/>
      <c r="G546" s="649"/>
      <c r="H546" s="648"/>
      <c r="I546" s="648">
        <f>[9]Финансирование!I546+[9]Финансирование!J546+[9]Финансирование!K546+[9]Финансирование!L546+[9]Финансирование!M546+[9]Финансирование!N546+[9]Финансирование!O546+[9]Финансирование!P546+[9]Финансирование!Q546+[9]Финансирование!T546+[9]Финансирование!U546+[9]Финансирование!V546+[9]Финансирование!W546+[9]Финансирование!X546+[9]Финансирование!Y546+[9]Финансирование!Z546</f>
        <v>0</v>
      </c>
      <c r="J546" s="648"/>
      <c r="K546" s="648"/>
      <c r="L546" s="646"/>
      <c r="M546" s="646"/>
      <c r="N546" s="646"/>
      <c r="O546" s="646"/>
      <c r="P546" s="646"/>
    </row>
    <row r="547" spans="1:16" x14ac:dyDescent="0.15">
      <c r="A547" s="647" t="str">
        <f>[9]Роспись!A504</f>
        <v>Заработная плата</v>
      </c>
      <c r="B547" s="81" t="str">
        <f>[9]Роспись!B504</f>
        <v>056</v>
      </c>
      <c r="C547" s="81" t="str">
        <f>[9]Роспись!C504</f>
        <v>08</v>
      </c>
      <c r="D547" s="81" t="str">
        <f>[9]Роспись!D504</f>
        <v>01</v>
      </c>
      <c r="E547" s="81">
        <f>[9]Роспись!E504</f>
        <v>4439901</v>
      </c>
      <c r="F547" s="81" t="str">
        <f>[9]Роспись!F504</f>
        <v>001</v>
      </c>
      <c r="G547" s="81">
        <f>[9]Роспись!G504</f>
        <v>211</v>
      </c>
      <c r="H547" s="648">
        <f>[9]Роспись!H504</f>
        <v>39243.5</v>
      </c>
      <c r="I547" s="648">
        <f>[9]Финансирование!I547+[9]Финансирование!J547+[9]Финансирование!K547+[9]Финансирование!L547+[9]Финансирование!M547+[9]Финансирование!N547+[9]Финансирование!O547+[9]Финансирование!P547</f>
        <v>17842.859999999997</v>
      </c>
      <c r="J547" s="648">
        <f>[9]Финансирование!Q547+[9]Финансирование!T547+[9]Финансирование!U547+[9]Финансирование!V547+[9]Финансирование!W547+[9]Финансирование!X547+[9]Финансирование!Y547+[9]Финансирование!Z547</f>
        <v>21400.639999999999</v>
      </c>
      <c r="K547" s="648">
        <f>H547-I547-J547</f>
        <v>0</v>
      </c>
      <c r="L547" s="635">
        <v>20133.084999999999</v>
      </c>
    </row>
    <row r="548" spans="1:16" x14ac:dyDescent="0.15">
      <c r="A548" s="647" t="str">
        <f>[9]Роспись!A505</f>
        <v xml:space="preserve">Прочие выплаты </v>
      </c>
      <c r="B548" s="81" t="str">
        <f>[9]Роспись!B505</f>
        <v>056</v>
      </c>
      <c r="C548" s="81" t="str">
        <f>[9]Роспись!C505</f>
        <v>08</v>
      </c>
      <c r="D548" s="81" t="str">
        <f>[9]Роспись!D505</f>
        <v>01</v>
      </c>
      <c r="E548" s="81">
        <f>[9]Роспись!E505</f>
        <v>4439901</v>
      </c>
      <c r="F548" s="81" t="str">
        <f>[9]Роспись!F505</f>
        <v>001</v>
      </c>
      <c r="G548" s="81">
        <f>[9]Роспись!G505</f>
        <v>212</v>
      </c>
      <c r="H548" s="648">
        <f>[9]Роспись!H505</f>
        <v>0</v>
      </c>
      <c r="I548" s="648">
        <f>[9]Финансирование!I548+[9]Финансирование!J548+[9]Финансирование!K548+[9]Финансирование!L548+[9]Финансирование!M548+[9]Финансирование!N548+[9]Финансирование!O548+[9]Финансирование!P548</f>
        <v>0</v>
      </c>
      <c r="J548" s="648">
        <f>[9]Финансирование!Q548+[9]Финансирование!T548+[9]Финансирование!U548+[9]Финансирование!V548+[9]Финансирование!W548+[9]Финансирование!X548+[9]Финансирование!Y548+[9]Финансирование!Z548</f>
        <v>0</v>
      </c>
      <c r="K548" s="648">
        <f t="shared" ref="K548:K559" si="44">H548-I548-J548</f>
        <v>0</v>
      </c>
    </row>
    <row r="549" spans="1:16" x14ac:dyDescent="0.15">
      <c r="A549" s="647" t="str">
        <f>[9]Роспись!A506</f>
        <v>Начисления на оплату труда</v>
      </c>
      <c r="B549" s="81" t="str">
        <f>[9]Роспись!B506</f>
        <v>056</v>
      </c>
      <c r="C549" s="81" t="str">
        <f>[9]Роспись!C506</f>
        <v>08</v>
      </c>
      <c r="D549" s="81" t="str">
        <f>[9]Роспись!D506</f>
        <v>01</v>
      </c>
      <c r="E549" s="81">
        <f>[9]Роспись!E506</f>
        <v>4439901</v>
      </c>
      <c r="F549" s="81" t="str">
        <f>[9]Роспись!F506</f>
        <v>001</v>
      </c>
      <c r="G549" s="81">
        <f>[9]Роспись!G506</f>
        <v>213</v>
      </c>
      <c r="H549" s="648">
        <f>[9]Роспись!H506</f>
        <v>11135.4</v>
      </c>
      <c r="I549" s="648">
        <f>[9]Финансирование!I549+[9]Финансирование!J549+[9]Финансирование!K549+[9]Финансирование!L549+[9]Финансирование!M549+[9]Финансирование!N549+[9]Финансирование!O549+[9]Финансирование!P549</f>
        <v>5773.4800000000005</v>
      </c>
      <c r="J549" s="648">
        <f>[9]Финансирование!Q549+[9]Финансирование!T549+[9]Финансирование!U549+[9]Финансирование!V549+[9]Финансирование!W549+[9]Финансирование!X549+[9]Финансирование!Y549+[9]Финансирование!Z549</f>
        <v>5361.92</v>
      </c>
      <c r="K549" s="648">
        <f t="shared" si="44"/>
        <v>0</v>
      </c>
      <c r="L549" s="635">
        <v>5359.36</v>
      </c>
    </row>
    <row r="550" spans="1:16" x14ac:dyDescent="0.15">
      <c r="A550" s="647" t="str">
        <f>[9]Роспись!A507</f>
        <v xml:space="preserve">Оплата услуг связи </v>
      </c>
      <c r="B550" s="81" t="str">
        <f>[9]Роспись!B507</f>
        <v>056</v>
      </c>
      <c r="C550" s="81" t="str">
        <f>[9]Роспись!C507</f>
        <v>08</v>
      </c>
      <c r="D550" s="81" t="str">
        <f>[9]Роспись!D507</f>
        <v>01</v>
      </c>
      <c r="E550" s="81">
        <f>[9]Роспись!E507</f>
        <v>4439901</v>
      </c>
      <c r="F550" s="81" t="str">
        <f>[9]Роспись!F507</f>
        <v>001</v>
      </c>
      <c r="G550" s="81">
        <f>[9]Роспись!G507</f>
        <v>221</v>
      </c>
      <c r="H550" s="648">
        <f>[9]Роспись!H507</f>
        <v>0</v>
      </c>
      <c r="I550" s="648">
        <f>[9]Финансирование!I550+[9]Финансирование!J550+[9]Финансирование!K550+[9]Финансирование!L550+[9]Финансирование!M550+[9]Финансирование!N550+[9]Финансирование!O550+[9]Финансирование!P550</f>
        <v>0</v>
      </c>
      <c r="J550" s="648">
        <f>[9]Финансирование!Q550+[9]Финансирование!T550+[9]Финансирование!U550+[9]Финансирование!V550+[9]Финансирование!W550+[9]Финансирование!X550+[9]Финансирование!Y550+[9]Финансирование!Z550</f>
        <v>0</v>
      </c>
      <c r="K550" s="648">
        <f t="shared" si="44"/>
        <v>0</v>
      </c>
    </row>
    <row r="551" spans="1:16" x14ac:dyDescent="0.15">
      <c r="A551" s="647" t="str">
        <f>[9]Роспись!A508</f>
        <v>Транспортные услуги</v>
      </c>
      <c r="B551" s="81" t="str">
        <f>[9]Роспись!B508</f>
        <v>056</v>
      </c>
      <c r="C551" s="81" t="str">
        <f>[9]Роспись!C508</f>
        <v>08</v>
      </c>
      <c r="D551" s="81" t="str">
        <f>[9]Роспись!D508</f>
        <v>01</v>
      </c>
      <c r="E551" s="81">
        <f>[9]Роспись!E508</f>
        <v>4439901</v>
      </c>
      <c r="F551" s="81" t="str">
        <f>[9]Роспись!F508</f>
        <v>001</v>
      </c>
      <c r="G551" s="81">
        <f>[9]Роспись!G508</f>
        <v>222</v>
      </c>
      <c r="H551" s="648">
        <f>[9]Роспись!H508</f>
        <v>19.715</v>
      </c>
      <c r="I551" s="648">
        <f>[9]Финансирование!I551+[9]Финансирование!J551+[9]Финансирование!K551+[9]Финансирование!L551+[9]Финансирование!M551+[9]Финансирование!N551+[9]Финансирование!O551+[9]Финансирование!P551</f>
        <v>0</v>
      </c>
      <c r="J551" s="648">
        <f>[9]Финансирование!Q551+[9]Финансирование!T551+[9]Финансирование!U551+[9]Финансирование!V551+[9]Финансирование!W551+[9]Финансирование!X551+[9]Финансирование!Y551+[9]Финансирование!Z551</f>
        <v>19.715</v>
      </c>
      <c r="K551" s="648">
        <f t="shared" si="44"/>
        <v>0</v>
      </c>
      <c r="L551" s="635">
        <v>0</v>
      </c>
    </row>
    <row r="552" spans="1:16" x14ac:dyDescent="0.15">
      <c r="A552" s="647" t="str">
        <f>[9]Роспись!A509</f>
        <v>Коммунальные услуги</v>
      </c>
      <c r="B552" s="81" t="str">
        <f>[9]Роспись!B509</f>
        <v>056</v>
      </c>
      <c r="C552" s="81" t="str">
        <f>[9]Роспись!C509</f>
        <v>08</v>
      </c>
      <c r="D552" s="81" t="str">
        <f>[9]Роспись!D509</f>
        <v>01</v>
      </c>
      <c r="E552" s="81">
        <f>[9]Роспись!E509</f>
        <v>4439901</v>
      </c>
      <c r="F552" s="81" t="str">
        <f>[9]Роспись!F509</f>
        <v>001</v>
      </c>
      <c r="G552" s="81">
        <f>[9]Роспись!G509</f>
        <v>223</v>
      </c>
      <c r="H552" s="648">
        <f>[9]Роспись!H509</f>
        <v>0</v>
      </c>
      <c r="I552" s="648">
        <f>[9]Финансирование!I552+[9]Финансирование!J552+[9]Финансирование!K552+[9]Финансирование!L552+[9]Финансирование!M552+[9]Финансирование!N552+[9]Финансирование!O552+[9]Финансирование!P552</f>
        <v>0</v>
      </c>
      <c r="J552" s="648">
        <f>[9]Финансирование!Q552+[9]Финансирование!T552+[9]Финансирование!U552+[9]Финансирование!V552+[9]Финансирование!W552+[9]Финансирование!X552+[9]Финансирование!Y552+[9]Финансирование!Z552</f>
        <v>0</v>
      </c>
      <c r="K552" s="648">
        <f t="shared" si="44"/>
        <v>0</v>
      </c>
    </row>
    <row r="553" spans="1:16" x14ac:dyDescent="0.15">
      <c r="A553" s="647" t="str">
        <f>[9]Роспись!A510</f>
        <v>Арендная плата</v>
      </c>
      <c r="B553" s="81" t="str">
        <f>[9]Роспись!B510</f>
        <v>056</v>
      </c>
      <c r="C553" s="81" t="str">
        <f>[9]Роспись!C510</f>
        <v>08</v>
      </c>
      <c r="D553" s="81" t="str">
        <f>[9]Роспись!D510</f>
        <v>01</v>
      </c>
      <c r="E553" s="81">
        <f>[9]Роспись!E510</f>
        <v>4439901</v>
      </c>
      <c r="F553" s="81" t="str">
        <f>[9]Роспись!F510</f>
        <v>001</v>
      </c>
      <c r="G553" s="81">
        <f>[9]Роспись!G510</f>
        <v>224</v>
      </c>
      <c r="H553" s="648">
        <f>[9]Роспись!H510</f>
        <v>0</v>
      </c>
      <c r="I553" s="648">
        <f>[9]Финансирование!I553+[9]Финансирование!J553+[9]Финансирование!K553+[9]Финансирование!L553+[9]Финансирование!M553+[9]Финансирование!N553+[9]Финансирование!O553+[9]Финансирование!P553</f>
        <v>0</v>
      </c>
      <c r="J553" s="648">
        <f>[9]Финансирование!Q553+[9]Финансирование!T553+[9]Финансирование!U553+[9]Финансирование!V553+[9]Финансирование!W553+[9]Финансирование!X553+[9]Финансирование!Y553+[9]Финансирование!Z553</f>
        <v>0</v>
      </c>
      <c r="K553" s="648">
        <f t="shared" si="44"/>
        <v>0</v>
      </c>
    </row>
    <row r="554" spans="1:16" x14ac:dyDescent="0.15">
      <c r="A554" s="647" t="str">
        <f>[9]Роспись!A511</f>
        <v>Услуги по содерж. имущества</v>
      </c>
      <c r="B554" s="81" t="str">
        <f>[9]Роспись!B511</f>
        <v>056</v>
      </c>
      <c r="C554" s="81" t="str">
        <f>[9]Роспись!C511</f>
        <v>08</v>
      </c>
      <c r="D554" s="81" t="str">
        <f>[9]Роспись!D511</f>
        <v>01</v>
      </c>
      <c r="E554" s="81">
        <f>[9]Роспись!E511</f>
        <v>4439901</v>
      </c>
      <c r="F554" s="81" t="str">
        <f>[9]Роспись!F511</f>
        <v>001</v>
      </c>
      <c r="G554" s="81">
        <f>[9]Роспись!G511</f>
        <v>225</v>
      </c>
      <c r="H554" s="648">
        <f>[9]Роспись!H511</f>
        <v>0</v>
      </c>
      <c r="I554" s="648">
        <f>[9]Финансирование!I554+[9]Финансирование!J554+[9]Финансирование!K554+[9]Финансирование!L554+[9]Финансирование!M554+[9]Финансирование!N554+[9]Финансирование!O554+[9]Финансирование!P554</f>
        <v>0</v>
      </c>
      <c r="J554" s="648">
        <f>[9]Финансирование!Q554+[9]Финансирование!T554+[9]Финансирование!U554+[9]Финансирование!V554+[9]Финансирование!W554+[9]Финансирование!X554+[9]Финансирование!Y554+[9]Финансирование!Z554</f>
        <v>0</v>
      </c>
      <c r="K554" s="648">
        <f t="shared" si="44"/>
        <v>0</v>
      </c>
    </row>
    <row r="555" spans="1:16" x14ac:dyDescent="0.15">
      <c r="A555" s="647" t="str">
        <f>[9]Роспись!A512</f>
        <v>Прочие услуги</v>
      </c>
      <c r="B555" s="81" t="str">
        <f>[9]Роспись!B512</f>
        <v>056</v>
      </c>
      <c r="C555" s="81" t="str">
        <f>[9]Роспись!C512</f>
        <v>08</v>
      </c>
      <c r="D555" s="81" t="str">
        <f>[9]Роспись!D512</f>
        <v>01</v>
      </c>
      <c r="E555" s="81">
        <f>[9]Роспись!E512</f>
        <v>4439901</v>
      </c>
      <c r="F555" s="81" t="str">
        <f>[9]Роспись!F512</f>
        <v>001</v>
      </c>
      <c r="G555" s="81">
        <f>[9]Роспись!G512</f>
        <v>226</v>
      </c>
      <c r="H555" s="648">
        <f>[9]Роспись!H512</f>
        <v>488.45600000000002</v>
      </c>
      <c r="I555" s="648">
        <f>[9]Финансирование!I555+[9]Финансирование!J555+[9]Финансирование!K555+[9]Финансирование!L555+[9]Финансирование!M555+[9]Финансирование!N555+[9]Финансирование!O555+[9]Финансирование!P555</f>
        <v>104.64</v>
      </c>
      <c r="J555" s="648">
        <f>[9]Финансирование!Q555+[9]Финансирование!T555+[9]Финансирование!U555+[9]Финансирование!V555+[9]Финансирование!W555+[9]Финансирование!X555+[9]Финансирование!Y555+[9]Финансирование!Z555</f>
        <v>383.81600000000003</v>
      </c>
      <c r="K555" s="648">
        <f t="shared" si="44"/>
        <v>0</v>
      </c>
      <c r="L555" s="635">
        <v>300</v>
      </c>
    </row>
    <row r="556" spans="1:16" x14ac:dyDescent="0.15">
      <c r="A556" s="647" t="str">
        <f>[9]Роспись!A513</f>
        <v xml:space="preserve">Прочие расходы </v>
      </c>
      <c r="B556" s="81" t="str">
        <f>[9]Роспись!B513</f>
        <v>056</v>
      </c>
      <c r="C556" s="81" t="str">
        <f>[9]Роспись!C513</f>
        <v>08</v>
      </c>
      <c r="D556" s="81" t="str">
        <f>[9]Роспись!D513</f>
        <v>01</v>
      </c>
      <c r="E556" s="81">
        <f>[9]Роспись!E513</f>
        <v>4439901</v>
      </c>
      <c r="F556" s="81" t="str">
        <f>[9]Роспись!F513</f>
        <v>001</v>
      </c>
      <c r="G556" s="81">
        <f>[9]Роспись!G513</f>
        <v>290</v>
      </c>
      <c r="H556" s="648">
        <f>[9]Роспись!H513</f>
        <v>65.900000000000006</v>
      </c>
      <c r="I556" s="648">
        <f>[9]Финансирование!I556+[9]Финансирование!J556+[9]Финансирование!K556+[9]Финансирование!L556+[9]Финансирование!M556+[9]Финансирование!N556+[9]Финансирование!O556+[9]Финансирование!P556</f>
        <v>32.200000000000003</v>
      </c>
      <c r="J556" s="648">
        <f>[9]Финансирование!Q556+[9]Финансирование!T556+[9]Финансирование!U556+[9]Финансирование!V556+[9]Финансирование!W556+[9]Финансирование!X556+[9]Финансирование!Y556+[9]Финансирование!Z556</f>
        <v>33.700000000000003</v>
      </c>
      <c r="K556" s="648">
        <f t="shared" si="44"/>
        <v>0</v>
      </c>
    </row>
    <row r="557" spans="1:16" x14ac:dyDescent="0.15">
      <c r="A557" s="647" t="str">
        <f>[9]Роспись!A514</f>
        <v xml:space="preserve">Прочие расходы </v>
      </c>
      <c r="B557" s="81" t="str">
        <f>[9]Роспись!B514</f>
        <v>056</v>
      </c>
      <c r="C557" s="81" t="str">
        <f>[9]Роспись!C514</f>
        <v>08</v>
      </c>
      <c r="D557" s="81" t="str">
        <f>[9]Роспись!D514</f>
        <v>01</v>
      </c>
      <c r="E557" s="81" t="str">
        <f>[9]Роспись!E514</f>
        <v>4439500</v>
      </c>
      <c r="F557" s="81" t="str">
        <f>[9]Роспись!F514</f>
        <v>001</v>
      </c>
      <c r="G557" s="81" t="str">
        <f>[9]Роспись!G514</f>
        <v>290</v>
      </c>
      <c r="H557" s="648">
        <f>[9]Роспись!H514</f>
        <v>48.599999999999994</v>
      </c>
      <c r="I557" s="648">
        <f>[9]Финансирование!I557+[9]Финансирование!J557+[9]Финансирование!K557+[9]Финансирование!L557+[9]Финансирование!M557+[9]Финансирование!N557+[9]Финансирование!O557+[9]Финансирование!P557</f>
        <v>32.4</v>
      </c>
      <c r="J557" s="648">
        <f>[9]Финансирование!Q557+[9]Финансирование!T557+[9]Финансирование!U557+[9]Финансирование!V557+[9]Финансирование!W557+[9]Финансирование!X557+[9]Финансирование!Y557+[9]Финансирование!Z557</f>
        <v>16.199999999999996</v>
      </c>
      <c r="K557" s="648">
        <f t="shared" si="44"/>
        <v>0</v>
      </c>
      <c r="L557" s="635">
        <v>33.424999999999997</v>
      </c>
    </row>
    <row r="558" spans="1:16" x14ac:dyDescent="0.15">
      <c r="A558" s="647" t="str">
        <f>[9]Роспись!A515</f>
        <v>Увелич. стоимости осн. средств</v>
      </c>
      <c r="B558" s="81" t="str">
        <f>[9]Роспись!B515</f>
        <v>056</v>
      </c>
      <c r="C558" s="81" t="str">
        <f>[9]Роспись!C515</f>
        <v>08</v>
      </c>
      <c r="D558" s="81" t="str">
        <f>[9]Роспись!D515</f>
        <v>01</v>
      </c>
      <c r="E558" s="81">
        <f>[9]Роспись!E515</f>
        <v>4439901</v>
      </c>
      <c r="F558" s="81" t="str">
        <f>[9]Роспись!F515</f>
        <v>001</v>
      </c>
      <c r="G558" s="81">
        <f>[9]Роспись!G515</f>
        <v>310</v>
      </c>
      <c r="H558" s="648">
        <f>[9]Роспись!H515</f>
        <v>200.36</v>
      </c>
      <c r="I558" s="648">
        <f>[9]Финансирование!I558+[9]Финансирование!J558+[9]Финансирование!K558+[9]Финансирование!L558+[9]Финансирование!M558+[9]Финансирование!N558+[9]Финансирование!O558+[9]Финансирование!P558</f>
        <v>0</v>
      </c>
      <c r="J558" s="648">
        <f>[9]Финансирование!Q558+[9]Финансирование!T558+[9]Финансирование!U558+[9]Финансирование!V558+[9]Финансирование!W558+[9]Финансирование!X558+[9]Финансирование!Y558+[9]Финансирование!Z558</f>
        <v>83.816000000000003</v>
      </c>
      <c r="K558" s="648">
        <f t="shared" si="44"/>
        <v>116.54400000000001</v>
      </c>
    </row>
    <row r="559" spans="1:16" x14ac:dyDescent="0.15">
      <c r="A559" s="647" t="str">
        <f>[9]Роспись!A516</f>
        <v>Увелич. стоимости матер. запасов</v>
      </c>
      <c r="B559" s="81" t="str">
        <f>[9]Роспись!B516</f>
        <v>056</v>
      </c>
      <c r="C559" s="81" t="str">
        <f>[9]Роспись!C516</f>
        <v>08</v>
      </c>
      <c r="D559" s="81" t="str">
        <f>[9]Роспись!D516</f>
        <v>01</v>
      </c>
      <c r="E559" s="81">
        <f>[9]Роспись!E516</f>
        <v>4439901</v>
      </c>
      <c r="F559" s="81" t="str">
        <f>[9]Роспись!F516</f>
        <v>001</v>
      </c>
      <c r="G559" s="81">
        <f>[9]Роспись!G516</f>
        <v>340</v>
      </c>
      <c r="H559" s="648">
        <f>[9]Роспись!H516</f>
        <v>300</v>
      </c>
      <c r="I559" s="648">
        <f>[9]Финансирование!I559+[9]Финансирование!J559+[9]Финансирование!K559+[9]Финансирование!L559+[9]Финансирование!M559+[9]Финансирование!N559+[9]Финансирование!O559+[9]Финансирование!P559</f>
        <v>100</v>
      </c>
      <c r="J559" s="648">
        <f>[9]Финансирование!Q559+[9]Финансирование!T559+[9]Финансирование!U559+[9]Финансирование!V559+[9]Финансирование!W559+[9]Финансирование!X559+[9]Финансирование!Y559+[9]Финансирование!Z559</f>
        <v>71.842999999999989</v>
      </c>
      <c r="K559" s="648">
        <f t="shared" si="44"/>
        <v>128.15700000000001</v>
      </c>
    </row>
    <row r="560" spans="1:16" x14ac:dyDescent="0.15">
      <c r="A560" s="674" t="s">
        <v>98</v>
      </c>
      <c r="B560" s="666" t="s">
        <v>79</v>
      </c>
      <c r="C560" s="666" t="s">
        <v>80</v>
      </c>
      <c r="D560" s="666" t="s">
        <v>125</v>
      </c>
      <c r="E560" s="666" t="s">
        <v>216</v>
      </c>
      <c r="F560" s="666" t="s">
        <v>102</v>
      </c>
      <c r="G560" s="675"/>
      <c r="H560" s="643">
        <f>SUM(H547:H559)</f>
        <v>51501.930999999997</v>
      </c>
      <c r="I560" s="681">
        <f>SUM(I547:I559)</f>
        <v>23885.579999999998</v>
      </c>
      <c r="J560" s="681">
        <f>SUM(J547:J559)</f>
        <v>27371.649999999998</v>
      </c>
      <c r="K560" s="643">
        <f>SUM(K547:K559)</f>
        <v>244.70100000000002</v>
      </c>
      <c r="L560" s="678"/>
      <c r="M560" s="678"/>
      <c r="N560" s="678"/>
      <c r="O560" s="678"/>
      <c r="P560" s="678"/>
    </row>
    <row r="561" spans="1:16" ht="52" x14ac:dyDescent="0.15">
      <c r="A561" s="692" t="str">
        <f>'[9]Новая роспись'!A588</f>
        <v>Субсидия на финансовое обеспечение государственного задания на оказание государственных услуг (выполнение работ)</v>
      </c>
      <c r="B561" s="666"/>
      <c r="C561" s="666"/>
      <c r="D561" s="666"/>
      <c r="E561" s="666"/>
      <c r="F561" s="692">
        <f>'[9]Новая роспись'!F588</f>
        <v>611</v>
      </c>
      <c r="G561" s="692" t="str">
        <f>'[9]Новая роспись'!G588</f>
        <v>241</v>
      </c>
      <c r="H561" s="645">
        <f>'[9]Новая роспись'!H588</f>
        <v>27512.819999999996</v>
      </c>
      <c r="I561" s="648">
        <f>J560-I562</f>
        <v>27268.118999999999</v>
      </c>
      <c r="J561" s="648"/>
      <c r="K561" s="648">
        <f>H561-I561</f>
        <v>244.70099999999729</v>
      </c>
      <c r="L561" s="678"/>
      <c r="M561" s="678"/>
      <c r="N561" s="678"/>
      <c r="O561" s="678"/>
      <c r="P561" s="678"/>
    </row>
    <row r="562" spans="1:16" x14ac:dyDescent="0.15">
      <c r="A562" s="692" t="str">
        <f>'[9]Новая роспись'!A589</f>
        <v>Субсидии на иные цели</v>
      </c>
      <c r="B562" s="692" t="str">
        <f>'[9]Новая роспись'!B589</f>
        <v>056</v>
      </c>
      <c r="C562" s="692" t="str">
        <f>'[9]Новая роспись'!C589</f>
        <v>08</v>
      </c>
      <c r="D562" s="692" t="str">
        <f>'[9]Новая роспись'!D589</f>
        <v>01</v>
      </c>
      <c r="E562" s="692" t="str">
        <f>'[9]Новая роспись'!E589</f>
        <v>4439901</v>
      </c>
      <c r="F562" s="692">
        <f>'[9]Новая роспись'!F589</f>
        <v>612</v>
      </c>
      <c r="G562" s="692" t="str">
        <f>'[9]Новая роспись'!G589</f>
        <v>241</v>
      </c>
      <c r="H562" s="640">
        <f>'[9]Новая роспись'!H589</f>
        <v>103.53100000000001</v>
      </c>
      <c r="I562" s="648">
        <f>[9]Финансирование!I562+[9]Финансирование!J562+[9]Финансирование!K562+[9]Финансирование!L562+[9]Финансирование!M562+[9]Финансирование!N562+[9]Финансирование!O562+[9]Финансирование!P562+[9]Финансирование!Q562+[9]Финансирование!T562+[9]Финансирование!U562+[9]Финансирование!V562+[9]Финансирование!W562+[9]Финансирование!X562+[9]Финансирование!Y562+[9]Финансирование!Z562</f>
        <v>103.53100000000001</v>
      </c>
      <c r="J562" s="692">
        <f>'[9]Новая роспись'!J582</f>
        <v>0</v>
      </c>
      <c r="K562" s="648">
        <f>H562-I562</f>
        <v>0</v>
      </c>
      <c r="L562" s="678"/>
      <c r="M562" s="678"/>
      <c r="N562" s="678"/>
      <c r="O562" s="678"/>
      <c r="P562" s="678"/>
    </row>
    <row r="563" spans="1:16" x14ac:dyDescent="0.15">
      <c r="A563" s="78" t="s">
        <v>147</v>
      </c>
      <c r="B563" s="672"/>
      <c r="C563" s="672"/>
      <c r="D563" s="672"/>
      <c r="E563" s="672"/>
      <c r="F563" s="672"/>
      <c r="G563" s="649"/>
      <c r="H563" s="648"/>
      <c r="I563" s="648">
        <f>[9]Финансирование!I563+[9]Финансирование!J563+[9]Финансирование!K563+[9]Финансирование!L563+[9]Финансирование!M563+[9]Финансирование!N563+[9]Финансирование!O563+[9]Финансирование!P563+[9]Финансирование!Q563+[9]Финансирование!T563+[9]Финансирование!U563+[9]Финансирование!V563+[9]Финансирование!W563+[9]Финансирование!X563+[9]Финансирование!Y563+[9]Финансирование!Z563</f>
        <v>0</v>
      </c>
      <c r="J563" s="648"/>
      <c r="K563" s="648"/>
      <c r="L563" s="646"/>
      <c r="M563" s="646"/>
      <c r="N563" s="646"/>
      <c r="O563" s="646"/>
      <c r="P563" s="646"/>
    </row>
    <row r="564" spans="1:16" x14ac:dyDescent="0.15">
      <c r="A564" s="647" t="str">
        <f>[9]Роспись!A519</f>
        <v>Заработная плата</v>
      </c>
      <c r="B564" s="81" t="str">
        <f>[9]Роспись!B519</f>
        <v>056</v>
      </c>
      <c r="C564" s="81" t="str">
        <f>[9]Роспись!C519</f>
        <v>08</v>
      </c>
      <c r="D564" s="81" t="str">
        <f>[9]Роспись!D519</f>
        <v>01</v>
      </c>
      <c r="E564" s="81">
        <f>[9]Роспись!E519</f>
        <v>4439901</v>
      </c>
      <c r="F564" s="81" t="str">
        <f>[9]Роспись!F519</f>
        <v>001</v>
      </c>
      <c r="G564" s="81">
        <f>[9]Роспись!G519</f>
        <v>211</v>
      </c>
      <c r="H564" s="648">
        <f>[9]Роспись!H519</f>
        <v>13156.5</v>
      </c>
      <c r="I564" s="648">
        <f>[9]Финансирование!I564+[9]Финансирование!J564+[9]Финансирование!K564+[9]Финансирование!L564+[9]Финансирование!M564+[9]Финансирование!N564+[9]Финансирование!O564+[9]Финансирование!P564</f>
        <v>6066.91</v>
      </c>
      <c r="J564" s="648">
        <f>[9]Финансирование!Q564+[9]Финансирование!T564+[9]Финансирование!U564+[9]Финансирование!V564+[9]Финансирование!W564+[9]Финансирование!X564+[9]Финансирование!Y564+[9]Финансирование!Z564</f>
        <v>7089.5900000000047</v>
      </c>
      <c r="K564" s="648">
        <f>H564-I564-J564</f>
        <v>0</v>
      </c>
      <c r="L564" s="635">
        <v>6628.81</v>
      </c>
    </row>
    <row r="565" spans="1:16" x14ac:dyDescent="0.15">
      <c r="A565" s="647" t="str">
        <f>[9]Роспись!A520</f>
        <v xml:space="preserve">Прочие выплаты </v>
      </c>
      <c r="B565" s="81" t="str">
        <f>[9]Роспись!B520</f>
        <v>056</v>
      </c>
      <c r="C565" s="81" t="str">
        <f>[9]Роспись!C520</f>
        <v>08</v>
      </c>
      <c r="D565" s="81" t="str">
        <f>[9]Роспись!D520</f>
        <v>01</v>
      </c>
      <c r="E565" s="81">
        <f>[9]Роспись!E520</f>
        <v>4439901</v>
      </c>
      <c r="F565" s="81" t="str">
        <f>[9]Роспись!F520</f>
        <v>001</v>
      </c>
      <c r="G565" s="81">
        <f>[9]Роспись!G520</f>
        <v>212</v>
      </c>
      <c r="H565" s="648">
        <f>[9]Роспись!H520</f>
        <v>0</v>
      </c>
      <c r="I565" s="648">
        <f>[9]Финансирование!I565+[9]Финансирование!J565+[9]Финансирование!K565+[9]Финансирование!L565+[9]Финансирование!M565+[9]Финансирование!N565+[9]Финансирование!O565+[9]Финансирование!P565</f>
        <v>0</v>
      </c>
      <c r="J565" s="648">
        <f>[9]Финансирование!Q565+[9]Финансирование!T565+[9]Финансирование!U565+[9]Финансирование!V565+[9]Финансирование!W565+[9]Финансирование!X565+[9]Финансирование!Y565+[9]Финансирование!Z565</f>
        <v>0</v>
      </c>
      <c r="K565" s="648">
        <f t="shared" ref="K565:K576" si="45">H565-I565-J565</f>
        <v>0</v>
      </c>
    </row>
    <row r="566" spans="1:16" x14ac:dyDescent="0.15">
      <c r="A566" s="647" t="str">
        <f>[9]Роспись!A521</f>
        <v>Начисления на оплату труда</v>
      </c>
      <c r="B566" s="81" t="str">
        <f>[9]Роспись!B521</f>
        <v>056</v>
      </c>
      <c r="C566" s="81" t="str">
        <f>[9]Роспись!C521</f>
        <v>08</v>
      </c>
      <c r="D566" s="81" t="str">
        <f>[9]Роспись!D521</f>
        <v>01</v>
      </c>
      <c r="E566" s="81">
        <f>[9]Роспись!E521</f>
        <v>4439901</v>
      </c>
      <c r="F566" s="81" t="str">
        <f>[9]Роспись!F521</f>
        <v>001</v>
      </c>
      <c r="G566" s="81">
        <f>[9]Роспись!G521</f>
        <v>213</v>
      </c>
      <c r="H566" s="648">
        <f>[9]Роспись!H521</f>
        <v>3973.3</v>
      </c>
      <c r="I566" s="648">
        <f>[9]Финансирование!I566+[9]Финансирование!J566+[9]Финансирование!K566+[9]Финансирование!L566+[9]Финансирование!M566+[9]Финансирование!N566+[9]Финансирование!O566+[9]Финансирование!P566</f>
        <v>1963.06</v>
      </c>
      <c r="J566" s="648">
        <f>[9]Финансирование!Q566+[9]Финансирование!T566+[9]Финансирование!U566+[9]Финансирование!V566+[9]Финансирование!W566+[9]Финансирование!X566+[9]Финансирование!Y566+[9]Финансирование!Z566</f>
        <v>2010.2400000000002</v>
      </c>
      <c r="K566" s="648">
        <f t="shared" si="45"/>
        <v>0</v>
      </c>
    </row>
    <row r="567" spans="1:16" x14ac:dyDescent="0.15">
      <c r="A567" s="647" t="str">
        <f>[9]Роспись!A522</f>
        <v xml:space="preserve">Оплата услуг связи </v>
      </c>
      <c r="B567" s="81" t="str">
        <f>[9]Роспись!B522</f>
        <v>056</v>
      </c>
      <c r="C567" s="81" t="str">
        <f>[9]Роспись!C522</f>
        <v>08</v>
      </c>
      <c r="D567" s="81" t="str">
        <f>[9]Роспись!D522</f>
        <v>01</v>
      </c>
      <c r="E567" s="81">
        <f>[9]Роспись!E522</f>
        <v>4439901</v>
      </c>
      <c r="F567" s="81" t="str">
        <f>[9]Роспись!F522</f>
        <v>001</v>
      </c>
      <c r="G567" s="81">
        <f>[9]Роспись!G522</f>
        <v>221</v>
      </c>
      <c r="H567" s="648">
        <f>[9]Роспись!H522</f>
        <v>0</v>
      </c>
      <c r="I567" s="648">
        <f>[9]Финансирование!I567+[9]Финансирование!J567+[9]Финансирование!K567+[9]Финансирование!L567+[9]Финансирование!M567+[9]Финансирование!N567+[9]Финансирование!O567+[9]Финансирование!P567</f>
        <v>0</v>
      </c>
      <c r="J567" s="648">
        <f>[9]Финансирование!Q567+[9]Финансирование!T567+[9]Финансирование!U567+[9]Финансирование!V567+[9]Финансирование!W567+[9]Финансирование!X567+[9]Финансирование!Y567+[9]Финансирование!Z567</f>
        <v>0</v>
      </c>
      <c r="K567" s="648">
        <f t="shared" si="45"/>
        <v>0</v>
      </c>
    </row>
    <row r="568" spans="1:16" x14ac:dyDescent="0.15">
      <c r="A568" s="647" t="str">
        <f>[9]Роспись!A523</f>
        <v>Транспортные услуги</v>
      </c>
      <c r="B568" s="81" t="str">
        <f>[9]Роспись!B523</f>
        <v>056</v>
      </c>
      <c r="C568" s="81" t="str">
        <f>[9]Роспись!C523</f>
        <v>08</v>
      </c>
      <c r="D568" s="81" t="str">
        <f>[9]Роспись!D523</f>
        <v>01</v>
      </c>
      <c r="E568" s="81">
        <f>[9]Роспись!E523</f>
        <v>4439901</v>
      </c>
      <c r="F568" s="81" t="str">
        <f>[9]Роспись!F523</f>
        <v>001</v>
      </c>
      <c r="G568" s="81">
        <f>[9]Роспись!G523</f>
        <v>222</v>
      </c>
      <c r="H568" s="648">
        <f>[9]Роспись!H523</f>
        <v>0</v>
      </c>
      <c r="I568" s="648">
        <f>[9]Финансирование!I568+[9]Финансирование!J568+[9]Финансирование!K568+[9]Финансирование!L568+[9]Финансирование!M568+[9]Финансирование!N568+[9]Финансирование!O568+[9]Финансирование!P568</f>
        <v>0</v>
      </c>
      <c r="J568" s="648">
        <f>[9]Финансирование!Q568+[9]Финансирование!T568+[9]Финансирование!U568+[9]Финансирование!V568+[9]Финансирование!W568+[9]Финансирование!X568+[9]Финансирование!Y568+[9]Финансирование!Z568</f>
        <v>0</v>
      </c>
      <c r="K568" s="648">
        <f t="shared" si="45"/>
        <v>0</v>
      </c>
    </row>
    <row r="569" spans="1:16" x14ac:dyDescent="0.15">
      <c r="A569" s="647" t="str">
        <f>[9]Роспись!A524</f>
        <v>Коммунальные услуги</v>
      </c>
      <c r="B569" s="81" t="str">
        <f>[9]Роспись!B524</f>
        <v>056</v>
      </c>
      <c r="C569" s="81" t="str">
        <f>[9]Роспись!C524</f>
        <v>08</v>
      </c>
      <c r="D569" s="81" t="str">
        <f>[9]Роспись!D524</f>
        <v>01</v>
      </c>
      <c r="E569" s="81">
        <f>[9]Роспись!E524</f>
        <v>4439901</v>
      </c>
      <c r="F569" s="81" t="str">
        <f>[9]Роспись!F524</f>
        <v>001</v>
      </c>
      <c r="G569" s="81">
        <f>[9]Роспись!G524</f>
        <v>223</v>
      </c>
      <c r="H569" s="648">
        <f>[9]Роспись!H524</f>
        <v>135.4</v>
      </c>
      <c r="I569" s="648">
        <f>[9]Финансирование!I569+[9]Финансирование!J569+[9]Финансирование!K569+[9]Финансирование!L569+[9]Финансирование!M569+[9]Финансирование!N569+[9]Финансирование!O569+[9]Финансирование!P569</f>
        <v>93.8</v>
      </c>
      <c r="J569" s="648">
        <f>[9]Финансирование!Q569+[9]Финансирование!T569+[9]Финансирование!U569+[9]Финансирование!V569+[9]Финансирование!W569+[9]Финансирование!X569+[9]Финансирование!Y569+[9]Финансирование!Z569</f>
        <v>41.600000000000009</v>
      </c>
      <c r="K569" s="648">
        <f t="shared" si="45"/>
        <v>0</v>
      </c>
      <c r="L569" s="690"/>
      <c r="M569" s="690"/>
      <c r="N569" s="690"/>
      <c r="O569" s="690"/>
      <c r="P569" s="690"/>
    </row>
    <row r="570" spans="1:16" x14ac:dyDescent="0.15">
      <c r="A570" s="647" t="str">
        <f>[9]Роспись!A525</f>
        <v>Арендная плата</v>
      </c>
      <c r="B570" s="81" t="str">
        <f>[9]Роспись!B525</f>
        <v>056</v>
      </c>
      <c r="C570" s="81" t="str">
        <f>[9]Роспись!C525</f>
        <v>08</v>
      </c>
      <c r="D570" s="81" t="str">
        <f>[9]Роспись!D525</f>
        <v>01</v>
      </c>
      <c r="E570" s="81">
        <f>[9]Роспись!E525</f>
        <v>4439901</v>
      </c>
      <c r="F570" s="81" t="str">
        <f>[9]Роспись!F525</f>
        <v>001</v>
      </c>
      <c r="G570" s="81">
        <f>[9]Роспись!G525</f>
        <v>224</v>
      </c>
      <c r="H570" s="648">
        <f>[9]Роспись!H525</f>
        <v>0</v>
      </c>
      <c r="I570" s="648">
        <f>[9]Финансирование!I570+[9]Финансирование!J570+[9]Финансирование!K570+[9]Финансирование!L570+[9]Финансирование!M570+[9]Финансирование!N570+[9]Финансирование!O570+[9]Финансирование!P570</f>
        <v>0</v>
      </c>
      <c r="J570" s="648">
        <f>[9]Финансирование!Q570+[9]Финансирование!T570+[9]Финансирование!U570+[9]Финансирование!V570+[9]Финансирование!W570+[9]Финансирование!X570+[9]Финансирование!Y570+[9]Финансирование!Z570</f>
        <v>0</v>
      </c>
      <c r="K570" s="648">
        <f t="shared" si="45"/>
        <v>0</v>
      </c>
    </row>
    <row r="571" spans="1:16" x14ac:dyDescent="0.15">
      <c r="A571" s="647" t="str">
        <f>[9]Роспись!A526</f>
        <v>Услуги по содерж. имущества</v>
      </c>
      <c r="B571" s="81" t="str">
        <f>[9]Роспись!B526</f>
        <v>056</v>
      </c>
      <c r="C571" s="81" t="str">
        <f>[9]Роспись!C526</f>
        <v>08</v>
      </c>
      <c r="D571" s="81" t="str">
        <f>[9]Роспись!D526</f>
        <v>01</v>
      </c>
      <c r="E571" s="81">
        <f>[9]Роспись!E526</f>
        <v>4439901</v>
      </c>
      <c r="F571" s="81" t="str">
        <f>[9]Роспись!F526</f>
        <v>001</v>
      </c>
      <c r="G571" s="81">
        <f>[9]Роспись!G526</f>
        <v>225</v>
      </c>
      <c r="H571" s="648">
        <f>[9]Роспись!H526</f>
        <v>0</v>
      </c>
      <c r="I571" s="648">
        <f>[9]Финансирование!I571+[9]Финансирование!J571+[9]Финансирование!K571+[9]Финансирование!L571+[9]Финансирование!M571+[9]Финансирование!N571+[9]Финансирование!O571+[9]Финансирование!P571</f>
        <v>0</v>
      </c>
      <c r="J571" s="648">
        <f>[9]Финансирование!Q571+[9]Финансирование!T571+[9]Финансирование!U571+[9]Финансирование!V571+[9]Финансирование!W571+[9]Финансирование!X571+[9]Финансирование!Y571+[9]Финансирование!Z571</f>
        <v>0</v>
      </c>
      <c r="K571" s="648">
        <f t="shared" si="45"/>
        <v>0</v>
      </c>
    </row>
    <row r="572" spans="1:16" x14ac:dyDescent="0.15">
      <c r="A572" s="647" t="str">
        <f>[9]Роспись!A527</f>
        <v>Прочие услуги</v>
      </c>
      <c r="B572" s="81" t="str">
        <f>[9]Роспись!B527</f>
        <v>056</v>
      </c>
      <c r="C572" s="81" t="str">
        <f>[9]Роспись!C527</f>
        <v>08</v>
      </c>
      <c r="D572" s="81" t="str">
        <f>[9]Роспись!D527</f>
        <v>01</v>
      </c>
      <c r="E572" s="81">
        <f>[9]Роспись!E527</f>
        <v>4439901</v>
      </c>
      <c r="F572" s="81" t="str">
        <f>[9]Роспись!F527</f>
        <v>001</v>
      </c>
      <c r="G572" s="81">
        <f>[9]Роспись!G527</f>
        <v>226</v>
      </c>
      <c r="H572" s="648">
        <f>[9]Роспись!H527</f>
        <v>265</v>
      </c>
      <c r="I572" s="648">
        <f>[9]Финансирование!I572+[9]Финансирование!J572+[9]Финансирование!K572+[9]Финансирование!L572+[9]Финансирование!M572+[9]Финансирование!N572+[9]Финансирование!O572+[9]Финансирование!P572</f>
        <v>215</v>
      </c>
      <c r="J572" s="648">
        <f>[9]Финансирование!Q572+[9]Финансирование!T572+[9]Финансирование!U572+[9]Финансирование!V572+[9]Финансирование!W572+[9]Финансирование!X572+[9]Финансирование!Y572+[9]Финансирование!Z572</f>
        <v>50</v>
      </c>
      <c r="K572" s="648">
        <f t="shared" si="45"/>
        <v>0</v>
      </c>
    </row>
    <row r="573" spans="1:16" x14ac:dyDescent="0.15">
      <c r="A573" s="647" t="str">
        <f>[9]Роспись!A528</f>
        <v xml:space="preserve">Прочие расходы </v>
      </c>
      <c r="B573" s="81" t="str">
        <f>[9]Роспись!B528</f>
        <v>056</v>
      </c>
      <c r="C573" s="81" t="str">
        <f>[9]Роспись!C528</f>
        <v>08</v>
      </c>
      <c r="D573" s="81" t="str">
        <f>[9]Роспись!D528</f>
        <v>01</v>
      </c>
      <c r="E573" s="81">
        <f>[9]Роспись!E528</f>
        <v>4439901</v>
      </c>
      <c r="F573" s="81" t="str">
        <f>[9]Роспись!F528</f>
        <v>001</v>
      </c>
      <c r="G573" s="81">
        <f>[9]Роспись!G528</f>
        <v>290</v>
      </c>
      <c r="H573" s="648">
        <f>[9]Роспись!H528</f>
        <v>18.600000000000001</v>
      </c>
      <c r="I573" s="648">
        <f>[9]Финансирование!I573+[9]Финансирование!J573+[9]Финансирование!K573+[9]Финансирование!L573+[9]Финансирование!M573+[9]Финансирование!N573+[9]Финансирование!O573+[9]Финансирование!P573</f>
        <v>9.4</v>
      </c>
      <c r="J573" s="648">
        <f>[9]Финансирование!Q573+[9]Финансирование!T573+[9]Финансирование!U573+[9]Финансирование!V573+[9]Финансирование!W573+[9]Финансирование!X573+[9]Финансирование!Y573+[9]Финансирование!Z573</f>
        <v>9.2000000000000011</v>
      </c>
      <c r="K573" s="648">
        <f t="shared" si="45"/>
        <v>0</v>
      </c>
    </row>
    <row r="574" spans="1:16" x14ac:dyDescent="0.15">
      <c r="A574" s="647" t="str">
        <f>[9]Роспись!A529</f>
        <v xml:space="preserve">Прочие расходы </v>
      </c>
      <c r="B574" s="81" t="str">
        <f>[9]Роспись!B529</f>
        <v>056</v>
      </c>
      <c r="C574" s="81" t="str">
        <f>[9]Роспись!C529</f>
        <v>08</v>
      </c>
      <c r="D574" s="81" t="str">
        <f>[9]Роспись!D529</f>
        <v>01</v>
      </c>
      <c r="E574" s="81" t="str">
        <f>[9]Роспись!E529</f>
        <v>4439500</v>
      </c>
      <c r="F574" s="81" t="str">
        <f>[9]Роспись!F529</f>
        <v>001</v>
      </c>
      <c r="G574" s="81" t="str">
        <f>[9]Роспись!G529</f>
        <v>290</v>
      </c>
      <c r="H574" s="648">
        <f>[9]Роспись!H529</f>
        <v>110.80000000000001</v>
      </c>
      <c r="I574" s="648">
        <f>[9]Финансирование!I574+[9]Финансирование!J574+[9]Финансирование!K574+[9]Финансирование!L574+[9]Финансирование!M574+[9]Финансирование!N574+[9]Финансирование!O574+[9]Финансирование!P574</f>
        <v>73.8</v>
      </c>
      <c r="J574" s="648">
        <f>[9]Финансирование!Q574+[9]Финансирование!T574+[9]Финансирование!U574+[9]Финансирование!V574+[9]Финансирование!W574+[9]Финансирование!X574+[9]Финансирование!Y574+[9]Финансирование!Z574</f>
        <v>37.000000000000014</v>
      </c>
      <c r="K574" s="648">
        <f t="shared" si="45"/>
        <v>0</v>
      </c>
    </row>
    <row r="575" spans="1:16" x14ac:dyDescent="0.15">
      <c r="A575" s="647" t="str">
        <f>[9]Роспись!A530</f>
        <v>Увелич. стоимости осн. средств</v>
      </c>
      <c r="B575" s="81" t="str">
        <f>[9]Роспись!B530</f>
        <v>056</v>
      </c>
      <c r="C575" s="81" t="str">
        <f>[9]Роспись!C530</f>
        <v>08</v>
      </c>
      <c r="D575" s="81" t="str">
        <f>[9]Роспись!D530</f>
        <v>01</v>
      </c>
      <c r="E575" s="81">
        <f>[9]Роспись!E530</f>
        <v>4439901</v>
      </c>
      <c r="F575" s="81" t="str">
        <f>[9]Роспись!F530</f>
        <v>001</v>
      </c>
      <c r="G575" s="81">
        <f>[9]Роспись!G530</f>
        <v>310</v>
      </c>
      <c r="H575" s="648">
        <f>[9]Роспись!H530</f>
        <v>350</v>
      </c>
      <c r="I575" s="648">
        <f>[9]Финансирование!I575+[9]Финансирование!J575+[9]Финансирование!K575+[9]Финансирование!L575+[9]Финансирование!M575+[9]Финансирование!N575+[9]Финансирование!O575+[9]Финансирование!P575</f>
        <v>0</v>
      </c>
      <c r="J575" s="648">
        <f>[9]Финансирование!Q575+[9]Финансирование!T575+[9]Финансирование!U575+[9]Финансирование!V575+[9]Финансирование!W575+[9]Финансирование!X575+[9]Финансирование!Y575+[9]Финансирование!Z575</f>
        <v>350</v>
      </c>
      <c r="K575" s="648">
        <f t="shared" si="45"/>
        <v>0</v>
      </c>
    </row>
    <row r="576" spans="1:16" x14ac:dyDescent="0.15">
      <c r="A576" s="647" t="str">
        <f>[9]Роспись!A531</f>
        <v>Увелич. стоимости матер. запасов</v>
      </c>
      <c r="B576" s="81" t="str">
        <f>[9]Роспись!B531</f>
        <v>056</v>
      </c>
      <c r="C576" s="81" t="str">
        <f>[9]Роспись!C531</f>
        <v>08</v>
      </c>
      <c r="D576" s="81" t="str">
        <f>[9]Роспись!D531</f>
        <v>01</v>
      </c>
      <c r="E576" s="81">
        <f>[9]Роспись!E531</f>
        <v>4439901</v>
      </c>
      <c r="F576" s="81" t="str">
        <f>[9]Роспись!F531</f>
        <v>001</v>
      </c>
      <c r="G576" s="81">
        <f>[9]Роспись!G531</f>
        <v>340</v>
      </c>
      <c r="H576" s="648">
        <f>[9]Роспись!H531</f>
        <v>107.6</v>
      </c>
      <c r="I576" s="648">
        <f>[9]Финансирование!I576+[9]Финансирование!J576+[9]Финансирование!K576+[9]Финансирование!L576+[9]Финансирование!M576+[9]Финансирование!N576+[9]Финансирование!O576+[9]Финансирование!P576</f>
        <v>10</v>
      </c>
      <c r="J576" s="648">
        <f>[9]Финансирование!Q576+[9]Финансирование!T576+[9]Финансирование!U576+[9]Финансирование!V576+[9]Финансирование!W576+[9]Финансирование!X576+[9]Финансирование!Y576+[9]Финансирование!Z576</f>
        <v>97.6</v>
      </c>
      <c r="K576" s="648">
        <f t="shared" si="45"/>
        <v>0</v>
      </c>
    </row>
    <row r="577" spans="1:16" x14ac:dyDescent="0.15">
      <c r="A577" s="674" t="s">
        <v>98</v>
      </c>
      <c r="B577" s="666" t="s">
        <v>79</v>
      </c>
      <c r="C577" s="666" t="s">
        <v>80</v>
      </c>
      <c r="D577" s="666" t="s">
        <v>125</v>
      </c>
      <c r="E577" s="666" t="s">
        <v>216</v>
      </c>
      <c r="F577" s="666" t="s">
        <v>102</v>
      </c>
      <c r="G577" s="675"/>
      <c r="H577" s="643">
        <f>SUM(H564:H576)</f>
        <v>18117.199999999997</v>
      </c>
      <c r="I577" s="681">
        <f>SUM(I564:I576)</f>
        <v>8431.9699999999993</v>
      </c>
      <c r="J577" s="681">
        <f>SUM(J564:J576)</f>
        <v>9685.2300000000068</v>
      </c>
      <c r="K577" s="643">
        <f>SUM(K564:K576)</f>
        <v>0</v>
      </c>
      <c r="L577" s="678"/>
      <c r="M577" s="678"/>
      <c r="N577" s="678"/>
      <c r="O577" s="678"/>
      <c r="P577" s="678"/>
    </row>
    <row r="578" spans="1:16" ht="52" x14ac:dyDescent="0.15">
      <c r="A578" s="692" t="str">
        <f>'[9]Новая роспись'!A606</f>
        <v>Субсидия на финансовое обеспечение государственного задания на оказание государственных услуг (выполнение работ)</v>
      </c>
      <c r="B578" s="666"/>
      <c r="C578" s="666"/>
      <c r="D578" s="666"/>
      <c r="E578" s="666"/>
      <c r="F578" s="692">
        <f>'[9]Новая роспись'!F606</f>
        <v>611</v>
      </c>
      <c r="G578" s="692" t="str">
        <f>'[9]Новая роспись'!G606</f>
        <v>241</v>
      </c>
      <c r="H578" s="645">
        <f>'[9]Новая роспись'!H606</f>
        <v>9685.2299999999977</v>
      </c>
      <c r="I578" s="648">
        <f>[9]Финансирование!I578+[9]Финансирование!J578+[9]Финансирование!K578+[9]Финансирование!L578+[9]Финансирование!M578+[9]Финансирование!N578+[9]Финансирование!O578+[9]Финансирование!P578+[9]Финансирование!Q578+[9]Финансирование!T578+[9]Финансирование!U578+[9]Финансирование!V578+[9]Финансирование!W578+[9]Финансирование!X578+[9]Финансирование!Y578+[9]Финансирование!Z578</f>
        <v>9685.230000000005</v>
      </c>
      <c r="J578" s="648"/>
      <c r="K578" s="648">
        <f>H578-I578</f>
        <v>0</v>
      </c>
      <c r="L578" s="678"/>
      <c r="M578" s="678"/>
      <c r="N578" s="678"/>
      <c r="O578" s="678"/>
      <c r="P578" s="678"/>
    </row>
    <row r="579" spans="1:16" x14ac:dyDescent="0.15">
      <c r="A579" s="78" t="s">
        <v>148</v>
      </c>
      <c r="B579" s="672"/>
      <c r="C579" s="672"/>
      <c r="D579" s="672"/>
      <c r="E579" s="672"/>
      <c r="F579" s="672"/>
      <c r="G579" s="649"/>
      <c r="H579" s="648"/>
      <c r="I579" s="648">
        <f>[9]Финансирование!I579+[9]Финансирование!J579+[9]Финансирование!K579+[9]Финансирование!L579+[9]Финансирование!M579+[9]Финансирование!N579+[9]Финансирование!O579+[9]Финансирование!P579+[9]Финансирование!Q579+[9]Финансирование!T579+[9]Финансирование!U579+[9]Финансирование!V579+[9]Финансирование!W579+[9]Финансирование!X579+[9]Финансирование!Y579+[9]Финансирование!Z579</f>
        <v>0</v>
      </c>
      <c r="J579" s="648"/>
      <c r="K579" s="648"/>
      <c r="L579" s="646"/>
      <c r="M579" s="646"/>
      <c r="N579" s="646"/>
      <c r="O579" s="646"/>
      <c r="P579" s="646"/>
    </row>
    <row r="580" spans="1:16" x14ac:dyDescent="0.15">
      <c r="A580" s="647" t="str">
        <f>[9]Роспись!A534</f>
        <v>Заработная плата</v>
      </c>
      <c r="B580" s="81" t="str">
        <f>[9]Роспись!B534</f>
        <v>056</v>
      </c>
      <c r="C580" s="81" t="str">
        <f>[9]Роспись!C534</f>
        <v>08</v>
      </c>
      <c r="D580" s="81" t="str">
        <f>[9]Роспись!D534</f>
        <v>01</v>
      </c>
      <c r="E580" s="81">
        <f>[9]Роспись!E534</f>
        <v>4439901</v>
      </c>
      <c r="F580" s="81" t="str">
        <f>[9]Роспись!F534</f>
        <v>001</v>
      </c>
      <c r="G580" s="81">
        <f>[9]Роспись!G534</f>
        <v>211</v>
      </c>
      <c r="H580" s="648">
        <f>[9]Роспись!H534</f>
        <v>6764.2</v>
      </c>
      <c r="I580" s="648">
        <f>[9]Финансирование!I580+[9]Финансирование!J580+[9]Финансирование!K580+[9]Финансирование!L580+[9]Финансирование!M580+[9]Финансирование!N580+[9]Финансирование!O580+[9]Финансирование!P580</f>
        <v>3119.2</v>
      </c>
      <c r="J580" s="648">
        <f>[9]Финансирование!Q580+[9]Финансирование!T580+[9]Финансирование!U580+[9]Финансирование!V580+[9]Финансирование!W580+[9]Финансирование!X580+[9]Финансирование!Y580+[9]Финансирование!Z580</f>
        <v>3645</v>
      </c>
      <c r="K580" s="648">
        <f>H580-I580-J580</f>
        <v>0</v>
      </c>
      <c r="L580" s="635">
        <v>3264.3159999999998</v>
      </c>
    </row>
    <row r="581" spans="1:16" x14ac:dyDescent="0.15">
      <c r="A581" s="647" t="str">
        <f>[9]Роспись!A535</f>
        <v xml:space="preserve">Прочие выплаты </v>
      </c>
      <c r="B581" s="81" t="str">
        <f>[9]Роспись!B535</f>
        <v>056</v>
      </c>
      <c r="C581" s="81" t="str">
        <f>[9]Роспись!C535</f>
        <v>08</v>
      </c>
      <c r="D581" s="81" t="str">
        <f>[9]Роспись!D535</f>
        <v>01</v>
      </c>
      <c r="E581" s="81">
        <f>[9]Роспись!E535</f>
        <v>4439901</v>
      </c>
      <c r="F581" s="81" t="str">
        <f>[9]Роспись!F535</f>
        <v>001</v>
      </c>
      <c r="G581" s="81">
        <f>[9]Роспись!G535</f>
        <v>212</v>
      </c>
      <c r="H581" s="648">
        <f>[9]Роспись!H535</f>
        <v>0</v>
      </c>
      <c r="I581" s="648">
        <f>[9]Финансирование!I581+[9]Финансирование!J581+[9]Финансирование!K581+[9]Финансирование!L581+[9]Финансирование!M581+[9]Финансирование!N581+[9]Финансирование!O581+[9]Финансирование!P581</f>
        <v>0</v>
      </c>
      <c r="J581" s="648">
        <f>[9]Финансирование!Q581+[9]Финансирование!T581+[9]Финансирование!U581+[9]Финансирование!V581+[9]Финансирование!W581+[9]Финансирование!X581+[9]Финансирование!Y581+[9]Финансирование!Z581</f>
        <v>0</v>
      </c>
      <c r="K581" s="648">
        <f t="shared" ref="K581:K592" si="46">H581-I581-J581</f>
        <v>0</v>
      </c>
    </row>
    <row r="582" spans="1:16" x14ac:dyDescent="0.15">
      <c r="A582" s="647" t="str">
        <f>[9]Роспись!A536</f>
        <v>Начисления на оплату труда</v>
      </c>
      <c r="B582" s="81" t="str">
        <f>[9]Роспись!B536</f>
        <v>056</v>
      </c>
      <c r="C582" s="81" t="str">
        <f>[9]Роспись!C536</f>
        <v>08</v>
      </c>
      <c r="D582" s="81" t="str">
        <f>[9]Роспись!D536</f>
        <v>01</v>
      </c>
      <c r="E582" s="81">
        <f>[9]Роспись!E536</f>
        <v>4439901</v>
      </c>
      <c r="F582" s="81" t="str">
        <f>[9]Роспись!F536</f>
        <v>001</v>
      </c>
      <c r="G582" s="81">
        <f>[9]Роспись!G536</f>
        <v>213</v>
      </c>
      <c r="H582" s="648">
        <f>[9]Роспись!H536</f>
        <v>2042.8</v>
      </c>
      <c r="I582" s="648">
        <f>[9]Финансирование!I582+[9]Финансирование!J582+[9]Финансирование!K582+[9]Финансирование!L582+[9]Финансирование!M582+[9]Финансирование!N582+[9]Финансирование!O582+[9]Финансирование!P582</f>
        <v>1009.22</v>
      </c>
      <c r="J582" s="648">
        <f>[9]Финансирование!Q582+[9]Финансирование!T582+[9]Финансирование!U582+[9]Финансирование!V582+[9]Финансирование!W582+[9]Финансирование!X582+[9]Финансирование!Y582+[9]Финансирование!Z582</f>
        <v>1033.58</v>
      </c>
      <c r="K582" s="648">
        <f t="shared" si="46"/>
        <v>0</v>
      </c>
      <c r="L582" s="635">
        <v>1030.4000000000001</v>
      </c>
    </row>
    <row r="583" spans="1:16" x14ac:dyDescent="0.15">
      <c r="A583" s="647" t="str">
        <f>[9]Роспись!A537</f>
        <v xml:space="preserve">Оплата услуг связи </v>
      </c>
      <c r="B583" s="81" t="str">
        <f>[9]Роспись!B537</f>
        <v>056</v>
      </c>
      <c r="C583" s="81" t="str">
        <f>[9]Роспись!C537</f>
        <v>08</v>
      </c>
      <c r="D583" s="81" t="str">
        <f>[9]Роспись!D537</f>
        <v>01</v>
      </c>
      <c r="E583" s="81">
        <f>[9]Роспись!E537</f>
        <v>4439901</v>
      </c>
      <c r="F583" s="81" t="str">
        <f>[9]Роспись!F537</f>
        <v>001</v>
      </c>
      <c r="G583" s="81">
        <f>[9]Роспись!G537</f>
        <v>221</v>
      </c>
      <c r="H583" s="648">
        <f>[9]Роспись!H537</f>
        <v>0</v>
      </c>
      <c r="I583" s="648">
        <f>[9]Финансирование!I583+[9]Финансирование!J583+[9]Финансирование!K583+[9]Финансирование!L583+[9]Финансирование!M583+[9]Финансирование!N583+[9]Финансирование!O583+[9]Финансирование!P583</f>
        <v>0</v>
      </c>
      <c r="J583" s="648">
        <f>[9]Финансирование!Q583+[9]Финансирование!T583+[9]Финансирование!U583+[9]Финансирование!V583+[9]Финансирование!W583+[9]Финансирование!X583+[9]Финансирование!Y583+[9]Финансирование!Z583</f>
        <v>0</v>
      </c>
      <c r="K583" s="648">
        <f t="shared" si="46"/>
        <v>0</v>
      </c>
    </row>
    <row r="584" spans="1:16" x14ac:dyDescent="0.15">
      <c r="A584" s="647" t="str">
        <f>[9]Роспись!A538</f>
        <v>Транспортные услуги</v>
      </c>
      <c r="B584" s="81" t="str">
        <f>[9]Роспись!B538</f>
        <v>056</v>
      </c>
      <c r="C584" s="81" t="str">
        <f>[9]Роспись!C538</f>
        <v>08</v>
      </c>
      <c r="D584" s="81" t="str">
        <f>[9]Роспись!D538</f>
        <v>01</v>
      </c>
      <c r="E584" s="81">
        <f>[9]Роспись!E538</f>
        <v>4439901</v>
      </c>
      <c r="F584" s="81" t="str">
        <f>[9]Роспись!F538</f>
        <v>001</v>
      </c>
      <c r="G584" s="81">
        <f>[9]Роспись!G538</f>
        <v>222</v>
      </c>
      <c r="H584" s="648">
        <f>[9]Роспись!H538</f>
        <v>0</v>
      </c>
      <c r="I584" s="648">
        <f>[9]Финансирование!I584+[9]Финансирование!J584+[9]Финансирование!K584+[9]Финансирование!L584+[9]Финансирование!M584+[9]Финансирование!N584+[9]Финансирование!O584+[9]Финансирование!P584</f>
        <v>0</v>
      </c>
      <c r="J584" s="648">
        <f>[9]Финансирование!Q584+[9]Финансирование!T584+[9]Финансирование!U584+[9]Финансирование!V584+[9]Финансирование!W584+[9]Финансирование!X584+[9]Финансирование!Y584+[9]Финансирование!Z584</f>
        <v>0</v>
      </c>
      <c r="K584" s="648">
        <f t="shared" si="46"/>
        <v>0</v>
      </c>
    </row>
    <row r="585" spans="1:16" x14ac:dyDescent="0.15">
      <c r="A585" s="647" t="str">
        <f>[9]Роспись!A539</f>
        <v>Коммунальные услуги</v>
      </c>
      <c r="B585" s="81" t="str">
        <f>[9]Роспись!B539</f>
        <v>056</v>
      </c>
      <c r="C585" s="81" t="str">
        <f>[9]Роспись!C539</f>
        <v>08</v>
      </c>
      <c r="D585" s="81" t="str">
        <f>[9]Роспись!D539</f>
        <v>01</v>
      </c>
      <c r="E585" s="81">
        <f>[9]Роспись!E539</f>
        <v>4439901</v>
      </c>
      <c r="F585" s="81" t="str">
        <f>[9]Роспись!F539</f>
        <v>001</v>
      </c>
      <c r="G585" s="81">
        <f>[9]Роспись!G539</f>
        <v>223</v>
      </c>
      <c r="H585" s="648">
        <f>[9]Роспись!H539</f>
        <v>0</v>
      </c>
      <c r="I585" s="648">
        <f>[9]Финансирование!I585+[9]Финансирование!J585+[9]Финансирование!K585+[9]Финансирование!L585+[9]Финансирование!M585+[9]Финансирование!N585+[9]Финансирование!O585+[9]Финансирование!P585</f>
        <v>0</v>
      </c>
      <c r="J585" s="648">
        <f>[9]Финансирование!Q585+[9]Финансирование!T585+[9]Финансирование!U585+[9]Финансирование!V585+[9]Финансирование!W585+[9]Финансирование!X585+[9]Финансирование!Y585+[9]Финансирование!Z585</f>
        <v>0</v>
      </c>
      <c r="K585" s="648">
        <f t="shared" si="46"/>
        <v>0</v>
      </c>
    </row>
    <row r="586" spans="1:16" x14ac:dyDescent="0.15">
      <c r="A586" s="647" t="str">
        <f>[9]Роспись!A540</f>
        <v>Арендная плата</v>
      </c>
      <c r="B586" s="81" t="str">
        <f>[9]Роспись!B540</f>
        <v>056</v>
      </c>
      <c r="C586" s="81" t="str">
        <f>[9]Роспись!C540</f>
        <v>08</v>
      </c>
      <c r="D586" s="81" t="str">
        <f>[9]Роспись!D540</f>
        <v>01</v>
      </c>
      <c r="E586" s="81">
        <f>[9]Роспись!E540</f>
        <v>4439901</v>
      </c>
      <c r="F586" s="81" t="str">
        <f>[9]Роспись!F540</f>
        <v>001</v>
      </c>
      <c r="G586" s="81">
        <f>[9]Роспись!G540</f>
        <v>224</v>
      </c>
      <c r="H586" s="648">
        <f>[9]Роспись!H540</f>
        <v>0</v>
      </c>
      <c r="I586" s="648">
        <f>[9]Финансирование!I586+[9]Финансирование!J586+[9]Финансирование!K586+[9]Финансирование!L586+[9]Финансирование!M586+[9]Финансирование!N586+[9]Финансирование!O586+[9]Финансирование!P586</f>
        <v>0</v>
      </c>
      <c r="J586" s="648">
        <f>[9]Финансирование!Q586+[9]Финансирование!T586+[9]Финансирование!U586+[9]Финансирование!V586+[9]Финансирование!W586+[9]Финансирование!X586+[9]Финансирование!Y586+[9]Финансирование!Z586</f>
        <v>0</v>
      </c>
      <c r="K586" s="648">
        <f t="shared" si="46"/>
        <v>0</v>
      </c>
    </row>
    <row r="587" spans="1:16" x14ac:dyDescent="0.15">
      <c r="A587" s="647" t="str">
        <f>[9]Роспись!A541</f>
        <v>Услуги по содерж. имущества</v>
      </c>
      <c r="B587" s="81" t="str">
        <f>[9]Роспись!B541</f>
        <v>056</v>
      </c>
      <c r="C587" s="81" t="str">
        <f>[9]Роспись!C541</f>
        <v>08</v>
      </c>
      <c r="D587" s="81" t="str">
        <f>[9]Роспись!D541</f>
        <v>01</v>
      </c>
      <c r="E587" s="81">
        <f>[9]Роспись!E541</f>
        <v>4439901</v>
      </c>
      <c r="F587" s="81" t="str">
        <f>[9]Роспись!F541</f>
        <v>001</v>
      </c>
      <c r="G587" s="81">
        <f>[9]Роспись!G541</f>
        <v>225</v>
      </c>
      <c r="H587" s="648">
        <f>[9]Роспись!H541</f>
        <v>0</v>
      </c>
      <c r="I587" s="648">
        <f>[9]Финансирование!I587+[9]Финансирование!J587+[9]Финансирование!K587+[9]Финансирование!L587+[9]Финансирование!M587+[9]Финансирование!N587+[9]Финансирование!O587+[9]Финансирование!P587</f>
        <v>0</v>
      </c>
      <c r="J587" s="648">
        <f>[9]Финансирование!Q587+[9]Финансирование!T587+[9]Финансирование!U587+[9]Финансирование!V587+[9]Финансирование!W587+[9]Финансирование!X587+[9]Финансирование!Y587+[9]Финансирование!Z587</f>
        <v>0</v>
      </c>
      <c r="K587" s="648">
        <f t="shared" si="46"/>
        <v>0</v>
      </c>
    </row>
    <row r="588" spans="1:16" x14ac:dyDescent="0.15">
      <c r="A588" s="647" t="str">
        <f>[9]Роспись!A542</f>
        <v>Прочие услуги</v>
      </c>
      <c r="B588" s="81" t="str">
        <f>[9]Роспись!B542</f>
        <v>056</v>
      </c>
      <c r="C588" s="81" t="str">
        <f>[9]Роспись!C542</f>
        <v>08</v>
      </c>
      <c r="D588" s="81" t="str">
        <f>[9]Роспись!D542</f>
        <v>01</v>
      </c>
      <c r="E588" s="81">
        <f>[9]Роспись!E542</f>
        <v>4439901</v>
      </c>
      <c r="F588" s="81" t="str">
        <f>[9]Роспись!F542</f>
        <v>001</v>
      </c>
      <c r="G588" s="81">
        <f>[9]Роспись!G542</f>
        <v>226</v>
      </c>
      <c r="H588" s="648">
        <f>[9]Роспись!H542</f>
        <v>125</v>
      </c>
      <c r="I588" s="648">
        <f>[9]Финансирование!I588+[9]Финансирование!J588+[9]Финансирование!K588+[9]Финансирование!L588+[9]Финансирование!M588+[9]Финансирование!N588+[9]Финансирование!O588+[9]Финансирование!P588</f>
        <v>125</v>
      </c>
      <c r="J588" s="648">
        <f>[9]Финансирование!Q588+[9]Финансирование!T588+[9]Финансирование!U588+[9]Финансирование!V588+[9]Финансирование!W588+[9]Финансирование!X588+[9]Финансирование!Y588+[9]Финансирование!Z588</f>
        <v>0</v>
      </c>
      <c r="K588" s="648">
        <f t="shared" si="46"/>
        <v>0</v>
      </c>
    </row>
    <row r="589" spans="1:16" x14ac:dyDescent="0.15">
      <c r="A589" s="647" t="str">
        <f>[9]Роспись!A543</f>
        <v xml:space="preserve">Прочие расходы </v>
      </c>
      <c r="B589" s="81" t="str">
        <f>[9]Роспись!B543</f>
        <v>056</v>
      </c>
      <c r="C589" s="81" t="str">
        <f>[9]Роспись!C543</f>
        <v>08</v>
      </c>
      <c r="D589" s="81" t="str">
        <f>[9]Роспись!D543</f>
        <v>01</v>
      </c>
      <c r="E589" s="81">
        <f>[9]Роспись!E543</f>
        <v>4439901</v>
      </c>
      <c r="F589" s="81" t="str">
        <f>[9]Роспись!F543</f>
        <v>001</v>
      </c>
      <c r="G589" s="81">
        <f>[9]Роспись!G543</f>
        <v>290</v>
      </c>
      <c r="H589" s="648">
        <f>[9]Роспись!H543</f>
        <v>10.6</v>
      </c>
      <c r="I589" s="648">
        <f>[9]Финансирование!I589+[9]Финансирование!J589+[9]Финансирование!K589+[9]Финансирование!L589+[9]Финансирование!M589+[9]Финансирование!N589+[9]Финансирование!O589+[9]Финансирование!P589</f>
        <v>5.4</v>
      </c>
      <c r="J589" s="648">
        <f>[9]Финансирование!Q589+[9]Финансирование!T589+[9]Финансирование!U589+[9]Финансирование!V589+[9]Финансирование!W589+[9]Финансирование!X589+[9]Финансирование!Y589+[9]Финансирование!Z589</f>
        <v>2.5499999999999998</v>
      </c>
      <c r="K589" s="648">
        <f t="shared" si="46"/>
        <v>2.6499999999999995</v>
      </c>
    </row>
    <row r="590" spans="1:16" x14ac:dyDescent="0.15">
      <c r="A590" s="647" t="str">
        <f>[9]Роспись!A544</f>
        <v xml:space="preserve">Прочие расходы </v>
      </c>
      <c r="B590" s="81" t="str">
        <f>[9]Роспись!B544</f>
        <v>056</v>
      </c>
      <c r="C590" s="81" t="str">
        <f>[9]Роспись!C544</f>
        <v>08</v>
      </c>
      <c r="D590" s="81" t="str">
        <f>[9]Роспись!D544</f>
        <v>01</v>
      </c>
      <c r="E590" s="81" t="str">
        <f>[9]Роспись!E544</f>
        <v>4439500</v>
      </c>
      <c r="F590" s="81" t="str">
        <f>[9]Роспись!F544</f>
        <v>001</v>
      </c>
      <c r="G590" s="81" t="str">
        <f>[9]Роспись!G544</f>
        <v>290</v>
      </c>
      <c r="H590" s="648">
        <f>[9]Роспись!H544</f>
        <v>9.1</v>
      </c>
      <c r="I590" s="648">
        <f>[9]Финансирование!I590+[9]Финансирование!J590+[9]Финансирование!K590+[9]Финансирование!L590+[9]Финансирование!M590+[9]Финансирование!N590+[9]Финансирование!O590+[9]Финансирование!P590</f>
        <v>6</v>
      </c>
      <c r="J590" s="648">
        <f>[9]Финансирование!Q590+[9]Финансирование!T590+[9]Финансирование!U590+[9]Финансирование!V590+[9]Финансирование!W590+[9]Финансирование!X590+[9]Финансирование!Y590+[9]Финансирование!Z590</f>
        <v>3.15</v>
      </c>
      <c r="K590" s="648">
        <f t="shared" si="46"/>
        <v>-5.0000000000000266E-2</v>
      </c>
    </row>
    <row r="591" spans="1:16" x14ac:dyDescent="0.15">
      <c r="A591" s="647" t="str">
        <f>[9]Роспись!A545</f>
        <v>Увелич. стоимости осн. средств</v>
      </c>
      <c r="B591" s="81" t="str">
        <f>[9]Роспись!B545</f>
        <v>056</v>
      </c>
      <c r="C591" s="81" t="str">
        <f>[9]Роспись!C545</f>
        <v>08</v>
      </c>
      <c r="D591" s="81" t="str">
        <f>[9]Роспись!D545</f>
        <v>01</v>
      </c>
      <c r="E591" s="81">
        <f>[9]Роспись!E545</f>
        <v>4439901</v>
      </c>
      <c r="F591" s="81" t="str">
        <f>[9]Роспись!F545</f>
        <v>001</v>
      </c>
      <c r="G591" s="81">
        <f>[9]Роспись!G545</f>
        <v>310</v>
      </c>
      <c r="H591" s="648">
        <f>[9]Роспись!H545</f>
        <v>50</v>
      </c>
      <c r="I591" s="648">
        <f>[9]Финансирование!I591+[9]Финансирование!J591+[9]Финансирование!K591+[9]Финансирование!L591+[9]Финансирование!M591+[9]Финансирование!N591+[9]Финансирование!O591+[9]Финансирование!P591</f>
        <v>0</v>
      </c>
      <c r="J591" s="648">
        <f>[9]Финансирование!Q591+[9]Финансирование!T591+[9]Финансирование!U591+[9]Финансирование!V591+[9]Финансирование!W591+[9]Финансирование!X591+[9]Финансирование!Y591+[9]Финансирование!Z591</f>
        <v>0</v>
      </c>
      <c r="K591" s="648">
        <f t="shared" si="46"/>
        <v>50</v>
      </c>
    </row>
    <row r="592" spans="1:16" x14ac:dyDescent="0.15">
      <c r="A592" s="647" t="str">
        <f>[9]Роспись!A546</f>
        <v>Увелич. стоимости матер. запасов</v>
      </c>
      <c r="B592" s="81" t="str">
        <f>[9]Роспись!B546</f>
        <v>056</v>
      </c>
      <c r="C592" s="81" t="str">
        <f>[9]Роспись!C546</f>
        <v>08</v>
      </c>
      <c r="D592" s="81" t="str">
        <f>[9]Роспись!D546</f>
        <v>01</v>
      </c>
      <c r="E592" s="81">
        <f>[9]Роспись!E546</f>
        <v>4439901</v>
      </c>
      <c r="F592" s="81" t="str">
        <f>[9]Роспись!F546</f>
        <v>001</v>
      </c>
      <c r="G592" s="81">
        <f>[9]Роспись!G546</f>
        <v>340</v>
      </c>
      <c r="H592" s="648">
        <f>[9]Роспись!H546</f>
        <v>60</v>
      </c>
      <c r="I592" s="648">
        <f>[9]Финансирование!I592+[9]Финансирование!J592+[9]Финансирование!K592+[9]Финансирование!L592+[9]Финансирование!M592+[9]Финансирование!N592+[9]Финансирование!O592+[9]Финансирование!P592</f>
        <v>15</v>
      </c>
      <c r="J592" s="648">
        <f>[9]Финансирование!Q592+[9]Финансирование!T592+[9]Финансирование!U592+[9]Финансирование!V592+[9]Финансирование!W592+[9]Финансирование!X592+[9]Финансирование!Y592+[9]Финансирование!Z592</f>
        <v>0</v>
      </c>
      <c r="K592" s="648">
        <f t="shared" si="46"/>
        <v>45</v>
      </c>
    </row>
    <row r="593" spans="1:16" x14ac:dyDescent="0.15">
      <c r="A593" s="674" t="s">
        <v>98</v>
      </c>
      <c r="B593" s="666" t="s">
        <v>79</v>
      </c>
      <c r="C593" s="666" t="s">
        <v>80</v>
      </c>
      <c r="D593" s="666" t="s">
        <v>125</v>
      </c>
      <c r="E593" s="666" t="s">
        <v>216</v>
      </c>
      <c r="F593" s="666" t="s">
        <v>102</v>
      </c>
      <c r="G593" s="675"/>
      <c r="H593" s="643">
        <f>SUM(H580:H592)</f>
        <v>9061.7000000000007</v>
      </c>
      <c r="I593" s="681">
        <f>SUM(I580:I592)</f>
        <v>4279.82</v>
      </c>
      <c r="J593" s="681">
        <f>SUM(J580:J592)</f>
        <v>4684.28</v>
      </c>
      <c r="K593" s="643">
        <f>SUM(K580:K592)</f>
        <v>97.6</v>
      </c>
      <c r="L593" s="678"/>
      <c r="M593" s="678"/>
      <c r="N593" s="678"/>
      <c r="O593" s="678"/>
      <c r="P593" s="678"/>
    </row>
    <row r="594" spans="1:16" ht="52" x14ac:dyDescent="0.15">
      <c r="A594" s="692" t="str">
        <f>'[9]Новая роспись'!A623</f>
        <v>Субсидия на финансовое обеспечение государственного задания на оказание государственных услуг (выполнение работ)</v>
      </c>
      <c r="B594" s="666"/>
      <c r="C594" s="666"/>
      <c r="D594" s="666"/>
      <c r="E594" s="666"/>
      <c r="F594" s="692">
        <f>'[9]Новая роспись'!F623</f>
        <v>611</v>
      </c>
      <c r="G594" s="692" t="str">
        <f>'[9]Новая роспись'!G623</f>
        <v>241</v>
      </c>
      <c r="H594" s="645">
        <f>'[9]Новая роспись'!H623</f>
        <v>4781.880000000001</v>
      </c>
      <c r="I594" s="648">
        <f>[9]Финансирование!I594+[9]Финансирование!J594+[9]Финансирование!K594+[9]Финансирование!L594+[9]Финансирование!M594+[9]Финансирование!N594+[9]Финансирование!O594+[9]Финансирование!P594+[9]Финансирование!Q594+[9]Финансирование!T594+[9]Финансирование!U594+[9]Финансирование!V594+[9]Финансирование!W594+[9]Финансирование!X594+[9]Финансирование!Y594+[9]Финансирование!Z594</f>
        <v>4684.2800000000007</v>
      </c>
      <c r="J594" s="648"/>
      <c r="K594" s="648">
        <f>H594-I594</f>
        <v>97.600000000000364</v>
      </c>
      <c r="L594" s="678"/>
      <c r="M594" s="678"/>
      <c r="N594" s="678"/>
      <c r="O594" s="678"/>
      <c r="P594" s="678"/>
    </row>
    <row r="595" spans="1:16" x14ac:dyDescent="0.15">
      <c r="A595" s="78" t="s">
        <v>149</v>
      </c>
      <c r="B595" s="672"/>
      <c r="C595" s="672"/>
      <c r="D595" s="672"/>
      <c r="E595" s="672"/>
      <c r="F595" s="672"/>
      <c r="G595" s="649"/>
      <c r="H595" s="648"/>
      <c r="I595" s="648">
        <f>[9]Финансирование!I595+[9]Финансирование!J595+[9]Финансирование!K595+[9]Финансирование!L595+[9]Финансирование!M595+[9]Финансирование!N595+[9]Финансирование!O595+[9]Финансирование!P595+[9]Финансирование!Q595+[9]Финансирование!T595+[9]Финансирование!U595+[9]Финансирование!V595+[9]Финансирование!W595+[9]Финансирование!X595+[9]Финансирование!Y595+[9]Финансирование!Z595</f>
        <v>0</v>
      </c>
      <c r="J595" s="648"/>
      <c r="K595" s="648"/>
      <c r="L595" s="646"/>
      <c r="M595" s="646"/>
      <c r="N595" s="646"/>
      <c r="O595" s="646"/>
      <c r="P595" s="646"/>
    </row>
    <row r="596" spans="1:16" x14ac:dyDescent="0.15">
      <c r="A596" s="647" t="str">
        <f>[9]Роспись!A549</f>
        <v>Заработная плата</v>
      </c>
      <c r="B596" s="81" t="str">
        <f>[9]Роспись!B549</f>
        <v>056</v>
      </c>
      <c r="C596" s="81" t="str">
        <f>[9]Роспись!C549</f>
        <v>08</v>
      </c>
      <c r="D596" s="81" t="str">
        <f>[9]Роспись!D549</f>
        <v>01</v>
      </c>
      <c r="E596" s="81">
        <f>[9]Роспись!E549</f>
        <v>4439901</v>
      </c>
      <c r="F596" s="81" t="str">
        <f>[9]Роспись!F549</f>
        <v>001</v>
      </c>
      <c r="G596" s="81">
        <f>[9]Роспись!G549</f>
        <v>211</v>
      </c>
      <c r="H596" s="648">
        <f>[9]Роспись!H549</f>
        <v>6738.9</v>
      </c>
      <c r="I596" s="648">
        <f>[9]Финансирование!I596+[9]Финансирование!J596+[9]Финансирование!K596+[9]Финансирование!L596+[9]Финансирование!M596+[9]Финансирование!N596+[9]Финансирование!O596+[9]Финансирование!P596</f>
        <v>3107.51</v>
      </c>
      <c r="J596" s="648">
        <f>[9]Финансирование!Q596+[9]Финансирование!T596+[9]Финансирование!U596+[9]Финансирование!V596+[9]Финансирование!W596+[9]Финансирование!X596+[9]Финансирование!Y596+[9]Финансирование!Z596</f>
        <v>3631.3900000000003</v>
      </c>
      <c r="K596" s="648">
        <f>H596-I596-J596</f>
        <v>0</v>
      </c>
      <c r="L596" s="635">
        <v>3333.261</v>
      </c>
    </row>
    <row r="597" spans="1:16" x14ac:dyDescent="0.15">
      <c r="A597" s="647" t="str">
        <f>[9]Роспись!A550</f>
        <v xml:space="preserve">Прочие выплаты </v>
      </c>
      <c r="B597" s="81" t="str">
        <f>[9]Роспись!B550</f>
        <v>056</v>
      </c>
      <c r="C597" s="81" t="str">
        <f>[9]Роспись!C550</f>
        <v>08</v>
      </c>
      <c r="D597" s="81" t="str">
        <f>[9]Роспись!D550</f>
        <v>01</v>
      </c>
      <c r="E597" s="81">
        <f>[9]Роспись!E550</f>
        <v>4439901</v>
      </c>
      <c r="F597" s="81" t="str">
        <f>[9]Роспись!F550</f>
        <v>001</v>
      </c>
      <c r="G597" s="81">
        <f>[9]Роспись!G550</f>
        <v>212</v>
      </c>
      <c r="H597" s="648">
        <f>[9]Роспись!H550</f>
        <v>0</v>
      </c>
      <c r="I597" s="648">
        <f>[9]Финансирование!I597+[9]Финансирование!J597+[9]Финансирование!K597+[9]Финансирование!L597+[9]Финансирование!M597+[9]Финансирование!N597+[9]Финансирование!O597+[9]Финансирование!P597</f>
        <v>0</v>
      </c>
      <c r="J597" s="648">
        <f>[9]Финансирование!Q597+[9]Финансирование!T597+[9]Финансирование!U597+[9]Финансирование!V597+[9]Финансирование!W597+[9]Финансирование!X597+[9]Финансирование!Y597+[9]Финансирование!Z597</f>
        <v>0</v>
      </c>
      <c r="K597" s="648">
        <f t="shared" ref="K597:K608" si="47">H597-I597-J597</f>
        <v>0</v>
      </c>
    </row>
    <row r="598" spans="1:16" x14ac:dyDescent="0.15">
      <c r="A598" s="647" t="str">
        <f>[9]Роспись!A551</f>
        <v>Начисления на оплату труда</v>
      </c>
      <c r="B598" s="81" t="str">
        <f>[9]Роспись!B551</f>
        <v>056</v>
      </c>
      <c r="C598" s="81" t="str">
        <f>[9]Роспись!C551</f>
        <v>08</v>
      </c>
      <c r="D598" s="81" t="str">
        <f>[9]Роспись!D551</f>
        <v>01</v>
      </c>
      <c r="E598" s="81">
        <f>[9]Роспись!E551</f>
        <v>4439901</v>
      </c>
      <c r="F598" s="81" t="str">
        <f>[9]Роспись!F551</f>
        <v>001</v>
      </c>
      <c r="G598" s="81">
        <f>[9]Роспись!G551</f>
        <v>213</v>
      </c>
      <c r="H598" s="648">
        <f>[9]Роспись!H551</f>
        <v>2035.2</v>
      </c>
      <c r="I598" s="648">
        <f>[9]Финансирование!I598+[9]Финансирование!J598+[9]Финансирование!K598+[9]Финансирование!L598+[9]Финансирование!M598+[9]Финансирование!N598+[9]Финансирование!O598+[9]Финансирование!P598</f>
        <v>1005.58</v>
      </c>
      <c r="J598" s="648">
        <f>[9]Финансирование!Q598+[9]Финансирование!T598+[9]Финансирование!U598+[9]Финансирование!V598+[9]Финансирование!W598+[9]Финансирование!X598+[9]Финансирование!Y598+[9]Финансирование!Z598</f>
        <v>1029.6200000000001</v>
      </c>
      <c r="K598" s="648">
        <f t="shared" si="47"/>
        <v>0</v>
      </c>
      <c r="L598" s="635">
        <v>1026.5999999999999</v>
      </c>
    </row>
    <row r="599" spans="1:16" x14ac:dyDescent="0.15">
      <c r="A599" s="647" t="str">
        <f>[9]Роспись!A552</f>
        <v xml:space="preserve">Оплата услуг связи </v>
      </c>
      <c r="B599" s="81" t="str">
        <f>[9]Роспись!B552</f>
        <v>056</v>
      </c>
      <c r="C599" s="81" t="str">
        <f>[9]Роспись!C552</f>
        <v>08</v>
      </c>
      <c r="D599" s="81" t="str">
        <f>[9]Роспись!D552</f>
        <v>01</v>
      </c>
      <c r="E599" s="81">
        <f>[9]Роспись!E552</f>
        <v>4439901</v>
      </c>
      <c r="F599" s="81" t="str">
        <f>[9]Роспись!F552</f>
        <v>001</v>
      </c>
      <c r="G599" s="81">
        <f>[9]Роспись!G552</f>
        <v>221</v>
      </c>
      <c r="H599" s="648">
        <f>[9]Роспись!H552</f>
        <v>0</v>
      </c>
      <c r="I599" s="648">
        <f>[9]Финансирование!I599+[9]Финансирование!J599+[9]Финансирование!K599+[9]Финансирование!L599+[9]Финансирование!M599+[9]Финансирование!N599+[9]Финансирование!O599+[9]Финансирование!P599</f>
        <v>0</v>
      </c>
      <c r="J599" s="648">
        <f>[9]Финансирование!Q599+[9]Финансирование!T599+[9]Финансирование!U599+[9]Финансирование!V599+[9]Финансирование!W599+[9]Финансирование!X599+[9]Финансирование!Y599+[9]Финансирование!Z599</f>
        <v>0</v>
      </c>
      <c r="K599" s="648">
        <f t="shared" si="47"/>
        <v>0</v>
      </c>
    </row>
    <row r="600" spans="1:16" x14ac:dyDescent="0.15">
      <c r="A600" s="647" t="str">
        <f>[9]Роспись!A553</f>
        <v>Транспортные услуги</v>
      </c>
      <c r="B600" s="81" t="str">
        <f>[9]Роспись!B553</f>
        <v>056</v>
      </c>
      <c r="C600" s="81" t="str">
        <f>[9]Роспись!C553</f>
        <v>08</v>
      </c>
      <c r="D600" s="81" t="str">
        <f>[9]Роспись!D553</f>
        <v>01</v>
      </c>
      <c r="E600" s="81">
        <f>[9]Роспись!E553</f>
        <v>4439901</v>
      </c>
      <c r="F600" s="81" t="str">
        <f>[9]Роспись!F553</f>
        <v>001</v>
      </c>
      <c r="G600" s="81">
        <f>[9]Роспись!G553</f>
        <v>222</v>
      </c>
      <c r="H600" s="648">
        <f>[9]Роспись!H553</f>
        <v>0</v>
      </c>
      <c r="I600" s="648">
        <f>[9]Финансирование!I600+[9]Финансирование!J600+[9]Финансирование!K600+[9]Финансирование!L600+[9]Финансирование!M600+[9]Финансирование!N600+[9]Финансирование!O600+[9]Финансирование!P600</f>
        <v>0</v>
      </c>
      <c r="J600" s="648">
        <f>[9]Финансирование!Q600+[9]Финансирование!T600+[9]Финансирование!U600+[9]Финансирование!V600+[9]Финансирование!W600+[9]Финансирование!X600+[9]Финансирование!Y600+[9]Финансирование!Z600</f>
        <v>0</v>
      </c>
      <c r="K600" s="648">
        <f t="shared" si="47"/>
        <v>0</v>
      </c>
    </row>
    <row r="601" spans="1:16" x14ac:dyDescent="0.15">
      <c r="A601" s="647" t="str">
        <f>[9]Роспись!A554</f>
        <v>Коммунальные услуги</v>
      </c>
      <c r="B601" s="81" t="str">
        <f>[9]Роспись!B554</f>
        <v>056</v>
      </c>
      <c r="C601" s="81" t="str">
        <f>[9]Роспись!C554</f>
        <v>08</v>
      </c>
      <c r="D601" s="81" t="str">
        <f>[9]Роспись!D554</f>
        <v>01</v>
      </c>
      <c r="E601" s="81">
        <f>[9]Роспись!E554</f>
        <v>4439901</v>
      </c>
      <c r="F601" s="81" t="str">
        <f>[9]Роспись!F554</f>
        <v>001</v>
      </c>
      <c r="G601" s="81">
        <f>[9]Роспись!G554</f>
        <v>223</v>
      </c>
      <c r="H601" s="648">
        <f>[9]Роспись!H554</f>
        <v>172.2</v>
      </c>
      <c r="I601" s="648">
        <f>[9]Финансирование!I601+[9]Финансирование!J601+[9]Финансирование!K601+[9]Финансирование!L601+[9]Финансирование!M601+[9]Финансирование!N601+[9]Финансирование!O601+[9]Финансирование!P601</f>
        <v>60</v>
      </c>
      <c r="J601" s="648">
        <f>[9]Финансирование!Q601+[9]Финансирование!T601+[9]Финансирование!U601+[9]Финансирование!V601+[9]Финансирование!W601+[9]Финансирование!X601+[9]Финансирование!Y601+[9]Финансирование!Z601</f>
        <v>112.19999999999999</v>
      </c>
      <c r="K601" s="648">
        <f t="shared" si="47"/>
        <v>0</v>
      </c>
    </row>
    <row r="602" spans="1:16" x14ac:dyDescent="0.15">
      <c r="A602" s="647" t="str">
        <f>[9]Роспись!A555</f>
        <v>Арендная плата</v>
      </c>
      <c r="B602" s="81" t="str">
        <f>[9]Роспись!B555</f>
        <v>056</v>
      </c>
      <c r="C602" s="81" t="str">
        <f>[9]Роспись!C555</f>
        <v>08</v>
      </c>
      <c r="D602" s="81" t="str">
        <f>[9]Роспись!D555</f>
        <v>01</v>
      </c>
      <c r="E602" s="81">
        <f>[9]Роспись!E555</f>
        <v>4439901</v>
      </c>
      <c r="F602" s="81" t="str">
        <f>[9]Роспись!F555</f>
        <v>001</v>
      </c>
      <c r="G602" s="81">
        <f>[9]Роспись!G555</f>
        <v>224</v>
      </c>
      <c r="H602" s="648">
        <f>[9]Роспись!H555</f>
        <v>0</v>
      </c>
      <c r="I602" s="648">
        <f>[9]Финансирование!I602+[9]Финансирование!J602+[9]Финансирование!K602+[9]Финансирование!L602+[9]Финансирование!M602+[9]Финансирование!N602+[9]Финансирование!O602+[9]Финансирование!P602</f>
        <v>0</v>
      </c>
      <c r="J602" s="648">
        <f>[9]Финансирование!Q602+[9]Финансирование!T602+[9]Финансирование!U602+[9]Финансирование!V602+[9]Финансирование!W602+[9]Финансирование!X602+[9]Финансирование!Y602+[9]Финансирование!Z602</f>
        <v>0</v>
      </c>
      <c r="K602" s="648">
        <f t="shared" si="47"/>
        <v>0</v>
      </c>
    </row>
    <row r="603" spans="1:16" x14ac:dyDescent="0.15">
      <c r="A603" s="647" t="str">
        <f>[9]Роспись!A556</f>
        <v>Услуги по содерж. имущества</v>
      </c>
      <c r="B603" s="81" t="str">
        <f>[9]Роспись!B556</f>
        <v>056</v>
      </c>
      <c r="C603" s="81" t="str">
        <f>[9]Роспись!C556</f>
        <v>08</v>
      </c>
      <c r="D603" s="81" t="str">
        <f>[9]Роспись!D556</f>
        <v>01</v>
      </c>
      <c r="E603" s="81">
        <f>[9]Роспись!E556</f>
        <v>4439901</v>
      </c>
      <c r="F603" s="81" t="str">
        <f>[9]Роспись!F556</f>
        <v>001</v>
      </c>
      <c r="G603" s="81">
        <f>[9]Роспись!G556</f>
        <v>225</v>
      </c>
      <c r="H603" s="648">
        <f>[9]Роспись!H556</f>
        <v>80</v>
      </c>
      <c r="I603" s="648">
        <f>[9]Финансирование!I603+[9]Финансирование!J603+[9]Финансирование!K603+[9]Финансирование!L603+[9]Финансирование!M603+[9]Финансирование!N603+[9]Финансирование!O603+[9]Финансирование!P603</f>
        <v>20</v>
      </c>
      <c r="J603" s="648">
        <f>[9]Финансирование!Q603+[9]Финансирование!T603+[9]Финансирование!U603+[9]Финансирование!V603+[9]Финансирование!W603+[9]Финансирование!X603+[9]Финансирование!Y603+[9]Финансирование!Z603</f>
        <v>60</v>
      </c>
      <c r="K603" s="648">
        <f t="shared" si="47"/>
        <v>0</v>
      </c>
      <c r="L603" s="635">
        <v>0</v>
      </c>
    </row>
    <row r="604" spans="1:16" x14ac:dyDescent="0.15">
      <c r="A604" s="647" t="str">
        <f>[9]Роспись!A557</f>
        <v>Прочие услуги</v>
      </c>
      <c r="B604" s="81" t="str">
        <f>[9]Роспись!B557</f>
        <v>056</v>
      </c>
      <c r="C604" s="81" t="str">
        <f>[9]Роспись!C557</f>
        <v>08</v>
      </c>
      <c r="D604" s="81" t="str">
        <f>[9]Роспись!D557</f>
        <v>01</v>
      </c>
      <c r="E604" s="81">
        <f>[9]Роспись!E557</f>
        <v>4439901</v>
      </c>
      <c r="F604" s="81" t="str">
        <f>[9]Роспись!F557</f>
        <v>001</v>
      </c>
      <c r="G604" s="81">
        <f>[9]Роспись!G557</f>
        <v>226</v>
      </c>
      <c r="H604" s="648">
        <f>[9]Роспись!H557</f>
        <v>175</v>
      </c>
      <c r="I604" s="648">
        <f>[9]Финансирование!I604+[9]Финансирование!J604+[9]Финансирование!K604+[9]Финансирование!L604+[9]Финансирование!M604+[9]Финансирование!N604+[9]Финансирование!O604+[9]Финансирование!P604</f>
        <v>148.44</v>
      </c>
      <c r="J604" s="648">
        <f>[9]Финансирование!Q604+[9]Финансирование!T604+[9]Финансирование!U604+[9]Финансирование!V604+[9]Финансирование!W604+[9]Финансирование!X604+[9]Финансирование!Y604+[9]Финансирование!Z604</f>
        <v>26.559999999999988</v>
      </c>
      <c r="K604" s="648">
        <f t="shared" si="47"/>
        <v>0</v>
      </c>
      <c r="L604" s="635">
        <v>0</v>
      </c>
    </row>
    <row r="605" spans="1:16" x14ac:dyDescent="0.15">
      <c r="A605" s="647" t="str">
        <f>[9]Роспись!A558</f>
        <v xml:space="preserve">Прочие расходы </v>
      </c>
      <c r="B605" s="81" t="str">
        <f>[9]Роспись!B558</f>
        <v>056</v>
      </c>
      <c r="C605" s="81" t="str">
        <f>[9]Роспись!C558</f>
        <v>08</v>
      </c>
      <c r="D605" s="81" t="str">
        <f>[9]Роспись!D558</f>
        <v>01</v>
      </c>
      <c r="E605" s="81">
        <f>[9]Роспись!E558</f>
        <v>4439901</v>
      </c>
      <c r="F605" s="81" t="str">
        <f>[9]Роспись!F558</f>
        <v>001</v>
      </c>
      <c r="G605" s="81">
        <f>[9]Роспись!G558</f>
        <v>290</v>
      </c>
      <c r="H605" s="648">
        <f>[9]Роспись!H558</f>
        <v>11</v>
      </c>
      <c r="I605" s="648">
        <f>[9]Финансирование!I605+[9]Финансирование!J605+[9]Финансирование!K605+[9]Финансирование!L605+[9]Финансирование!M605+[9]Финансирование!N605+[9]Финансирование!O605+[9]Финансирование!P605</f>
        <v>5.6</v>
      </c>
      <c r="J605" s="648">
        <f>[9]Финансирование!Q605+[9]Финансирование!T605+[9]Финансирование!U605+[9]Финансирование!V605+[9]Финансирование!W605+[9]Финансирование!X605+[9]Финансирование!Y605+[9]Финансирование!Z605</f>
        <v>5.4</v>
      </c>
      <c r="K605" s="648">
        <f t="shared" si="47"/>
        <v>0</v>
      </c>
      <c r="L605" s="659"/>
      <c r="M605" s="659"/>
      <c r="N605" s="659"/>
      <c r="O605" s="659"/>
      <c r="P605" s="659"/>
    </row>
    <row r="606" spans="1:16" x14ac:dyDescent="0.15">
      <c r="A606" s="647" t="str">
        <f>[9]Роспись!A559</f>
        <v xml:space="preserve">Прочие расходы </v>
      </c>
      <c r="B606" s="81" t="str">
        <f>[9]Роспись!B559</f>
        <v>056</v>
      </c>
      <c r="C606" s="81" t="str">
        <f>[9]Роспись!C559</f>
        <v>08</v>
      </c>
      <c r="D606" s="81" t="str">
        <f>[9]Роспись!D559</f>
        <v>01</v>
      </c>
      <c r="E606" s="81" t="str">
        <f>[9]Роспись!E559</f>
        <v>4439500</v>
      </c>
      <c r="F606" s="81" t="str">
        <f>[9]Роспись!F559</f>
        <v>001</v>
      </c>
      <c r="G606" s="81" t="str">
        <f>[9]Роспись!G559</f>
        <v>290</v>
      </c>
      <c r="H606" s="648">
        <f>[9]Роспись!H559</f>
        <v>74.800000000000011</v>
      </c>
      <c r="I606" s="648">
        <f>[9]Финансирование!I606+[9]Финансирование!J606+[9]Финансирование!K606+[9]Финансирование!L606+[9]Финансирование!M606+[9]Финансирование!N606+[9]Финансирование!O606+[9]Финансирование!P606</f>
        <v>49.8</v>
      </c>
      <c r="J606" s="648">
        <f>[9]Финансирование!Q606+[9]Финансирование!T606+[9]Финансирование!U606+[9]Финансирование!V606+[9]Финансирование!W606+[9]Финансирование!X606+[9]Финансирование!Y606+[9]Финансирование!Z606</f>
        <v>25.000000000000014</v>
      </c>
      <c r="K606" s="648">
        <f t="shared" si="47"/>
        <v>0</v>
      </c>
      <c r="L606" s="659"/>
      <c r="M606" s="659"/>
      <c r="N606" s="659"/>
      <c r="O606" s="659"/>
      <c r="P606" s="659"/>
    </row>
    <row r="607" spans="1:16" x14ac:dyDescent="0.15">
      <c r="A607" s="647" t="str">
        <f>[9]Роспись!A560</f>
        <v>Увелич. стоимости осн. средств</v>
      </c>
      <c r="B607" s="81" t="str">
        <f>[9]Роспись!B560</f>
        <v>056</v>
      </c>
      <c r="C607" s="81" t="str">
        <f>[9]Роспись!C560</f>
        <v>08</v>
      </c>
      <c r="D607" s="81" t="str">
        <f>[9]Роспись!D560</f>
        <v>01</v>
      </c>
      <c r="E607" s="81">
        <f>[9]Роспись!E560</f>
        <v>4439901</v>
      </c>
      <c r="F607" s="81" t="str">
        <f>[9]Роспись!F560</f>
        <v>001</v>
      </c>
      <c r="G607" s="81">
        <f>[9]Роспись!G560</f>
        <v>310</v>
      </c>
      <c r="H607" s="648">
        <f>[9]Роспись!H560</f>
        <v>50</v>
      </c>
      <c r="I607" s="648">
        <f>[9]Финансирование!I607+[9]Финансирование!J607+[9]Финансирование!K607+[9]Финансирование!L607+[9]Финансирование!M607+[9]Финансирование!N607+[9]Финансирование!O607+[9]Финансирование!P607</f>
        <v>0</v>
      </c>
      <c r="J607" s="648">
        <f>[9]Финансирование!Q607+[9]Финансирование!T607+[9]Финансирование!U607+[9]Финансирование!V607+[9]Финансирование!W607+[9]Финансирование!X607+[9]Финансирование!Y607+[9]Финансирование!Z607</f>
        <v>50</v>
      </c>
      <c r="K607" s="648">
        <f t="shared" si="47"/>
        <v>0</v>
      </c>
    </row>
    <row r="608" spans="1:16" x14ac:dyDescent="0.15">
      <c r="A608" s="647" t="str">
        <f>[9]Роспись!A561</f>
        <v>Увелич. стоимости матер. запасов</v>
      </c>
      <c r="B608" s="81" t="str">
        <f>[9]Роспись!B561</f>
        <v>056</v>
      </c>
      <c r="C608" s="81" t="str">
        <f>[9]Роспись!C561</f>
        <v>08</v>
      </c>
      <c r="D608" s="81" t="str">
        <f>[9]Роспись!D561</f>
        <v>01</v>
      </c>
      <c r="E608" s="81">
        <f>[9]Роспись!E561</f>
        <v>4439901</v>
      </c>
      <c r="F608" s="81" t="str">
        <f>[9]Роспись!F561</f>
        <v>001</v>
      </c>
      <c r="G608" s="81">
        <f>[9]Роспись!G561</f>
        <v>340</v>
      </c>
      <c r="H608" s="648">
        <f>[9]Роспись!H561</f>
        <v>200</v>
      </c>
      <c r="I608" s="648">
        <f>[9]Финансирование!I608+[9]Финансирование!J608+[9]Финансирование!K608+[9]Финансирование!L608+[9]Финансирование!M608+[9]Финансирование!N608+[9]Финансирование!O608+[9]Финансирование!P608</f>
        <v>50</v>
      </c>
      <c r="J608" s="648">
        <f>[9]Финансирование!Q608+[9]Финансирование!T608+[9]Финансирование!U608+[9]Финансирование!V608+[9]Финансирование!W608+[9]Финансирование!X608+[9]Финансирование!Y608+[9]Финансирование!Z608</f>
        <v>5.33</v>
      </c>
      <c r="K608" s="648">
        <f t="shared" si="47"/>
        <v>144.66999999999999</v>
      </c>
    </row>
    <row r="609" spans="1:16" x14ac:dyDescent="0.15">
      <c r="A609" s="674" t="s">
        <v>98</v>
      </c>
      <c r="B609" s="666" t="s">
        <v>79</v>
      </c>
      <c r="C609" s="666" t="s">
        <v>80</v>
      </c>
      <c r="D609" s="666" t="s">
        <v>125</v>
      </c>
      <c r="E609" s="666" t="s">
        <v>216</v>
      </c>
      <c r="F609" s="666" t="s">
        <v>102</v>
      </c>
      <c r="G609" s="675"/>
      <c r="H609" s="643">
        <f>SUM(H596:H608)</f>
        <v>9537.1</v>
      </c>
      <c r="I609" s="681">
        <f>SUM(I596:I608)</f>
        <v>4446.93</v>
      </c>
      <c r="J609" s="681">
        <f>SUM(J596:J608)</f>
        <v>4945.5</v>
      </c>
      <c r="K609" s="643">
        <f>SUM(K596:K608)</f>
        <v>144.66999999999999</v>
      </c>
      <c r="L609" s="678"/>
      <c r="M609" s="678"/>
      <c r="N609" s="678"/>
      <c r="O609" s="678"/>
      <c r="P609" s="678"/>
    </row>
    <row r="610" spans="1:16" ht="52" x14ac:dyDescent="0.15">
      <c r="A610" s="692" t="str">
        <f>'[9]Новая роспись'!A640</f>
        <v>Субсидия на финансовое обеспечение государственного задания на оказание государственных услуг (выполнение работ)</v>
      </c>
      <c r="B610" s="666"/>
      <c r="C610" s="666"/>
      <c r="D610" s="666"/>
      <c r="E610" s="666"/>
      <c r="F610" s="728">
        <f>'[9]Новая роспись'!F640</f>
        <v>611</v>
      </c>
      <c r="G610" s="728" t="str">
        <f>'[9]Новая роспись'!G640</f>
        <v>241</v>
      </c>
      <c r="H610" s="645">
        <f>'[9]Новая роспись'!H640</f>
        <v>5090.17</v>
      </c>
      <c r="I610" s="648">
        <f>[9]Финансирование!I610+[9]Финансирование!J610+[9]Финансирование!K610+[9]Финансирование!L610+[9]Финансирование!M610+[9]Финансирование!N610+[9]Финансирование!O610+[9]Финансирование!P610+[9]Финансирование!Q610+[9]Финансирование!T610+[9]Финансирование!U610+[9]Финансирование!V610+[9]Финансирование!W610+[9]Финансирование!X610+[9]Финансирование!Y610+[9]Финансирование!Z610</f>
        <v>4945.5</v>
      </c>
      <c r="J610" s="648"/>
      <c r="K610" s="648">
        <f>H610-I610</f>
        <v>144.67000000000007</v>
      </c>
      <c r="L610" s="678"/>
      <c r="M610" s="678"/>
      <c r="N610" s="678"/>
      <c r="O610" s="678"/>
      <c r="P610" s="678"/>
    </row>
    <row r="611" spans="1:16" x14ac:dyDescent="0.15">
      <c r="A611" s="704" t="s">
        <v>150</v>
      </c>
      <c r="B611" s="683"/>
      <c r="C611" s="683"/>
      <c r="D611" s="683"/>
      <c r="E611" s="683"/>
      <c r="F611" s="683"/>
      <c r="G611" s="684"/>
      <c r="H611" s="648"/>
      <c r="I611" s="685">
        <f>[9]Финансирование!I611+[9]Финансирование!J611+[9]Финансирование!K611+[9]Финансирование!L611+[9]Финансирование!M611+[9]Финансирование!N611+[9]Финансирование!O611+[9]Финансирование!P611+[9]Финансирование!Q611+[9]Финансирование!T611+[9]Финансирование!U611+[9]Финансирование!V611+[9]Финансирование!W611+[9]Финансирование!X611+[9]Финансирование!Y611+[9]Финансирование!Z611</f>
        <v>0</v>
      </c>
      <c r="J611" s="685"/>
      <c r="K611" s="685"/>
      <c r="L611" s="646"/>
      <c r="M611" s="646"/>
      <c r="N611" s="646"/>
      <c r="O611" s="646"/>
      <c r="P611" s="646"/>
    </row>
    <row r="612" spans="1:16" x14ac:dyDescent="0.15">
      <c r="A612" s="686" t="str">
        <f>[9]Роспись!A564</f>
        <v>Заработная плата</v>
      </c>
      <c r="B612" s="687" t="str">
        <f>[9]Роспись!B564</f>
        <v>056</v>
      </c>
      <c r="C612" s="687" t="str">
        <f>[9]Роспись!C564</f>
        <v>08</v>
      </c>
      <c r="D612" s="687" t="str">
        <f>[9]Роспись!D564</f>
        <v>01</v>
      </c>
      <c r="E612" s="687">
        <f>[9]Роспись!E564</f>
        <v>4439901</v>
      </c>
      <c r="F612" s="687" t="str">
        <f>[9]Роспись!F564</f>
        <v>001</v>
      </c>
      <c r="G612" s="687">
        <f>[9]Роспись!G564</f>
        <v>211</v>
      </c>
      <c r="H612" s="648">
        <f>[9]Роспись!H564</f>
        <v>22948.343000000001</v>
      </c>
      <c r="I612" s="685">
        <f>[9]Финансирование!I612+[9]Финансирование!J612+[9]Финансирование!K612+[9]Финансирование!L612+[9]Финансирование!M612+[9]Финансирование!N612+[9]Финансирование!O612+[9]Финансирование!P612</f>
        <v>10582.36</v>
      </c>
      <c r="J612" s="685">
        <f>[9]Финансирование!Q612+[9]Финансирование!T612+[9]Финансирование!U612+[9]Финансирование!V612+[9]Финансирование!W612+[9]Финансирование!X612+[9]Финансирование!Y612+[9]Финансирование!Z612</f>
        <v>12365.982999999997</v>
      </c>
      <c r="K612" s="685">
        <f>H612-I612-J612</f>
        <v>0</v>
      </c>
    </row>
    <row r="613" spans="1:16" x14ac:dyDescent="0.15">
      <c r="A613" s="686" t="str">
        <f>[9]Роспись!A565</f>
        <v xml:space="preserve">Прочие выплаты </v>
      </c>
      <c r="B613" s="687" t="str">
        <f>[9]Роспись!B565</f>
        <v>056</v>
      </c>
      <c r="C613" s="687" t="str">
        <f>[9]Роспись!C565</f>
        <v>08</v>
      </c>
      <c r="D613" s="687" t="str">
        <f>[9]Роспись!D565</f>
        <v>01</v>
      </c>
      <c r="E613" s="687">
        <f>[9]Роспись!E565</f>
        <v>4439901</v>
      </c>
      <c r="F613" s="687" t="str">
        <f>[9]Роспись!F565</f>
        <v>001</v>
      </c>
      <c r="G613" s="687">
        <f>[9]Роспись!G565</f>
        <v>212</v>
      </c>
      <c r="H613" s="648">
        <f>[9]Роспись!H565</f>
        <v>6.6</v>
      </c>
      <c r="I613" s="685">
        <f>[9]Финансирование!I613+[9]Финансирование!J613+[9]Финансирование!K613+[9]Финансирование!L613+[9]Финансирование!M613+[9]Финансирование!N613+[9]Финансирование!O613+[9]Финансирование!P613</f>
        <v>0</v>
      </c>
      <c r="J613" s="685">
        <f>[9]Финансирование!Q613+[9]Финансирование!T613+[9]Финансирование!U613+[9]Финансирование!V613+[9]Финансирование!W613+[9]Финансирование!X613+[9]Финансирование!Y613+[9]Финансирование!Z613</f>
        <v>6.6</v>
      </c>
      <c r="K613" s="685">
        <f t="shared" ref="K613:K624" si="48">H613-I613-J613</f>
        <v>0</v>
      </c>
    </row>
    <row r="614" spans="1:16" x14ac:dyDescent="0.15">
      <c r="A614" s="686" t="str">
        <f>[9]Роспись!A566</f>
        <v>Начисления на оплату труда</v>
      </c>
      <c r="B614" s="687" t="str">
        <f>[9]Роспись!B566</f>
        <v>056</v>
      </c>
      <c r="C614" s="687" t="str">
        <f>[9]Роспись!C566</f>
        <v>08</v>
      </c>
      <c r="D614" s="687" t="str">
        <f>[9]Роспись!D566</f>
        <v>01</v>
      </c>
      <c r="E614" s="687">
        <f>[9]Роспись!E566</f>
        <v>4439901</v>
      </c>
      <c r="F614" s="687" t="str">
        <f>[9]Роспись!F566</f>
        <v>001</v>
      </c>
      <c r="G614" s="687">
        <f>[9]Роспись!G566</f>
        <v>213</v>
      </c>
      <c r="H614" s="648">
        <f>[9]Роспись!H566</f>
        <v>6930.857</v>
      </c>
      <c r="I614" s="685">
        <f>[9]Финансирование!I614+[9]Финансирование!J614+[9]Финансирование!K614+[9]Финансирование!L614+[9]Финансирование!M614+[9]Финансирование!N614+[9]Финансирование!O614+[9]Финансирование!P614</f>
        <v>3424.2</v>
      </c>
      <c r="J614" s="685">
        <f>[9]Финансирование!Q614+[9]Финансирование!T614+[9]Финансирование!U614+[9]Финансирование!V614+[9]Финансирование!W614+[9]Финансирование!X614+[9]Финансирование!Y614+[9]Финансирование!Z614</f>
        <v>3506.6570000000002</v>
      </c>
      <c r="K614" s="685">
        <f t="shared" si="48"/>
        <v>0</v>
      </c>
    </row>
    <row r="615" spans="1:16" ht="15" thickBot="1" x14ac:dyDescent="0.2">
      <c r="A615" s="686" t="str">
        <f>[9]Роспись!A567</f>
        <v xml:space="preserve">Оплата услуг связи </v>
      </c>
      <c r="B615" s="687" t="str">
        <f>[9]Роспись!B567</f>
        <v>056</v>
      </c>
      <c r="C615" s="687" t="str">
        <f>[9]Роспись!C567</f>
        <v>08</v>
      </c>
      <c r="D615" s="687" t="str">
        <f>[9]Роспись!D567</f>
        <v>01</v>
      </c>
      <c r="E615" s="687">
        <f>[9]Роспись!E567</f>
        <v>4439901</v>
      </c>
      <c r="F615" s="687" t="str">
        <f>[9]Роспись!F567</f>
        <v>001</v>
      </c>
      <c r="G615" s="687">
        <f>[9]Роспись!G567</f>
        <v>221</v>
      </c>
      <c r="H615" s="648">
        <f>[9]Роспись!H567</f>
        <v>0</v>
      </c>
      <c r="I615" s="685">
        <f>[9]Финансирование!I615+[9]Финансирование!J615+[9]Финансирование!K615+[9]Финансирование!L615+[9]Финансирование!M615+[9]Финансирование!N615+[9]Финансирование!O615+[9]Финансирование!P615</f>
        <v>0</v>
      </c>
      <c r="J615" s="685">
        <f>[9]Финансирование!Q615+[9]Финансирование!T615+[9]Финансирование!U615+[9]Финансирование!V615+[9]Финансирование!W615+[9]Финансирование!X615+[9]Финансирование!Y615+[9]Финансирование!Z615</f>
        <v>0</v>
      </c>
      <c r="K615" s="685">
        <f t="shared" si="48"/>
        <v>0</v>
      </c>
    </row>
    <row r="616" spans="1:16" ht="15" thickBot="1" x14ac:dyDescent="0.2">
      <c r="A616" s="686" t="str">
        <f>[9]Роспись!A568</f>
        <v>Транспортные услуги</v>
      </c>
      <c r="B616" s="687" t="str">
        <f>[9]Роспись!B568</f>
        <v>056</v>
      </c>
      <c r="C616" s="687" t="str">
        <f>[9]Роспись!C568</f>
        <v>08</v>
      </c>
      <c r="D616" s="687" t="str">
        <f>[9]Роспись!D568</f>
        <v>01</v>
      </c>
      <c r="E616" s="687">
        <f>[9]Роспись!E568</f>
        <v>4439901</v>
      </c>
      <c r="F616" s="687" t="str">
        <f>[9]Роспись!F568</f>
        <v>001</v>
      </c>
      <c r="G616" s="687">
        <f>[9]Роспись!G568</f>
        <v>222</v>
      </c>
      <c r="H616" s="648">
        <f>[9]Роспись!H568</f>
        <v>293.61899999999997</v>
      </c>
      <c r="I616" s="685">
        <f>[9]Финансирование!I616+[9]Финансирование!J616+[9]Финансирование!K616+[9]Финансирование!L616+[9]Финансирование!M616+[9]Финансирование!N616+[9]Финансирование!O616+[9]Финансирование!P616</f>
        <v>0</v>
      </c>
      <c r="J616" s="685">
        <f>[9]Финансирование!Q616+[9]Финансирование!T616+[9]Финансирование!U616+[9]Финансирование!V616+[9]Финансирование!W616+[9]Финансирование!X616+[9]Финансирование!Y616+[9]Финансирование!Z616</f>
        <v>293.61899999999997</v>
      </c>
      <c r="K616" s="685">
        <f t="shared" si="48"/>
        <v>0</v>
      </c>
      <c r="L616" s="635">
        <v>0</v>
      </c>
      <c r="N616" s="679">
        <v>212</v>
      </c>
      <c r="O616" s="720">
        <v>6.6</v>
      </c>
      <c r="P616" s="720">
        <v>6.6</v>
      </c>
    </row>
    <row r="617" spans="1:16" ht="15" thickBot="1" x14ac:dyDescent="0.2">
      <c r="A617" s="686" t="str">
        <f>[9]Роспись!A569</f>
        <v>Коммунальные услуги</v>
      </c>
      <c r="B617" s="687" t="str">
        <f>[9]Роспись!B569</f>
        <v>056</v>
      </c>
      <c r="C617" s="687" t="str">
        <f>[9]Роспись!C569</f>
        <v>08</v>
      </c>
      <c r="D617" s="687" t="str">
        <f>[9]Роспись!D569</f>
        <v>01</v>
      </c>
      <c r="E617" s="687">
        <f>[9]Роспись!E569</f>
        <v>4439901</v>
      </c>
      <c r="F617" s="687" t="str">
        <f>[9]Роспись!F569</f>
        <v>001</v>
      </c>
      <c r="G617" s="687">
        <f>[9]Роспись!G569</f>
        <v>223</v>
      </c>
      <c r="H617" s="648">
        <f>[9]Роспись!H569</f>
        <v>367</v>
      </c>
      <c r="I617" s="685">
        <f>[9]Финансирование!I617+[9]Финансирование!J617+[9]Финансирование!K617+[9]Финансирование!L617+[9]Финансирование!M617+[9]Финансирование!N617+[9]Финансирование!O617+[9]Финансирование!P617</f>
        <v>156.55000000000001</v>
      </c>
      <c r="J617" s="685">
        <f>[9]Финансирование!Q617+[9]Финансирование!T617+[9]Финансирование!U617+[9]Финансирование!V617+[9]Финансирование!W617+[9]Финансирование!X617+[9]Финансирование!Y617+[9]Финансирование!Z617</f>
        <v>210.45</v>
      </c>
      <c r="K617" s="685">
        <f t="shared" si="48"/>
        <v>0</v>
      </c>
      <c r="L617" s="635">
        <v>88.1</v>
      </c>
      <c r="N617" s="680">
        <v>222</v>
      </c>
      <c r="O617" s="729">
        <v>293.61900000000003</v>
      </c>
      <c r="P617" s="729">
        <v>293.61900000000003</v>
      </c>
    </row>
    <row r="618" spans="1:16" ht="15" thickBot="1" x14ac:dyDescent="0.2">
      <c r="A618" s="686" t="str">
        <f>[9]Роспись!A570</f>
        <v>Арендная плата</v>
      </c>
      <c r="B618" s="687" t="str">
        <f>[9]Роспись!B570</f>
        <v>056</v>
      </c>
      <c r="C618" s="687" t="str">
        <f>[9]Роспись!C570</f>
        <v>08</v>
      </c>
      <c r="D618" s="687" t="str">
        <f>[9]Роспись!D570</f>
        <v>01</v>
      </c>
      <c r="E618" s="687">
        <f>[9]Роспись!E570</f>
        <v>4439901</v>
      </c>
      <c r="F618" s="687" t="str">
        <f>[9]Роспись!F570</f>
        <v>001</v>
      </c>
      <c r="G618" s="687">
        <f>[9]Роспись!G570</f>
        <v>224</v>
      </c>
      <c r="H618" s="648">
        <f>[9]Роспись!H570</f>
        <v>0</v>
      </c>
      <c r="I618" s="685">
        <f>[9]Финансирование!I618+[9]Финансирование!J618+[9]Финансирование!K618+[9]Финансирование!L618+[9]Финансирование!M618+[9]Финансирование!N618+[9]Финансирование!O618+[9]Финансирование!P618</f>
        <v>0</v>
      </c>
      <c r="J618" s="685">
        <f>[9]Финансирование!Q618+[9]Финансирование!T618+[9]Финансирование!U618+[9]Финансирование!V618+[9]Финансирование!W618+[9]Финансирование!X618+[9]Финансирование!Y618+[9]Финансирование!Z618</f>
        <v>0</v>
      </c>
      <c r="K618" s="685">
        <f t="shared" si="48"/>
        <v>0</v>
      </c>
      <c r="N618" s="680">
        <v>226</v>
      </c>
      <c r="O618" s="729">
        <v>520.26</v>
      </c>
      <c r="P618" s="729">
        <v>520.26</v>
      </c>
    </row>
    <row r="619" spans="1:16" x14ac:dyDescent="0.15">
      <c r="A619" s="686" t="str">
        <f>[9]Роспись!A571</f>
        <v>Услуги по содерж. имущества</v>
      </c>
      <c r="B619" s="687" t="str">
        <f>[9]Роспись!B571</f>
        <v>056</v>
      </c>
      <c r="C619" s="687" t="str">
        <f>[9]Роспись!C571</f>
        <v>08</v>
      </c>
      <c r="D619" s="687" t="str">
        <f>[9]Роспись!D571</f>
        <v>01</v>
      </c>
      <c r="E619" s="687">
        <f>[9]Роспись!E571</f>
        <v>4439901</v>
      </c>
      <c r="F619" s="687" t="str">
        <f>[9]Роспись!F571</f>
        <v>001</v>
      </c>
      <c r="G619" s="687">
        <f>[9]Роспись!G571</f>
        <v>225</v>
      </c>
      <c r="H619" s="648">
        <f>[9]Роспись!H571</f>
        <v>10</v>
      </c>
      <c r="I619" s="685">
        <f>[9]Финансирование!I619+[9]Финансирование!J619+[9]Финансирование!K619+[9]Финансирование!L619+[9]Финансирование!M619+[9]Финансирование!N619+[9]Финансирование!O619+[9]Финансирование!P619</f>
        <v>2.5</v>
      </c>
      <c r="J619" s="685">
        <f>[9]Финансирование!Q619+[9]Финансирование!T619+[9]Финансирование!U619+[9]Финансирование!V619+[9]Финансирование!W619+[9]Финансирование!X619+[9]Финансирование!Y619+[9]Финансирование!Z619</f>
        <v>7.5</v>
      </c>
      <c r="K619" s="685">
        <f t="shared" si="48"/>
        <v>0</v>
      </c>
      <c r="L619" s="635">
        <v>0</v>
      </c>
    </row>
    <row r="620" spans="1:16" x14ac:dyDescent="0.15">
      <c r="A620" s="686" t="str">
        <f>[9]Роспись!A572</f>
        <v>Прочие услуги</v>
      </c>
      <c r="B620" s="687" t="str">
        <f>[9]Роспись!B572</f>
        <v>056</v>
      </c>
      <c r="C620" s="687" t="str">
        <f>[9]Роспись!C572</f>
        <v>08</v>
      </c>
      <c r="D620" s="687" t="str">
        <f>[9]Роспись!D572</f>
        <v>01</v>
      </c>
      <c r="E620" s="687">
        <f>[9]Роспись!E572</f>
        <v>4439901</v>
      </c>
      <c r="F620" s="687" t="str">
        <f>[9]Роспись!F572</f>
        <v>001</v>
      </c>
      <c r="G620" s="687">
        <f>[9]Роспись!G572</f>
        <v>226</v>
      </c>
      <c r="H620" s="648">
        <f>[9]Роспись!H572</f>
        <v>3487.0600000000009</v>
      </c>
      <c r="I620" s="685">
        <f>[9]Финансирование!I620+[9]Финансирование!J620+[9]Финансирование!K620+[9]Финансирование!L620+[9]Финансирование!M620+[9]Финансирование!N620+[9]Финансирование!O620+[9]Финансирование!P620</f>
        <v>415</v>
      </c>
      <c r="J620" s="685">
        <f>[9]Финансирование!Q620+[9]Финансирование!T620+[9]Финансирование!U620+[9]Финансирование!V620+[9]Финансирование!W620+[9]Финансирование!X620+[9]Финансирование!Y620+[9]Финансирование!Z620</f>
        <v>1072.06</v>
      </c>
      <c r="K620" s="685">
        <f t="shared" si="48"/>
        <v>2000.0000000000009</v>
      </c>
      <c r="L620" s="659">
        <v>551.79999999999995</v>
      </c>
      <c r="M620" s="658">
        <f>J620-O618</f>
        <v>551.79999999999995</v>
      </c>
    </row>
    <row r="621" spans="1:16" x14ac:dyDescent="0.15">
      <c r="A621" s="686" t="str">
        <f>[9]Роспись!A573</f>
        <v xml:space="preserve">Прочие расходы </v>
      </c>
      <c r="B621" s="687" t="str">
        <f>[9]Роспись!B573</f>
        <v>056</v>
      </c>
      <c r="C621" s="687" t="str">
        <f>[9]Роспись!C573</f>
        <v>08</v>
      </c>
      <c r="D621" s="687" t="str">
        <f>[9]Роспись!D573</f>
        <v>01</v>
      </c>
      <c r="E621" s="687">
        <f>[9]Роспись!E573</f>
        <v>4439901</v>
      </c>
      <c r="F621" s="687" t="str">
        <f>[9]Роспись!F573</f>
        <v>001</v>
      </c>
      <c r="G621" s="687">
        <f>[9]Роспись!G573</f>
        <v>290</v>
      </c>
      <c r="H621" s="648">
        <f>[9]Роспись!H573</f>
        <v>34.200000000000003</v>
      </c>
      <c r="I621" s="685">
        <f>[9]Финансирование!I621+[9]Финансирование!J621+[9]Финансирование!K621+[9]Финансирование!L621+[9]Финансирование!M621+[9]Финансирование!N621+[9]Финансирование!O621+[9]Финансирование!P621</f>
        <v>17.2</v>
      </c>
      <c r="J621" s="685">
        <f>[9]Финансирование!Q621+[9]Финансирование!T621+[9]Финансирование!U621+[9]Финансирование!V621+[9]Финансирование!W621+[9]Финансирование!X621+[9]Финансирование!Y621+[9]Финансирование!Z621</f>
        <v>17.000000000000004</v>
      </c>
      <c r="K621" s="685">
        <f t="shared" si="48"/>
        <v>0</v>
      </c>
    </row>
    <row r="622" spans="1:16" x14ac:dyDescent="0.15">
      <c r="A622" s="686" t="str">
        <f>[9]Роспись!A574</f>
        <v xml:space="preserve">Прочие расходы </v>
      </c>
      <c r="B622" s="687" t="str">
        <f>[9]Роспись!B574</f>
        <v>056</v>
      </c>
      <c r="C622" s="687" t="str">
        <f>[9]Роспись!C574</f>
        <v>08</v>
      </c>
      <c r="D622" s="687" t="str">
        <f>[9]Роспись!D574</f>
        <v>01</v>
      </c>
      <c r="E622" s="687" t="str">
        <f>[9]Роспись!E574</f>
        <v>4439500</v>
      </c>
      <c r="F622" s="687" t="str">
        <f>[9]Роспись!F574</f>
        <v>001</v>
      </c>
      <c r="G622" s="687" t="str">
        <f>[9]Роспись!G574</f>
        <v>290</v>
      </c>
      <c r="H622" s="648">
        <f>[9]Роспись!H574</f>
        <v>519.32099999999991</v>
      </c>
      <c r="I622" s="685">
        <f>[9]Финансирование!I622+[9]Финансирование!J622+[9]Финансирование!K622+[9]Финансирование!L622+[9]Финансирование!M622+[9]Финансирование!N622+[9]Финансирование!O622+[9]Финансирование!P622</f>
        <v>403.4</v>
      </c>
      <c r="J622" s="685">
        <f>[9]Финансирование!Q622+[9]Финансирование!T622+[9]Финансирование!U622+[9]Финансирование!V622+[9]Финансирование!W622+[9]Финансирование!X622+[9]Финансирование!Y622+[9]Финансирование!Z622</f>
        <v>115.92099999999999</v>
      </c>
      <c r="K622" s="685">
        <f t="shared" si="48"/>
        <v>0</v>
      </c>
    </row>
    <row r="623" spans="1:16" x14ac:dyDescent="0.15">
      <c r="A623" s="686" t="str">
        <f>[9]Роспись!A575</f>
        <v>Увелич. стоимости осн. средств</v>
      </c>
      <c r="B623" s="687" t="str">
        <f>[9]Роспись!B575</f>
        <v>056</v>
      </c>
      <c r="C623" s="687" t="str">
        <f>[9]Роспись!C575</f>
        <v>08</v>
      </c>
      <c r="D623" s="687" t="str">
        <f>[9]Роспись!D575</f>
        <v>01</v>
      </c>
      <c r="E623" s="687">
        <f>[9]Роспись!E575</f>
        <v>4439901</v>
      </c>
      <c r="F623" s="687" t="str">
        <f>[9]Роспись!F575</f>
        <v>001</v>
      </c>
      <c r="G623" s="687">
        <f>[9]Роспись!G575</f>
        <v>310</v>
      </c>
      <c r="H623" s="648">
        <f>[9]Роспись!H575</f>
        <v>9042.4789999999994</v>
      </c>
      <c r="I623" s="685">
        <f>[9]Финансирование!I623+[9]Финансирование!J623+[9]Финансирование!K623+[9]Финансирование!L623+[9]Финансирование!M623+[9]Финансирование!N623+[9]Финансирование!O623+[9]Финансирование!P623</f>
        <v>0</v>
      </c>
      <c r="J623" s="685">
        <f>[9]Финансирование!Q623+[9]Финансирование!T623+[9]Финансирование!U623+[9]Финансирование!V623+[9]Финансирование!W623+[9]Финансирование!X623+[9]Финансирование!Y623+[9]Финансирование!Z623</f>
        <v>4042.4789999999998</v>
      </c>
      <c r="K623" s="685">
        <f t="shared" si="48"/>
        <v>5000</v>
      </c>
    </row>
    <row r="624" spans="1:16" x14ac:dyDescent="0.15">
      <c r="A624" s="686" t="str">
        <f>[9]Роспись!A576</f>
        <v>Увелич. стоимости матер. запасов</v>
      </c>
      <c r="B624" s="687" t="str">
        <f>[9]Роспись!B576</f>
        <v>056</v>
      </c>
      <c r="C624" s="687" t="str">
        <f>[9]Роспись!C576</f>
        <v>08</v>
      </c>
      <c r="D624" s="687" t="str">
        <f>[9]Роспись!D576</f>
        <v>01</v>
      </c>
      <c r="E624" s="687">
        <f>[9]Роспись!E576</f>
        <v>4439901</v>
      </c>
      <c r="F624" s="687" t="str">
        <f>[9]Роспись!F576</f>
        <v>001</v>
      </c>
      <c r="G624" s="687">
        <f>[9]Роспись!G576</f>
        <v>340</v>
      </c>
      <c r="H624" s="648">
        <f>[9]Роспись!H576</f>
        <v>90</v>
      </c>
      <c r="I624" s="685">
        <f>[9]Финансирование!I624+[9]Финансирование!J624+[9]Финансирование!K624+[9]Финансирование!L624+[9]Финансирование!M624+[9]Финансирование!N624+[9]Финансирование!O624+[9]Финансирование!P624</f>
        <v>26.03</v>
      </c>
      <c r="J624" s="685">
        <f>[9]Финансирование!Q624+[9]Финансирование!T624+[9]Финансирование!U624+[9]Финансирование!V624+[9]Финансирование!W624+[9]Финансирование!X624+[9]Финансирование!Y624+[9]Финансирование!Z624</f>
        <v>63.97</v>
      </c>
      <c r="K624" s="685">
        <f t="shared" si="48"/>
        <v>0</v>
      </c>
    </row>
    <row r="625" spans="1:16" x14ac:dyDescent="0.15">
      <c r="A625" s="704" t="s">
        <v>98</v>
      </c>
      <c r="B625" s="689" t="s">
        <v>79</v>
      </c>
      <c r="C625" s="689" t="s">
        <v>80</v>
      </c>
      <c r="D625" s="689" t="s">
        <v>125</v>
      </c>
      <c r="E625" s="689" t="s">
        <v>216</v>
      </c>
      <c r="F625" s="689" t="s">
        <v>102</v>
      </c>
      <c r="G625" s="705"/>
      <c r="H625" s="643">
        <f>SUM(H612:H624)</f>
        <v>43729.478999999999</v>
      </c>
      <c r="I625" s="676">
        <f>SUM(I612:I624)</f>
        <v>15027.240000000002</v>
      </c>
      <c r="J625" s="676">
        <f>SUM(J612:J624)</f>
        <v>21702.239000000001</v>
      </c>
      <c r="K625" s="651">
        <f>SUM(K612:K624)</f>
        <v>7000.0000000000009</v>
      </c>
      <c r="L625" s="678">
        <v>21702.239000000001</v>
      </c>
      <c r="M625" s="678">
        <v>43729.478999999999</v>
      </c>
      <c r="N625" s="678">
        <v>15027.24</v>
      </c>
      <c r="O625" s="678"/>
      <c r="P625" s="678"/>
    </row>
    <row r="626" spans="1:16" ht="52" x14ac:dyDescent="0.15">
      <c r="A626" s="730" t="str">
        <f>'[9]Новая роспись'!A657</f>
        <v>Субсидия на финансовое обеспечение государственного задания на оказание государственных услуг (выполнение работ)</v>
      </c>
      <c r="B626" s="689"/>
      <c r="C626" s="689"/>
      <c r="D626" s="689"/>
      <c r="E626" s="689"/>
      <c r="F626" s="730">
        <f>'[9]Новая роспись'!F657</f>
        <v>611</v>
      </c>
      <c r="G626" s="730" t="str">
        <f>'[9]Новая роспись'!G657</f>
        <v>241</v>
      </c>
      <c r="H626" s="645">
        <f>'[9]Новая роспись'!H657</f>
        <v>16881.759999999998</v>
      </c>
      <c r="I626" s="685">
        <f>J625-I627</f>
        <v>16881.760000000002</v>
      </c>
      <c r="J626" s="685"/>
      <c r="K626" s="685">
        <f>H626-I626</f>
        <v>0</v>
      </c>
      <c r="L626" s="678"/>
      <c r="M626" s="678"/>
      <c r="N626" s="678"/>
      <c r="O626" s="678"/>
      <c r="P626" s="678"/>
    </row>
    <row r="627" spans="1:16" x14ac:dyDescent="0.15">
      <c r="A627" s="730" t="str">
        <f>'[9]Новая роспись'!A658</f>
        <v>Субсидии на иные цели</v>
      </c>
      <c r="B627" s="689"/>
      <c r="C627" s="689"/>
      <c r="D627" s="689"/>
      <c r="E627" s="689"/>
      <c r="F627" s="730">
        <f>'[9]Новая роспись'!F658</f>
        <v>612</v>
      </c>
      <c r="G627" s="730" t="str">
        <f>'[9]Новая роспись'!G658</f>
        <v>241</v>
      </c>
      <c r="H627" s="645">
        <f>'[9]Новая роспись'!H658</f>
        <v>11820.478999999999</v>
      </c>
      <c r="I627" s="685">
        <v>4820.4790000000003</v>
      </c>
      <c r="J627" s="685"/>
      <c r="K627" s="685">
        <f>H627-I627</f>
        <v>6999.9999999999991</v>
      </c>
      <c r="L627" s="678"/>
      <c r="M627" s="678"/>
      <c r="N627" s="678"/>
      <c r="O627" s="678"/>
      <c r="P627" s="678"/>
    </row>
    <row r="628" spans="1:16" x14ac:dyDescent="0.15">
      <c r="A628" s="682" t="s">
        <v>151</v>
      </c>
      <c r="B628" s="683"/>
      <c r="C628" s="683"/>
      <c r="D628" s="683"/>
      <c r="E628" s="683"/>
      <c r="F628" s="683"/>
      <c r="G628" s="684"/>
      <c r="H628" s="648"/>
      <c r="I628" s="685">
        <f>[9]Финансирование!I628+[9]Финансирование!J628+[9]Финансирование!K628+[9]Финансирование!L628+[9]Финансирование!M628+[9]Финансирование!N628+[9]Финансирование!O628+[9]Финансирование!P628+[9]Финансирование!Q628+[9]Финансирование!T628+[9]Финансирование!U628+[9]Финансирование!V628+[9]Финансирование!W628+[9]Финансирование!X628+[9]Финансирование!Y628+[9]Финансирование!Z628</f>
        <v>0</v>
      </c>
      <c r="J628" s="685"/>
      <c r="K628" s="685"/>
      <c r="L628" s="646"/>
      <c r="M628" s="646"/>
      <c r="N628" s="646"/>
      <c r="O628" s="646"/>
      <c r="P628" s="646"/>
    </row>
    <row r="629" spans="1:16" x14ac:dyDescent="0.15">
      <c r="A629" s="686" t="str">
        <f>[9]Роспись!A579</f>
        <v>Заработная плата</v>
      </c>
      <c r="B629" s="687" t="str">
        <f>[9]Роспись!B579</f>
        <v>056</v>
      </c>
      <c r="C629" s="687" t="str">
        <f>[9]Роспись!C579</f>
        <v>08</v>
      </c>
      <c r="D629" s="687" t="str">
        <f>[9]Роспись!D579</f>
        <v>01</v>
      </c>
      <c r="E629" s="687">
        <f>[9]Роспись!E579</f>
        <v>4439901</v>
      </c>
      <c r="F629" s="687" t="str">
        <f>[9]Роспись!F579</f>
        <v>001</v>
      </c>
      <c r="G629" s="687">
        <f>[9]Роспись!G579</f>
        <v>211</v>
      </c>
      <c r="H629" s="648">
        <f>[9]Роспись!H579</f>
        <v>2646.9</v>
      </c>
      <c r="I629" s="685">
        <f>[9]Финансирование!I629+[9]Финансирование!J629+[9]Финансирование!K629+[9]Финансирование!L629+[9]Финансирование!M629+[9]Финансирование!N629+[9]Финансирование!O629+[9]Финансирование!P629</f>
        <v>1220.5600000000002</v>
      </c>
      <c r="J629" s="685">
        <f>[9]Финансирование!Q629+[9]Финансирование!T629+[9]Финансирование!U629+[9]Финансирование!V629+[9]Финансирование!W629+[9]Финансирование!X629+[9]Финансирование!Y629+[9]Финансирование!Z629</f>
        <v>1426.3399999999997</v>
      </c>
      <c r="K629" s="685">
        <f>H629-I629-J629</f>
        <v>0</v>
      </c>
      <c r="L629" s="635">
        <v>1341.7460000000001</v>
      </c>
      <c r="M629" s="658">
        <f>J629-L629</f>
        <v>84.593999999999596</v>
      </c>
    </row>
    <row r="630" spans="1:16" x14ac:dyDescent="0.15">
      <c r="A630" s="686" t="str">
        <f>[9]Роспись!A580</f>
        <v xml:space="preserve">Прочие выплаты </v>
      </c>
      <c r="B630" s="687" t="str">
        <f>[9]Роспись!B580</f>
        <v>056</v>
      </c>
      <c r="C630" s="687" t="str">
        <f>[9]Роспись!C580</f>
        <v>08</v>
      </c>
      <c r="D630" s="687" t="str">
        <f>[9]Роспись!D580</f>
        <v>01</v>
      </c>
      <c r="E630" s="687">
        <f>[9]Роспись!E580</f>
        <v>4439901</v>
      </c>
      <c r="F630" s="687" t="str">
        <f>[9]Роспись!F580</f>
        <v>001</v>
      </c>
      <c r="G630" s="687">
        <f>[9]Роспись!G580</f>
        <v>212</v>
      </c>
      <c r="H630" s="648">
        <f>[9]Роспись!H580</f>
        <v>0</v>
      </c>
      <c r="I630" s="685">
        <f>[9]Финансирование!I630+[9]Финансирование!J630+[9]Финансирование!K630+[9]Финансирование!L630+[9]Финансирование!M630+[9]Финансирование!N630+[9]Финансирование!O630+[9]Финансирование!P630</f>
        <v>0</v>
      </c>
      <c r="J630" s="685">
        <f>[9]Финансирование!Q630+[9]Финансирование!T630+[9]Финансирование!U630+[9]Финансирование!V630+[9]Финансирование!W630+[9]Финансирование!X630+[9]Финансирование!Y630+[9]Финансирование!Z630</f>
        <v>0</v>
      </c>
      <c r="K630" s="685">
        <f t="shared" ref="K630:K641" si="49">H630-I630-J630</f>
        <v>0</v>
      </c>
      <c r="M630" s="658">
        <f>J630-L630</f>
        <v>0</v>
      </c>
    </row>
    <row r="631" spans="1:16" x14ac:dyDescent="0.15">
      <c r="A631" s="686" t="str">
        <f>[9]Роспись!A581</f>
        <v>Начисления на оплату труда</v>
      </c>
      <c r="B631" s="687" t="str">
        <f>[9]Роспись!B581</f>
        <v>056</v>
      </c>
      <c r="C631" s="687" t="str">
        <f>[9]Роспись!C581</f>
        <v>08</v>
      </c>
      <c r="D631" s="687" t="str">
        <f>[9]Роспись!D581</f>
        <v>01</v>
      </c>
      <c r="E631" s="687">
        <f>[9]Роспись!E581</f>
        <v>4439901</v>
      </c>
      <c r="F631" s="687" t="str">
        <f>[9]Роспись!F581</f>
        <v>001</v>
      </c>
      <c r="G631" s="687">
        <f>[9]Роспись!G581</f>
        <v>213</v>
      </c>
      <c r="H631" s="648">
        <f>[9]Роспись!H581</f>
        <v>812.94999999999993</v>
      </c>
      <c r="I631" s="685">
        <f>[9]Финансирование!I631+[9]Финансирование!J631+[9]Финансирование!K631+[9]Финансирование!L631+[9]Финансирование!M631+[9]Финансирование!N631+[9]Финансирование!O631+[9]Финансирование!P631</f>
        <v>394.84000000000003</v>
      </c>
      <c r="J631" s="685">
        <f>[9]Финансирование!Q631+[9]Финансирование!T631+[9]Финансирование!U631+[9]Финансирование!V631+[9]Финансирование!W631+[9]Финансирование!X631+[9]Финансирование!Y631+[9]Финансирование!Z631</f>
        <v>418.10999999999984</v>
      </c>
      <c r="K631" s="685">
        <f t="shared" si="49"/>
        <v>0</v>
      </c>
      <c r="L631" s="635">
        <v>418.11</v>
      </c>
      <c r="M631" s="658">
        <f>J631-L631</f>
        <v>0</v>
      </c>
    </row>
    <row r="632" spans="1:16" x14ac:dyDescent="0.15">
      <c r="A632" s="686" t="str">
        <f>[9]Роспись!A582</f>
        <v xml:space="preserve">Оплата услуг связи </v>
      </c>
      <c r="B632" s="687" t="str">
        <f>[9]Роспись!B582</f>
        <v>056</v>
      </c>
      <c r="C632" s="687" t="str">
        <f>[9]Роспись!C582</f>
        <v>08</v>
      </c>
      <c r="D632" s="687" t="str">
        <f>[9]Роспись!D582</f>
        <v>01</v>
      </c>
      <c r="E632" s="687">
        <f>[9]Роспись!E582</f>
        <v>4439901</v>
      </c>
      <c r="F632" s="687" t="str">
        <f>[9]Роспись!F582</f>
        <v>001</v>
      </c>
      <c r="G632" s="687">
        <f>[9]Роспись!G582</f>
        <v>221</v>
      </c>
      <c r="H632" s="648">
        <f>[9]Роспись!H582</f>
        <v>0</v>
      </c>
      <c r="I632" s="685">
        <f>[9]Финансирование!I632+[9]Финансирование!J632+[9]Финансирование!K632+[9]Финансирование!L632+[9]Финансирование!M632+[9]Финансирование!N632+[9]Финансирование!O632+[9]Финансирование!P632</f>
        <v>0</v>
      </c>
      <c r="J632" s="685">
        <f>[9]Финансирование!Q632+[9]Финансирование!T632+[9]Финансирование!U632+[9]Финансирование!V632+[9]Финансирование!W632+[9]Финансирование!X632+[9]Финансирование!Y632+[9]Финансирование!Z632</f>
        <v>0</v>
      </c>
      <c r="K632" s="685">
        <f t="shared" si="49"/>
        <v>0</v>
      </c>
      <c r="M632" s="658"/>
    </row>
    <row r="633" spans="1:16" x14ac:dyDescent="0.15">
      <c r="A633" s="686" t="str">
        <f>[9]Роспись!A583</f>
        <v>Транспортные услуги</v>
      </c>
      <c r="B633" s="687" t="str">
        <f>[9]Роспись!B583</f>
        <v>056</v>
      </c>
      <c r="C633" s="687" t="str">
        <f>[9]Роспись!C583</f>
        <v>08</v>
      </c>
      <c r="D633" s="687" t="str">
        <f>[9]Роспись!D583</f>
        <v>01</v>
      </c>
      <c r="E633" s="687">
        <f>[9]Роспись!E583</f>
        <v>4439901</v>
      </c>
      <c r="F633" s="687" t="str">
        <f>[9]Роспись!F583</f>
        <v>001</v>
      </c>
      <c r="G633" s="687">
        <f>[9]Роспись!G583</f>
        <v>222</v>
      </c>
      <c r="H633" s="648">
        <f>[9]Роспись!H583</f>
        <v>0</v>
      </c>
      <c r="I633" s="685">
        <f>[9]Финансирование!I633+[9]Финансирование!J633+[9]Финансирование!K633+[9]Финансирование!L633+[9]Финансирование!M633+[9]Финансирование!N633+[9]Финансирование!O633+[9]Финансирование!P633</f>
        <v>0</v>
      </c>
      <c r="J633" s="685">
        <f>[9]Финансирование!Q633+[9]Финансирование!T633+[9]Финансирование!U633+[9]Финансирование!V633+[9]Финансирование!W633+[9]Финансирование!X633+[9]Финансирование!Y633+[9]Финансирование!Z633</f>
        <v>0</v>
      </c>
      <c r="K633" s="685">
        <f t="shared" si="49"/>
        <v>0</v>
      </c>
      <c r="M633" s="658"/>
    </row>
    <row r="634" spans="1:16" x14ac:dyDescent="0.15">
      <c r="A634" s="686" t="str">
        <f>[9]Роспись!A584</f>
        <v>Коммунальные услуги</v>
      </c>
      <c r="B634" s="687" t="str">
        <f>[9]Роспись!B584</f>
        <v>056</v>
      </c>
      <c r="C634" s="687" t="str">
        <f>[9]Роспись!C584</f>
        <v>08</v>
      </c>
      <c r="D634" s="687" t="str">
        <f>[9]Роспись!D584</f>
        <v>01</v>
      </c>
      <c r="E634" s="687">
        <f>[9]Роспись!E584</f>
        <v>4439901</v>
      </c>
      <c r="F634" s="687" t="str">
        <f>[9]Роспись!F584</f>
        <v>001</v>
      </c>
      <c r="G634" s="687">
        <f>[9]Роспись!G584</f>
        <v>223</v>
      </c>
      <c r="H634" s="648">
        <f>[9]Роспись!H584</f>
        <v>0</v>
      </c>
      <c r="I634" s="685">
        <f>[9]Финансирование!I634+[9]Финансирование!J634+[9]Финансирование!K634+[9]Финансирование!L634+[9]Финансирование!M634+[9]Финансирование!N634+[9]Финансирование!O634+[9]Финансирование!P634</f>
        <v>0</v>
      </c>
      <c r="J634" s="685">
        <f>[9]Финансирование!Q634+[9]Финансирование!T634+[9]Финансирование!U634+[9]Финансирование!V634+[9]Финансирование!W634+[9]Финансирование!X634+[9]Финансирование!Y634+[9]Финансирование!Z634</f>
        <v>0</v>
      </c>
      <c r="K634" s="685">
        <f t="shared" si="49"/>
        <v>0</v>
      </c>
      <c r="M634" s="658"/>
    </row>
    <row r="635" spans="1:16" x14ac:dyDescent="0.15">
      <c r="A635" s="686" t="str">
        <f>[9]Роспись!A585</f>
        <v>Арендная плата</v>
      </c>
      <c r="B635" s="687" t="str">
        <f>[9]Роспись!B585</f>
        <v>056</v>
      </c>
      <c r="C635" s="687" t="str">
        <f>[9]Роспись!C585</f>
        <v>08</v>
      </c>
      <c r="D635" s="687" t="str">
        <f>[9]Роспись!D585</f>
        <v>01</v>
      </c>
      <c r="E635" s="687">
        <f>[9]Роспись!E585</f>
        <v>4439901</v>
      </c>
      <c r="F635" s="687" t="str">
        <f>[9]Роспись!F585</f>
        <v>001</v>
      </c>
      <c r="G635" s="687">
        <f>[9]Роспись!G585</f>
        <v>224</v>
      </c>
      <c r="H635" s="648">
        <f>[9]Роспись!H585</f>
        <v>0</v>
      </c>
      <c r="I635" s="685">
        <f>[9]Финансирование!I635+[9]Финансирование!J635+[9]Финансирование!K635+[9]Финансирование!L635+[9]Финансирование!M635+[9]Финансирование!N635+[9]Финансирование!O635+[9]Финансирование!P635</f>
        <v>0</v>
      </c>
      <c r="J635" s="685">
        <f>[9]Финансирование!Q635+[9]Финансирование!T635+[9]Финансирование!U635+[9]Финансирование!V635+[9]Финансирование!W635+[9]Финансирование!X635+[9]Финансирование!Y635+[9]Финансирование!Z635</f>
        <v>0</v>
      </c>
      <c r="K635" s="685">
        <f t="shared" si="49"/>
        <v>0</v>
      </c>
      <c r="M635" s="658"/>
    </row>
    <row r="636" spans="1:16" x14ac:dyDescent="0.15">
      <c r="A636" s="686" t="str">
        <f>[9]Роспись!A586</f>
        <v>Услуги по содерж. имущества</v>
      </c>
      <c r="B636" s="687" t="str">
        <f>[9]Роспись!B586</f>
        <v>056</v>
      </c>
      <c r="C636" s="687" t="str">
        <f>[9]Роспись!C586</f>
        <v>08</v>
      </c>
      <c r="D636" s="687" t="str">
        <f>[9]Роспись!D586</f>
        <v>01</v>
      </c>
      <c r="E636" s="687">
        <f>[9]Роспись!E586</f>
        <v>4439901</v>
      </c>
      <c r="F636" s="687" t="str">
        <f>[9]Роспись!F586</f>
        <v>001</v>
      </c>
      <c r="G636" s="687">
        <f>[9]Роспись!G586</f>
        <v>225</v>
      </c>
      <c r="H636" s="648">
        <f>[9]Роспись!H586</f>
        <v>8.0299999999999994</v>
      </c>
      <c r="I636" s="685">
        <f>[9]Финансирование!I636+[9]Финансирование!J636+[9]Финансирование!K636+[9]Финансирование!L636+[9]Финансирование!M636+[9]Финансирование!N636+[9]Финансирование!O636+[9]Финансирование!P636</f>
        <v>2.5</v>
      </c>
      <c r="J636" s="685">
        <f>[9]Финансирование!Q636+[9]Финансирование!T636+[9]Финансирование!U636+[9]Финансирование!V636+[9]Финансирование!W636+[9]Финансирование!X636+[9]Финансирование!Y636+[9]Финансирование!Z636</f>
        <v>5.5299999999999994</v>
      </c>
      <c r="K636" s="685">
        <f t="shared" si="49"/>
        <v>0</v>
      </c>
      <c r="L636" s="635">
        <v>0</v>
      </c>
      <c r="M636" s="658">
        <f>J636-L636</f>
        <v>5.5299999999999994</v>
      </c>
    </row>
    <row r="637" spans="1:16" x14ac:dyDescent="0.15">
      <c r="A637" s="686" t="str">
        <f>[9]Роспись!A587</f>
        <v>Прочие услуги</v>
      </c>
      <c r="B637" s="687" t="str">
        <f>[9]Роспись!B587</f>
        <v>056</v>
      </c>
      <c r="C637" s="687" t="str">
        <f>[9]Роспись!C587</f>
        <v>08</v>
      </c>
      <c r="D637" s="687" t="str">
        <f>[9]Роспись!D587</f>
        <v>01</v>
      </c>
      <c r="E637" s="687">
        <f>[9]Роспись!E587</f>
        <v>4439901</v>
      </c>
      <c r="F637" s="687" t="str">
        <f>[9]Роспись!F587</f>
        <v>001</v>
      </c>
      <c r="G637" s="687">
        <f>[9]Роспись!G587</f>
        <v>226</v>
      </c>
      <c r="H637" s="648">
        <f>[9]Роспись!H587</f>
        <v>50</v>
      </c>
      <c r="I637" s="685">
        <f>[9]Финансирование!I637+[9]Финансирование!J637+[9]Финансирование!K637+[9]Финансирование!L637+[9]Финансирование!M637+[9]Финансирование!N637+[9]Финансирование!O637+[9]Финансирование!P637</f>
        <v>50</v>
      </c>
      <c r="J637" s="685">
        <f>[9]Финансирование!Q637+[9]Финансирование!T637+[9]Финансирование!U637+[9]Финансирование!V637+[9]Финансирование!W637+[9]Финансирование!X637+[9]Финансирование!Y637+[9]Финансирование!Z637</f>
        <v>0</v>
      </c>
      <c r="K637" s="685">
        <f t="shared" si="49"/>
        <v>0</v>
      </c>
      <c r="M637" s="658"/>
    </row>
    <row r="638" spans="1:16" x14ac:dyDescent="0.15">
      <c r="A638" s="686" t="str">
        <f>[9]Роспись!A588</f>
        <v xml:space="preserve">Прочие расходы </v>
      </c>
      <c r="B638" s="687" t="str">
        <f>[9]Роспись!B588</f>
        <v>056</v>
      </c>
      <c r="C638" s="687" t="str">
        <f>[9]Роспись!C588</f>
        <v>08</v>
      </c>
      <c r="D638" s="687" t="str">
        <f>[9]Роспись!D588</f>
        <v>01</v>
      </c>
      <c r="E638" s="687">
        <f>[9]Роспись!E588</f>
        <v>4439901</v>
      </c>
      <c r="F638" s="687" t="str">
        <f>[9]Роспись!F588</f>
        <v>001</v>
      </c>
      <c r="G638" s="687">
        <f>[9]Роспись!G588</f>
        <v>290</v>
      </c>
      <c r="H638" s="648">
        <f>[9]Роспись!H588</f>
        <v>5.7</v>
      </c>
      <c r="I638" s="685">
        <f>[9]Финансирование!I638+[9]Финансирование!J638+[9]Финансирование!K638+[9]Финансирование!L638+[9]Финансирование!M638+[9]Финансирование!N638+[9]Финансирование!O638+[9]Финансирование!P638</f>
        <v>2.86</v>
      </c>
      <c r="J638" s="685">
        <f>[9]Финансирование!Q638+[9]Финансирование!T638+[9]Финансирование!U638+[9]Финансирование!V638+[9]Финансирование!W638+[9]Финансирование!X638+[9]Финансирование!Y638+[9]Финансирование!Z638</f>
        <v>2.8400000000000003</v>
      </c>
      <c r="K638" s="685">
        <f t="shared" si="49"/>
        <v>0</v>
      </c>
      <c r="L638" s="635">
        <v>8.31</v>
      </c>
      <c r="M638" s="658">
        <f>(J639+J638)-L638</f>
        <v>0</v>
      </c>
      <c r="N638" s="658">
        <f>M636+M638</f>
        <v>5.5299999999999994</v>
      </c>
    </row>
    <row r="639" spans="1:16" x14ac:dyDescent="0.15">
      <c r="A639" s="686" t="str">
        <f>[9]Роспись!A589</f>
        <v xml:space="preserve">Прочие расходы </v>
      </c>
      <c r="B639" s="687" t="str">
        <f>[9]Роспись!B589</f>
        <v>056</v>
      </c>
      <c r="C639" s="687" t="str">
        <f>[9]Роспись!C589</f>
        <v>08</v>
      </c>
      <c r="D639" s="687" t="str">
        <f>[9]Роспись!D589</f>
        <v>01</v>
      </c>
      <c r="E639" s="687" t="str">
        <f>[9]Роспись!E589</f>
        <v>4439500</v>
      </c>
      <c r="F639" s="687" t="str">
        <f>[9]Роспись!F589</f>
        <v>001</v>
      </c>
      <c r="G639" s="687" t="str">
        <f>[9]Роспись!G589</f>
        <v>290</v>
      </c>
      <c r="H639" s="648">
        <f>[9]Роспись!H589</f>
        <v>12.57</v>
      </c>
      <c r="I639" s="685">
        <f>[9]Финансирование!I639+[9]Финансирование!J639+[9]Финансирование!K639+[9]Финансирование!L639+[9]Финансирование!M639+[9]Финансирование!N639+[9]Финансирование!O639+[9]Финансирование!P639</f>
        <v>7.1</v>
      </c>
      <c r="J639" s="685">
        <f>[9]Финансирование!Q639+[9]Финансирование!T639+[9]Финансирование!U639+[9]Финансирование!V639+[9]Финансирование!W639+[9]Финансирование!X639+[9]Финансирование!Y639+[9]Финансирование!Z639</f>
        <v>5.4700000000000006</v>
      </c>
      <c r="K639" s="685">
        <f t="shared" si="49"/>
        <v>0</v>
      </c>
      <c r="M639" s="658"/>
    </row>
    <row r="640" spans="1:16" x14ac:dyDescent="0.15">
      <c r="A640" s="686" t="str">
        <f>[9]Роспись!A590</f>
        <v>Увелич. стоимости осн. средств</v>
      </c>
      <c r="B640" s="687" t="str">
        <f>[9]Роспись!B590</f>
        <v>056</v>
      </c>
      <c r="C640" s="687" t="str">
        <f>[9]Роспись!C590</f>
        <v>08</v>
      </c>
      <c r="D640" s="687" t="str">
        <f>[9]Роспись!D590</f>
        <v>01</v>
      </c>
      <c r="E640" s="687">
        <f>[9]Роспись!E590</f>
        <v>4439901</v>
      </c>
      <c r="F640" s="687" t="str">
        <f>[9]Роспись!F590</f>
        <v>001</v>
      </c>
      <c r="G640" s="687">
        <f>[9]Роспись!G590</f>
        <v>310</v>
      </c>
      <c r="H640" s="648">
        <f>[9]Роспись!H590</f>
        <v>17.45</v>
      </c>
      <c r="I640" s="685">
        <f>[9]Финансирование!I640+[9]Финансирование!J640+[9]Финансирование!K640+[9]Финансирование!L640+[9]Финансирование!M640+[9]Финансирование!N640+[9]Финансирование!O640+[9]Финансирование!P640</f>
        <v>0</v>
      </c>
      <c r="J640" s="685">
        <f>[9]Финансирование!Q640+[9]Финансирование!T640+[9]Финансирование!U640+[9]Финансирование!V640+[9]Финансирование!W640+[9]Финансирование!X640+[9]Финансирование!Y640+[9]Финансирование!Z640</f>
        <v>17.45</v>
      </c>
      <c r="K640" s="685">
        <f t="shared" si="49"/>
        <v>0</v>
      </c>
      <c r="L640" s="635">
        <v>0</v>
      </c>
      <c r="M640" s="658">
        <f>J640-L640</f>
        <v>17.45</v>
      </c>
      <c r="O640" s="658">
        <f>M641+M640</f>
        <v>21.874999999999996</v>
      </c>
    </row>
    <row r="641" spans="1:16" x14ac:dyDescent="0.15">
      <c r="A641" s="686" t="str">
        <f>[9]Роспись!A591</f>
        <v>Увелич. стоимости матер. запасов</v>
      </c>
      <c r="B641" s="687" t="str">
        <f>[9]Роспись!B591</f>
        <v>056</v>
      </c>
      <c r="C641" s="687" t="str">
        <f>[9]Роспись!C591</f>
        <v>08</v>
      </c>
      <c r="D641" s="687" t="str">
        <f>[9]Роспись!D591</f>
        <v>01</v>
      </c>
      <c r="E641" s="687">
        <f>[9]Роспись!E591</f>
        <v>4439901</v>
      </c>
      <c r="F641" s="687" t="str">
        <f>[9]Роспись!F591</f>
        <v>001</v>
      </c>
      <c r="G641" s="687">
        <f>[9]Роспись!G591</f>
        <v>340</v>
      </c>
      <c r="H641" s="648">
        <f>[9]Роспись!H591</f>
        <v>65</v>
      </c>
      <c r="I641" s="685">
        <f>[9]Финансирование!I641+[9]Финансирование!J641+[9]Финансирование!K641+[9]Финансирование!L641+[9]Финансирование!M641+[9]Финансирование!N641+[9]Финансирование!O641+[9]Финансирование!P641</f>
        <v>16.25</v>
      </c>
      <c r="J641" s="685">
        <f>[9]Финансирование!Q641+[9]Финансирование!T641+[9]Финансирование!U641+[9]Финансирование!V641+[9]Финансирование!W641+[9]Финансирование!X641+[9]Финансирование!Y641+[9]Финансирование!Z641</f>
        <v>4.4249999999999972</v>
      </c>
      <c r="K641" s="685">
        <f t="shared" si="49"/>
        <v>44.325000000000003</v>
      </c>
      <c r="L641" s="635">
        <v>0</v>
      </c>
      <c r="M641" s="658">
        <f>J641-L641</f>
        <v>4.4249999999999972</v>
      </c>
    </row>
    <row r="642" spans="1:16" x14ac:dyDescent="0.15">
      <c r="A642" s="704" t="s">
        <v>98</v>
      </c>
      <c r="B642" s="689" t="s">
        <v>79</v>
      </c>
      <c r="C642" s="689" t="s">
        <v>80</v>
      </c>
      <c r="D642" s="689" t="s">
        <v>125</v>
      </c>
      <c r="E642" s="689" t="s">
        <v>216</v>
      </c>
      <c r="F642" s="689" t="s">
        <v>102</v>
      </c>
      <c r="G642" s="705"/>
      <c r="H642" s="643">
        <f>SUM(H629:H641)</f>
        <v>3618.6</v>
      </c>
      <c r="I642" s="676">
        <f>SUM(I629:I641)</f>
        <v>1694.11</v>
      </c>
      <c r="J642" s="676">
        <f>SUM(J629:J641)</f>
        <v>1880.1649999999995</v>
      </c>
      <c r="K642" s="651">
        <f>SUM(K629:K641)</f>
        <v>44.325000000000003</v>
      </c>
      <c r="L642" s="678"/>
      <c r="M642" s="658"/>
      <c r="N642" s="678"/>
      <c r="O642" s="678"/>
      <c r="P642" s="678"/>
    </row>
    <row r="643" spans="1:16" ht="52" x14ac:dyDescent="0.15">
      <c r="A643" s="692" t="str">
        <f>'[9]Новая роспись'!A675</f>
        <v>Субсидия на финансовое обеспечение государственного задания на оказание государственных услуг (выполнение работ)</v>
      </c>
      <c r="B643" s="666"/>
      <c r="C643" s="666"/>
      <c r="D643" s="666"/>
      <c r="E643" s="666"/>
      <c r="F643" s="692">
        <f>'[9]Новая роспись'!F675</f>
        <v>611</v>
      </c>
      <c r="G643" s="692" t="str">
        <f>'[9]Новая роспись'!G675</f>
        <v>241</v>
      </c>
      <c r="H643" s="645">
        <f>'[9]Новая роспись'!H675</f>
        <v>1924.4900000000002</v>
      </c>
      <c r="I643" s="648">
        <f>[9]Финансирование!I643+[9]Финансирование!J643+[9]Финансирование!K643+[9]Финансирование!L643+[9]Финансирование!M643+[9]Финансирование!N643+[9]Финансирование!O643+[9]Финансирование!P643+[9]Финансирование!Q643+[9]Финансирование!T643+[9]Финансирование!U643+[9]Финансирование!V643+[9]Финансирование!W643+[9]Финансирование!X643+[9]Финансирование!Y643+[9]Финансирование!Z643</f>
        <v>1880.1649999999995</v>
      </c>
      <c r="J643" s="648"/>
      <c r="K643" s="648">
        <f>H643-I643</f>
        <v>44.325000000000728</v>
      </c>
      <c r="L643" s="678"/>
      <c r="M643" s="678"/>
      <c r="N643" s="678"/>
      <c r="O643" s="678"/>
      <c r="P643" s="678"/>
    </row>
    <row r="644" spans="1:16" x14ac:dyDescent="0.15">
      <c r="A644" s="78" t="s">
        <v>152</v>
      </c>
      <c r="B644" s="672"/>
      <c r="C644" s="672"/>
      <c r="D644" s="672"/>
      <c r="E644" s="672"/>
      <c r="F644" s="672"/>
      <c r="G644" s="649"/>
      <c r="H644" s="648"/>
      <c r="I644" s="648">
        <f>[9]Финансирование!I644+[9]Финансирование!J644+[9]Финансирование!K644+[9]Финансирование!L644+[9]Финансирование!M644+[9]Финансирование!N644+[9]Финансирование!O644+[9]Финансирование!P644+[9]Финансирование!Q644+[9]Финансирование!T644+[9]Финансирование!U644+[9]Финансирование!V644+[9]Финансирование!W644+[9]Финансирование!X644+[9]Финансирование!Y644+[9]Финансирование!Z644</f>
        <v>0</v>
      </c>
      <c r="J644" s="648"/>
      <c r="K644" s="648"/>
      <c r="L644" s="646"/>
      <c r="M644" s="646"/>
      <c r="N644" s="646"/>
      <c r="O644" s="646"/>
      <c r="P644" s="646"/>
    </row>
    <row r="645" spans="1:16" x14ac:dyDescent="0.15">
      <c r="A645" s="647" t="str">
        <f>[9]Роспись!A594</f>
        <v>Заработная плата</v>
      </c>
      <c r="B645" s="81" t="str">
        <f>[9]Роспись!B594</f>
        <v>056</v>
      </c>
      <c r="C645" s="81" t="str">
        <f>[9]Роспись!C594</f>
        <v>08</v>
      </c>
      <c r="D645" s="81" t="str">
        <f>[9]Роспись!D594</f>
        <v>01</v>
      </c>
      <c r="E645" s="81">
        <f>[9]Роспись!E594</f>
        <v>4439901</v>
      </c>
      <c r="F645" s="81" t="str">
        <f>[9]Роспись!F594</f>
        <v>001</v>
      </c>
      <c r="G645" s="81">
        <f>[9]Роспись!G594</f>
        <v>211</v>
      </c>
      <c r="H645" s="648">
        <f>[9]Роспись!H594</f>
        <v>13303.4</v>
      </c>
      <c r="I645" s="648">
        <f>[9]Финансирование!I645+[9]Финансирование!J645+[9]Финансирование!K645+[9]Финансирование!L645+[9]Финансирование!M645+[9]Финансирование!N645+[9]Финансирование!O645+[9]Финансирование!P645</f>
        <v>6134.6100000000006</v>
      </c>
      <c r="J645" s="648">
        <f>[9]Финансирование!Q645+[9]Финансирование!T645+[9]Финансирование!U645+[9]Финансирование!V645+[9]Финансирование!W645+[9]Финансирование!X645+[9]Финансирование!Y645+[9]Финансирование!Z645</f>
        <v>7168.7900000000009</v>
      </c>
      <c r="K645" s="648">
        <f>H645-I645-J645</f>
        <v>0</v>
      </c>
      <c r="M645" s="658"/>
    </row>
    <row r="646" spans="1:16" x14ac:dyDescent="0.15">
      <c r="A646" s="647" t="str">
        <f>[9]Роспись!A595</f>
        <v xml:space="preserve">Прочие выплаты </v>
      </c>
      <c r="B646" s="81" t="str">
        <f>[9]Роспись!B595</f>
        <v>056</v>
      </c>
      <c r="C646" s="81" t="str">
        <f>[9]Роспись!C595</f>
        <v>08</v>
      </c>
      <c r="D646" s="81" t="str">
        <f>[9]Роспись!D595</f>
        <v>01</v>
      </c>
      <c r="E646" s="81">
        <f>[9]Роспись!E595</f>
        <v>4439901</v>
      </c>
      <c r="F646" s="81" t="str">
        <f>[9]Роспись!F595</f>
        <v>001</v>
      </c>
      <c r="G646" s="81">
        <f>[9]Роспись!G595</f>
        <v>212</v>
      </c>
      <c r="H646" s="648">
        <f>[9]Роспись!H595</f>
        <v>16.7</v>
      </c>
      <c r="I646" s="648">
        <f>[9]Финансирование!I646+[9]Финансирование!J646+[9]Финансирование!K646+[9]Финансирование!L646+[9]Финансирование!M646+[9]Финансирование!N646+[9]Финансирование!O646+[9]Финансирование!P646</f>
        <v>0</v>
      </c>
      <c r="J646" s="648">
        <f>[9]Финансирование!Q646+[9]Финансирование!T646+[9]Финансирование!U646+[9]Финансирование!V646+[9]Финансирование!W646+[9]Финансирование!X646+[9]Финансирование!Y646+[9]Финансирование!Z646</f>
        <v>16.7</v>
      </c>
      <c r="K646" s="648">
        <f t="shared" ref="K646:K657" si="50">H646-I646-J646</f>
        <v>0</v>
      </c>
      <c r="M646" s="658"/>
    </row>
    <row r="647" spans="1:16" x14ac:dyDescent="0.15">
      <c r="A647" s="647" t="str">
        <f>[9]Роспись!A596</f>
        <v>Начисления на оплату труда</v>
      </c>
      <c r="B647" s="81" t="str">
        <f>[9]Роспись!B596</f>
        <v>056</v>
      </c>
      <c r="C647" s="81" t="str">
        <f>[9]Роспись!C596</f>
        <v>08</v>
      </c>
      <c r="D647" s="81" t="str">
        <f>[9]Роспись!D596</f>
        <v>01</v>
      </c>
      <c r="E647" s="81">
        <f>[9]Роспись!E596</f>
        <v>4439901</v>
      </c>
      <c r="F647" s="81" t="str">
        <f>[9]Роспись!F596</f>
        <v>001</v>
      </c>
      <c r="G647" s="81">
        <f>[9]Роспись!G596</f>
        <v>213</v>
      </c>
      <c r="H647" s="648">
        <f>[9]Роспись!H596</f>
        <v>4017.6</v>
      </c>
      <c r="I647" s="648">
        <f>[9]Финансирование!I647+[9]Финансирование!J647+[9]Финансирование!K647+[9]Финансирование!L647+[9]Финансирование!M647+[9]Финансирование!N647+[9]Финансирование!O647+[9]Финансирование!P647</f>
        <v>1984.9599999999998</v>
      </c>
      <c r="J647" s="648">
        <f>[9]Финансирование!Q647+[9]Финансирование!T647+[9]Финансирование!U647+[9]Финансирование!V647+[9]Финансирование!W647+[9]Финансирование!X647+[9]Финансирование!Y647+[9]Финансирование!Z647</f>
        <v>2032.6399999999996</v>
      </c>
      <c r="K647" s="648">
        <f t="shared" si="50"/>
        <v>0</v>
      </c>
      <c r="M647" s="658"/>
    </row>
    <row r="648" spans="1:16" x14ac:dyDescent="0.15">
      <c r="A648" s="647" t="str">
        <f>[9]Роспись!A597</f>
        <v xml:space="preserve">Оплата услуг связи </v>
      </c>
      <c r="B648" s="81" t="str">
        <f>[9]Роспись!B597</f>
        <v>056</v>
      </c>
      <c r="C648" s="81" t="str">
        <f>[9]Роспись!C597</f>
        <v>08</v>
      </c>
      <c r="D648" s="81" t="str">
        <f>[9]Роспись!D597</f>
        <v>01</v>
      </c>
      <c r="E648" s="81">
        <f>[9]Роспись!E597</f>
        <v>4439901</v>
      </c>
      <c r="F648" s="81" t="str">
        <f>[9]Роспись!F597</f>
        <v>001</v>
      </c>
      <c r="G648" s="81">
        <f>[9]Роспись!G597</f>
        <v>221</v>
      </c>
      <c r="H648" s="648">
        <f>[9]Роспись!H597</f>
        <v>0</v>
      </c>
      <c r="I648" s="648">
        <f>[9]Финансирование!I648+[9]Финансирование!J648+[9]Финансирование!K648+[9]Финансирование!L648+[9]Финансирование!M648+[9]Финансирование!N648+[9]Финансирование!O648+[9]Финансирование!P648</f>
        <v>0</v>
      </c>
      <c r="J648" s="648">
        <f>[9]Финансирование!Q648+[9]Финансирование!T648+[9]Финансирование!U648+[9]Финансирование!V648+[9]Финансирование!W648+[9]Финансирование!X648+[9]Финансирование!Y648+[9]Финансирование!Z648</f>
        <v>0</v>
      </c>
      <c r="K648" s="648">
        <f t="shared" si="50"/>
        <v>0</v>
      </c>
      <c r="M648" s="658"/>
    </row>
    <row r="649" spans="1:16" x14ac:dyDescent="0.15">
      <c r="A649" s="647" t="str">
        <f>[9]Роспись!A598</f>
        <v>Транспортные услуги</v>
      </c>
      <c r="B649" s="81" t="str">
        <f>[9]Роспись!B598</f>
        <v>056</v>
      </c>
      <c r="C649" s="81" t="str">
        <f>[9]Роспись!C598</f>
        <v>08</v>
      </c>
      <c r="D649" s="81" t="str">
        <f>[9]Роспись!D598</f>
        <v>01</v>
      </c>
      <c r="E649" s="81">
        <f>[9]Роспись!E598</f>
        <v>4439901</v>
      </c>
      <c r="F649" s="81" t="str">
        <f>[9]Роспись!F598</f>
        <v>001</v>
      </c>
      <c r="G649" s="81">
        <f>[9]Роспись!G598</f>
        <v>222</v>
      </c>
      <c r="H649" s="648">
        <f>[9]Роспись!H598</f>
        <v>639.37700000000007</v>
      </c>
      <c r="I649" s="648">
        <f>[9]Финансирование!I649+[9]Финансирование!J649+[9]Финансирование!K649+[9]Финансирование!L649+[9]Финансирование!M649+[9]Финансирование!N649+[9]Финансирование!O649+[9]Финансирование!P649</f>
        <v>354</v>
      </c>
      <c r="J649" s="648">
        <f>[9]Финансирование!Q649+[9]Финансирование!T649+[9]Финансирование!U649+[9]Финансирование!V649+[9]Финансирование!W649+[9]Финансирование!X649+[9]Финансирование!Y649+[9]Финансирование!Z649</f>
        <v>285.37700000000007</v>
      </c>
      <c r="K649" s="648">
        <f t="shared" si="50"/>
        <v>0</v>
      </c>
      <c r="M649" s="658"/>
    </row>
    <row r="650" spans="1:16" x14ac:dyDescent="0.15">
      <c r="A650" s="647" t="str">
        <f>[9]Роспись!A599</f>
        <v>Коммунальные услуги</v>
      </c>
      <c r="B650" s="81" t="str">
        <f>[9]Роспись!B599</f>
        <v>056</v>
      </c>
      <c r="C650" s="81" t="str">
        <f>[9]Роспись!C599</f>
        <v>08</v>
      </c>
      <c r="D650" s="81" t="str">
        <f>[9]Роспись!D599</f>
        <v>01</v>
      </c>
      <c r="E650" s="81">
        <f>[9]Роспись!E599</f>
        <v>4439901</v>
      </c>
      <c r="F650" s="81" t="str">
        <f>[9]Роспись!F599</f>
        <v>001</v>
      </c>
      <c r="G650" s="81">
        <f>[9]Роспись!G599</f>
        <v>223</v>
      </c>
      <c r="H650" s="648">
        <f>[9]Роспись!H599</f>
        <v>0</v>
      </c>
      <c r="I650" s="648">
        <f>[9]Финансирование!I650+[9]Финансирование!J650+[9]Финансирование!K650+[9]Финансирование!L650+[9]Финансирование!M650+[9]Финансирование!N650+[9]Финансирование!O650+[9]Финансирование!P650</f>
        <v>0</v>
      </c>
      <c r="J650" s="648">
        <f>[9]Финансирование!Q650+[9]Финансирование!T650+[9]Финансирование!U650+[9]Финансирование!V650+[9]Финансирование!W650+[9]Финансирование!X650+[9]Финансирование!Y650+[9]Финансирование!Z650</f>
        <v>0</v>
      </c>
      <c r="K650" s="648">
        <f t="shared" si="50"/>
        <v>0</v>
      </c>
      <c r="M650" s="658"/>
    </row>
    <row r="651" spans="1:16" x14ac:dyDescent="0.15">
      <c r="A651" s="647" t="str">
        <f>[9]Роспись!A600</f>
        <v>Арендная плата</v>
      </c>
      <c r="B651" s="81" t="str">
        <f>[9]Роспись!B600</f>
        <v>056</v>
      </c>
      <c r="C651" s="81" t="str">
        <f>[9]Роспись!C600</f>
        <v>08</v>
      </c>
      <c r="D651" s="81" t="str">
        <f>[9]Роспись!D600</f>
        <v>01</v>
      </c>
      <c r="E651" s="81">
        <f>[9]Роспись!E600</f>
        <v>4439901</v>
      </c>
      <c r="F651" s="81" t="str">
        <f>[9]Роспись!F600</f>
        <v>001</v>
      </c>
      <c r="G651" s="81">
        <f>[9]Роспись!G600</f>
        <v>224</v>
      </c>
      <c r="H651" s="648">
        <f>[9]Роспись!H600</f>
        <v>0</v>
      </c>
      <c r="I651" s="648">
        <f>[9]Финансирование!I651+[9]Финансирование!J651+[9]Финансирование!K651+[9]Финансирование!L651+[9]Финансирование!M651+[9]Финансирование!N651+[9]Финансирование!O651+[9]Финансирование!P651</f>
        <v>0</v>
      </c>
      <c r="J651" s="648">
        <f>[9]Финансирование!Q651+[9]Финансирование!T651+[9]Финансирование!U651+[9]Финансирование!V651+[9]Финансирование!W651+[9]Финансирование!X651+[9]Финансирование!Y651+[9]Финансирование!Z651</f>
        <v>0</v>
      </c>
      <c r="K651" s="648">
        <f t="shared" si="50"/>
        <v>0</v>
      </c>
      <c r="M651" s="658"/>
    </row>
    <row r="652" spans="1:16" x14ac:dyDescent="0.15">
      <c r="A652" s="647" t="str">
        <f>[9]Роспись!A601</f>
        <v>Услуги по содерж. имущества</v>
      </c>
      <c r="B652" s="81" t="str">
        <f>[9]Роспись!B601</f>
        <v>056</v>
      </c>
      <c r="C652" s="81" t="str">
        <f>[9]Роспись!C601</f>
        <v>08</v>
      </c>
      <c r="D652" s="81" t="str">
        <f>[9]Роспись!D601</f>
        <v>01</v>
      </c>
      <c r="E652" s="81">
        <f>[9]Роспись!E601</f>
        <v>4439901</v>
      </c>
      <c r="F652" s="81" t="str">
        <f>[9]Роспись!F601</f>
        <v>001</v>
      </c>
      <c r="G652" s="81">
        <f>[9]Роспись!G601</f>
        <v>225</v>
      </c>
      <c r="H652" s="648">
        <f>[9]Роспись!H601</f>
        <v>0</v>
      </c>
      <c r="I652" s="648">
        <f>[9]Финансирование!I652+[9]Финансирование!J652+[9]Финансирование!K652+[9]Финансирование!L652+[9]Финансирование!M652+[9]Финансирование!N652+[9]Финансирование!O652+[9]Финансирование!P652</f>
        <v>0</v>
      </c>
      <c r="J652" s="648">
        <f>[9]Финансирование!Q652+[9]Финансирование!T652+[9]Финансирование!U652+[9]Финансирование!V652+[9]Финансирование!W652+[9]Финансирование!X652+[9]Финансирование!Y652+[9]Финансирование!Z652</f>
        <v>0</v>
      </c>
      <c r="K652" s="648">
        <f t="shared" si="50"/>
        <v>0</v>
      </c>
      <c r="M652" s="658"/>
    </row>
    <row r="653" spans="1:16" x14ac:dyDescent="0.15">
      <c r="A653" s="647" t="str">
        <f>[9]Роспись!A602</f>
        <v>Прочие услуги</v>
      </c>
      <c r="B653" s="81" t="str">
        <f>[9]Роспись!B602</f>
        <v>056</v>
      </c>
      <c r="C653" s="81" t="str">
        <f>[9]Роспись!C602</f>
        <v>08</v>
      </c>
      <c r="D653" s="81" t="str">
        <f>[9]Роспись!D602</f>
        <v>01</v>
      </c>
      <c r="E653" s="81">
        <f>[9]Роспись!E602</f>
        <v>4439901</v>
      </c>
      <c r="F653" s="81" t="str">
        <f>[9]Роспись!F602</f>
        <v>001</v>
      </c>
      <c r="G653" s="81">
        <f>[9]Роспись!G602</f>
        <v>226</v>
      </c>
      <c r="H653" s="648">
        <f>[9]Роспись!H602</f>
        <v>574.91999999999996</v>
      </c>
      <c r="I653" s="648">
        <f>[9]Финансирование!I653+[9]Финансирование!J653+[9]Финансирование!K653+[9]Финансирование!L653+[9]Финансирование!M653+[9]Финансирование!N653+[9]Финансирование!O653+[9]Финансирование!P653</f>
        <v>299.39999999999998</v>
      </c>
      <c r="J653" s="648">
        <f>[9]Финансирование!Q653+[9]Финансирование!T653+[9]Финансирование!U653+[9]Финансирование!V653+[9]Финансирование!W653+[9]Финансирование!X653+[9]Финансирование!Y653+[9]Финансирование!Z653</f>
        <v>275.52</v>
      </c>
      <c r="K653" s="648">
        <f t="shared" si="50"/>
        <v>0</v>
      </c>
      <c r="M653" s="658"/>
    </row>
    <row r="654" spans="1:16" x14ac:dyDescent="0.15">
      <c r="A654" s="647" t="str">
        <f>[9]Роспись!A603</f>
        <v xml:space="preserve">Прочие расходы </v>
      </c>
      <c r="B654" s="81" t="str">
        <f>[9]Роспись!B603</f>
        <v>056</v>
      </c>
      <c r="C654" s="81" t="str">
        <f>[9]Роспись!C603</f>
        <v>08</v>
      </c>
      <c r="D654" s="81" t="str">
        <f>[9]Роспись!D603</f>
        <v>01</v>
      </c>
      <c r="E654" s="81">
        <f>[9]Роспись!E603</f>
        <v>4439901</v>
      </c>
      <c r="F654" s="81" t="str">
        <f>[9]Роспись!F603</f>
        <v>001</v>
      </c>
      <c r="G654" s="81">
        <f>[9]Роспись!G603</f>
        <v>290</v>
      </c>
      <c r="H654" s="648">
        <f>[9]Роспись!H603</f>
        <v>18.8</v>
      </c>
      <c r="I654" s="648">
        <f>[9]Финансирование!I654+[9]Финансирование!J654+[9]Финансирование!K654+[9]Финансирование!L654+[9]Финансирование!M654+[9]Финансирование!N654+[9]Финансирование!O654+[9]Финансирование!P654</f>
        <v>9.4</v>
      </c>
      <c r="J654" s="648">
        <f>[9]Финансирование!Q654+[9]Финансирование!T654+[9]Финансирование!U654+[9]Финансирование!V654+[9]Финансирование!W654+[9]Финансирование!X654+[9]Финансирование!Y654+[9]Финансирование!Z654</f>
        <v>9.4</v>
      </c>
      <c r="K654" s="648">
        <f t="shared" si="50"/>
        <v>0</v>
      </c>
      <c r="M654" s="658"/>
    </row>
    <row r="655" spans="1:16" x14ac:dyDescent="0.15">
      <c r="A655" s="647" t="str">
        <f>[9]Роспись!A604</f>
        <v xml:space="preserve">Прочие расходы </v>
      </c>
      <c r="B655" s="81" t="str">
        <f>[9]Роспись!B604</f>
        <v>056</v>
      </c>
      <c r="C655" s="81" t="str">
        <f>[9]Роспись!C604</f>
        <v>08</v>
      </c>
      <c r="D655" s="81" t="str">
        <f>[9]Роспись!D604</f>
        <v>01</v>
      </c>
      <c r="E655" s="81" t="str">
        <f>[9]Роспись!E604</f>
        <v>4439500</v>
      </c>
      <c r="F655" s="81" t="str">
        <f>[9]Роспись!F604</f>
        <v>001</v>
      </c>
      <c r="G655" s="81" t="str">
        <f>[9]Роспись!G604</f>
        <v>290</v>
      </c>
      <c r="H655" s="648">
        <f>[9]Роспись!H604</f>
        <v>6.2000000000000011</v>
      </c>
      <c r="I655" s="648">
        <f>[9]Финансирование!I655+[9]Финансирование!J655+[9]Финансирование!K655+[9]Финансирование!L655+[9]Финансирование!M655+[9]Финансирование!N655+[9]Финансирование!O655+[9]Финансирование!P655</f>
        <v>6.2</v>
      </c>
      <c r="J655" s="648">
        <f>[9]Финансирование!Q655+[9]Финансирование!T655+[9]Финансирование!U655+[9]Финансирование!V655+[9]Финансирование!W655+[9]Финансирование!X655+[9]Финансирование!Y655+[9]Финансирование!Z655</f>
        <v>8.8817841970012523E-16</v>
      </c>
      <c r="K655" s="648">
        <f t="shared" si="50"/>
        <v>0</v>
      </c>
      <c r="M655" s="658"/>
    </row>
    <row r="656" spans="1:16" x14ac:dyDescent="0.15">
      <c r="A656" s="647" t="str">
        <f>[9]Роспись!A605</f>
        <v>Увелич. стоимости осн. средств</v>
      </c>
      <c r="B656" s="81" t="str">
        <f>[9]Роспись!B605</f>
        <v>056</v>
      </c>
      <c r="C656" s="81" t="str">
        <f>[9]Роспись!C605</f>
        <v>08</v>
      </c>
      <c r="D656" s="81" t="str">
        <f>[9]Роспись!D605</f>
        <v>01</v>
      </c>
      <c r="E656" s="81">
        <f>[9]Роспись!E605</f>
        <v>4439901</v>
      </c>
      <c r="F656" s="81" t="str">
        <f>[9]Роспись!F605</f>
        <v>001</v>
      </c>
      <c r="G656" s="81">
        <f>[9]Роспись!G605</f>
        <v>310</v>
      </c>
      <c r="H656" s="648">
        <f>[9]Роспись!H605</f>
        <v>1000</v>
      </c>
      <c r="I656" s="648">
        <f>[9]Финансирование!I656+[9]Финансирование!J656+[9]Финансирование!K656+[9]Финансирование!L656+[9]Финансирование!M656+[9]Финансирование!N656+[9]Финансирование!O656+[9]Финансирование!P656</f>
        <v>0</v>
      </c>
      <c r="J656" s="648">
        <f>[9]Финансирование!Q656+[9]Финансирование!T656+[9]Финансирование!U656+[9]Финансирование!V656+[9]Финансирование!W656+[9]Финансирование!X656+[9]Финансирование!Y656+[9]Финансирование!Z656</f>
        <v>1000</v>
      </c>
      <c r="K656" s="648">
        <f t="shared" si="50"/>
        <v>0</v>
      </c>
      <c r="M656" s="658"/>
    </row>
    <row r="657" spans="1:16" x14ac:dyDescent="0.15">
      <c r="A657" s="647" t="str">
        <f>[9]Роспись!A606</f>
        <v>Увелич. стоимости матер. запасов</v>
      </c>
      <c r="B657" s="81" t="str">
        <f>[9]Роспись!B606</f>
        <v>056</v>
      </c>
      <c r="C657" s="81" t="str">
        <f>[9]Роспись!C606</f>
        <v>08</v>
      </c>
      <c r="D657" s="81" t="str">
        <f>[9]Роспись!D606</f>
        <v>01</v>
      </c>
      <c r="E657" s="81">
        <f>[9]Роспись!E606</f>
        <v>4439901</v>
      </c>
      <c r="F657" s="81" t="str">
        <f>[9]Роспись!F606</f>
        <v>001</v>
      </c>
      <c r="G657" s="81">
        <f>[9]Роспись!G606</f>
        <v>340</v>
      </c>
      <c r="H657" s="648">
        <f>[9]Роспись!H606</f>
        <v>217.6</v>
      </c>
      <c r="I657" s="648">
        <f>[9]Финансирование!I657+[9]Финансирование!J657+[9]Финансирование!K657+[9]Финансирование!L657+[9]Финансирование!M657+[9]Финансирование!N657+[9]Финансирование!O657+[9]Финансирование!P657</f>
        <v>4.4000000000000004</v>
      </c>
      <c r="J657" s="648">
        <f>[9]Финансирование!Q657+[9]Финансирование!T657+[9]Финансирование!U657+[9]Финансирование!V657+[9]Финансирование!W657+[9]Финансирование!X657+[9]Финансирование!Y657+[9]Финансирование!Z657</f>
        <v>213.2</v>
      </c>
      <c r="K657" s="648">
        <f t="shared" si="50"/>
        <v>0</v>
      </c>
    </row>
    <row r="658" spans="1:16" x14ac:dyDescent="0.15">
      <c r="A658" s="674" t="s">
        <v>98</v>
      </c>
      <c r="B658" s="666" t="s">
        <v>79</v>
      </c>
      <c r="C658" s="666" t="s">
        <v>80</v>
      </c>
      <c r="D658" s="666" t="s">
        <v>125</v>
      </c>
      <c r="E658" s="666" t="s">
        <v>216</v>
      </c>
      <c r="F658" s="666" t="s">
        <v>102</v>
      </c>
      <c r="G658" s="675"/>
      <c r="H658" s="643">
        <f>SUM(H645:H657)</f>
        <v>19794.596999999998</v>
      </c>
      <c r="I658" s="681">
        <f>SUM(I645:I657)</f>
        <v>8792.9699999999993</v>
      </c>
      <c r="J658" s="681">
        <f>SUM(J645:J657)</f>
        <v>11001.627000000002</v>
      </c>
      <c r="K658" s="643">
        <f>SUM(K645:K657)</f>
        <v>0</v>
      </c>
      <c r="L658" s="678"/>
      <c r="M658" s="678"/>
      <c r="N658" s="678"/>
      <c r="O658" s="678"/>
      <c r="P658" s="678"/>
    </row>
    <row r="659" spans="1:16" ht="52" x14ac:dyDescent="0.15">
      <c r="A659" s="692" t="str">
        <f>'[9]Новая роспись'!A692</f>
        <v>Субсидия на финансовое обеспечение государственного задания на оказание государственных услуг (выполнение работ)</v>
      </c>
      <c r="B659" s="666"/>
      <c r="C659" s="666"/>
      <c r="D659" s="666"/>
      <c r="E659" s="666"/>
      <c r="F659" s="692">
        <f>'[9]Новая роспись'!F692</f>
        <v>611</v>
      </c>
      <c r="G659" s="692" t="str">
        <f>'[9]Новая роспись'!G692</f>
        <v>241</v>
      </c>
      <c r="H659" s="645">
        <f>'[9]Новая роспись'!H692</f>
        <v>10634.029999999999</v>
      </c>
      <c r="I659" s="648">
        <f>J658-I660</f>
        <v>10634.030000000002</v>
      </c>
      <c r="J659" s="648"/>
      <c r="K659" s="648">
        <f>H659-I659</f>
        <v>0</v>
      </c>
      <c r="L659" s="678"/>
      <c r="M659" s="678"/>
      <c r="N659" s="678"/>
      <c r="O659" s="678"/>
      <c r="P659" s="678"/>
    </row>
    <row r="660" spans="1:16" x14ac:dyDescent="0.15">
      <c r="A660" s="692" t="str">
        <f>'[9]Новая роспись'!A693</f>
        <v>Субсидии на иные цели</v>
      </c>
      <c r="B660" s="666"/>
      <c r="C660" s="666"/>
      <c r="D660" s="666"/>
      <c r="E660" s="666"/>
      <c r="F660" s="692">
        <f>'[9]Новая роспись'!F693</f>
        <v>612</v>
      </c>
      <c r="G660" s="692" t="str">
        <f>'[9]Новая роспись'!G693</f>
        <v>241</v>
      </c>
      <c r="H660" s="645">
        <f>'[9]Новая роспись'!H693</f>
        <v>367.59699999999998</v>
      </c>
      <c r="I660" s="648">
        <f>[9]Финансирование!I660+[9]Финансирование!J660+[9]Финансирование!K660+[9]Финансирование!L660+[9]Финансирование!M660+[9]Финансирование!N660+[9]Финансирование!O660+[9]Финансирование!P660+[9]Финансирование!Q660+[9]Финансирование!T660+[9]Финансирование!U660+[9]Финансирование!V660+[9]Финансирование!W660+[9]Финансирование!X660+[9]Финансирование!Y660+[9]Финансирование!Z660</f>
        <v>367.59699999999998</v>
      </c>
      <c r="J660" s="648"/>
      <c r="K660" s="648">
        <f>H660-I660</f>
        <v>0</v>
      </c>
      <c r="L660" s="678"/>
      <c r="M660" s="678"/>
      <c r="N660" s="678"/>
      <c r="O660" s="678"/>
      <c r="P660" s="678"/>
    </row>
    <row r="661" spans="1:16" x14ac:dyDescent="0.15">
      <c r="A661" s="660" t="s">
        <v>153</v>
      </c>
      <c r="B661" s="668"/>
      <c r="C661" s="668"/>
      <c r="D661" s="668"/>
      <c r="E661" s="668"/>
      <c r="F661" s="668"/>
      <c r="G661" s="663"/>
      <c r="H661" s="648"/>
      <c r="I661" s="656">
        <f>[9]Финансирование!I661+[9]Финансирование!J661+[9]Финансирование!K661+[9]Финансирование!L661+[9]Финансирование!M661+[9]Финансирование!N661+[9]Финансирование!O661+[9]Финансирование!P661+[9]Финансирование!Q661+[9]Финансирование!T661+[9]Финансирование!U661+[9]Финансирование!V661+[9]Финансирование!W661+[9]Финансирование!X661+[9]Финансирование!Y661+[9]Финансирование!Z661</f>
        <v>0</v>
      </c>
      <c r="J661" s="656"/>
      <c r="K661" s="656"/>
      <c r="L661" s="646"/>
      <c r="M661" s="646"/>
      <c r="N661" s="646"/>
      <c r="O661" s="646"/>
      <c r="P661" s="646"/>
    </row>
    <row r="662" spans="1:16" x14ac:dyDescent="0.15">
      <c r="A662" s="657" t="str">
        <f>[9]Роспись!A609</f>
        <v>Заработная плата</v>
      </c>
      <c r="B662" s="654" t="str">
        <f>[9]Роспись!B609</f>
        <v>056</v>
      </c>
      <c r="C662" s="654" t="str">
        <f>[9]Роспись!C609</f>
        <v>08</v>
      </c>
      <c r="D662" s="654" t="str">
        <f>[9]Роспись!D609</f>
        <v>01</v>
      </c>
      <c r="E662" s="654">
        <f>[9]Роспись!E609</f>
        <v>4439901</v>
      </c>
      <c r="F662" s="654" t="str">
        <f>[9]Роспись!F609</f>
        <v>001</v>
      </c>
      <c r="G662" s="654">
        <f>[9]Роспись!G609</f>
        <v>211</v>
      </c>
      <c r="H662" s="648">
        <f>[9]Роспись!H609</f>
        <v>15533.76</v>
      </c>
      <c r="I662" s="656">
        <f>[9]Финансирование!I662+[9]Финансирование!J662+[9]Финансирование!K662+[9]Финансирование!L662+[9]Финансирование!M662+[9]Финансирование!N662+[9]Финансирование!O662+[9]Финансирование!P662</f>
        <v>7163.09</v>
      </c>
      <c r="J662" s="656">
        <f>[9]Финансирование!Q662+[9]Финансирование!T662+[9]Финансирование!U662+[9]Финансирование!V662+[9]Финансирование!W662+[9]Финансирование!X662+[9]Финансирование!Y662+[9]Финансирование!Z662</f>
        <v>8370.67</v>
      </c>
      <c r="K662" s="656">
        <f>H662-I662-J662</f>
        <v>0</v>
      </c>
      <c r="L662" s="635">
        <v>8370.67</v>
      </c>
      <c r="M662" s="658">
        <f>L662-J662</f>
        <v>0</v>
      </c>
    </row>
    <row r="663" spans="1:16" x14ac:dyDescent="0.15">
      <c r="A663" s="657" t="str">
        <f>[9]Роспись!A610</f>
        <v xml:space="preserve">Прочие выплаты </v>
      </c>
      <c r="B663" s="654" t="str">
        <f>[9]Роспись!B610</f>
        <v>056</v>
      </c>
      <c r="C663" s="654" t="str">
        <f>[9]Роспись!C610</f>
        <v>08</v>
      </c>
      <c r="D663" s="654" t="str">
        <f>[9]Роспись!D610</f>
        <v>01</v>
      </c>
      <c r="E663" s="654">
        <f>[9]Роспись!E610</f>
        <v>4439901</v>
      </c>
      <c r="F663" s="654" t="str">
        <f>[9]Роспись!F610</f>
        <v>001</v>
      </c>
      <c r="G663" s="654">
        <f>[9]Роспись!G610</f>
        <v>212</v>
      </c>
      <c r="H663" s="648">
        <f>[9]Роспись!H610</f>
        <v>23.1</v>
      </c>
      <c r="I663" s="656">
        <f>[9]Финансирование!I663+[9]Финансирование!J663+[9]Финансирование!K663+[9]Финансирование!L663+[9]Финансирование!M663+[9]Финансирование!N663+[9]Финансирование!O663+[9]Финансирование!P663</f>
        <v>0</v>
      </c>
      <c r="J663" s="656">
        <f>[9]Финансирование!Q663+[9]Финансирование!T663+[9]Финансирование!U663+[9]Финансирование!V663+[9]Финансирование!W663+[9]Финансирование!X663+[9]Финансирование!Y663+[9]Финансирование!Z663</f>
        <v>23.1</v>
      </c>
      <c r="K663" s="656">
        <f t="shared" ref="K663:K674" si="51">H663-I663-J663</f>
        <v>0</v>
      </c>
    </row>
    <row r="664" spans="1:16" x14ac:dyDescent="0.15">
      <c r="A664" s="657" t="str">
        <f>[9]Роспись!A611</f>
        <v>Начисления на оплату труда</v>
      </c>
      <c r="B664" s="654" t="str">
        <f>[9]Роспись!B611</f>
        <v>056</v>
      </c>
      <c r="C664" s="654" t="str">
        <f>[9]Роспись!C611</f>
        <v>08</v>
      </c>
      <c r="D664" s="654" t="str">
        <f>[9]Роспись!D611</f>
        <v>01</v>
      </c>
      <c r="E664" s="654">
        <f>[9]Роспись!E611</f>
        <v>4439901</v>
      </c>
      <c r="F664" s="654" t="str">
        <f>[9]Роспись!F611</f>
        <v>001</v>
      </c>
      <c r="G664" s="654">
        <f>[9]Роспись!G611</f>
        <v>213</v>
      </c>
      <c r="H664" s="648">
        <f>[9]Роспись!H611</f>
        <v>4691.2</v>
      </c>
      <c r="I664" s="656">
        <f>[9]Финансирование!I664+[9]Финансирование!J664+[9]Финансирование!K664+[9]Финансирование!L664+[9]Финансирование!M664+[9]Финансирование!N664+[9]Финансирование!O664+[9]Финансирование!P664</f>
        <v>2317.7999999999997</v>
      </c>
      <c r="J664" s="656">
        <f>[9]Финансирование!Q664+[9]Финансирование!T664+[9]Финансирование!U664+[9]Финансирование!V664+[9]Финансирование!W664+[9]Финансирование!X664+[9]Финансирование!Y664+[9]Финансирование!Z664</f>
        <v>2373.3999999999992</v>
      </c>
      <c r="K664" s="656">
        <f t="shared" si="51"/>
        <v>0</v>
      </c>
      <c r="L664" s="635">
        <v>2373.4</v>
      </c>
    </row>
    <row r="665" spans="1:16" x14ac:dyDescent="0.15">
      <c r="A665" s="657" t="str">
        <f>[9]Роспись!A612</f>
        <v xml:space="preserve">Оплата услуг связи </v>
      </c>
      <c r="B665" s="654" t="str">
        <f>[9]Роспись!B612</f>
        <v>056</v>
      </c>
      <c r="C665" s="654" t="str">
        <f>[9]Роспись!C612</f>
        <v>08</v>
      </c>
      <c r="D665" s="654" t="str">
        <f>[9]Роспись!D612</f>
        <v>01</v>
      </c>
      <c r="E665" s="654">
        <f>[9]Роспись!E612</f>
        <v>4439901</v>
      </c>
      <c r="F665" s="654" t="str">
        <f>[9]Роспись!F612</f>
        <v>001</v>
      </c>
      <c r="G665" s="654">
        <f>[9]Роспись!G612</f>
        <v>221</v>
      </c>
      <c r="H665" s="648">
        <f>[9]Роспись!H612</f>
        <v>0</v>
      </c>
      <c r="I665" s="656">
        <f>[9]Финансирование!I665+[9]Финансирование!J665+[9]Финансирование!K665+[9]Финансирование!L665+[9]Финансирование!M665+[9]Финансирование!N665+[9]Финансирование!O665+[9]Финансирование!P665</f>
        <v>0</v>
      </c>
      <c r="J665" s="656">
        <f>[9]Финансирование!Q665+[9]Финансирование!T665+[9]Финансирование!U665+[9]Финансирование!V665+[9]Финансирование!W665+[9]Финансирование!X665+[9]Финансирование!Y665+[9]Финансирование!Z665</f>
        <v>0</v>
      </c>
      <c r="K665" s="656">
        <f t="shared" si="51"/>
        <v>0</v>
      </c>
    </row>
    <row r="666" spans="1:16" x14ac:dyDescent="0.15">
      <c r="A666" s="657" t="str">
        <f>[9]Роспись!A613</f>
        <v>Транспортные услуги</v>
      </c>
      <c r="B666" s="654" t="str">
        <f>[9]Роспись!B613</f>
        <v>056</v>
      </c>
      <c r="C666" s="654" t="str">
        <f>[9]Роспись!C613</f>
        <v>08</v>
      </c>
      <c r="D666" s="654" t="str">
        <f>[9]Роспись!D613</f>
        <v>01</v>
      </c>
      <c r="E666" s="654">
        <f>[9]Роспись!E613</f>
        <v>4439901</v>
      </c>
      <c r="F666" s="654" t="str">
        <f>[9]Роспись!F613</f>
        <v>001</v>
      </c>
      <c r="G666" s="654">
        <f>[9]Роспись!G613</f>
        <v>222</v>
      </c>
      <c r="H666" s="648">
        <f>[9]Роспись!H613</f>
        <v>195.16200000000001</v>
      </c>
      <c r="I666" s="656">
        <f>[9]Финансирование!I666+[9]Финансирование!J666+[9]Финансирование!K666+[9]Финансирование!L666+[9]Финансирование!M666+[9]Финансирование!N666+[9]Финансирование!O666+[9]Финансирование!P666</f>
        <v>0</v>
      </c>
      <c r="J666" s="656">
        <f>[9]Финансирование!Q666+[9]Финансирование!T666+[9]Финансирование!U666+[9]Финансирование!V666+[9]Финансирование!W666+[9]Финансирование!X666+[9]Финансирование!Y666+[9]Финансирование!Z666</f>
        <v>195.16200000000001</v>
      </c>
      <c r="K666" s="656">
        <f t="shared" si="51"/>
        <v>0</v>
      </c>
    </row>
    <row r="667" spans="1:16" x14ac:dyDescent="0.15">
      <c r="A667" s="657" t="str">
        <f>[9]Роспись!A614</f>
        <v>Коммунальные услуги</v>
      </c>
      <c r="B667" s="654" t="str">
        <f>[9]Роспись!B614</f>
        <v>056</v>
      </c>
      <c r="C667" s="654" t="str">
        <f>[9]Роспись!C614</f>
        <v>08</v>
      </c>
      <c r="D667" s="654" t="str">
        <f>[9]Роспись!D614</f>
        <v>01</v>
      </c>
      <c r="E667" s="654">
        <f>[9]Роспись!E614</f>
        <v>4439901</v>
      </c>
      <c r="F667" s="654" t="str">
        <f>[9]Роспись!F614</f>
        <v>001</v>
      </c>
      <c r="G667" s="654">
        <f>[9]Роспись!G614</f>
        <v>223</v>
      </c>
      <c r="H667" s="648">
        <f>[9]Роспись!H614</f>
        <v>83.94</v>
      </c>
      <c r="I667" s="656">
        <f>[9]Финансирование!I667+[9]Финансирование!J667+[9]Финансирование!K667+[9]Финансирование!L667+[9]Финансирование!M667+[9]Финансирование!N667+[9]Финансирование!O667+[9]Финансирование!P667</f>
        <v>36.9</v>
      </c>
      <c r="J667" s="656">
        <f>[9]Финансирование!Q667+[9]Финансирование!T667+[9]Финансирование!U667+[9]Финансирование!V667+[9]Финансирование!W667+[9]Финансирование!X667+[9]Финансирование!Y667+[9]Финансирование!Z667</f>
        <v>47.040000000000006</v>
      </c>
      <c r="K667" s="656">
        <f t="shared" si="51"/>
        <v>0</v>
      </c>
      <c r="L667" s="635">
        <v>19</v>
      </c>
    </row>
    <row r="668" spans="1:16" x14ac:dyDescent="0.15">
      <c r="A668" s="657" t="str">
        <f>[9]Роспись!A615</f>
        <v>Арендная плата</v>
      </c>
      <c r="B668" s="654" t="str">
        <f>[9]Роспись!B615</f>
        <v>056</v>
      </c>
      <c r="C668" s="654" t="str">
        <f>[9]Роспись!C615</f>
        <v>08</v>
      </c>
      <c r="D668" s="654" t="str">
        <f>[9]Роспись!D615</f>
        <v>01</v>
      </c>
      <c r="E668" s="654">
        <f>[9]Роспись!E615</f>
        <v>4439901</v>
      </c>
      <c r="F668" s="654" t="str">
        <f>[9]Роспись!F615</f>
        <v>001</v>
      </c>
      <c r="G668" s="654">
        <f>[9]Роспись!G615</f>
        <v>224</v>
      </c>
      <c r="H668" s="648">
        <f>[9]Роспись!H615</f>
        <v>160</v>
      </c>
      <c r="I668" s="656">
        <f>[9]Финансирование!I668+[9]Финансирование!J668+[9]Финансирование!K668+[9]Финансирование!L668+[9]Финансирование!M668+[9]Финансирование!N668+[9]Финансирование!O668+[9]Финансирование!P668</f>
        <v>66.67</v>
      </c>
      <c r="J668" s="656">
        <f>[9]Финансирование!Q668+[9]Финансирование!T668+[9]Финансирование!U668+[9]Финансирование!V668+[9]Финансирование!W668+[9]Финансирование!X668+[9]Финансирование!Y668+[9]Финансирование!Z668</f>
        <v>93.32999999999997</v>
      </c>
      <c r="K668" s="656">
        <f t="shared" si="51"/>
        <v>0</v>
      </c>
    </row>
    <row r="669" spans="1:16" x14ac:dyDescent="0.15">
      <c r="A669" s="657" t="str">
        <f>[9]Роспись!A616</f>
        <v>Услуги по содерж. имущества</v>
      </c>
      <c r="B669" s="654" t="str">
        <f>[9]Роспись!B616</f>
        <v>056</v>
      </c>
      <c r="C669" s="654" t="str">
        <f>[9]Роспись!C616</f>
        <v>08</v>
      </c>
      <c r="D669" s="654" t="str">
        <f>[9]Роспись!D616</f>
        <v>01</v>
      </c>
      <c r="E669" s="654">
        <f>[9]Роспись!E616</f>
        <v>4439901</v>
      </c>
      <c r="F669" s="654" t="str">
        <f>[9]Роспись!F616</f>
        <v>001</v>
      </c>
      <c r="G669" s="654">
        <f>[9]Роспись!G616</f>
        <v>225</v>
      </c>
      <c r="H669" s="648">
        <f>[9]Роспись!H616</f>
        <v>0</v>
      </c>
      <c r="I669" s="656">
        <f>[9]Финансирование!I669+[9]Финансирование!J669+[9]Финансирование!K669+[9]Финансирование!L669+[9]Финансирование!M669+[9]Финансирование!N669+[9]Финансирование!O669+[9]Финансирование!P669</f>
        <v>0</v>
      </c>
      <c r="J669" s="656">
        <f>[9]Финансирование!Q669+[9]Финансирование!T669+[9]Финансирование!U669+[9]Финансирование!V669+[9]Финансирование!W669+[9]Финансирование!X669+[9]Финансирование!Y669+[9]Финансирование!Z669</f>
        <v>0</v>
      </c>
      <c r="K669" s="656">
        <f t="shared" si="51"/>
        <v>0</v>
      </c>
    </row>
    <row r="670" spans="1:16" x14ac:dyDescent="0.15">
      <c r="A670" s="657" t="str">
        <f>[9]Роспись!A617</f>
        <v>Прочие услуги</v>
      </c>
      <c r="B670" s="654" t="str">
        <f>[9]Роспись!B617</f>
        <v>056</v>
      </c>
      <c r="C670" s="654" t="str">
        <f>[9]Роспись!C617</f>
        <v>08</v>
      </c>
      <c r="D670" s="654" t="str">
        <f>[9]Роспись!D617</f>
        <v>01</v>
      </c>
      <c r="E670" s="654">
        <f>[9]Роспись!E617</f>
        <v>4439901</v>
      </c>
      <c r="F670" s="654" t="str">
        <f>[9]Роспись!F617</f>
        <v>001</v>
      </c>
      <c r="G670" s="654">
        <f>[9]Роспись!G617</f>
        <v>226</v>
      </c>
      <c r="H670" s="648">
        <f>[9]Роспись!H617</f>
        <v>402.79</v>
      </c>
      <c r="I670" s="656">
        <f>[9]Финансирование!I670+[9]Финансирование!J670+[9]Финансирование!K670+[9]Финансирование!L670+[9]Финансирование!M670+[9]Финансирование!N670+[9]Финансирование!O670+[9]Финансирование!P670</f>
        <v>156.80000000000001</v>
      </c>
      <c r="J670" s="656">
        <f>[9]Финансирование!Q670+[9]Финансирование!T670+[9]Финансирование!U670+[9]Финансирование!V670+[9]Финансирование!W670+[9]Финансирование!X670+[9]Финансирование!Y670+[9]Финансирование!Z670</f>
        <v>245.99000000000004</v>
      </c>
      <c r="K670" s="656">
        <f t="shared" si="51"/>
        <v>0</v>
      </c>
    </row>
    <row r="671" spans="1:16" x14ac:dyDescent="0.15">
      <c r="A671" s="657" t="str">
        <f>[9]Роспись!A618</f>
        <v xml:space="preserve">Прочие расходы </v>
      </c>
      <c r="B671" s="654" t="str">
        <f>[9]Роспись!B618</f>
        <v>056</v>
      </c>
      <c r="C671" s="654" t="str">
        <f>[9]Роспись!C618</f>
        <v>08</v>
      </c>
      <c r="D671" s="654" t="str">
        <f>[9]Роспись!D618</f>
        <v>01</v>
      </c>
      <c r="E671" s="654">
        <f>[9]Роспись!E618</f>
        <v>4439901</v>
      </c>
      <c r="F671" s="654" t="str">
        <f>[9]Роспись!F618</f>
        <v>001</v>
      </c>
      <c r="G671" s="654">
        <f>[9]Роспись!G618</f>
        <v>290</v>
      </c>
      <c r="H671" s="648">
        <f>[9]Роспись!H618</f>
        <v>19.899999999999999</v>
      </c>
      <c r="I671" s="656">
        <f>[9]Финансирование!I671+[9]Финансирование!J671+[9]Финансирование!K671+[9]Финансирование!L671+[9]Финансирование!M671+[9]Финансирование!N671+[9]Финансирование!O671+[9]Финансирование!P671</f>
        <v>10</v>
      </c>
      <c r="J671" s="656">
        <f>[9]Финансирование!Q671+[9]Финансирование!T671+[9]Финансирование!U671+[9]Финансирование!V671+[9]Финансирование!W671+[9]Финансирование!X671+[9]Финансирование!Y671+[9]Финансирование!Z671</f>
        <v>9.8999999999999986</v>
      </c>
      <c r="K671" s="656">
        <f t="shared" si="51"/>
        <v>0</v>
      </c>
    </row>
    <row r="672" spans="1:16" x14ac:dyDescent="0.15">
      <c r="A672" s="657" t="str">
        <f>[9]Роспись!A619</f>
        <v xml:space="preserve">Прочие расходы </v>
      </c>
      <c r="B672" s="654" t="str">
        <f>[9]Роспись!B619</f>
        <v>056</v>
      </c>
      <c r="C672" s="654" t="str">
        <f>[9]Роспись!C619</f>
        <v>08</v>
      </c>
      <c r="D672" s="654" t="str">
        <f>[9]Роспись!D619</f>
        <v>01</v>
      </c>
      <c r="E672" s="654" t="str">
        <f>[9]Роспись!E619</f>
        <v>4439500</v>
      </c>
      <c r="F672" s="654" t="str">
        <f>[9]Роспись!F619</f>
        <v>001</v>
      </c>
      <c r="G672" s="654" t="str">
        <f>[9]Роспись!G619</f>
        <v>290</v>
      </c>
      <c r="H672" s="648">
        <f>[9]Роспись!H619</f>
        <v>21.3</v>
      </c>
      <c r="I672" s="656">
        <f>[9]Финансирование!I672+[9]Финансирование!J672+[9]Финансирование!K672+[9]Финансирование!L672+[9]Финансирование!M672+[9]Финансирование!N672+[9]Финансирование!O672+[9]Финансирование!P672</f>
        <v>10.6</v>
      </c>
      <c r="J672" s="656">
        <f>[9]Финансирование!Q672+[9]Финансирование!T672+[9]Финансирование!U672+[9]Финансирование!V672+[9]Финансирование!W672+[9]Финансирование!X672+[9]Финансирование!Y672+[9]Финансирование!Z672</f>
        <v>10.700000000000001</v>
      </c>
      <c r="K672" s="656">
        <f t="shared" si="51"/>
        <v>0</v>
      </c>
      <c r="L672" s="635">
        <v>10.3</v>
      </c>
    </row>
    <row r="673" spans="1:16" x14ac:dyDescent="0.15">
      <c r="A673" s="657" t="str">
        <f>[9]Роспись!A620</f>
        <v>Увелич. стоимости осн. средств</v>
      </c>
      <c r="B673" s="654" t="str">
        <f>[9]Роспись!B620</f>
        <v>056</v>
      </c>
      <c r="C673" s="654" t="str">
        <f>[9]Роспись!C620</f>
        <v>08</v>
      </c>
      <c r="D673" s="654" t="str">
        <f>[9]Роспись!D620</f>
        <v>01</v>
      </c>
      <c r="E673" s="654">
        <f>[9]Роспись!E620</f>
        <v>4439901</v>
      </c>
      <c r="F673" s="654" t="str">
        <f>[9]Роспись!F620</f>
        <v>001</v>
      </c>
      <c r="G673" s="654">
        <f>[9]Роспись!G620</f>
        <v>310</v>
      </c>
      <c r="H673" s="648">
        <f>[9]Роспись!H620</f>
        <v>300</v>
      </c>
      <c r="I673" s="656">
        <f>[9]Финансирование!I673+[9]Финансирование!J673+[9]Финансирование!K673+[9]Финансирование!L673+[9]Финансирование!M673+[9]Финансирование!N673+[9]Финансирование!O673+[9]Финансирование!P673</f>
        <v>0</v>
      </c>
      <c r="J673" s="656">
        <f>[9]Финансирование!Q673+[9]Финансирование!T673+[9]Финансирование!U673+[9]Финансирование!V673+[9]Финансирование!W673+[9]Финансирование!X673+[9]Финансирование!Y673+[9]Финансирование!Z673</f>
        <v>300</v>
      </c>
      <c r="K673" s="656">
        <f t="shared" si="51"/>
        <v>0</v>
      </c>
    </row>
    <row r="674" spans="1:16" x14ac:dyDescent="0.15">
      <c r="A674" s="657" t="str">
        <f>[9]Роспись!A621</f>
        <v>Увелич. стоимости матер. запасов</v>
      </c>
      <c r="B674" s="654" t="str">
        <f>[9]Роспись!B621</f>
        <v>056</v>
      </c>
      <c r="C674" s="654" t="str">
        <f>[9]Роспись!C621</f>
        <v>08</v>
      </c>
      <c r="D674" s="654" t="str">
        <f>[9]Роспись!D621</f>
        <v>01</v>
      </c>
      <c r="E674" s="654">
        <f>[9]Роспись!E621</f>
        <v>4439901</v>
      </c>
      <c r="F674" s="654" t="str">
        <f>[9]Роспись!F621</f>
        <v>001</v>
      </c>
      <c r="G674" s="654">
        <f>[9]Роспись!G621</f>
        <v>340</v>
      </c>
      <c r="H674" s="648">
        <f>[9]Роспись!H621</f>
        <v>200</v>
      </c>
      <c r="I674" s="656">
        <f>[9]Финансирование!I674+[9]Финансирование!J674+[9]Финансирование!K674+[9]Финансирование!L674+[9]Финансирование!M674+[9]Финансирование!N674+[9]Финансирование!O674+[9]Финансирование!P674</f>
        <v>66.7</v>
      </c>
      <c r="J674" s="656">
        <f>[9]Финансирование!Q674+[9]Финансирование!T674+[9]Финансирование!U674+[9]Финансирование!V674+[9]Финансирование!W674+[9]Финансирование!X674+[9]Финансирование!Y674+[9]Финансирование!Z674</f>
        <v>133.30000000000001</v>
      </c>
      <c r="K674" s="656">
        <f t="shared" si="51"/>
        <v>0</v>
      </c>
    </row>
    <row r="675" spans="1:16" x14ac:dyDescent="0.15">
      <c r="A675" s="653" t="s">
        <v>98</v>
      </c>
      <c r="B675" s="662" t="s">
        <v>79</v>
      </c>
      <c r="C675" s="662" t="s">
        <v>80</v>
      </c>
      <c r="D675" s="662" t="s">
        <v>125</v>
      </c>
      <c r="E675" s="662" t="s">
        <v>216</v>
      </c>
      <c r="F675" s="662" t="s">
        <v>102</v>
      </c>
      <c r="G675" s="691"/>
      <c r="H675" s="643">
        <f>SUM(H662:H674)</f>
        <v>21631.152000000002</v>
      </c>
      <c r="I675" s="664">
        <f>SUM(I662:I674)</f>
        <v>9828.56</v>
      </c>
      <c r="J675" s="664">
        <f>SUM(J662:J674)</f>
        <v>11802.592000000001</v>
      </c>
      <c r="K675" s="665">
        <f>SUM(K662:K674)</f>
        <v>0</v>
      </c>
      <c r="L675" s="678"/>
      <c r="M675" s="678"/>
      <c r="N675" s="678"/>
      <c r="O675" s="678"/>
      <c r="P675" s="678"/>
    </row>
    <row r="676" spans="1:16" ht="52" x14ac:dyDescent="0.15">
      <c r="A676" s="692" t="str">
        <f>'[9]Новая роспись'!A710</f>
        <v>Субсидия на финансовое обеспечение государственного задания на оказание государственных услуг (выполнение работ)</v>
      </c>
      <c r="B676" s="666"/>
      <c r="C676" s="666"/>
      <c r="D676" s="666"/>
      <c r="E676" s="666"/>
      <c r="F676" s="692">
        <f>'[9]Новая роспись'!F710</f>
        <v>611</v>
      </c>
      <c r="G676" s="692" t="str">
        <f>'[9]Новая роспись'!G710</f>
        <v>241</v>
      </c>
      <c r="H676" s="645">
        <f>'[9]Новая роспись'!H710</f>
        <v>11388.340000000002</v>
      </c>
      <c r="I676" s="648">
        <f>J675-I677</f>
        <v>11388.34</v>
      </c>
      <c r="J676" s="648"/>
      <c r="K676" s="648">
        <f>H676-I676</f>
        <v>0</v>
      </c>
      <c r="L676" s="678"/>
      <c r="M676" s="678"/>
      <c r="N676" s="678"/>
      <c r="O676" s="678"/>
      <c r="P676" s="678"/>
    </row>
    <row r="677" spans="1:16" x14ac:dyDescent="0.15">
      <c r="A677" s="692" t="str">
        <f>'[9]Новая роспись'!A711</f>
        <v>Субсидии на иные цели</v>
      </c>
      <c r="B677" s="666"/>
      <c r="C677" s="666"/>
      <c r="D677" s="666"/>
      <c r="E677" s="666"/>
      <c r="F677" s="692">
        <f>'[9]Новая роспись'!F711</f>
        <v>612</v>
      </c>
      <c r="G677" s="692" t="str">
        <f>'[9]Новая роспись'!G711</f>
        <v>241</v>
      </c>
      <c r="H677" s="645">
        <f>'[9]Новая роспись'!H711</f>
        <v>414.25200000000001</v>
      </c>
      <c r="I677" s="648">
        <f>[9]Финансирование!I677+[9]Финансирование!J677+[9]Финансирование!K677+[9]Финансирование!L677+[9]Финансирование!M677+[9]Финансирование!N677+[9]Финансирование!O677+[9]Финансирование!P677+[9]Финансирование!Q677+[9]Финансирование!T677+[9]Финансирование!U677+[9]Финансирование!V677+[9]Финансирование!W677+[9]Финансирование!X677+[9]Финансирование!Y677+[9]Финансирование!Z677</f>
        <v>414.25200000000001</v>
      </c>
      <c r="J677" s="648"/>
      <c r="K677" s="648">
        <f>H677-I677</f>
        <v>0</v>
      </c>
      <c r="L677" s="678"/>
      <c r="M677" s="678"/>
      <c r="N677" s="678"/>
      <c r="O677" s="678"/>
      <c r="P677" s="678"/>
    </row>
    <row r="678" spans="1:16" x14ac:dyDescent="0.15">
      <c r="A678" s="78" t="s">
        <v>154</v>
      </c>
      <c r="B678" s="672"/>
      <c r="C678" s="672"/>
      <c r="D678" s="672"/>
      <c r="E678" s="672"/>
      <c r="F678" s="672"/>
      <c r="G678" s="649"/>
      <c r="H678" s="648"/>
      <c r="I678" s="648">
        <f>[9]Финансирование!I678+[9]Финансирование!J678+[9]Финансирование!K678+[9]Финансирование!L678+[9]Финансирование!M678+[9]Финансирование!N678+[9]Финансирование!O678+[9]Финансирование!P678+[9]Финансирование!Q678+[9]Финансирование!T678+[9]Финансирование!U678+[9]Финансирование!V678+[9]Финансирование!W678+[9]Финансирование!X678+[9]Финансирование!Y678+[9]Финансирование!Z678</f>
        <v>0</v>
      </c>
      <c r="J678" s="648"/>
      <c r="K678" s="648"/>
      <c r="L678" s="646"/>
      <c r="M678" s="646"/>
      <c r="N678" s="646"/>
      <c r="O678" s="646"/>
      <c r="P678" s="646"/>
    </row>
    <row r="679" spans="1:16" x14ac:dyDescent="0.15">
      <c r="A679" s="647" t="str">
        <f>[9]Роспись!A624</f>
        <v>Заработная плата</v>
      </c>
      <c r="B679" s="81" t="str">
        <f>[9]Роспись!B624</f>
        <v>056</v>
      </c>
      <c r="C679" s="81" t="str">
        <f>[9]Роспись!C624</f>
        <v>08</v>
      </c>
      <c r="D679" s="81" t="str">
        <f>[9]Роспись!D624</f>
        <v>01</v>
      </c>
      <c r="E679" s="81">
        <f>[9]Роспись!E624</f>
        <v>4439901</v>
      </c>
      <c r="F679" s="81" t="str">
        <f>[9]Роспись!F624</f>
        <v>001</v>
      </c>
      <c r="G679" s="81">
        <f>[9]Роспись!G624</f>
        <v>211</v>
      </c>
      <c r="H679" s="648">
        <f>[9]Роспись!H624</f>
        <v>4593.7</v>
      </c>
      <c r="I679" s="648">
        <f>[9]Финансирование!I679+[9]Финансирование!J679+[9]Финансирование!K679+[9]Финансирование!L679+[9]Финансирование!M679+[9]Финансирование!N679+[9]Финансирование!O679+[9]Финансирование!P679</f>
        <v>2118.27</v>
      </c>
      <c r="J679" s="648">
        <f>[9]Финансирование!Q679+[9]Финансирование!T679+[9]Финансирование!U679+[9]Финансирование!V679+[9]Финансирование!W679+[9]Финансирование!X679+[9]Финансирование!Y679+[9]Финансирование!Z679</f>
        <v>2475.4299999999998</v>
      </c>
      <c r="K679" s="648">
        <f>H679-I679-J679</f>
        <v>0</v>
      </c>
    </row>
    <row r="680" spans="1:16" x14ac:dyDescent="0.15">
      <c r="A680" s="647" t="str">
        <f>[9]Роспись!A625</f>
        <v xml:space="preserve">Прочие выплаты </v>
      </c>
      <c r="B680" s="81" t="str">
        <f>[9]Роспись!B625</f>
        <v>056</v>
      </c>
      <c r="C680" s="81" t="str">
        <f>[9]Роспись!C625</f>
        <v>08</v>
      </c>
      <c r="D680" s="81" t="str">
        <f>[9]Роспись!D625</f>
        <v>01</v>
      </c>
      <c r="E680" s="81">
        <f>[9]Роспись!E625</f>
        <v>4439901</v>
      </c>
      <c r="F680" s="81" t="str">
        <f>[9]Роспись!F625</f>
        <v>001</v>
      </c>
      <c r="G680" s="81">
        <f>[9]Роспись!G625</f>
        <v>212</v>
      </c>
      <c r="H680" s="648">
        <f>[9]Роспись!H625</f>
        <v>0</v>
      </c>
      <c r="I680" s="648">
        <f>[9]Финансирование!I680+[9]Финансирование!J680+[9]Финансирование!K680+[9]Финансирование!L680+[9]Финансирование!M680+[9]Финансирование!N680+[9]Финансирование!O680+[9]Финансирование!P680</f>
        <v>0</v>
      </c>
      <c r="J680" s="648">
        <f>[9]Финансирование!Q680+[9]Финансирование!T680+[9]Финансирование!U680+[9]Финансирование!V680+[9]Финансирование!W680+[9]Финансирование!X680+[9]Финансирование!Y680+[9]Финансирование!Z680</f>
        <v>0</v>
      </c>
      <c r="K680" s="648">
        <f t="shared" ref="K680:K691" si="52">H680-I680-J680</f>
        <v>0</v>
      </c>
    </row>
    <row r="681" spans="1:16" x14ac:dyDescent="0.15">
      <c r="A681" s="647" t="str">
        <f>[9]Роспись!A626</f>
        <v>Начисления на оплату труда</v>
      </c>
      <c r="B681" s="81" t="str">
        <f>[9]Роспись!B626</f>
        <v>056</v>
      </c>
      <c r="C681" s="81" t="str">
        <f>[9]Роспись!C626</f>
        <v>08</v>
      </c>
      <c r="D681" s="81" t="str">
        <f>[9]Роспись!D626</f>
        <v>01</v>
      </c>
      <c r="E681" s="81">
        <f>[9]Роспись!E626</f>
        <v>4439901</v>
      </c>
      <c r="F681" s="81" t="str">
        <f>[9]Роспись!F626</f>
        <v>001</v>
      </c>
      <c r="G681" s="81">
        <f>[9]Роспись!G626</f>
        <v>213</v>
      </c>
      <c r="H681" s="648">
        <f>[9]Роспись!H626</f>
        <v>1387.3</v>
      </c>
      <c r="I681" s="648">
        <f>[9]Финансирование!I681+[9]Финансирование!J681+[9]Финансирование!K681+[9]Финансирование!L681+[9]Финансирование!M681+[9]Финансирование!N681+[9]Финансирование!O681+[9]Финансирование!P681</f>
        <v>685.38000000000011</v>
      </c>
      <c r="J681" s="648">
        <f>[9]Финансирование!Q681+[9]Финансирование!T681+[9]Финансирование!U681+[9]Финансирование!V681+[9]Финансирование!W681+[9]Финансирование!X681+[9]Финансирование!Y681+[9]Финансирование!Z681</f>
        <v>701.92</v>
      </c>
      <c r="K681" s="648">
        <f t="shared" si="52"/>
        <v>0</v>
      </c>
    </row>
    <row r="682" spans="1:16" x14ac:dyDescent="0.15">
      <c r="A682" s="647" t="str">
        <f>[9]Роспись!A627</f>
        <v xml:space="preserve">Оплата услуг связи </v>
      </c>
      <c r="B682" s="81" t="str">
        <f>[9]Роспись!B627</f>
        <v>056</v>
      </c>
      <c r="C682" s="81" t="str">
        <f>[9]Роспись!C627</f>
        <v>08</v>
      </c>
      <c r="D682" s="81" t="str">
        <f>[9]Роспись!D627</f>
        <v>01</v>
      </c>
      <c r="E682" s="81">
        <f>[9]Роспись!E627</f>
        <v>4439901</v>
      </c>
      <c r="F682" s="81" t="str">
        <f>[9]Роспись!F627</f>
        <v>001</v>
      </c>
      <c r="G682" s="81">
        <f>[9]Роспись!G627</f>
        <v>221</v>
      </c>
      <c r="H682" s="648">
        <f>[9]Роспись!H627</f>
        <v>0</v>
      </c>
      <c r="I682" s="648">
        <f>[9]Финансирование!I682+[9]Финансирование!J682+[9]Финансирование!K682+[9]Финансирование!L682+[9]Финансирование!M682+[9]Финансирование!N682+[9]Финансирование!O682+[9]Финансирование!P682</f>
        <v>0</v>
      </c>
      <c r="J682" s="648">
        <f>[9]Финансирование!Q682+[9]Финансирование!T682+[9]Финансирование!U682+[9]Финансирование!V682+[9]Финансирование!W682+[9]Финансирование!X682+[9]Финансирование!Y682+[9]Финансирование!Z682</f>
        <v>0</v>
      </c>
      <c r="K682" s="648">
        <f t="shared" si="52"/>
        <v>0</v>
      </c>
    </row>
    <row r="683" spans="1:16" x14ac:dyDescent="0.15">
      <c r="A683" s="647" t="str">
        <f>[9]Роспись!A628</f>
        <v>Транспортные услуги</v>
      </c>
      <c r="B683" s="81" t="str">
        <f>[9]Роспись!B628</f>
        <v>056</v>
      </c>
      <c r="C683" s="81" t="str">
        <f>[9]Роспись!C628</f>
        <v>08</v>
      </c>
      <c r="D683" s="81" t="str">
        <f>[9]Роспись!D628</f>
        <v>01</v>
      </c>
      <c r="E683" s="81">
        <f>[9]Роспись!E628</f>
        <v>4439901</v>
      </c>
      <c r="F683" s="81" t="str">
        <f>[9]Роспись!F628</f>
        <v>001</v>
      </c>
      <c r="G683" s="81">
        <f>[9]Роспись!G628</f>
        <v>222</v>
      </c>
      <c r="H683" s="648">
        <f>[9]Роспись!H628</f>
        <v>0</v>
      </c>
      <c r="I683" s="648">
        <f>[9]Финансирование!I683+[9]Финансирование!J683+[9]Финансирование!K683+[9]Финансирование!L683+[9]Финансирование!M683+[9]Финансирование!N683+[9]Финансирование!O683+[9]Финансирование!P683</f>
        <v>0</v>
      </c>
      <c r="J683" s="648">
        <f>[9]Финансирование!Q683+[9]Финансирование!T683+[9]Финансирование!U683+[9]Финансирование!V683+[9]Финансирование!W683+[9]Финансирование!X683+[9]Финансирование!Y683+[9]Финансирование!Z683</f>
        <v>0</v>
      </c>
      <c r="K683" s="648">
        <f t="shared" si="52"/>
        <v>0</v>
      </c>
    </row>
    <row r="684" spans="1:16" x14ac:dyDescent="0.15">
      <c r="A684" s="647" t="str">
        <f>[9]Роспись!A629</f>
        <v>Коммунальные услуги</v>
      </c>
      <c r="B684" s="81" t="str">
        <f>[9]Роспись!B629</f>
        <v>056</v>
      </c>
      <c r="C684" s="81" t="str">
        <f>[9]Роспись!C629</f>
        <v>08</v>
      </c>
      <c r="D684" s="81" t="str">
        <f>[9]Роспись!D629</f>
        <v>01</v>
      </c>
      <c r="E684" s="81">
        <f>[9]Роспись!E629</f>
        <v>4439901</v>
      </c>
      <c r="F684" s="81" t="str">
        <f>[9]Роспись!F629</f>
        <v>001</v>
      </c>
      <c r="G684" s="81">
        <f>[9]Роспись!G629</f>
        <v>223</v>
      </c>
      <c r="H684" s="648">
        <f>[9]Роспись!H629</f>
        <v>24.8</v>
      </c>
      <c r="I684" s="648">
        <f>[9]Финансирование!I684+[9]Финансирование!J684+[9]Финансирование!K684+[9]Финансирование!L684+[9]Финансирование!M684+[9]Финансирование!N684+[9]Финансирование!O684+[9]Финансирование!P684</f>
        <v>10.9</v>
      </c>
      <c r="J684" s="648">
        <f>[9]Финансирование!Q684+[9]Финансирование!T684+[9]Финансирование!U684+[9]Финансирование!V684+[9]Финансирование!W684+[9]Финансирование!X684+[9]Финансирование!Y684+[9]Финансирование!Z684</f>
        <v>6</v>
      </c>
      <c r="K684" s="648">
        <f t="shared" si="52"/>
        <v>7.9</v>
      </c>
    </row>
    <row r="685" spans="1:16" x14ac:dyDescent="0.15">
      <c r="A685" s="647" t="str">
        <f>[9]Роспись!A630</f>
        <v>Арендная плата</v>
      </c>
      <c r="B685" s="81" t="str">
        <f>[9]Роспись!B630</f>
        <v>056</v>
      </c>
      <c r="C685" s="81" t="str">
        <f>[9]Роспись!C630</f>
        <v>08</v>
      </c>
      <c r="D685" s="81" t="str">
        <f>[9]Роспись!D630</f>
        <v>01</v>
      </c>
      <c r="E685" s="81">
        <f>[9]Роспись!E630</f>
        <v>4439901</v>
      </c>
      <c r="F685" s="81" t="str">
        <f>[9]Роспись!F630</f>
        <v>001</v>
      </c>
      <c r="G685" s="81">
        <f>[9]Роспись!G630</f>
        <v>224</v>
      </c>
      <c r="H685" s="648">
        <f>[9]Роспись!H630</f>
        <v>0</v>
      </c>
      <c r="I685" s="648">
        <f>[9]Финансирование!I685+[9]Финансирование!J685+[9]Финансирование!K685+[9]Финансирование!L685+[9]Финансирование!M685+[9]Финансирование!N685+[9]Финансирование!O685+[9]Финансирование!P685</f>
        <v>0</v>
      </c>
      <c r="J685" s="648">
        <f>[9]Финансирование!Q685+[9]Финансирование!T685+[9]Финансирование!U685+[9]Финансирование!V685+[9]Финансирование!W685+[9]Финансирование!X685+[9]Финансирование!Y685+[9]Финансирование!Z685</f>
        <v>0</v>
      </c>
      <c r="K685" s="648">
        <f t="shared" si="52"/>
        <v>0</v>
      </c>
    </row>
    <row r="686" spans="1:16" x14ac:dyDescent="0.15">
      <c r="A686" s="647" t="str">
        <f>[9]Роспись!A631</f>
        <v>Услуги по содерж. имущества</v>
      </c>
      <c r="B686" s="81" t="str">
        <f>[9]Роспись!B631</f>
        <v>056</v>
      </c>
      <c r="C686" s="81" t="str">
        <f>[9]Роспись!C631</f>
        <v>08</v>
      </c>
      <c r="D686" s="81" t="str">
        <f>[9]Роспись!D631</f>
        <v>01</v>
      </c>
      <c r="E686" s="81">
        <f>[9]Роспись!E631</f>
        <v>4439901</v>
      </c>
      <c r="F686" s="81" t="str">
        <f>[9]Роспись!F631</f>
        <v>001</v>
      </c>
      <c r="G686" s="81">
        <f>[9]Роспись!G631</f>
        <v>225</v>
      </c>
      <c r="H686" s="648">
        <f>[9]Роспись!H631</f>
        <v>0</v>
      </c>
      <c r="I686" s="648">
        <f>[9]Финансирование!I686+[9]Финансирование!J686+[9]Финансирование!K686+[9]Финансирование!L686+[9]Финансирование!M686+[9]Финансирование!N686+[9]Финансирование!O686+[9]Финансирование!P686</f>
        <v>0</v>
      </c>
      <c r="J686" s="648">
        <f>[9]Финансирование!Q686+[9]Финансирование!T686+[9]Финансирование!U686+[9]Финансирование!V686+[9]Финансирование!W686+[9]Финансирование!X686+[9]Финансирование!Y686+[9]Финансирование!Z686</f>
        <v>0</v>
      </c>
      <c r="K686" s="648">
        <f t="shared" si="52"/>
        <v>0</v>
      </c>
    </row>
    <row r="687" spans="1:16" x14ac:dyDescent="0.15">
      <c r="A687" s="647" t="str">
        <f>[9]Роспись!A632</f>
        <v>Прочие услуги</v>
      </c>
      <c r="B687" s="81" t="str">
        <f>[9]Роспись!B632</f>
        <v>056</v>
      </c>
      <c r="C687" s="81" t="str">
        <f>[9]Роспись!C632</f>
        <v>08</v>
      </c>
      <c r="D687" s="81" t="str">
        <f>[9]Роспись!D632</f>
        <v>01</v>
      </c>
      <c r="E687" s="81">
        <f>[9]Роспись!E632</f>
        <v>4439901</v>
      </c>
      <c r="F687" s="81" t="str">
        <f>[9]Роспись!F632</f>
        <v>001</v>
      </c>
      <c r="G687" s="81">
        <f>[9]Роспись!G632</f>
        <v>226</v>
      </c>
      <c r="H687" s="648">
        <f>[9]Роспись!H632</f>
        <v>104.64</v>
      </c>
      <c r="I687" s="648">
        <f>[9]Финансирование!I687+[9]Финансирование!J687+[9]Финансирование!K687+[9]Финансирование!L687+[9]Финансирование!M687+[9]Финансирование!N687+[9]Финансирование!O687+[9]Финансирование!P687</f>
        <v>104.64</v>
      </c>
      <c r="J687" s="648">
        <f>[9]Финансирование!Q687+[9]Финансирование!T687+[9]Финансирование!U687+[9]Финансирование!V687+[9]Финансирование!W687+[9]Финансирование!X687+[9]Финансирование!Y687+[9]Финансирование!Z687</f>
        <v>0</v>
      </c>
      <c r="K687" s="648">
        <f t="shared" si="52"/>
        <v>0</v>
      </c>
    </row>
    <row r="688" spans="1:16" x14ac:dyDescent="0.15">
      <c r="A688" s="647" t="str">
        <f>[9]Роспись!A633</f>
        <v xml:space="preserve">Прочие расходы </v>
      </c>
      <c r="B688" s="81" t="str">
        <f>[9]Роспись!B633</f>
        <v>056</v>
      </c>
      <c r="C688" s="81" t="str">
        <f>[9]Роспись!C633</f>
        <v>08</v>
      </c>
      <c r="D688" s="81" t="str">
        <f>[9]Роспись!D633</f>
        <v>01</v>
      </c>
      <c r="E688" s="81">
        <f>[9]Роспись!E633</f>
        <v>4439901</v>
      </c>
      <c r="F688" s="81" t="str">
        <f>[9]Роспись!F633</f>
        <v>001</v>
      </c>
      <c r="G688" s="81">
        <f>[9]Роспись!G633</f>
        <v>290</v>
      </c>
      <c r="H688" s="648">
        <f>[9]Роспись!H633</f>
        <v>8</v>
      </c>
      <c r="I688" s="648">
        <f>[9]Финансирование!I688+[9]Финансирование!J688+[9]Финансирование!K688+[9]Финансирование!L688+[9]Финансирование!M688+[9]Финансирование!N688+[9]Финансирование!O688+[9]Финансирование!P688</f>
        <v>4</v>
      </c>
      <c r="J688" s="648">
        <f>[9]Финансирование!Q688+[9]Финансирование!T688+[9]Финансирование!U688+[9]Финансирование!V688+[9]Финансирование!W688+[9]Финансирование!X688+[9]Финансирование!Y688+[9]Финансирование!Z688</f>
        <v>2</v>
      </c>
      <c r="K688" s="648">
        <f t="shared" si="52"/>
        <v>2</v>
      </c>
    </row>
    <row r="689" spans="1:16" x14ac:dyDescent="0.15">
      <c r="A689" s="647" t="str">
        <f>[9]Роспись!A634</f>
        <v xml:space="preserve">Прочие расходы </v>
      </c>
      <c r="B689" s="81" t="str">
        <f>[9]Роспись!B634</f>
        <v>056</v>
      </c>
      <c r="C689" s="81" t="str">
        <f>[9]Роспись!C634</f>
        <v>08</v>
      </c>
      <c r="D689" s="81" t="str">
        <f>[9]Роспись!D634</f>
        <v>01</v>
      </c>
      <c r="E689" s="81" t="str">
        <f>[9]Роспись!E634</f>
        <v>4439500</v>
      </c>
      <c r="F689" s="81" t="str">
        <f>[9]Роспись!F634</f>
        <v>001</v>
      </c>
      <c r="G689" s="81" t="str">
        <f>[9]Роспись!G634</f>
        <v>290</v>
      </c>
      <c r="H689" s="648">
        <f>[9]Роспись!H634</f>
        <v>19</v>
      </c>
      <c r="I689" s="648">
        <f>[9]Финансирование!I689+[9]Финансирование!J689+[9]Финансирование!K689+[9]Финансирование!L689+[9]Финансирование!M689+[9]Финансирование!N689+[9]Финансирование!O689+[9]Финансирование!P689</f>
        <v>9.5</v>
      </c>
      <c r="J689" s="648">
        <f>[9]Финансирование!Q689+[9]Финансирование!T689+[9]Финансирование!U689+[9]Финансирование!V689+[9]Финансирование!W689+[9]Финансирование!X689+[9]Финансирование!Y689+[9]Финансирование!Z689</f>
        <v>4.75</v>
      </c>
      <c r="K689" s="648">
        <f t="shared" si="52"/>
        <v>4.75</v>
      </c>
    </row>
    <row r="690" spans="1:16" x14ac:dyDescent="0.15">
      <c r="A690" s="647" t="str">
        <f>[9]Роспись!A635</f>
        <v>Увелич. стоимости осн. средств</v>
      </c>
      <c r="B690" s="81" t="str">
        <f>[9]Роспись!B635</f>
        <v>056</v>
      </c>
      <c r="C690" s="81" t="str">
        <f>[9]Роспись!C635</f>
        <v>08</v>
      </c>
      <c r="D690" s="81" t="str">
        <f>[9]Роспись!D635</f>
        <v>01</v>
      </c>
      <c r="E690" s="81">
        <f>[9]Роспись!E635</f>
        <v>4439901</v>
      </c>
      <c r="F690" s="81" t="str">
        <f>[9]Роспись!F635</f>
        <v>001</v>
      </c>
      <c r="G690" s="81">
        <f>[9]Роспись!G635</f>
        <v>310</v>
      </c>
      <c r="H690" s="648">
        <f>[9]Роспись!H635</f>
        <v>50.36</v>
      </c>
      <c r="I690" s="648">
        <f>[9]Финансирование!I690+[9]Финансирование!J690+[9]Финансирование!K690+[9]Финансирование!L690+[9]Финансирование!M690+[9]Финансирование!N690+[9]Финансирование!O690+[9]Финансирование!P690</f>
        <v>0</v>
      </c>
      <c r="J690" s="648">
        <f>[9]Финансирование!Q690+[9]Финансирование!T690+[9]Финансирование!U690+[9]Финансирование!V690+[9]Финансирование!W690+[9]Финансирование!X690+[9]Финансирование!Y690+[9]Финансирование!Z690</f>
        <v>0</v>
      </c>
      <c r="K690" s="648">
        <f t="shared" si="52"/>
        <v>50.36</v>
      </c>
    </row>
    <row r="691" spans="1:16" x14ac:dyDescent="0.15">
      <c r="A691" s="647" t="str">
        <f>[9]Роспись!A636</f>
        <v>Увелич. стоимости матер. запасов</v>
      </c>
      <c r="B691" s="81" t="str">
        <f>[9]Роспись!B636</f>
        <v>056</v>
      </c>
      <c r="C691" s="81" t="str">
        <f>[9]Роспись!C636</f>
        <v>08</v>
      </c>
      <c r="D691" s="81" t="str">
        <f>[9]Роспись!D636</f>
        <v>01</v>
      </c>
      <c r="E691" s="81">
        <f>[9]Роспись!E636</f>
        <v>4439901</v>
      </c>
      <c r="F691" s="81" t="str">
        <f>[9]Роспись!F636</f>
        <v>001</v>
      </c>
      <c r="G691" s="81">
        <f>[9]Роспись!G636</f>
        <v>340</v>
      </c>
      <c r="H691" s="648">
        <f>[9]Роспись!H636</f>
        <v>0</v>
      </c>
      <c r="I691" s="648">
        <f>[9]Финансирование!I691+[9]Финансирование!J691+[9]Финансирование!K691+[9]Финансирование!L691+[9]Финансирование!M691+[9]Финансирование!N691+[9]Финансирование!O691+[9]Финансирование!P691</f>
        <v>0</v>
      </c>
      <c r="J691" s="648">
        <f>[9]Финансирование!Q691+[9]Финансирование!T691+[9]Финансирование!U691+[9]Финансирование!V691+[9]Финансирование!W691+[9]Финансирование!X691+[9]Финансирование!Y691+[9]Финансирование!Z691</f>
        <v>0</v>
      </c>
      <c r="K691" s="648">
        <f t="shared" si="52"/>
        <v>0</v>
      </c>
    </row>
    <row r="692" spans="1:16" x14ac:dyDescent="0.15">
      <c r="A692" s="674" t="s">
        <v>98</v>
      </c>
      <c r="B692" s="666" t="s">
        <v>79</v>
      </c>
      <c r="C692" s="666" t="s">
        <v>80</v>
      </c>
      <c r="D692" s="666" t="s">
        <v>125</v>
      </c>
      <c r="E692" s="666" t="s">
        <v>216</v>
      </c>
      <c r="F692" s="666" t="s">
        <v>102</v>
      </c>
      <c r="G692" s="675"/>
      <c r="H692" s="643">
        <f>SUM(H679:H691)</f>
        <v>6187.8</v>
      </c>
      <c r="I692" s="681">
        <f>SUM(I679:I691)</f>
        <v>2932.69</v>
      </c>
      <c r="J692" s="681">
        <f>SUM(J679:J691)</f>
        <v>3190.1</v>
      </c>
      <c r="K692" s="643">
        <f>SUM(K679:K691)</f>
        <v>65.010000000000005</v>
      </c>
      <c r="L692" s="678"/>
      <c r="M692" s="678"/>
      <c r="N692" s="678"/>
      <c r="O692" s="678"/>
      <c r="P692" s="678"/>
    </row>
    <row r="693" spans="1:16" ht="52" x14ac:dyDescent="0.15">
      <c r="A693" s="692" t="str">
        <f>'[9]Новая роспись'!A728</f>
        <v>Субсидия на финансовое обеспечение государственного задания на оказание государственных услуг (выполнение работ)</v>
      </c>
      <c r="B693" s="666"/>
      <c r="C693" s="666"/>
      <c r="D693" s="666"/>
      <c r="E693" s="666"/>
      <c r="F693" s="692">
        <f>'[9]Новая роспись'!F728</f>
        <v>611</v>
      </c>
      <c r="G693" s="692" t="str">
        <f>'[9]Новая роспись'!G728</f>
        <v>241</v>
      </c>
      <c r="H693" s="645">
        <f>'[9]Новая роспись'!H728</f>
        <v>3255.11</v>
      </c>
      <c r="I693" s="648">
        <f>[9]Финансирование!I693+[9]Финансирование!J693+[9]Финансирование!K693+[9]Финансирование!L693+[9]Финансирование!M693+[9]Финансирование!N693+[9]Финансирование!O693+[9]Финансирование!P693+[9]Финансирование!Q693+[9]Финансирование!T693+[9]Финансирование!U693+[9]Финансирование!V693+[9]Финансирование!W693+[9]Финансирование!X693+[9]Финансирование!Y693+[9]Финансирование!Z693</f>
        <v>3190.1</v>
      </c>
      <c r="J693" s="648"/>
      <c r="K693" s="648">
        <f>H693-I693</f>
        <v>65.010000000000218</v>
      </c>
      <c r="L693" s="678"/>
      <c r="M693" s="678"/>
      <c r="N693" s="678"/>
      <c r="O693" s="678"/>
      <c r="P693" s="678"/>
    </row>
    <row r="694" spans="1:16" x14ac:dyDescent="0.15">
      <c r="A694" s="3082" t="s">
        <v>155</v>
      </c>
      <c r="B694" s="3084"/>
      <c r="C694" s="3084"/>
      <c r="D694" s="3083"/>
      <c r="E694" s="672"/>
      <c r="F694" s="672"/>
      <c r="G694" s="649"/>
      <c r="H694" s="648"/>
      <c r="I694" s="648">
        <f>[9]Финансирование!I694+[9]Финансирование!J694+[9]Финансирование!K694+[9]Финансирование!L694+[9]Финансирование!M694+[9]Финансирование!N694+[9]Финансирование!O694+[9]Финансирование!P694+[9]Финансирование!Q694+[9]Финансирование!T694+[9]Финансирование!U694+[9]Финансирование!V694+[9]Финансирование!W694+[9]Финансирование!X694+[9]Финансирование!Y694+[9]Финансирование!Z694</f>
        <v>0</v>
      </c>
      <c r="J694" s="648"/>
      <c r="K694" s="648"/>
      <c r="L694" s="646"/>
      <c r="M694" s="646"/>
      <c r="N694" s="646"/>
      <c r="O694" s="646"/>
      <c r="P694" s="646"/>
    </row>
    <row r="695" spans="1:16" x14ac:dyDescent="0.15">
      <c r="A695" s="647" t="str">
        <f>[9]Роспись!A639</f>
        <v>Заработная плата</v>
      </c>
      <c r="B695" s="81" t="str">
        <f>[9]Роспись!B639</f>
        <v>056</v>
      </c>
      <c r="C695" s="81" t="str">
        <f>[9]Роспись!C639</f>
        <v>08</v>
      </c>
      <c r="D695" s="81" t="str">
        <f>[9]Роспись!D639</f>
        <v>01</v>
      </c>
      <c r="E695" s="81">
        <f>[9]Роспись!E639</f>
        <v>4439901</v>
      </c>
      <c r="F695" s="81" t="str">
        <f>[9]Роспись!F639</f>
        <v>001</v>
      </c>
      <c r="G695" s="81">
        <f>[9]Роспись!G639</f>
        <v>211</v>
      </c>
      <c r="H695" s="648">
        <f>[9]Роспись!H639</f>
        <v>3705.2</v>
      </c>
      <c r="I695" s="648">
        <f>[9]Финансирование!I695+[9]Финансирование!J695+[9]Финансирование!K695+[9]Финансирование!L695+[9]Финансирование!M695+[9]Финансирование!N695+[9]Финансирование!O695+[9]Финансирование!P695</f>
        <v>1708.6</v>
      </c>
      <c r="J695" s="648">
        <f>[9]Финансирование!Q695+[9]Финансирование!T695+[9]Финансирование!U695+[9]Финансирование!V695+[9]Финансирование!W695+[9]Финансирование!X695+[9]Финансирование!Y695+[9]Финансирование!Z695</f>
        <v>1996.6000000000006</v>
      </c>
      <c r="K695" s="648">
        <f>H695-I695-J695</f>
        <v>0</v>
      </c>
    </row>
    <row r="696" spans="1:16" x14ac:dyDescent="0.15">
      <c r="A696" s="647" t="str">
        <f>[9]Роспись!A640</f>
        <v xml:space="preserve">Прочие выплаты </v>
      </c>
      <c r="B696" s="81" t="str">
        <f>[9]Роспись!B640</f>
        <v>056</v>
      </c>
      <c r="C696" s="81" t="str">
        <f>[9]Роспись!C640</f>
        <v>08</v>
      </c>
      <c r="D696" s="81" t="str">
        <f>[9]Роспись!D640</f>
        <v>01</v>
      </c>
      <c r="E696" s="81">
        <f>[9]Роспись!E640</f>
        <v>4439901</v>
      </c>
      <c r="F696" s="81" t="str">
        <f>[9]Роспись!F640</f>
        <v>001</v>
      </c>
      <c r="G696" s="81">
        <f>[9]Роспись!G640</f>
        <v>212</v>
      </c>
      <c r="H696" s="648">
        <f>[9]Роспись!H640</f>
        <v>0</v>
      </c>
      <c r="I696" s="648">
        <f>[9]Финансирование!I696+[9]Финансирование!J696+[9]Финансирование!K696+[9]Финансирование!L696+[9]Финансирование!M696+[9]Финансирование!N696+[9]Финансирование!O696+[9]Финансирование!P696</f>
        <v>0</v>
      </c>
      <c r="J696" s="648">
        <f>[9]Финансирование!Q696+[9]Финансирование!T696+[9]Финансирование!U696+[9]Финансирование!V696+[9]Финансирование!W696+[9]Финансирование!X696+[9]Финансирование!Y696+[9]Финансирование!Z696</f>
        <v>0</v>
      </c>
      <c r="K696" s="648">
        <f t="shared" ref="K696:K707" si="53">H696-I696-J696</f>
        <v>0</v>
      </c>
    </row>
    <row r="697" spans="1:16" x14ac:dyDescent="0.15">
      <c r="A697" s="647" t="str">
        <f>[9]Роспись!A641</f>
        <v>Начисления на оплату труда</v>
      </c>
      <c r="B697" s="81" t="str">
        <f>[9]Роспись!B641</f>
        <v>056</v>
      </c>
      <c r="C697" s="81" t="str">
        <f>[9]Роспись!C641</f>
        <v>08</v>
      </c>
      <c r="D697" s="81" t="str">
        <f>[9]Роспись!D641</f>
        <v>01</v>
      </c>
      <c r="E697" s="81">
        <f>[9]Роспись!E641</f>
        <v>4439901</v>
      </c>
      <c r="F697" s="81" t="str">
        <f>[9]Роспись!F641</f>
        <v>001</v>
      </c>
      <c r="G697" s="81">
        <f>[9]Роспись!G641</f>
        <v>213</v>
      </c>
      <c r="H697" s="648">
        <f>[9]Роспись!H641</f>
        <v>1119</v>
      </c>
      <c r="I697" s="648">
        <f>[9]Финансирование!I697+[9]Финансирование!J697+[9]Финансирование!K697+[9]Финансирование!L697+[9]Финансирование!M697+[9]Финансирование!N697+[9]Финансирование!O697+[9]Финансирование!P697</f>
        <v>552.78000000000009</v>
      </c>
      <c r="J697" s="648">
        <f>[9]Финансирование!Q697+[9]Финансирование!T697+[9]Финансирование!U697+[9]Финансирование!V697+[9]Финансирование!W697+[9]Финансирование!X697+[9]Финансирование!Y697+[9]Финансирование!Z697</f>
        <v>566.22</v>
      </c>
      <c r="K697" s="648">
        <f t="shared" si="53"/>
        <v>0</v>
      </c>
    </row>
    <row r="698" spans="1:16" x14ac:dyDescent="0.15">
      <c r="A698" s="647" t="str">
        <f>[9]Роспись!A642</f>
        <v xml:space="preserve">Оплата услуг связи </v>
      </c>
      <c r="B698" s="81" t="str">
        <f>[9]Роспись!B642</f>
        <v>056</v>
      </c>
      <c r="C698" s="81" t="str">
        <f>[9]Роспись!C642</f>
        <v>08</v>
      </c>
      <c r="D698" s="81" t="str">
        <f>[9]Роспись!D642</f>
        <v>01</v>
      </c>
      <c r="E698" s="81">
        <f>[9]Роспись!E642</f>
        <v>4439901</v>
      </c>
      <c r="F698" s="81" t="str">
        <f>[9]Роспись!F642</f>
        <v>001</v>
      </c>
      <c r="G698" s="81">
        <f>[9]Роспись!G642</f>
        <v>221</v>
      </c>
      <c r="H698" s="648">
        <f>[9]Роспись!H642</f>
        <v>0</v>
      </c>
      <c r="I698" s="648">
        <f>[9]Финансирование!I698+[9]Финансирование!J698+[9]Финансирование!K698+[9]Финансирование!L698+[9]Финансирование!M698+[9]Финансирование!N698+[9]Финансирование!O698+[9]Финансирование!P698</f>
        <v>0</v>
      </c>
      <c r="J698" s="648">
        <f>[9]Финансирование!Q698+[9]Финансирование!T698+[9]Финансирование!U698+[9]Финансирование!V698+[9]Финансирование!W698+[9]Финансирование!X698+[9]Финансирование!Y698+[9]Финансирование!Z698</f>
        <v>0</v>
      </c>
      <c r="K698" s="648">
        <f t="shared" si="53"/>
        <v>0</v>
      </c>
    </row>
    <row r="699" spans="1:16" x14ac:dyDescent="0.15">
      <c r="A699" s="647" t="str">
        <f>[9]Роспись!A643</f>
        <v>Транспортные услуги</v>
      </c>
      <c r="B699" s="81" t="str">
        <f>[9]Роспись!B643</f>
        <v>056</v>
      </c>
      <c r="C699" s="81" t="str">
        <f>[9]Роспись!C643</f>
        <v>08</v>
      </c>
      <c r="D699" s="81" t="str">
        <f>[9]Роспись!D643</f>
        <v>01</v>
      </c>
      <c r="E699" s="81">
        <f>[9]Роспись!E643</f>
        <v>4439901</v>
      </c>
      <c r="F699" s="81" t="str">
        <f>[9]Роспись!F643</f>
        <v>001</v>
      </c>
      <c r="G699" s="81">
        <f>[9]Роспись!G643</f>
        <v>222</v>
      </c>
      <c r="H699" s="648">
        <f>[9]Роспись!H643</f>
        <v>0</v>
      </c>
      <c r="I699" s="648">
        <f>[9]Финансирование!I699+[9]Финансирование!J699+[9]Финансирование!K699+[9]Финансирование!L699+[9]Финансирование!M699+[9]Финансирование!N699+[9]Финансирование!O699+[9]Финансирование!P699</f>
        <v>0</v>
      </c>
      <c r="J699" s="648">
        <f>[9]Финансирование!Q699+[9]Финансирование!T699+[9]Финансирование!U699+[9]Финансирование!V699+[9]Финансирование!W699+[9]Финансирование!X699+[9]Финансирование!Y699+[9]Финансирование!Z699</f>
        <v>0</v>
      </c>
      <c r="K699" s="648">
        <f t="shared" si="53"/>
        <v>0</v>
      </c>
    </row>
    <row r="700" spans="1:16" x14ac:dyDescent="0.15">
      <c r="A700" s="647" t="str">
        <f>[9]Роспись!A644</f>
        <v>Коммунальные услуги</v>
      </c>
      <c r="B700" s="81" t="str">
        <f>[9]Роспись!B644</f>
        <v>056</v>
      </c>
      <c r="C700" s="81" t="str">
        <f>[9]Роспись!C644</f>
        <v>08</v>
      </c>
      <c r="D700" s="81" t="str">
        <f>[9]Роспись!D644</f>
        <v>01</v>
      </c>
      <c r="E700" s="81">
        <f>[9]Роспись!E644</f>
        <v>4439901</v>
      </c>
      <c r="F700" s="81" t="str">
        <f>[9]Роспись!F644</f>
        <v>001</v>
      </c>
      <c r="G700" s="81">
        <f>[9]Роспись!G644</f>
        <v>223</v>
      </c>
      <c r="H700" s="648">
        <f>[9]Роспись!H644</f>
        <v>0</v>
      </c>
      <c r="I700" s="648">
        <f>[9]Финансирование!I700+[9]Финансирование!J700+[9]Финансирование!K700+[9]Финансирование!L700+[9]Финансирование!M700+[9]Финансирование!N700+[9]Финансирование!O700+[9]Финансирование!P700</f>
        <v>0</v>
      </c>
      <c r="J700" s="648">
        <f>[9]Финансирование!Q700+[9]Финансирование!T700+[9]Финансирование!U700+[9]Финансирование!V700+[9]Финансирование!W700+[9]Финансирование!X700+[9]Финансирование!Y700+[9]Финансирование!Z700</f>
        <v>0</v>
      </c>
      <c r="K700" s="648">
        <f t="shared" si="53"/>
        <v>0</v>
      </c>
    </row>
    <row r="701" spans="1:16" x14ac:dyDescent="0.15">
      <c r="A701" s="647" t="str">
        <f>[9]Роспись!A645</f>
        <v>Арендная плата</v>
      </c>
      <c r="B701" s="81" t="str">
        <f>[9]Роспись!B645</f>
        <v>056</v>
      </c>
      <c r="C701" s="81" t="str">
        <f>[9]Роспись!C645</f>
        <v>08</v>
      </c>
      <c r="D701" s="81" t="str">
        <f>[9]Роспись!D645</f>
        <v>01</v>
      </c>
      <c r="E701" s="81">
        <f>[9]Роспись!E645</f>
        <v>4439901</v>
      </c>
      <c r="F701" s="81" t="str">
        <f>[9]Роспись!F645</f>
        <v>001</v>
      </c>
      <c r="G701" s="81">
        <f>[9]Роспись!G645</f>
        <v>224</v>
      </c>
      <c r="H701" s="648">
        <f>[9]Роспись!H645</f>
        <v>0</v>
      </c>
      <c r="I701" s="648">
        <f>[9]Финансирование!I701+[9]Финансирование!J701+[9]Финансирование!K701+[9]Финансирование!L701+[9]Финансирование!M701+[9]Финансирование!N701+[9]Финансирование!O701+[9]Финансирование!P701</f>
        <v>0</v>
      </c>
      <c r="J701" s="648">
        <f>[9]Финансирование!Q701+[9]Финансирование!T701+[9]Финансирование!U701+[9]Финансирование!V701+[9]Финансирование!W701+[9]Финансирование!X701+[9]Финансирование!Y701+[9]Финансирование!Z701</f>
        <v>0</v>
      </c>
      <c r="K701" s="648">
        <f t="shared" si="53"/>
        <v>0</v>
      </c>
    </row>
    <row r="702" spans="1:16" x14ac:dyDescent="0.15">
      <c r="A702" s="647" t="str">
        <f>[9]Роспись!A646</f>
        <v>Услуги по содерж. имущества</v>
      </c>
      <c r="B702" s="81" t="str">
        <f>[9]Роспись!B646</f>
        <v>056</v>
      </c>
      <c r="C702" s="81" t="str">
        <f>[9]Роспись!C646</f>
        <v>08</v>
      </c>
      <c r="D702" s="81" t="str">
        <f>[9]Роспись!D646</f>
        <v>01</v>
      </c>
      <c r="E702" s="81">
        <f>[9]Роспись!E646</f>
        <v>4439901</v>
      </c>
      <c r="F702" s="81" t="str">
        <f>[9]Роспись!F646</f>
        <v>001</v>
      </c>
      <c r="G702" s="81">
        <f>[9]Роспись!G646</f>
        <v>225</v>
      </c>
      <c r="H702" s="648">
        <f>[9]Роспись!H646</f>
        <v>0</v>
      </c>
      <c r="I702" s="648">
        <f>[9]Финансирование!I702+[9]Финансирование!J702+[9]Финансирование!K702+[9]Финансирование!L702+[9]Финансирование!M702+[9]Финансирование!N702+[9]Финансирование!O702+[9]Финансирование!P702</f>
        <v>0</v>
      </c>
      <c r="J702" s="648">
        <f>[9]Финансирование!Q702+[9]Финансирование!T702+[9]Финансирование!U702+[9]Финансирование!V702+[9]Финансирование!W702+[9]Финансирование!X702+[9]Финансирование!Y702+[9]Финансирование!Z702</f>
        <v>0</v>
      </c>
      <c r="K702" s="648">
        <f t="shared" si="53"/>
        <v>0</v>
      </c>
    </row>
    <row r="703" spans="1:16" x14ac:dyDescent="0.15">
      <c r="A703" s="647" t="str">
        <f>[9]Роспись!A647</f>
        <v>Прочие услуги</v>
      </c>
      <c r="B703" s="81" t="str">
        <f>[9]Роспись!B647</f>
        <v>056</v>
      </c>
      <c r="C703" s="81" t="str">
        <f>[9]Роспись!C647</f>
        <v>08</v>
      </c>
      <c r="D703" s="81" t="str">
        <f>[9]Роспись!D647</f>
        <v>01</v>
      </c>
      <c r="E703" s="81">
        <f>[9]Роспись!E647</f>
        <v>4439901</v>
      </c>
      <c r="F703" s="81" t="str">
        <f>[9]Роспись!F647</f>
        <v>001</v>
      </c>
      <c r="G703" s="81">
        <f>[9]Роспись!G647</f>
        <v>226</v>
      </c>
      <c r="H703" s="648">
        <f>[9]Роспись!H647</f>
        <v>165</v>
      </c>
      <c r="I703" s="648">
        <f>[9]Финансирование!I703+[9]Финансирование!J703+[9]Финансирование!K703+[9]Финансирование!L703+[9]Финансирование!M703+[9]Финансирование!N703+[9]Финансирование!O703+[9]Финансирование!P703</f>
        <v>115</v>
      </c>
      <c r="J703" s="648">
        <f>[9]Финансирование!Q703+[9]Финансирование!T703+[9]Финансирование!U703+[9]Финансирование!V703+[9]Финансирование!W703+[9]Финансирование!X703+[9]Финансирование!Y703+[9]Финансирование!Z703</f>
        <v>0</v>
      </c>
      <c r="K703" s="648">
        <f t="shared" si="53"/>
        <v>50</v>
      </c>
    </row>
    <row r="704" spans="1:16" x14ac:dyDescent="0.15">
      <c r="A704" s="647" t="str">
        <f>[9]Роспись!A648</f>
        <v xml:space="preserve">Прочие расходы </v>
      </c>
      <c r="B704" s="81" t="str">
        <f>[9]Роспись!B648</f>
        <v>056</v>
      </c>
      <c r="C704" s="81" t="str">
        <f>[9]Роспись!C648</f>
        <v>08</v>
      </c>
      <c r="D704" s="81" t="str">
        <f>[9]Роспись!D648</f>
        <v>01</v>
      </c>
      <c r="E704" s="81">
        <f>[9]Роспись!E648</f>
        <v>4439901</v>
      </c>
      <c r="F704" s="81" t="str">
        <f>[9]Роспись!F648</f>
        <v>001</v>
      </c>
      <c r="G704" s="81">
        <f>[9]Роспись!G648</f>
        <v>290</v>
      </c>
      <c r="H704" s="648">
        <f>[9]Роспись!H648</f>
        <v>8</v>
      </c>
      <c r="I704" s="648">
        <f>[9]Финансирование!I704+[9]Финансирование!J704+[9]Финансирование!K704+[9]Финансирование!L704+[9]Финансирование!M704+[9]Финансирование!N704+[9]Финансирование!O704+[9]Финансирование!P704</f>
        <v>4</v>
      </c>
      <c r="J704" s="648">
        <f>[9]Финансирование!Q704+[9]Финансирование!T704+[9]Финансирование!U704+[9]Финансирование!V704+[9]Финансирование!W704+[9]Финансирование!X704+[9]Финансирование!Y704+[9]Финансирование!Z704</f>
        <v>2</v>
      </c>
      <c r="K704" s="648">
        <f t="shared" si="53"/>
        <v>2</v>
      </c>
    </row>
    <row r="705" spans="1:16" x14ac:dyDescent="0.15">
      <c r="A705" s="647" t="str">
        <f>[9]Роспись!A649</f>
        <v xml:space="preserve">Прочие расходы </v>
      </c>
      <c r="B705" s="81" t="str">
        <f>[9]Роспись!B649</f>
        <v>056</v>
      </c>
      <c r="C705" s="81" t="str">
        <f>[9]Роспись!C649</f>
        <v>08</v>
      </c>
      <c r="D705" s="81" t="str">
        <f>[9]Роспись!D649</f>
        <v>01</v>
      </c>
      <c r="E705" s="81" t="str">
        <f>[9]Роспись!E649</f>
        <v>4439500</v>
      </c>
      <c r="F705" s="81" t="str">
        <f>[9]Роспись!F649</f>
        <v>001</v>
      </c>
      <c r="G705" s="81" t="str">
        <f>[9]Роспись!G649</f>
        <v>290</v>
      </c>
      <c r="H705" s="648">
        <f>[9]Роспись!H649</f>
        <v>19.100000000000001</v>
      </c>
      <c r="I705" s="648">
        <f>[9]Финансирование!I705+[9]Финансирование!J705+[9]Финансирование!K705+[9]Финансирование!L705+[9]Финансирование!M705+[9]Финансирование!N705+[9]Финансирование!O705+[9]Финансирование!P705</f>
        <v>12.8</v>
      </c>
      <c r="J705" s="648">
        <f>[9]Финансирование!Q705+[9]Финансирование!T705+[9]Финансирование!U705+[9]Финансирование!V705+[9]Финансирование!W705+[9]Финансирование!X705+[9]Финансирование!Y705+[9]Финансирование!Z705</f>
        <v>6.3250000000000002</v>
      </c>
      <c r="K705" s="648">
        <f t="shared" si="53"/>
        <v>-2.4999999999999467E-2</v>
      </c>
    </row>
    <row r="706" spans="1:16" x14ac:dyDescent="0.15">
      <c r="A706" s="647" t="str">
        <f>[9]Роспись!A650</f>
        <v>Увелич. стоимости осн. средств</v>
      </c>
      <c r="B706" s="81" t="str">
        <f>[9]Роспись!B650</f>
        <v>056</v>
      </c>
      <c r="C706" s="81" t="str">
        <f>[9]Роспись!C650</f>
        <v>08</v>
      </c>
      <c r="D706" s="81" t="str">
        <f>[9]Роспись!D650</f>
        <v>01</v>
      </c>
      <c r="E706" s="81">
        <f>[9]Роспись!E650</f>
        <v>4439901</v>
      </c>
      <c r="F706" s="81" t="str">
        <f>[9]Роспись!F650</f>
        <v>001</v>
      </c>
      <c r="G706" s="81">
        <f>[9]Роспись!G650</f>
        <v>310</v>
      </c>
      <c r="H706" s="648">
        <f>[9]Роспись!H650</f>
        <v>90</v>
      </c>
      <c r="I706" s="648">
        <f>[9]Финансирование!I706+[9]Финансирование!J706+[9]Финансирование!K706+[9]Финансирование!L706+[9]Финансирование!M706+[9]Финансирование!N706+[9]Финансирование!O706+[9]Финансирование!P706</f>
        <v>0</v>
      </c>
      <c r="J706" s="648">
        <f>[9]Финансирование!Q706+[9]Финансирование!T706+[9]Финансирование!U706+[9]Финансирование!V706+[9]Финансирование!W706+[9]Финансирование!X706+[9]Финансирование!Y706+[9]Финансирование!Z706</f>
        <v>0</v>
      </c>
      <c r="K706" s="648">
        <f t="shared" si="53"/>
        <v>90</v>
      </c>
    </row>
    <row r="707" spans="1:16" x14ac:dyDescent="0.15">
      <c r="A707" s="647" t="str">
        <f>[9]Роспись!A651</f>
        <v>Увелич. стоимости матер. запасов</v>
      </c>
      <c r="B707" s="81" t="str">
        <f>[9]Роспись!B651</f>
        <v>056</v>
      </c>
      <c r="C707" s="81" t="str">
        <f>[9]Роспись!C651</f>
        <v>08</v>
      </c>
      <c r="D707" s="81" t="str">
        <f>[9]Роспись!D651</f>
        <v>01</v>
      </c>
      <c r="E707" s="81">
        <f>[9]Роспись!E651</f>
        <v>4439901</v>
      </c>
      <c r="F707" s="81" t="str">
        <f>[9]Роспись!F651</f>
        <v>001</v>
      </c>
      <c r="G707" s="81">
        <f>[9]Роспись!G651</f>
        <v>340</v>
      </c>
      <c r="H707" s="648">
        <f>[9]Роспись!H651</f>
        <v>30</v>
      </c>
      <c r="I707" s="648">
        <f>[9]Финансирование!I707+[9]Финансирование!J707+[9]Финансирование!K707+[9]Финансирование!L707+[9]Финансирование!M707+[9]Финансирование!N707+[9]Финансирование!O707+[9]Финансирование!P707</f>
        <v>7.5</v>
      </c>
      <c r="J707" s="648">
        <f>[9]Финансирование!Q707+[9]Финансирование!T707+[9]Финансирование!U707+[9]Финансирование!V707+[9]Финансирование!W707+[9]Финансирование!X707+[9]Финансирование!Y707+[9]Финансирование!Z707</f>
        <v>0</v>
      </c>
      <c r="K707" s="648">
        <f t="shared" si="53"/>
        <v>22.5</v>
      </c>
    </row>
    <row r="708" spans="1:16" x14ac:dyDescent="0.15">
      <c r="A708" s="674" t="s">
        <v>98</v>
      </c>
      <c r="B708" s="666" t="s">
        <v>79</v>
      </c>
      <c r="C708" s="666" t="s">
        <v>80</v>
      </c>
      <c r="D708" s="666" t="s">
        <v>125</v>
      </c>
      <c r="E708" s="666" t="s">
        <v>216</v>
      </c>
      <c r="F708" s="666" t="s">
        <v>102</v>
      </c>
      <c r="G708" s="675"/>
      <c r="H708" s="643">
        <f>SUM(H695:H707)</f>
        <v>5136.3</v>
      </c>
      <c r="I708" s="681">
        <f>SUM(I695:I707)</f>
        <v>2400.6800000000003</v>
      </c>
      <c r="J708" s="681">
        <f>SUM(J695:J707)</f>
        <v>2571.1450000000004</v>
      </c>
      <c r="K708" s="643">
        <f>SUM(K695:K707)</f>
        <v>164.47499999999999</v>
      </c>
      <c r="L708" s="678"/>
      <c r="M708" s="678"/>
      <c r="N708" s="678"/>
      <c r="O708" s="678"/>
      <c r="P708" s="678"/>
    </row>
    <row r="709" spans="1:16" ht="52" x14ac:dyDescent="0.15">
      <c r="A709" s="692" t="str">
        <f>'[9]Новая роспись'!A745</f>
        <v>Субсидия на финансовое обеспечение государственного задания на оказание государственных услуг (выполнение работ)</v>
      </c>
      <c r="B709" s="666"/>
      <c r="C709" s="666"/>
      <c r="D709" s="666"/>
      <c r="E709" s="666"/>
      <c r="F709" s="692">
        <f>'[9]Новая роспись'!F745</f>
        <v>611</v>
      </c>
      <c r="G709" s="692" t="str">
        <f>'[9]Новая роспись'!G745</f>
        <v>241</v>
      </c>
      <c r="H709" s="645">
        <f>'[9]Новая роспись'!H745</f>
        <v>2735.62</v>
      </c>
      <c r="I709" s="648">
        <f>J708-I710</f>
        <v>2571.1450000000004</v>
      </c>
      <c r="J709" s="648"/>
      <c r="K709" s="648">
        <f>H709-I709</f>
        <v>164.47499999999945</v>
      </c>
      <c r="L709" s="678"/>
      <c r="M709" s="678"/>
      <c r="N709" s="678"/>
      <c r="O709" s="678"/>
      <c r="P709" s="678"/>
    </row>
    <row r="710" spans="1:16" x14ac:dyDescent="0.15">
      <c r="A710" s="78" t="s">
        <v>156</v>
      </c>
      <c r="B710" s="672"/>
      <c r="C710" s="672"/>
      <c r="D710" s="672"/>
      <c r="E710" s="672"/>
      <c r="F710" s="672"/>
      <c r="G710" s="649"/>
      <c r="H710" s="648"/>
      <c r="I710" s="648">
        <f>[9]Финансирование!I710+[9]Финансирование!J710+[9]Финансирование!K710+[9]Финансирование!L710+[9]Финансирование!M710+[9]Финансирование!N710+[9]Финансирование!O710+[9]Финансирование!P710+[9]Финансирование!Q710+[9]Финансирование!T710+[9]Финансирование!U710+[9]Финансирование!V710+[9]Финансирование!W710+[9]Финансирование!X710+[9]Финансирование!Y710+[9]Финансирование!Z710</f>
        <v>0</v>
      </c>
      <c r="J710" s="648"/>
      <c r="K710" s="648"/>
      <c r="L710" s="646"/>
      <c r="M710" s="646"/>
      <c r="N710" s="646"/>
      <c r="O710" s="646"/>
      <c r="P710" s="646"/>
    </row>
    <row r="711" spans="1:16" x14ac:dyDescent="0.15">
      <c r="A711" s="647" t="str">
        <f>[9]Роспись!A654</f>
        <v>Заработная плата</v>
      </c>
      <c r="B711" s="81" t="str">
        <f>[9]Роспись!B654</f>
        <v>056</v>
      </c>
      <c r="C711" s="81" t="str">
        <f>[9]Роспись!C654</f>
        <v>08</v>
      </c>
      <c r="D711" s="81" t="str">
        <f>[9]Роспись!D654</f>
        <v>01</v>
      </c>
      <c r="E711" s="81">
        <f>[9]Роспись!E654</f>
        <v>4439901</v>
      </c>
      <c r="F711" s="81" t="str">
        <f>[9]Роспись!F654</f>
        <v>001</v>
      </c>
      <c r="G711" s="81">
        <f>[9]Роспись!G654</f>
        <v>211</v>
      </c>
      <c r="H711" s="648">
        <f>[9]Роспись!H654</f>
        <v>5246</v>
      </c>
      <c r="I711" s="648">
        <f>[9]Финансирование!I711+[9]Финансирование!J711+[9]Финансирование!K711+[9]Финансирование!L711+[9]Финансирование!M711+[9]Финансирование!N711+[9]Финансирование!O711+[9]Финансирование!P711</f>
        <v>2419.1</v>
      </c>
      <c r="J711" s="648">
        <f>[9]Финансирование!Q711+[9]Финансирование!T711+[9]Финансирование!U711+[9]Финансирование!V711+[9]Финансирование!W711+[9]Финансирование!X711+[9]Финансирование!Y711+[9]Финансирование!Z711</f>
        <v>2826.9</v>
      </c>
      <c r="K711" s="648">
        <f>H711-I711-J711</f>
        <v>0</v>
      </c>
    </row>
    <row r="712" spans="1:16" x14ac:dyDescent="0.15">
      <c r="A712" s="647" t="str">
        <f>[9]Роспись!A655</f>
        <v xml:space="preserve">Прочие выплаты </v>
      </c>
      <c r="B712" s="81" t="str">
        <f>[9]Роспись!B655</f>
        <v>056</v>
      </c>
      <c r="C712" s="81" t="str">
        <f>[9]Роспись!C655</f>
        <v>08</v>
      </c>
      <c r="D712" s="81" t="str">
        <f>[9]Роспись!D655</f>
        <v>01</v>
      </c>
      <c r="E712" s="81">
        <f>[9]Роспись!E655</f>
        <v>4439901</v>
      </c>
      <c r="F712" s="81" t="str">
        <f>[9]Роспись!F655</f>
        <v>001</v>
      </c>
      <c r="G712" s="81">
        <f>[9]Роспись!G655</f>
        <v>212</v>
      </c>
      <c r="H712" s="648">
        <f>[9]Роспись!H655</f>
        <v>0</v>
      </c>
      <c r="I712" s="648">
        <f>[9]Финансирование!I712+[9]Финансирование!J712+[9]Финансирование!K712+[9]Финансирование!L712+[9]Финансирование!M712+[9]Финансирование!N712+[9]Финансирование!O712+[9]Финансирование!P712</f>
        <v>0</v>
      </c>
      <c r="J712" s="648">
        <f>[9]Финансирование!Q712+[9]Финансирование!T712+[9]Финансирование!U712+[9]Финансирование!V712+[9]Финансирование!W712+[9]Финансирование!X712+[9]Финансирование!Y712+[9]Финансирование!Z712</f>
        <v>0</v>
      </c>
      <c r="K712" s="648">
        <f t="shared" ref="K712:K723" si="54">H712-I712-J712</f>
        <v>0</v>
      </c>
    </row>
    <row r="713" spans="1:16" x14ac:dyDescent="0.15">
      <c r="A713" s="647" t="str">
        <f>[9]Роспись!A656</f>
        <v>Начисления на оплату труда</v>
      </c>
      <c r="B713" s="81" t="str">
        <f>[9]Роспись!B656</f>
        <v>056</v>
      </c>
      <c r="C713" s="81" t="str">
        <f>[9]Роспись!C656</f>
        <v>08</v>
      </c>
      <c r="D713" s="81" t="str">
        <f>[9]Роспись!D656</f>
        <v>01</v>
      </c>
      <c r="E713" s="81">
        <f>[9]Роспись!E656</f>
        <v>4439901</v>
      </c>
      <c r="F713" s="81" t="str">
        <f>[9]Роспись!F656</f>
        <v>001</v>
      </c>
      <c r="G713" s="81">
        <f>[9]Роспись!G656</f>
        <v>213</v>
      </c>
      <c r="H713" s="648">
        <f>[9]Роспись!H656</f>
        <v>1584.3</v>
      </c>
      <c r="I713" s="648">
        <f>[9]Финансирование!I713+[9]Финансирование!J713+[9]Финансирование!K713+[9]Финансирование!L713+[9]Финансирование!M713+[9]Финансирование!N713+[9]Финансирование!O713+[9]Финансирование!P713</f>
        <v>782.42000000000007</v>
      </c>
      <c r="J713" s="648">
        <f>[9]Финансирование!Q713+[9]Финансирование!T713+[9]Финансирование!U713+[9]Финансирование!V713+[9]Финансирование!W713+[9]Финансирование!X713+[9]Финансирование!Y713+[9]Финансирование!Z713</f>
        <v>801.88</v>
      </c>
      <c r="K713" s="648">
        <f t="shared" si="54"/>
        <v>0</v>
      </c>
    </row>
    <row r="714" spans="1:16" x14ac:dyDescent="0.15">
      <c r="A714" s="647" t="str">
        <f>[9]Роспись!A657</f>
        <v xml:space="preserve">Оплата услуг связи </v>
      </c>
      <c r="B714" s="81" t="str">
        <f>[9]Роспись!B657</f>
        <v>056</v>
      </c>
      <c r="C714" s="81" t="str">
        <f>[9]Роспись!C657</f>
        <v>08</v>
      </c>
      <c r="D714" s="81" t="str">
        <f>[9]Роспись!D657</f>
        <v>01</v>
      </c>
      <c r="E714" s="81">
        <f>[9]Роспись!E657</f>
        <v>4439901</v>
      </c>
      <c r="F714" s="81" t="str">
        <f>[9]Роспись!F657</f>
        <v>001</v>
      </c>
      <c r="G714" s="81">
        <f>[9]Роспись!G657</f>
        <v>221</v>
      </c>
      <c r="H714" s="648">
        <f>[9]Роспись!H657</f>
        <v>0</v>
      </c>
      <c r="I714" s="648">
        <f>[9]Финансирование!I714+[9]Финансирование!J714+[9]Финансирование!K714+[9]Финансирование!L714+[9]Финансирование!M714+[9]Финансирование!N714+[9]Финансирование!O714+[9]Финансирование!P714</f>
        <v>0</v>
      </c>
      <c r="J714" s="648">
        <f>[9]Финансирование!Q714+[9]Финансирование!T714+[9]Финансирование!U714+[9]Финансирование!V714+[9]Финансирование!W714+[9]Финансирование!X714+[9]Финансирование!Y714+[9]Финансирование!Z714</f>
        <v>0</v>
      </c>
      <c r="K714" s="648">
        <f t="shared" si="54"/>
        <v>0</v>
      </c>
    </row>
    <row r="715" spans="1:16" x14ac:dyDescent="0.15">
      <c r="A715" s="647" t="str">
        <f>[9]Роспись!A658</f>
        <v>Транспортные услуги</v>
      </c>
      <c r="B715" s="81" t="str">
        <f>[9]Роспись!B658</f>
        <v>056</v>
      </c>
      <c r="C715" s="81" t="str">
        <f>[9]Роспись!C658</f>
        <v>08</v>
      </c>
      <c r="D715" s="81" t="str">
        <f>[9]Роспись!D658</f>
        <v>01</v>
      </c>
      <c r="E715" s="81">
        <f>[9]Роспись!E658</f>
        <v>4439901</v>
      </c>
      <c r="F715" s="81" t="str">
        <f>[9]Роспись!F658</f>
        <v>001</v>
      </c>
      <c r="G715" s="81">
        <f>[9]Роспись!G658</f>
        <v>222</v>
      </c>
      <c r="H715" s="648">
        <f>[9]Роспись!H658</f>
        <v>0</v>
      </c>
      <c r="I715" s="648">
        <f>[9]Финансирование!I715+[9]Финансирование!J715+[9]Финансирование!K715+[9]Финансирование!L715+[9]Финансирование!M715+[9]Финансирование!N715+[9]Финансирование!O715+[9]Финансирование!P715</f>
        <v>0</v>
      </c>
      <c r="J715" s="648">
        <f>[9]Финансирование!Q715+[9]Финансирование!T715+[9]Финансирование!U715+[9]Финансирование!V715+[9]Финансирование!W715+[9]Финансирование!X715+[9]Финансирование!Y715+[9]Финансирование!Z715</f>
        <v>0</v>
      </c>
      <c r="K715" s="648">
        <f t="shared" si="54"/>
        <v>0</v>
      </c>
    </row>
    <row r="716" spans="1:16" x14ac:dyDescent="0.15">
      <c r="A716" s="647" t="str">
        <f>[9]Роспись!A659</f>
        <v>Коммунальные услуги</v>
      </c>
      <c r="B716" s="81" t="str">
        <f>[9]Роспись!B659</f>
        <v>056</v>
      </c>
      <c r="C716" s="81" t="str">
        <f>[9]Роспись!C659</f>
        <v>08</v>
      </c>
      <c r="D716" s="81" t="str">
        <f>[9]Роспись!D659</f>
        <v>01</v>
      </c>
      <c r="E716" s="81">
        <f>[9]Роспись!E659</f>
        <v>4439901</v>
      </c>
      <c r="F716" s="81" t="str">
        <f>[9]Роспись!F659</f>
        <v>001</v>
      </c>
      <c r="G716" s="81">
        <f>[9]Роспись!G659</f>
        <v>223</v>
      </c>
      <c r="H716" s="648">
        <f>[9]Роспись!H659</f>
        <v>0</v>
      </c>
      <c r="I716" s="648">
        <f>[9]Финансирование!I716+[9]Финансирование!J716+[9]Финансирование!K716+[9]Финансирование!L716+[9]Финансирование!M716+[9]Финансирование!N716+[9]Финансирование!O716+[9]Финансирование!P716</f>
        <v>0</v>
      </c>
      <c r="J716" s="648">
        <f>[9]Финансирование!Q716+[9]Финансирование!T716+[9]Финансирование!U716+[9]Финансирование!V716+[9]Финансирование!W716+[9]Финансирование!X716+[9]Финансирование!Y716+[9]Финансирование!Z716</f>
        <v>0</v>
      </c>
      <c r="K716" s="648">
        <f t="shared" si="54"/>
        <v>0</v>
      </c>
    </row>
    <row r="717" spans="1:16" x14ac:dyDescent="0.15">
      <c r="A717" s="647" t="str">
        <f>[9]Роспись!A660</f>
        <v>Арендная плата</v>
      </c>
      <c r="B717" s="81" t="str">
        <f>[9]Роспись!B660</f>
        <v>056</v>
      </c>
      <c r="C717" s="81" t="str">
        <f>[9]Роспись!C660</f>
        <v>08</v>
      </c>
      <c r="D717" s="81" t="str">
        <f>[9]Роспись!D660</f>
        <v>01</v>
      </c>
      <c r="E717" s="81">
        <f>[9]Роспись!E660</f>
        <v>4439901</v>
      </c>
      <c r="F717" s="81" t="str">
        <f>[9]Роспись!F660</f>
        <v>001</v>
      </c>
      <c r="G717" s="81">
        <f>[9]Роспись!G660</f>
        <v>224</v>
      </c>
      <c r="H717" s="648">
        <f>[9]Роспись!H660</f>
        <v>0</v>
      </c>
      <c r="I717" s="648">
        <f>[9]Финансирование!I717+[9]Финансирование!J717+[9]Финансирование!K717+[9]Финансирование!L717+[9]Финансирование!M717+[9]Финансирование!N717+[9]Финансирование!O717+[9]Финансирование!P717</f>
        <v>0</v>
      </c>
      <c r="J717" s="648">
        <f>[9]Финансирование!Q717+[9]Финансирование!T717+[9]Финансирование!U717+[9]Финансирование!V717+[9]Финансирование!W717+[9]Финансирование!X717+[9]Финансирование!Y717+[9]Финансирование!Z717</f>
        <v>0</v>
      </c>
      <c r="K717" s="648">
        <f t="shared" si="54"/>
        <v>0</v>
      </c>
    </row>
    <row r="718" spans="1:16" x14ac:dyDescent="0.15">
      <c r="A718" s="647" t="str">
        <f>[9]Роспись!A661</f>
        <v>Услуги по содерж. имущества</v>
      </c>
      <c r="B718" s="81" t="str">
        <f>[9]Роспись!B661</f>
        <v>056</v>
      </c>
      <c r="C718" s="81" t="str">
        <f>[9]Роспись!C661</f>
        <v>08</v>
      </c>
      <c r="D718" s="81" t="str">
        <f>[9]Роспись!D661</f>
        <v>01</v>
      </c>
      <c r="E718" s="81">
        <f>[9]Роспись!E661</f>
        <v>4439901</v>
      </c>
      <c r="F718" s="81" t="str">
        <f>[9]Роспись!F661</f>
        <v>001</v>
      </c>
      <c r="G718" s="81">
        <f>[9]Роспись!G661</f>
        <v>225</v>
      </c>
      <c r="H718" s="648">
        <f>[9]Роспись!H661</f>
        <v>0</v>
      </c>
      <c r="I718" s="648">
        <f>[9]Финансирование!I718+[9]Финансирование!J718+[9]Финансирование!K718+[9]Финансирование!L718+[9]Финансирование!M718+[9]Финансирование!N718+[9]Финансирование!O718+[9]Финансирование!P718</f>
        <v>0</v>
      </c>
      <c r="J718" s="648">
        <f>[9]Финансирование!Q718+[9]Финансирование!T718+[9]Финансирование!U718+[9]Финансирование!V718+[9]Финансирование!W718+[9]Финансирование!X718+[9]Финансирование!Y718+[9]Финансирование!Z718</f>
        <v>0</v>
      </c>
      <c r="K718" s="648">
        <f t="shared" si="54"/>
        <v>0</v>
      </c>
    </row>
    <row r="719" spans="1:16" x14ac:dyDescent="0.15">
      <c r="A719" s="647" t="str">
        <f>[9]Роспись!A662</f>
        <v>Прочие услуги</v>
      </c>
      <c r="B719" s="81" t="str">
        <f>[9]Роспись!B662</f>
        <v>056</v>
      </c>
      <c r="C719" s="81" t="str">
        <f>[9]Роспись!C662</f>
        <v>08</v>
      </c>
      <c r="D719" s="81" t="str">
        <f>[9]Роспись!D662</f>
        <v>01</v>
      </c>
      <c r="E719" s="81">
        <f>[9]Роспись!E662</f>
        <v>4439901</v>
      </c>
      <c r="F719" s="81" t="str">
        <f>[9]Роспись!F662</f>
        <v>001</v>
      </c>
      <c r="G719" s="81">
        <f>[9]Роспись!G662</f>
        <v>226</v>
      </c>
      <c r="H719" s="648">
        <f>[9]Роспись!H662</f>
        <v>45.14</v>
      </c>
      <c r="I719" s="648">
        <f>[9]Финансирование!I719+[9]Финансирование!J719+[9]Финансирование!K719+[9]Финансирование!L719+[9]Финансирование!M719+[9]Финансирование!N719+[9]Финансирование!O719+[9]Финансирование!P719</f>
        <v>45.14</v>
      </c>
      <c r="J719" s="648">
        <f>[9]Финансирование!Q719+[9]Финансирование!T719+[9]Финансирование!U719+[9]Финансирование!V719+[9]Финансирование!W719+[9]Финансирование!X719+[9]Финансирование!Y719+[9]Финансирование!Z719</f>
        <v>0</v>
      </c>
      <c r="K719" s="648">
        <f t="shared" si="54"/>
        <v>0</v>
      </c>
    </row>
    <row r="720" spans="1:16" x14ac:dyDescent="0.15">
      <c r="A720" s="647" t="str">
        <f>[9]Роспись!A663</f>
        <v xml:space="preserve">Прочие расходы </v>
      </c>
      <c r="B720" s="81" t="str">
        <f>[9]Роспись!B663</f>
        <v>056</v>
      </c>
      <c r="C720" s="81" t="str">
        <f>[9]Роспись!C663</f>
        <v>08</v>
      </c>
      <c r="D720" s="81" t="str">
        <f>[9]Роспись!D663</f>
        <v>01</v>
      </c>
      <c r="E720" s="81">
        <f>[9]Роспись!E663</f>
        <v>4439901</v>
      </c>
      <c r="F720" s="81" t="str">
        <f>[9]Роспись!F663</f>
        <v>001</v>
      </c>
      <c r="G720" s="81">
        <f>[9]Роспись!G663</f>
        <v>290</v>
      </c>
      <c r="H720" s="648">
        <f>[9]Роспись!H663</f>
        <v>8.9</v>
      </c>
      <c r="I720" s="648">
        <f>[9]Финансирование!I720+[9]Финансирование!J720+[9]Финансирование!K720+[9]Финансирование!L720+[9]Финансирование!M720+[9]Финансирование!N720+[9]Финансирование!O720+[9]Финансирование!P720</f>
        <v>4.4000000000000004</v>
      </c>
      <c r="J720" s="648">
        <f>[9]Финансирование!Q720+[9]Финансирование!T720+[9]Финансирование!U720+[9]Финансирование!V720+[9]Финансирование!W720+[9]Финансирование!X720+[9]Финансирование!Y720+[9]Финансирование!Z720</f>
        <v>4.5</v>
      </c>
      <c r="K720" s="648">
        <f t="shared" si="54"/>
        <v>0</v>
      </c>
    </row>
    <row r="721" spans="1:16" x14ac:dyDescent="0.15">
      <c r="A721" s="647" t="str">
        <f>[9]Роспись!A664</f>
        <v xml:space="preserve">Прочие расходы </v>
      </c>
      <c r="B721" s="81" t="str">
        <f>[9]Роспись!B664</f>
        <v>056</v>
      </c>
      <c r="C721" s="81" t="str">
        <f>[9]Роспись!C664</f>
        <v>08</v>
      </c>
      <c r="D721" s="81" t="str">
        <f>[9]Роспись!D664</f>
        <v>01</v>
      </c>
      <c r="E721" s="81" t="str">
        <f>[9]Роспись!E664</f>
        <v>4439500</v>
      </c>
      <c r="F721" s="81" t="str">
        <f>[9]Роспись!F664</f>
        <v>001</v>
      </c>
      <c r="G721" s="81" t="str">
        <f>[9]Роспись!G664</f>
        <v>290</v>
      </c>
      <c r="H721" s="648">
        <f>[9]Роспись!H664</f>
        <v>5.6</v>
      </c>
      <c r="I721" s="648">
        <f>[9]Финансирование!I721+[9]Финансирование!J721+[9]Финансирование!K721+[9]Финансирование!L721+[9]Финансирование!M721+[9]Финансирование!N721+[9]Финансирование!O721+[9]Финансирование!P721</f>
        <v>2.8</v>
      </c>
      <c r="J721" s="648">
        <f>[9]Финансирование!Q721+[9]Финансирование!T721+[9]Финансирование!U721+[9]Финансирование!V721+[9]Финансирование!W721+[9]Финансирование!X721+[9]Финансирование!Y721+[9]Финансирование!Z721</f>
        <v>2.8</v>
      </c>
      <c r="K721" s="648">
        <f t="shared" si="54"/>
        <v>0</v>
      </c>
    </row>
    <row r="722" spans="1:16" x14ac:dyDescent="0.15">
      <c r="A722" s="647" t="str">
        <f>[9]Роспись!A665</f>
        <v>Увелич. стоимости осн. средств</v>
      </c>
      <c r="B722" s="81" t="str">
        <f>[9]Роспись!B665</f>
        <v>056</v>
      </c>
      <c r="C722" s="81" t="str">
        <f>[9]Роспись!C665</f>
        <v>08</v>
      </c>
      <c r="D722" s="81" t="str">
        <f>[9]Роспись!D665</f>
        <v>01</v>
      </c>
      <c r="E722" s="81">
        <f>[9]Роспись!E665</f>
        <v>4439901</v>
      </c>
      <c r="F722" s="81" t="str">
        <f>[9]Роспись!F665</f>
        <v>001</v>
      </c>
      <c r="G722" s="81">
        <f>[9]Роспись!G665</f>
        <v>310</v>
      </c>
      <c r="H722" s="648">
        <f>[9]Роспись!H665</f>
        <v>150</v>
      </c>
      <c r="I722" s="648">
        <f>[9]Финансирование!I722+[9]Финансирование!J722+[9]Финансирование!K722+[9]Финансирование!L722+[9]Финансирование!M722+[9]Финансирование!N722+[9]Финансирование!O722+[9]Финансирование!P722</f>
        <v>0</v>
      </c>
      <c r="J722" s="648">
        <f>[9]Финансирование!Q722+[9]Финансирование!T722+[9]Финансирование!U722+[9]Финансирование!V722+[9]Финансирование!W722+[9]Финансирование!X722+[9]Финансирование!Y722+[9]Финансирование!Z722</f>
        <v>150</v>
      </c>
      <c r="K722" s="648">
        <f t="shared" si="54"/>
        <v>0</v>
      </c>
    </row>
    <row r="723" spans="1:16" x14ac:dyDescent="0.15">
      <c r="A723" s="647" t="str">
        <f>[9]Роспись!A666</f>
        <v>Увелич. стоимости матер. запасов</v>
      </c>
      <c r="B723" s="81" t="str">
        <f>[9]Роспись!B666</f>
        <v>056</v>
      </c>
      <c r="C723" s="81" t="str">
        <f>[9]Роспись!C666</f>
        <v>08</v>
      </c>
      <c r="D723" s="81" t="str">
        <f>[9]Роспись!D666</f>
        <v>01</v>
      </c>
      <c r="E723" s="81">
        <f>[9]Роспись!E666</f>
        <v>4439901</v>
      </c>
      <c r="F723" s="81" t="str">
        <f>[9]Роспись!F666</f>
        <v>001</v>
      </c>
      <c r="G723" s="81">
        <f>[9]Роспись!G666</f>
        <v>340</v>
      </c>
      <c r="H723" s="648">
        <f>[9]Роспись!H666</f>
        <v>0.86</v>
      </c>
      <c r="I723" s="648">
        <f>[9]Финансирование!I723+[9]Финансирование!J723+[9]Финансирование!K723+[9]Финансирование!L723+[9]Финансирование!M723+[9]Финансирование!N723+[9]Финансирование!O723+[9]Финансирование!P723</f>
        <v>0.23</v>
      </c>
      <c r="J723" s="648">
        <f>[9]Финансирование!Q723+[9]Финансирование!T723+[9]Финансирование!U723+[9]Финансирование!V723+[9]Финансирование!W723+[9]Финансирование!X723+[9]Финансирование!Y723+[9]Финансирование!Z723</f>
        <v>0.63</v>
      </c>
      <c r="K723" s="648">
        <f t="shared" si="54"/>
        <v>0</v>
      </c>
    </row>
    <row r="724" spans="1:16" x14ac:dyDescent="0.15">
      <c r="A724" s="674" t="s">
        <v>98</v>
      </c>
      <c r="B724" s="666" t="s">
        <v>79</v>
      </c>
      <c r="C724" s="666" t="s">
        <v>80</v>
      </c>
      <c r="D724" s="666" t="s">
        <v>125</v>
      </c>
      <c r="E724" s="666" t="s">
        <v>216</v>
      </c>
      <c r="F724" s="666" t="s">
        <v>102</v>
      </c>
      <c r="G724" s="675"/>
      <c r="H724" s="643">
        <f>SUM(H711:H723)</f>
        <v>7040.8</v>
      </c>
      <c r="I724" s="681">
        <f>SUM(I711:I723)</f>
        <v>3254.09</v>
      </c>
      <c r="J724" s="681">
        <f>SUM(J711:J723)</f>
        <v>3786.7100000000005</v>
      </c>
      <c r="K724" s="643">
        <f>SUM(K711:K723)</f>
        <v>0</v>
      </c>
      <c r="L724" s="678"/>
      <c r="M724" s="678"/>
      <c r="N724" s="678"/>
      <c r="O724" s="678"/>
      <c r="P724" s="678"/>
    </row>
    <row r="725" spans="1:16" ht="52" x14ac:dyDescent="0.15">
      <c r="A725" s="692" t="str">
        <f>'[9]Новая роспись'!A762</f>
        <v>Субсидия на финансовое обеспечение государственного задания на оказание государственных услуг (выполнение работ)</v>
      </c>
      <c r="B725" s="666"/>
      <c r="C725" s="666"/>
      <c r="D725" s="666"/>
      <c r="E725" s="666"/>
      <c r="F725" s="692">
        <f>'[9]Новая роспись'!F762</f>
        <v>611</v>
      </c>
      <c r="G725" s="692" t="str">
        <f>'[9]Новая роспись'!G762</f>
        <v>241</v>
      </c>
      <c r="H725" s="645">
        <f>'[9]Новая роспись'!H762</f>
        <v>3786.71</v>
      </c>
      <c r="I725" s="648">
        <f>[9]Финансирование!I725+[9]Финансирование!J725+[9]Финансирование!K725+[9]Финансирование!L725+[9]Финансирование!M725+[9]Финансирование!N725+[9]Финансирование!O725+[9]Финансирование!P725+[9]Финансирование!Q725+[9]Финансирование!T725+[9]Финансирование!U725+[9]Финансирование!V725+[9]Финансирование!W725+[9]Финансирование!X725+[9]Финансирование!Y725+[9]Финансирование!Z725</f>
        <v>3786.71</v>
      </c>
      <c r="J725" s="648"/>
      <c r="K725" s="648">
        <f>H725-I725</f>
        <v>0</v>
      </c>
      <c r="L725" s="678"/>
      <c r="M725" s="678"/>
      <c r="N725" s="678"/>
      <c r="O725" s="678"/>
      <c r="P725" s="678"/>
    </row>
    <row r="726" spans="1:16" x14ac:dyDescent="0.15">
      <c r="A726" s="660" t="s">
        <v>157</v>
      </c>
      <c r="B726" s="668"/>
      <c r="C726" s="668"/>
      <c r="D726" s="668"/>
      <c r="E726" s="668"/>
      <c r="F726" s="668"/>
      <c r="G726" s="663"/>
      <c r="H726" s="648"/>
      <c r="I726" s="656">
        <f>[9]Финансирование!I726+[9]Финансирование!J726+[9]Финансирование!K726+[9]Финансирование!L726+[9]Финансирование!M726+[9]Финансирование!N726+[9]Финансирование!O726+[9]Финансирование!P726+[9]Финансирование!Q726+[9]Финансирование!T726+[9]Финансирование!U726+[9]Финансирование!V726+[9]Финансирование!W726+[9]Финансирование!X726+[9]Финансирование!Y726+[9]Финансирование!Z726</f>
        <v>0</v>
      </c>
      <c r="J726" s="656"/>
      <c r="K726" s="656"/>
      <c r="L726" s="646"/>
      <c r="M726" s="646"/>
      <c r="N726" s="646"/>
      <c r="O726" s="646"/>
      <c r="P726" s="646"/>
    </row>
    <row r="727" spans="1:16" x14ac:dyDescent="0.15">
      <c r="A727" s="657" t="str">
        <f>[9]Роспись!A669</f>
        <v>Заработная плата</v>
      </c>
      <c r="B727" s="654" t="str">
        <f>[9]Роспись!B669</f>
        <v>056</v>
      </c>
      <c r="C727" s="654" t="str">
        <f>[9]Роспись!C669</f>
        <v>08</v>
      </c>
      <c r="D727" s="654" t="str">
        <f>[9]Роспись!D669</f>
        <v>01</v>
      </c>
      <c r="E727" s="654">
        <f>[9]Роспись!E669</f>
        <v>4439901</v>
      </c>
      <c r="F727" s="654" t="str">
        <f>[9]Роспись!F669</f>
        <v>001</v>
      </c>
      <c r="G727" s="654">
        <f>[9]Роспись!G669</f>
        <v>211</v>
      </c>
      <c r="H727" s="648">
        <f>[9]Роспись!H669</f>
        <v>6045.72</v>
      </c>
      <c r="I727" s="656">
        <f>[9]Финансирование!I727+[9]Финансирование!J727+[9]Финансирование!K727+[9]Финансирование!L727+[9]Финансирование!M727+[9]Финансирование!N727+[9]Финансирование!O727+[9]Финансирование!P727</f>
        <v>2787.89</v>
      </c>
      <c r="J727" s="656">
        <f>[9]Финансирование!Q727+[9]Финансирование!T727+[9]Финансирование!U727+[9]Финансирование!V727+[9]Финансирование!W727+[9]Финансирование!X727+[9]Финансирование!Y727+[9]Финансирование!Z727</f>
        <v>3257.83</v>
      </c>
      <c r="K727" s="656">
        <f>H727-I727-J727</f>
        <v>0</v>
      </c>
      <c r="L727" s="635">
        <v>3257.83</v>
      </c>
      <c r="M727" s="658">
        <f>L727-J727</f>
        <v>0</v>
      </c>
    </row>
    <row r="728" spans="1:16" x14ac:dyDescent="0.15">
      <c r="A728" s="657" t="str">
        <f>[9]Роспись!A670</f>
        <v xml:space="preserve">Прочие выплаты </v>
      </c>
      <c r="B728" s="654" t="str">
        <f>[9]Роспись!B670</f>
        <v>056</v>
      </c>
      <c r="C728" s="654" t="str">
        <f>[9]Роспись!C670</f>
        <v>08</v>
      </c>
      <c r="D728" s="654" t="str">
        <f>[9]Роспись!D670</f>
        <v>01</v>
      </c>
      <c r="E728" s="654">
        <f>[9]Роспись!E670</f>
        <v>4439901</v>
      </c>
      <c r="F728" s="654" t="str">
        <f>[9]Роспись!F670</f>
        <v>001</v>
      </c>
      <c r="G728" s="654">
        <f>[9]Роспись!G670</f>
        <v>212</v>
      </c>
      <c r="H728" s="648">
        <f>[9]Роспись!H670</f>
        <v>32.9</v>
      </c>
      <c r="I728" s="656">
        <f>[9]Финансирование!I728+[9]Финансирование!J728+[9]Финансирование!K728+[9]Финансирование!L728+[9]Финансирование!M728+[9]Финансирование!N728+[9]Финансирование!O728+[9]Финансирование!P728</f>
        <v>0</v>
      </c>
      <c r="J728" s="656">
        <f>[9]Финансирование!Q728+[9]Финансирование!T728+[9]Финансирование!U728+[9]Финансирование!V728+[9]Финансирование!W728+[9]Финансирование!X728+[9]Финансирование!Y728+[9]Финансирование!Z728</f>
        <v>32.9</v>
      </c>
      <c r="K728" s="656">
        <f t="shared" ref="K728:K739" si="55">H728-I728-J728</f>
        <v>0</v>
      </c>
    </row>
    <row r="729" spans="1:16" x14ac:dyDescent="0.15">
      <c r="A729" s="657" t="str">
        <f>[9]Роспись!A671</f>
        <v>Начисления на оплату труда</v>
      </c>
      <c r="B729" s="654" t="str">
        <f>[9]Роспись!B671</f>
        <v>056</v>
      </c>
      <c r="C729" s="654" t="str">
        <f>[9]Роспись!C671</f>
        <v>08</v>
      </c>
      <c r="D729" s="654" t="str">
        <f>[9]Роспись!D671</f>
        <v>01</v>
      </c>
      <c r="E729" s="654">
        <f>[9]Роспись!E671</f>
        <v>4439901</v>
      </c>
      <c r="F729" s="654" t="str">
        <f>[9]Роспись!F671</f>
        <v>001</v>
      </c>
      <c r="G729" s="654">
        <f>[9]Роспись!G671</f>
        <v>213</v>
      </c>
      <c r="H729" s="648">
        <f>[9]Роспись!H671</f>
        <v>1825.78</v>
      </c>
      <c r="I729" s="656">
        <f>[9]Финансирование!I729+[9]Финансирование!J729+[9]Финансирование!K729+[9]Финансирование!L729+[9]Финансирование!M729+[9]Финансирование!N729+[9]Финансирование!O729+[9]Финансирование!P729</f>
        <v>902.08</v>
      </c>
      <c r="J729" s="656">
        <f>[9]Финансирование!Q729+[9]Финансирование!T729+[9]Финансирование!U729+[9]Финансирование!V729+[9]Финансирование!W729+[9]Финансирование!X729+[9]Финансирование!Y729+[9]Финансирование!Z729</f>
        <v>923.7</v>
      </c>
      <c r="K729" s="656">
        <f t="shared" si="55"/>
        <v>0</v>
      </c>
      <c r="L729" s="635">
        <v>923.7</v>
      </c>
    </row>
    <row r="730" spans="1:16" x14ac:dyDescent="0.15">
      <c r="A730" s="657" t="str">
        <f>[9]Роспись!A672</f>
        <v xml:space="preserve">Оплата услуг связи </v>
      </c>
      <c r="B730" s="654" t="str">
        <f>[9]Роспись!B672</f>
        <v>056</v>
      </c>
      <c r="C730" s="654" t="str">
        <f>[9]Роспись!C672</f>
        <v>08</v>
      </c>
      <c r="D730" s="654" t="str">
        <f>[9]Роспись!D672</f>
        <v>01</v>
      </c>
      <c r="E730" s="654">
        <f>[9]Роспись!E672</f>
        <v>4439901</v>
      </c>
      <c r="F730" s="654" t="str">
        <f>[9]Роспись!F672</f>
        <v>001</v>
      </c>
      <c r="G730" s="654">
        <f>[9]Роспись!G672</f>
        <v>221</v>
      </c>
      <c r="H730" s="648">
        <f>[9]Роспись!H672</f>
        <v>0</v>
      </c>
      <c r="I730" s="656">
        <f>[9]Финансирование!I730+[9]Финансирование!J730+[9]Финансирование!K730+[9]Финансирование!L730+[9]Финансирование!M730+[9]Финансирование!N730+[9]Финансирование!O730+[9]Финансирование!P730</f>
        <v>0</v>
      </c>
      <c r="J730" s="656">
        <f>[9]Финансирование!Q730+[9]Финансирование!T730+[9]Финансирование!U730+[9]Финансирование!V730+[9]Финансирование!W730+[9]Финансирование!X730+[9]Финансирование!Y730+[9]Финансирование!Z730</f>
        <v>0</v>
      </c>
      <c r="K730" s="656">
        <f t="shared" si="55"/>
        <v>0</v>
      </c>
    </row>
    <row r="731" spans="1:16" x14ac:dyDescent="0.15">
      <c r="A731" s="657" t="str">
        <f>[9]Роспись!A673</f>
        <v>Транспортные услуги</v>
      </c>
      <c r="B731" s="654" t="str">
        <f>[9]Роспись!B673</f>
        <v>056</v>
      </c>
      <c r="C731" s="654" t="str">
        <f>[9]Роспись!C673</f>
        <v>08</v>
      </c>
      <c r="D731" s="654" t="str">
        <f>[9]Роспись!D673</f>
        <v>01</v>
      </c>
      <c r="E731" s="654">
        <f>[9]Роспись!E673</f>
        <v>4439901</v>
      </c>
      <c r="F731" s="654" t="str">
        <f>[9]Роспись!F673</f>
        <v>001</v>
      </c>
      <c r="G731" s="654">
        <f>[9]Роспись!G673</f>
        <v>222</v>
      </c>
      <c r="H731" s="648">
        <f>[9]Роспись!H673</f>
        <v>253.149</v>
      </c>
      <c r="I731" s="656">
        <f>[9]Финансирование!I731+[9]Финансирование!J731+[9]Финансирование!K731+[9]Финансирование!L731+[9]Финансирование!M731+[9]Финансирование!N731+[9]Финансирование!O731+[9]Финансирование!P731</f>
        <v>0</v>
      </c>
      <c r="J731" s="656">
        <f>[9]Финансирование!Q731+[9]Финансирование!T731+[9]Финансирование!U731+[9]Финансирование!V731+[9]Финансирование!W731+[9]Финансирование!X731+[9]Финансирование!Y731+[9]Финансирование!Z731</f>
        <v>253.149</v>
      </c>
      <c r="K731" s="656">
        <f t="shared" si="55"/>
        <v>0</v>
      </c>
    </row>
    <row r="732" spans="1:16" x14ac:dyDescent="0.15">
      <c r="A732" s="657" t="str">
        <f>[9]Роспись!A674</f>
        <v>Коммунальные услуги</v>
      </c>
      <c r="B732" s="654" t="str">
        <f>[9]Роспись!B674</f>
        <v>056</v>
      </c>
      <c r="C732" s="654" t="str">
        <f>[9]Роспись!C674</f>
        <v>08</v>
      </c>
      <c r="D732" s="654" t="str">
        <f>[9]Роспись!D674</f>
        <v>01</v>
      </c>
      <c r="E732" s="654">
        <f>[9]Роспись!E674</f>
        <v>4439901</v>
      </c>
      <c r="F732" s="654" t="str">
        <f>[9]Роспись!F674</f>
        <v>001</v>
      </c>
      <c r="G732" s="654">
        <f>[9]Роспись!G674</f>
        <v>223</v>
      </c>
      <c r="H732" s="648">
        <f>[9]Роспись!H674</f>
        <v>0</v>
      </c>
      <c r="I732" s="656">
        <f>[9]Финансирование!I732+[9]Финансирование!J732+[9]Финансирование!K732+[9]Финансирование!L732+[9]Финансирование!M732+[9]Финансирование!N732+[9]Финансирование!O732+[9]Финансирование!P732</f>
        <v>0</v>
      </c>
      <c r="J732" s="656">
        <f>[9]Финансирование!Q732+[9]Финансирование!T732+[9]Финансирование!U732+[9]Финансирование!V732+[9]Финансирование!W732+[9]Финансирование!X732+[9]Финансирование!Y732+[9]Финансирование!Z732</f>
        <v>0</v>
      </c>
      <c r="K732" s="656">
        <f t="shared" si="55"/>
        <v>0</v>
      </c>
    </row>
    <row r="733" spans="1:16" x14ac:dyDescent="0.15">
      <c r="A733" s="657" t="str">
        <f>[9]Роспись!A675</f>
        <v>Арендная плата</v>
      </c>
      <c r="B733" s="654" t="str">
        <f>[9]Роспись!B675</f>
        <v>056</v>
      </c>
      <c r="C733" s="654" t="str">
        <f>[9]Роспись!C675</f>
        <v>08</v>
      </c>
      <c r="D733" s="654" t="str">
        <f>[9]Роспись!D675</f>
        <v>01</v>
      </c>
      <c r="E733" s="654">
        <f>[9]Роспись!E675</f>
        <v>4439901</v>
      </c>
      <c r="F733" s="654" t="str">
        <f>[9]Роспись!F675</f>
        <v>001</v>
      </c>
      <c r="G733" s="654">
        <f>[9]Роспись!G675</f>
        <v>224</v>
      </c>
      <c r="H733" s="648">
        <f>[9]Роспись!H675</f>
        <v>0</v>
      </c>
      <c r="I733" s="656">
        <f>[9]Финансирование!I733+[9]Финансирование!J733+[9]Финансирование!K733+[9]Финансирование!L733+[9]Финансирование!M733+[9]Финансирование!N733+[9]Финансирование!O733+[9]Финансирование!P733</f>
        <v>0</v>
      </c>
      <c r="J733" s="656">
        <f>[9]Финансирование!Q733+[9]Финансирование!T733+[9]Финансирование!U733+[9]Финансирование!V733+[9]Финансирование!W733+[9]Финансирование!X733+[9]Финансирование!Y733+[9]Финансирование!Z733</f>
        <v>0</v>
      </c>
      <c r="K733" s="656">
        <f t="shared" si="55"/>
        <v>0</v>
      </c>
    </row>
    <row r="734" spans="1:16" x14ac:dyDescent="0.15">
      <c r="A734" s="657" t="str">
        <f>[9]Роспись!A676</f>
        <v>Услуги по содерж. имущества</v>
      </c>
      <c r="B734" s="654" t="str">
        <f>[9]Роспись!B676</f>
        <v>056</v>
      </c>
      <c r="C734" s="654" t="str">
        <f>[9]Роспись!C676</f>
        <v>08</v>
      </c>
      <c r="D734" s="654" t="str">
        <f>[9]Роспись!D676</f>
        <v>01</v>
      </c>
      <c r="E734" s="654">
        <f>[9]Роспись!E676</f>
        <v>4439901</v>
      </c>
      <c r="F734" s="654" t="str">
        <f>[9]Роспись!F676</f>
        <v>001</v>
      </c>
      <c r="G734" s="654">
        <f>[9]Роспись!G676</f>
        <v>225</v>
      </c>
      <c r="H734" s="648">
        <f>[9]Роспись!H676</f>
        <v>0</v>
      </c>
      <c r="I734" s="656">
        <f>[9]Финансирование!I734+[9]Финансирование!J734+[9]Финансирование!K734+[9]Финансирование!L734+[9]Финансирование!M734+[9]Финансирование!N734+[9]Финансирование!O734+[9]Финансирование!P734</f>
        <v>0</v>
      </c>
      <c r="J734" s="656">
        <f>[9]Финансирование!Q734+[9]Финансирование!T734+[9]Финансирование!U734+[9]Финансирование!V734+[9]Финансирование!W734+[9]Финансирование!X734+[9]Финансирование!Y734+[9]Финансирование!Z734</f>
        <v>0</v>
      </c>
      <c r="K734" s="656">
        <f t="shared" si="55"/>
        <v>0</v>
      </c>
    </row>
    <row r="735" spans="1:16" x14ac:dyDescent="0.15">
      <c r="A735" s="657" t="str">
        <f>[9]Роспись!A677</f>
        <v>Прочие услуги</v>
      </c>
      <c r="B735" s="654" t="str">
        <f>[9]Роспись!B677</f>
        <v>056</v>
      </c>
      <c r="C735" s="654" t="str">
        <f>[9]Роспись!C677</f>
        <v>08</v>
      </c>
      <c r="D735" s="654" t="str">
        <f>[9]Роспись!D677</f>
        <v>01</v>
      </c>
      <c r="E735" s="654">
        <f>[9]Роспись!E677</f>
        <v>4439901</v>
      </c>
      <c r="F735" s="654" t="str">
        <f>[9]Роспись!F677</f>
        <v>001</v>
      </c>
      <c r="G735" s="654">
        <f>[9]Роспись!G677</f>
        <v>226</v>
      </c>
      <c r="H735" s="648">
        <f>[9]Роспись!H677</f>
        <v>403.87</v>
      </c>
      <c r="I735" s="656">
        <f>[9]Финансирование!I735+[9]Финансирование!J735+[9]Финансирование!K735+[9]Финансирование!L735+[9]Финансирование!M735+[9]Финансирование!N735+[9]Финансирование!O735+[9]Финансирование!P735</f>
        <v>87.74</v>
      </c>
      <c r="J735" s="656">
        <f>[9]Финансирование!Q735+[9]Финансирование!T735+[9]Финансирование!U735+[9]Финансирование!V735+[9]Финансирование!W735+[9]Финансирование!X735+[9]Финансирование!Y735+[9]Финансирование!Z735</f>
        <v>278.73</v>
      </c>
      <c r="K735" s="656">
        <f t="shared" si="55"/>
        <v>37.399999999999977</v>
      </c>
    </row>
    <row r="736" spans="1:16" x14ac:dyDescent="0.15">
      <c r="A736" s="657" t="str">
        <f>[9]Роспись!A678</f>
        <v xml:space="preserve">Прочие расходы </v>
      </c>
      <c r="B736" s="654" t="str">
        <f>[9]Роспись!B678</f>
        <v>056</v>
      </c>
      <c r="C736" s="654" t="str">
        <f>[9]Роспись!C678</f>
        <v>08</v>
      </c>
      <c r="D736" s="654" t="str">
        <f>[9]Роспись!D678</f>
        <v>01</v>
      </c>
      <c r="E736" s="654">
        <f>[9]Роспись!E678</f>
        <v>4439901</v>
      </c>
      <c r="F736" s="654" t="str">
        <f>[9]Роспись!F678</f>
        <v>001</v>
      </c>
      <c r="G736" s="654">
        <f>[9]Роспись!G678</f>
        <v>290</v>
      </c>
      <c r="H736" s="648">
        <f>[9]Роспись!H678</f>
        <v>11.4</v>
      </c>
      <c r="I736" s="656">
        <f>[9]Финансирование!I736+[9]Финансирование!J736+[9]Финансирование!K736+[9]Финансирование!L736+[9]Финансирование!M736+[9]Финансирование!N736+[9]Финансирование!O736+[9]Финансирование!P736</f>
        <v>5.8</v>
      </c>
      <c r="J736" s="656">
        <f>[9]Финансирование!Q736+[9]Финансирование!T736+[9]Финансирование!U736+[9]Финансирование!V736+[9]Финансирование!W736+[9]Финансирование!X736+[9]Финансирование!Y736+[9]Финансирование!Z736</f>
        <v>5.6000000000000005</v>
      </c>
      <c r="K736" s="656">
        <f t="shared" si="55"/>
        <v>0</v>
      </c>
    </row>
    <row r="737" spans="1:16" x14ac:dyDescent="0.15">
      <c r="A737" s="657" t="str">
        <f>[9]Роспись!A679</f>
        <v xml:space="preserve">Прочие расходы </v>
      </c>
      <c r="B737" s="654" t="str">
        <f>[9]Роспись!B679</f>
        <v>056</v>
      </c>
      <c r="C737" s="654" t="str">
        <f>[9]Роспись!C679</f>
        <v>08</v>
      </c>
      <c r="D737" s="654" t="str">
        <f>[9]Роспись!D679</f>
        <v>01</v>
      </c>
      <c r="E737" s="654" t="str">
        <f>[9]Роспись!E679</f>
        <v>4439500</v>
      </c>
      <c r="F737" s="654" t="str">
        <f>[9]Роспись!F679</f>
        <v>001</v>
      </c>
      <c r="G737" s="654" t="str">
        <f>[9]Роспись!G679</f>
        <v>290</v>
      </c>
      <c r="H737" s="648">
        <f>[9]Роспись!H679</f>
        <v>9.1</v>
      </c>
      <c r="I737" s="656">
        <f>[9]Финансирование!I737+[9]Финансирование!J737+[9]Финансирование!K737+[9]Финансирование!L737+[9]Финансирование!M737+[9]Финансирование!N737+[9]Финансирование!O737+[9]Финансирование!P737</f>
        <v>6</v>
      </c>
      <c r="J737" s="656">
        <f>[9]Финансирование!Q737+[9]Финансирование!T737+[9]Финансирование!U737+[9]Финансирование!V737+[9]Финансирование!W737+[9]Финансирование!X737+[9]Финансирование!Y737+[9]Финансирование!Z737</f>
        <v>3.0999999999999996</v>
      </c>
      <c r="K737" s="656">
        <f t="shared" si="55"/>
        <v>0</v>
      </c>
    </row>
    <row r="738" spans="1:16" x14ac:dyDescent="0.15">
      <c r="A738" s="657" t="str">
        <f>[9]Роспись!A680</f>
        <v>Увелич. стоимости осн. средств</v>
      </c>
      <c r="B738" s="654" t="str">
        <f>[9]Роспись!B680</f>
        <v>056</v>
      </c>
      <c r="C738" s="654" t="str">
        <f>[9]Роспись!C680</f>
        <v>08</v>
      </c>
      <c r="D738" s="654" t="str">
        <f>[9]Роспись!D680</f>
        <v>01</v>
      </c>
      <c r="E738" s="654">
        <f>[9]Роспись!E680</f>
        <v>4439901</v>
      </c>
      <c r="F738" s="654" t="str">
        <f>[9]Роспись!F680</f>
        <v>001</v>
      </c>
      <c r="G738" s="654">
        <f>[9]Роспись!G680</f>
        <v>310</v>
      </c>
      <c r="H738" s="648">
        <f>[9]Роспись!H680</f>
        <v>55.86</v>
      </c>
      <c r="I738" s="656">
        <f>[9]Финансирование!I738+[9]Финансирование!J738+[9]Финансирование!K738+[9]Финансирование!L738+[9]Финансирование!M738+[9]Финансирование!N738+[9]Финансирование!O738+[9]Финансирование!P738</f>
        <v>0</v>
      </c>
      <c r="J738" s="656">
        <f>[9]Финансирование!Q738+[9]Финансирование!T738+[9]Финансирование!U738+[9]Финансирование!V738+[9]Финансирование!W738+[9]Финансирование!X738+[9]Финансирование!Y738+[9]Финансирование!Z738</f>
        <v>0</v>
      </c>
      <c r="K738" s="656">
        <f t="shared" si="55"/>
        <v>55.86</v>
      </c>
    </row>
    <row r="739" spans="1:16" x14ac:dyDescent="0.15">
      <c r="A739" s="657" t="str">
        <f>[9]Роспись!A681</f>
        <v>Увелич. стоимости матер. запасов</v>
      </c>
      <c r="B739" s="654" t="str">
        <f>[9]Роспись!B681</f>
        <v>056</v>
      </c>
      <c r="C739" s="654" t="str">
        <f>[9]Роспись!C681</f>
        <v>08</v>
      </c>
      <c r="D739" s="654" t="str">
        <f>[9]Роспись!D681</f>
        <v>01</v>
      </c>
      <c r="E739" s="654">
        <f>[9]Роспись!E681</f>
        <v>4439901</v>
      </c>
      <c r="F739" s="654" t="str">
        <f>[9]Роспись!F681</f>
        <v>001</v>
      </c>
      <c r="G739" s="654">
        <f>[9]Роспись!G681</f>
        <v>340</v>
      </c>
      <c r="H739" s="648">
        <f>[9]Роспись!H681</f>
        <v>25</v>
      </c>
      <c r="I739" s="656">
        <f>[9]Финансирование!I739+[9]Финансирование!J739+[9]Финансирование!K739+[9]Финансирование!L739+[9]Финансирование!M739+[9]Финансирование!N739+[9]Финансирование!O739+[9]Финансирование!P739</f>
        <v>6.25</v>
      </c>
      <c r="J739" s="656">
        <f>[9]Финансирование!Q739+[9]Финансирование!T739+[9]Финансирование!U739+[9]Финансирование!V739+[9]Финансирование!W739+[9]Финансирование!X739+[9]Финансирование!Y739+[9]Финансирование!Z739</f>
        <v>0</v>
      </c>
      <c r="K739" s="656">
        <f t="shared" si="55"/>
        <v>18.75</v>
      </c>
    </row>
    <row r="740" spans="1:16" x14ac:dyDescent="0.15">
      <c r="A740" s="653" t="s">
        <v>98</v>
      </c>
      <c r="B740" s="662" t="s">
        <v>79</v>
      </c>
      <c r="C740" s="662" t="s">
        <v>80</v>
      </c>
      <c r="D740" s="662" t="s">
        <v>125</v>
      </c>
      <c r="E740" s="662" t="s">
        <v>216</v>
      </c>
      <c r="F740" s="662" t="s">
        <v>102</v>
      </c>
      <c r="G740" s="691"/>
      <c r="H740" s="643">
        <f>SUM(H727:H739)</f>
        <v>8662.7790000000005</v>
      </c>
      <c r="I740" s="664">
        <f>SUM(I727:I739)</f>
        <v>3795.7599999999998</v>
      </c>
      <c r="J740" s="664">
        <f>SUM(J727:J739)</f>
        <v>4755.0090000000018</v>
      </c>
      <c r="K740" s="665">
        <f>SUM(K727:K739)</f>
        <v>112.00999999999998</v>
      </c>
      <c r="L740" s="678"/>
      <c r="M740" s="678"/>
      <c r="N740" s="678"/>
      <c r="O740" s="678"/>
      <c r="P740" s="678"/>
    </row>
    <row r="741" spans="1:16" ht="52" x14ac:dyDescent="0.15">
      <c r="A741" s="692" t="str">
        <f>'[9]Новая роспись'!A779</f>
        <v>Субсидия на финансовое обеспечение государственного задания на оказание государственных услуг (выполнение работ)</v>
      </c>
      <c r="B741" s="666"/>
      <c r="C741" s="666"/>
      <c r="D741" s="666"/>
      <c r="E741" s="666"/>
      <c r="F741" s="667">
        <f>'[9]Новая роспись'!F779</f>
        <v>611</v>
      </c>
      <c r="G741" s="667" t="str">
        <f>'[9]Новая роспись'!G779</f>
        <v>241</v>
      </c>
      <c r="H741" s="645">
        <f>'[9]Новая роспись'!H779</f>
        <v>4302.24</v>
      </c>
      <c r="I741" s="648">
        <f>J740-I742</f>
        <v>4190.2300000000014</v>
      </c>
      <c r="J741" s="648"/>
      <c r="K741" s="648">
        <f>H741-I741</f>
        <v>112.0099999999984</v>
      </c>
      <c r="L741" s="678"/>
      <c r="M741" s="678"/>
      <c r="N741" s="678"/>
      <c r="O741" s="678"/>
      <c r="P741" s="678"/>
    </row>
    <row r="742" spans="1:16" x14ac:dyDescent="0.15">
      <c r="A742" s="692" t="str">
        <f>'[9]Новая роспись'!A780</f>
        <v>Субсидии на иные цели</v>
      </c>
      <c r="B742" s="666"/>
      <c r="C742" s="666"/>
      <c r="D742" s="666"/>
      <c r="E742" s="666"/>
      <c r="F742" s="667">
        <f>'[9]Новая роспись'!F780</f>
        <v>612</v>
      </c>
      <c r="G742" s="667" t="str">
        <f>'[9]Новая роспись'!G780</f>
        <v>241</v>
      </c>
      <c r="H742" s="645">
        <f>'[9]Новая роспись'!H780</f>
        <v>564.779</v>
      </c>
      <c r="I742" s="648">
        <f>[9]Финансирование!I742+[9]Финансирование!J742+[9]Финансирование!K742+[9]Финансирование!L742+[9]Финансирование!M742+[9]Финансирование!N742+[9]Финансирование!O742+[9]Финансирование!P742+[9]Финансирование!Q742+[9]Финансирование!T742+[9]Финансирование!U742+[9]Финансирование!V742+[9]Финансирование!W742+[9]Финансирование!X742+[9]Финансирование!Y742+[9]Финансирование!Z742</f>
        <v>564.779</v>
      </c>
      <c r="J742" s="648"/>
      <c r="K742" s="648">
        <f>H742-I742</f>
        <v>0</v>
      </c>
      <c r="L742" s="678"/>
      <c r="M742" s="678"/>
      <c r="N742" s="678"/>
      <c r="O742" s="678"/>
      <c r="P742" s="678"/>
    </row>
    <row r="743" spans="1:16" x14ac:dyDescent="0.15">
      <c r="A743" s="78" t="s">
        <v>158</v>
      </c>
      <c r="B743" s="672"/>
      <c r="C743" s="672"/>
      <c r="D743" s="672"/>
      <c r="E743" s="672"/>
      <c r="F743" s="672"/>
      <c r="G743" s="649"/>
      <c r="H743" s="648"/>
      <c r="I743" s="648">
        <f>[9]Финансирование!I743+[9]Финансирование!J743+[9]Финансирование!K743+[9]Финансирование!L743+[9]Финансирование!M743+[9]Финансирование!N743+[9]Финансирование!O743+[9]Финансирование!P743+[9]Финансирование!Q743+[9]Финансирование!T743+[9]Финансирование!U743+[9]Финансирование!V743+[9]Финансирование!W743+[9]Финансирование!X743+[9]Финансирование!Y743+[9]Финансирование!Z743</f>
        <v>0</v>
      </c>
      <c r="J743" s="648"/>
      <c r="K743" s="648"/>
      <c r="L743" s="646"/>
      <c r="M743" s="646"/>
      <c r="N743" s="646"/>
      <c r="O743" s="646"/>
      <c r="P743" s="646"/>
    </row>
    <row r="744" spans="1:16" x14ac:dyDescent="0.15">
      <c r="A744" s="647" t="str">
        <f>[9]Роспись!A684</f>
        <v>Заработная плата</v>
      </c>
      <c r="B744" s="81" t="str">
        <f>[9]Роспись!B684</f>
        <v>056</v>
      </c>
      <c r="C744" s="81" t="str">
        <f>[9]Роспись!C684</f>
        <v>08</v>
      </c>
      <c r="D744" s="81" t="str">
        <f>[9]Роспись!D684</f>
        <v>01</v>
      </c>
      <c r="E744" s="81">
        <f>[9]Роспись!E684</f>
        <v>4439901</v>
      </c>
      <c r="F744" s="81" t="str">
        <f>[9]Роспись!F684</f>
        <v>001</v>
      </c>
      <c r="G744" s="81">
        <f>[9]Роспись!G684</f>
        <v>211</v>
      </c>
      <c r="H744" s="648">
        <f>[9]Роспись!H684</f>
        <v>6811.2</v>
      </c>
      <c r="I744" s="648">
        <f>[9]Финансирование!I744+[9]Финансирование!J744+[9]Финансирование!K744+[9]Финансирование!L744+[9]Финансирование!M744+[9]Финансирование!N744+[9]Финансирование!O744+[9]Финансирование!P744</f>
        <v>3140.9100000000003</v>
      </c>
      <c r="J744" s="648">
        <f>[9]Финансирование!Q744+[9]Финансирование!T744+[9]Финансирование!U744+[9]Финансирование!V744+[9]Финансирование!W744+[9]Финансирование!X744+[9]Финансирование!Y744+[9]Финансирование!Z744</f>
        <v>3670.2900000000004</v>
      </c>
      <c r="K744" s="648">
        <f>H744-I744-J744</f>
        <v>0</v>
      </c>
    </row>
    <row r="745" spans="1:16" x14ac:dyDescent="0.15">
      <c r="A745" s="647" t="str">
        <f>[9]Роспись!A685</f>
        <v xml:space="preserve">Прочие выплаты </v>
      </c>
      <c r="B745" s="81" t="str">
        <f>[9]Роспись!B685</f>
        <v>056</v>
      </c>
      <c r="C745" s="81" t="str">
        <f>[9]Роспись!C685</f>
        <v>08</v>
      </c>
      <c r="D745" s="81" t="str">
        <f>[9]Роспись!D685</f>
        <v>01</v>
      </c>
      <c r="E745" s="81">
        <f>[9]Роспись!E685</f>
        <v>4439901</v>
      </c>
      <c r="F745" s="81" t="str">
        <f>[9]Роспись!F685</f>
        <v>001</v>
      </c>
      <c r="G745" s="81">
        <f>[9]Роспись!G685</f>
        <v>212</v>
      </c>
      <c r="H745" s="648">
        <f>[9]Роспись!H685</f>
        <v>0</v>
      </c>
      <c r="I745" s="648">
        <f>[9]Финансирование!I745+[9]Финансирование!J745+[9]Финансирование!K745+[9]Финансирование!L745+[9]Финансирование!M745+[9]Финансирование!N745+[9]Финансирование!O745+[9]Финансирование!P745</f>
        <v>0</v>
      </c>
      <c r="J745" s="648">
        <f>[9]Финансирование!Q745+[9]Финансирование!T745+[9]Финансирование!U745+[9]Финансирование!V745+[9]Финансирование!W745+[9]Финансирование!X745+[9]Финансирование!Y745+[9]Финансирование!Z745</f>
        <v>0</v>
      </c>
      <c r="K745" s="648">
        <f t="shared" ref="K745:K756" si="56">H745-I745-J745</f>
        <v>0</v>
      </c>
    </row>
    <row r="746" spans="1:16" x14ac:dyDescent="0.15">
      <c r="A746" s="647" t="str">
        <f>[9]Роспись!A686</f>
        <v>Начисления на оплату труда</v>
      </c>
      <c r="B746" s="81" t="str">
        <f>[9]Роспись!B686</f>
        <v>056</v>
      </c>
      <c r="C746" s="81" t="str">
        <f>[9]Роспись!C686</f>
        <v>08</v>
      </c>
      <c r="D746" s="81" t="str">
        <f>[9]Роспись!D686</f>
        <v>01</v>
      </c>
      <c r="E746" s="81">
        <f>[9]Роспись!E686</f>
        <v>4439901</v>
      </c>
      <c r="F746" s="81" t="str">
        <f>[9]Роспись!F686</f>
        <v>001</v>
      </c>
      <c r="G746" s="81">
        <f>[9]Роспись!G686</f>
        <v>213</v>
      </c>
      <c r="H746" s="648">
        <f>[9]Роспись!H686</f>
        <v>2057</v>
      </c>
      <c r="I746" s="648">
        <f>[9]Финансирование!I746+[9]Финансирование!J746+[9]Финансирование!K746+[9]Финансирование!L746+[9]Финансирование!M746+[9]Финансирование!N746+[9]Финансирование!O746+[9]Финансирование!P746</f>
        <v>1016.2599999999999</v>
      </c>
      <c r="J746" s="648">
        <f>[9]Финансирование!Q746+[9]Финансирование!T746+[9]Финансирование!U746+[9]Финансирование!V746+[9]Финансирование!W746+[9]Финансирование!X746+[9]Финансирование!Y746+[9]Финансирование!Z746</f>
        <v>1040.7399999999998</v>
      </c>
      <c r="K746" s="648">
        <f t="shared" si="56"/>
        <v>0</v>
      </c>
    </row>
    <row r="747" spans="1:16" x14ac:dyDescent="0.15">
      <c r="A747" s="647" t="str">
        <f>[9]Роспись!A687</f>
        <v xml:space="preserve">Оплата услуг связи </v>
      </c>
      <c r="B747" s="81" t="str">
        <f>[9]Роспись!B687</f>
        <v>056</v>
      </c>
      <c r="C747" s="81" t="str">
        <f>[9]Роспись!C687</f>
        <v>08</v>
      </c>
      <c r="D747" s="81" t="str">
        <f>[9]Роспись!D687</f>
        <v>01</v>
      </c>
      <c r="E747" s="81">
        <f>[9]Роспись!E687</f>
        <v>4439901</v>
      </c>
      <c r="F747" s="81" t="str">
        <f>[9]Роспись!F687</f>
        <v>001</v>
      </c>
      <c r="G747" s="81">
        <f>[9]Роспись!G687</f>
        <v>221</v>
      </c>
      <c r="H747" s="648">
        <f>[9]Роспись!H687</f>
        <v>0</v>
      </c>
      <c r="I747" s="648">
        <f>[9]Финансирование!I747+[9]Финансирование!J747+[9]Финансирование!K747+[9]Финансирование!L747+[9]Финансирование!M747+[9]Финансирование!N747+[9]Финансирование!O747+[9]Финансирование!P747</f>
        <v>0</v>
      </c>
      <c r="J747" s="648">
        <f>[9]Финансирование!Q747+[9]Финансирование!T747+[9]Финансирование!U747+[9]Финансирование!V747+[9]Финансирование!W747+[9]Финансирование!X747+[9]Финансирование!Y747+[9]Финансирование!Z747</f>
        <v>0</v>
      </c>
      <c r="K747" s="648">
        <f t="shared" si="56"/>
        <v>0</v>
      </c>
    </row>
    <row r="748" spans="1:16" x14ac:dyDescent="0.15">
      <c r="A748" s="647" t="str">
        <f>[9]Роспись!A688</f>
        <v>Транспортные услуги</v>
      </c>
      <c r="B748" s="81" t="str">
        <f>[9]Роспись!B688</f>
        <v>056</v>
      </c>
      <c r="C748" s="81" t="str">
        <f>[9]Роспись!C688</f>
        <v>08</v>
      </c>
      <c r="D748" s="81" t="str">
        <f>[9]Роспись!D688</f>
        <v>01</v>
      </c>
      <c r="E748" s="81">
        <f>[9]Роспись!E688</f>
        <v>4439901</v>
      </c>
      <c r="F748" s="81" t="str">
        <f>[9]Роспись!F688</f>
        <v>001</v>
      </c>
      <c r="G748" s="81">
        <f>[9]Роспись!G688</f>
        <v>222</v>
      </c>
      <c r="H748" s="648">
        <f>[9]Роспись!H688</f>
        <v>0</v>
      </c>
      <c r="I748" s="648">
        <f>[9]Финансирование!I748+[9]Финансирование!J748+[9]Финансирование!K748+[9]Финансирование!L748+[9]Финансирование!M748+[9]Финансирование!N748+[9]Финансирование!O748+[9]Финансирование!P748</f>
        <v>0</v>
      </c>
      <c r="J748" s="648">
        <f>[9]Финансирование!Q748+[9]Финансирование!T748+[9]Финансирование!U748+[9]Финансирование!V748+[9]Финансирование!W748+[9]Финансирование!X748+[9]Финансирование!Y748+[9]Финансирование!Z748</f>
        <v>0</v>
      </c>
      <c r="K748" s="648">
        <f t="shared" si="56"/>
        <v>0</v>
      </c>
    </row>
    <row r="749" spans="1:16" x14ac:dyDescent="0.15">
      <c r="A749" s="647" t="str">
        <f>[9]Роспись!A689</f>
        <v>Коммунальные услуги</v>
      </c>
      <c r="B749" s="81" t="str">
        <f>[9]Роспись!B689</f>
        <v>056</v>
      </c>
      <c r="C749" s="81" t="str">
        <f>[9]Роспись!C689</f>
        <v>08</v>
      </c>
      <c r="D749" s="81" t="str">
        <f>[9]Роспись!D689</f>
        <v>01</v>
      </c>
      <c r="E749" s="81">
        <f>[9]Роспись!E689</f>
        <v>4439901</v>
      </c>
      <c r="F749" s="81" t="str">
        <f>[9]Роспись!F689</f>
        <v>001</v>
      </c>
      <c r="G749" s="81">
        <f>[9]Роспись!G689</f>
        <v>223</v>
      </c>
      <c r="H749" s="648">
        <f>[9]Роспись!H689</f>
        <v>0</v>
      </c>
      <c r="I749" s="648">
        <f>[9]Финансирование!I749+[9]Финансирование!J749+[9]Финансирование!K749+[9]Финансирование!L749+[9]Финансирование!M749+[9]Финансирование!N749+[9]Финансирование!O749+[9]Финансирование!P749</f>
        <v>0</v>
      </c>
      <c r="J749" s="648">
        <f>[9]Финансирование!Q749+[9]Финансирование!T749+[9]Финансирование!U749+[9]Финансирование!V749+[9]Финансирование!W749+[9]Финансирование!X749+[9]Финансирование!Y749+[9]Финансирование!Z749</f>
        <v>0</v>
      </c>
      <c r="K749" s="648">
        <f t="shared" si="56"/>
        <v>0</v>
      </c>
    </row>
    <row r="750" spans="1:16" x14ac:dyDescent="0.15">
      <c r="A750" s="647" t="str">
        <f>[9]Роспись!A690</f>
        <v>Арендная плата</v>
      </c>
      <c r="B750" s="81" t="str">
        <f>[9]Роспись!B690</f>
        <v>056</v>
      </c>
      <c r="C750" s="81" t="str">
        <f>[9]Роспись!C690</f>
        <v>08</v>
      </c>
      <c r="D750" s="81" t="str">
        <f>[9]Роспись!D690</f>
        <v>01</v>
      </c>
      <c r="E750" s="81">
        <f>[9]Роспись!E690</f>
        <v>4439901</v>
      </c>
      <c r="F750" s="81" t="str">
        <f>[9]Роспись!F690</f>
        <v>001</v>
      </c>
      <c r="G750" s="81">
        <f>[9]Роспись!G690</f>
        <v>224</v>
      </c>
      <c r="H750" s="648">
        <f>[9]Роспись!H690</f>
        <v>0</v>
      </c>
      <c r="I750" s="648">
        <f>[9]Финансирование!I750+[9]Финансирование!J750+[9]Финансирование!K750+[9]Финансирование!L750+[9]Финансирование!M750+[9]Финансирование!N750+[9]Финансирование!O750+[9]Финансирование!P750</f>
        <v>0</v>
      </c>
      <c r="J750" s="648">
        <f>[9]Финансирование!Q750+[9]Финансирование!T750+[9]Финансирование!U750+[9]Финансирование!V750+[9]Финансирование!W750+[9]Финансирование!X750+[9]Финансирование!Y750+[9]Финансирование!Z750</f>
        <v>0</v>
      </c>
      <c r="K750" s="648">
        <f t="shared" si="56"/>
        <v>0</v>
      </c>
    </row>
    <row r="751" spans="1:16" x14ac:dyDescent="0.15">
      <c r="A751" s="647" t="str">
        <f>[9]Роспись!A691</f>
        <v>Услуги по содерж. имущества</v>
      </c>
      <c r="B751" s="81" t="str">
        <f>[9]Роспись!B691</f>
        <v>056</v>
      </c>
      <c r="C751" s="81" t="str">
        <f>[9]Роспись!C691</f>
        <v>08</v>
      </c>
      <c r="D751" s="81" t="str">
        <f>[9]Роспись!D691</f>
        <v>01</v>
      </c>
      <c r="E751" s="81">
        <f>[9]Роспись!E691</f>
        <v>4439901</v>
      </c>
      <c r="F751" s="81" t="str">
        <f>[9]Роспись!F691</f>
        <v>001</v>
      </c>
      <c r="G751" s="81">
        <f>[9]Роспись!G691</f>
        <v>225</v>
      </c>
      <c r="H751" s="648">
        <f>[9]Роспись!H691</f>
        <v>0</v>
      </c>
      <c r="I751" s="648">
        <f>[9]Финансирование!I751+[9]Финансирование!J751+[9]Финансирование!K751+[9]Финансирование!L751+[9]Финансирование!M751+[9]Финансирование!N751+[9]Финансирование!O751+[9]Финансирование!P751</f>
        <v>0</v>
      </c>
      <c r="J751" s="648">
        <f>[9]Финансирование!Q751+[9]Финансирование!T751+[9]Финансирование!U751+[9]Финансирование!V751+[9]Финансирование!W751+[9]Финансирование!X751+[9]Финансирование!Y751+[9]Финансирование!Z751</f>
        <v>0</v>
      </c>
      <c r="K751" s="648">
        <f t="shared" si="56"/>
        <v>0</v>
      </c>
    </row>
    <row r="752" spans="1:16" x14ac:dyDescent="0.15">
      <c r="A752" s="647" t="str">
        <f>[9]Роспись!A692</f>
        <v>Прочие услуги</v>
      </c>
      <c r="B752" s="81" t="str">
        <f>[9]Роспись!B692</f>
        <v>056</v>
      </c>
      <c r="C752" s="81" t="str">
        <f>[9]Роспись!C692</f>
        <v>08</v>
      </c>
      <c r="D752" s="81" t="str">
        <f>[9]Роспись!D692</f>
        <v>01</v>
      </c>
      <c r="E752" s="81">
        <f>[9]Роспись!E692</f>
        <v>4439901</v>
      </c>
      <c r="F752" s="81" t="str">
        <f>[9]Роспись!F692</f>
        <v>001</v>
      </c>
      <c r="G752" s="81">
        <f>[9]Роспись!G692</f>
        <v>226</v>
      </c>
      <c r="H752" s="648">
        <f>[9]Роспись!H692</f>
        <v>115.14</v>
      </c>
      <c r="I752" s="648">
        <f>[9]Финансирование!I752+[9]Финансирование!J752+[9]Финансирование!K752+[9]Финансирование!L752+[9]Финансирование!M752+[9]Финансирование!N752+[9]Финансирование!O752+[9]Финансирование!P752</f>
        <v>73.94</v>
      </c>
      <c r="J752" s="648">
        <f>[9]Финансирование!Q752+[9]Финансирование!T752+[9]Финансирование!U752+[9]Финансирование!V752+[9]Финансирование!W752+[9]Финансирование!X752+[9]Финансирование!Y752+[9]Финансирование!Z752</f>
        <v>0</v>
      </c>
      <c r="K752" s="648">
        <f t="shared" si="56"/>
        <v>41.2</v>
      </c>
    </row>
    <row r="753" spans="1:16" x14ac:dyDescent="0.15">
      <c r="A753" s="647" t="str">
        <f>[9]Роспись!A693</f>
        <v xml:space="preserve">Прочие расходы </v>
      </c>
      <c r="B753" s="81" t="str">
        <f>[9]Роспись!B693</f>
        <v>056</v>
      </c>
      <c r="C753" s="81" t="str">
        <f>[9]Роспись!C693</f>
        <v>08</v>
      </c>
      <c r="D753" s="81" t="str">
        <f>[9]Роспись!D693</f>
        <v>01</v>
      </c>
      <c r="E753" s="81">
        <f>[9]Роспись!E693</f>
        <v>4439901</v>
      </c>
      <c r="F753" s="81" t="str">
        <f>[9]Роспись!F693</f>
        <v>001</v>
      </c>
      <c r="G753" s="81">
        <f>[9]Роспись!G693</f>
        <v>290</v>
      </c>
      <c r="H753" s="648">
        <f>[9]Роспись!H693</f>
        <v>11.8</v>
      </c>
      <c r="I753" s="648">
        <f>[9]Финансирование!I753+[9]Финансирование!J753+[9]Финансирование!K753+[9]Финансирование!L753+[9]Финансирование!M753+[9]Финансирование!N753+[9]Финансирование!O753+[9]Финансирование!P753</f>
        <v>6</v>
      </c>
      <c r="J753" s="648">
        <f>[9]Финансирование!Q753+[9]Финансирование!T753+[9]Финансирование!U753+[9]Финансирование!V753+[9]Финансирование!W753+[9]Финансирование!X753+[9]Финансирование!Y753+[9]Финансирование!Z753</f>
        <v>5.8000000000000007</v>
      </c>
      <c r="K753" s="648">
        <f t="shared" si="56"/>
        <v>0</v>
      </c>
    </row>
    <row r="754" spans="1:16" x14ac:dyDescent="0.15">
      <c r="A754" s="647" t="str">
        <f>[9]Роспись!A694</f>
        <v xml:space="preserve">Прочие расходы </v>
      </c>
      <c r="B754" s="81" t="str">
        <f>[9]Роспись!B694</f>
        <v>056</v>
      </c>
      <c r="C754" s="81" t="str">
        <f>[9]Роспись!C694</f>
        <v>08</v>
      </c>
      <c r="D754" s="81" t="str">
        <f>[9]Роспись!D694</f>
        <v>01</v>
      </c>
      <c r="E754" s="81" t="str">
        <f>[9]Роспись!E694</f>
        <v>4439500</v>
      </c>
      <c r="F754" s="81" t="str">
        <f>[9]Роспись!F694</f>
        <v>001</v>
      </c>
      <c r="G754" s="81" t="str">
        <f>[9]Роспись!G694</f>
        <v>290</v>
      </c>
      <c r="H754" s="648">
        <f>[9]Роспись!H694</f>
        <v>4.7</v>
      </c>
      <c r="I754" s="648">
        <f>[9]Финансирование!I754+[9]Финансирование!J754+[9]Финансирование!K754+[9]Финансирование!L754+[9]Финансирование!M754+[9]Финансирование!N754+[9]Финансирование!O754+[9]Финансирование!P754</f>
        <v>2.46</v>
      </c>
      <c r="J754" s="648">
        <f>[9]Финансирование!Q754+[9]Финансирование!T754+[9]Финансирование!U754+[9]Финансирование!V754+[9]Финансирование!W754+[9]Финансирование!X754+[9]Финансирование!Y754+[9]Финансирование!Z754</f>
        <v>2.2400000000000002</v>
      </c>
      <c r="K754" s="648">
        <f t="shared" si="56"/>
        <v>0</v>
      </c>
    </row>
    <row r="755" spans="1:16" x14ac:dyDescent="0.15">
      <c r="A755" s="647" t="str">
        <f>[9]Роспись!A695</f>
        <v>Увелич. стоимости осн. средств</v>
      </c>
      <c r="B755" s="81" t="str">
        <f>[9]Роспись!B695</f>
        <v>056</v>
      </c>
      <c r="C755" s="81" t="str">
        <f>[9]Роспись!C695</f>
        <v>08</v>
      </c>
      <c r="D755" s="81" t="str">
        <f>[9]Роспись!D695</f>
        <v>01</v>
      </c>
      <c r="E755" s="81">
        <f>[9]Роспись!E695</f>
        <v>4439901</v>
      </c>
      <c r="F755" s="81" t="str">
        <f>[9]Роспись!F695</f>
        <v>001</v>
      </c>
      <c r="G755" s="81">
        <f>[9]Роспись!G695</f>
        <v>310</v>
      </c>
      <c r="H755" s="648">
        <f>[9]Роспись!H695</f>
        <v>180</v>
      </c>
      <c r="I755" s="648">
        <f>[9]Финансирование!I755+[9]Финансирование!J755+[9]Финансирование!K755+[9]Финансирование!L755+[9]Финансирование!M755+[9]Финансирование!N755+[9]Финансирование!O755+[9]Финансирование!P755</f>
        <v>0</v>
      </c>
      <c r="J755" s="648">
        <f>[9]Финансирование!Q755+[9]Финансирование!T755+[9]Финансирование!U755+[9]Финансирование!V755+[9]Финансирование!W755+[9]Финансирование!X755+[9]Финансирование!Y755+[9]Финансирование!Z755</f>
        <v>0</v>
      </c>
      <c r="K755" s="648">
        <f t="shared" si="56"/>
        <v>180</v>
      </c>
    </row>
    <row r="756" spans="1:16" x14ac:dyDescent="0.15">
      <c r="A756" s="647" t="str">
        <f>[9]Роспись!A696</f>
        <v>Увелич. стоимости матер. запасов</v>
      </c>
      <c r="B756" s="81" t="str">
        <f>[9]Роспись!B696</f>
        <v>056</v>
      </c>
      <c r="C756" s="81" t="str">
        <f>[9]Роспись!C696</f>
        <v>08</v>
      </c>
      <c r="D756" s="81" t="str">
        <f>[9]Роспись!D696</f>
        <v>01</v>
      </c>
      <c r="E756" s="81">
        <f>[9]Роспись!E696</f>
        <v>4439901</v>
      </c>
      <c r="F756" s="81" t="str">
        <f>[9]Роспись!F696</f>
        <v>001</v>
      </c>
      <c r="G756" s="81">
        <f>[9]Роспись!G696</f>
        <v>340</v>
      </c>
      <c r="H756" s="648">
        <f>[9]Роспись!H696</f>
        <v>50.86</v>
      </c>
      <c r="I756" s="648">
        <f>[9]Финансирование!I756+[9]Финансирование!J756+[9]Финансирование!K756+[9]Финансирование!L756+[9]Финансирование!M756+[9]Финансирование!N756+[9]Финансирование!O756+[9]Финансирование!P756</f>
        <v>12.7</v>
      </c>
      <c r="J756" s="648">
        <f>[9]Финансирование!Q756+[9]Финансирование!T756+[9]Финансирование!U756+[9]Финансирование!V756+[9]Финансирование!W756+[9]Финансирование!X756+[9]Финансирование!Y756+[9]Финансирование!Z756</f>
        <v>0</v>
      </c>
      <c r="K756" s="648">
        <f t="shared" si="56"/>
        <v>38.159999999999997</v>
      </c>
    </row>
    <row r="757" spans="1:16" x14ac:dyDescent="0.15">
      <c r="A757" s="674" t="s">
        <v>98</v>
      </c>
      <c r="B757" s="666" t="s">
        <v>79</v>
      </c>
      <c r="C757" s="666" t="s">
        <v>80</v>
      </c>
      <c r="D757" s="666" t="s">
        <v>125</v>
      </c>
      <c r="E757" s="666" t="s">
        <v>216</v>
      </c>
      <c r="F757" s="666" t="s">
        <v>102</v>
      </c>
      <c r="G757" s="675"/>
      <c r="H757" s="643">
        <f>SUM(H744:H756)</f>
        <v>9230.7000000000007</v>
      </c>
      <c r="I757" s="681">
        <f>SUM(I744:I756)</f>
        <v>4252.2699999999995</v>
      </c>
      <c r="J757" s="681">
        <f>SUM(J744:J756)</f>
        <v>4719.0700000000006</v>
      </c>
      <c r="K757" s="643">
        <f>SUM(K744:K756)</f>
        <v>259.36</v>
      </c>
      <c r="L757" s="678"/>
      <c r="M757" s="678"/>
      <c r="N757" s="678"/>
      <c r="O757" s="678"/>
      <c r="P757" s="678"/>
    </row>
    <row r="758" spans="1:16" ht="52" x14ac:dyDescent="0.15">
      <c r="A758" s="692" t="str">
        <f>'[9]Новая роспись'!A797</f>
        <v>Субсидия на финансовое обеспечение государственного задания на оказание государственных услуг (выполнение работ)</v>
      </c>
      <c r="B758" s="666"/>
      <c r="C758" s="666"/>
      <c r="D758" s="666"/>
      <c r="E758" s="666"/>
      <c r="F758" s="692">
        <f>'[9]Новая роспись'!F797</f>
        <v>611</v>
      </c>
      <c r="G758" s="692" t="str">
        <f>'[9]Новая роспись'!G797</f>
        <v>241</v>
      </c>
      <c r="H758" s="645">
        <f>'[9]Новая роспись'!H797</f>
        <v>4978.4300000000012</v>
      </c>
      <c r="I758" s="648">
        <f>[9]Финансирование!I758+[9]Финансирование!J758+[9]Финансирование!K758+[9]Финансирование!L758+[9]Финансирование!M758+[9]Финансирование!N758+[9]Финансирование!O758+[9]Финансирование!P758+[9]Финансирование!Q758+[9]Финансирование!T758+[9]Финансирование!U758+[9]Финансирование!V758+[9]Финансирование!W758+[9]Финансирование!X758+[9]Финансирование!Y758+[9]Финансирование!Z758</f>
        <v>4719.0700000000006</v>
      </c>
      <c r="J758" s="648"/>
      <c r="K758" s="648">
        <f>H758-I758</f>
        <v>259.36000000000058</v>
      </c>
      <c r="L758" s="678"/>
      <c r="M758" s="678"/>
      <c r="N758" s="678"/>
      <c r="O758" s="678"/>
      <c r="P758" s="678"/>
    </row>
    <row r="759" spans="1:16" x14ac:dyDescent="0.15">
      <c r="A759" s="674" t="s">
        <v>159</v>
      </c>
      <c r="B759" s="666"/>
      <c r="C759" s="666"/>
      <c r="D759" s="666"/>
      <c r="E759" s="666"/>
      <c r="F759" s="666"/>
      <c r="G759" s="675"/>
      <c r="H759" s="643"/>
      <c r="I759" s="648">
        <f>[9]Финансирование!I759+[9]Финансирование!J759+[9]Финансирование!K759+[9]Финансирование!L759+[9]Финансирование!M759+[9]Финансирование!N759+[9]Финансирование!O759+[9]Финансирование!P759+[9]Финансирование!Q759+[9]Финансирование!T759+[9]Финансирование!U759+[9]Финансирование!V759+[9]Финансирование!W759+[9]Финансирование!X759+[9]Финансирование!Y759+[9]Финансирование!Z759</f>
        <v>0</v>
      </c>
      <c r="J759" s="648"/>
      <c r="K759" s="643"/>
      <c r="L759" s="678"/>
      <c r="M759" s="678"/>
      <c r="N759" s="678"/>
      <c r="O759" s="678"/>
      <c r="P759" s="678"/>
    </row>
    <row r="760" spans="1:16" x14ac:dyDescent="0.15">
      <c r="A760" s="647" t="str">
        <f>[9]Роспись!A699</f>
        <v>Заработная плата</v>
      </c>
      <c r="B760" s="81" t="str">
        <f>[9]Роспись!B699</f>
        <v>056</v>
      </c>
      <c r="C760" s="81" t="str">
        <f>[9]Роспись!C699</f>
        <v>08</v>
      </c>
      <c r="D760" s="81" t="str">
        <f>[9]Роспись!D699</f>
        <v>01</v>
      </c>
      <c r="E760" s="81">
        <f>[9]Роспись!E699</f>
        <v>4439901</v>
      </c>
      <c r="F760" s="81" t="str">
        <f>[9]Роспись!F699</f>
        <v>001</v>
      </c>
      <c r="G760" s="81">
        <f>[9]Роспись!G699</f>
        <v>211</v>
      </c>
      <c r="H760" s="648">
        <f>[9]Роспись!H699</f>
        <v>5749.5</v>
      </c>
      <c r="I760" s="648">
        <f>[9]Финансирование!I760+[9]Финансирование!J760+[9]Финансирование!K760+[9]Финансирование!L760+[9]Финансирование!M760+[9]Финансирование!N760+[9]Финансирование!O760+[9]Финансирование!P760</f>
        <v>2651.32</v>
      </c>
      <c r="J760" s="648">
        <f>[9]Финансирование!Q760+[9]Финансирование!T760+[9]Финансирование!U760+[9]Финансирование!V760+[9]Финансирование!W760+[9]Финансирование!X760+[9]Финансирование!Y760+[9]Финансирование!Z760</f>
        <v>3098.1800000000003</v>
      </c>
      <c r="K760" s="648">
        <f>H760-I760-J760</f>
        <v>0</v>
      </c>
      <c r="L760" s="678"/>
      <c r="M760" s="678"/>
      <c r="N760" s="678"/>
      <c r="O760" s="678"/>
      <c r="P760" s="678"/>
    </row>
    <row r="761" spans="1:16" x14ac:dyDescent="0.15">
      <c r="A761" s="647" t="str">
        <f>[9]Роспись!A700</f>
        <v xml:space="preserve">Прочие выплаты </v>
      </c>
      <c r="B761" s="81" t="str">
        <f>[9]Роспись!B700</f>
        <v>056</v>
      </c>
      <c r="C761" s="81" t="str">
        <f>[9]Роспись!C700</f>
        <v>08</v>
      </c>
      <c r="D761" s="81" t="str">
        <f>[9]Роспись!D700</f>
        <v>01</v>
      </c>
      <c r="E761" s="81">
        <f>[9]Роспись!E700</f>
        <v>4439901</v>
      </c>
      <c r="F761" s="81" t="str">
        <f>[9]Роспись!F700</f>
        <v>001</v>
      </c>
      <c r="G761" s="81">
        <f>[9]Роспись!G700</f>
        <v>212</v>
      </c>
      <c r="H761" s="648">
        <f>[9]Роспись!H700</f>
        <v>0</v>
      </c>
      <c r="I761" s="648">
        <f>[9]Финансирование!I761+[9]Финансирование!J761+[9]Финансирование!K761+[9]Финансирование!L761+[9]Финансирование!M761+[9]Финансирование!N761+[9]Финансирование!O761+[9]Финансирование!P761</f>
        <v>0</v>
      </c>
      <c r="J761" s="648">
        <f>[9]Финансирование!Q761+[9]Финансирование!T761+[9]Финансирование!U761+[9]Финансирование!V761+[9]Финансирование!W761+[9]Финансирование!X761+[9]Финансирование!Y761+[9]Финансирование!Z761</f>
        <v>0</v>
      </c>
      <c r="K761" s="648">
        <f t="shared" ref="K761:K772" si="57">H761-I761-J761</f>
        <v>0</v>
      </c>
      <c r="L761" s="678"/>
      <c r="M761" s="678"/>
      <c r="N761" s="678"/>
      <c r="O761" s="678"/>
      <c r="P761" s="678"/>
    </row>
    <row r="762" spans="1:16" x14ac:dyDescent="0.15">
      <c r="A762" s="647" t="str">
        <f>[9]Роспись!A701</f>
        <v>Начисления на оплату труда</v>
      </c>
      <c r="B762" s="81" t="str">
        <f>[9]Роспись!B701</f>
        <v>056</v>
      </c>
      <c r="C762" s="81" t="str">
        <f>[9]Роспись!C701</f>
        <v>08</v>
      </c>
      <c r="D762" s="81" t="str">
        <f>[9]Роспись!D701</f>
        <v>01</v>
      </c>
      <c r="E762" s="81">
        <f>[9]Роспись!E701</f>
        <v>4439901</v>
      </c>
      <c r="F762" s="81" t="str">
        <f>[9]Роспись!F701</f>
        <v>001</v>
      </c>
      <c r="G762" s="81">
        <f>[9]Роспись!G701</f>
        <v>213</v>
      </c>
      <c r="H762" s="648">
        <f>[9]Роспись!H701</f>
        <v>1736.3</v>
      </c>
      <c r="I762" s="648">
        <f>[9]Финансирование!I762+[9]Финансирование!J762+[9]Финансирование!K762+[9]Финансирование!L762+[9]Финансирование!M762+[9]Финансирование!N762+[9]Финансирование!O762+[9]Финансирование!P762</f>
        <v>857.86</v>
      </c>
      <c r="J762" s="648">
        <f>[9]Финансирование!Q762+[9]Финансирование!T762+[9]Финансирование!U762+[9]Финансирование!V762+[9]Финансирование!W762+[9]Финансирование!X762+[9]Финансирование!Y762+[9]Финансирование!Z762</f>
        <v>878.44</v>
      </c>
      <c r="K762" s="648">
        <f t="shared" si="57"/>
        <v>0</v>
      </c>
      <c r="L762" s="678"/>
      <c r="M762" s="678"/>
      <c r="N762" s="678"/>
      <c r="O762" s="678"/>
      <c r="P762" s="678"/>
    </row>
    <row r="763" spans="1:16" x14ac:dyDescent="0.15">
      <c r="A763" s="647" t="str">
        <f>[9]Роспись!A702</f>
        <v xml:space="preserve">Оплата услуг связи </v>
      </c>
      <c r="B763" s="81" t="str">
        <f>[9]Роспись!B702</f>
        <v>056</v>
      </c>
      <c r="C763" s="81" t="str">
        <f>[9]Роспись!C702</f>
        <v>08</v>
      </c>
      <c r="D763" s="81" t="str">
        <f>[9]Роспись!D702</f>
        <v>01</v>
      </c>
      <c r="E763" s="81">
        <f>[9]Роспись!E702</f>
        <v>4439901</v>
      </c>
      <c r="F763" s="81" t="str">
        <f>[9]Роспись!F702</f>
        <v>001</v>
      </c>
      <c r="G763" s="81">
        <f>[9]Роспись!G702</f>
        <v>221</v>
      </c>
      <c r="H763" s="648">
        <f>[9]Роспись!H702</f>
        <v>0</v>
      </c>
      <c r="I763" s="648">
        <f>[9]Финансирование!I763+[9]Финансирование!J763+[9]Финансирование!K763+[9]Финансирование!L763+[9]Финансирование!M763+[9]Финансирование!N763+[9]Финансирование!O763+[9]Финансирование!P763</f>
        <v>0</v>
      </c>
      <c r="J763" s="648">
        <f>[9]Финансирование!Q763+[9]Финансирование!T763+[9]Финансирование!U763+[9]Финансирование!V763+[9]Финансирование!W763+[9]Финансирование!X763+[9]Финансирование!Y763+[9]Финансирование!Z763</f>
        <v>0</v>
      </c>
      <c r="K763" s="648">
        <f t="shared" si="57"/>
        <v>0</v>
      </c>
      <c r="L763" s="678"/>
      <c r="M763" s="678"/>
      <c r="N763" s="678"/>
      <c r="O763" s="678"/>
      <c r="P763" s="678"/>
    </row>
    <row r="764" spans="1:16" x14ac:dyDescent="0.15">
      <c r="A764" s="647" t="str">
        <f>[9]Роспись!A703</f>
        <v>Транспортные услуги</v>
      </c>
      <c r="B764" s="81" t="str">
        <f>[9]Роспись!B703</f>
        <v>056</v>
      </c>
      <c r="C764" s="81" t="str">
        <f>[9]Роспись!C703</f>
        <v>08</v>
      </c>
      <c r="D764" s="81" t="str">
        <f>[9]Роспись!D703</f>
        <v>01</v>
      </c>
      <c r="E764" s="81">
        <f>[9]Роспись!E703</f>
        <v>4439901</v>
      </c>
      <c r="F764" s="81" t="str">
        <f>[9]Роспись!F703</f>
        <v>001</v>
      </c>
      <c r="G764" s="81">
        <f>[9]Роспись!G703</f>
        <v>222</v>
      </c>
      <c r="H764" s="648">
        <f>[9]Роспись!H703</f>
        <v>0</v>
      </c>
      <c r="I764" s="648">
        <f>[9]Финансирование!I764+[9]Финансирование!J764+[9]Финансирование!K764+[9]Финансирование!L764+[9]Финансирование!M764+[9]Финансирование!N764+[9]Финансирование!O764+[9]Финансирование!P764</f>
        <v>0</v>
      </c>
      <c r="J764" s="648">
        <f>[9]Финансирование!Q764+[9]Финансирование!T764+[9]Финансирование!U764+[9]Финансирование!V764+[9]Финансирование!W764+[9]Финансирование!X764+[9]Финансирование!Y764+[9]Финансирование!Z764</f>
        <v>0</v>
      </c>
      <c r="K764" s="648">
        <f t="shared" si="57"/>
        <v>0</v>
      </c>
      <c r="L764" s="678"/>
      <c r="M764" s="678"/>
      <c r="N764" s="678"/>
      <c r="O764" s="678"/>
      <c r="P764" s="678"/>
    </row>
    <row r="765" spans="1:16" x14ac:dyDescent="0.15">
      <c r="A765" s="647" t="str">
        <f>[9]Роспись!A704</f>
        <v>Коммунальные услуги</v>
      </c>
      <c r="B765" s="81" t="str">
        <f>[9]Роспись!B704</f>
        <v>056</v>
      </c>
      <c r="C765" s="81" t="str">
        <f>[9]Роспись!C704</f>
        <v>08</v>
      </c>
      <c r="D765" s="81" t="str">
        <f>[9]Роспись!D704</f>
        <v>01</v>
      </c>
      <c r="E765" s="81">
        <f>[9]Роспись!E704</f>
        <v>4439901</v>
      </c>
      <c r="F765" s="81" t="str">
        <f>[9]Роспись!F704</f>
        <v>001</v>
      </c>
      <c r="G765" s="81">
        <f>[9]Роспись!G704</f>
        <v>223</v>
      </c>
      <c r="H765" s="648">
        <f>[9]Роспись!H704</f>
        <v>0</v>
      </c>
      <c r="I765" s="648">
        <f>[9]Финансирование!I765+[9]Финансирование!J765+[9]Финансирование!K765+[9]Финансирование!L765+[9]Финансирование!M765+[9]Финансирование!N765+[9]Финансирование!O765+[9]Финансирование!P765</f>
        <v>0</v>
      </c>
      <c r="J765" s="648">
        <f>[9]Финансирование!Q765+[9]Финансирование!T765+[9]Финансирование!U765+[9]Финансирование!V765+[9]Финансирование!W765+[9]Финансирование!X765+[9]Финансирование!Y765+[9]Финансирование!Z765</f>
        <v>0</v>
      </c>
      <c r="K765" s="648">
        <f t="shared" si="57"/>
        <v>0</v>
      </c>
      <c r="L765" s="678"/>
      <c r="M765" s="678"/>
      <c r="N765" s="678"/>
      <c r="O765" s="678"/>
      <c r="P765" s="678"/>
    </row>
    <row r="766" spans="1:16" x14ac:dyDescent="0.15">
      <c r="A766" s="647" t="str">
        <f>[9]Роспись!A705</f>
        <v>Арендная плата</v>
      </c>
      <c r="B766" s="81" t="str">
        <f>[9]Роспись!B705</f>
        <v>056</v>
      </c>
      <c r="C766" s="81" t="str">
        <f>[9]Роспись!C705</f>
        <v>08</v>
      </c>
      <c r="D766" s="81" t="str">
        <f>[9]Роспись!D705</f>
        <v>01</v>
      </c>
      <c r="E766" s="81">
        <f>[9]Роспись!E705</f>
        <v>4439901</v>
      </c>
      <c r="F766" s="81" t="str">
        <f>[9]Роспись!F705</f>
        <v>001</v>
      </c>
      <c r="G766" s="81">
        <f>[9]Роспись!G705</f>
        <v>224</v>
      </c>
      <c r="H766" s="648">
        <f>[9]Роспись!H705</f>
        <v>0</v>
      </c>
      <c r="I766" s="648">
        <f>[9]Финансирование!I766+[9]Финансирование!J766+[9]Финансирование!K766+[9]Финансирование!L766+[9]Финансирование!M766+[9]Финансирование!N766+[9]Финансирование!O766+[9]Финансирование!P766</f>
        <v>0</v>
      </c>
      <c r="J766" s="648">
        <f>[9]Финансирование!Q766+[9]Финансирование!T766+[9]Финансирование!U766+[9]Финансирование!V766+[9]Финансирование!W766+[9]Финансирование!X766+[9]Финансирование!Y766+[9]Финансирование!Z766</f>
        <v>0</v>
      </c>
      <c r="K766" s="648">
        <f t="shared" si="57"/>
        <v>0</v>
      </c>
      <c r="L766" s="678"/>
      <c r="M766" s="678"/>
      <c r="N766" s="678"/>
      <c r="O766" s="678"/>
      <c r="P766" s="678"/>
    </row>
    <row r="767" spans="1:16" x14ac:dyDescent="0.15">
      <c r="A767" s="647" t="str">
        <f>[9]Роспись!A706</f>
        <v>Услуги по содерж. имущества</v>
      </c>
      <c r="B767" s="81" t="str">
        <f>[9]Роспись!B706</f>
        <v>056</v>
      </c>
      <c r="C767" s="81" t="str">
        <f>[9]Роспись!C706</f>
        <v>08</v>
      </c>
      <c r="D767" s="81" t="str">
        <f>[9]Роспись!D706</f>
        <v>01</v>
      </c>
      <c r="E767" s="81">
        <f>[9]Роспись!E706</f>
        <v>4439901</v>
      </c>
      <c r="F767" s="81" t="str">
        <f>[9]Роспись!F706</f>
        <v>001</v>
      </c>
      <c r="G767" s="81">
        <f>[9]Роспись!G706</f>
        <v>225</v>
      </c>
      <c r="H767" s="648">
        <f>[9]Роспись!H706</f>
        <v>0</v>
      </c>
      <c r="I767" s="648">
        <f>[9]Финансирование!I767+[9]Финансирование!J767+[9]Финансирование!K767+[9]Финансирование!L767+[9]Финансирование!M767+[9]Финансирование!N767+[9]Финансирование!O767+[9]Финансирование!P767</f>
        <v>0</v>
      </c>
      <c r="J767" s="648">
        <f>[9]Финансирование!Q767+[9]Финансирование!T767+[9]Финансирование!U767+[9]Финансирование!V767+[9]Финансирование!W767+[9]Финансирование!X767+[9]Финансирование!Y767+[9]Финансирование!Z767</f>
        <v>0</v>
      </c>
      <c r="K767" s="648">
        <f t="shared" si="57"/>
        <v>0</v>
      </c>
      <c r="L767" s="678"/>
      <c r="M767" s="678"/>
      <c r="N767" s="678"/>
      <c r="O767" s="678"/>
      <c r="P767" s="678"/>
    </row>
    <row r="768" spans="1:16" x14ac:dyDescent="0.15">
      <c r="A768" s="647" t="str">
        <f>[9]Роспись!A707</f>
        <v>Прочие услуги</v>
      </c>
      <c r="B768" s="81" t="str">
        <f>[9]Роспись!B707</f>
        <v>056</v>
      </c>
      <c r="C768" s="81" t="str">
        <f>[9]Роспись!C707</f>
        <v>08</v>
      </c>
      <c r="D768" s="81" t="str">
        <f>[9]Роспись!D707</f>
        <v>01</v>
      </c>
      <c r="E768" s="81">
        <f>[9]Роспись!E707</f>
        <v>4439901</v>
      </c>
      <c r="F768" s="81" t="str">
        <f>[9]Роспись!F707</f>
        <v>001</v>
      </c>
      <c r="G768" s="81">
        <f>[9]Роспись!G707</f>
        <v>226</v>
      </c>
      <c r="H768" s="648">
        <f>[9]Роспись!H707</f>
        <v>104.64</v>
      </c>
      <c r="I768" s="648">
        <f>[9]Финансирование!I768+[9]Финансирование!J768+[9]Финансирование!K768+[9]Финансирование!L768+[9]Финансирование!M768+[9]Финансирование!N768+[9]Финансирование!O768+[9]Финансирование!P768</f>
        <v>104.64</v>
      </c>
      <c r="J768" s="648">
        <f>[9]Финансирование!Q768+[9]Финансирование!T768+[9]Финансирование!U768+[9]Финансирование!V768+[9]Финансирование!W768+[9]Финансирование!X768+[9]Финансирование!Y768+[9]Финансирование!Z768</f>
        <v>0</v>
      </c>
      <c r="K768" s="648">
        <f t="shared" si="57"/>
        <v>0</v>
      </c>
      <c r="L768" s="678"/>
      <c r="M768" s="678"/>
      <c r="N768" s="678"/>
      <c r="O768" s="678"/>
      <c r="P768" s="678"/>
    </row>
    <row r="769" spans="1:16" x14ac:dyDescent="0.15">
      <c r="A769" s="647" t="str">
        <f>[9]Роспись!A708</f>
        <v xml:space="preserve">Прочие расходы </v>
      </c>
      <c r="B769" s="81" t="str">
        <f>[9]Роспись!B708</f>
        <v>056</v>
      </c>
      <c r="C769" s="81" t="str">
        <f>[9]Роспись!C708</f>
        <v>08</v>
      </c>
      <c r="D769" s="81" t="str">
        <f>[9]Роспись!D708</f>
        <v>01</v>
      </c>
      <c r="E769" s="81">
        <f>[9]Роспись!E708</f>
        <v>4439901</v>
      </c>
      <c r="F769" s="81" t="str">
        <f>[9]Роспись!F708</f>
        <v>001</v>
      </c>
      <c r="G769" s="81">
        <f>[9]Роспись!G708</f>
        <v>290</v>
      </c>
      <c r="H769" s="648">
        <f>[9]Роспись!H708</f>
        <v>10.3</v>
      </c>
      <c r="I769" s="648">
        <f>[9]Финансирование!I769+[9]Финансирование!J769+[9]Финансирование!K769+[9]Финансирование!L769+[9]Финансирование!M769+[9]Финансирование!N769+[9]Финансирование!O769+[9]Финансирование!P769</f>
        <v>5.2</v>
      </c>
      <c r="J769" s="648">
        <f>[9]Финансирование!Q769+[9]Финансирование!T769+[9]Финансирование!U769+[9]Финансирование!V769+[9]Финансирование!W769+[9]Финансирование!X769+[9]Финансирование!Y769+[9]Финансирование!Z769</f>
        <v>2.5249999999999999</v>
      </c>
      <c r="K769" s="648">
        <f t="shared" si="57"/>
        <v>2.5750000000000006</v>
      </c>
      <c r="L769" s="678"/>
      <c r="M769" s="678"/>
      <c r="N769" s="678"/>
      <c r="O769" s="678"/>
      <c r="P769" s="678"/>
    </row>
    <row r="770" spans="1:16" x14ac:dyDescent="0.15">
      <c r="A770" s="647" t="str">
        <f>[9]Роспись!A709</f>
        <v xml:space="preserve">Прочие расходы </v>
      </c>
      <c r="B770" s="81" t="str">
        <f>[9]Роспись!B709</f>
        <v>056</v>
      </c>
      <c r="C770" s="81" t="str">
        <f>[9]Роспись!C709</f>
        <v>08</v>
      </c>
      <c r="D770" s="81" t="str">
        <f>[9]Роспись!D709</f>
        <v>01</v>
      </c>
      <c r="E770" s="81" t="str">
        <f>[9]Роспись!E709</f>
        <v>4439500</v>
      </c>
      <c r="F770" s="81" t="str">
        <f>[9]Роспись!F709</f>
        <v>001</v>
      </c>
      <c r="G770" s="81" t="str">
        <f>[9]Роспись!G709</f>
        <v>290</v>
      </c>
      <c r="H770" s="648">
        <f>[9]Роспись!H709</f>
        <v>5.8</v>
      </c>
      <c r="I770" s="648">
        <f>[9]Финансирование!I770+[9]Финансирование!J770+[9]Финансирование!K770+[9]Финансирование!L770+[9]Финансирование!M770+[9]Финансирование!N770+[9]Финансирование!O770+[9]Финансирование!P770</f>
        <v>3</v>
      </c>
      <c r="J770" s="648">
        <f>[9]Финансирование!Q770+[9]Финансирование!T770+[9]Финансирование!U770+[9]Финансирование!V770+[9]Финансирование!W770+[9]Финансирование!X770+[9]Финансирование!Y770+[9]Финансирование!Z770</f>
        <v>1.35</v>
      </c>
      <c r="K770" s="648">
        <f t="shared" si="57"/>
        <v>1.4499999999999997</v>
      </c>
      <c r="L770" s="678"/>
      <c r="M770" s="678"/>
      <c r="N770" s="678"/>
      <c r="O770" s="678"/>
      <c r="P770" s="678"/>
    </row>
    <row r="771" spans="1:16" x14ac:dyDescent="0.15">
      <c r="A771" s="647" t="str">
        <f>[9]Роспись!A710</f>
        <v>Увелич. стоимости осн. средств</v>
      </c>
      <c r="B771" s="81" t="str">
        <f>[9]Роспись!B710</f>
        <v>056</v>
      </c>
      <c r="C771" s="81" t="str">
        <f>[9]Роспись!C710</f>
        <v>08</v>
      </c>
      <c r="D771" s="81" t="str">
        <f>[9]Роспись!D710</f>
        <v>01</v>
      </c>
      <c r="E771" s="81">
        <f>[9]Роспись!E710</f>
        <v>4439901</v>
      </c>
      <c r="F771" s="81" t="str">
        <f>[9]Роспись!F710</f>
        <v>001</v>
      </c>
      <c r="G771" s="81">
        <f>[9]Роспись!G710</f>
        <v>310</v>
      </c>
      <c r="H771" s="648">
        <f>[9]Роспись!H710</f>
        <v>135.36000000000001</v>
      </c>
      <c r="I771" s="648">
        <f>[9]Финансирование!I771+[9]Финансирование!J771+[9]Финансирование!K771+[9]Финансирование!L771+[9]Финансирование!M771+[9]Финансирование!N771+[9]Финансирование!O771+[9]Финансирование!P771</f>
        <v>0</v>
      </c>
      <c r="J771" s="648">
        <f>[9]Финансирование!Q771+[9]Финансирование!T771+[9]Финансирование!U771+[9]Финансирование!V771+[9]Финансирование!W771+[9]Финансирование!X771+[9]Финансирование!Y771+[9]Финансирование!Z771</f>
        <v>0</v>
      </c>
      <c r="K771" s="648">
        <f t="shared" si="57"/>
        <v>135.36000000000001</v>
      </c>
      <c r="L771" s="678"/>
      <c r="M771" s="678"/>
      <c r="N771" s="678"/>
      <c r="O771" s="678"/>
      <c r="P771" s="678"/>
    </row>
    <row r="772" spans="1:16" x14ac:dyDescent="0.15">
      <c r="A772" s="647" t="str">
        <f>[9]Роспись!A711</f>
        <v>Увелич. стоимости матер. запасов</v>
      </c>
      <c r="B772" s="81" t="str">
        <f>[9]Роспись!B711</f>
        <v>056</v>
      </c>
      <c r="C772" s="81" t="str">
        <f>[9]Роспись!C711</f>
        <v>08</v>
      </c>
      <c r="D772" s="81" t="str">
        <f>[9]Роспись!D711</f>
        <v>01</v>
      </c>
      <c r="E772" s="81">
        <f>[9]Роспись!E711</f>
        <v>4439901</v>
      </c>
      <c r="F772" s="81" t="str">
        <f>[9]Роспись!F711</f>
        <v>001</v>
      </c>
      <c r="G772" s="81">
        <f>[9]Роспись!G711</f>
        <v>340</v>
      </c>
      <c r="H772" s="648">
        <f>[9]Роспись!H711</f>
        <v>15</v>
      </c>
      <c r="I772" s="648">
        <f>[9]Финансирование!I772+[9]Финансирование!J772+[9]Финансирование!K772+[9]Финансирование!L772+[9]Финансирование!M772+[9]Финансирование!N772+[9]Финансирование!O772+[9]Финансирование!P772</f>
        <v>3.75</v>
      </c>
      <c r="J772" s="648">
        <f>[9]Финансирование!Q772+[9]Финансирование!T772+[9]Финансирование!U772+[9]Финансирование!V772+[9]Финансирование!W772+[9]Финансирование!X772+[9]Финансирование!Y772+[9]Финансирование!Z772</f>
        <v>0</v>
      </c>
      <c r="K772" s="648">
        <f t="shared" si="57"/>
        <v>11.25</v>
      </c>
      <c r="L772" s="678"/>
      <c r="M772" s="678"/>
      <c r="N772" s="678"/>
      <c r="O772" s="678"/>
      <c r="P772" s="678"/>
    </row>
    <row r="773" spans="1:16" x14ac:dyDescent="0.15">
      <c r="A773" s="674" t="s">
        <v>98</v>
      </c>
      <c r="B773" s="666" t="s">
        <v>79</v>
      </c>
      <c r="C773" s="666" t="s">
        <v>80</v>
      </c>
      <c r="D773" s="666" t="s">
        <v>125</v>
      </c>
      <c r="E773" s="666" t="s">
        <v>216</v>
      </c>
      <c r="F773" s="666" t="s">
        <v>102</v>
      </c>
      <c r="G773" s="731"/>
      <c r="H773" s="643">
        <f>SUM(H760:H772)</f>
        <v>7756.9000000000005</v>
      </c>
      <c r="I773" s="681">
        <f>SUM(I760:I772)</f>
        <v>3625.77</v>
      </c>
      <c r="J773" s="681">
        <f>SUM(J760:J772)</f>
        <v>3980.4950000000003</v>
      </c>
      <c r="K773" s="643">
        <f>SUM(K760:K772)</f>
        <v>150.63500000000002</v>
      </c>
      <c r="L773" s="678"/>
      <c r="M773" s="678"/>
      <c r="N773" s="678"/>
      <c r="O773" s="678"/>
      <c r="P773" s="678"/>
    </row>
    <row r="774" spans="1:16" ht="52" x14ac:dyDescent="0.15">
      <c r="A774" s="692" t="str">
        <f>'[9]Новая роспись'!A814</f>
        <v>Субсидия на финансовое обеспечение государственного задания на оказание государственных услуг (выполнение работ)</v>
      </c>
      <c r="B774" s="666"/>
      <c r="C774" s="666"/>
      <c r="D774" s="666"/>
      <c r="E774" s="666"/>
      <c r="F774" s="692">
        <f>'[9]Новая роспись'!F814</f>
        <v>611</v>
      </c>
      <c r="G774" s="692" t="str">
        <f>'[9]Новая роспись'!G814</f>
        <v>241</v>
      </c>
      <c r="H774" s="645">
        <f>'[9]Новая роспись'!H814</f>
        <v>4131.130000000001</v>
      </c>
      <c r="I774" s="648">
        <f>J773</f>
        <v>3980.4950000000003</v>
      </c>
      <c r="J774" s="648"/>
      <c r="K774" s="648">
        <f>H774-I774</f>
        <v>150.63500000000067</v>
      </c>
      <c r="L774" s="678"/>
      <c r="M774" s="678"/>
      <c r="N774" s="678"/>
      <c r="O774" s="678"/>
      <c r="P774" s="678"/>
    </row>
    <row r="775" spans="1:16" x14ac:dyDescent="0.15">
      <c r="A775" s="653" t="s">
        <v>160</v>
      </c>
      <c r="B775" s="662"/>
      <c r="C775" s="662"/>
      <c r="D775" s="662"/>
      <c r="E775" s="662"/>
      <c r="F775" s="662"/>
      <c r="G775" s="691"/>
      <c r="H775" s="643"/>
      <c r="I775" s="656">
        <f>[9]Финансирование!I775+[9]Финансирование!J775+[9]Финансирование!K775+[9]Финансирование!L775+[9]Финансирование!M775+[9]Финансирование!N775+[9]Финансирование!O775+[9]Финансирование!P775+[9]Финансирование!Q775+[9]Финансирование!T775+[9]Финансирование!U775+[9]Финансирование!V775+[9]Финансирование!W775+[9]Финансирование!X775+[9]Финансирование!Y775+[9]Финансирование!Z775</f>
        <v>0</v>
      </c>
      <c r="J775" s="656"/>
      <c r="K775" s="665"/>
      <c r="L775" s="678"/>
      <c r="M775" s="678"/>
      <c r="N775" s="678"/>
      <c r="O775" s="678"/>
      <c r="P775" s="678"/>
    </row>
    <row r="776" spans="1:16" x14ac:dyDescent="0.15">
      <c r="A776" s="657" t="str">
        <f>[9]Роспись!A729</f>
        <v>Заработная плата</v>
      </c>
      <c r="B776" s="654" t="str">
        <f>[9]Роспись!B729</f>
        <v>056</v>
      </c>
      <c r="C776" s="654" t="str">
        <f>[9]Роспись!C729</f>
        <v>08</v>
      </c>
      <c r="D776" s="654" t="str">
        <f>[9]Роспись!D729</f>
        <v>01</v>
      </c>
      <c r="E776" s="654">
        <f>[9]Роспись!E729</f>
        <v>4439901</v>
      </c>
      <c r="F776" s="654" t="str">
        <f>[9]Роспись!F729</f>
        <v>001</v>
      </c>
      <c r="G776" s="654">
        <f>[9]Роспись!G729</f>
        <v>211</v>
      </c>
      <c r="H776" s="648">
        <f>[9]Роспись!H714</f>
        <v>1568.6</v>
      </c>
      <c r="I776" s="656">
        <f>[9]Финансирование!I776+[9]Финансирование!J776+[9]Финансирование!K776+[9]Финансирование!L776+[9]Финансирование!M776+[9]Финансирование!N776+[9]Финансирование!O776+[9]Финансирование!P776</f>
        <v>723.3</v>
      </c>
      <c r="J776" s="656">
        <f>[9]Финансирование!Q776+[9]Финансирование!T776+[9]Финансирование!U776+[9]Финансирование!V776+[9]Финансирование!W776+[9]Финансирование!X776+[9]Финансирование!Y776+[9]Финансирование!Z776</f>
        <v>845.3</v>
      </c>
      <c r="K776" s="656">
        <f>H776-I776-J776</f>
        <v>0</v>
      </c>
      <c r="L776" s="678">
        <v>830.25</v>
      </c>
      <c r="M776" s="677">
        <f>J776-L776</f>
        <v>15.049999999999955</v>
      </c>
      <c r="N776" s="678"/>
      <c r="O776" s="678"/>
      <c r="P776" s="678"/>
    </row>
    <row r="777" spans="1:16" x14ac:dyDescent="0.15">
      <c r="A777" s="657" t="str">
        <f>[9]Роспись!A730</f>
        <v xml:space="preserve">Прочие выплаты </v>
      </c>
      <c r="B777" s="654" t="str">
        <f>[9]Роспись!B730</f>
        <v>056</v>
      </c>
      <c r="C777" s="654" t="str">
        <f>[9]Роспись!C730</f>
        <v>08</v>
      </c>
      <c r="D777" s="654" t="str">
        <f>[9]Роспись!D730</f>
        <v>01</v>
      </c>
      <c r="E777" s="654">
        <f>[9]Роспись!E730</f>
        <v>4439901</v>
      </c>
      <c r="F777" s="654" t="str">
        <f>[9]Роспись!F730</f>
        <v>001</v>
      </c>
      <c r="G777" s="654">
        <f>[9]Роспись!G730</f>
        <v>212</v>
      </c>
      <c r="H777" s="648">
        <f>[9]Роспись!H715</f>
        <v>0</v>
      </c>
      <c r="I777" s="656">
        <f>[9]Финансирование!I777+[9]Финансирование!J777+[9]Финансирование!K777+[9]Финансирование!L777+[9]Финансирование!M777+[9]Финансирование!N777+[9]Финансирование!O777+[9]Финансирование!P777</f>
        <v>0</v>
      </c>
      <c r="J777" s="656">
        <f>[9]Финансирование!Q777+[9]Финансирование!T777+[9]Финансирование!U777+[9]Финансирование!V777+[9]Финансирование!W777+[9]Финансирование!X777+[9]Финансирование!Y777+[9]Финансирование!Z777</f>
        <v>0</v>
      </c>
      <c r="K777" s="656">
        <f t="shared" ref="K777:K788" si="58">H777-I777-J777</f>
        <v>0</v>
      </c>
      <c r="L777" s="678"/>
      <c r="M777" s="677">
        <f>J777-L777</f>
        <v>0</v>
      </c>
      <c r="N777" s="678"/>
      <c r="O777" s="678"/>
      <c r="P777" s="678"/>
    </row>
    <row r="778" spans="1:16" x14ac:dyDescent="0.15">
      <c r="A778" s="657" t="str">
        <f>[9]Роспись!A731</f>
        <v>Начисления на оплату труда</v>
      </c>
      <c r="B778" s="654" t="str">
        <f>[9]Роспись!B731</f>
        <v>056</v>
      </c>
      <c r="C778" s="654" t="str">
        <f>[9]Роспись!C731</f>
        <v>08</v>
      </c>
      <c r="D778" s="654" t="str">
        <f>[9]Роспись!D731</f>
        <v>01</v>
      </c>
      <c r="E778" s="654">
        <f>[9]Роспись!E731</f>
        <v>4439901</v>
      </c>
      <c r="F778" s="654" t="str">
        <f>[9]Роспись!F731</f>
        <v>001</v>
      </c>
      <c r="G778" s="654">
        <f>[9]Роспись!G731</f>
        <v>213</v>
      </c>
      <c r="H778" s="648">
        <f>[9]Роспись!H716</f>
        <v>473.7</v>
      </c>
      <c r="I778" s="656">
        <f>[9]Финансирование!I778+[9]Финансирование!J778+[9]Финансирование!K778+[9]Финансирование!L778+[9]Финансирование!M778+[9]Финансирование!N778+[9]Финансирование!O778+[9]Финансирование!P778</f>
        <v>234.36999999999998</v>
      </c>
      <c r="J778" s="656">
        <f>[9]Финансирование!Q778+[9]Финансирование!T778+[9]Финансирование!U778+[9]Финансирование!V778+[9]Финансирование!W778+[9]Финансирование!X778+[9]Финансирование!Y778+[9]Финансирование!Z778</f>
        <v>221.38</v>
      </c>
      <c r="K778" s="656">
        <f t="shared" si="58"/>
        <v>17.950000000000017</v>
      </c>
      <c r="L778" s="678">
        <v>221.38</v>
      </c>
      <c r="M778" s="677">
        <f>J778-L778</f>
        <v>0</v>
      </c>
      <c r="N778" s="678"/>
      <c r="O778" s="678"/>
      <c r="P778" s="678"/>
    </row>
    <row r="779" spans="1:16" x14ac:dyDescent="0.15">
      <c r="A779" s="657" t="str">
        <f>[9]Роспись!A732</f>
        <v xml:space="preserve">Оплата услуг связи </v>
      </c>
      <c r="B779" s="654" t="str">
        <f>[9]Роспись!B732</f>
        <v>056</v>
      </c>
      <c r="C779" s="654" t="str">
        <f>[9]Роспись!C732</f>
        <v>08</v>
      </c>
      <c r="D779" s="654" t="str">
        <f>[9]Роспись!D732</f>
        <v>01</v>
      </c>
      <c r="E779" s="654">
        <f>[9]Роспись!E732</f>
        <v>4439901</v>
      </c>
      <c r="F779" s="654" t="str">
        <f>[9]Роспись!F732</f>
        <v>001</v>
      </c>
      <c r="G779" s="654">
        <f>[9]Роспись!G732</f>
        <v>221</v>
      </c>
      <c r="H779" s="648">
        <f>[9]Роспись!H717</f>
        <v>0</v>
      </c>
      <c r="I779" s="656">
        <f>[9]Финансирование!I779+[9]Финансирование!J779+[9]Финансирование!K779+[9]Финансирование!L779+[9]Финансирование!M779+[9]Финансирование!N779+[9]Финансирование!O779+[9]Финансирование!P779</f>
        <v>0</v>
      </c>
      <c r="J779" s="656">
        <f>[9]Финансирование!Q779+[9]Финансирование!T779+[9]Финансирование!U779+[9]Финансирование!V779+[9]Финансирование!W779+[9]Финансирование!X779+[9]Финансирование!Y779+[9]Финансирование!Z779</f>
        <v>0</v>
      </c>
      <c r="K779" s="656">
        <f t="shared" si="58"/>
        <v>0</v>
      </c>
      <c r="L779" s="678"/>
      <c r="M779" s="678"/>
      <c r="N779" s="678"/>
      <c r="O779" s="678"/>
      <c r="P779" s="678"/>
    </row>
    <row r="780" spans="1:16" x14ac:dyDescent="0.15">
      <c r="A780" s="657" t="str">
        <f>[9]Роспись!A733</f>
        <v>Транспортные услуги</v>
      </c>
      <c r="B780" s="654" t="str">
        <f>[9]Роспись!B733</f>
        <v>056</v>
      </c>
      <c r="C780" s="654" t="str">
        <f>[9]Роспись!C733</f>
        <v>08</v>
      </c>
      <c r="D780" s="654" t="str">
        <f>[9]Роспись!D733</f>
        <v>01</v>
      </c>
      <c r="E780" s="654">
        <f>[9]Роспись!E733</f>
        <v>4439901</v>
      </c>
      <c r="F780" s="654" t="str">
        <f>[9]Роспись!F733</f>
        <v>001</v>
      </c>
      <c r="G780" s="654">
        <f>[9]Роспись!G733</f>
        <v>222</v>
      </c>
      <c r="H780" s="648">
        <f>[9]Роспись!H718</f>
        <v>0</v>
      </c>
      <c r="I780" s="656">
        <f>[9]Финансирование!I780+[9]Финансирование!J780+[9]Финансирование!K780+[9]Финансирование!L780+[9]Финансирование!M780+[9]Финансирование!N780+[9]Финансирование!O780+[9]Финансирование!P780</f>
        <v>0</v>
      </c>
      <c r="J780" s="656">
        <f>[9]Финансирование!Q780+[9]Финансирование!T780+[9]Финансирование!U780+[9]Финансирование!V780+[9]Финансирование!W780+[9]Финансирование!X780+[9]Финансирование!Y780+[9]Финансирование!Z780</f>
        <v>0</v>
      </c>
      <c r="K780" s="656">
        <f t="shared" si="58"/>
        <v>0</v>
      </c>
      <c r="L780" s="678"/>
      <c r="M780" s="678"/>
      <c r="N780" s="678"/>
      <c r="O780" s="678"/>
      <c r="P780" s="678"/>
    </row>
    <row r="781" spans="1:16" x14ac:dyDescent="0.15">
      <c r="A781" s="657" t="str">
        <f>[9]Роспись!A734</f>
        <v>Коммунальные услуги</v>
      </c>
      <c r="B781" s="654" t="str">
        <f>[9]Роспись!B734</f>
        <v>056</v>
      </c>
      <c r="C781" s="654" t="str">
        <f>[9]Роспись!C734</f>
        <v>08</v>
      </c>
      <c r="D781" s="654" t="str">
        <f>[9]Роспись!D734</f>
        <v>01</v>
      </c>
      <c r="E781" s="654">
        <f>[9]Роспись!E734</f>
        <v>4439901</v>
      </c>
      <c r="F781" s="654" t="str">
        <f>[9]Роспись!F734</f>
        <v>001</v>
      </c>
      <c r="G781" s="654">
        <f>[9]Роспись!G734</f>
        <v>223</v>
      </c>
      <c r="H781" s="648">
        <f>[9]Роспись!H719</f>
        <v>0</v>
      </c>
      <c r="I781" s="656">
        <f>[9]Финансирование!I781+[9]Финансирование!J781+[9]Финансирование!K781+[9]Финансирование!L781+[9]Финансирование!M781+[9]Финансирование!N781+[9]Финансирование!O781+[9]Финансирование!P781</f>
        <v>0</v>
      </c>
      <c r="J781" s="656">
        <f>[9]Финансирование!Q781+[9]Финансирование!T781+[9]Финансирование!U781+[9]Финансирование!V781+[9]Финансирование!W781+[9]Финансирование!X781+[9]Финансирование!Y781+[9]Финансирование!Z781</f>
        <v>0</v>
      </c>
      <c r="K781" s="656">
        <f t="shared" si="58"/>
        <v>0</v>
      </c>
      <c r="L781" s="678"/>
      <c r="M781" s="678"/>
      <c r="N781" s="678"/>
      <c r="O781" s="678"/>
      <c r="P781" s="678"/>
    </row>
    <row r="782" spans="1:16" x14ac:dyDescent="0.15">
      <c r="A782" s="657" t="str">
        <f>[9]Роспись!A735</f>
        <v>Арендная плата</v>
      </c>
      <c r="B782" s="654" t="str">
        <f>[9]Роспись!B735</f>
        <v>056</v>
      </c>
      <c r="C782" s="654" t="str">
        <f>[9]Роспись!C735</f>
        <v>08</v>
      </c>
      <c r="D782" s="654" t="str">
        <f>[9]Роспись!D735</f>
        <v>01</v>
      </c>
      <c r="E782" s="654">
        <f>[9]Роспись!E735</f>
        <v>4439901</v>
      </c>
      <c r="F782" s="654" t="str">
        <f>[9]Роспись!F735</f>
        <v>001</v>
      </c>
      <c r="G782" s="654">
        <f>[9]Роспись!G735</f>
        <v>224</v>
      </c>
      <c r="H782" s="648">
        <f>[9]Роспись!H720</f>
        <v>420</v>
      </c>
      <c r="I782" s="656">
        <f>[9]Финансирование!I782+[9]Финансирование!J782+[9]Финансирование!K782+[9]Финансирование!L782+[9]Финансирование!M782+[9]Финансирование!N782+[9]Финансирование!O782+[9]Финансирование!P782</f>
        <v>175</v>
      </c>
      <c r="J782" s="656">
        <f>[9]Финансирование!Q782+[9]Финансирование!T782+[9]Финансирование!U782+[9]Финансирование!V782+[9]Финансирование!W782+[9]Финансирование!X782+[9]Финансирование!Y782+[9]Финансирование!Z782</f>
        <v>17.95</v>
      </c>
      <c r="K782" s="656">
        <f t="shared" si="58"/>
        <v>227.05</v>
      </c>
      <c r="L782" s="678">
        <v>33</v>
      </c>
      <c r="M782" s="678"/>
      <c r="N782" s="678"/>
      <c r="O782" s="678"/>
      <c r="P782" s="678"/>
    </row>
    <row r="783" spans="1:16" x14ac:dyDescent="0.15">
      <c r="A783" s="657" t="str">
        <f>[9]Роспись!A736</f>
        <v>Услуги по содерж. имущества</v>
      </c>
      <c r="B783" s="654" t="str">
        <f>[9]Роспись!B736</f>
        <v>056</v>
      </c>
      <c r="C783" s="654" t="str">
        <f>[9]Роспись!C736</f>
        <v>08</v>
      </c>
      <c r="D783" s="654" t="str">
        <f>[9]Роспись!D736</f>
        <v>01</v>
      </c>
      <c r="E783" s="654">
        <f>[9]Роспись!E736</f>
        <v>4439901</v>
      </c>
      <c r="F783" s="654" t="str">
        <f>[9]Роспись!F736</f>
        <v>001</v>
      </c>
      <c r="G783" s="654">
        <f>[9]Роспись!G736</f>
        <v>225</v>
      </c>
      <c r="H783" s="648">
        <f>[9]Роспись!H721</f>
        <v>0</v>
      </c>
      <c r="I783" s="656">
        <f>[9]Финансирование!I783+[9]Финансирование!J783+[9]Финансирование!K783+[9]Финансирование!L783+[9]Финансирование!M783+[9]Финансирование!N783+[9]Финансирование!O783+[9]Финансирование!P783</f>
        <v>0</v>
      </c>
      <c r="J783" s="656">
        <f>[9]Финансирование!Q783+[9]Финансирование!T783+[9]Финансирование!U783+[9]Финансирование!V783+[9]Финансирование!W783+[9]Финансирование!X783+[9]Финансирование!Y783+[9]Финансирование!Z783</f>
        <v>0</v>
      </c>
      <c r="K783" s="656">
        <f t="shared" si="58"/>
        <v>0</v>
      </c>
      <c r="L783" s="678"/>
      <c r="M783" s="678"/>
      <c r="N783" s="678"/>
      <c r="O783" s="678"/>
      <c r="P783" s="678"/>
    </row>
    <row r="784" spans="1:16" x14ac:dyDescent="0.15">
      <c r="A784" s="657" t="str">
        <f>[9]Роспись!A737</f>
        <v>Прочие услуги</v>
      </c>
      <c r="B784" s="654" t="str">
        <f>[9]Роспись!B737</f>
        <v>056</v>
      </c>
      <c r="C784" s="654" t="str">
        <f>[9]Роспись!C737</f>
        <v>08</v>
      </c>
      <c r="D784" s="654" t="str">
        <f>[9]Роспись!D737</f>
        <v>01</v>
      </c>
      <c r="E784" s="654">
        <f>[9]Роспись!E737</f>
        <v>4439901</v>
      </c>
      <c r="F784" s="654" t="str">
        <f>[9]Роспись!F737</f>
        <v>001</v>
      </c>
      <c r="G784" s="654">
        <f>[9]Роспись!G737</f>
        <v>226</v>
      </c>
      <c r="H784" s="648">
        <f>[9]Роспись!H722</f>
        <v>104.64</v>
      </c>
      <c r="I784" s="656">
        <f>[9]Финансирование!I784+[9]Финансирование!J784+[9]Финансирование!K784+[9]Финансирование!L784+[9]Финансирование!M784+[9]Финансирование!N784+[9]Финансирование!O784+[9]Финансирование!P784</f>
        <v>104.64</v>
      </c>
      <c r="J784" s="656">
        <f>[9]Финансирование!Q784+[9]Финансирование!T784+[9]Финансирование!U784+[9]Финансирование!V784+[9]Финансирование!W784+[9]Финансирование!X784+[9]Финансирование!Y784+[9]Финансирование!Z784</f>
        <v>0</v>
      </c>
      <c r="K784" s="656">
        <f t="shared" si="58"/>
        <v>0</v>
      </c>
      <c r="L784" s="678"/>
      <c r="M784" s="678"/>
      <c r="N784" s="678"/>
      <c r="O784" s="678"/>
      <c r="P784" s="678"/>
    </row>
    <row r="785" spans="1:16" x14ac:dyDescent="0.15">
      <c r="A785" s="657" t="str">
        <f>[9]Роспись!A738</f>
        <v xml:space="preserve">Прочие расходы </v>
      </c>
      <c r="B785" s="654" t="str">
        <f>[9]Роспись!B738</f>
        <v>056</v>
      </c>
      <c r="C785" s="654" t="str">
        <f>[9]Роспись!C738</f>
        <v>08</v>
      </c>
      <c r="D785" s="654" t="str">
        <f>[9]Роспись!D738</f>
        <v>01</v>
      </c>
      <c r="E785" s="654">
        <f>[9]Роспись!E738</f>
        <v>4439901</v>
      </c>
      <c r="F785" s="654" t="str">
        <f>[9]Роспись!F738</f>
        <v>001</v>
      </c>
      <c r="G785" s="654">
        <f>[9]Роспись!G738</f>
        <v>290</v>
      </c>
      <c r="H785" s="648">
        <f>[9]Роспись!H723</f>
        <v>0</v>
      </c>
      <c r="I785" s="656">
        <f>[9]Финансирование!I785+[9]Финансирование!J785+[9]Финансирование!K785+[9]Финансирование!L785+[9]Финансирование!M785+[9]Финансирование!N785+[9]Финансирование!O785+[9]Финансирование!P785</f>
        <v>0</v>
      </c>
      <c r="J785" s="656">
        <f>[9]Финансирование!Q785+[9]Финансирование!T785+[9]Финансирование!U785+[9]Финансирование!V785+[9]Финансирование!W785+[9]Финансирование!X785+[9]Финансирование!Y785+[9]Финансирование!Z785</f>
        <v>0</v>
      </c>
      <c r="K785" s="656">
        <f t="shared" si="58"/>
        <v>0</v>
      </c>
      <c r="L785" s="678"/>
      <c r="M785" s="678"/>
      <c r="N785" s="678"/>
      <c r="O785" s="678"/>
      <c r="P785" s="678"/>
    </row>
    <row r="786" spans="1:16" x14ac:dyDescent="0.15">
      <c r="A786" s="657" t="str">
        <f>[9]Роспись!A739</f>
        <v xml:space="preserve">Прочие расходы </v>
      </c>
      <c r="B786" s="654" t="str">
        <f>[9]Роспись!B739</f>
        <v>056</v>
      </c>
      <c r="C786" s="654" t="str">
        <f>[9]Роспись!C739</f>
        <v>08</v>
      </c>
      <c r="D786" s="654" t="str">
        <f>[9]Роспись!D739</f>
        <v>01</v>
      </c>
      <c r="E786" s="654" t="str">
        <f>[9]Роспись!E739</f>
        <v>4439500</v>
      </c>
      <c r="F786" s="654" t="str">
        <f>[9]Роспись!F739</f>
        <v>001</v>
      </c>
      <c r="G786" s="654" t="str">
        <f>[9]Роспись!G739</f>
        <v>290</v>
      </c>
      <c r="H786" s="648">
        <f>[9]Роспись!H724</f>
        <v>0</v>
      </c>
      <c r="I786" s="656">
        <f>[9]Финансирование!I786+[9]Финансирование!J786+[9]Финансирование!K786+[9]Финансирование!L786+[9]Финансирование!M786+[9]Финансирование!N786+[9]Финансирование!O786+[9]Финансирование!P786</f>
        <v>0</v>
      </c>
      <c r="J786" s="656">
        <f>[9]Финансирование!Q786+[9]Финансирование!T786+[9]Финансирование!U786+[9]Финансирование!V786+[9]Финансирование!W786+[9]Финансирование!X786+[9]Финансирование!Y786+[9]Финансирование!Z786</f>
        <v>0</v>
      </c>
      <c r="K786" s="656">
        <f t="shared" si="58"/>
        <v>0</v>
      </c>
      <c r="L786" s="678"/>
      <c r="M786" s="678"/>
      <c r="N786" s="678"/>
      <c r="O786" s="678"/>
      <c r="P786" s="678"/>
    </row>
    <row r="787" spans="1:16" x14ac:dyDescent="0.15">
      <c r="A787" s="657" t="str">
        <f>[9]Роспись!A740</f>
        <v>Увелич. стоимости осн. средств</v>
      </c>
      <c r="B787" s="654" t="str">
        <f>[9]Роспись!B740</f>
        <v>056</v>
      </c>
      <c r="C787" s="654" t="str">
        <f>[9]Роспись!C740</f>
        <v>08</v>
      </c>
      <c r="D787" s="654" t="str">
        <f>[9]Роспись!D740</f>
        <v>01</v>
      </c>
      <c r="E787" s="654">
        <f>[9]Роспись!E740</f>
        <v>4439901</v>
      </c>
      <c r="F787" s="654" t="str">
        <f>[9]Роспись!F740</f>
        <v>001</v>
      </c>
      <c r="G787" s="654">
        <f>[9]Роспись!G740</f>
        <v>310</v>
      </c>
      <c r="H787" s="648">
        <f>[9]Роспись!H725</f>
        <v>250.36</v>
      </c>
      <c r="I787" s="656">
        <f>[9]Финансирование!I787+[9]Финансирование!J787+[9]Финансирование!K787+[9]Финансирование!L787+[9]Финансирование!M787+[9]Финансирование!N787+[9]Финансирование!O787+[9]Финансирование!P787</f>
        <v>0</v>
      </c>
      <c r="J787" s="656">
        <f>[9]Финансирование!Q787+[9]Финансирование!T787+[9]Финансирование!U787+[9]Финансирование!V787+[9]Финансирование!W787+[9]Финансирование!X787+[9]Финансирование!Y787+[9]Финансирование!Z787</f>
        <v>0</v>
      </c>
      <c r="K787" s="656">
        <f t="shared" si="58"/>
        <v>250.36</v>
      </c>
      <c r="L787" s="678"/>
      <c r="M787" s="678"/>
      <c r="N787" s="678"/>
      <c r="O787" s="678"/>
      <c r="P787" s="678"/>
    </row>
    <row r="788" spans="1:16" x14ac:dyDescent="0.15">
      <c r="A788" s="657" t="str">
        <f>[9]Роспись!A741</f>
        <v>Увелич. стоимости матер. запасов</v>
      </c>
      <c r="B788" s="654" t="str">
        <f>[9]Роспись!B741</f>
        <v>056</v>
      </c>
      <c r="C788" s="654" t="str">
        <f>[9]Роспись!C741</f>
        <v>08</v>
      </c>
      <c r="D788" s="654" t="str">
        <f>[9]Роспись!D741</f>
        <v>01</v>
      </c>
      <c r="E788" s="654">
        <f>[9]Роспись!E741</f>
        <v>4439901</v>
      </c>
      <c r="F788" s="654" t="str">
        <f>[9]Роспись!F741</f>
        <v>001</v>
      </c>
      <c r="G788" s="654">
        <f>[9]Роспись!G741</f>
        <v>340</v>
      </c>
      <c r="H788" s="648">
        <f>[9]Роспись!H726</f>
        <v>50</v>
      </c>
      <c r="I788" s="656">
        <f>[9]Финансирование!I788+[9]Финансирование!J788+[9]Финансирование!K788+[9]Финансирование!L788+[9]Финансирование!M788+[9]Финансирование!N788+[9]Финансирование!O788+[9]Финансирование!P788</f>
        <v>12.5</v>
      </c>
      <c r="J788" s="656">
        <f>[9]Финансирование!Q788+[9]Финансирование!T788+[9]Финансирование!U788+[9]Финансирование!V788+[9]Финансирование!W788+[9]Финансирование!X788+[9]Финансирование!Y788+[9]Финансирование!Z788</f>
        <v>0</v>
      </c>
      <c r="K788" s="656">
        <f t="shared" si="58"/>
        <v>37.5</v>
      </c>
      <c r="L788" s="678"/>
      <c r="M788" s="678"/>
      <c r="N788" s="678"/>
      <c r="O788" s="678"/>
      <c r="P788" s="678"/>
    </row>
    <row r="789" spans="1:16" x14ac:dyDescent="0.15">
      <c r="A789" s="653" t="s">
        <v>98</v>
      </c>
      <c r="B789" s="662" t="s">
        <v>79</v>
      </c>
      <c r="C789" s="662" t="s">
        <v>80</v>
      </c>
      <c r="D789" s="662" t="s">
        <v>125</v>
      </c>
      <c r="E789" s="662" t="s">
        <v>213</v>
      </c>
      <c r="F789" s="662" t="s">
        <v>102</v>
      </c>
      <c r="G789" s="691"/>
      <c r="H789" s="643">
        <f>SUM(H776:H788)</f>
        <v>2867.3</v>
      </c>
      <c r="I789" s="664">
        <f>SUM(I776:I788)</f>
        <v>1249.8100000000002</v>
      </c>
      <c r="J789" s="664">
        <f>SUM(J776:J788)</f>
        <v>1084.6299999999999</v>
      </c>
      <c r="K789" s="665">
        <f>SUM(K776:K788)</f>
        <v>532.86</v>
      </c>
      <c r="L789" s="678"/>
      <c r="M789" s="678"/>
      <c r="N789" s="678"/>
      <c r="O789" s="678"/>
      <c r="P789" s="678"/>
    </row>
    <row r="790" spans="1:16" ht="52" x14ac:dyDescent="0.15">
      <c r="A790" s="692" t="str">
        <f>'[9]Новая роспись'!A831</f>
        <v>Субсидия на финансовое обеспечение государственного задания на оказание государственных услуг (выполнение работ)</v>
      </c>
      <c r="B790" s="666"/>
      <c r="C790" s="666"/>
      <c r="D790" s="666"/>
      <c r="E790" s="666"/>
      <c r="F790" s="692">
        <f>'[9]Новая роспись'!F831</f>
        <v>611</v>
      </c>
      <c r="G790" s="692" t="str">
        <f>'[9]Новая роспись'!G831</f>
        <v>241</v>
      </c>
      <c r="H790" s="645">
        <f>'[9]Новая роспись'!H831</f>
        <v>1617.49</v>
      </c>
      <c r="I790" s="648">
        <f>[9]Финансирование!I790+[9]Финансирование!J790+[9]Финансирование!K790+[9]Финансирование!L790+[9]Финансирование!M790+[9]Финансирование!N790+[9]Финансирование!O790+[9]Финансирование!P790+[9]Финансирование!Q790+[9]Финансирование!T790+[9]Финансирование!U790+[9]Финансирование!V790+[9]Финансирование!W790+[9]Финансирование!X790+[9]Финансирование!Y790+[9]Финансирование!Z790</f>
        <v>1084.6299999999999</v>
      </c>
      <c r="J790" s="648"/>
      <c r="K790" s="648">
        <f>H790-I790</f>
        <v>532.86000000000013</v>
      </c>
      <c r="L790" s="678"/>
      <c r="M790" s="678"/>
      <c r="N790" s="678"/>
      <c r="O790" s="678"/>
      <c r="P790" s="678"/>
    </row>
    <row r="791" spans="1:16" ht="15" thickBot="1" x14ac:dyDescent="0.2">
      <c r="A791" s="660" t="s">
        <v>161</v>
      </c>
      <c r="B791" s="668"/>
      <c r="C791" s="668"/>
      <c r="D791" s="668"/>
      <c r="E791" s="668"/>
      <c r="F791" s="668"/>
      <c r="G791" s="663"/>
      <c r="H791" s="648"/>
      <c r="I791" s="656">
        <f>[9]Финансирование!I791+[9]Финансирование!J791+[9]Финансирование!K791+[9]Финансирование!L791+[9]Финансирование!M791+[9]Финансирование!N791+[9]Финансирование!O791+[9]Финансирование!P791+[9]Финансирование!Q791+[9]Финансирование!T791+[9]Финансирование!U791+[9]Финансирование!V791+[9]Финансирование!W791+[9]Финансирование!X791+[9]Финансирование!Y791+[9]Финансирование!Z791</f>
        <v>0</v>
      </c>
      <c r="J791" s="656"/>
      <c r="K791" s="656"/>
      <c r="L791" s="646"/>
      <c r="M791" s="646"/>
      <c r="N791" s="646"/>
      <c r="O791" s="646"/>
      <c r="P791" s="646"/>
    </row>
    <row r="792" spans="1:16" ht="15" thickBot="1" x14ac:dyDescent="0.2">
      <c r="A792" s="657" t="str">
        <f>[9]Роспись!A729</f>
        <v>Заработная плата</v>
      </c>
      <c r="B792" s="654" t="str">
        <f>[9]Роспись!B729</f>
        <v>056</v>
      </c>
      <c r="C792" s="654" t="str">
        <f>[9]Роспись!C729</f>
        <v>08</v>
      </c>
      <c r="D792" s="654" t="str">
        <f>[9]Роспись!D729</f>
        <v>01</v>
      </c>
      <c r="E792" s="654">
        <f>[9]Роспись!E729</f>
        <v>4439901</v>
      </c>
      <c r="F792" s="654" t="str">
        <f>[9]Роспись!F729</f>
        <v>001</v>
      </c>
      <c r="G792" s="654">
        <f>[9]Роспись!G729</f>
        <v>211</v>
      </c>
      <c r="H792" s="648">
        <f>[9]Роспись!H729</f>
        <v>42182.47</v>
      </c>
      <c r="I792" s="656">
        <f>[9]Финансирование!I792+[9]Финансирование!J792+[9]Финансирование!K792+[9]Финансирование!L792+[9]Финансирование!M792+[9]Финансирование!N792+[9]Финансирование!O792+[9]Финансирование!P792</f>
        <v>19447.2</v>
      </c>
      <c r="J792" s="656">
        <f>[9]Финансирование!Q792+[9]Финансирование!T792+[9]Финансирование!U792+[9]Финансирование!V792+[9]Финансирование!W792+[9]Финансирование!X792+[9]Финансирование!Y792+[9]Финансирование!Z792</f>
        <v>22735.269999999997</v>
      </c>
      <c r="K792" s="656">
        <f>H792-I792-J792</f>
        <v>0</v>
      </c>
      <c r="L792" s="635">
        <v>22735.27</v>
      </c>
      <c r="M792" s="658">
        <f>L792-J792</f>
        <v>0</v>
      </c>
      <c r="N792" s="679">
        <v>212</v>
      </c>
      <c r="O792" s="720">
        <v>90</v>
      </c>
    </row>
    <row r="793" spans="1:16" ht="15" thickBot="1" x14ac:dyDescent="0.2">
      <c r="A793" s="657" t="str">
        <f>[9]Роспись!A730</f>
        <v xml:space="preserve">Прочие выплаты </v>
      </c>
      <c r="B793" s="654" t="str">
        <f>[9]Роспись!B730</f>
        <v>056</v>
      </c>
      <c r="C793" s="654" t="str">
        <f>[9]Роспись!C730</f>
        <v>08</v>
      </c>
      <c r="D793" s="654" t="str">
        <f>[9]Роспись!D730</f>
        <v>01</v>
      </c>
      <c r="E793" s="654">
        <f>[9]Роспись!E730</f>
        <v>4439901</v>
      </c>
      <c r="F793" s="654" t="str">
        <f>[9]Роспись!F730</f>
        <v>001</v>
      </c>
      <c r="G793" s="654">
        <f>[9]Роспись!G730</f>
        <v>212</v>
      </c>
      <c r="H793" s="648">
        <f>[9]Роспись!H730</f>
        <v>290</v>
      </c>
      <c r="I793" s="656">
        <f>[9]Финансирование!I793+[9]Финансирование!J793+[9]Финансирование!K793+[9]Финансирование!L793+[9]Финансирование!M793+[9]Финансирование!N793+[9]Финансирование!O793+[9]Финансирование!P793</f>
        <v>83.33</v>
      </c>
      <c r="J793" s="656">
        <f>[9]Финансирование!Q793+[9]Финансирование!T793+[9]Финансирование!U793+[9]Финансирование!V793+[9]Финансирование!W793+[9]Финансирование!X793+[9]Финансирование!Y793+[9]Финансирование!Z793</f>
        <v>90</v>
      </c>
      <c r="K793" s="656">
        <f t="shared" ref="K793:K804" si="59">H793-I793-J793</f>
        <v>116.67000000000002</v>
      </c>
      <c r="L793" s="658">
        <f>K792+K797+K801</f>
        <v>0</v>
      </c>
      <c r="M793" s="658">
        <f>L793-J793+90</f>
        <v>0</v>
      </c>
      <c r="N793" s="680">
        <v>222</v>
      </c>
      <c r="O793" s="729">
        <v>972.90700000000004</v>
      </c>
    </row>
    <row r="794" spans="1:16" ht="15" thickBot="1" x14ac:dyDescent="0.2">
      <c r="A794" s="657" t="str">
        <f>[9]Роспись!A731</f>
        <v>Начисления на оплату труда</v>
      </c>
      <c r="B794" s="654" t="str">
        <f>[9]Роспись!B731</f>
        <v>056</v>
      </c>
      <c r="C794" s="654" t="str">
        <f>[9]Роспись!C731</f>
        <v>08</v>
      </c>
      <c r="D794" s="654" t="str">
        <f>[9]Роспись!D731</f>
        <v>01</v>
      </c>
      <c r="E794" s="654">
        <f>[9]Роспись!E731</f>
        <v>4439901</v>
      </c>
      <c r="F794" s="654" t="str">
        <f>[9]Роспись!F731</f>
        <v>001</v>
      </c>
      <c r="G794" s="654">
        <f>[9]Роспись!G731</f>
        <v>213</v>
      </c>
      <c r="H794" s="648">
        <f>[9]Роспись!H731</f>
        <v>12736</v>
      </c>
      <c r="I794" s="656">
        <f>[9]Финансирование!I794+[9]Финансирование!J794+[9]Финансирование!K794+[9]Финансирование!L794+[9]Финансирование!M794+[9]Финансирование!N794+[9]Финансирование!O794+[9]Финансирование!P794</f>
        <v>6292.5300000000007</v>
      </c>
      <c r="J794" s="656">
        <f>[9]Финансирование!Q794+[9]Финансирование!T794+[9]Финансирование!U794+[9]Финансирование!V794+[9]Финансирование!W794+[9]Финансирование!X794+[9]Финансирование!Y794+[9]Финансирование!Z794</f>
        <v>6443.47</v>
      </c>
      <c r="K794" s="656">
        <f t="shared" si="59"/>
        <v>0</v>
      </c>
      <c r="L794" s="635">
        <v>5933.7759999999998</v>
      </c>
      <c r="M794" s="658">
        <f t="shared" ref="M794:M804" si="60">L794-J794</f>
        <v>-509.69400000000041</v>
      </c>
      <c r="N794" s="680">
        <v>226</v>
      </c>
      <c r="O794" s="729">
        <v>516.91</v>
      </c>
    </row>
    <row r="795" spans="1:16" ht="15" thickBot="1" x14ac:dyDescent="0.2">
      <c r="A795" s="657" t="str">
        <f>[9]Роспись!A732</f>
        <v xml:space="preserve">Оплата услуг связи </v>
      </c>
      <c r="B795" s="654" t="str">
        <f>[9]Роспись!B732</f>
        <v>056</v>
      </c>
      <c r="C795" s="654" t="str">
        <f>[9]Роспись!C732</f>
        <v>08</v>
      </c>
      <c r="D795" s="654" t="str">
        <f>[9]Роспись!D732</f>
        <v>01</v>
      </c>
      <c r="E795" s="654">
        <f>[9]Роспись!E732</f>
        <v>4439901</v>
      </c>
      <c r="F795" s="654" t="str">
        <f>[9]Роспись!F732</f>
        <v>001</v>
      </c>
      <c r="G795" s="654">
        <f>[9]Роспись!G732</f>
        <v>221</v>
      </c>
      <c r="H795" s="648">
        <f>[9]Роспись!H732</f>
        <v>0</v>
      </c>
      <c r="I795" s="656">
        <f>[9]Финансирование!I795+[9]Финансирование!J795+[9]Финансирование!K795+[9]Финансирование!L795+[9]Финансирование!M795+[9]Финансирование!N795+[9]Финансирование!O795+[9]Финансирование!P795</f>
        <v>0</v>
      </c>
      <c r="J795" s="656">
        <f>[9]Финансирование!Q795+[9]Финансирование!T795+[9]Финансирование!U795+[9]Финансирование!V795+[9]Финансирование!W795+[9]Финансирование!X795+[9]Финансирование!Y795+[9]Финансирование!Z795</f>
        <v>0</v>
      </c>
      <c r="K795" s="656">
        <f t="shared" si="59"/>
        <v>0</v>
      </c>
      <c r="M795" s="658">
        <f t="shared" si="60"/>
        <v>0</v>
      </c>
      <c r="N795" s="680">
        <v>225</v>
      </c>
      <c r="O795" s="732">
        <v>12000</v>
      </c>
    </row>
    <row r="796" spans="1:16" x14ac:dyDescent="0.15">
      <c r="A796" s="657" t="str">
        <f>[9]Роспись!A733</f>
        <v>Транспортные услуги</v>
      </c>
      <c r="B796" s="654" t="str">
        <f>[9]Роспись!B733</f>
        <v>056</v>
      </c>
      <c r="C796" s="654" t="str">
        <f>[9]Роспись!C733</f>
        <v>08</v>
      </c>
      <c r="D796" s="654" t="str">
        <f>[9]Роспись!D733</f>
        <v>01</v>
      </c>
      <c r="E796" s="654">
        <f>[9]Роспись!E733</f>
        <v>4439901</v>
      </c>
      <c r="F796" s="654" t="str">
        <f>[9]Роспись!F733</f>
        <v>001</v>
      </c>
      <c r="G796" s="654">
        <f>[9]Роспись!G733</f>
        <v>222</v>
      </c>
      <c r="H796" s="648">
        <f>[9]Роспись!H733</f>
        <v>3772.9069999999997</v>
      </c>
      <c r="I796" s="656">
        <f>[9]Финансирование!I796+[9]Финансирование!J796+[9]Финансирование!K796+[9]Финансирование!L796+[9]Финансирование!M796+[9]Финансирование!N796+[9]Финансирование!O796+[9]Финансирование!P796</f>
        <v>450</v>
      </c>
      <c r="J796" s="656">
        <f>[9]Финансирование!Q796+[9]Финансирование!T796+[9]Финансирование!U796+[9]Финансирование!V796+[9]Финансирование!W796+[9]Финансирование!X796+[9]Финансирование!Y796+[9]Финансирование!Z796</f>
        <v>2172.9069999999997</v>
      </c>
      <c r="K796" s="656">
        <f t="shared" si="59"/>
        <v>1150</v>
      </c>
      <c r="L796" s="635">
        <v>1110</v>
      </c>
      <c r="M796" s="658">
        <f>L796-J796+972.907</f>
        <v>-89.999999999999659</v>
      </c>
    </row>
    <row r="797" spans="1:16" x14ac:dyDescent="0.15">
      <c r="A797" s="657" t="str">
        <f>[9]Роспись!A734</f>
        <v>Коммунальные услуги</v>
      </c>
      <c r="B797" s="654" t="str">
        <f>[9]Роспись!B734</f>
        <v>056</v>
      </c>
      <c r="C797" s="654" t="str">
        <f>[9]Роспись!C734</f>
        <v>08</v>
      </c>
      <c r="D797" s="654" t="str">
        <f>[9]Роспись!D734</f>
        <v>01</v>
      </c>
      <c r="E797" s="654">
        <f>[9]Роспись!E734</f>
        <v>4439901</v>
      </c>
      <c r="F797" s="654" t="str">
        <f>[9]Роспись!F734</f>
        <v>001</v>
      </c>
      <c r="G797" s="654">
        <f>[9]Роспись!G734</f>
        <v>223</v>
      </c>
      <c r="H797" s="648">
        <f>[9]Роспись!H734</f>
        <v>349</v>
      </c>
      <c r="I797" s="656">
        <f>[9]Финансирование!I797+[9]Финансирование!J797+[9]Финансирование!K797+[9]Финансирование!L797+[9]Финансирование!M797+[9]Финансирование!N797+[9]Финансирование!O797+[9]Финансирование!P797</f>
        <v>117.7</v>
      </c>
      <c r="J797" s="656">
        <f>[9]Финансирование!Q797+[9]Финансирование!T797+[9]Финансирование!U797+[9]Финансирование!V797+[9]Финансирование!W797+[9]Финансирование!X797+[9]Финансирование!Y797+[9]Финансирование!Z797</f>
        <v>231.3</v>
      </c>
      <c r="K797" s="656">
        <f t="shared" si="59"/>
        <v>0</v>
      </c>
      <c r="L797" s="659">
        <v>86.45</v>
      </c>
      <c r="M797" s="658">
        <f t="shared" si="60"/>
        <v>-144.85000000000002</v>
      </c>
    </row>
    <row r="798" spans="1:16" x14ac:dyDescent="0.15">
      <c r="A798" s="657" t="str">
        <f>[9]Роспись!A735</f>
        <v>Арендная плата</v>
      </c>
      <c r="B798" s="654" t="str">
        <f>[9]Роспись!B735</f>
        <v>056</v>
      </c>
      <c r="C798" s="654" t="str">
        <f>[9]Роспись!C735</f>
        <v>08</v>
      </c>
      <c r="D798" s="654" t="str">
        <f>[9]Роспись!D735</f>
        <v>01</v>
      </c>
      <c r="E798" s="654">
        <f>[9]Роспись!E735</f>
        <v>4439901</v>
      </c>
      <c r="F798" s="654" t="str">
        <f>[9]Роспись!F735</f>
        <v>001</v>
      </c>
      <c r="G798" s="654">
        <f>[9]Роспись!G735</f>
        <v>224</v>
      </c>
      <c r="H798" s="648">
        <f>[9]Роспись!H735</f>
        <v>0</v>
      </c>
      <c r="I798" s="656">
        <f>[9]Финансирование!I798+[9]Финансирование!J798+[9]Финансирование!K798+[9]Финансирование!L798+[9]Финансирование!M798+[9]Финансирование!N798+[9]Финансирование!O798+[9]Финансирование!P798</f>
        <v>0</v>
      </c>
      <c r="J798" s="656">
        <f>[9]Финансирование!Q798+[9]Финансирование!T798+[9]Финансирование!U798+[9]Финансирование!V798+[9]Финансирование!W798+[9]Финансирование!X798+[9]Финансирование!Y798+[9]Финансирование!Z798</f>
        <v>0</v>
      </c>
      <c r="K798" s="656">
        <f t="shared" si="59"/>
        <v>0</v>
      </c>
      <c r="M798" s="658"/>
    </row>
    <row r="799" spans="1:16" x14ac:dyDescent="0.15">
      <c r="A799" s="657" t="str">
        <f>[9]Роспись!A736</f>
        <v>Услуги по содерж. имущества</v>
      </c>
      <c r="B799" s="654" t="str">
        <f>[9]Роспись!B736</f>
        <v>056</v>
      </c>
      <c r="C799" s="654" t="str">
        <f>[9]Роспись!C736</f>
        <v>08</v>
      </c>
      <c r="D799" s="654" t="str">
        <f>[9]Роспись!D736</f>
        <v>01</v>
      </c>
      <c r="E799" s="654">
        <f>[9]Роспись!E736</f>
        <v>4439901</v>
      </c>
      <c r="F799" s="654" t="str">
        <f>[9]Роспись!F736</f>
        <v>001</v>
      </c>
      <c r="G799" s="654">
        <f>[9]Роспись!G736</f>
        <v>225</v>
      </c>
      <c r="H799" s="648">
        <f>[9]Роспись!H736</f>
        <v>12000</v>
      </c>
      <c r="I799" s="656">
        <f>[9]Финансирование!I799+[9]Финансирование!J799+[9]Финансирование!K799+[9]Финансирование!L799+[9]Финансирование!M799+[9]Финансирование!N799+[9]Финансирование!O799+[9]Финансирование!P799</f>
        <v>0</v>
      </c>
      <c r="J799" s="656">
        <f>[9]Финансирование!Q799+[9]Финансирование!T799+[9]Финансирование!U799+[9]Финансирование!V799+[9]Финансирование!W799+[9]Финансирование!X799+[9]Финансирование!Y799+[9]Финансирование!Z799</f>
        <v>12000</v>
      </c>
      <c r="K799" s="656">
        <f t="shared" si="59"/>
        <v>0</v>
      </c>
      <c r="M799" s="658"/>
    </row>
    <row r="800" spans="1:16" x14ac:dyDescent="0.15">
      <c r="A800" s="657" t="str">
        <f>[9]Роспись!A737</f>
        <v>Прочие услуги</v>
      </c>
      <c r="B800" s="654" t="str">
        <f>[9]Роспись!B737</f>
        <v>056</v>
      </c>
      <c r="C800" s="654" t="str">
        <f>[9]Роспись!C737</f>
        <v>08</v>
      </c>
      <c r="D800" s="654" t="str">
        <f>[9]Роспись!D737</f>
        <v>01</v>
      </c>
      <c r="E800" s="654">
        <f>[9]Роспись!E737</f>
        <v>4439901</v>
      </c>
      <c r="F800" s="654" t="str">
        <f>[9]Роспись!F737</f>
        <v>001</v>
      </c>
      <c r="G800" s="654">
        <f>[9]Роспись!G737</f>
        <v>226</v>
      </c>
      <c r="H800" s="648">
        <f>[9]Роспись!H737</f>
        <v>1171.9099999999999</v>
      </c>
      <c r="I800" s="656">
        <f>[9]Финансирование!I800+[9]Финансирование!J800+[9]Финансирование!K800+[9]Финансирование!L800+[9]Финансирование!M800+[9]Финансирование!N800+[9]Финансирование!O800+[9]Финансирование!P800</f>
        <v>333.34000000000003</v>
      </c>
      <c r="J800" s="656">
        <f>[9]Финансирование!Q800+[9]Финансирование!T800+[9]Финансирование!U800+[9]Финансирование!V800+[9]Финансирование!W800+[9]Финансирование!X800+[9]Финансирование!Y800+[9]Финансирование!Z800</f>
        <v>616.91000000000008</v>
      </c>
      <c r="K800" s="656">
        <f t="shared" si="59"/>
        <v>221.65999999999974</v>
      </c>
      <c r="M800" s="658"/>
    </row>
    <row r="801" spans="1:16" x14ac:dyDescent="0.15">
      <c r="A801" s="657" t="str">
        <f>[9]Роспись!A738</f>
        <v xml:space="preserve">Прочие расходы </v>
      </c>
      <c r="B801" s="654" t="str">
        <f>[9]Роспись!B738</f>
        <v>056</v>
      </c>
      <c r="C801" s="654" t="str">
        <f>[9]Роспись!C738</f>
        <v>08</v>
      </c>
      <c r="D801" s="654" t="str">
        <f>[9]Роспись!D738</f>
        <v>01</v>
      </c>
      <c r="E801" s="654">
        <f>[9]Роспись!E738</f>
        <v>4439901</v>
      </c>
      <c r="F801" s="654" t="str">
        <f>[9]Роспись!F738</f>
        <v>001</v>
      </c>
      <c r="G801" s="654">
        <f>[9]Роспись!G738</f>
        <v>290</v>
      </c>
      <c r="H801" s="648">
        <f>[9]Роспись!H738</f>
        <v>29.6</v>
      </c>
      <c r="I801" s="656">
        <f>[9]Финансирование!I801+[9]Финансирование!J801+[9]Финансирование!K801+[9]Финансирование!L801+[9]Финансирование!M801+[9]Финансирование!N801+[9]Финансирование!O801+[9]Финансирование!P801</f>
        <v>14.8</v>
      </c>
      <c r="J801" s="656">
        <f>[9]Финансирование!Q801+[9]Финансирование!T801+[9]Финансирование!U801+[9]Финансирование!V801+[9]Финансирование!W801+[9]Финансирование!X801+[9]Финансирование!Y801+[9]Финансирование!Z801</f>
        <v>14.8</v>
      </c>
      <c r="K801" s="656">
        <f t="shared" si="59"/>
        <v>0</v>
      </c>
      <c r="L801" s="635">
        <v>92.474999999999994</v>
      </c>
      <c r="M801" s="658"/>
    </row>
    <row r="802" spans="1:16" x14ac:dyDescent="0.15">
      <c r="A802" s="657" t="str">
        <f>[9]Роспись!A739</f>
        <v xml:space="preserve">Прочие расходы </v>
      </c>
      <c r="B802" s="654" t="str">
        <f>[9]Роспись!B739</f>
        <v>056</v>
      </c>
      <c r="C802" s="654" t="str">
        <f>[9]Роспись!C739</f>
        <v>08</v>
      </c>
      <c r="D802" s="654" t="str">
        <f>[9]Роспись!D739</f>
        <v>01</v>
      </c>
      <c r="E802" s="654" t="str">
        <f>[9]Роспись!E739</f>
        <v>4439500</v>
      </c>
      <c r="F802" s="654" t="str">
        <f>[9]Роспись!F739</f>
        <v>001</v>
      </c>
      <c r="G802" s="654" t="str">
        <f>[9]Роспись!G739</f>
        <v>290</v>
      </c>
      <c r="H802" s="648">
        <f>[9]Роспись!H739</f>
        <v>243.10000000000005</v>
      </c>
      <c r="I802" s="656">
        <f>[9]Финансирование!I802+[9]Финансирование!J802+[9]Финансирование!K802+[9]Финансирование!L802+[9]Финансирование!M802+[9]Финансирование!N802+[9]Финансирование!O802+[9]Финансирование!P802</f>
        <v>162.19999999999999</v>
      </c>
      <c r="J802" s="656">
        <f>[9]Финансирование!Q802+[9]Финансирование!T802+[9]Финансирование!U802+[9]Финансирование!V802+[9]Финансирование!W802+[9]Финансирование!X802+[9]Финансирование!Y802+[9]Финансирование!Z802</f>
        <v>80.900000000000006</v>
      </c>
      <c r="K802" s="656">
        <f t="shared" si="59"/>
        <v>0</v>
      </c>
      <c r="M802" s="658"/>
    </row>
    <row r="803" spans="1:16" x14ac:dyDescent="0.15">
      <c r="A803" s="657" t="str">
        <f>[9]Роспись!A740</f>
        <v>Увелич. стоимости осн. средств</v>
      </c>
      <c r="B803" s="654" t="str">
        <f>[9]Роспись!B740</f>
        <v>056</v>
      </c>
      <c r="C803" s="654" t="str">
        <f>[9]Роспись!C740</f>
        <v>08</v>
      </c>
      <c r="D803" s="654" t="str">
        <f>[9]Роспись!D740</f>
        <v>01</v>
      </c>
      <c r="E803" s="654">
        <f>[9]Роспись!E740</f>
        <v>4439901</v>
      </c>
      <c r="F803" s="654" t="str">
        <f>[9]Роспись!F740</f>
        <v>001</v>
      </c>
      <c r="G803" s="654">
        <f>[9]Роспись!G740</f>
        <v>310</v>
      </c>
      <c r="H803" s="648">
        <f>[9]Роспись!H740</f>
        <v>190.13</v>
      </c>
      <c r="I803" s="656">
        <f>[9]Финансирование!I803+[9]Финансирование!J803+[9]Финансирование!K803+[9]Финансирование!L803+[9]Финансирование!M803+[9]Финансирование!N803+[9]Финансирование!O803+[9]Финансирование!P803</f>
        <v>0</v>
      </c>
      <c r="J803" s="656">
        <f>[9]Финансирование!Q803+[9]Финансирование!T803+[9]Финансирование!U803+[9]Финансирование!V803+[9]Финансирование!W803+[9]Финансирование!X803+[9]Финансирование!Y803+[9]Финансирование!Z803</f>
        <v>162.52000000000001</v>
      </c>
      <c r="K803" s="656">
        <f t="shared" si="59"/>
        <v>27.609999999999985</v>
      </c>
      <c r="L803" s="635">
        <v>52.534999999999997</v>
      </c>
      <c r="M803" s="658">
        <f t="shared" si="60"/>
        <v>-109.98500000000001</v>
      </c>
      <c r="N803" s="658">
        <f>M792+M804</f>
        <v>0</v>
      </c>
    </row>
    <row r="804" spans="1:16" x14ac:dyDescent="0.15">
      <c r="A804" s="657" t="str">
        <f>[9]Роспись!A741</f>
        <v>Увелич. стоимости матер. запасов</v>
      </c>
      <c r="B804" s="654" t="str">
        <f>[9]Роспись!B741</f>
        <v>056</v>
      </c>
      <c r="C804" s="654" t="str">
        <f>[9]Роспись!C741</f>
        <v>08</v>
      </c>
      <c r="D804" s="654" t="str">
        <f>[9]Роспись!D741</f>
        <v>01</v>
      </c>
      <c r="E804" s="654">
        <f>[9]Роспись!E741</f>
        <v>4439901</v>
      </c>
      <c r="F804" s="654" t="str">
        <f>[9]Роспись!F741</f>
        <v>001</v>
      </c>
      <c r="G804" s="654">
        <f>[9]Роспись!G741</f>
        <v>340</v>
      </c>
      <c r="H804" s="648">
        <f>[9]Роспись!H741</f>
        <v>300</v>
      </c>
      <c r="I804" s="656">
        <f>[9]Финансирование!I804+[9]Финансирование!J804+[9]Финансирование!K804+[9]Финансирование!L804+[9]Финансирование!M804+[9]Финансирование!N804+[9]Финансирование!O804+[9]Финансирование!P804</f>
        <v>166.7</v>
      </c>
      <c r="J804" s="656">
        <f>[9]Финансирование!Q804+[9]Финансирование!T804+[9]Финансирование!U804+[9]Финансирование!V804+[9]Финансирование!W804+[9]Финансирование!X804+[9]Финансирование!Y804+[9]Финансирование!Z804</f>
        <v>127.61</v>
      </c>
      <c r="K804" s="656">
        <f t="shared" si="59"/>
        <v>5.6900000000000119</v>
      </c>
      <c r="L804" s="635">
        <v>127.61</v>
      </c>
      <c r="M804" s="658">
        <f t="shared" si="60"/>
        <v>0</v>
      </c>
    </row>
    <row r="805" spans="1:16" x14ac:dyDescent="0.15">
      <c r="A805" s="660" t="s">
        <v>98</v>
      </c>
      <c r="B805" s="661" t="s">
        <v>79</v>
      </c>
      <c r="C805" s="661" t="s">
        <v>80</v>
      </c>
      <c r="D805" s="661" t="s">
        <v>125</v>
      </c>
      <c r="E805" s="662" t="s">
        <v>216</v>
      </c>
      <c r="F805" s="662" t="s">
        <v>102</v>
      </c>
      <c r="G805" s="663"/>
      <c r="H805" s="643">
        <f>SUM(H792:H804)</f>
        <v>73265.117000000027</v>
      </c>
      <c r="I805" s="664">
        <f>SUM(I792:I804)</f>
        <v>27067.800000000007</v>
      </c>
      <c r="J805" s="664">
        <f>SUM(J792:J804)</f>
        <v>44675.687000000005</v>
      </c>
      <c r="K805" s="665">
        <f>SUM(K792:K804)</f>
        <v>1521.6299999999999</v>
      </c>
      <c r="L805" s="652">
        <f>K805-K792-K797-K801</f>
        <v>1521.6299999999999</v>
      </c>
      <c r="M805" s="646"/>
      <c r="N805" s="646"/>
      <c r="O805" s="646"/>
      <c r="P805" s="646"/>
    </row>
    <row r="806" spans="1:16" ht="52" x14ac:dyDescent="0.15">
      <c r="A806" s="640" t="str">
        <f>'[9]Новая роспись'!A848</f>
        <v>Субсидия на финансовое обеспечение государственного задания на оказание государственных услуг (выполнение работ)</v>
      </c>
      <c r="B806" s="641"/>
      <c r="C806" s="641"/>
      <c r="D806" s="641"/>
      <c r="E806" s="666"/>
      <c r="F806" s="640">
        <f>'[9]Новая роспись'!F848</f>
        <v>611</v>
      </c>
      <c r="G806" s="640" t="str">
        <f>'[9]Новая роспись'!G848</f>
        <v>241</v>
      </c>
      <c r="H806" s="645">
        <f>'[9]Новая роспись'!H848</f>
        <v>32617.500000000025</v>
      </c>
      <c r="I806" s="648">
        <f>J805-I807</f>
        <v>31095.870000000006</v>
      </c>
      <c r="J806" s="648"/>
      <c r="K806" s="648">
        <f>H806-I806</f>
        <v>1521.6300000000192</v>
      </c>
      <c r="L806" s="646"/>
      <c r="M806" s="646"/>
      <c r="N806" s="646"/>
      <c r="O806" s="646"/>
      <c r="P806" s="646"/>
    </row>
    <row r="807" spans="1:16" x14ac:dyDescent="0.15">
      <c r="A807" s="640" t="str">
        <f>'[9]Новая роспись'!A849</f>
        <v>Субсидии на иные цели</v>
      </c>
      <c r="B807" s="641"/>
      <c r="C807" s="641"/>
      <c r="D807" s="641"/>
      <c r="E807" s="666"/>
      <c r="F807" s="640">
        <f>'[9]Новая роспись'!F849</f>
        <v>612</v>
      </c>
      <c r="G807" s="640" t="str">
        <f>'[9]Новая роспись'!G849</f>
        <v>241</v>
      </c>
      <c r="H807" s="645">
        <f>'[9]Новая роспись'!H849</f>
        <v>13579.816999999999</v>
      </c>
      <c r="I807" s="648">
        <f>[9]Финансирование!I807+[9]Финансирование!J807+[9]Финансирование!K807+[9]Финансирование!L807+[9]Финансирование!M807+[9]Финансирование!N807+[9]Финансирование!O807+[9]Финансирование!P807+[9]Финансирование!Q807+[9]Финансирование!T807+[9]Финансирование!U807+[9]Финансирование!V807+[9]Финансирование!W807+[9]Финансирование!X807+[9]Финансирование!Y807+[9]Финансирование!Z807</f>
        <v>13579.816999999999</v>
      </c>
      <c r="J807" s="648"/>
      <c r="K807" s="648">
        <f>H807-I807</f>
        <v>0</v>
      </c>
      <c r="L807" s="646"/>
      <c r="M807" s="646"/>
      <c r="N807" s="646"/>
      <c r="O807" s="646"/>
      <c r="P807" s="646"/>
    </row>
    <row r="808" spans="1:16" ht="15" thickBot="1" x14ac:dyDescent="0.2">
      <c r="A808" s="78" t="s">
        <v>162</v>
      </c>
      <c r="B808" s="672"/>
      <c r="C808" s="672"/>
      <c r="D808" s="672"/>
      <c r="E808" s="672"/>
      <c r="F808" s="672"/>
      <c r="G808" s="649"/>
      <c r="H808" s="648"/>
      <c r="I808" s="693"/>
      <c r="J808" s="693"/>
      <c r="K808" s="648"/>
      <c r="L808" s="646"/>
      <c r="M808" s="646"/>
      <c r="N808" s="646"/>
      <c r="O808" s="646"/>
      <c r="P808" s="646"/>
    </row>
    <row r="809" spans="1:16" ht="15" thickBot="1" x14ac:dyDescent="0.2">
      <c r="A809" s="647" t="str">
        <f>[9]Роспись!A744</f>
        <v>Заработная плата</v>
      </c>
      <c r="B809" s="81" t="str">
        <f>[9]Роспись!B744</f>
        <v>056</v>
      </c>
      <c r="C809" s="81" t="str">
        <f>[9]Роспись!C744</f>
        <v>08</v>
      </c>
      <c r="D809" s="81" t="str">
        <f>[9]Роспись!D744</f>
        <v>01</v>
      </c>
      <c r="E809" s="81" t="str">
        <f>[9]Роспись!E744</f>
        <v>4439901</v>
      </c>
      <c r="F809" s="81" t="str">
        <f>[9]Роспись!F744</f>
        <v>001</v>
      </c>
      <c r="G809" s="81">
        <f>[9]Роспись!G744</f>
        <v>211</v>
      </c>
      <c r="H809" s="648">
        <f>H792+H744+H727+H711+H695+H679+H662+H645+H629+H612+H596+H580+H564+H547+H531+H515+H499+H483+H467+H451+H434+H760+H776</f>
        <v>318054.97899999999</v>
      </c>
      <c r="I809" s="693">
        <f>I792+I744+I727+I711+I695+I679+I662+I645+I629+I612+I596+I580+I564+I547+I531+I515+I499+I483+I467+I451+I434+I760+I776</f>
        <v>146015.06999999998</v>
      </c>
      <c r="J809" s="693">
        <f>J792+J744+J727+J711+J695+J679+J662+J645+J629+J612+J596+J580+J564+J547+J531+J515+J499+J483+J467+J451+J434+J760+J776</f>
        <v>172039.90899999999</v>
      </c>
      <c r="K809" s="693">
        <f>K792+K744+K727+K711+K695+K679+K662+K645+K629+K612+K596+K580+K564+K547+K531+K515+K499+K483+K467+K451+K434+K760+K776</f>
        <v>0</v>
      </c>
      <c r="M809" s="694">
        <v>160645.584</v>
      </c>
      <c r="N809" s="695">
        <v>10874.055000000002</v>
      </c>
      <c r="O809" s="658">
        <f>J809-M809</f>
        <v>11394.324999999983</v>
      </c>
    </row>
    <row r="810" spans="1:16" ht="15" thickBot="1" x14ac:dyDescent="0.2">
      <c r="A810" s="647" t="str">
        <f>[9]Роспись!A745</f>
        <v xml:space="preserve">Прочие выплаты </v>
      </c>
      <c r="B810" s="81" t="str">
        <f>[9]Роспись!B745</f>
        <v>056</v>
      </c>
      <c r="C810" s="81" t="str">
        <f>[9]Роспись!C745</f>
        <v>08</v>
      </c>
      <c r="D810" s="81" t="str">
        <f>[9]Роспись!D745</f>
        <v>01</v>
      </c>
      <c r="E810" s="81" t="str">
        <f>[9]Роспись!E745</f>
        <v>4439901</v>
      </c>
      <c r="F810" s="81" t="str">
        <f>[9]Роспись!F745</f>
        <v>001</v>
      </c>
      <c r="G810" s="81">
        <f>[9]Роспись!G745</f>
        <v>212</v>
      </c>
      <c r="H810" s="648">
        <f t="shared" ref="H810:K821" si="61">H793+H745+H728+H712+H696+H680+H663+H646+H630+H613+H597+H581+H565+H548+H532+H516+H500+H484+H468+H452+H435+H761+H777</f>
        <v>369.3</v>
      </c>
      <c r="I810" s="693">
        <f t="shared" si="61"/>
        <v>83.33</v>
      </c>
      <c r="J810" s="693">
        <f t="shared" si="61"/>
        <v>169.29999999999998</v>
      </c>
      <c r="K810" s="693">
        <f t="shared" si="61"/>
        <v>116.67000000000002</v>
      </c>
      <c r="M810" s="696">
        <v>169.3</v>
      </c>
      <c r="N810" s="697">
        <v>116.67</v>
      </c>
      <c r="O810" s="658">
        <f t="shared" ref="O810:O821" si="62">J810-M810</f>
        <v>0</v>
      </c>
    </row>
    <row r="811" spans="1:16" ht="15" thickBot="1" x14ac:dyDescent="0.2">
      <c r="A811" s="647" t="str">
        <f>[9]Роспись!A746</f>
        <v>Начисления на оплату труда</v>
      </c>
      <c r="B811" s="81" t="str">
        <f>[9]Роспись!B746</f>
        <v>056</v>
      </c>
      <c r="C811" s="81" t="str">
        <f>[9]Роспись!C746</f>
        <v>08</v>
      </c>
      <c r="D811" s="81" t="str">
        <f>[9]Роспись!D746</f>
        <v>01</v>
      </c>
      <c r="E811" s="81" t="str">
        <f>[9]Роспись!E746</f>
        <v>4439901</v>
      </c>
      <c r="F811" s="81" t="str">
        <f>[9]Роспись!F746</f>
        <v>001</v>
      </c>
      <c r="G811" s="81">
        <f>[9]Роспись!G746</f>
        <v>213</v>
      </c>
      <c r="H811" s="648">
        <f t="shared" si="61"/>
        <v>94861.786999999997</v>
      </c>
      <c r="I811" s="693">
        <f t="shared" si="61"/>
        <v>47246.290000000008</v>
      </c>
      <c r="J811" s="693">
        <f t="shared" si="61"/>
        <v>47597.546999999999</v>
      </c>
      <c r="K811" s="693">
        <f t="shared" si="61"/>
        <v>17.950000000000017</v>
      </c>
      <c r="M811" s="696">
        <v>47604.712</v>
      </c>
      <c r="N811" s="697">
        <v>240.88899999999944</v>
      </c>
      <c r="O811" s="658">
        <f t="shared" si="62"/>
        <v>-7.1650000000008731</v>
      </c>
    </row>
    <row r="812" spans="1:16" ht="15" thickBot="1" x14ac:dyDescent="0.2">
      <c r="A812" s="647" t="str">
        <f>[9]Роспись!A747</f>
        <v xml:space="preserve">Оплата услуг связи </v>
      </c>
      <c r="B812" s="81" t="str">
        <f>[9]Роспись!B747</f>
        <v>056</v>
      </c>
      <c r="C812" s="81" t="str">
        <f>[9]Роспись!C747</f>
        <v>08</v>
      </c>
      <c r="D812" s="81" t="str">
        <f>[9]Роспись!D747</f>
        <v>01</v>
      </c>
      <c r="E812" s="81" t="str">
        <f>[9]Роспись!E747</f>
        <v>4439901</v>
      </c>
      <c r="F812" s="81" t="str">
        <f>[9]Роспись!F747</f>
        <v>001</v>
      </c>
      <c r="G812" s="81">
        <f>[9]Роспись!G747</f>
        <v>221</v>
      </c>
      <c r="H812" s="648">
        <f t="shared" si="61"/>
        <v>0</v>
      </c>
      <c r="I812" s="693">
        <f t="shared" si="61"/>
        <v>0</v>
      </c>
      <c r="J812" s="693">
        <f t="shared" si="61"/>
        <v>0</v>
      </c>
      <c r="K812" s="693">
        <f t="shared" si="61"/>
        <v>0</v>
      </c>
      <c r="M812" s="696">
        <v>0</v>
      </c>
      <c r="N812" s="697">
        <v>0</v>
      </c>
      <c r="O812" s="658">
        <f t="shared" si="62"/>
        <v>0</v>
      </c>
    </row>
    <row r="813" spans="1:16" ht="15" thickBot="1" x14ac:dyDescent="0.2">
      <c r="A813" s="647" t="str">
        <f>[9]Роспись!A748</f>
        <v>Транспортные услуги</v>
      </c>
      <c r="B813" s="81" t="str">
        <f>[9]Роспись!B748</f>
        <v>056</v>
      </c>
      <c r="C813" s="81" t="str">
        <f>[9]Роспись!C748</f>
        <v>08</v>
      </c>
      <c r="D813" s="81" t="str">
        <f>[9]Роспись!D748</f>
        <v>01</v>
      </c>
      <c r="E813" s="81" t="str">
        <f>[9]Роспись!E748</f>
        <v>4439901</v>
      </c>
      <c r="F813" s="81" t="str">
        <f>[9]Роспись!F748</f>
        <v>001</v>
      </c>
      <c r="G813" s="81">
        <f>[9]Роспись!G748</f>
        <v>222</v>
      </c>
      <c r="H813" s="648">
        <f t="shared" si="61"/>
        <v>5258.6390000000001</v>
      </c>
      <c r="I813" s="693">
        <f t="shared" si="61"/>
        <v>804</v>
      </c>
      <c r="J813" s="693">
        <f t="shared" si="61"/>
        <v>3304.6389999999997</v>
      </c>
      <c r="K813" s="693">
        <f t="shared" si="61"/>
        <v>1150</v>
      </c>
      <c r="M813" s="696">
        <v>2994.6390000000001</v>
      </c>
      <c r="N813" s="697">
        <v>1460</v>
      </c>
      <c r="O813" s="658">
        <f t="shared" si="62"/>
        <v>309.99999999999955</v>
      </c>
    </row>
    <row r="814" spans="1:16" ht="15" thickBot="1" x14ac:dyDescent="0.2">
      <c r="A814" s="647" t="str">
        <f>[9]Роспись!A749</f>
        <v>Коммунальные услуги</v>
      </c>
      <c r="B814" s="81" t="str">
        <f>[9]Роспись!B749</f>
        <v>056</v>
      </c>
      <c r="C814" s="81" t="str">
        <f>[9]Роспись!C749</f>
        <v>08</v>
      </c>
      <c r="D814" s="81" t="str">
        <f>[9]Роспись!D749</f>
        <v>01</v>
      </c>
      <c r="E814" s="81" t="str">
        <f>[9]Роспись!E749</f>
        <v>4439901</v>
      </c>
      <c r="F814" s="81" t="str">
        <f>[9]Роспись!F749</f>
        <v>001</v>
      </c>
      <c r="G814" s="81">
        <f>[9]Роспись!G749</f>
        <v>223</v>
      </c>
      <c r="H814" s="648">
        <f t="shared" si="61"/>
        <v>6594.92</v>
      </c>
      <c r="I814" s="693">
        <f t="shared" si="61"/>
        <v>3001.54</v>
      </c>
      <c r="J814" s="693">
        <f t="shared" si="61"/>
        <v>3045.5299999999997</v>
      </c>
      <c r="K814" s="693">
        <f t="shared" si="61"/>
        <v>547.85</v>
      </c>
      <c r="L814" s="658">
        <f>K814+K818+K819</f>
        <v>563.20000000000005</v>
      </c>
      <c r="M814" s="696">
        <v>1801.65</v>
      </c>
      <c r="N814" s="697">
        <v>1966.91</v>
      </c>
      <c r="O814" s="658">
        <f t="shared" si="62"/>
        <v>1243.8799999999997</v>
      </c>
    </row>
    <row r="815" spans="1:16" ht="15" thickBot="1" x14ac:dyDescent="0.2">
      <c r="A815" s="647" t="str">
        <f>[9]Роспись!A750</f>
        <v>Арендная плата</v>
      </c>
      <c r="B815" s="81" t="str">
        <f>[9]Роспись!B750</f>
        <v>056</v>
      </c>
      <c r="C815" s="81" t="str">
        <f>[9]Роспись!C750</f>
        <v>08</v>
      </c>
      <c r="D815" s="81" t="str">
        <f>[9]Роспись!D750</f>
        <v>01</v>
      </c>
      <c r="E815" s="81" t="str">
        <f>[9]Роспись!E750</f>
        <v>4439901</v>
      </c>
      <c r="F815" s="81" t="str">
        <f>[9]Роспись!F750</f>
        <v>001</v>
      </c>
      <c r="G815" s="81">
        <f>[9]Роспись!G750</f>
        <v>224</v>
      </c>
      <c r="H815" s="648">
        <f t="shared" si="61"/>
        <v>580</v>
      </c>
      <c r="I815" s="693">
        <f t="shared" si="61"/>
        <v>241.67000000000002</v>
      </c>
      <c r="J815" s="693">
        <f t="shared" si="61"/>
        <v>111.27999999999997</v>
      </c>
      <c r="K815" s="693">
        <f t="shared" si="61"/>
        <v>227.05</v>
      </c>
      <c r="M815" s="696">
        <v>0</v>
      </c>
      <c r="N815" s="697">
        <v>338.33</v>
      </c>
      <c r="O815" s="658">
        <f t="shared" si="62"/>
        <v>111.27999999999997</v>
      </c>
    </row>
    <row r="816" spans="1:16" ht="15" thickBot="1" x14ac:dyDescent="0.2">
      <c r="A816" s="647" t="str">
        <f>[9]Роспись!A751</f>
        <v>Услуги по содерж. имущества</v>
      </c>
      <c r="B816" s="81" t="str">
        <f>[9]Роспись!B751</f>
        <v>056</v>
      </c>
      <c r="C816" s="81" t="str">
        <f>[9]Роспись!C751</f>
        <v>08</v>
      </c>
      <c r="D816" s="81" t="str">
        <f>[9]Роспись!D751</f>
        <v>01</v>
      </c>
      <c r="E816" s="81" t="str">
        <f>[9]Роспись!E751</f>
        <v>4439901</v>
      </c>
      <c r="F816" s="81" t="str">
        <f>[9]Роспись!F751</f>
        <v>001</v>
      </c>
      <c r="G816" s="81">
        <f>[9]Роспись!G751</f>
        <v>225</v>
      </c>
      <c r="H816" s="648">
        <f t="shared" si="61"/>
        <v>12729.03</v>
      </c>
      <c r="I816" s="693">
        <f t="shared" si="61"/>
        <v>157.75</v>
      </c>
      <c r="J816" s="693">
        <f t="shared" si="61"/>
        <v>12571.28</v>
      </c>
      <c r="K816" s="693">
        <f t="shared" si="61"/>
        <v>0</v>
      </c>
      <c r="M816" s="696">
        <v>12000</v>
      </c>
      <c r="N816" s="697">
        <v>573.25</v>
      </c>
      <c r="O816" s="658">
        <f t="shared" si="62"/>
        <v>571.28000000000065</v>
      </c>
    </row>
    <row r="817" spans="1:16" ht="15" thickBot="1" x14ac:dyDescent="0.2">
      <c r="A817" s="647" t="str">
        <f>[9]Роспись!A752</f>
        <v>Прочие услуги</v>
      </c>
      <c r="B817" s="81" t="str">
        <f>[9]Роспись!B752</f>
        <v>056</v>
      </c>
      <c r="C817" s="81" t="str">
        <f>[9]Роспись!C752</f>
        <v>08</v>
      </c>
      <c r="D817" s="81" t="str">
        <f>[9]Роспись!D752</f>
        <v>01</v>
      </c>
      <c r="E817" s="81" t="str">
        <f>[9]Роспись!E752</f>
        <v>4439901</v>
      </c>
      <c r="F817" s="81" t="str">
        <f>[9]Роспись!F752</f>
        <v>001</v>
      </c>
      <c r="G817" s="81">
        <f>[9]Роспись!G752</f>
        <v>226</v>
      </c>
      <c r="H817" s="648">
        <f t="shared" si="61"/>
        <v>10373.707</v>
      </c>
      <c r="I817" s="693">
        <f t="shared" si="61"/>
        <v>3970.7299999999996</v>
      </c>
      <c r="J817" s="693">
        <f t="shared" si="61"/>
        <v>3867.4670000000001</v>
      </c>
      <c r="K817" s="693">
        <f t="shared" si="61"/>
        <v>2535.5100000000007</v>
      </c>
      <c r="M817" s="696">
        <v>3629.9059999999999</v>
      </c>
      <c r="N817" s="697">
        <v>2725.55</v>
      </c>
      <c r="O817" s="658">
        <f t="shared" si="62"/>
        <v>237.56100000000015</v>
      </c>
    </row>
    <row r="818" spans="1:16" ht="15" thickBot="1" x14ac:dyDescent="0.2">
      <c r="A818" s="647" t="str">
        <f>[9]Роспись!A753</f>
        <v xml:space="preserve">Прочие расходы </v>
      </c>
      <c r="B818" s="81" t="str">
        <f>[9]Роспись!B753</f>
        <v>056</v>
      </c>
      <c r="C818" s="81" t="str">
        <f>[9]Роспись!C753</f>
        <v>08</v>
      </c>
      <c r="D818" s="81" t="str">
        <f>[9]Роспись!D753</f>
        <v>01</v>
      </c>
      <c r="E818" s="81" t="str">
        <f>[9]Роспись!E753</f>
        <v>4439901</v>
      </c>
      <c r="F818" s="81" t="str">
        <f>[9]Роспись!F753</f>
        <v>001</v>
      </c>
      <c r="G818" s="81">
        <f>[9]Роспись!G753</f>
        <v>290</v>
      </c>
      <c r="H818" s="648">
        <f t="shared" si="61"/>
        <v>502.1</v>
      </c>
      <c r="I818" s="693">
        <f t="shared" si="61"/>
        <v>251.05999999999997</v>
      </c>
      <c r="J818" s="693">
        <f t="shared" si="61"/>
        <v>241.81500000000003</v>
      </c>
      <c r="K818" s="693">
        <f t="shared" si="61"/>
        <v>9.2249999999999996</v>
      </c>
      <c r="M818" s="696">
        <v>120.86499999999999</v>
      </c>
      <c r="N818" s="697">
        <v>130.17500000000001</v>
      </c>
      <c r="O818" s="658">
        <f t="shared" si="62"/>
        <v>120.95000000000003</v>
      </c>
    </row>
    <row r="819" spans="1:16" ht="15" thickBot="1" x14ac:dyDescent="0.2">
      <c r="A819" s="647" t="str">
        <f>[9]Роспись!A754</f>
        <v xml:space="preserve">Прочие расходы </v>
      </c>
      <c r="B819" s="81" t="str">
        <f>[9]Роспись!B754</f>
        <v>056</v>
      </c>
      <c r="C819" s="81" t="str">
        <f>[9]Роспись!C754</f>
        <v>08</v>
      </c>
      <c r="D819" s="81" t="str">
        <f>[9]Роспись!D754</f>
        <v>01</v>
      </c>
      <c r="E819" s="81" t="str">
        <f>[9]Роспись!E754</f>
        <v>4439500</v>
      </c>
      <c r="F819" s="81" t="str">
        <f>[9]Роспись!F754</f>
        <v>001</v>
      </c>
      <c r="G819" s="81" t="str">
        <f>[9]Роспись!G754</f>
        <v>290</v>
      </c>
      <c r="H819" s="648">
        <f t="shared" si="61"/>
        <v>12920.590999999999</v>
      </c>
      <c r="I819" s="693">
        <f t="shared" si="61"/>
        <v>6921.66</v>
      </c>
      <c r="J819" s="693">
        <f t="shared" si="61"/>
        <v>5992.8060000000005</v>
      </c>
      <c r="K819" s="693">
        <f t="shared" si="61"/>
        <v>6.125</v>
      </c>
      <c r="M819" s="696">
        <v>3371.9560000000001</v>
      </c>
      <c r="N819" s="697">
        <v>2715.4049999999997</v>
      </c>
      <c r="O819" s="658">
        <f t="shared" si="62"/>
        <v>2620.8500000000004</v>
      </c>
    </row>
    <row r="820" spans="1:16" ht="15" thickBot="1" x14ac:dyDescent="0.2">
      <c r="A820" s="647" t="str">
        <f>[9]Роспись!A755</f>
        <v>Увелич. стоимости осн. средств</v>
      </c>
      <c r="B820" s="81" t="str">
        <f>[9]Роспись!B755</f>
        <v>056</v>
      </c>
      <c r="C820" s="81" t="str">
        <f>[9]Роспись!C755</f>
        <v>08</v>
      </c>
      <c r="D820" s="81" t="str">
        <f>[9]Роспись!D755</f>
        <v>01</v>
      </c>
      <c r="E820" s="81" t="str">
        <f>[9]Роспись!E755</f>
        <v>4439901</v>
      </c>
      <c r="F820" s="81" t="str">
        <f>[9]Роспись!F755</f>
        <v>001</v>
      </c>
      <c r="G820" s="81">
        <f>[9]Роспись!G755</f>
        <v>310</v>
      </c>
      <c r="H820" s="648">
        <f t="shared" si="61"/>
        <v>13458.079000000002</v>
      </c>
      <c r="I820" s="693">
        <f t="shared" si="61"/>
        <v>0</v>
      </c>
      <c r="J820" s="693">
        <f t="shared" si="61"/>
        <v>6851.9849999999988</v>
      </c>
      <c r="K820" s="693">
        <f t="shared" si="61"/>
        <v>6606.0939999999991</v>
      </c>
      <c r="L820" s="658">
        <f>I822+J822-I824</f>
        <v>446217.49999999994</v>
      </c>
      <c r="M820" s="696">
        <v>4000</v>
      </c>
      <c r="N820" s="697">
        <v>9329.02</v>
      </c>
      <c r="O820" s="658">
        <f t="shared" si="62"/>
        <v>2851.9849999999988</v>
      </c>
    </row>
    <row r="821" spans="1:16" ht="15" thickBot="1" x14ac:dyDescent="0.2">
      <c r="A821" s="647" t="str">
        <f>[9]Роспись!A756</f>
        <v>Увелич. стоимости матер. запасов</v>
      </c>
      <c r="B821" s="81" t="str">
        <f>[9]Роспись!B756</f>
        <v>056</v>
      </c>
      <c r="C821" s="81" t="str">
        <f>[9]Роспись!C756</f>
        <v>08</v>
      </c>
      <c r="D821" s="81" t="str">
        <f>[9]Роспись!D756</f>
        <v>01</v>
      </c>
      <c r="E821" s="81" t="str">
        <f>[9]Роспись!E756</f>
        <v>4439901</v>
      </c>
      <c r="F821" s="81" t="str">
        <f>[9]Роспись!F756</f>
        <v>001</v>
      </c>
      <c r="G821" s="81">
        <f>[9]Роспись!G756</f>
        <v>340</v>
      </c>
      <c r="H821" s="648">
        <f t="shared" si="61"/>
        <v>3280.7539999999999</v>
      </c>
      <c r="I821" s="693">
        <f t="shared" si="61"/>
        <v>1088.1100000000001</v>
      </c>
      <c r="J821" s="693">
        <f t="shared" si="61"/>
        <v>1409.1179999999999</v>
      </c>
      <c r="K821" s="693">
        <f t="shared" si="61"/>
        <v>783.52600000000007</v>
      </c>
      <c r="M821" s="696">
        <v>500</v>
      </c>
      <c r="N821" s="697">
        <v>1893.81</v>
      </c>
      <c r="O821" s="658">
        <f t="shared" si="62"/>
        <v>909.11799999999994</v>
      </c>
    </row>
    <row r="822" spans="1:16" x14ac:dyDescent="0.15">
      <c r="A822" s="78" t="s">
        <v>98</v>
      </c>
      <c r="B822" s="641" t="s">
        <v>79</v>
      </c>
      <c r="C822" s="641" t="s">
        <v>80</v>
      </c>
      <c r="D822" s="641" t="s">
        <v>125</v>
      </c>
      <c r="E822" s="81" t="str">
        <f>[9]Роспись!E757</f>
        <v>4430000</v>
      </c>
      <c r="F822" s="666" t="s">
        <v>102</v>
      </c>
      <c r="G822" s="649"/>
      <c r="H822" s="650">
        <f>SUM(H809:H821)</f>
        <v>478983.88600000006</v>
      </c>
      <c r="I822" s="676">
        <f t="shared" ref="I822:P822" si="63">SUM(I809:I821)</f>
        <v>209781.21</v>
      </c>
      <c r="J822" s="676">
        <f t="shared" si="63"/>
        <v>257202.67599999995</v>
      </c>
      <c r="K822" s="676">
        <f t="shared" si="63"/>
        <v>12000</v>
      </c>
      <c r="L822" s="681">
        <f t="shared" si="63"/>
        <v>446780.69999999995</v>
      </c>
      <c r="M822" s="681">
        <f t="shared" si="63"/>
        <v>236838.61199999996</v>
      </c>
      <c r="N822" s="681">
        <f t="shared" si="63"/>
        <v>32364.064000000002</v>
      </c>
      <c r="O822" s="681">
        <f t="shared" si="63"/>
        <v>20364.06399999998</v>
      </c>
      <c r="P822" s="681">
        <f t="shared" si="63"/>
        <v>0</v>
      </c>
    </row>
    <row r="823" spans="1:16" ht="52" x14ac:dyDescent="0.15">
      <c r="A823" s="640" t="str">
        <f>A806</f>
        <v>Субсидия на финансовое обеспечение государственного задания на оказание государственных услуг (выполнение работ)</v>
      </c>
      <c r="B823" s="641"/>
      <c r="C823" s="641"/>
      <c r="D823" s="641"/>
      <c r="E823" s="81"/>
      <c r="F823" s="640">
        <f>F806</f>
        <v>611</v>
      </c>
      <c r="G823" s="640" t="str">
        <f>G806</f>
        <v>241</v>
      </c>
      <c r="H823" s="643">
        <f>H806+H790+H774+H758+H741+H725+H709+H693+H676+H659+H643+H626+H610+H594+H578+H561+H545+H529+H513+H497+H481+H465+H448</f>
        <v>241436.29000000004</v>
      </c>
      <c r="I823" s="693">
        <f>J822-I824</f>
        <v>236436.28999999995</v>
      </c>
      <c r="J823" s="693"/>
      <c r="K823" s="693">
        <f>K806+K758+K741+K725+K709+K693+K676+K659+K643+K626+K610+K594+K578+K561+K545+K529+K513+K497+K481+K465+K448+K774+K790</f>
        <v>5000.00000000002</v>
      </c>
      <c r="L823" s="652">
        <f>H822-I819</f>
        <v>472062.22600000008</v>
      </c>
      <c r="M823" s="652">
        <f>I822-I819</f>
        <v>202859.55</v>
      </c>
      <c r="N823" s="652">
        <f>H823-241476.29</f>
        <v>-39.999999999970896</v>
      </c>
      <c r="O823" s="646">
        <v>20387.107</v>
      </c>
      <c r="P823" s="646"/>
    </row>
    <row r="824" spans="1:16" x14ac:dyDescent="0.15">
      <c r="A824" s="640" t="str">
        <f>A807</f>
        <v>Субсидии на иные цели</v>
      </c>
      <c r="B824" s="641"/>
      <c r="C824" s="641"/>
      <c r="D824" s="641"/>
      <c r="E824" s="81"/>
      <c r="F824" s="640">
        <f>F807</f>
        <v>612</v>
      </c>
      <c r="G824" s="640" t="str">
        <f>G807</f>
        <v>241</v>
      </c>
      <c r="H824" s="643">
        <f>H807+H742+H677+H660+H627+H449+H562</f>
        <v>27766.385999999999</v>
      </c>
      <c r="I824" s="681">
        <f>I807+I742+I677+I660+I627+I449+I562</f>
        <v>20766.385999999999</v>
      </c>
      <c r="J824" s="681">
        <f>J807+J742+J677+J660+J627+J449+J562</f>
        <v>0</v>
      </c>
      <c r="K824" s="681">
        <f>K807+K742+K677+K660+K627+K449+K562</f>
        <v>6999.9999999999991</v>
      </c>
      <c r="L824" s="652">
        <f>H824-25796.94</f>
        <v>1969.4459999999999</v>
      </c>
      <c r="M824" s="646"/>
      <c r="N824" s="652"/>
      <c r="O824" s="646"/>
      <c r="P824" s="646"/>
    </row>
    <row r="825" spans="1:16" x14ac:dyDescent="0.15">
      <c r="A825" s="78"/>
      <c r="B825" s="641"/>
      <c r="C825" s="641"/>
      <c r="D825" s="641"/>
      <c r="E825" s="666"/>
      <c r="F825" s="666"/>
      <c r="G825" s="733"/>
      <c r="H825" s="643"/>
      <c r="I825" s="681"/>
      <c r="J825" s="681"/>
      <c r="K825" s="643"/>
      <c r="L825" s="671"/>
      <c r="M825" s="671"/>
      <c r="N825" s="671"/>
      <c r="O825" s="734">
        <f>O822-O823</f>
        <v>-23.043000000019674</v>
      </c>
      <c r="P825" s="671"/>
    </row>
    <row r="826" spans="1:16" x14ac:dyDescent="0.15">
      <c r="A826" s="78"/>
      <c r="B826" s="641"/>
      <c r="C826" s="641"/>
      <c r="D826" s="641"/>
      <c r="E826" s="666"/>
      <c r="F826" s="666"/>
      <c r="G826" s="733"/>
      <c r="H826" s="643"/>
      <c r="I826" s="681"/>
      <c r="J826" s="681"/>
      <c r="K826" s="643"/>
      <c r="L826" s="671"/>
      <c r="M826" s="671"/>
      <c r="N826" s="671"/>
      <c r="O826" s="671"/>
      <c r="P826" s="671"/>
    </row>
    <row r="827" spans="1:16" x14ac:dyDescent="0.15">
      <c r="A827" s="647" t="str">
        <f>[9]Роспись!A760</f>
        <v xml:space="preserve">Прочие выплаты </v>
      </c>
      <c r="B827" s="81" t="str">
        <f>[9]Роспись!B760</f>
        <v>056</v>
      </c>
      <c r="C827" s="81" t="str">
        <f>[9]Роспись!C760</f>
        <v>08</v>
      </c>
      <c r="D827" s="81" t="str">
        <f>[9]Роспись!D760</f>
        <v>01</v>
      </c>
      <c r="E827" s="81">
        <f>[9]Роспись!E760</f>
        <v>4508501</v>
      </c>
      <c r="F827" s="81" t="str">
        <f>[9]Роспись!F760</f>
        <v>001</v>
      </c>
      <c r="G827" s="81" t="str">
        <f>[9]Роспись!G760</f>
        <v>212</v>
      </c>
      <c r="H827" s="648">
        <f>[9]Роспись!H760</f>
        <v>5.4</v>
      </c>
      <c r="I827" s="648">
        <f>[9]Финансирование!I827+[9]Финансирование!J827+[9]Финансирование!K827+[9]Финансирование!L827+[9]Финансирование!M827+[9]Финансирование!N827+[9]Финансирование!O827+[9]Финансирование!P827+[9]Финансирование!Q827+[9]Финансирование!T827+[9]Финансирование!U827+[9]Финансирование!V827+[9]Финансирование!W827+[9]Финансирование!X827+[9]Финансирование!Y827+[9]Финансирование!Z827</f>
        <v>5.4</v>
      </c>
      <c r="J827" s="693"/>
      <c r="K827" s="648">
        <f>H827-I827</f>
        <v>0</v>
      </c>
      <c r="L827" s="646"/>
      <c r="M827" s="652"/>
      <c r="N827" s="646"/>
      <c r="O827" s="646"/>
      <c r="P827" s="646"/>
    </row>
    <row r="828" spans="1:16" x14ac:dyDescent="0.15">
      <c r="A828" s="647">
        <f>[9]Роспись!A761</f>
        <v>0</v>
      </c>
      <c r="B828" s="81">
        <f>[9]Роспись!B761</f>
        <v>0</v>
      </c>
      <c r="C828" s="81">
        <f>[9]Роспись!C761</f>
        <v>0</v>
      </c>
      <c r="D828" s="81">
        <f>[9]Роспись!D761</f>
        <v>0</v>
      </c>
      <c r="E828" s="81">
        <f>[9]Роспись!E761</f>
        <v>0</v>
      </c>
      <c r="F828" s="81">
        <f>[9]Роспись!F761</f>
        <v>0</v>
      </c>
      <c r="G828" s="81">
        <f>[9]Роспись!G761</f>
        <v>0</v>
      </c>
      <c r="H828" s="648">
        <f>[9]Роспись!H761</f>
        <v>0</v>
      </c>
      <c r="I828" s="648">
        <f>[9]Финансирование!I828+[9]Финансирование!J828+[9]Финансирование!K828+[9]Финансирование!L828+[9]Финансирование!M828+[9]Финансирование!N828+[9]Финансирование!O828+[9]Финансирование!P828+[9]Финансирование!Q828+[9]Финансирование!T828+[9]Финансирование!U828+[9]Финансирование!V828+[9]Финансирование!W828+[9]Финансирование!X828+[9]Финансирование!Y828+[9]Финансирование!Z828</f>
        <v>0</v>
      </c>
      <c r="J828" s="693"/>
      <c r="K828" s="648">
        <f t="shared" ref="K828:K838" si="64">H828-I828</f>
        <v>0</v>
      </c>
      <c r="L828" s="646"/>
      <c r="M828" s="646"/>
      <c r="N828" s="646"/>
      <c r="O828" s="646"/>
      <c r="P828" s="646"/>
    </row>
    <row r="829" spans="1:16" x14ac:dyDescent="0.15">
      <c r="A829" s="647" t="str">
        <f>[9]Роспись!A762</f>
        <v xml:space="preserve">Оплата услуг связи </v>
      </c>
      <c r="B829" s="81" t="str">
        <f>[9]Роспись!B762</f>
        <v>056</v>
      </c>
      <c r="C829" s="81" t="str">
        <f>[9]Роспись!C762</f>
        <v>08</v>
      </c>
      <c r="D829" s="81" t="str">
        <f>[9]Роспись!D762</f>
        <v>01</v>
      </c>
      <c r="E829" s="81">
        <f>[9]Роспись!E762</f>
        <v>4508501</v>
      </c>
      <c r="F829" s="81" t="str">
        <f>[9]Роспись!F762</f>
        <v>001</v>
      </c>
      <c r="G829" s="81" t="str">
        <f>[9]Роспись!G762</f>
        <v>221</v>
      </c>
      <c r="H829" s="648">
        <f>[9]Роспись!H762</f>
        <v>0</v>
      </c>
      <c r="I829" s="648">
        <f>[9]Финансирование!I829+[9]Финансирование!J829+[9]Финансирование!K829+[9]Финансирование!L829+[9]Финансирование!M829+[9]Финансирование!N829+[9]Финансирование!O829+[9]Финансирование!P829+[9]Финансирование!Q829+[9]Финансирование!T829+[9]Финансирование!U829+[9]Финансирование!V829+[9]Финансирование!W829+[9]Финансирование!X829+[9]Финансирование!Y829+[9]Финансирование!Z829</f>
        <v>0</v>
      </c>
      <c r="J829" s="693"/>
      <c r="K829" s="648">
        <f t="shared" si="64"/>
        <v>0</v>
      </c>
      <c r="L829" s="646"/>
      <c r="M829" s="646"/>
      <c r="N829" s="646"/>
      <c r="O829" s="646"/>
      <c r="P829" s="646"/>
    </row>
    <row r="830" spans="1:16" x14ac:dyDescent="0.15">
      <c r="A830" s="647" t="str">
        <f>[9]Роспись!A763</f>
        <v>Транспортные услуги</v>
      </c>
      <c r="B830" s="81" t="str">
        <f>[9]Роспись!B763</f>
        <v>056</v>
      </c>
      <c r="C830" s="81" t="str">
        <f>[9]Роспись!C763</f>
        <v>08</v>
      </c>
      <c r="D830" s="81" t="str">
        <f>[9]Роспись!D763</f>
        <v>01</v>
      </c>
      <c r="E830" s="81">
        <f>[9]Роспись!E763</f>
        <v>4508501</v>
      </c>
      <c r="F830" s="81" t="str">
        <f>[9]Роспись!F763</f>
        <v>001</v>
      </c>
      <c r="G830" s="81" t="str">
        <f>[9]Роспись!G763</f>
        <v>222</v>
      </c>
      <c r="H830" s="648">
        <f>[9]Роспись!H763</f>
        <v>113.36</v>
      </c>
      <c r="I830" s="648">
        <f>[9]Финансирование!I830+[9]Финансирование!J830+[9]Финансирование!K830+[9]Финансирование!L830+[9]Финансирование!M830+[9]Финансирование!N830+[9]Финансирование!O830+[9]Финансирование!P830+[9]Финансирование!Q830+[9]Финансирование!T830+[9]Финансирование!U830+[9]Финансирование!V830+[9]Финансирование!W830+[9]Финансирование!X830+[9]Финансирование!Y830+[9]Финансирование!Z830</f>
        <v>113.36</v>
      </c>
      <c r="J830" s="693"/>
      <c r="K830" s="648">
        <f t="shared" si="64"/>
        <v>0</v>
      </c>
      <c r="L830" s="646"/>
      <c r="M830" s="646"/>
      <c r="N830" s="646"/>
      <c r="O830" s="646"/>
      <c r="P830" s="646"/>
    </row>
    <row r="831" spans="1:16" x14ac:dyDescent="0.15">
      <c r="A831" s="647">
        <f>[9]Роспись!A764</f>
        <v>0</v>
      </c>
      <c r="B831" s="81">
        <f>[9]Роспись!B764</f>
        <v>0</v>
      </c>
      <c r="C831" s="81">
        <f>[9]Роспись!C764</f>
        <v>0</v>
      </c>
      <c r="D831" s="81">
        <f>[9]Роспись!D764</f>
        <v>0</v>
      </c>
      <c r="E831" s="81">
        <f>[9]Роспись!E764</f>
        <v>0</v>
      </c>
      <c r="F831" s="81">
        <f>[9]Роспись!F764</f>
        <v>0</v>
      </c>
      <c r="G831" s="81">
        <f>[9]Роспись!G764</f>
        <v>0</v>
      </c>
      <c r="H831" s="648">
        <f>[9]Роспись!H764</f>
        <v>0</v>
      </c>
      <c r="I831" s="648">
        <f>[9]Финансирование!I831+[9]Финансирование!J831+[9]Финансирование!K831+[9]Финансирование!L831+[9]Финансирование!M831+[9]Финансирование!N831+[9]Финансирование!O831+[9]Финансирование!P831+[9]Финансирование!Q831+[9]Финансирование!T831+[9]Финансирование!U831+[9]Финансирование!V831+[9]Финансирование!W831+[9]Финансирование!X831+[9]Финансирование!Y831+[9]Финансирование!Z831</f>
        <v>0</v>
      </c>
      <c r="J831" s="693"/>
      <c r="K831" s="648">
        <f t="shared" si="64"/>
        <v>0</v>
      </c>
      <c r="L831" s="646"/>
      <c r="M831" s="646"/>
      <c r="N831" s="646"/>
      <c r="O831" s="646"/>
      <c r="P831" s="646"/>
    </row>
    <row r="832" spans="1:16" x14ac:dyDescent="0.15">
      <c r="A832" s="647" t="str">
        <f>[9]Роспись!A765</f>
        <v>Арендная плата</v>
      </c>
      <c r="B832" s="81" t="str">
        <f>[9]Роспись!B765</f>
        <v>056</v>
      </c>
      <c r="C832" s="81" t="str">
        <f>[9]Роспись!C765</f>
        <v>08</v>
      </c>
      <c r="D832" s="81" t="str">
        <f>[9]Роспись!D765</f>
        <v>01</v>
      </c>
      <c r="E832" s="81">
        <f>[9]Роспись!E765</f>
        <v>4508501</v>
      </c>
      <c r="F832" s="81" t="str">
        <f>[9]Роспись!F765</f>
        <v>001</v>
      </c>
      <c r="G832" s="81" t="str">
        <f>[9]Роспись!G765</f>
        <v>224</v>
      </c>
      <c r="H832" s="648">
        <f>[9]Роспись!H765</f>
        <v>0</v>
      </c>
      <c r="I832" s="648">
        <f>[9]Финансирование!I832+[9]Финансирование!J832+[9]Финансирование!K832+[9]Финансирование!L832+[9]Финансирование!M832+[9]Финансирование!N832+[9]Финансирование!O832+[9]Финансирование!P832+[9]Финансирование!Q832+[9]Финансирование!T832+[9]Финансирование!U832+[9]Финансирование!V832+[9]Финансирование!W832+[9]Финансирование!X832+[9]Финансирование!Y832+[9]Финансирование!Z832</f>
        <v>0</v>
      </c>
      <c r="J832" s="693"/>
      <c r="K832" s="648">
        <f t="shared" si="64"/>
        <v>0</v>
      </c>
      <c r="L832" s="646"/>
      <c r="M832" s="646"/>
      <c r="N832" s="646"/>
      <c r="O832" s="646"/>
      <c r="P832" s="646"/>
    </row>
    <row r="833" spans="1:16" x14ac:dyDescent="0.15">
      <c r="A833" s="647">
        <f>[9]Роспись!A766</f>
        <v>0</v>
      </c>
      <c r="B833" s="81">
        <f>[9]Роспись!B766</f>
        <v>0</v>
      </c>
      <c r="C833" s="81">
        <f>[9]Роспись!C766</f>
        <v>0</v>
      </c>
      <c r="D833" s="81">
        <f>[9]Роспись!D766</f>
        <v>0</v>
      </c>
      <c r="E833" s="81">
        <f>[9]Роспись!E766</f>
        <v>0</v>
      </c>
      <c r="F833" s="81">
        <f>[9]Роспись!F766</f>
        <v>0</v>
      </c>
      <c r="G833" s="81" t="str">
        <f>[9]Роспись!G766</f>
        <v>225</v>
      </c>
      <c r="H833" s="648">
        <f>[9]Роспись!H766</f>
        <v>0</v>
      </c>
      <c r="I833" s="648">
        <f>[9]Финансирование!I833+[9]Финансирование!J833+[9]Финансирование!K833+[9]Финансирование!L833+[9]Финансирование!M833+[9]Финансирование!N833+[9]Финансирование!O833+[9]Финансирование!P833+[9]Финансирование!Q833+[9]Финансирование!T833+[9]Финансирование!U833+[9]Финансирование!V833+[9]Финансирование!W833+[9]Финансирование!X833+[9]Финансирование!Y833+[9]Финансирование!Z833</f>
        <v>0</v>
      </c>
      <c r="J833" s="693"/>
      <c r="K833" s="648">
        <f t="shared" si="64"/>
        <v>0</v>
      </c>
      <c r="L833" s="646"/>
      <c r="M833" s="646"/>
      <c r="N833" s="646"/>
      <c r="O833" s="646"/>
      <c r="P833" s="646"/>
    </row>
    <row r="834" spans="1:16" x14ac:dyDescent="0.15">
      <c r="A834" s="647" t="str">
        <f>[9]Роспись!A767</f>
        <v>централизован</v>
      </c>
      <c r="B834" s="81" t="str">
        <f>[9]Роспись!B767</f>
        <v>056</v>
      </c>
      <c r="C834" s="81" t="str">
        <f>[9]Роспись!C767</f>
        <v>08</v>
      </c>
      <c r="D834" s="81" t="str">
        <f>[9]Роспись!D767</f>
        <v>01</v>
      </c>
      <c r="E834" s="81" t="str">
        <f>[9]Роспись!E767</f>
        <v>4508501</v>
      </c>
      <c r="F834" s="81" t="str">
        <f>[9]Роспись!F767</f>
        <v>001</v>
      </c>
      <c r="G834" s="81">
        <f>[9]Роспись!G767</f>
        <v>226</v>
      </c>
      <c r="H834" s="648">
        <f>[9]Роспись!H767</f>
        <v>13701.4</v>
      </c>
      <c r="I834" s="648">
        <f>[9]Финансирование!I834+[9]Финансирование!J834+[9]Финансирование!K834+[9]Финансирование!L834+[9]Финансирование!M834+[9]Финансирование!N834+[9]Финансирование!O834+[9]Финансирование!P834+[9]Финансирование!Q834+[9]Финансирование!T834+[9]Финансирование!U834+[9]Финансирование!V834+[9]Финансирование!W834+[9]Финансирование!X834+[9]Финансирование!Y834+[9]Финансирование!Z834</f>
        <v>13701.4</v>
      </c>
      <c r="J834" s="693"/>
      <c r="K834" s="648">
        <f t="shared" si="64"/>
        <v>0</v>
      </c>
      <c r="L834" s="646"/>
      <c r="M834" s="646"/>
      <c r="N834" s="646"/>
      <c r="O834" s="646"/>
      <c r="P834" s="646"/>
    </row>
    <row r="835" spans="1:16" x14ac:dyDescent="0.15">
      <c r="A835" s="647">
        <f>[9]Роспись!A768</f>
        <v>0</v>
      </c>
      <c r="B835" s="81">
        <f>[9]Роспись!B768</f>
        <v>0</v>
      </c>
      <c r="C835" s="81">
        <f>[9]Роспись!C768</f>
        <v>0</v>
      </c>
      <c r="D835" s="81">
        <f>[9]Роспись!D768</f>
        <v>0</v>
      </c>
      <c r="E835" s="81">
        <f>[9]Роспись!E768</f>
        <v>0</v>
      </c>
      <c r="F835" s="81">
        <f>[9]Роспись!F768</f>
        <v>0</v>
      </c>
      <c r="G835" s="81">
        <f>[9]Роспись!G768</f>
        <v>0</v>
      </c>
      <c r="H835" s="648">
        <f>[9]Роспись!H768</f>
        <v>0</v>
      </c>
      <c r="I835" s="648">
        <f>[9]Финансирование!I835+[9]Финансирование!J835+[9]Финансирование!K835+[9]Финансирование!L835+[9]Финансирование!M835+[9]Финансирование!N835+[9]Финансирование!O835+[9]Финансирование!P835+[9]Финансирование!Q835+[9]Финансирование!T835+[9]Финансирование!U835+[9]Финансирование!V835+[9]Финансирование!W835+[9]Финансирование!X835+[9]Финансирование!Y835+[9]Финансирование!Z835</f>
        <v>0</v>
      </c>
      <c r="J835" s="693"/>
      <c r="K835" s="648">
        <f t="shared" si="64"/>
        <v>0</v>
      </c>
      <c r="L835" s="646"/>
      <c r="M835" s="646"/>
      <c r="N835" s="646"/>
      <c r="O835" s="646"/>
      <c r="P835" s="646"/>
    </row>
    <row r="836" spans="1:16" x14ac:dyDescent="0.15">
      <c r="A836" s="647">
        <f>[9]Роспись!A769</f>
        <v>0</v>
      </c>
      <c r="B836" s="81">
        <f>[9]Роспись!B769</f>
        <v>0</v>
      </c>
      <c r="C836" s="81">
        <f>[9]Роспись!C769</f>
        <v>0</v>
      </c>
      <c r="D836" s="81">
        <f>[9]Роспись!D769</f>
        <v>0</v>
      </c>
      <c r="E836" s="81">
        <f>[9]Роспись!E769</f>
        <v>0</v>
      </c>
      <c r="F836" s="81">
        <f>[9]Роспись!F769</f>
        <v>0</v>
      </c>
      <c r="G836" s="81" t="str">
        <f>[9]Роспись!G769</f>
        <v>290</v>
      </c>
      <c r="H836" s="648">
        <f>[9]Роспись!H769</f>
        <v>0</v>
      </c>
      <c r="I836" s="648">
        <f>[9]Финансирование!I836+[9]Финансирование!J836+[9]Финансирование!K836+[9]Финансирование!L836+[9]Финансирование!M836+[9]Финансирование!N836+[9]Финансирование!O836+[9]Финансирование!P836+[9]Финансирование!Q836+[9]Финансирование!T836+[9]Финансирование!U836+[9]Финансирование!V836+[9]Финансирование!W836+[9]Финансирование!X836+[9]Финансирование!Y836+[9]Финансирование!Z836</f>
        <v>0</v>
      </c>
      <c r="J836" s="693"/>
      <c r="K836" s="648">
        <f t="shared" si="64"/>
        <v>0</v>
      </c>
      <c r="L836" s="646"/>
      <c r="M836" s="646"/>
      <c r="N836" s="646"/>
      <c r="O836" s="646"/>
      <c r="P836" s="646"/>
    </row>
    <row r="837" spans="1:16" x14ac:dyDescent="0.15">
      <c r="A837" s="647">
        <f>[9]Роспись!A770</f>
        <v>0</v>
      </c>
      <c r="B837" s="81">
        <f>[9]Роспись!B770</f>
        <v>0</v>
      </c>
      <c r="C837" s="81">
        <f>[9]Роспись!C770</f>
        <v>0</v>
      </c>
      <c r="D837" s="81">
        <f>[9]Роспись!D770</f>
        <v>0</v>
      </c>
      <c r="E837" s="81">
        <f>[9]Роспись!E770</f>
        <v>0</v>
      </c>
      <c r="F837" s="81">
        <f>[9]Роспись!F770</f>
        <v>0</v>
      </c>
      <c r="G837" s="81" t="str">
        <f>[9]Роспись!G770</f>
        <v>310</v>
      </c>
      <c r="H837" s="648">
        <f>[9]Роспись!H770</f>
        <v>0</v>
      </c>
      <c r="I837" s="648">
        <f>[9]Финансирование!I837+[9]Финансирование!J837+[9]Финансирование!K837+[9]Финансирование!L837+[9]Финансирование!M837+[9]Финансирование!N837+[9]Финансирование!O837+[9]Финансирование!P837+[9]Финансирование!Q837+[9]Финансирование!T837+[9]Финансирование!U837+[9]Финансирование!V837+[9]Финансирование!W837+[9]Финансирование!X837+[9]Финансирование!Y837+[9]Финансирование!Z837</f>
        <v>0</v>
      </c>
      <c r="J837" s="693"/>
      <c r="K837" s="648">
        <f t="shared" si="64"/>
        <v>0</v>
      </c>
      <c r="L837" s="646"/>
      <c r="M837" s="646"/>
      <c r="N837" s="646"/>
      <c r="O837" s="646"/>
      <c r="P837" s="646"/>
    </row>
    <row r="838" spans="1:16" x14ac:dyDescent="0.15">
      <c r="A838" s="647" t="str">
        <f>[9]Роспись!A771</f>
        <v>Увелич. стоимости матер. запасов</v>
      </c>
      <c r="B838" s="81" t="str">
        <f>[9]Роспись!B771</f>
        <v>056</v>
      </c>
      <c r="C838" s="81" t="str">
        <f>[9]Роспись!C771</f>
        <v>08</v>
      </c>
      <c r="D838" s="81" t="str">
        <f>[9]Роспись!D771</f>
        <v>01</v>
      </c>
      <c r="E838" s="81">
        <f>[9]Роспись!E771</f>
        <v>4508501</v>
      </c>
      <c r="F838" s="81" t="str">
        <f>[9]Роспись!F771</f>
        <v>001</v>
      </c>
      <c r="G838" s="81" t="str">
        <f>[9]Роспись!G771</f>
        <v>340</v>
      </c>
      <c r="H838" s="648">
        <f>[9]Роспись!H771</f>
        <v>200</v>
      </c>
      <c r="I838" s="648">
        <f>[9]Финансирование!I838+[9]Финансирование!J838+[9]Финансирование!K838+[9]Финансирование!L838+[9]Финансирование!M838+[9]Финансирование!N838+[9]Финансирование!O838+[9]Финансирование!P838+[9]Финансирование!Q838+[9]Финансирование!T838+[9]Финансирование!U838+[9]Финансирование!V838+[9]Финансирование!W838+[9]Финансирование!X838+[9]Финансирование!Y838+[9]Финансирование!Z838</f>
        <v>200</v>
      </c>
      <c r="J838" s="693"/>
      <c r="K838" s="648">
        <f t="shared" si="64"/>
        <v>0</v>
      </c>
      <c r="L838" s="646"/>
      <c r="M838" s="646"/>
      <c r="N838" s="646"/>
      <c r="O838" s="646"/>
      <c r="P838" s="646"/>
    </row>
    <row r="839" spans="1:16" x14ac:dyDescent="0.15">
      <c r="A839" s="78" t="s">
        <v>98</v>
      </c>
      <c r="B839" s="641" t="s">
        <v>79</v>
      </c>
      <c r="C839" s="641" t="s">
        <v>80</v>
      </c>
      <c r="D839" s="641" t="s">
        <v>125</v>
      </c>
      <c r="E839" s="81" t="str">
        <f>[9]Роспись!E772</f>
        <v>4500000</v>
      </c>
      <c r="F839" s="641" t="s">
        <v>102</v>
      </c>
      <c r="G839" s="649"/>
      <c r="H839" s="650">
        <f>SUM(H827:H838)</f>
        <v>14020.16</v>
      </c>
      <c r="I839" s="676">
        <f>SUM(I827:I838)</f>
        <v>14020.16</v>
      </c>
      <c r="J839" s="676"/>
      <c r="K839" s="651">
        <f>SUM(K827:K838)</f>
        <v>0</v>
      </c>
      <c r="L839" s="735"/>
      <c r="M839" s="735"/>
      <c r="N839" s="735"/>
      <c r="O839" s="735"/>
      <c r="P839" s="735"/>
    </row>
    <row r="840" spans="1:16" x14ac:dyDescent="0.15">
      <c r="A840" s="78" t="s">
        <v>43</v>
      </c>
      <c r="B840" s="672"/>
      <c r="C840" s="672"/>
      <c r="D840" s="672"/>
      <c r="E840" s="672"/>
      <c r="F840" s="672"/>
      <c r="G840" s="649"/>
      <c r="H840" s="648">
        <f>[9]Роспись!H773</f>
        <v>0</v>
      </c>
      <c r="I840" s="648">
        <f>[9]Финансирование!I840+[9]Финансирование!J840+[9]Финансирование!K840+[9]Финансирование!L840+[9]Финансирование!M840+[9]Финансирование!N840+[9]Финансирование!O840+[9]Финансирование!P840+[9]Финансирование!Q840+[9]Финансирование!T840+[9]Финансирование!U840+[9]Финансирование!V840+[9]Финансирование!W840+[9]Финансирование!X840+[9]Финансирование!Y840+[9]Финансирование!Z840</f>
        <v>0</v>
      </c>
      <c r="J840" s="648"/>
      <c r="K840" s="648"/>
      <c r="L840" s="646"/>
      <c r="M840" s="646"/>
      <c r="N840" s="646"/>
      <c r="O840" s="646"/>
      <c r="P840" s="646"/>
    </row>
    <row r="841" spans="1:16" x14ac:dyDescent="0.15">
      <c r="A841" s="647" t="str">
        <f>[9]Роспись!A774</f>
        <v>Заработная плата</v>
      </c>
      <c r="B841" s="81" t="str">
        <f>[9]Роспись!B774</f>
        <v>056</v>
      </c>
      <c r="C841" s="81" t="str">
        <f>[9]Роспись!C774</f>
        <v>08</v>
      </c>
      <c r="D841" s="81" t="str">
        <f>[9]Роспись!D774</f>
        <v>04</v>
      </c>
      <c r="E841" s="81" t="str">
        <f>[9]Роспись!E774</f>
        <v>4529902</v>
      </c>
      <c r="F841" s="81" t="str">
        <f>[9]Роспись!F774</f>
        <v>001</v>
      </c>
      <c r="G841" s="81">
        <f>[9]Роспись!G774</f>
        <v>211</v>
      </c>
      <c r="H841" s="648">
        <f>[9]Роспись!H774</f>
        <v>1008.3</v>
      </c>
      <c r="I841" s="648">
        <f>[9]Финансирование!I841+[9]Финансирование!J841+[9]Финансирование!K841+[9]Финансирование!L841+[9]Финансирование!M841+[9]Финансирование!N841+[9]Финансирование!O841+[9]Финансирование!P841</f>
        <v>464.96</v>
      </c>
      <c r="J841" s="648">
        <f>[9]Финансирование!Q841+[9]Финансирование!T841+[9]Финансирование!U841+[9]Финансирование!V841+[9]Финансирование!W841+[9]Финансирование!X841+[9]Финансирование!Y841+[9]Финансирование!Z841</f>
        <v>543.33999999999992</v>
      </c>
      <c r="K841" s="648">
        <f>H841-I841-J841</f>
        <v>0</v>
      </c>
    </row>
    <row r="842" spans="1:16" x14ac:dyDescent="0.15">
      <c r="A842" s="647" t="str">
        <f>[9]Роспись!A775</f>
        <v xml:space="preserve">Прочие выплаты </v>
      </c>
      <c r="B842" s="81" t="str">
        <f>[9]Роспись!B775</f>
        <v>056</v>
      </c>
      <c r="C842" s="81" t="str">
        <f>[9]Роспись!C775</f>
        <v>08</v>
      </c>
      <c r="D842" s="81" t="str">
        <f>[9]Роспись!D775</f>
        <v>04</v>
      </c>
      <c r="E842" s="81" t="str">
        <f>[9]Роспись!E775</f>
        <v>4529902</v>
      </c>
      <c r="F842" s="81" t="str">
        <f>[9]Роспись!F775</f>
        <v>001</v>
      </c>
      <c r="G842" s="81">
        <f>[9]Роспись!G775</f>
        <v>212</v>
      </c>
      <c r="H842" s="648">
        <f>[9]Роспись!H775</f>
        <v>0</v>
      </c>
      <c r="I842" s="648">
        <f>[9]Финансирование!I842+[9]Финансирование!J842+[9]Финансирование!K842+[9]Финансирование!L842+[9]Финансирование!M842+[9]Финансирование!N842+[9]Финансирование!O842+[9]Финансирование!P842</f>
        <v>0</v>
      </c>
      <c r="J842" s="648">
        <f>[9]Финансирование!Q842+[9]Финансирование!T842+[9]Финансирование!U842+[9]Финансирование!V842+[9]Финансирование!W842+[9]Финансирование!X842+[9]Финансирование!Y842+[9]Финансирование!Z842</f>
        <v>0</v>
      </c>
      <c r="K842" s="648">
        <f t="shared" ref="K842:K853" si="65">H842-I842-J842</f>
        <v>0</v>
      </c>
    </row>
    <row r="843" spans="1:16" x14ac:dyDescent="0.15">
      <c r="A843" s="647" t="str">
        <f>[9]Роспись!A776</f>
        <v>Начисления на оплату труда</v>
      </c>
      <c r="B843" s="81" t="str">
        <f>[9]Роспись!B776</f>
        <v>056</v>
      </c>
      <c r="C843" s="81" t="str">
        <f>[9]Роспись!C776</f>
        <v>08</v>
      </c>
      <c r="D843" s="81" t="str">
        <f>[9]Роспись!D776</f>
        <v>04</v>
      </c>
      <c r="E843" s="81" t="str">
        <f>[9]Роспись!E776</f>
        <v>4529902</v>
      </c>
      <c r="F843" s="81" t="str">
        <f>[9]Роспись!F776</f>
        <v>001</v>
      </c>
      <c r="G843" s="81">
        <f>[9]Роспись!G776</f>
        <v>213</v>
      </c>
      <c r="H843" s="648">
        <f>[9]Роспись!H776</f>
        <v>307.81833999999998</v>
      </c>
      <c r="I843" s="648">
        <f>[9]Финансирование!I843+[9]Финансирование!J843+[9]Финансирование!K843+[9]Финансирование!L843+[9]Финансирование!M843+[9]Финансирование!N843+[9]Финансирование!O843+[9]Финансирование!P843</f>
        <v>150.44</v>
      </c>
      <c r="J843" s="648">
        <f>[9]Финансирование!Q843+[9]Финансирование!T843+[9]Финансирование!U843+[9]Финансирование!V843+[9]Финансирование!W843+[9]Финансирование!X843+[9]Финансирование!Y843+[9]Финансирование!Z843</f>
        <v>157.37834000000001</v>
      </c>
      <c r="K843" s="648">
        <f t="shared" si="65"/>
        <v>0</v>
      </c>
    </row>
    <row r="844" spans="1:16" x14ac:dyDescent="0.15">
      <c r="A844" s="647" t="str">
        <f>[9]Роспись!A777</f>
        <v xml:space="preserve">Оплата услуг связи </v>
      </c>
      <c r="B844" s="81" t="str">
        <f>[9]Роспись!B777</f>
        <v>056</v>
      </c>
      <c r="C844" s="81" t="str">
        <f>[9]Роспись!C777</f>
        <v>08</v>
      </c>
      <c r="D844" s="81" t="str">
        <f>[9]Роспись!D777</f>
        <v>04</v>
      </c>
      <c r="E844" s="81" t="str">
        <f>[9]Роспись!E777</f>
        <v>4529902</v>
      </c>
      <c r="F844" s="81" t="str">
        <f>[9]Роспись!F777</f>
        <v>001</v>
      </c>
      <c r="G844" s="81">
        <f>[9]Роспись!G777</f>
        <v>221</v>
      </c>
      <c r="H844" s="648">
        <f>[9]Роспись!H777</f>
        <v>12.681660000000001</v>
      </c>
      <c r="I844" s="648">
        <f>[9]Финансирование!I844+[9]Финансирование!J844+[9]Финансирование!K844+[9]Финансирование!L844+[9]Финансирование!M844+[9]Финансирование!N844+[9]Финансирование!O844+[9]Финансирование!P844</f>
        <v>4</v>
      </c>
      <c r="J844" s="648">
        <f>[9]Финансирование!Q844+[9]Финансирование!T844+[9]Финансирование!U844+[9]Финансирование!V844+[9]Финансирование!W844+[9]Финансирование!X844+[9]Финансирование!Y844+[9]Финансирование!Z844</f>
        <v>8.6816600000000008</v>
      </c>
      <c r="K844" s="648">
        <f t="shared" si="65"/>
        <v>0</v>
      </c>
    </row>
    <row r="845" spans="1:16" x14ac:dyDescent="0.15">
      <c r="A845" s="647" t="str">
        <f>[9]Роспись!A778</f>
        <v>Транспортные услуги</v>
      </c>
      <c r="B845" s="81" t="str">
        <f>[9]Роспись!B778</f>
        <v>056</v>
      </c>
      <c r="C845" s="81" t="str">
        <f>[9]Роспись!C778</f>
        <v>08</v>
      </c>
      <c r="D845" s="81" t="str">
        <f>[9]Роспись!D778</f>
        <v>04</v>
      </c>
      <c r="E845" s="81" t="str">
        <f>[9]Роспись!E778</f>
        <v>4529902</v>
      </c>
      <c r="F845" s="81" t="str">
        <f>[9]Роспись!F778</f>
        <v>001</v>
      </c>
      <c r="G845" s="81">
        <f>[9]Роспись!G778</f>
        <v>222</v>
      </c>
      <c r="H845" s="648">
        <f>[9]Роспись!H778</f>
        <v>25.36999999999999</v>
      </c>
      <c r="I845" s="648">
        <f>[9]Финансирование!I845+[9]Финансирование!J845+[9]Финансирование!K845+[9]Финансирование!L845+[9]Финансирование!M845+[9]Финансирование!N845+[9]Финансирование!O845+[9]Финансирование!P845</f>
        <v>22.65</v>
      </c>
      <c r="J845" s="648">
        <f>[9]Финансирование!Q845+[9]Финансирование!T845+[9]Финансирование!U845+[9]Финансирование!V845+[9]Финансирование!W845+[9]Финансирование!X845+[9]Финансирование!Y845+[9]Финансирование!Z845</f>
        <v>2.72</v>
      </c>
      <c r="K845" s="648">
        <f t="shared" si="65"/>
        <v>-8.4376949871511897E-15</v>
      </c>
    </row>
    <row r="846" spans="1:16" x14ac:dyDescent="0.15">
      <c r="A846" s="647" t="str">
        <f>[9]Роспись!A779</f>
        <v>Коммунальные услуги</v>
      </c>
      <c r="B846" s="81" t="str">
        <f>[9]Роспись!B779</f>
        <v>056</v>
      </c>
      <c r="C846" s="81" t="str">
        <f>[9]Роспись!C779</f>
        <v>08</v>
      </c>
      <c r="D846" s="81" t="str">
        <f>[9]Роспись!D779</f>
        <v>04</v>
      </c>
      <c r="E846" s="81" t="str">
        <f>[9]Роспись!E779</f>
        <v>4529902</v>
      </c>
      <c r="F846" s="81" t="str">
        <f>[9]Роспись!F779</f>
        <v>001</v>
      </c>
      <c r="G846" s="81">
        <f>[9]Роспись!G779</f>
        <v>223</v>
      </c>
      <c r="H846" s="648">
        <f>[9]Роспись!H779</f>
        <v>0</v>
      </c>
      <c r="I846" s="648">
        <f>[9]Финансирование!I846+[9]Финансирование!J846+[9]Финансирование!K846+[9]Финансирование!L846+[9]Финансирование!M846+[9]Финансирование!N846+[9]Финансирование!O846+[9]Финансирование!P846</f>
        <v>0</v>
      </c>
      <c r="J846" s="648">
        <f>[9]Финансирование!Q846+[9]Финансирование!T846+[9]Финансирование!U846+[9]Финансирование!V846+[9]Финансирование!W846+[9]Финансирование!X846+[9]Финансирование!Y846+[9]Финансирование!Z846</f>
        <v>0</v>
      </c>
      <c r="K846" s="648">
        <f t="shared" si="65"/>
        <v>0</v>
      </c>
    </row>
    <row r="847" spans="1:16" x14ac:dyDescent="0.15">
      <c r="A847" s="647" t="str">
        <f>[9]Роспись!A780</f>
        <v>Арендная плата</v>
      </c>
      <c r="B847" s="81" t="str">
        <f>[9]Роспись!B780</f>
        <v>056</v>
      </c>
      <c r="C847" s="81" t="str">
        <f>[9]Роспись!C780</f>
        <v>08</v>
      </c>
      <c r="D847" s="81" t="str">
        <f>[9]Роспись!D780</f>
        <v>04</v>
      </c>
      <c r="E847" s="81" t="str">
        <f>[9]Роспись!E780</f>
        <v>4529902</v>
      </c>
      <c r="F847" s="81" t="str">
        <f>[9]Роспись!F780</f>
        <v>001</v>
      </c>
      <c r="G847" s="81">
        <f>[9]Роспись!G780</f>
        <v>224</v>
      </c>
      <c r="H847" s="648">
        <f>[9]Роспись!H780</f>
        <v>0</v>
      </c>
      <c r="I847" s="648">
        <f>[9]Финансирование!I847+[9]Финансирование!J847+[9]Финансирование!K847+[9]Финансирование!L847+[9]Финансирование!M847+[9]Финансирование!N847+[9]Финансирование!O847+[9]Финансирование!P847</f>
        <v>0</v>
      </c>
      <c r="J847" s="648">
        <f>[9]Финансирование!Q847+[9]Финансирование!T847+[9]Финансирование!U847+[9]Финансирование!V847+[9]Финансирование!W847+[9]Финансирование!X847+[9]Финансирование!Y847+[9]Финансирование!Z847</f>
        <v>0</v>
      </c>
      <c r="K847" s="648">
        <f t="shared" si="65"/>
        <v>0</v>
      </c>
    </row>
    <row r="848" spans="1:16" x14ac:dyDescent="0.15">
      <c r="A848" s="647" t="str">
        <f>[9]Роспись!A781</f>
        <v>Услуги по содерж. имущества</v>
      </c>
      <c r="B848" s="81" t="str">
        <f>[9]Роспись!B781</f>
        <v>056</v>
      </c>
      <c r="C848" s="81" t="str">
        <f>[9]Роспись!C781</f>
        <v>08</v>
      </c>
      <c r="D848" s="81" t="str">
        <f>[9]Роспись!D781</f>
        <v>04</v>
      </c>
      <c r="E848" s="81" t="str">
        <f>[9]Роспись!E781</f>
        <v>4529902</v>
      </c>
      <c r="F848" s="81" t="str">
        <f>[9]Роспись!F781</f>
        <v>001</v>
      </c>
      <c r="G848" s="81">
        <f>[9]Роспись!G781</f>
        <v>225</v>
      </c>
      <c r="H848" s="648">
        <f>[9]Роспись!H781</f>
        <v>9502.5</v>
      </c>
      <c r="I848" s="648">
        <f>[9]Финансирование!I848+[9]Финансирование!J848+[9]Финансирование!K848+[9]Финансирование!L848+[9]Финансирование!M848+[9]Финансирование!N848+[9]Финансирование!O848+[9]Финансирование!P848</f>
        <v>9502.5</v>
      </c>
      <c r="J848" s="648">
        <f>[9]Финансирование!Q848+[9]Финансирование!T848+[9]Финансирование!U848+[9]Финансирование!V848+[9]Финансирование!W848+[9]Финансирование!X848+[9]Финансирование!Y848+[9]Финансирование!Z848</f>
        <v>0</v>
      </c>
      <c r="K848" s="648">
        <f t="shared" si="65"/>
        <v>0</v>
      </c>
    </row>
    <row r="849" spans="1:16" x14ac:dyDescent="0.15">
      <c r="A849" s="647" t="str">
        <f>[9]Роспись!A782</f>
        <v>Прочие услуги</v>
      </c>
      <c r="B849" s="81" t="str">
        <f>[9]Роспись!B782</f>
        <v>056</v>
      </c>
      <c r="C849" s="81" t="str">
        <f>[9]Роспись!C782</f>
        <v>08</v>
      </c>
      <c r="D849" s="81" t="str">
        <f>[9]Роспись!D782</f>
        <v>04</v>
      </c>
      <c r="E849" s="81" t="str">
        <f>[9]Роспись!E782</f>
        <v>4529902</v>
      </c>
      <c r="F849" s="81" t="str">
        <f>[9]Роспись!F782</f>
        <v>001</v>
      </c>
      <c r="G849" s="81">
        <f>[9]Роспись!G782</f>
        <v>226</v>
      </c>
      <c r="H849" s="648">
        <f>[9]Роспись!H782</f>
        <v>473</v>
      </c>
      <c r="I849" s="648">
        <f>[9]Финансирование!I849+[9]Финансирование!J849+[9]Финансирование!K849+[9]Финансирование!L849+[9]Финансирование!M849+[9]Финансирование!N849+[9]Финансирование!O849+[9]Финансирование!P849</f>
        <v>473</v>
      </c>
      <c r="J849" s="648">
        <f>[9]Финансирование!Q849+[9]Финансирование!T849+[9]Финансирование!U849+[9]Финансирование!V849+[9]Финансирование!W849+[9]Финансирование!X849+[9]Финансирование!Y849+[9]Финансирование!Z849</f>
        <v>0</v>
      </c>
      <c r="K849" s="648">
        <f t="shared" si="65"/>
        <v>0</v>
      </c>
    </row>
    <row r="850" spans="1:16" x14ac:dyDescent="0.15">
      <c r="A850" s="647" t="str">
        <f>[9]Роспись!A783</f>
        <v xml:space="preserve">Прочие расходы </v>
      </c>
      <c r="B850" s="81" t="str">
        <f>[9]Роспись!B783</f>
        <v>056</v>
      </c>
      <c r="C850" s="81" t="str">
        <f>[9]Роспись!C783</f>
        <v>08</v>
      </c>
      <c r="D850" s="81" t="str">
        <f>[9]Роспись!D783</f>
        <v>04</v>
      </c>
      <c r="E850" s="81" t="str">
        <f>[9]Роспись!E783</f>
        <v>4529902</v>
      </c>
      <c r="F850" s="81" t="str">
        <f>[9]Роспись!F783</f>
        <v>001</v>
      </c>
      <c r="G850" s="81">
        <f>[9]Роспись!G783</f>
        <v>290</v>
      </c>
      <c r="H850" s="648">
        <f>[9]Роспись!H783</f>
        <v>2.5</v>
      </c>
      <c r="I850" s="648">
        <f>[9]Финансирование!I850+[9]Финансирование!J850+[9]Финансирование!K850+[9]Финансирование!L850+[9]Финансирование!M850+[9]Финансирование!N850+[9]Финансирование!O850+[9]Финансирование!P850</f>
        <v>1.26</v>
      </c>
      <c r="J850" s="648">
        <f>[9]Финансирование!Q850+[9]Финансирование!T850+[9]Финансирование!U850+[9]Финансирование!V850+[9]Финансирование!W850+[9]Финансирование!X850+[9]Финансирование!Y850+[9]Финансирование!Z850</f>
        <v>1.2400000000000002</v>
      </c>
      <c r="K850" s="648">
        <f t="shared" si="65"/>
        <v>0</v>
      </c>
    </row>
    <row r="851" spans="1:16" x14ac:dyDescent="0.15">
      <c r="A851" s="647" t="str">
        <f>[9]Роспись!A784</f>
        <v xml:space="preserve">Прочие расходы </v>
      </c>
      <c r="B851" s="81" t="str">
        <f>[9]Роспись!B784</f>
        <v>056</v>
      </c>
      <c r="C851" s="81" t="str">
        <f>[9]Роспись!C784</f>
        <v>08</v>
      </c>
      <c r="D851" s="81" t="str">
        <f>[9]Роспись!D784</f>
        <v>04</v>
      </c>
      <c r="E851" s="81" t="str">
        <f>[9]Роспись!E784</f>
        <v>4529500</v>
      </c>
      <c r="F851" s="81" t="str">
        <f>[9]Роспись!F784</f>
        <v>001</v>
      </c>
      <c r="G851" s="81" t="str">
        <f>[9]Роспись!G784</f>
        <v>290</v>
      </c>
      <c r="H851" s="648">
        <f>[9]Роспись!H784</f>
        <v>1.9</v>
      </c>
      <c r="I851" s="648">
        <f>[9]Финансирование!I851+[9]Финансирование!J851+[9]Финансирование!K851+[9]Финансирование!L851+[9]Финансирование!M851+[9]Финансирование!N851+[9]Финансирование!O851+[9]Финансирование!P851</f>
        <v>0.96</v>
      </c>
      <c r="J851" s="648">
        <f>[9]Финансирование!Q851+[9]Финансирование!T851+[9]Финансирование!U851+[9]Финансирование!V851+[9]Финансирование!W851+[9]Финансирование!X851+[9]Финансирование!Y851+[9]Финансирование!Z851</f>
        <v>0.94</v>
      </c>
      <c r="K851" s="648">
        <f t="shared" si="65"/>
        <v>0</v>
      </c>
    </row>
    <row r="852" spans="1:16" x14ac:dyDescent="0.15">
      <c r="A852" s="647" t="str">
        <f>[9]Роспись!A785</f>
        <v>Увелич. стоимости осн. средств</v>
      </c>
      <c r="B852" s="81" t="str">
        <f>[9]Роспись!B785</f>
        <v>056</v>
      </c>
      <c r="C852" s="81" t="str">
        <f>[9]Роспись!C785</f>
        <v>08</v>
      </c>
      <c r="D852" s="81" t="str">
        <f>[9]Роспись!D785</f>
        <v>04</v>
      </c>
      <c r="E852" s="81" t="str">
        <f>[9]Роспись!E785</f>
        <v>4529902</v>
      </c>
      <c r="F852" s="81" t="str">
        <f>[9]Роспись!F785</f>
        <v>001</v>
      </c>
      <c r="G852" s="81">
        <f>[9]Роспись!G785</f>
        <v>310</v>
      </c>
      <c r="H852" s="648">
        <f>[9]Роспись!H785</f>
        <v>0</v>
      </c>
      <c r="I852" s="648">
        <f>[9]Финансирование!I852+[9]Финансирование!J852+[9]Финансирование!K852+[9]Финансирование!L852+[9]Финансирование!M852+[9]Финансирование!N852+[9]Финансирование!O852+[9]Финансирование!P852</f>
        <v>0</v>
      </c>
      <c r="J852" s="648">
        <f>[9]Финансирование!Q852+[9]Финансирование!T852+[9]Финансирование!U852+[9]Финансирование!V852+[9]Финансирование!W852+[9]Финансирование!X852+[9]Финансирование!Y852+[9]Финансирование!Z852</f>
        <v>0</v>
      </c>
      <c r="K852" s="648">
        <f t="shared" si="65"/>
        <v>0</v>
      </c>
    </row>
    <row r="853" spans="1:16" x14ac:dyDescent="0.15">
      <c r="A853" s="647" t="str">
        <f>[9]Роспись!A786</f>
        <v>Увелич. стоимости матер. запасов</v>
      </c>
      <c r="B853" s="81" t="str">
        <f>[9]Роспись!B786</f>
        <v>056</v>
      </c>
      <c r="C853" s="81" t="str">
        <f>[9]Роспись!C786</f>
        <v>08</v>
      </c>
      <c r="D853" s="81" t="str">
        <f>[9]Роспись!D786</f>
        <v>04</v>
      </c>
      <c r="E853" s="81" t="str">
        <f>[9]Роспись!E786</f>
        <v>4529902</v>
      </c>
      <c r="F853" s="81" t="str">
        <f>[9]Роспись!F786</f>
        <v>001</v>
      </c>
      <c r="G853" s="81">
        <f>[9]Роспись!G786</f>
        <v>340</v>
      </c>
      <c r="H853" s="648">
        <f>[9]Роспись!H786</f>
        <v>115.23</v>
      </c>
      <c r="I853" s="648">
        <f>[9]Финансирование!I853+[9]Финансирование!J853+[9]Финансирование!K853+[9]Финансирование!L853+[9]Финансирование!M853+[9]Финансирование!N853+[9]Финансирование!O853+[9]Финансирование!P853</f>
        <v>16.670000000000002</v>
      </c>
      <c r="J853" s="648">
        <f>[9]Финансирование!Q853+[9]Финансирование!T853+[9]Финансирование!U853+[9]Финансирование!V853+[9]Финансирование!W853+[9]Финансирование!X853+[9]Финансирование!Y853+[9]Финансирование!Z853</f>
        <v>98.56</v>
      </c>
      <c r="K853" s="648">
        <f t="shared" si="65"/>
        <v>0</v>
      </c>
    </row>
    <row r="854" spans="1:16" x14ac:dyDescent="0.15">
      <c r="A854" s="704" t="s">
        <v>98</v>
      </c>
      <c r="B854" s="689" t="s">
        <v>79</v>
      </c>
      <c r="C854" s="689" t="s">
        <v>80</v>
      </c>
      <c r="D854" s="689" t="s">
        <v>935</v>
      </c>
      <c r="E854" s="687" t="str">
        <f>[9]Роспись!E787</f>
        <v>4520000</v>
      </c>
      <c r="F854" s="689" t="s">
        <v>102</v>
      </c>
      <c r="G854" s="705"/>
      <c r="H854" s="650">
        <f>SUM(H841:H853)</f>
        <v>11449.3</v>
      </c>
      <c r="I854" s="676">
        <f>SUM(I841:I853)</f>
        <v>10636.439999999999</v>
      </c>
      <c r="J854" s="676">
        <f>SUM(J841:J853)</f>
        <v>812.8599999999999</v>
      </c>
      <c r="K854" s="651">
        <f>SUM(K841:K853)</f>
        <v>-8.4376949871511897E-15</v>
      </c>
      <c r="L854" s="677">
        <f>I854-I851</f>
        <v>10635.48</v>
      </c>
      <c r="M854" s="677">
        <f>H854-I851</f>
        <v>11448.34</v>
      </c>
      <c r="N854" s="678"/>
      <c r="O854" s="678"/>
      <c r="P854" s="678"/>
    </row>
    <row r="855" spans="1:16" ht="52" x14ac:dyDescent="0.15">
      <c r="A855" s="692" t="str">
        <f>'[9]Новая роспись'!A902</f>
        <v>Субсидия на финансовое обеспечение государственного задания на оказание государственных услуг (выполнение работ)</v>
      </c>
      <c r="B855" s="666"/>
      <c r="C855" s="666"/>
      <c r="D855" s="666"/>
      <c r="E855" s="81"/>
      <c r="F855" s="692">
        <f>'[9]Новая роспись'!F902</f>
        <v>611</v>
      </c>
      <c r="G855" s="692" t="str">
        <f>'[9]Новая роспись'!G902</f>
        <v>241</v>
      </c>
      <c r="H855" s="645">
        <f>'[9]Новая роспись'!H902</f>
        <v>812.86000000000058</v>
      </c>
      <c r="I855" s="648">
        <f>[9]Финансирование!I855+[9]Финансирование!J855+[9]Финансирование!K855+[9]Финансирование!L855+[9]Финансирование!M855+[9]Финансирование!N855+[9]Финансирование!O855+[9]Финансирование!P855+[9]Финансирование!Q855+[9]Финансирование!T855+[9]Финансирование!U855+[9]Финансирование!V855+[9]Финансирование!W855+[9]Финансирование!X855+[9]Финансирование!Y855+[9]Финансирование!Z855</f>
        <v>812.86</v>
      </c>
      <c r="J855" s="648"/>
      <c r="K855" s="648">
        <f>H855-I855</f>
        <v>0</v>
      </c>
      <c r="L855" s="678"/>
      <c r="M855" s="678"/>
      <c r="N855" s="678"/>
      <c r="O855" s="678"/>
      <c r="P855" s="678"/>
    </row>
    <row r="856" spans="1:16" x14ac:dyDescent="0.15">
      <c r="A856" s="78" t="s">
        <v>177</v>
      </c>
      <c r="B856" s="672"/>
      <c r="C856" s="672"/>
      <c r="D856" s="672"/>
      <c r="E856" s="641"/>
      <c r="F856" s="641"/>
      <c r="G856" s="649"/>
      <c r="H856" s="648"/>
      <c r="I856" s="693"/>
      <c r="J856" s="693"/>
      <c r="K856" s="648"/>
      <c r="L856" s="646"/>
      <c r="M856" s="646"/>
      <c r="N856" s="646"/>
      <c r="O856" s="646"/>
      <c r="P856" s="646"/>
    </row>
    <row r="857" spans="1:16" x14ac:dyDescent="0.15">
      <c r="A857" s="647" t="str">
        <f>[9]Роспись!A789</f>
        <v>Заработная плата</v>
      </c>
      <c r="B857" s="81" t="str">
        <f>[9]Роспись!B789</f>
        <v>056</v>
      </c>
      <c r="C857" s="81" t="str">
        <f>[9]Роспись!C789</f>
        <v>08</v>
      </c>
      <c r="D857" s="81" t="str">
        <f>[9]Роспись!D789</f>
        <v>01</v>
      </c>
      <c r="E857" s="81">
        <f>[9]Роспись!E789</f>
        <v>0</v>
      </c>
      <c r="F857" s="81">
        <f>[9]Роспись!F789</f>
        <v>0</v>
      </c>
      <c r="G857" s="81">
        <f>[9]Роспись!G789</f>
        <v>211</v>
      </c>
      <c r="H857" s="648">
        <f t="shared" ref="H857:K869" si="66">H809+H418+H337+H236+H220+H826</f>
        <v>432549.17499999999</v>
      </c>
      <c r="I857" s="693">
        <f t="shared" si="66"/>
        <v>198402.78</v>
      </c>
      <c r="J857" s="693">
        <f>J809+J418+J337+J236+J220+J826</f>
        <v>234146.39500000002</v>
      </c>
      <c r="K857" s="693">
        <f t="shared" si="66"/>
        <v>0</v>
      </c>
      <c r="L857" s="658">
        <f>I857+I841</f>
        <v>198867.74</v>
      </c>
      <c r="M857" s="658">
        <f t="shared" ref="M857:N869" si="67">J857+J841</f>
        <v>234689.73500000002</v>
      </c>
      <c r="N857" s="658">
        <f t="shared" si="67"/>
        <v>0</v>
      </c>
    </row>
    <row r="858" spans="1:16" x14ac:dyDescent="0.15">
      <c r="A858" s="647" t="str">
        <f>[9]Роспись!A790</f>
        <v>Прочие выплаты</v>
      </c>
      <c r="B858" s="81" t="str">
        <f>[9]Роспись!B790</f>
        <v>056</v>
      </c>
      <c r="C858" s="81" t="str">
        <f>[9]Роспись!C790</f>
        <v>08</v>
      </c>
      <c r="D858" s="81" t="str">
        <f>[9]Роспись!D790</f>
        <v>01</v>
      </c>
      <c r="E858" s="81">
        <f>[9]Роспись!E790</f>
        <v>0</v>
      </c>
      <c r="F858" s="81">
        <f>[9]Роспись!F790</f>
        <v>0</v>
      </c>
      <c r="G858" s="81">
        <f>[9]Роспись!G790</f>
        <v>212</v>
      </c>
      <c r="H858" s="648">
        <f t="shared" si="66"/>
        <v>575.80000000000007</v>
      </c>
      <c r="I858" s="693">
        <f t="shared" si="66"/>
        <v>168.31</v>
      </c>
      <c r="J858" s="693">
        <f t="shared" si="66"/>
        <v>290.82</v>
      </c>
      <c r="K858" s="693">
        <f t="shared" si="66"/>
        <v>116.67000000000002</v>
      </c>
      <c r="L858" s="658">
        <f t="shared" ref="L858:L869" si="68">I858+I842</f>
        <v>168.31</v>
      </c>
      <c r="M858" s="658">
        <f t="shared" si="67"/>
        <v>290.82</v>
      </c>
      <c r="N858" s="658">
        <f t="shared" si="67"/>
        <v>116.67000000000002</v>
      </c>
    </row>
    <row r="859" spans="1:16" x14ac:dyDescent="0.15">
      <c r="A859" s="647" t="str">
        <f>[9]Роспись!A791</f>
        <v>Начисления на оплату труда</v>
      </c>
      <c r="B859" s="81" t="str">
        <f>[9]Роспись!B791</f>
        <v>056</v>
      </c>
      <c r="C859" s="81" t="str">
        <f>[9]Роспись!C791</f>
        <v>08</v>
      </c>
      <c r="D859" s="81" t="str">
        <f>[9]Роспись!D791</f>
        <v>01</v>
      </c>
      <c r="E859" s="81">
        <f>[9]Роспись!E791</f>
        <v>0</v>
      </c>
      <c r="F859" s="81">
        <f>[9]Роспись!F791</f>
        <v>0</v>
      </c>
      <c r="G859" s="81">
        <f>[9]Роспись!G791</f>
        <v>213</v>
      </c>
      <c r="H859" s="648">
        <f t="shared" si="66"/>
        <v>129119.07499999998</v>
      </c>
      <c r="I859" s="693">
        <f t="shared" si="66"/>
        <v>64373.145000000011</v>
      </c>
      <c r="J859" s="693">
        <f t="shared" si="66"/>
        <v>64566.209000000003</v>
      </c>
      <c r="K859" s="693">
        <f t="shared" si="66"/>
        <v>179.72099999999941</v>
      </c>
      <c r="L859" s="658">
        <f t="shared" si="68"/>
        <v>64523.585000000014</v>
      </c>
      <c r="M859" s="658">
        <f t="shared" si="67"/>
        <v>64723.587340000005</v>
      </c>
      <c r="N859" s="658">
        <f t="shared" si="67"/>
        <v>179.72099999999941</v>
      </c>
    </row>
    <row r="860" spans="1:16" x14ac:dyDescent="0.15">
      <c r="A860" s="647" t="str">
        <f>[9]Роспись!A792</f>
        <v xml:space="preserve">Оплата услуг связи </v>
      </c>
      <c r="B860" s="81" t="str">
        <f>[9]Роспись!B792</f>
        <v>056</v>
      </c>
      <c r="C860" s="81" t="str">
        <f>[9]Роспись!C792</f>
        <v>08</v>
      </c>
      <c r="D860" s="81" t="str">
        <f>[9]Роспись!D792</f>
        <v>01</v>
      </c>
      <c r="E860" s="81">
        <f>[9]Роспись!E792</f>
        <v>0</v>
      </c>
      <c r="F860" s="81">
        <f>[9]Роспись!F792</f>
        <v>0</v>
      </c>
      <c r="G860" s="81">
        <f>[9]Роспись!G792</f>
        <v>221</v>
      </c>
      <c r="H860" s="648">
        <f t="shared" si="66"/>
        <v>445.363</v>
      </c>
      <c r="I860" s="693">
        <f t="shared" si="66"/>
        <v>100.75</v>
      </c>
      <c r="J860" s="693">
        <f t="shared" si="66"/>
        <v>344.613</v>
      </c>
      <c r="K860" s="693">
        <f t="shared" si="66"/>
        <v>0</v>
      </c>
      <c r="L860" s="658">
        <f t="shared" si="68"/>
        <v>104.75</v>
      </c>
      <c r="M860" s="658">
        <f t="shared" si="67"/>
        <v>353.29466000000002</v>
      </c>
      <c r="N860" s="658">
        <f t="shared" si="67"/>
        <v>0</v>
      </c>
    </row>
    <row r="861" spans="1:16" x14ac:dyDescent="0.15">
      <c r="A861" s="647" t="str">
        <f>[9]Роспись!A793</f>
        <v>Транспортные услуги</v>
      </c>
      <c r="B861" s="81" t="str">
        <f>[9]Роспись!B793</f>
        <v>056</v>
      </c>
      <c r="C861" s="81" t="str">
        <f>[9]Роспись!C793</f>
        <v>08</v>
      </c>
      <c r="D861" s="81" t="str">
        <f>[9]Роспись!D793</f>
        <v>01</v>
      </c>
      <c r="E861" s="81">
        <f>[9]Роспись!E793</f>
        <v>0</v>
      </c>
      <c r="F861" s="81">
        <f>[9]Роспись!F793</f>
        <v>0</v>
      </c>
      <c r="G861" s="81">
        <f>[9]Роспись!G793</f>
        <v>222</v>
      </c>
      <c r="H861" s="648">
        <f>H813+H422+H341+H240+H224+H830</f>
        <v>6876.8419999999996</v>
      </c>
      <c r="I861" s="693">
        <f t="shared" si="66"/>
        <v>1029.3599999999999</v>
      </c>
      <c r="J861" s="693">
        <f t="shared" si="66"/>
        <v>4697.482</v>
      </c>
      <c r="K861" s="693">
        <f t="shared" si="66"/>
        <v>1150</v>
      </c>
      <c r="L861" s="658">
        <f t="shared" si="68"/>
        <v>1052.01</v>
      </c>
      <c r="M861" s="658">
        <f t="shared" si="67"/>
        <v>4700.2020000000002</v>
      </c>
      <c r="N861" s="658">
        <f t="shared" si="67"/>
        <v>1150</v>
      </c>
    </row>
    <row r="862" spans="1:16" x14ac:dyDescent="0.15">
      <c r="A862" s="647" t="str">
        <f>[9]Роспись!A794</f>
        <v>Коммунальные услуги</v>
      </c>
      <c r="B862" s="81" t="str">
        <f>[9]Роспись!B794</f>
        <v>056</v>
      </c>
      <c r="C862" s="81" t="str">
        <f>[9]Роспись!C794</f>
        <v>08</v>
      </c>
      <c r="D862" s="81" t="str">
        <f>[9]Роспись!D794</f>
        <v>01</v>
      </c>
      <c r="E862" s="81">
        <f>[9]Роспись!E794</f>
        <v>0</v>
      </c>
      <c r="F862" s="81">
        <f>[9]Роспись!F794</f>
        <v>0</v>
      </c>
      <c r="G862" s="81">
        <f>[9]Роспись!G794</f>
        <v>223</v>
      </c>
      <c r="H862" s="648">
        <f t="shared" si="66"/>
        <v>11027.701000000001</v>
      </c>
      <c r="I862" s="693">
        <f t="shared" si="66"/>
        <v>4854.04</v>
      </c>
      <c r="J862" s="693">
        <f t="shared" si="66"/>
        <v>5362.9520000000002</v>
      </c>
      <c r="K862" s="693">
        <f t="shared" si="66"/>
        <v>810.70900000000006</v>
      </c>
      <c r="L862" s="658">
        <f t="shared" si="68"/>
        <v>4854.04</v>
      </c>
      <c r="M862" s="658">
        <f t="shared" si="67"/>
        <v>5362.9520000000002</v>
      </c>
      <c r="N862" s="658">
        <f t="shared" si="67"/>
        <v>810.70900000000006</v>
      </c>
    </row>
    <row r="863" spans="1:16" x14ac:dyDescent="0.15">
      <c r="A863" s="647" t="str">
        <f>[9]Роспись!A795</f>
        <v>Арендная плата</v>
      </c>
      <c r="B863" s="81" t="str">
        <f>[9]Роспись!B795</f>
        <v>056</v>
      </c>
      <c r="C863" s="81" t="str">
        <f>[9]Роспись!C795</f>
        <v>08</v>
      </c>
      <c r="D863" s="81" t="str">
        <f>[9]Роспись!D795</f>
        <v>01</v>
      </c>
      <c r="E863" s="81">
        <f>[9]Роспись!E795</f>
        <v>0</v>
      </c>
      <c r="F863" s="81">
        <f>[9]Роспись!F795</f>
        <v>0</v>
      </c>
      <c r="G863" s="81">
        <f>[9]Роспись!G795</f>
        <v>224</v>
      </c>
      <c r="H863" s="648">
        <f t="shared" si="66"/>
        <v>1200</v>
      </c>
      <c r="I863" s="693">
        <f t="shared" si="66"/>
        <v>500</v>
      </c>
      <c r="J863" s="693">
        <f t="shared" si="66"/>
        <v>168.76599999999996</v>
      </c>
      <c r="K863" s="693">
        <f t="shared" si="66"/>
        <v>531.23399999999992</v>
      </c>
      <c r="L863" s="658">
        <f t="shared" si="68"/>
        <v>500</v>
      </c>
      <c r="M863" s="658">
        <f t="shared" si="67"/>
        <v>168.76599999999996</v>
      </c>
      <c r="N863" s="658">
        <f t="shared" si="67"/>
        <v>531.23399999999992</v>
      </c>
    </row>
    <row r="864" spans="1:16" x14ac:dyDescent="0.15">
      <c r="A864" s="647" t="str">
        <f>[9]Роспись!A796</f>
        <v>Услуги по содерж. имущества</v>
      </c>
      <c r="B864" s="81" t="str">
        <f>[9]Роспись!B796</f>
        <v>056</v>
      </c>
      <c r="C864" s="81" t="str">
        <f>[9]Роспись!C796</f>
        <v>08</v>
      </c>
      <c r="D864" s="81" t="str">
        <f>[9]Роспись!D796</f>
        <v>01</v>
      </c>
      <c r="E864" s="81">
        <f>[9]Роспись!E796</f>
        <v>0</v>
      </c>
      <c r="F864" s="81">
        <f>[9]Роспись!F796</f>
        <v>0</v>
      </c>
      <c r="G864" s="81">
        <f>[9]Роспись!G796</f>
        <v>225</v>
      </c>
      <c r="H864" s="648">
        <f t="shared" si="66"/>
        <v>40476.631000000001</v>
      </c>
      <c r="I864" s="693">
        <f t="shared" si="66"/>
        <v>1496</v>
      </c>
      <c r="J864" s="693">
        <f t="shared" si="66"/>
        <v>38978.877000000008</v>
      </c>
      <c r="K864" s="693">
        <f t="shared" si="66"/>
        <v>1.7539999999999054</v>
      </c>
      <c r="L864" s="658">
        <f t="shared" si="68"/>
        <v>10998.5</v>
      </c>
      <c r="M864" s="658">
        <f t="shared" si="67"/>
        <v>38978.877000000008</v>
      </c>
      <c r="N864" s="658">
        <f t="shared" si="67"/>
        <v>1.7539999999999054</v>
      </c>
    </row>
    <row r="865" spans="1:16" x14ac:dyDescent="0.15">
      <c r="A865" s="647" t="str">
        <f>[9]Роспись!A797</f>
        <v>Прочие услуги</v>
      </c>
      <c r="B865" s="81" t="str">
        <f>[9]Роспись!B797</f>
        <v>056</v>
      </c>
      <c r="C865" s="81" t="str">
        <f>[9]Роспись!C797</f>
        <v>08</v>
      </c>
      <c r="D865" s="81" t="str">
        <f>[9]Роспись!D797</f>
        <v>01</v>
      </c>
      <c r="E865" s="81">
        <f>[9]Роспись!E797</f>
        <v>0</v>
      </c>
      <c r="F865" s="81">
        <f>[9]Роспись!F797</f>
        <v>0</v>
      </c>
      <c r="G865" s="81">
        <f>[9]Роспись!G797</f>
        <v>226</v>
      </c>
      <c r="H865" s="648">
        <f>H817+H426+H345+H244+H228+H834</f>
        <v>49930.504000000008</v>
      </c>
      <c r="I865" s="693">
        <f t="shared" si="66"/>
        <v>27810.379999999997</v>
      </c>
      <c r="J865" s="693">
        <f t="shared" si="66"/>
        <v>19455.383000000002</v>
      </c>
      <c r="K865" s="693">
        <f t="shared" si="66"/>
        <v>2664.7410000000009</v>
      </c>
      <c r="L865" s="658">
        <f t="shared" si="68"/>
        <v>28283.379999999997</v>
      </c>
      <c r="M865" s="658">
        <f t="shared" si="67"/>
        <v>19455.383000000002</v>
      </c>
      <c r="N865" s="658">
        <f t="shared" si="67"/>
        <v>2664.7410000000009</v>
      </c>
    </row>
    <row r="866" spans="1:16" x14ac:dyDescent="0.15">
      <c r="A866" s="647" t="str">
        <f>[9]Роспись!A798</f>
        <v xml:space="preserve">Прочие расходы </v>
      </c>
      <c r="B866" s="81" t="str">
        <f>[9]Роспись!B798</f>
        <v>056</v>
      </c>
      <c r="C866" s="81" t="str">
        <f>[9]Роспись!C798</f>
        <v>08</v>
      </c>
      <c r="D866" s="81" t="str">
        <f>[9]Роспись!D798</f>
        <v>01</v>
      </c>
      <c r="E866" s="81">
        <f>[9]Роспись!E798</f>
        <v>0</v>
      </c>
      <c r="F866" s="81">
        <f>[9]Роспись!F798</f>
        <v>0</v>
      </c>
      <c r="G866" s="81">
        <f>[9]Роспись!G798</f>
        <v>290</v>
      </c>
      <c r="H866" s="648">
        <f t="shared" si="66"/>
        <v>744.19999999999993</v>
      </c>
      <c r="I866" s="693">
        <f t="shared" si="66"/>
        <v>346.85999999999996</v>
      </c>
      <c r="J866" s="693">
        <f t="shared" si="66"/>
        <v>388.11500000000001</v>
      </c>
      <c r="K866" s="693">
        <f t="shared" si="66"/>
        <v>9.2249999999999996</v>
      </c>
      <c r="L866" s="658">
        <f t="shared" si="68"/>
        <v>348.11999999999995</v>
      </c>
      <c r="M866" s="658">
        <f t="shared" si="67"/>
        <v>389.35500000000002</v>
      </c>
      <c r="N866" s="658">
        <f t="shared" si="67"/>
        <v>9.2249999999999996</v>
      </c>
    </row>
    <row r="867" spans="1:16" x14ac:dyDescent="0.15">
      <c r="A867" s="647" t="str">
        <f>[9]Роспись!A799</f>
        <v xml:space="preserve">Прочие расходы </v>
      </c>
      <c r="B867" s="81" t="str">
        <f>[9]Роспись!B799</f>
        <v>056</v>
      </c>
      <c r="C867" s="81" t="str">
        <f>[9]Роспись!C799</f>
        <v>08</v>
      </c>
      <c r="D867" s="81" t="str">
        <f>[9]Роспись!D799</f>
        <v>01</v>
      </c>
      <c r="E867" s="81">
        <f>[9]Роспись!E799</f>
        <v>0</v>
      </c>
      <c r="F867" s="81">
        <f>[9]Роспись!F799</f>
        <v>0</v>
      </c>
      <c r="G867" s="81" t="str">
        <f>[9]Роспись!G799</f>
        <v>290</v>
      </c>
      <c r="H867" s="648">
        <f t="shared" si="66"/>
        <v>16785.438999999995</v>
      </c>
      <c r="I867" s="693">
        <f t="shared" si="66"/>
        <v>9177.9799999999977</v>
      </c>
      <c r="J867" s="693">
        <f t="shared" si="66"/>
        <v>7601.3340000000007</v>
      </c>
      <c r="K867" s="693">
        <f t="shared" si="66"/>
        <v>6.1249999999999947</v>
      </c>
      <c r="L867" s="658">
        <f t="shared" si="68"/>
        <v>9178.9399999999969</v>
      </c>
      <c r="M867" s="658">
        <f t="shared" si="67"/>
        <v>7602.2740000000003</v>
      </c>
      <c r="N867" s="658">
        <f t="shared" si="67"/>
        <v>6.1249999999999947</v>
      </c>
    </row>
    <row r="868" spans="1:16" x14ac:dyDescent="0.15">
      <c r="A868" s="647" t="str">
        <f>[9]Роспись!A800</f>
        <v>Увелич. стоимости осн. средств</v>
      </c>
      <c r="B868" s="81" t="str">
        <f>[9]Роспись!B800</f>
        <v>056</v>
      </c>
      <c r="C868" s="81" t="str">
        <f>[9]Роспись!C800</f>
        <v>08</v>
      </c>
      <c r="D868" s="81" t="str">
        <f>[9]Роспись!D800</f>
        <v>01</v>
      </c>
      <c r="E868" s="81">
        <f>[9]Роспись!E800</f>
        <v>0</v>
      </c>
      <c r="F868" s="81">
        <f>[9]Роспись!F800</f>
        <v>0</v>
      </c>
      <c r="G868" s="81">
        <f>[9]Роспись!G800</f>
        <v>310</v>
      </c>
      <c r="H868" s="648">
        <f t="shared" si="66"/>
        <v>16507.873</v>
      </c>
      <c r="I868" s="693">
        <f t="shared" si="66"/>
        <v>720</v>
      </c>
      <c r="J868" s="693">
        <f t="shared" si="66"/>
        <v>9031.4279999999999</v>
      </c>
      <c r="K868" s="693">
        <f t="shared" si="66"/>
        <v>6756.4449999999988</v>
      </c>
      <c r="L868" s="658">
        <f t="shared" si="68"/>
        <v>720</v>
      </c>
      <c r="M868" s="658">
        <f t="shared" si="67"/>
        <v>9031.4279999999999</v>
      </c>
      <c r="N868" s="658">
        <f t="shared" si="67"/>
        <v>6756.4449999999988</v>
      </c>
    </row>
    <row r="869" spans="1:16" x14ac:dyDescent="0.15">
      <c r="A869" s="647" t="str">
        <f>[9]Роспись!A801</f>
        <v>Увелич. стоимости матер. запасов</v>
      </c>
      <c r="B869" s="81" t="str">
        <f>[9]Роспись!B801</f>
        <v>056</v>
      </c>
      <c r="C869" s="81" t="str">
        <f>[9]Роспись!C801</f>
        <v>08</v>
      </c>
      <c r="D869" s="81" t="str">
        <f>[9]Роспись!D801</f>
        <v>01</v>
      </c>
      <c r="E869" s="81">
        <f>[9]Роспись!E801</f>
        <v>0</v>
      </c>
      <c r="F869" s="81">
        <f>[9]Роспись!F801</f>
        <v>0</v>
      </c>
      <c r="G869" s="81">
        <f>[9]Роспись!G801</f>
        <v>340</v>
      </c>
      <c r="H869" s="648">
        <f t="shared" si="66"/>
        <v>5416.4079999999994</v>
      </c>
      <c r="I869" s="693">
        <f t="shared" si="66"/>
        <v>1876.44</v>
      </c>
      <c r="J869" s="693">
        <f t="shared" si="66"/>
        <v>2756.442</v>
      </c>
      <c r="K869" s="693">
        <f t="shared" si="66"/>
        <v>783.52600000000007</v>
      </c>
      <c r="L869" s="658">
        <f t="shared" si="68"/>
        <v>1893.1100000000001</v>
      </c>
      <c r="M869" s="658">
        <f t="shared" si="67"/>
        <v>2855.002</v>
      </c>
      <c r="N869" s="658">
        <f t="shared" si="67"/>
        <v>783.52600000000007</v>
      </c>
    </row>
    <row r="870" spans="1:16" x14ac:dyDescent="0.15">
      <c r="A870" s="78" t="s">
        <v>98</v>
      </c>
      <c r="B870" s="672" t="s">
        <v>79</v>
      </c>
      <c r="C870" s="672" t="s">
        <v>80</v>
      </c>
      <c r="D870" s="672" t="s">
        <v>125</v>
      </c>
      <c r="E870" s="641"/>
      <c r="F870" s="641"/>
      <c r="G870" s="649"/>
      <c r="H870" s="643">
        <f>SUM(H857:H869)</f>
        <v>711655.01099999994</v>
      </c>
      <c r="I870" s="681">
        <f>SUM(I857:I869)</f>
        <v>310856.04499999993</v>
      </c>
      <c r="J870" s="681">
        <f>SUM(J857:J869)</f>
        <v>387788.81600000005</v>
      </c>
      <c r="K870" s="643">
        <f>SUM(K857:K869)</f>
        <v>13010.15</v>
      </c>
      <c r="L870" s="652">
        <f>H839+H822+H431+H350+H249+H233</f>
        <v>711655.01099999994</v>
      </c>
      <c r="M870" s="652">
        <f>I839+I822+I431+I350+I249+I233</f>
        <v>310856.04499999998</v>
      </c>
      <c r="N870" s="652">
        <f>J839+J822+J431+J350+J249+J233</f>
        <v>387788.81599999993</v>
      </c>
      <c r="O870" s="652">
        <f>K839+K822+K431+K350+K249+K233</f>
        <v>13010.15</v>
      </c>
      <c r="P870" s="646"/>
    </row>
    <row r="871" spans="1:16" ht="52" x14ac:dyDescent="0.15">
      <c r="A871" s="736" t="str">
        <f>A823</f>
        <v>Субсидия на финансовое обеспечение государственного задания на оказание государственных услуг (выполнение работ)</v>
      </c>
      <c r="B871" s="672"/>
      <c r="C871" s="672"/>
      <c r="D871" s="672"/>
      <c r="E871" s="641"/>
      <c r="F871" s="737">
        <f>F823</f>
        <v>611</v>
      </c>
      <c r="G871" s="737" t="str">
        <f>G823</f>
        <v>241</v>
      </c>
      <c r="H871" s="643">
        <f>H823+H432+H351+H250+H234</f>
        <v>344521.0450000001</v>
      </c>
      <c r="I871" s="681">
        <f>I823+I432+I351+I250+I234+I840</f>
        <v>334658.27499999997</v>
      </c>
      <c r="J871" s="681"/>
      <c r="K871" s="681">
        <f>K823+K432+K351+K250+K234+K840</f>
        <v>9862.7700000000204</v>
      </c>
      <c r="L871" s="646"/>
      <c r="M871" s="652">
        <f>I870+I909+I854+I20++I899+[9]РЦП!I7+[9]РЦП!I36+I919</f>
        <v>391203.37299999996</v>
      </c>
      <c r="N871" s="646"/>
      <c r="O871" s="646"/>
      <c r="P871" s="646"/>
    </row>
    <row r="872" spans="1:16" ht="13" x14ac:dyDescent="0.15">
      <c r="A872" s="736" t="str">
        <f>A824</f>
        <v>Субсидии на иные цели</v>
      </c>
      <c r="B872" s="672"/>
      <c r="C872" s="672"/>
      <c r="D872" s="672"/>
      <c r="E872" s="641"/>
      <c r="F872" s="737">
        <f>F824</f>
        <v>612</v>
      </c>
      <c r="G872" s="737" t="str">
        <f>G824</f>
        <v>241</v>
      </c>
      <c r="H872" s="738">
        <f>H824+H352+H268</f>
        <v>56277.921000000002</v>
      </c>
      <c r="I872" s="739">
        <f>I824+I352+I268</f>
        <v>49277.921000000002</v>
      </c>
      <c r="J872" s="739"/>
      <c r="K872" s="739">
        <f>K824+K352+K268</f>
        <v>6999.9999999999991</v>
      </c>
      <c r="L872" s="646"/>
      <c r="M872" s="646">
        <v>393546.07299999997</v>
      </c>
      <c r="N872" s="646"/>
      <c r="O872" s="646"/>
      <c r="P872" s="646"/>
    </row>
    <row r="873" spans="1:16" x14ac:dyDescent="0.15">
      <c r="A873" s="3075" t="str">
        <f>[9]Роспись!A803</f>
        <v xml:space="preserve">РЦП «Сохранение и развитие профессионального искусства и народного творчества Дагестана на 2011-2015 годы» </v>
      </c>
      <c r="B873" s="81" t="str">
        <f>[9]Роспись!B803</f>
        <v>056</v>
      </c>
      <c r="C873" s="81" t="str">
        <f>[9]Роспись!C803</f>
        <v>08</v>
      </c>
      <c r="D873" s="81" t="str">
        <f>[9]Роспись!D803</f>
        <v>01</v>
      </c>
      <c r="E873" s="81" t="str">
        <f>[9]Роспись!E803</f>
        <v>5226200</v>
      </c>
      <c r="F873" s="81" t="str">
        <f>[9]Роспись!F803</f>
        <v>001</v>
      </c>
      <c r="G873" s="81" t="str">
        <f>[9]Роспись!G803</f>
        <v>226</v>
      </c>
      <c r="H873" s="740">
        <f>[9]РЦП!H9+[9]РЦП!H10+[9]РЦП!H11+[9]РЦП!H16+[9]РЦП!H17+[9]РЦП!H18+[9]РЦП!H20+[9]РЦП!H22+[9]РЦП!H24</f>
        <v>8810.7999999999993</v>
      </c>
      <c r="I873" s="741">
        <f>[9]РЦП!I9+[9]РЦП!I10+[9]РЦП!I11+[9]РЦП!I16+[9]РЦП!I17+[9]РЦП!I18+[9]РЦП!I20+[9]РЦП!I22+[9]РЦП!I24</f>
        <v>2452.6999999999998</v>
      </c>
      <c r="J873" s="741">
        <f>[9]РЦП!L9+[9]РЦП!L10+[9]РЦП!L11+[9]РЦП!L16+[9]РЦП!L17+[9]РЦП!L18+[9]РЦП!L20+[9]РЦП!L22+[9]РЦП!L24</f>
        <v>5516.2000000000007</v>
      </c>
      <c r="K873" s="648">
        <f>H873-I873-J873</f>
        <v>841.89999999999873</v>
      </c>
      <c r="L873" s="742"/>
      <c r="M873" s="743">
        <f>M872-M871</f>
        <v>2342.7000000000116</v>
      </c>
      <c r="N873" s="742"/>
      <c r="O873" s="742"/>
      <c r="P873" s="742"/>
    </row>
    <row r="874" spans="1:16" x14ac:dyDescent="0.15">
      <c r="A874" s="3085"/>
      <c r="B874" s="81" t="str">
        <f>[9]Роспись!B804</f>
        <v>056</v>
      </c>
      <c r="C874" s="81" t="str">
        <f>[9]Роспись!C804</f>
        <v>08</v>
      </c>
      <c r="D874" s="81" t="str">
        <f>[9]Роспись!D804</f>
        <v>01</v>
      </c>
      <c r="E874" s="81" t="str">
        <f>[9]Роспись!E804</f>
        <v>5226200</v>
      </c>
      <c r="F874" s="81" t="str">
        <f>[9]Роспись!F804</f>
        <v>001</v>
      </c>
      <c r="G874" s="81" t="str">
        <f>[9]Роспись!G804</f>
        <v>225</v>
      </c>
      <c r="H874" s="740">
        <f>[9]РЦП!H19+[9]РЦП!H21+[9]РЦП!H23</f>
        <v>800</v>
      </c>
      <c r="I874" s="741">
        <f>[9]РЦП!I19+[9]РЦП!I21+[9]РЦП!I23</f>
        <v>100</v>
      </c>
      <c r="J874" s="741">
        <f>[9]РЦП!L19+[9]РЦП!L21+[9]РЦП!L23</f>
        <v>100</v>
      </c>
      <c r="K874" s="648">
        <f>H874-I874-J874</f>
        <v>600</v>
      </c>
      <c r="L874" s="742"/>
      <c r="M874" s="742"/>
      <c r="N874" s="742"/>
      <c r="O874" s="742"/>
      <c r="P874" s="742"/>
    </row>
    <row r="875" spans="1:16" x14ac:dyDescent="0.15">
      <c r="A875" s="3076"/>
      <c r="B875" s="81" t="str">
        <f>[9]Роспись!B805</f>
        <v>056</v>
      </c>
      <c r="C875" s="81" t="str">
        <f>[9]Роспись!C805</f>
        <v>08</v>
      </c>
      <c r="D875" s="81" t="str">
        <f>[9]Роспись!D805</f>
        <v>01</v>
      </c>
      <c r="E875" s="81" t="str">
        <f>[9]Роспись!E805</f>
        <v>5226200</v>
      </c>
      <c r="F875" s="81" t="str">
        <f>[9]Роспись!F805</f>
        <v>001</v>
      </c>
      <c r="G875" s="81" t="str">
        <f>[9]Роспись!G805</f>
        <v>310</v>
      </c>
      <c r="H875" s="740">
        <f>[9]РЦП!H12+[9]РЦП!H13+[9]РЦП!H14+[9]РЦП!H15</f>
        <v>200</v>
      </c>
      <c r="I875" s="741">
        <f>[9]РЦП!I12+[9]РЦП!I13+[9]РЦП!I14+[9]РЦП!I15</f>
        <v>0</v>
      </c>
      <c r="J875" s="741">
        <f>[9]РЦП!L12+[9]РЦП!L13+[9]РЦП!L14+[9]РЦП!L15</f>
        <v>0</v>
      </c>
      <c r="K875" s="648">
        <f>H875-I875-J875</f>
        <v>200</v>
      </c>
      <c r="L875" s="742"/>
      <c r="M875" s="742"/>
      <c r="N875" s="742"/>
      <c r="O875" s="742"/>
      <c r="P875" s="742"/>
    </row>
    <row r="876" spans="1:16" ht="13" x14ac:dyDescent="0.15">
      <c r="A876" s="634" t="str">
        <f>'[9]Новая роспись'!A912</f>
        <v>Субсидии на иные цели</v>
      </c>
      <c r="B876" s="634" t="str">
        <f>'[9]Новая роспись'!B912</f>
        <v>056</v>
      </c>
      <c r="C876" s="634" t="str">
        <f>'[9]Новая роспись'!C912</f>
        <v>08</v>
      </c>
      <c r="D876" s="634" t="str">
        <f>'[9]Новая роспись'!D912</f>
        <v>01</v>
      </c>
      <c r="E876" s="634" t="str">
        <f>'[9]Новая роспись'!E912</f>
        <v>5226200</v>
      </c>
      <c r="F876" s="744">
        <f>'[9]Новая роспись'!F912</f>
        <v>612</v>
      </c>
      <c r="G876" s="744" t="str">
        <f>'[9]Новая роспись'!G912</f>
        <v>241</v>
      </c>
      <c r="H876" s="745">
        <f>SUM(H873:H875)</f>
        <v>9810.7999999999993</v>
      </c>
      <c r="I876" s="746">
        <f>SUM(I873:I875)</f>
        <v>2552.6999999999998</v>
      </c>
      <c r="J876" s="746">
        <f>SUM(J873:J875)</f>
        <v>5616.2000000000007</v>
      </c>
      <c r="K876" s="746">
        <f>SUM(K873:K875)</f>
        <v>1641.8999999999987</v>
      </c>
      <c r="L876" s="671"/>
      <c r="M876" s="671"/>
      <c r="N876" s="671"/>
      <c r="O876" s="671"/>
      <c r="P876" s="671"/>
    </row>
    <row r="877" spans="1:16" x14ac:dyDescent="0.15">
      <c r="A877" s="3075" t="str">
        <f>[9]Роспись!A806</f>
        <v xml:space="preserve">РЦП «Сохранение, использование, популяризация и государственная охрана объектов культурного наследия (памятников истории и культуры), расположенных на территории Республики Дагестан, находящихся в собственности Республики Дагестан, на 2011-2016 годы» </v>
      </c>
      <c r="B877" s="81" t="str">
        <f>[9]Роспись!B806</f>
        <v>056</v>
      </c>
      <c r="C877" s="81" t="str">
        <f>[9]Роспись!C806</f>
        <v>08</v>
      </c>
      <c r="D877" s="81" t="str">
        <f>[9]Роспись!D806</f>
        <v>04</v>
      </c>
      <c r="E877" s="81" t="str">
        <f>[9]Роспись!E806</f>
        <v>5226600</v>
      </c>
      <c r="F877" s="81" t="str">
        <f>[9]Роспись!F806</f>
        <v>012</v>
      </c>
      <c r="G877" s="81" t="str">
        <f>[9]Роспись!G806</f>
        <v>226</v>
      </c>
      <c r="H877" s="740">
        <f>[9]РЦП!H4+[9]РЦП!H6</f>
        <v>4580</v>
      </c>
      <c r="I877" s="648">
        <f>[9]РЦП!I4+[9]РЦП!I6</f>
        <v>1570</v>
      </c>
      <c r="J877" s="648">
        <f>[9]РЦП!L4+[9]РЦП!L6</f>
        <v>1440</v>
      </c>
      <c r="K877" s="648">
        <f>H877-I877-J877</f>
        <v>1570</v>
      </c>
      <c r="L877" s="747"/>
      <c r="M877" s="747">
        <f>100+2702.7+7008.1</f>
        <v>9810.7999999999993</v>
      </c>
      <c r="N877" s="747"/>
      <c r="O877" s="747">
        <f>2702.7-2452.7</f>
        <v>250</v>
      </c>
      <c r="P877" s="747"/>
    </row>
    <row r="878" spans="1:16" x14ac:dyDescent="0.15">
      <c r="A878" s="3076"/>
      <c r="B878" s="81" t="str">
        <f>[9]Роспись!B807</f>
        <v>056</v>
      </c>
      <c r="C878" s="81" t="str">
        <f>[9]Роспись!C807</f>
        <v>08</v>
      </c>
      <c r="D878" s="81" t="str">
        <f>[9]Роспись!D807</f>
        <v>04</v>
      </c>
      <c r="E878" s="81" t="str">
        <f>[9]Роспись!E807</f>
        <v>5226600</v>
      </c>
      <c r="F878" s="81" t="str">
        <f>[9]Роспись!F807</f>
        <v>012</v>
      </c>
      <c r="G878" s="81" t="str">
        <f>[9]Роспись!G807</f>
        <v>225</v>
      </c>
      <c r="H878" s="740">
        <f>[9]РЦП!H5</f>
        <v>1700</v>
      </c>
      <c r="I878" s="648">
        <f>[9]Финансирование!I878+[9]Финансирование!J878+[9]Финансирование!K878+[9]Финансирование!L878+[9]Финансирование!M878+[9]Финансирование!N878+[9]Финансирование!O878+[9]Финансирование!P878+[9]Финансирование!Q878+[9]Финансирование!T878+[9]Финансирование!U878+[9]Финансирование!V878+[9]Финансирование!W878+[9]Финансирование!X878+[9]Финансирование!Y878+[9]Финансирование!Z878</f>
        <v>0</v>
      </c>
      <c r="J878" s="648">
        <f>[9]РЦП!L5</f>
        <v>1700</v>
      </c>
      <c r="K878" s="648">
        <f>H878-I878-J878</f>
        <v>0</v>
      </c>
      <c r="L878" s="747"/>
      <c r="M878" s="747"/>
      <c r="N878" s="747"/>
      <c r="O878" s="747"/>
      <c r="P878" s="747"/>
    </row>
    <row r="879" spans="1:16" ht="13" x14ac:dyDescent="0.15">
      <c r="A879" s="633" t="str">
        <f>'[9]Новая роспись'!A917</f>
        <v>Субсидии на иные цели</v>
      </c>
      <c r="B879" s="748" t="str">
        <f>'[9]Новая роспись'!B917</f>
        <v>056</v>
      </c>
      <c r="C879" s="748" t="str">
        <f>'[9]Новая роспись'!C917</f>
        <v>08</v>
      </c>
      <c r="D879" s="748" t="str">
        <f>'[9]Новая роспись'!D917</f>
        <v>04</v>
      </c>
      <c r="E879" s="748" t="str">
        <f>'[9]Новая роспись'!E917</f>
        <v>5226600</v>
      </c>
      <c r="F879" s="633">
        <f>'[9]Новая роспись'!F917</f>
        <v>612</v>
      </c>
      <c r="G879" s="748" t="str">
        <f>'[9]Новая роспись'!G917</f>
        <v>241</v>
      </c>
      <c r="H879" s="749">
        <f>SUM(H877:H878)</f>
        <v>6280</v>
      </c>
      <c r="I879" s="750">
        <f>SUM(I877:I878)</f>
        <v>1570</v>
      </c>
      <c r="J879" s="750">
        <f>SUM(J877:J878)</f>
        <v>3140</v>
      </c>
      <c r="K879" s="750">
        <f>SUM(K877:K878)</f>
        <v>1570</v>
      </c>
      <c r="L879" s="671"/>
      <c r="M879" s="671"/>
      <c r="N879" s="671"/>
      <c r="O879" s="671"/>
      <c r="P879" s="671"/>
    </row>
    <row r="880" spans="1:16" ht="39" x14ac:dyDescent="0.15">
      <c r="A880" s="78" t="str">
        <f>[9]Роспись!A808</f>
        <v xml:space="preserve">РЦП «Развитие национальных отношений в Республике Дагестан на 2011-2015 годы» </v>
      </c>
      <c r="B880" s="81" t="str">
        <f>[9]Роспись!B808</f>
        <v>056</v>
      </c>
      <c r="C880" s="81" t="str">
        <f>[9]Роспись!C808</f>
        <v>01</v>
      </c>
      <c r="D880" s="81" t="str">
        <f>[9]Роспись!D808</f>
        <v>13</v>
      </c>
      <c r="E880" s="81" t="str">
        <f>[9]Роспись!E808</f>
        <v>5225200</v>
      </c>
      <c r="F880" s="81" t="str">
        <f>[9]Роспись!F808</f>
        <v>012</v>
      </c>
      <c r="G880" s="81" t="s">
        <v>198</v>
      </c>
      <c r="H880" s="740">
        <f>[9]РЦП!H35</f>
        <v>3908</v>
      </c>
      <c r="I880" s="741">
        <f>[9]РЦП!I35</f>
        <v>0</v>
      </c>
      <c r="J880" s="648">
        <f>[9]РЦП!L35</f>
        <v>2954</v>
      </c>
      <c r="K880" s="648">
        <f>H880-I880-J880</f>
        <v>954</v>
      </c>
      <c r="L880" s="751"/>
      <c r="M880" s="751"/>
      <c r="N880" s="751"/>
      <c r="O880" s="751"/>
      <c r="P880" s="751"/>
    </row>
    <row r="881" spans="1:16" ht="13" x14ac:dyDescent="0.15">
      <c r="A881" s="451" t="str">
        <f>'[9]Новая роспись'!A922</f>
        <v>Субсидии на иные цели</v>
      </c>
      <c r="B881" s="752" t="str">
        <f>'[9]Новая роспись'!B922</f>
        <v>056</v>
      </c>
      <c r="C881" s="752" t="str">
        <f>'[9]Новая роспись'!C922</f>
        <v>01</v>
      </c>
      <c r="D881" s="752" t="str">
        <f>'[9]Новая роспись'!D922</f>
        <v>13</v>
      </c>
      <c r="E881" s="752" t="str">
        <f>'[9]Новая роспись'!E922</f>
        <v>5225200</v>
      </c>
      <c r="F881" s="451">
        <f>'[9]Новая роспись'!F922</f>
        <v>612</v>
      </c>
      <c r="G881" s="752" t="str">
        <f>'[9]Новая роспись'!G922</f>
        <v>241</v>
      </c>
      <c r="H881" s="753">
        <f>H880</f>
        <v>3908</v>
      </c>
      <c r="I881" s="754">
        <f>I880</f>
        <v>0</v>
      </c>
      <c r="J881" s="754">
        <f>J880</f>
        <v>2954</v>
      </c>
      <c r="K881" s="753">
        <f>K880</f>
        <v>954</v>
      </c>
      <c r="L881" s="671"/>
      <c r="M881" s="671"/>
      <c r="N881" s="671"/>
      <c r="O881" s="671"/>
      <c r="P881" s="671"/>
    </row>
    <row r="882" spans="1:16" x14ac:dyDescent="0.15">
      <c r="A882" s="451"/>
      <c r="B882" s="81" t="str">
        <f>[9]Роспись!B809</f>
        <v>056</v>
      </c>
      <c r="C882" s="81" t="str">
        <f>[9]Роспись!C809</f>
        <v>03</v>
      </c>
      <c r="D882" s="81" t="str">
        <f>[9]Роспись!D809</f>
        <v>10</v>
      </c>
      <c r="E882" s="81" t="str">
        <f>[9]Роспись!E809</f>
        <v>5220900</v>
      </c>
      <c r="F882" s="81" t="str">
        <f>[9]Роспись!F809</f>
        <v>012</v>
      </c>
      <c r="G882" s="81" t="s">
        <v>167</v>
      </c>
      <c r="H882" s="648">
        <f>[9]РЦП!H38+[9]РЦП!H41+[9]РЦП!H44+[9]РЦП!H47+[9]РЦП!H50+[9]РЦП!H53+[9]РЦП!H56+[9]РЦП!H59+[9]РЦП!H62+[9]РЦП!H65+[9]РЦП!H68+[9]РЦП!H71+[9]РЦП!H74+[9]РЦП!H77+[9]РЦП!H80+[9]РЦП!H83+[9]РЦП!H86+[9]РЦП!H89+[9]РЦП!H92+[9]РЦП!H95+[9]РЦП!H98+[9]РЦП!H101+[9]РЦП!H104+[9]РЦП!H107+[9]РЦП!H110</f>
        <v>5644.5070000000005</v>
      </c>
      <c r="I882" s="693">
        <f>[9]РЦП!I38+[9]РЦП!I41+[9]РЦП!I44+[9]РЦП!I47+[9]РЦП!I50+[9]РЦП!I53+[9]РЦП!I56+[9]РЦП!I59+[9]РЦП!I62+[9]РЦП!I65+[9]РЦП!I68+[9]РЦП!I71+[9]РЦП!I74+[9]РЦП!I77+[9]РЦП!I80+[9]РЦП!I83+[9]РЦП!I86+[9]РЦП!I89+[9]РЦП!I92+[9]РЦП!I95+[9]РЦП!I98+[9]РЦП!I101+[9]РЦП!I104+[9]РЦП!I107+[9]РЦП!I110</f>
        <v>41.25</v>
      </c>
      <c r="J882" s="648">
        <f>[9]РЦП!L38+[9]РЦП!L41+[9]РЦП!L44+[9]РЦП!L47+[9]РЦП!L50+[9]РЦП!L53+[9]РЦП!L56+[9]РЦП!L59+[9]РЦП!L62+[9]РЦП!L65+[9]РЦП!L68+[9]РЦП!L71+[9]РЦП!L74+[9]РЦП!L77+[9]РЦП!L80+[9]РЦП!L83+[9]РЦП!L86+[9]РЦП!L89+[9]РЦП!L92+[9]РЦП!L95+[9]РЦП!L98+[9]РЦП!L101+[9]РЦП!L104+[9]РЦП!L107+[9]РЦП!L110</f>
        <v>5236.9570000000003</v>
      </c>
      <c r="K882" s="648">
        <f>H882-I882-J882</f>
        <v>366.30000000000018</v>
      </c>
      <c r="L882" s="755"/>
      <c r="M882" s="755"/>
      <c r="N882" s="755"/>
      <c r="O882" s="755"/>
      <c r="P882" s="755"/>
    </row>
    <row r="883" spans="1:16" x14ac:dyDescent="0.15">
      <c r="A883" s="3075" t="str">
        <f>[9]Роспись!A810</f>
        <v xml:space="preserve">РЦП «Пожарная безопастность в Республике Дагестан на период до 2014 года» </v>
      </c>
      <c r="B883" s="81" t="str">
        <f>[9]Роспись!B810</f>
        <v>056</v>
      </c>
      <c r="C883" s="81" t="str">
        <f>[9]Роспись!C810</f>
        <v>03</v>
      </c>
      <c r="D883" s="81" t="str">
        <f>[9]Роспись!D810</f>
        <v>10</v>
      </c>
      <c r="E883" s="81" t="str">
        <f>[9]Роспись!E810</f>
        <v>5220900</v>
      </c>
      <c r="F883" s="81" t="str">
        <f>[9]Роспись!F810</f>
        <v>012</v>
      </c>
      <c r="G883" s="81" t="str">
        <f>[9]Роспись!G810</f>
        <v>226</v>
      </c>
      <c r="H883" s="648">
        <f>[9]РЦП!H39+[9]РЦП!H42+[9]РЦП!H45+[9]РЦП!H48+[9]РЦП!H51+[9]РЦП!H54+[9]РЦП!H57+[9]РЦП!H60+[9]РЦП!H63+[9]РЦП!H66+[9]РЦП!H69+[9]РЦП!H72+[9]РЦП!H75+[9]РЦП!H78+[9]РЦП!H81+[9]РЦП!H84+[9]РЦП!H87+[9]РЦП!H90+[9]РЦП!H93+[9]РЦП!H96+[9]РЦП!H99+[9]РЦП!H102+[9]РЦП!H105+[9]РЦП!H108+[9]РЦП!H111</f>
        <v>14422.286</v>
      </c>
      <c r="I883" s="693">
        <f>[9]РЦП!I39+[9]РЦП!I42+[9]РЦП!I45+[9]РЦП!I48+[9]РЦП!I51+[9]РЦП!I54+[9]РЦП!I57+[9]РЦП!I60+[9]РЦП!I63+[9]РЦП!I66+[9]РЦП!I69+[9]РЦП!I72+[9]РЦП!I75+[9]РЦП!I78+[9]РЦП!I81+[9]РЦП!I84+[9]РЦП!I87+[9]РЦП!I90+[9]РЦП!I93+[9]РЦП!I96+[9]РЦП!I99+[9]РЦП!I102+[9]РЦП!I105+[9]РЦП!I108+[9]РЦП!I111</f>
        <v>150</v>
      </c>
      <c r="J883" s="648">
        <f>[9]РЦП!L39+[9]РЦП!L42+[9]РЦП!L45+[9]РЦП!L48+[9]РЦП!L51+[9]РЦП!L54+[9]РЦП!L57+[9]РЦП!L60+[9]РЦП!L63+[9]РЦП!L66+[9]РЦП!L69+[9]РЦП!L72+[9]РЦП!L75+[9]РЦП!L78+[9]РЦП!L81+[9]РЦП!L84+[9]РЦП!L87+[9]РЦП!L90+[9]РЦП!L93+[9]РЦП!L96+[9]РЦП!L99+[9]РЦП!L102+[9]РЦП!L105+[9]РЦП!L108+[9]РЦП!L111</f>
        <v>9123.4359999999997</v>
      </c>
      <c r="K883" s="648">
        <f>H883-I883-J883</f>
        <v>5148.8500000000004</v>
      </c>
      <c r="L883" s="755"/>
      <c r="M883" s="755"/>
      <c r="N883" s="755"/>
      <c r="O883" s="755"/>
      <c r="P883" s="755"/>
    </row>
    <row r="884" spans="1:16" x14ac:dyDescent="0.15">
      <c r="A884" s="3076"/>
      <c r="B884" s="81" t="str">
        <f>[9]Роспись!B811</f>
        <v>056</v>
      </c>
      <c r="C884" s="81" t="str">
        <f>[9]Роспись!C811</f>
        <v>03</v>
      </c>
      <c r="D884" s="81" t="str">
        <f>[9]Роспись!D811</f>
        <v>10</v>
      </c>
      <c r="E884" s="81" t="str">
        <f>[9]Роспись!E811</f>
        <v>5220900</v>
      </c>
      <c r="F884" s="81" t="str">
        <f>[9]Роспись!F811</f>
        <v>012</v>
      </c>
      <c r="G884" s="81" t="str">
        <f>[9]Роспись!G811</f>
        <v>310</v>
      </c>
      <c r="H884" s="648">
        <f>[9]РЦП!H40+[9]РЦП!H43+[9]РЦП!H46+[9]РЦП!H49+[9]РЦП!H52+[9]РЦП!H55+[9]РЦП!H58+[9]РЦП!H61+[9]РЦП!H64+[9]РЦП!H67+[9]РЦП!H70+[9]РЦП!H73+[9]РЦП!H76+[9]РЦП!H79+[9]РЦП!H82+[9]РЦП!H85+[9]РЦП!H88+[9]РЦП!H91+[9]РЦП!H94+[9]РЦП!H97+[9]РЦП!H100+[9]РЦП!H103+[9]РЦП!H106+[9]РЦП!H109+[9]РЦП!H112</f>
        <v>2019.2069999999999</v>
      </c>
      <c r="I884" s="693">
        <f>[9]РЦП!I40+[9]РЦП!I43+[9]РЦП!I46+[9]РЦП!I49+[9]РЦП!I52+[9]РЦП!I55+[9]РЦП!I58+[9]РЦП!I61+[9]РЦП!I64+[9]РЦП!I67+[9]РЦП!I70+[9]РЦП!I73+[9]РЦП!I76+[9]РЦП!I79+[9]РЦП!I82+[9]РЦП!I85+[9]РЦП!I88+[9]РЦП!I91+[9]РЦП!I94+[9]РЦП!I97+[9]РЦП!I100+[9]РЦП!I103+[9]РЦП!I106+[9]РЦП!I109+[9]РЦП!I112</f>
        <v>18.75</v>
      </c>
      <c r="J884" s="648">
        <f>[9]РЦП!L40+[9]РЦП!L43+[9]РЦП!L46+[9]РЦП!L49+[9]РЦП!L52+[9]РЦП!L55+[9]РЦП!L58+[9]РЦП!L61+[9]РЦП!L64+[9]РЦП!L67+[9]РЦП!L70+[9]РЦП!L73+[9]РЦП!L76+[9]РЦП!L79+[9]РЦП!L82+[9]РЦП!L85+[9]РЦП!L88+[9]РЦП!L91+[9]РЦП!L94+[9]РЦП!L97+[9]РЦП!L100+[9]РЦП!L103+[9]РЦП!L106+[9]РЦП!L109+[9]РЦП!L112</f>
        <v>1994.107</v>
      </c>
      <c r="K884" s="648">
        <f>H884-I884-J884</f>
        <v>6.3499999999999091</v>
      </c>
      <c r="L884" s="755"/>
      <c r="M884" s="755"/>
      <c r="N884" s="755"/>
      <c r="O884" s="755"/>
      <c r="P884" s="755"/>
    </row>
    <row r="885" spans="1:16" ht="13" x14ac:dyDescent="0.15">
      <c r="A885" s="633" t="str">
        <f>'[9]Новая роспись'!A929</f>
        <v>Субсидии на иные цели</v>
      </c>
      <c r="B885" s="748" t="str">
        <f>'[9]Новая роспись'!B929</f>
        <v>056</v>
      </c>
      <c r="C885" s="748" t="str">
        <f>'[9]Новая роспись'!C929</f>
        <v>03</v>
      </c>
      <c r="D885" s="748" t="str">
        <f>'[9]Новая роспись'!D929</f>
        <v>10</v>
      </c>
      <c r="E885" s="748" t="str">
        <f>'[9]Новая роспись'!E929</f>
        <v>5220900</v>
      </c>
      <c r="F885" s="633">
        <f>'[9]Новая роспись'!F929</f>
        <v>612</v>
      </c>
      <c r="G885" s="748" t="str">
        <f>'[9]Новая роспись'!G929</f>
        <v>241</v>
      </c>
      <c r="H885" s="749">
        <f>SUM(H882:H884)</f>
        <v>22086</v>
      </c>
      <c r="I885" s="750">
        <f>SUM(I882:I884)</f>
        <v>210</v>
      </c>
      <c r="J885" s="750">
        <f>SUM(J882:J884)</f>
        <v>16354.5</v>
      </c>
      <c r="K885" s="750">
        <f>H885-I885-J885</f>
        <v>5521.5</v>
      </c>
      <c r="L885" s="671">
        <v>5521.5</v>
      </c>
      <c r="M885" s="734">
        <f>L885-K885</f>
        <v>0</v>
      </c>
      <c r="N885" s="671"/>
      <c r="O885" s="671"/>
      <c r="P885" s="671"/>
    </row>
    <row r="886" spans="1:16" ht="26" x14ac:dyDescent="0.15">
      <c r="A886" s="78" t="str">
        <f>[9]Роспись!A812</f>
        <v>РЦП "Повышение правовой культуры населения РД на 2011-2014 гг"</v>
      </c>
      <c r="B886" s="81" t="str">
        <f>[9]Роспись!B812</f>
        <v>056</v>
      </c>
      <c r="C886" s="81" t="str">
        <f>[9]Роспись!C812</f>
        <v>01</v>
      </c>
      <c r="D886" s="81" t="str">
        <f>[9]Роспись!D812</f>
        <v>13</v>
      </c>
      <c r="E886" s="81" t="str">
        <f>[9]Роспись!E812</f>
        <v>5220100</v>
      </c>
      <c r="F886" s="81" t="str">
        <f>[9]Роспись!F812</f>
        <v>012</v>
      </c>
      <c r="G886" s="81" t="str">
        <f>[9]Роспись!G812</f>
        <v>310</v>
      </c>
      <c r="H886" s="756">
        <f>[9]Роспись!H812</f>
        <v>150</v>
      </c>
      <c r="I886" s="702">
        <f>[9]Финансирование!I886+[9]Финансирование!J886+[9]Финансирование!K886+[9]Финансирование!L886+[9]Финансирование!M886+[9]Финансирование!N886+[9]Финансирование!O886+[9]Финансирование!P886</f>
        <v>150</v>
      </c>
      <c r="J886" s="702">
        <f>[9]Финансирование!Q886+[9]Финансирование!T886+[9]Финансирование!U886+[9]Финансирование!V886+[9]Финансирование!W886+[9]Финансирование!X886+[9]Финансирование!Y886+[9]Финансирование!Z886</f>
        <v>0</v>
      </c>
      <c r="K886" s="702">
        <f>H886-I886-J886</f>
        <v>0</v>
      </c>
      <c r="L886" s="757"/>
      <c r="M886" s="757"/>
      <c r="N886" s="757"/>
      <c r="O886" s="757"/>
      <c r="P886" s="757"/>
    </row>
    <row r="887" spans="1:16" x14ac:dyDescent="0.15">
      <c r="A887" s="78" t="str">
        <f>'[9]Новая роспись'!A934</f>
        <v>Субсидии на иные цели</v>
      </c>
      <c r="B887" s="758" t="str">
        <f>'[9]Новая роспись'!B934</f>
        <v>056</v>
      </c>
      <c r="C887" s="758" t="str">
        <f>'[9]Новая роспись'!C934</f>
        <v>01</v>
      </c>
      <c r="D887" s="758" t="str">
        <f>'[9]Новая роспись'!D934</f>
        <v>13</v>
      </c>
      <c r="E887" s="758" t="str">
        <f>'[9]Новая роспись'!E934</f>
        <v>5220100</v>
      </c>
      <c r="F887" s="78">
        <f>'[9]Новая роспись'!F934</f>
        <v>612</v>
      </c>
      <c r="G887" s="758" t="str">
        <f>'[9]Новая роспись'!G934</f>
        <v>241</v>
      </c>
      <c r="H887" s="758">
        <f>'[9]Новая роспись'!H934</f>
        <v>0</v>
      </c>
      <c r="I887" s="648"/>
      <c r="J887" s="648">
        <f>SUM(J886)</f>
        <v>0</v>
      </c>
      <c r="K887" s="648">
        <f>H887-I887</f>
        <v>0</v>
      </c>
      <c r="L887" s="671"/>
      <c r="M887" s="671"/>
      <c r="N887" s="671"/>
      <c r="O887" s="671"/>
      <c r="P887" s="671"/>
    </row>
    <row r="888" spans="1:16" x14ac:dyDescent="0.15">
      <c r="A888" s="674" t="str">
        <f>[9]Роспись!A813</f>
        <v>Пособия по социальной  помощи</v>
      </c>
      <c r="B888" s="667" t="str">
        <f>[9]Роспись!B813</f>
        <v>056</v>
      </c>
      <c r="C888" s="667" t="str">
        <f>[9]Роспись!C813</f>
        <v>10</v>
      </c>
      <c r="D888" s="667" t="str">
        <f>[9]Роспись!D813</f>
        <v>04</v>
      </c>
      <c r="E888" s="667" t="str">
        <f>[9]Роспись!E813</f>
        <v>5201320</v>
      </c>
      <c r="F888" s="667" t="str">
        <f>[9]Роспись!F813</f>
        <v>314</v>
      </c>
      <c r="G888" s="667">
        <f>[9]Роспись!G813</f>
        <v>262</v>
      </c>
      <c r="H888" s="650">
        <f>[9]Роспись!H813</f>
        <v>443</v>
      </c>
      <c r="I888" s="676">
        <f>[9]Финансирование!I888+[9]Финансирование!J888+[9]Финансирование!K888+[9]Финансирование!L888+[9]Финансирование!M888+[9]Финансирование!N888+[9]Финансирование!O888+[9]Финансирование!P888+[9]Финансирование!Q888+[9]Финансирование!R888+[9]Финансирование!S888+[9]Финансирование!T888+[9]Финансирование!U888+[9]Финансирование!V888+[9]Финансирование!W888+[9]Финансирование!X888+[9]Финансирование!Y888+[9]Финансирование!Z888</f>
        <v>405.92099999999999</v>
      </c>
      <c r="J888" s="676"/>
      <c r="K888" s="676">
        <f>H888-I888</f>
        <v>37.079000000000008</v>
      </c>
      <c r="L888" s="759"/>
      <c r="M888" s="759"/>
      <c r="N888" s="759"/>
      <c r="O888" s="759"/>
      <c r="P888" s="759"/>
    </row>
    <row r="889" spans="1:16" x14ac:dyDescent="0.15">
      <c r="A889" s="647" t="str">
        <f>[9]Роспись!A814</f>
        <v>Союз писателей РД</v>
      </c>
      <c r="B889" s="81" t="str">
        <f>[9]Роспись!B814</f>
        <v>056</v>
      </c>
      <c r="C889" s="81" t="str">
        <f>[9]Роспись!C814</f>
        <v>08</v>
      </c>
      <c r="D889" s="81" t="str">
        <f>[9]Роспись!D814</f>
        <v>04</v>
      </c>
      <c r="E889" s="81" t="str">
        <f>[9]Роспись!E814</f>
        <v>4510000</v>
      </c>
      <c r="F889" s="81" t="str">
        <f>[9]Роспись!F814</f>
        <v>006</v>
      </c>
      <c r="G889" s="81" t="str">
        <f>[9]Роспись!G814</f>
        <v>242</v>
      </c>
      <c r="H889" s="648">
        <f>[9]Роспись!H814</f>
        <v>3963</v>
      </c>
      <c r="I889" s="648">
        <f>[9]Финансирование!I889+[9]Финансирование!J889+[9]Финансирование!K889+[9]Финансирование!L889+[9]Финансирование!M889+[9]Финансирование!N889+[9]Финансирование!O889+[9]Финансирование!P889+[9]Финансирование!Q889+[9]Финансирование!T889+[9]Финансирование!U889+[9]Финансирование!V889+[9]Финансирование!W889+[9]Финансирование!X889+[9]Финансирование!Y889+[9]Финансирование!Z889</f>
        <v>3963</v>
      </c>
      <c r="J889" s="648"/>
      <c r="K889" s="648">
        <f>H889-I889</f>
        <v>0</v>
      </c>
    </row>
    <row r="890" spans="1:16" x14ac:dyDescent="0.15">
      <c r="A890" s="647" t="str">
        <f>[9]Роспись!A815</f>
        <v>Союз композиторов РД</v>
      </c>
      <c r="B890" s="81" t="str">
        <f>[9]Роспись!B815</f>
        <v>056</v>
      </c>
      <c r="C890" s="81" t="str">
        <f>[9]Роспись!C815</f>
        <v>08</v>
      </c>
      <c r="D890" s="81" t="str">
        <f>[9]Роспись!D815</f>
        <v>04</v>
      </c>
      <c r="E890" s="81" t="str">
        <f>[9]Роспись!E815</f>
        <v>4510000</v>
      </c>
      <c r="F890" s="81" t="str">
        <f>[9]Роспись!F815</f>
        <v>006</v>
      </c>
      <c r="G890" s="81">
        <f>[9]Роспись!G815</f>
        <v>242</v>
      </c>
      <c r="H890" s="648">
        <f>[9]Роспись!H815</f>
        <v>769.1</v>
      </c>
      <c r="I890" s="648">
        <f>[9]Финансирование!I890+[9]Финансирование!J890+[9]Финансирование!K890+[9]Финансирование!L890+[9]Финансирование!M890+[9]Финансирование!N890+[9]Финансирование!O890+[9]Финансирование!P890+[9]Финансирование!Q890+[9]Финансирование!T890+[9]Финансирование!U890+[9]Финансирование!V890+[9]Финансирование!W890+[9]Финансирование!X890+[9]Финансирование!Y890+[9]Финансирование!Z890</f>
        <v>769.09999999999991</v>
      </c>
      <c r="J890" s="648"/>
      <c r="K890" s="648">
        <f t="shared" ref="K890:K898" si="69">H890-I890</f>
        <v>0</v>
      </c>
    </row>
    <row r="891" spans="1:16" x14ac:dyDescent="0.15">
      <c r="A891" s="647" t="str">
        <f>[9]Роспись!A816</f>
        <v>Союз художников РД</v>
      </c>
      <c r="B891" s="81" t="str">
        <f>[9]Роспись!B816</f>
        <v>056</v>
      </c>
      <c r="C891" s="81" t="str">
        <f>[9]Роспись!C816</f>
        <v>08</v>
      </c>
      <c r="D891" s="81" t="str">
        <f>[9]Роспись!D816</f>
        <v>04</v>
      </c>
      <c r="E891" s="81" t="str">
        <f>[9]Роспись!E816</f>
        <v>4510000</v>
      </c>
      <c r="F891" s="81" t="str">
        <f>[9]Роспись!F816</f>
        <v>006</v>
      </c>
      <c r="G891" s="81">
        <f>[9]Роспись!G816</f>
        <v>242</v>
      </c>
      <c r="H891" s="648">
        <f>[9]Роспись!H816</f>
        <v>723.9</v>
      </c>
      <c r="I891" s="648">
        <f>[9]Финансирование!I891+[9]Финансирование!J891+[9]Финансирование!K891+[9]Финансирование!L891+[9]Финансирование!M891+[9]Финансирование!N891+[9]Финансирование!O891+[9]Финансирование!P891+[9]Финансирование!Q891+[9]Финансирование!T891+[9]Финансирование!U891+[9]Финансирование!V891+[9]Финансирование!W891+[9]Финансирование!X891+[9]Финансирование!Y891+[9]Финансирование!Z891</f>
        <v>723.9</v>
      </c>
      <c r="J891" s="648"/>
      <c r="K891" s="648">
        <f t="shared" si="69"/>
        <v>0</v>
      </c>
    </row>
    <row r="892" spans="1:16" x14ac:dyDescent="0.15">
      <c r="A892" s="647" t="str">
        <f>[9]Роспись!A817</f>
        <v>Союз музыкантов РД</v>
      </c>
      <c r="B892" s="81" t="str">
        <f>[9]Роспись!B817</f>
        <v>056</v>
      </c>
      <c r="C892" s="81" t="str">
        <f>[9]Роспись!C817</f>
        <v>08</v>
      </c>
      <c r="D892" s="81" t="str">
        <f>[9]Роспись!D817</f>
        <v>04</v>
      </c>
      <c r="E892" s="81" t="str">
        <f>[9]Роспись!E817</f>
        <v>4510000</v>
      </c>
      <c r="F892" s="81" t="str">
        <f>[9]Роспись!F817</f>
        <v>006</v>
      </c>
      <c r="G892" s="81">
        <f>[9]Роспись!G817</f>
        <v>242</v>
      </c>
      <c r="H892" s="648">
        <f>[9]Роспись!H817</f>
        <v>580.9</v>
      </c>
      <c r="I892" s="648">
        <f>[9]Финансирование!I892+[9]Финансирование!J892+[9]Финансирование!K892+[9]Финансирование!L892+[9]Финансирование!M892+[9]Финансирование!N892+[9]Финансирование!O892+[9]Финансирование!P892+[9]Финансирование!Q892+[9]Финансирование!T892+[9]Финансирование!U892+[9]Финансирование!V892+[9]Финансирование!W892+[9]Финансирование!X892+[9]Финансирование!Y892+[9]Финансирование!Z892</f>
        <v>580.9</v>
      </c>
      <c r="J892" s="648"/>
      <c r="K892" s="648">
        <f t="shared" si="69"/>
        <v>0</v>
      </c>
    </row>
    <row r="893" spans="1:16" x14ac:dyDescent="0.15">
      <c r="A893" s="647" t="str">
        <f>[9]Роспись!A818</f>
        <v>Союз театральных деятелей РД</v>
      </c>
      <c r="B893" s="81" t="str">
        <f>[9]Роспись!B818</f>
        <v>056</v>
      </c>
      <c r="C893" s="81" t="str">
        <f>[9]Роспись!C818</f>
        <v>08</v>
      </c>
      <c r="D893" s="81" t="str">
        <f>[9]Роспись!D818</f>
        <v>04</v>
      </c>
      <c r="E893" s="81" t="str">
        <f>[9]Роспись!E818</f>
        <v>4510000</v>
      </c>
      <c r="F893" s="81" t="str">
        <f>[9]Роспись!F818</f>
        <v>006</v>
      </c>
      <c r="G893" s="81">
        <f>[9]Роспись!G818</f>
        <v>242</v>
      </c>
      <c r="H893" s="648">
        <f>[9]Роспись!H818</f>
        <v>397.3</v>
      </c>
      <c r="I893" s="648">
        <f>[9]Финансирование!I893+[9]Финансирование!J893+[9]Финансирование!K893+[9]Финансирование!L893+[9]Финансирование!M893+[9]Финансирование!N893+[9]Финансирование!O893+[9]Финансирование!P893+[9]Финансирование!Q893+[9]Финансирование!T893+[9]Финансирование!U893+[9]Финансирование!V893+[9]Финансирование!W893+[9]Финансирование!X893+[9]Финансирование!Y893+[9]Финансирование!Z893</f>
        <v>397.30000000000007</v>
      </c>
      <c r="J893" s="648"/>
      <c r="K893" s="648">
        <f t="shared" si="69"/>
        <v>0</v>
      </c>
    </row>
    <row r="894" spans="1:16" x14ac:dyDescent="0.15">
      <c r="A894" s="647" t="str">
        <f>[9]Роспись!A819</f>
        <v>Союз хореографов РД</v>
      </c>
      <c r="B894" s="81" t="str">
        <f>[9]Роспись!B819</f>
        <v>056</v>
      </c>
      <c r="C894" s="81" t="str">
        <f>[9]Роспись!C819</f>
        <v>08</v>
      </c>
      <c r="D894" s="81" t="str">
        <f>[9]Роспись!D819</f>
        <v>04</v>
      </c>
      <c r="E894" s="81" t="str">
        <f>[9]Роспись!E819</f>
        <v>4510000</v>
      </c>
      <c r="F894" s="81" t="str">
        <f>[9]Роспись!F819</f>
        <v>006</v>
      </c>
      <c r="G894" s="81">
        <f>[9]Роспись!G819</f>
        <v>242</v>
      </c>
      <c r="H894" s="648">
        <f>[9]Роспись!H819</f>
        <v>278.60000000000002</v>
      </c>
      <c r="I894" s="648">
        <f>[9]Финансирование!I894+[9]Финансирование!J894+[9]Финансирование!K894+[9]Финансирование!L894+[9]Финансирование!M894+[9]Финансирование!N894+[9]Финансирование!O894+[9]Финансирование!P894+[9]Финансирование!Q894+[9]Финансирование!T894+[9]Финансирование!U894+[9]Финансирование!V894+[9]Финансирование!W894+[9]Финансирование!X894+[9]Финансирование!Y894+[9]Финансирование!Z894</f>
        <v>278.59999999999997</v>
      </c>
      <c r="J894" s="648"/>
      <c r="K894" s="648">
        <f t="shared" si="69"/>
        <v>0</v>
      </c>
    </row>
    <row r="895" spans="1:16" x14ac:dyDescent="0.15">
      <c r="A895" s="647" t="str">
        <f>[9]Роспись!A820</f>
        <v>Союз кинематографистов РД</v>
      </c>
      <c r="B895" s="81" t="str">
        <f>[9]Роспись!B820</f>
        <v>056</v>
      </c>
      <c r="C895" s="81" t="str">
        <f>[9]Роспись!C820</f>
        <v>08</v>
      </c>
      <c r="D895" s="81" t="str">
        <f>[9]Роспись!D820</f>
        <v>04</v>
      </c>
      <c r="E895" s="81" t="str">
        <f>[9]Роспись!E820</f>
        <v>4510000</v>
      </c>
      <c r="F895" s="81" t="str">
        <f>[9]Роспись!F820</f>
        <v>006</v>
      </c>
      <c r="G895" s="81">
        <f>[9]Роспись!G820</f>
        <v>242</v>
      </c>
      <c r="H895" s="648">
        <f>[9]Роспись!H820</f>
        <v>2937.5</v>
      </c>
      <c r="I895" s="648">
        <f>[9]Финансирование!I895+[9]Финансирование!J895+[9]Финансирование!K895+[9]Финансирование!L895+[9]Финансирование!M895+[9]Финансирование!N895+[9]Финансирование!O895+[9]Финансирование!P895+[9]Финансирование!Q895+[9]Финансирование!T895+[9]Финансирование!U895+[9]Финансирование!V895+[9]Финансирование!W895+[9]Финансирование!X895+[9]Финансирование!Y895+[9]Финансирование!Z895</f>
        <v>2937.5</v>
      </c>
      <c r="J895" s="648"/>
      <c r="K895" s="648">
        <f>H895-I895</f>
        <v>0</v>
      </c>
    </row>
    <row r="896" spans="1:16" x14ac:dyDescent="0.15">
      <c r="A896" s="647" t="str">
        <f>[9]Роспись!A821</f>
        <v>Союз женщин РД</v>
      </c>
      <c r="B896" s="81" t="str">
        <f>[9]Роспись!B821</f>
        <v>056</v>
      </c>
      <c r="C896" s="81" t="str">
        <f>[9]Роспись!C821</f>
        <v>08</v>
      </c>
      <c r="D896" s="81" t="str">
        <f>[9]Роспись!D821</f>
        <v>04</v>
      </c>
      <c r="E896" s="81" t="str">
        <f>[9]Роспись!E821</f>
        <v>4510000</v>
      </c>
      <c r="F896" s="81" t="str">
        <f>[9]Роспись!F821</f>
        <v>006</v>
      </c>
      <c r="G896" s="81">
        <f>[9]Роспись!G821</f>
        <v>242</v>
      </c>
      <c r="H896" s="648">
        <f>[9]Роспись!H821</f>
        <v>871</v>
      </c>
      <c r="I896" s="648">
        <f>[9]Финансирование!I896+[9]Финансирование!J896+[9]Финансирование!K896+[9]Финансирование!L896+[9]Финансирование!M896+[9]Финансирование!N896+[9]Финансирование!O896+[9]Финансирование!P896+[9]Финансирование!Q896+[9]Финансирование!T896+[9]Финансирование!U896+[9]Финансирование!V896+[9]Финансирование!W896+[9]Финансирование!X896+[9]Финансирование!Y896+[9]Финансирование!Z896</f>
        <v>871</v>
      </c>
      <c r="J896" s="648"/>
      <c r="K896" s="648">
        <f t="shared" si="69"/>
        <v>0</v>
      </c>
    </row>
    <row r="897" spans="1:16" x14ac:dyDescent="0.15">
      <c r="A897" s="647" t="str">
        <f>[9]Роспись!A822</f>
        <v>Союз журналистов</v>
      </c>
      <c r="B897" s="81" t="str">
        <f>[9]Роспись!B822</f>
        <v>056</v>
      </c>
      <c r="C897" s="81" t="str">
        <f>[9]Роспись!C822</f>
        <v>08</v>
      </c>
      <c r="D897" s="81" t="str">
        <f>[9]Роспись!D822</f>
        <v>04</v>
      </c>
      <c r="E897" s="81" t="str">
        <f>[9]Роспись!E822</f>
        <v>4510000</v>
      </c>
      <c r="F897" s="81" t="str">
        <f>[9]Роспись!F822</f>
        <v>006</v>
      </c>
      <c r="G897" s="81">
        <f>[9]Роспись!G822</f>
        <v>242</v>
      </c>
      <c r="H897" s="648">
        <f>[9]Роспись!H822</f>
        <v>278.10000000000002</v>
      </c>
      <c r="I897" s="648">
        <f>[9]Финансирование!I897+[9]Финансирование!J897+[9]Финансирование!K897+[9]Финансирование!L897+[9]Финансирование!M897+[9]Финансирование!N897+[9]Финансирование!O897+[9]Финансирование!P897+[9]Финансирование!Q897+[9]Финансирование!T897+[9]Финансирование!U897+[9]Финансирование!V897+[9]Финансирование!W897+[9]Финансирование!X897+[9]Финансирование!Y897+[9]Финансирование!Z897</f>
        <v>278.10000000000002</v>
      </c>
      <c r="J897" s="648"/>
      <c r="K897" s="648">
        <f t="shared" si="69"/>
        <v>0</v>
      </c>
    </row>
    <row r="898" spans="1:16" x14ac:dyDescent="0.15">
      <c r="A898" s="647" t="str">
        <f>[9]Роспись!A823</f>
        <v>Союз архитекторов РД</v>
      </c>
      <c r="B898" s="81" t="str">
        <f>[9]Роспись!B823</f>
        <v>056</v>
      </c>
      <c r="C898" s="81" t="str">
        <f>[9]Роспись!C823</f>
        <v>08</v>
      </c>
      <c r="D898" s="81" t="str">
        <f>[9]Роспись!D823</f>
        <v>04</v>
      </c>
      <c r="E898" s="81" t="str">
        <f>[9]Роспись!E823</f>
        <v>4510000</v>
      </c>
      <c r="F898" s="81" t="str">
        <f>[9]Роспись!F823</f>
        <v>006</v>
      </c>
      <c r="G898" s="81">
        <f>[9]Роспись!G823</f>
        <v>242</v>
      </c>
      <c r="H898" s="648">
        <f>[9]Роспись!H823</f>
        <v>310</v>
      </c>
      <c r="I898" s="648">
        <f>[9]Финансирование!I898+[9]Финансирование!J898+[9]Финансирование!K898+[9]Финансирование!L898+[9]Финансирование!M898+[9]Финансирование!N898+[9]Финансирование!O898+[9]Финансирование!P898+[9]Финансирование!Q898+[9]Финансирование!T898+[9]Финансирование!U898+[9]Финансирование!V898+[9]Финансирование!W898+[9]Финансирование!X898+[9]Финансирование!Y898+[9]Финансирование!Z898</f>
        <v>310</v>
      </c>
      <c r="J898" s="648"/>
      <c r="K898" s="648">
        <f t="shared" si="69"/>
        <v>0</v>
      </c>
    </row>
    <row r="899" spans="1:16" x14ac:dyDescent="0.15">
      <c r="A899" s="78" t="s">
        <v>194</v>
      </c>
      <c r="B899" s="641" t="s">
        <v>79</v>
      </c>
      <c r="C899" s="641" t="s">
        <v>80</v>
      </c>
      <c r="D899" s="641" t="s">
        <v>935</v>
      </c>
      <c r="E899" s="666" t="s">
        <v>182</v>
      </c>
      <c r="F899" s="666" t="s">
        <v>183</v>
      </c>
      <c r="G899" s="649">
        <v>242</v>
      </c>
      <c r="H899" s="650">
        <f>SUM(H889:H898)</f>
        <v>11109.4</v>
      </c>
      <c r="I899" s="676">
        <f>SUM(I889:I898)</f>
        <v>11109.4</v>
      </c>
      <c r="J899" s="676"/>
      <c r="K899" s="651">
        <f>SUM(K889:K898)</f>
        <v>0</v>
      </c>
      <c r="L899" s="735"/>
      <c r="M899" s="735"/>
      <c r="N899" s="735"/>
      <c r="O899" s="735"/>
      <c r="P899" s="735"/>
    </row>
    <row r="900" spans="1:16" ht="26" x14ac:dyDescent="0.15">
      <c r="A900" s="674" t="str">
        <f>[9]Роспись!A825</f>
        <v>ОХРАНА объектов(федеральные полномочия)</v>
      </c>
      <c r="B900" s="81"/>
      <c r="C900" s="81"/>
      <c r="D900" s="81"/>
      <c r="E900" s="81"/>
      <c r="F900" s="81"/>
      <c r="G900" s="81"/>
      <c r="H900" s="648">
        <f>[9]Роспись!H825</f>
        <v>0</v>
      </c>
      <c r="I900" s="648">
        <f>[9]Финансирование!I900+[9]Финансирование!J900+[9]Финансирование!K900+[9]Финансирование!L900+[9]Финансирование!M900+[9]Финансирование!N900+[9]Финансирование!O900+[9]Финансирование!P900+[9]Финансирование!Q900+[9]Финансирование!T900+[9]Финансирование!U900+[9]Финансирование!V900+[9]Финансирование!W900+[9]Финансирование!X900+[9]Финансирование!Y900+[9]Финансирование!Z900</f>
        <v>0</v>
      </c>
      <c r="J900" s="648"/>
      <c r="K900" s="673"/>
      <c r="L900" s="760"/>
      <c r="M900" s="760"/>
      <c r="N900" s="760"/>
      <c r="O900" s="760"/>
      <c r="P900" s="760"/>
    </row>
    <row r="901" spans="1:16" x14ac:dyDescent="0.15">
      <c r="A901" s="647" t="str">
        <f>[9]Роспись!A826</f>
        <v>Заработная плата</v>
      </c>
      <c r="B901" s="81" t="str">
        <f>[9]Роспись!B826</f>
        <v>056</v>
      </c>
      <c r="C901" s="81" t="str">
        <f>[9]Роспись!C826</f>
        <v>08</v>
      </c>
      <c r="D901" s="81" t="s">
        <v>125</v>
      </c>
      <c r="E901" s="81" t="str">
        <f>[9]Роспись!E826</f>
        <v>0015300</v>
      </c>
      <c r="F901" s="81" t="str">
        <f>[9]Роспись!F826</f>
        <v>012</v>
      </c>
      <c r="G901" s="81" t="str">
        <f>[9]Роспись!G826</f>
        <v>211</v>
      </c>
      <c r="H901" s="648">
        <f>[9]Роспись!H826</f>
        <v>1604.6</v>
      </c>
      <c r="I901" s="648">
        <f>[9]Финансирование!I901+[9]Финансирование!J901+[9]Финансирование!K901+[9]Финансирование!L901+[9]Финансирование!M901+[9]Финансирование!N901+[9]Финансирование!O901+[9]Финансирование!P901+[9]Финансирование!Q901+[9]Финансирование!T901+[9]Финансирование!U901+[9]Финансирование!V901+[9]Финансирование!W901+[9]Финансирование!X901+[9]Финансирование!Y901+[9]Финансирование!Z901</f>
        <v>1604.6</v>
      </c>
      <c r="J901" s="648"/>
      <c r="K901" s="673">
        <f t="shared" ref="K901:K908" si="70">H901-I901</f>
        <v>0</v>
      </c>
      <c r="L901" s="760"/>
      <c r="M901" s="760"/>
      <c r="N901" s="760"/>
      <c r="O901" s="760"/>
      <c r="P901" s="760"/>
    </row>
    <row r="902" spans="1:16" x14ac:dyDescent="0.15">
      <c r="A902" s="647" t="str">
        <f>[9]Роспись!A827</f>
        <v>Прочие выплаты</v>
      </c>
      <c r="B902" s="81" t="str">
        <f>[9]Роспись!B827</f>
        <v>056</v>
      </c>
      <c r="C902" s="81" t="str">
        <f>[9]Роспись!C827</f>
        <v>08</v>
      </c>
      <c r="D902" s="81" t="s">
        <v>125</v>
      </c>
      <c r="E902" s="81" t="str">
        <f>[9]Роспись!E827</f>
        <v>0015300</v>
      </c>
      <c r="F902" s="81" t="str">
        <f>[9]Роспись!F827</f>
        <v>012</v>
      </c>
      <c r="G902" s="81" t="str">
        <f>[9]Роспись!G827</f>
        <v>212</v>
      </c>
      <c r="H902" s="648">
        <f>[9]Роспись!H827</f>
        <v>12.8</v>
      </c>
      <c r="I902" s="648">
        <f>[9]Финансирование!I902+[9]Финансирование!J902+[9]Финансирование!K902+[9]Финансирование!L902+[9]Финансирование!M902+[9]Финансирование!N902+[9]Финансирование!O902+[9]Финансирование!P902+[9]Финансирование!Q902+[9]Финансирование!T902+[9]Финансирование!U902+[9]Финансирование!V902+[9]Финансирование!W902+[9]Финансирование!X902+[9]Финансирование!Y902+[9]Финансирование!Z902</f>
        <v>12.8</v>
      </c>
      <c r="J902" s="648"/>
      <c r="K902" s="673">
        <f t="shared" si="70"/>
        <v>0</v>
      </c>
      <c r="L902" s="760"/>
      <c r="M902" s="760"/>
      <c r="N902" s="760"/>
      <c r="O902" s="760"/>
      <c r="P902" s="760"/>
    </row>
    <row r="903" spans="1:16" x14ac:dyDescent="0.15">
      <c r="A903" s="647" t="str">
        <f>[9]Роспись!A828</f>
        <v>Начисления на оплату труда</v>
      </c>
      <c r="B903" s="81" t="str">
        <f>[9]Роспись!B828</f>
        <v>056</v>
      </c>
      <c r="C903" s="81" t="str">
        <f>[9]Роспись!C828</f>
        <v>08</v>
      </c>
      <c r="D903" s="81" t="s">
        <v>125</v>
      </c>
      <c r="E903" s="81" t="str">
        <f>[9]Роспись!E828</f>
        <v>0015300</v>
      </c>
      <c r="F903" s="81" t="str">
        <f>[9]Роспись!F828</f>
        <v>012</v>
      </c>
      <c r="G903" s="81" t="str">
        <f>[9]Роспись!G828</f>
        <v>213</v>
      </c>
      <c r="H903" s="648">
        <f>[9]Роспись!H828</f>
        <v>484.6</v>
      </c>
      <c r="I903" s="648">
        <f>[9]Финансирование!I903+[9]Финансирование!J903+[9]Финансирование!K903+[9]Финансирование!L903+[9]Финансирование!M903+[9]Финансирование!N903+[9]Финансирование!O903+[9]Финансирование!P903+[9]Финансирование!Q903+[9]Финансирование!T903+[9]Финансирование!U903+[9]Финансирование!V903+[9]Финансирование!W903+[9]Финансирование!X903+[9]Финансирование!Y903+[9]Финансирование!Z903</f>
        <v>484.6</v>
      </c>
      <c r="J903" s="648"/>
      <c r="K903" s="673">
        <f t="shared" si="70"/>
        <v>0</v>
      </c>
      <c r="L903" s="760"/>
      <c r="M903" s="760"/>
      <c r="N903" s="760"/>
      <c r="O903" s="760"/>
      <c r="P903" s="760"/>
    </row>
    <row r="904" spans="1:16" x14ac:dyDescent="0.15">
      <c r="A904" s="647" t="str">
        <f>[9]Роспись!A829</f>
        <v>Транспортные услуги</v>
      </c>
      <c r="B904" s="81" t="str">
        <f>[9]Роспись!B829</f>
        <v>056</v>
      </c>
      <c r="C904" s="81" t="str">
        <f>[9]Роспись!C829</f>
        <v>08</v>
      </c>
      <c r="D904" s="81" t="s">
        <v>125</v>
      </c>
      <c r="E904" s="81" t="str">
        <f>[9]Роспись!E829</f>
        <v>0015300</v>
      </c>
      <c r="F904" s="81" t="str">
        <f>[9]Роспись!F829</f>
        <v>012</v>
      </c>
      <c r="G904" s="81" t="str">
        <f>[9]Роспись!G829</f>
        <v>222</v>
      </c>
      <c r="H904" s="648">
        <f>[9]Роспись!H829</f>
        <v>20.391000000000005</v>
      </c>
      <c r="I904" s="648">
        <f>[9]Финансирование!I904+[9]Финансирование!J904+[9]Финансирование!K904+[9]Финансирование!L904+[9]Финансирование!M904+[9]Финансирование!N904+[9]Финансирование!O904+[9]Финансирование!P904+[9]Финансирование!Q904+[9]Финансирование!T904+[9]Финансирование!U904+[9]Финансирование!V904+[9]Финансирование!W904+[9]Финансирование!X904+[9]Финансирование!Y904+[9]Финансирование!Z904</f>
        <v>20.391000000000005</v>
      </c>
      <c r="J904" s="648"/>
      <c r="K904" s="673">
        <f t="shared" si="70"/>
        <v>0</v>
      </c>
      <c r="L904" s="760"/>
      <c r="M904" s="760"/>
      <c r="N904" s="760"/>
      <c r="O904" s="760"/>
      <c r="P904" s="760"/>
    </row>
    <row r="905" spans="1:16" x14ac:dyDescent="0.15">
      <c r="A905" s="647" t="str">
        <f>[9]Роспись!A830</f>
        <v>Услуги по содерж. имущества</v>
      </c>
      <c r="B905" s="81" t="str">
        <f>[9]Роспись!B830</f>
        <v>056</v>
      </c>
      <c r="C905" s="81" t="str">
        <f>[9]Роспись!C830</f>
        <v>08</v>
      </c>
      <c r="D905" s="81" t="s">
        <v>125</v>
      </c>
      <c r="E905" s="81" t="str">
        <f>[9]Роспись!E830</f>
        <v>0015300</v>
      </c>
      <c r="F905" s="81" t="str">
        <f>[9]Роспись!F830</f>
        <v>012</v>
      </c>
      <c r="G905" s="81" t="str">
        <f>[9]Роспись!G830</f>
        <v>225</v>
      </c>
      <c r="H905" s="648">
        <f>[9]Роспись!H830</f>
        <v>50</v>
      </c>
      <c r="I905" s="648">
        <f>[9]Финансирование!I905+[9]Финансирование!J905+[9]Финансирование!K905+[9]Финансирование!L905+[9]Финансирование!M905+[9]Финансирование!N905+[9]Финансирование!O905+[9]Финансирование!P905+[9]Финансирование!Q905+[9]Финансирование!T905+[9]Финансирование!U905+[9]Финансирование!V905+[9]Финансирование!W905+[9]Финансирование!X905+[9]Финансирование!Y905+[9]Финансирование!Z905</f>
        <v>50</v>
      </c>
      <c r="J905" s="648"/>
      <c r="K905" s="673">
        <f t="shared" si="70"/>
        <v>0</v>
      </c>
      <c r="L905" s="760"/>
      <c r="M905" s="760"/>
      <c r="N905" s="760"/>
      <c r="O905" s="760"/>
      <c r="P905" s="760"/>
    </row>
    <row r="906" spans="1:16" x14ac:dyDescent="0.15">
      <c r="A906" s="647" t="str">
        <f>[9]Роспись!A831</f>
        <v>Прочие услуги</v>
      </c>
      <c r="B906" s="81" t="str">
        <f>[9]Роспись!B831</f>
        <v>056</v>
      </c>
      <c r="C906" s="81" t="str">
        <f>[9]Роспись!C831</f>
        <v>08</v>
      </c>
      <c r="D906" s="81" t="s">
        <v>125</v>
      </c>
      <c r="E906" s="81" t="str">
        <f>[9]Роспись!E831</f>
        <v>0015300</v>
      </c>
      <c r="F906" s="81" t="str">
        <f>[9]Роспись!F831</f>
        <v>012</v>
      </c>
      <c r="G906" s="81" t="str">
        <f>[9]Роспись!G831</f>
        <v>226</v>
      </c>
      <c r="H906" s="648">
        <f>[9]Роспись!H831</f>
        <v>635</v>
      </c>
      <c r="I906" s="648">
        <f>[9]Финансирование!I906+[9]Финансирование!J906+[9]Финансирование!K906+[9]Финансирование!L906+[9]Финансирование!M906+[9]Финансирование!N906+[9]Финансирование!O906+[9]Финансирование!P906+[9]Финансирование!Q906+[9]Финансирование!T906+[9]Финансирование!U906+[9]Финансирование!V906+[9]Финансирование!W906+[9]Финансирование!X906+[9]Финансирование!Y906+[9]Финансирование!Z906</f>
        <v>635</v>
      </c>
      <c r="J906" s="648"/>
      <c r="K906" s="673">
        <f t="shared" si="70"/>
        <v>0</v>
      </c>
      <c r="L906" s="760"/>
      <c r="M906" s="760"/>
      <c r="N906" s="760"/>
      <c r="O906" s="760"/>
      <c r="P906" s="760"/>
    </row>
    <row r="907" spans="1:16" x14ac:dyDescent="0.15">
      <c r="A907" s="647" t="str">
        <f>[9]Роспись!A832</f>
        <v>Увелич. стоимости осн. средств</v>
      </c>
      <c r="B907" s="81" t="str">
        <f>[9]Роспись!B832</f>
        <v>056</v>
      </c>
      <c r="C907" s="81" t="str">
        <f>[9]Роспись!C832</f>
        <v>08</v>
      </c>
      <c r="D907" s="81" t="s">
        <v>125</v>
      </c>
      <c r="E907" s="81" t="str">
        <f>[9]Роспись!E832</f>
        <v>0015300</v>
      </c>
      <c r="F907" s="81" t="str">
        <f>[9]Роспись!F832</f>
        <v>012</v>
      </c>
      <c r="G907" s="81" t="str">
        <f>[9]Роспись!G832</f>
        <v>310</v>
      </c>
      <c r="H907" s="648">
        <f>[9]Роспись!H832</f>
        <v>224.5</v>
      </c>
      <c r="I907" s="648">
        <f>[9]Финансирование!I907+[9]Финансирование!J907+[9]Финансирование!K907+[9]Финансирование!L907+[9]Финансирование!M907+[9]Финансирование!N907+[9]Финансирование!O907+[9]Финансирование!P907+[9]Финансирование!Q907+[9]Финансирование!T907+[9]Финансирование!U907+[9]Финансирование!V907+[9]Финансирование!W907+[9]Финансирование!X907+[9]Финансирование!Y907+[9]Финансирование!Z907</f>
        <v>224.5</v>
      </c>
      <c r="J907" s="648"/>
      <c r="K907" s="673">
        <f t="shared" si="70"/>
        <v>0</v>
      </c>
      <c r="L907" s="760"/>
      <c r="M907" s="760"/>
      <c r="N907" s="760"/>
      <c r="O907" s="760"/>
      <c r="P907" s="760"/>
    </row>
    <row r="908" spans="1:16" x14ac:dyDescent="0.15">
      <c r="A908" s="647" t="str">
        <f>[9]Роспись!A833</f>
        <v>Увелич. стоимости матер. запасов</v>
      </c>
      <c r="B908" s="81" t="str">
        <f>[9]Роспись!B833</f>
        <v>056</v>
      </c>
      <c r="C908" s="81" t="str">
        <f>[9]Роспись!C833</f>
        <v>08</v>
      </c>
      <c r="D908" s="81" t="s">
        <v>125</v>
      </c>
      <c r="E908" s="81" t="str">
        <f>[9]Роспись!E833</f>
        <v>0015300</v>
      </c>
      <c r="F908" s="81" t="str">
        <f>[9]Роспись!F833</f>
        <v>012</v>
      </c>
      <c r="G908" s="81" t="str">
        <f>[9]Роспись!G833</f>
        <v>340</v>
      </c>
      <c r="H908" s="648">
        <f>[9]Роспись!H833</f>
        <v>216.809</v>
      </c>
      <c r="I908" s="648">
        <f>[9]Финансирование!I908+[9]Финансирование!J908+[9]Финансирование!K908+[9]Финансирование!L908+[9]Финансирование!M908+[9]Финансирование!N908+[9]Финансирование!O908+[9]Финансирование!P908+[9]Финансирование!Q908+[9]Финансирование!T908+[9]Финансирование!U908+[9]Финансирование!V908+[9]Финансирование!W908+[9]Финансирование!X908+[9]Финансирование!Y908+[9]Финансирование!Z908</f>
        <v>216.809</v>
      </c>
      <c r="J908" s="648"/>
      <c r="K908" s="673">
        <f t="shared" si="70"/>
        <v>0</v>
      </c>
      <c r="L908" s="760"/>
      <c r="M908" s="760"/>
      <c r="N908" s="760"/>
      <c r="O908" s="760"/>
      <c r="P908" s="760"/>
    </row>
    <row r="909" spans="1:16" x14ac:dyDescent="0.15">
      <c r="A909" s="647" t="str">
        <f>[9]Роспись!A834</f>
        <v>Всего расходов</v>
      </c>
      <c r="B909" s="81" t="str">
        <f>[9]Роспись!B834</f>
        <v>056</v>
      </c>
      <c r="C909" s="81" t="str">
        <f>[9]Роспись!C834</f>
        <v>08</v>
      </c>
      <c r="D909" s="81" t="s">
        <v>125</v>
      </c>
      <c r="E909" s="81" t="str">
        <f>[9]Роспись!E834</f>
        <v>0015300</v>
      </c>
      <c r="F909" s="81" t="str">
        <f>[9]Роспись!F834</f>
        <v>012</v>
      </c>
      <c r="G909" s="81">
        <f>[9]Роспись!G834</f>
        <v>0</v>
      </c>
      <c r="H909" s="650">
        <f>SUM(H901:H908)</f>
        <v>3248.7000000000003</v>
      </c>
      <c r="I909" s="676">
        <f>SUM(I901:I908)</f>
        <v>3248.7000000000003</v>
      </c>
      <c r="J909" s="676"/>
      <c r="K909" s="681">
        <f>SUM(K901:K908)</f>
        <v>0</v>
      </c>
      <c r="L909" s="760"/>
      <c r="M909" s="760"/>
      <c r="N909" s="760"/>
      <c r="O909" s="760"/>
      <c r="P909" s="760"/>
    </row>
    <row r="910" spans="1:16" x14ac:dyDescent="0.15">
      <c r="A910" s="3077" t="str">
        <f>[9]Роспись!A835</f>
        <v>РЦП "Комплексные меры противодействия злоупотреблению наркотическими средствами и ихнезаконному обороту в 2010 - 2014 годы"</v>
      </c>
      <c r="B910" s="81" t="str">
        <f>[9]Роспись!B835</f>
        <v>056</v>
      </c>
      <c r="C910" s="81" t="str">
        <f>[9]Роспись!C835</f>
        <v>09</v>
      </c>
      <c r="D910" s="81" t="s">
        <v>125</v>
      </c>
      <c r="E910" s="81" t="str">
        <f>[9]Роспись!E835</f>
        <v>5223900</v>
      </c>
      <c r="F910" s="81" t="str">
        <f>[9]Роспись!F835</f>
        <v>079</v>
      </c>
      <c r="G910" s="81" t="str">
        <f>[9]Роспись!G835</f>
        <v>226</v>
      </c>
      <c r="H910" s="648">
        <f>[9]Роспись!H835</f>
        <v>266.8</v>
      </c>
      <c r="I910" s="648">
        <f>[9]Финансирование!I910+[9]Финансирование!J910+[9]Финансирование!K910+[9]Финансирование!L910+[9]Финансирование!M910+[9]Финансирование!N910+[9]Финансирование!O910+[9]Финансирование!P910</f>
        <v>0</v>
      </c>
      <c r="J910" s="648">
        <f>'[9]21 счет'!I57</f>
        <v>266.8</v>
      </c>
      <c r="K910" s="648">
        <f>H910-I910-J910</f>
        <v>0</v>
      </c>
      <c r="L910" s="761"/>
      <c r="M910" s="761"/>
      <c r="N910" s="761"/>
      <c r="O910" s="761"/>
      <c r="P910" s="761"/>
    </row>
    <row r="911" spans="1:16" x14ac:dyDescent="0.15">
      <c r="A911" s="3078"/>
      <c r="B911" s="81" t="str">
        <f>[9]Роспись!B836</f>
        <v>056</v>
      </c>
      <c r="C911" s="81" t="str">
        <f>[9]Роспись!C836</f>
        <v>09</v>
      </c>
      <c r="D911" s="81" t="s">
        <v>101</v>
      </c>
      <c r="E911" s="81" t="str">
        <f>[9]Роспись!E836</f>
        <v>5223900</v>
      </c>
      <c r="F911" s="81" t="str">
        <f>[9]Роспись!F836</f>
        <v>079</v>
      </c>
      <c r="G911" s="81" t="str">
        <f>[9]Роспись!G836</f>
        <v>310</v>
      </c>
      <c r="H911" s="648">
        <f>[9]Роспись!H836</f>
        <v>20</v>
      </c>
      <c r="I911" s="648">
        <f>[9]Финансирование!I911+[9]Финансирование!J911+[9]Финансирование!K911+[9]Финансирование!L911+[9]Финансирование!M911+[9]Финансирование!N911+[9]Финансирование!O911+[9]Финансирование!P911</f>
        <v>0</v>
      </c>
      <c r="J911" s="648">
        <f>'[9]21 счет'!I119</f>
        <v>20</v>
      </c>
      <c r="K911" s="648">
        <f>H911-I911-J911</f>
        <v>0</v>
      </c>
      <c r="L911" s="761"/>
      <c r="M911" s="761"/>
      <c r="N911" s="761"/>
      <c r="O911" s="761"/>
      <c r="P911" s="761"/>
    </row>
    <row r="912" spans="1:16" x14ac:dyDescent="0.15">
      <c r="A912" s="762" t="str">
        <f>'[9]Новая роспись'!A937</f>
        <v>Субсидии на иные цели</v>
      </c>
      <c r="B912" s="762" t="str">
        <f>'[9]Новая роспись'!B937</f>
        <v>056</v>
      </c>
      <c r="C912" s="762" t="str">
        <f>'[9]Новая роспись'!C937</f>
        <v>09</v>
      </c>
      <c r="D912" s="762" t="str">
        <f>'[9]Новая роспись'!D937</f>
        <v>09</v>
      </c>
      <c r="E912" s="762" t="str">
        <f>'[9]Новая роспись'!E937</f>
        <v>5223900</v>
      </c>
      <c r="F912" s="762" t="str">
        <f>'[9]Новая роспись'!F937</f>
        <v>612</v>
      </c>
      <c r="G912" s="762" t="str">
        <f>'[9]Новая роспись'!G937</f>
        <v>241</v>
      </c>
      <c r="H912" s="763">
        <f>'[9]Новая роспись'!H937</f>
        <v>286.8</v>
      </c>
      <c r="I912" s="702">
        <f>SUM(I910:I911)</f>
        <v>0</v>
      </c>
      <c r="J912" s="702">
        <f>SUM(J910:J911)</f>
        <v>286.8</v>
      </c>
      <c r="K912" s="702">
        <f>H912-I912-J912</f>
        <v>0</v>
      </c>
      <c r="L912" s="764"/>
      <c r="M912" s="764"/>
      <c r="N912" s="764"/>
      <c r="O912" s="764"/>
      <c r="P912" s="764"/>
    </row>
    <row r="913" spans="1:16" x14ac:dyDescent="0.15">
      <c r="A913" s="647" t="str">
        <f>[9]Роспись!A837</f>
        <v>Матер. помощь</v>
      </c>
      <c r="B913" s="647" t="str">
        <f>[9]Роспись!B837</f>
        <v>056</v>
      </c>
      <c r="C913" s="647" t="str">
        <f>[9]Роспись!C837</f>
        <v>10</v>
      </c>
      <c r="D913" s="647" t="str">
        <f>[9]Роспись!D837</f>
        <v>03</v>
      </c>
      <c r="E913" s="647" t="str">
        <f>[9]Роспись!E837</f>
        <v>5058600</v>
      </c>
      <c r="F913" s="647" t="str">
        <f>[9]Роспись!F837</f>
        <v>005</v>
      </c>
      <c r="G913" s="647" t="str">
        <f>[9]Роспись!G837</f>
        <v>262</v>
      </c>
      <c r="H913" s="756">
        <f>[9]Роспись!H837</f>
        <v>1300</v>
      </c>
      <c r="I913" s="702">
        <f>[9]Финансирование!I913+[9]Финансирование!J913+[9]Финансирование!K913+[9]Финансирование!L913+[9]Финансирование!M913+[9]Финансирование!N913+[9]Финансирование!O913+[9]Финансирование!P913+[9]Финансирование!Q913+[9]Финансирование!T913+[9]Финансирование!U913+[9]Финансирование!V913+[9]Финансирование!W913+[9]Финансирование!X913+[9]Финансирование!Y913+[9]Финансирование!Z913</f>
        <v>1300</v>
      </c>
      <c r="J913" s="702"/>
      <c r="K913" s="708">
        <f>H913-I913</f>
        <v>0</v>
      </c>
      <c r="L913" s="760"/>
      <c r="M913" s="760"/>
      <c r="N913" s="760"/>
      <c r="O913" s="760"/>
      <c r="P913" s="760"/>
    </row>
    <row r="914" spans="1:16" x14ac:dyDescent="0.15">
      <c r="A914" s="3077" t="str">
        <f>[9]Роспись!A838</f>
        <v>РЦП "Патриотическое воспитание граждан в Республике Дагестан на 2011-2015 годы"</v>
      </c>
      <c r="B914" s="647" t="str">
        <f>[9]Роспись!B838</f>
        <v>056</v>
      </c>
      <c r="C914" s="647" t="str">
        <f>[9]Роспись!C838</f>
        <v>07</v>
      </c>
      <c r="D914" s="647" t="str">
        <f>[9]Роспись!D838</f>
        <v>07</v>
      </c>
      <c r="E914" s="647" t="str">
        <f>[9]Роспись!E838</f>
        <v>5222900</v>
      </c>
      <c r="F914" s="647" t="str">
        <f>[9]Роспись!F838</f>
        <v>447</v>
      </c>
      <c r="G914" s="647" t="str">
        <f>[9]Роспись!G838</f>
        <v>222</v>
      </c>
      <c r="H914" s="740">
        <f>[9]Роспись!H838</f>
        <v>100</v>
      </c>
      <c r="I914" s="648">
        <f>[9]Финансирование!I914+[9]Финансирование!J914+[9]Финансирование!K914+[9]Финансирование!L914+[9]Финансирование!M914+[9]Финансирование!N914+[9]Финансирование!O914+[9]Финансирование!P914</f>
        <v>0</v>
      </c>
      <c r="J914" s="648">
        <f>'[9]21 счет'!I59</f>
        <v>100</v>
      </c>
      <c r="K914" s="648">
        <f>H914-I914-J914</f>
        <v>0</v>
      </c>
      <c r="L914" s="765"/>
      <c r="M914" s="765"/>
      <c r="N914" s="765"/>
      <c r="O914" s="765"/>
      <c r="P914" s="765"/>
    </row>
    <row r="915" spans="1:16" x14ac:dyDescent="0.15">
      <c r="A915" s="3079"/>
      <c r="B915" s="647" t="str">
        <f>[9]Роспись!B839</f>
        <v>056</v>
      </c>
      <c r="C915" s="647" t="str">
        <f>[9]Роспись!C839</f>
        <v>07</v>
      </c>
      <c r="D915" s="647" t="str">
        <f>[9]Роспись!D839</f>
        <v>07</v>
      </c>
      <c r="E915" s="647" t="str">
        <f>[9]Роспись!E839</f>
        <v>5222900</v>
      </c>
      <c r="F915" s="647" t="str">
        <f>[9]Роспись!F839</f>
        <v>447</v>
      </c>
      <c r="G915" s="647" t="str">
        <f>[9]Роспись!G839</f>
        <v>226</v>
      </c>
      <c r="H915" s="740">
        <f>[9]Роспись!H839</f>
        <v>70</v>
      </c>
      <c r="I915" s="648">
        <f>[9]Финансирование!I915+[9]Финансирование!J915+[9]Финансирование!K915+[9]Финансирование!L915+[9]Финансирование!M915+[9]Финансирование!N915+[9]Финансирование!O915+[9]Финансирование!P915</f>
        <v>0</v>
      </c>
      <c r="J915" s="648">
        <f>'[9]21 счет'!I60</f>
        <v>70</v>
      </c>
      <c r="K915" s="648">
        <f>H915-I915-J915</f>
        <v>0</v>
      </c>
      <c r="L915" s="765"/>
      <c r="M915" s="765"/>
      <c r="N915" s="765"/>
      <c r="O915" s="765"/>
      <c r="P915" s="765"/>
    </row>
    <row r="916" spans="1:16" x14ac:dyDescent="0.15">
      <c r="A916" s="3078"/>
      <c r="B916" s="647" t="str">
        <f>[9]Роспись!B840</f>
        <v>056</v>
      </c>
      <c r="C916" s="647" t="str">
        <f>[9]Роспись!C840</f>
        <v>07</v>
      </c>
      <c r="D916" s="647" t="str">
        <f>[9]Роспись!D840</f>
        <v>07</v>
      </c>
      <c r="E916" s="647" t="str">
        <f>[9]Роспись!E840</f>
        <v>5222900</v>
      </c>
      <c r="F916" s="647" t="str">
        <f>[9]Роспись!F840</f>
        <v>447</v>
      </c>
      <c r="G916" s="647" t="str">
        <f>[9]Роспись!G840</f>
        <v>340</v>
      </c>
      <c r="H916" s="740">
        <f>[9]Роспись!H840</f>
        <v>100</v>
      </c>
      <c r="I916" s="648">
        <f>[9]Финансирование!I916+[9]Финансирование!J916+[9]Финансирование!K916+[9]Финансирование!L916+[9]Финансирование!M916+[9]Финансирование!N916+[9]Финансирование!O916+[9]Финансирование!P916</f>
        <v>0</v>
      </c>
      <c r="J916" s="648">
        <f>'[9]21 счет'!I61</f>
        <v>100</v>
      </c>
      <c r="K916" s="648">
        <f>H916-I916-J916</f>
        <v>0</v>
      </c>
      <c r="L916" s="765"/>
      <c r="M916" s="765"/>
      <c r="N916" s="765"/>
      <c r="O916" s="765"/>
      <c r="P916" s="765"/>
    </row>
    <row r="917" spans="1:16" x14ac:dyDescent="0.15">
      <c r="A917" s="455" t="str">
        <f>'[9]Новая роспись'!A940</f>
        <v>Субсидии на иные цели</v>
      </c>
      <c r="B917" s="455" t="str">
        <f>'[9]Новая роспись'!B940</f>
        <v>056</v>
      </c>
      <c r="C917" s="455" t="str">
        <f>'[9]Новая роспись'!C940</f>
        <v>07</v>
      </c>
      <c r="D917" s="455" t="str">
        <f>'[9]Новая роспись'!D940</f>
        <v>07</v>
      </c>
      <c r="E917" s="455" t="str">
        <f>'[9]Новая роспись'!E940</f>
        <v>5222900</v>
      </c>
      <c r="F917" s="455" t="str">
        <f>'[9]Новая роспись'!F940</f>
        <v>612</v>
      </c>
      <c r="G917" s="455" t="str">
        <f>'[9]Новая роспись'!G940</f>
        <v>241</v>
      </c>
      <c r="H917" s="766">
        <f>'[9]Новая роспись'!H940</f>
        <v>270</v>
      </c>
      <c r="I917" s="702">
        <f>SUM(I914:I916)</f>
        <v>0</v>
      </c>
      <c r="J917" s="702">
        <f>SUM(J914:J916)</f>
        <v>270</v>
      </c>
      <c r="K917" s="648">
        <f>SUM(K914:K916)</f>
        <v>0</v>
      </c>
      <c r="L917" s="765"/>
      <c r="M917" s="765"/>
      <c r="N917" s="765"/>
      <c r="O917" s="765"/>
      <c r="P917" s="765"/>
    </row>
    <row r="918" spans="1:16" ht="39" x14ac:dyDescent="0.15">
      <c r="A918" s="455" t="str">
        <f>[9]Роспись!A841</f>
        <v>Комплексная программа "Программа противодействия экстремизму и терроризму в РД на 2012-2016 гг"</v>
      </c>
      <c r="B918" s="455" t="str">
        <f>[9]Роспись!B841</f>
        <v>056</v>
      </c>
      <c r="C918" s="455" t="str">
        <f>[9]Роспись!C841</f>
        <v>01</v>
      </c>
      <c r="D918" s="455" t="str">
        <f>[9]Роспись!D841</f>
        <v>13</v>
      </c>
      <c r="E918" s="455" t="str">
        <f>[9]Роспись!E841</f>
        <v>5227500</v>
      </c>
      <c r="F918" s="455" t="str">
        <f>[9]Роспись!F841</f>
        <v>012</v>
      </c>
      <c r="G918" s="455" t="str">
        <f>[9]Роспись!G841</f>
        <v>226</v>
      </c>
      <c r="H918" s="766">
        <f>[9]Роспись!H841</f>
        <v>3455</v>
      </c>
      <c r="I918" s="702"/>
      <c r="J918" s="702">
        <f>'[9]21 счет'!P62+'[9]21 счет'!Q62+'[9]21 счет'!P120+'[9]21 счет'!Q120+'[9]21 счет'!P128+'[9]21 счет'!Q128+'[9]21 счет'!P135+'[9]21 счет'!Q135+'[9]21 счет'!P109+'[9]21 счет'!Q109</f>
        <v>2991.25</v>
      </c>
      <c r="K918" s="702">
        <f>H918-J918</f>
        <v>463.75</v>
      </c>
      <c r="L918" s="765"/>
      <c r="M918" s="765"/>
      <c r="N918" s="765"/>
      <c r="O918" s="765"/>
      <c r="P918" s="765"/>
    </row>
    <row r="919" spans="1:16" x14ac:dyDescent="0.15">
      <c r="A919" s="455">
        <f>[9]Роспись!A842</f>
        <v>0</v>
      </c>
      <c r="B919" s="455" t="str">
        <f>[9]Роспись!B842</f>
        <v>056</v>
      </c>
      <c r="C919" s="455" t="str">
        <f>[9]Роспись!C842</f>
        <v>08</v>
      </c>
      <c r="D919" s="455" t="str">
        <f>[9]Роспись!D842</f>
        <v>01</v>
      </c>
      <c r="E919" s="455">
        <f>[9]Роспись!E842</f>
        <v>4400800</v>
      </c>
      <c r="F919" s="455" t="str">
        <f>[9]Роспись!F842</f>
        <v>012</v>
      </c>
      <c r="G919" s="455" t="str">
        <f>[9]Роспись!G842</f>
        <v>310</v>
      </c>
      <c r="H919" s="767">
        <f>[9]Роспись!H842</f>
        <v>14788.4</v>
      </c>
      <c r="I919" s="702">
        <f>[9]Финансирование!I919+[9]Финансирование!J919+[9]Финансирование!K919+[9]Финансирование!L919+[9]Финансирование!M919+[9]Финансирование!N919+[9]Финансирование!O919+[9]Финансирование!P919+[9]Финансирование!Q919+[9]Финансирование!T919+[9]Финансирование!U919+[9]Финансирование!V919+[9]Финансирование!W919+[9]Финансирование!X919+[9]Финансирование!Y919+[9]Финансирование!Z919</f>
        <v>14788.4</v>
      </c>
      <c r="J919" s="702"/>
      <c r="K919" s="708">
        <f>H919-I919</f>
        <v>0</v>
      </c>
      <c r="L919" s="765"/>
      <c r="M919" s="768">
        <f>H918+H913+H909+H899+H888+H886+H885+H879+H876+H854+H839+H822+H431+H350+H266+H201+H200+H198+H181+H99+H20+H917+H912</f>
        <v>920262.00900000008</v>
      </c>
      <c r="N919" s="768">
        <f>H920-M919</f>
        <v>18696.399999999907</v>
      </c>
      <c r="O919" s="765"/>
      <c r="P919" s="765"/>
    </row>
    <row r="920" spans="1:16" ht="15" thickBot="1" x14ac:dyDescent="0.2">
      <c r="A920" s="78" t="s">
        <v>210</v>
      </c>
      <c r="B920" s="641"/>
      <c r="C920" s="641"/>
      <c r="D920" s="641"/>
      <c r="E920" s="641"/>
      <c r="F920" s="641"/>
      <c r="G920" s="649"/>
      <c r="H920" s="643">
        <f>H918+H917+H913+H912+H909+H899+H886+H885+H881+H879+H876+H870+H854+H216++H20+H888+H919</f>
        <v>938958.40899999999</v>
      </c>
      <c r="I920" s="643">
        <f>I918+I917+I913+I912+I909+I899+I886+I885+I881+I879+I876+I870+I854+I216++I20+I888+I919</f>
        <v>442831.92399999988</v>
      </c>
      <c r="J920" s="643">
        <f>J918+J917+J913+J912+J909+J899+J886+J885+J881+J879+J876+J870+J854+J216++J20+J888+J919</f>
        <v>470950.59900000005</v>
      </c>
      <c r="K920" s="643">
        <f>K918+K917+K913+K912+K909+K899+K886+K885+K881+K879+K876+K870+K854+K216++K20+K888+K919</f>
        <v>25175.885999999995</v>
      </c>
      <c r="L920" s="646"/>
      <c r="M920" s="646"/>
      <c r="N920" s="652">
        <f>H919+H881</f>
        <v>18696.400000000001</v>
      </c>
      <c r="O920" s="646"/>
      <c r="P920" s="646"/>
    </row>
    <row r="921" spans="1:16" ht="15" thickBot="1" x14ac:dyDescent="0.2">
      <c r="A921" s="769"/>
      <c r="B921" s="769"/>
      <c r="C921" s="769"/>
      <c r="D921" s="769"/>
      <c r="E921" s="769"/>
      <c r="F921" s="769"/>
      <c r="G921" s="769"/>
      <c r="H921" s="770">
        <v>922755.38399999996</v>
      </c>
      <c r="I921" s="771">
        <v>426919.89899999986</v>
      </c>
      <c r="J921" s="771">
        <v>470950.59900000005</v>
      </c>
      <c r="K921" s="771">
        <v>24884.885999999999</v>
      </c>
      <c r="L921" s="658"/>
      <c r="M921" s="658">
        <f>I920+J920</f>
        <v>913782.52299999993</v>
      </c>
      <c r="N921" s="658">
        <f>N919-N920</f>
        <v>-9.4587448984384537E-11</v>
      </c>
    </row>
    <row r="922" spans="1:16" ht="13" x14ac:dyDescent="0.15">
      <c r="A922" s="772"/>
      <c r="B922" s="772"/>
      <c r="C922" s="772"/>
      <c r="D922" s="772"/>
      <c r="E922" s="772"/>
      <c r="F922" s="772"/>
      <c r="G922" s="772"/>
      <c r="H922" s="773">
        <f>H920-H921</f>
        <v>16203.025000000023</v>
      </c>
      <c r="I922" s="773">
        <f>I920-I921</f>
        <v>15912.025000000023</v>
      </c>
      <c r="J922" s="773">
        <f>J920-J921</f>
        <v>0</v>
      </c>
      <c r="K922" s="773">
        <f>K920-K921</f>
        <v>290.99999999999636</v>
      </c>
      <c r="L922" s="646"/>
      <c r="M922" s="652">
        <f>H920-M921</f>
        <v>25175.886000000057</v>
      </c>
      <c r="N922" s="646"/>
      <c r="O922" s="646"/>
      <c r="P922" s="646"/>
    </row>
    <row r="923" spans="1:16" ht="13" x14ac:dyDescent="0.15">
      <c r="A923" s="772"/>
      <c r="B923" s="772"/>
      <c r="C923" s="772"/>
      <c r="D923" s="772"/>
      <c r="E923" s="772"/>
      <c r="F923" s="772"/>
      <c r="G923" s="772"/>
      <c r="H923" s="773">
        <v>938958.40899999999</v>
      </c>
      <c r="I923" s="774"/>
      <c r="J923" s="774">
        <f>I920+J920</f>
        <v>913782.52299999993</v>
      </c>
      <c r="K923" s="774"/>
      <c r="L923" s="652"/>
      <c r="M923" s="646"/>
      <c r="N923" s="646"/>
      <c r="O923" s="646"/>
      <c r="P923" s="646"/>
    </row>
    <row r="924" spans="1:16" ht="13" x14ac:dyDescent="0.15">
      <c r="A924" s="769"/>
      <c r="B924" s="769"/>
      <c r="C924" s="769"/>
      <c r="D924" s="769"/>
      <c r="E924" s="769"/>
      <c r="F924" s="769"/>
      <c r="G924" s="769"/>
      <c r="H924" s="775">
        <f>H923-H920</f>
        <v>0</v>
      </c>
      <c r="I924" s="776"/>
      <c r="J924" s="776">
        <v>913782.527</v>
      </c>
      <c r="K924" s="776"/>
    </row>
    <row r="925" spans="1:16" ht="13" x14ac:dyDescent="0.15">
      <c r="A925" s="769"/>
      <c r="B925" s="769"/>
      <c r="C925" s="769"/>
      <c r="D925" s="769"/>
      <c r="E925" s="769"/>
      <c r="F925" s="769"/>
      <c r="G925" s="769"/>
      <c r="H925" s="775"/>
      <c r="I925" s="776"/>
      <c r="J925" s="776">
        <f>J924-J923</f>
        <v>4.0000000735744834E-3</v>
      </c>
      <c r="K925" s="776"/>
      <c r="N925" s="658"/>
    </row>
    <row r="926" spans="1:16" ht="13" x14ac:dyDescent="0.15">
      <c r="A926" s="769"/>
      <c r="B926" s="769"/>
      <c r="C926" s="769"/>
      <c r="D926" s="769"/>
      <c r="E926" s="769"/>
      <c r="F926" s="769"/>
      <c r="G926" s="769"/>
      <c r="H926" s="775"/>
      <c r="I926" s="776"/>
      <c r="J926" s="776"/>
      <c r="K926" s="776"/>
    </row>
    <row r="927" spans="1:16" ht="13" x14ac:dyDescent="0.15">
      <c r="A927" s="777" t="s">
        <v>942</v>
      </c>
      <c r="B927" s="777"/>
      <c r="C927" s="777"/>
      <c r="D927" s="777"/>
      <c r="E927" s="777"/>
      <c r="F927" s="777"/>
      <c r="G927" s="777"/>
      <c r="H927" s="740"/>
      <c r="I927" s="778"/>
      <c r="J927" s="776"/>
      <c r="K927" s="776">
        <f>I920+J920-J918-J917-I913-J912-I909-I899-I888-I886-I885-J885-I881-J881-I879-J879-I876-I872</f>
        <v>817961.33100000001</v>
      </c>
      <c r="N927" s="658"/>
    </row>
    <row r="928" spans="1:16" x14ac:dyDescent="0.15">
      <c r="A928" s="777">
        <v>211</v>
      </c>
      <c r="B928" s="777"/>
      <c r="C928" s="777"/>
      <c r="D928" s="777"/>
      <c r="E928" s="779">
        <f>H203</f>
        <v>61701.251999999993</v>
      </c>
      <c r="F928" s="779"/>
      <c r="G928" s="779">
        <f>I203</f>
        <v>28463.85</v>
      </c>
      <c r="H928" s="780">
        <f>E928-G928</f>
        <v>33237.401999999995</v>
      </c>
      <c r="I928" s="781"/>
      <c r="J928" s="782"/>
      <c r="K928" s="776"/>
      <c r="N928" s="635">
        <v>24.49</v>
      </c>
    </row>
    <row r="929" spans="1:11" ht="18" x14ac:dyDescent="0.15">
      <c r="A929" s="777">
        <v>212</v>
      </c>
      <c r="B929" s="777"/>
      <c r="C929" s="777"/>
      <c r="D929" s="777"/>
      <c r="E929" s="779">
        <f t="shared" ref="E929:E936" si="71">H204</f>
        <v>399.64</v>
      </c>
      <c r="F929" s="779"/>
      <c r="G929" s="779">
        <f t="shared" ref="G929:G936" si="72">I204</f>
        <v>173.73000000000002</v>
      </c>
      <c r="H929" s="780">
        <f>E929-G929-0.6</f>
        <v>225.30999999999997</v>
      </c>
      <c r="I929" s="781"/>
      <c r="J929" s="783"/>
      <c r="K929" s="776">
        <f>I920+J920-J918-J916-J915-J914-J911-J910-I884-I883-I882-J882-J883-J884-J880-I919-I886</f>
        <v>875777.57299999986</v>
      </c>
    </row>
    <row r="930" spans="1:11" x14ac:dyDescent="0.15">
      <c r="A930" s="777">
        <v>213</v>
      </c>
      <c r="B930" s="777"/>
      <c r="C930" s="777"/>
      <c r="D930" s="777"/>
      <c r="E930" s="779">
        <f t="shared" si="71"/>
        <v>18539.545999999998</v>
      </c>
      <c r="F930" s="779"/>
      <c r="G930" s="779">
        <f t="shared" si="72"/>
        <v>9209.98</v>
      </c>
      <c r="H930" s="780">
        <f t="shared" ref="H930:H939" si="73">E930-G930</f>
        <v>9329.5659999999989</v>
      </c>
      <c r="I930" s="781"/>
      <c r="J930" s="782"/>
      <c r="K930" s="776"/>
    </row>
    <row r="931" spans="1:11" ht="18" x14ac:dyDescent="0.15">
      <c r="A931" s="777">
        <v>221</v>
      </c>
      <c r="B931" s="777"/>
      <c r="C931" s="777"/>
      <c r="D931" s="777"/>
      <c r="E931" s="779">
        <f t="shared" si="71"/>
        <v>159.5</v>
      </c>
      <c r="F931" s="779"/>
      <c r="G931" s="779">
        <f t="shared" si="72"/>
        <v>33.25</v>
      </c>
      <c r="H931" s="780">
        <f t="shared" si="73"/>
        <v>126.25</v>
      </c>
      <c r="I931" s="781"/>
      <c r="J931" s="783"/>
      <c r="K931" s="776"/>
    </row>
    <row r="932" spans="1:11" ht="18" x14ac:dyDescent="0.15">
      <c r="A932" s="777">
        <v>222</v>
      </c>
      <c r="B932" s="777"/>
      <c r="C932" s="777"/>
      <c r="D932" s="777"/>
      <c r="E932" s="779">
        <f t="shared" si="71"/>
        <v>256.96000000000004</v>
      </c>
      <c r="F932" s="779"/>
      <c r="G932" s="779">
        <f t="shared" si="72"/>
        <v>66.25</v>
      </c>
      <c r="H932" s="780">
        <f>E932-G932-11</f>
        <v>179.71000000000004</v>
      </c>
      <c r="I932" s="781"/>
      <c r="J932" s="783"/>
      <c r="K932" s="776"/>
    </row>
    <row r="933" spans="1:11" ht="18" x14ac:dyDescent="0.15">
      <c r="A933" s="777">
        <v>223</v>
      </c>
      <c r="B933" s="777"/>
      <c r="C933" s="777"/>
      <c r="D933" s="777"/>
      <c r="E933" s="779">
        <f t="shared" si="71"/>
        <v>1979.431</v>
      </c>
      <c r="F933" s="779"/>
      <c r="G933" s="779">
        <f t="shared" si="72"/>
        <v>854.57999999999993</v>
      </c>
      <c r="H933" s="780">
        <f t="shared" si="73"/>
        <v>1124.8510000000001</v>
      </c>
      <c r="I933" s="781"/>
      <c r="J933" s="783"/>
      <c r="K933" s="776"/>
    </row>
    <row r="934" spans="1:11" ht="18" x14ac:dyDescent="0.15">
      <c r="A934" s="777">
        <v>224</v>
      </c>
      <c r="B934" s="777"/>
      <c r="C934" s="777"/>
      <c r="D934" s="777"/>
      <c r="E934" s="779">
        <f t="shared" si="71"/>
        <v>3</v>
      </c>
      <c r="F934" s="779"/>
      <c r="G934" s="779">
        <f t="shared" si="72"/>
        <v>3</v>
      </c>
      <c r="H934" s="780">
        <f t="shared" si="73"/>
        <v>0</v>
      </c>
      <c r="I934" s="781"/>
      <c r="J934" s="783"/>
      <c r="K934" s="776"/>
    </row>
    <row r="935" spans="1:11" ht="18" x14ac:dyDescent="0.15">
      <c r="A935" s="777">
        <v>225</v>
      </c>
      <c r="B935" s="777"/>
      <c r="C935" s="777"/>
      <c r="D935" s="777"/>
      <c r="E935" s="779">
        <f t="shared" si="71"/>
        <v>2558.1</v>
      </c>
      <c r="F935" s="779"/>
      <c r="G935" s="779">
        <f t="shared" si="72"/>
        <v>620.78</v>
      </c>
      <c r="H935" s="780">
        <f t="shared" si="73"/>
        <v>1937.32</v>
      </c>
      <c r="I935" s="781"/>
      <c r="J935" s="783"/>
      <c r="K935" s="776"/>
    </row>
    <row r="936" spans="1:11" ht="18" x14ac:dyDescent="0.15">
      <c r="A936" s="777">
        <v>226</v>
      </c>
      <c r="B936" s="777"/>
      <c r="C936" s="777"/>
      <c r="D936" s="777"/>
      <c r="E936" s="779">
        <f t="shared" si="71"/>
        <v>2638.8130000000001</v>
      </c>
      <c r="F936" s="779"/>
      <c r="G936" s="779">
        <f t="shared" si="72"/>
        <v>1212.4099999999999</v>
      </c>
      <c r="H936" s="780">
        <f>E936-G936-11.2</f>
        <v>1415.2030000000002</v>
      </c>
      <c r="I936" s="781"/>
      <c r="J936" s="783"/>
      <c r="K936" s="776"/>
    </row>
    <row r="937" spans="1:11" ht="18" x14ac:dyDescent="0.15">
      <c r="A937" s="777">
        <v>290</v>
      </c>
      <c r="B937" s="777"/>
      <c r="C937" s="777"/>
      <c r="D937" s="777"/>
      <c r="E937" s="779">
        <f>H212+H213</f>
        <v>10775.499</v>
      </c>
      <c r="F937" s="779"/>
      <c r="G937" s="779">
        <f>I212+I213</f>
        <v>6439.9499999999989</v>
      </c>
      <c r="H937" s="780">
        <f t="shared" si="73"/>
        <v>4335.5490000000009</v>
      </c>
      <c r="I937" s="781"/>
      <c r="J937" s="783"/>
      <c r="K937" s="776"/>
    </row>
    <row r="938" spans="1:11" ht="18" x14ac:dyDescent="0.15">
      <c r="A938" s="777">
        <v>310</v>
      </c>
      <c r="B938" s="777"/>
      <c r="C938" s="777"/>
      <c r="D938" s="777"/>
      <c r="E938" s="779">
        <f>H214</f>
        <v>475.41899999999998</v>
      </c>
      <c r="F938" s="779"/>
      <c r="G938" s="779">
        <f>I214</f>
        <v>0</v>
      </c>
      <c r="H938" s="780">
        <f t="shared" si="73"/>
        <v>475.41899999999998</v>
      </c>
      <c r="I938" s="781"/>
      <c r="J938" s="783"/>
      <c r="K938" s="776"/>
    </row>
    <row r="939" spans="1:11" ht="18" x14ac:dyDescent="0.15">
      <c r="A939" s="777">
        <v>340</v>
      </c>
      <c r="B939" s="777"/>
      <c r="C939" s="777"/>
      <c r="D939" s="777"/>
      <c r="E939" s="779">
        <f>H215</f>
        <v>446.45</v>
      </c>
      <c r="F939" s="779"/>
      <c r="G939" s="779">
        <f>I215</f>
        <v>142.15</v>
      </c>
      <c r="H939" s="780">
        <f t="shared" si="73"/>
        <v>304.29999999999995</v>
      </c>
      <c r="I939" s="781"/>
      <c r="J939" s="783"/>
      <c r="K939" s="776"/>
    </row>
    <row r="940" spans="1:11" ht="13" x14ac:dyDescent="0.15">
      <c r="A940" s="777"/>
      <c r="B940" s="777"/>
      <c r="C940" s="777"/>
      <c r="D940" s="777"/>
      <c r="E940" s="784">
        <f>SUM(E928:E939)</f>
        <v>99933.609999999986</v>
      </c>
      <c r="F940" s="784"/>
      <c r="G940" s="784">
        <f>SUM(G928:G939)</f>
        <v>47219.93</v>
      </c>
      <c r="H940" s="785">
        <f>SUM(H928:H939)</f>
        <v>52690.879999999997</v>
      </c>
      <c r="I940" s="778"/>
      <c r="J940" s="776"/>
      <c r="K940" s="776"/>
    </row>
    <row r="941" spans="1:11" ht="13" x14ac:dyDescent="0.15">
      <c r="A941" s="777" t="s">
        <v>39</v>
      </c>
      <c r="B941" s="777"/>
      <c r="C941" s="777"/>
      <c r="D941" s="777"/>
      <c r="E941" s="784"/>
      <c r="F941" s="784"/>
      <c r="G941" s="784"/>
      <c r="H941" s="785"/>
      <c r="I941" s="778"/>
      <c r="J941" s="776"/>
      <c r="K941" s="776"/>
    </row>
    <row r="942" spans="1:11" x14ac:dyDescent="0.15">
      <c r="A942" s="777">
        <v>211</v>
      </c>
      <c r="B942" s="777"/>
      <c r="C942" s="777"/>
      <c r="D942" s="777"/>
      <c r="E942" s="779">
        <f>H253</f>
        <v>25715.599999999999</v>
      </c>
      <c r="F942" s="779"/>
      <c r="G942" s="779">
        <f>I253</f>
        <v>11714.58</v>
      </c>
      <c r="H942" s="780">
        <f>E942-G942</f>
        <v>14001.019999999999</v>
      </c>
      <c r="I942" s="781"/>
      <c r="J942" s="782"/>
      <c r="K942" s="776"/>
    </row>
    <row r="943" spans="1:11" ht="18" x14ac:dyDescent="0.15">
      <c r="A943" s="777">
        <v>212</v>
      </c>
      <c r="B943" s="777"/>
      <c r="C943" s="777"/>
      <c r="D943" s="777"/>
      <c r="E943" s="779">
        <f t="shared" ref="E943:E950" si="74">H254</f>
        <v>180</v>
      </c>
      <c r="F943" s="779"/>
      <c r="G943" s="779">
        <f t="shared" ref="G943:G950" si="75">I254</f>
        <v>75</v>
      </c>
      <c r="H943" s="780">
        <f t="shared" ref="H943:H953" si="76">E943-G943</f>
        <v>105</v>
      </c>
      <c r="I943" s="781"/>
      <c r="J943" s="783"/>
      <c r="K943" s="776"/>
    </row>
    <row r="944" spans="1:11" x14ac:dyDescent="0.15">
      <c r="A944" s="777">
        <v>213</v>
      </c>
      <c r="B944" s="777"/>
      <c r="C944" s="777"/>
      <c r="D944" s="777"/>
      <c r="E944" s="779">
        <f t="shared" si="74"/>
        <v>7472</v>
      </c>
      <c r="F944" s="779"/>
      <c r="G944" s="779">
        <f t="shared" si="75"/>
        <v>3790.52</v>
      </c>
      <c r="H944" s="780">
        <f t="shared" si="76"/>
        <v>3681.48</v>
      </c>
      <c r="I944" s="781"/>
      <c r="J944" s="782"/>
      <c r="K944" s="776"/>
    </row>
    <row r="945" spans="1:11" ht="18" x14ac:dyDescent="0.15">
      <c r="A945" s="777">
        <v>221</v>
      </c>
      <c r="B945" s="777"/>
      <c r="C945" s="777"/>
      <c r="D945" s="777"/>
      <c r="E945" s="779">
        <f t="shared" si="74"/>
        <v>173</v>
      </c>
      <c r="F945" s="779"/>
      <c r="G945" s="779">
        <f t="shared" si="75"/>
        <v>43.25</v>
      </c>
      <c r="H945" s="780">
        <f t="shared" si="76"/>
        <v>129.75</v>
      </c>
      <c r="I945" s="781"/>
      <c r="J945" s="783"/>
      <c r="K945" s="776"/>
    </row>
    <row r="946" spans="1:11" ht="18" x14ac:dyDescent="0.15">
      <c r="A946" s="777">
        <v>222</v>
      </c>
      <c r="B946" s="777"/>
      <c r="C946" s="777"/>
      <c r="D946" s="777"/>
      <c r="E946" s="779">
        <f t="shared" si="74"/>
        <v>890</v>
      </c>
      <c r="F946" s="779"/>
      <c r="G946" s="779">
        <f t="shared" si="75"/>
        <v>22.5</v>
      </c>
      <c r="H946" s="780">
        <f t="shared" si="76"/>
        <v>867.5</v>
      </c>
      <c r="I946" s="781"/>
      <c r="J946" s="783"/>
      <c r="K946" s="776"/>
    </row>
    <row r="947" spans="1:11" ht="18" x14ac:dyDescent="0.15">
      <c r="A947" s="777">
        <v>223</v>
      </c>
      <c r="B947" s="777"/>
      <c r="C947" s="777"/>
      <c r="D947" s="777"/>
      <c r="E947" s="779">
        <f t="shared" si="74"/>
        <v>358</v>
      </c>
      <c r="F947" s="779"/>
      <c r="G947" s="779">
        <f t="shared" si="75"/>
        <v>173.32999999999998</v>
      </c>
      <c r="H947" s="780">
        <f t="shared" si="76"/>
        <v>184.67000000000002</v>
      </c>
      <c r="I947" s="781"/>
      <c r="J947" s="783"/>
      <c r="K947" s="776"/>
    </row>
    <row r="948" spans="1:11" ht="18" x14ac:dyDescent="0.15">
      <c r="A948" s="777">
        <v>224</v>
      </c>
      <c r="B948" s="777"/>
      <c r="C948" s="777"/>
      <c r="D948" s="777"/>
      <c r="E948" s="779">
        <f t="shared" si="74"/>
        <v>0</v>
      </c>
      <c r="F948" s="779"/>
      <c r="G948" s="779">
        <f t="shared" si="75"/>
        <v>0</v>
      </c>
      <c r="H948" s="780">
        <f t="shared" si="76"/>
        <v>0</v>
      </c>
      <c r="I948" s="781"/>
      <c r="J948" s="783"/>
      <c r="K948" s="776"/>
    </row>
    <row r="949" spans="1:11" ht="18" x14ac:dyDescent="0.15">
      <c r="A949" s="777">
        <v>225</v>
      </c>
      <c r="B949" s="777"/>
      <c r="C949" s="777"/>
      <c r="D949" s="777"/>
      <c r="E949" s="779">
        <f t="shared" si="74"/>
        <v>22593.9</v>
      </c>
      <c r="F949" s="779"/>
      <c r="G949" s="779">
        <f t="shared" si="75"/>
        <v>72.25</v>
      </c>
      <c r="H949" s="780">
        <f>E949-G949-22304.9</f>
        <v>216.75</v>
      </c>
      <c r="I949" s="781"/>
      <c r="J949" s="783"/>
      <c r="K949" s="776"/>
    </row>
    <row r="950" spans="1:11" ht="18" x14ac:dyDescent="0.15">
      <c r="A950" s="777">
        <v>226</v>
      </c>
      <c r="B950" s="777"/>
      <c r="C950" s="777"/>
      <c r="D950" s="777"/>
      <c r="E950" s="779">
        <f t="shared" si="74"/>
        <v>12053.27</v>
      </c>
      <c r="F950" s="779"/>
      <c r="G950" s="779">
        <f t="shared" si="75"/>
        <v>7295.43</v>
      </c>
      <c r="H950" s="780">
        <f t="shared" si="76"/>
        <v>4757.84</v>
      </c>
      <c r="I950" s="781"/>
      <c r="J950" s="783"/>
      <c r="K950" s="776"/>
    </row>
    <row r="951" spans="1:11" ht="18" x14ac:dyDescent="0.15">
      <c r="A951" s="777">
        <v>290</v>
      </c>
      <c r="B951" s="777"/>
      <c r="C951" s="777"/>
      <c r="D951" s="777"/>
      <c r="E951" s="779">
        <f>H262+H263</f>
        <v>387.26</v>
      </c>
      <c r="F951" s="779"/>
      <c r="G951" s="779">
        <f>I262+I263</f>
        <v>270.86</v>
      </c>
      <c r="H951" s="780">
        <f t="shared" si="76"/>
        <v>116.39999999999998</v>
      </c>
      <c r="I951" s="781"/>
      <c r="J951" s="783"/>
      <c r="K951" s="776"/>
    </row>
    <row r="952" spans="1:11" ht="18" x14ac:dyDescent="0.15">
      <c r="A952" s="777">
        <v>310</v>
      </c>
      <c r="B952" s="777"/>
      <c r="C952" s="777"/>
      <c r="D952" s="777"/>
      <c r="E952" s="779">
        <f>H264</f>
        <v>720</v>
      </c>
      <c r="F952" s="779"/>
      <c r="G952" s="779">
        <f>I264</f>
        <v>720</v>
      </c>
      <c r="H952" s="780">
        <f t="shared" si="76"/>
        <v>0</v>
      </c>
      <c r="I952" s="781"/>
      <c r="J952" s="783"/>
      <c r="K952" s="776"/>
    </row>
    <row r="953" spans="1:11" ht="18" x14ac:dyDescent="0.15">
      <c r="A953" s="777">
        <v>340</v>
      </c>
      <c r="B953" s="777"/>
      <c r="C953" s="777"/>
      <c r="D953" s="777"/>
      <c r="E953" s="779">
        <f>H265</f>
        <v>730</v>
      </c>
      <c r="F953" s="779"/>
      <c r="G953" s="779">
        <f>I265</f>
        <v>243.32999999999998</v>
      </c>
      <c r="H953" s="780">
        <f t="shared" si="76"/>
        <v>486.67</v>
      </c>
      <c r="I953" s="781"/>
      <c r="J953" s="783"/>
      <c r="K953" s="776"/>
    </row>
    <row r="954" spans="1:11" ht="13" x14ac:dyDescent="0.15">
      <c r="A954" s="777"/>
      <c r="B954" s="777"/>
      <c r="C954" s="777"/>
      <c r="D954" s="777"/>
      <c r="E954" s="784">
        <f>SUM(E942:E953)</f>
        <v>71273.03</v>
      </c>
      <c r="F954" s="784"/>
      <c r="G954" s="784">
        <f>SUM(G942:G953)</f>
        <v>24421.050000000003</v>
      </c>
      <c r="H954" s="785">
        <f>SUM(H942:H953)</f>
        <v>24547.079999999998</v>
      </c>
      <c r="I954" s="778"/>
      <c r="J954" s="776"/>
      <c r="K954" s="776"/>
    </row>
    <row r="955" spans="1:11" ht="13" x14ac:dyDescent="0.15">
      <c r="A955" s="777"/>
      <c r="B955" s="777"/>
      <c r="C955" s="777"/>
      <c r="D955" s="777"/>
      <c r="E955" s="784"/>
      <c r="F955" s="784"/>
      <c r="G955" s="784"/>
      <c r="H955" s="785"/>
      <c r="I955" s="778"/>
      <c r="J955" s="776"/>
      <c r="K955" s="776"/>
    </row>
    <row r="956" spans="1:11" ht="13" x14ac:dyDescent="0.15">
      <c r="A956" s="777" t="s">
        <v>943</v>
      </c>
      <c r="B956" s="777"/>
      <c r="C956" s="777"/>
      <c r="D956" s="777"/>
      <c r="E956" s="784"/>
      <c r="F956" s="784"/>
      <c r="G956" s="784"/>
      <c r="H956" s="785"/>
      <c r="I956" s="778"/>
      <c r="J956" s="776"/>
      <c r="K956" s="776"/>
    </row>
    <row r="957" spans="1:11" x14ac:dyDescent="0.15">
      <c r="A957" s="777">
        <v>211</v>
      </c>
      <c r="B957" s="777"/>
      <c r="C957" s="777"/>
      <c r="D957" s="777"/>
      <c r="E957" s="779">
        <f>H337</f>
        <v>54566.069000000003</v>
      </c>
      <c r="F957" s="779"/>
      <c r="G957" s="779">
        <f>I337</f>
        <v>24908.79</v>
      </c>
      <c r="H957" s="780">
        <f>E957-G957</f>
        <v>29657.279000000002</v>
      </c>
      <c r="I957" s="786">
        <f>J337+K337</f>
        <v>29657.278999999995</v>
      </c>
      <c r="J957" s="782"/>
      <c r="K957" s="776"/>
    </row>
    <row r="958" spans="1:11" x14ac:dyDescent="0.15">
      <c r="A958" s="777">
        <v>212</v>
      </c>
      <c r="B958" s="777"/>
      <c r="C958" s="777"/>
      <c r="D958" s="777"/>
      <c r="E958" s="779">
        <f t="shared" ref="E958:E965" si="77">H338</f>
        <v>15.099999999999998</v>
      </c>
      <c r="F958" s="779"/>
      <c r="G958" s="779">
        <f t="shared" ref="G958:G965" si="78">I338</f>
        <v>2.08</v>
      </c>
      <c r="H958" s="780">
        <f>E958-G958-8.3</f>
        <v>4.7199999999999971</v>
      </c>
      <c r="I958" s="786">
        <f t="shared" ref="I958:I965" si="79">J338+K338</f>
        <v>13.02</v>
      </c>
      <c r="J958" s="782"/>
      <c r="K958" s="776"/>
    </row>
    <row r="959" spans="1:11" x14ac:dyDescent="0.15">
      <c r="A959" s="777">
        <v>213</v>
      </c>
      <c r="B959" s="777"/>
      <c r="C959" s="777"/>
      <c r="D959" s="777"/>
      <c r="E959" s="779">
        <f t="shared" si="77"/>
        <v>16460.667999999998</v>
      </c>
      <c r="F959" s="779"/>
      <c r="G959" s="779">
        <f t="shared" si="78"/>
        <v>8235.3950000000004</v>
      </c>
      <c r="H959" s="780">
        <f t="shared" ref="H959:H967" si="80">E959-G959</f>
        <v>8225.2729999999974</v>
      </c>
      <c r="I959" s="786">
        <f t="shared" si="79"/>
        <v>8225.2729999999992</v>
      </c>
      <c r="J959" s="782"/>
      <c r="K959" s="776"/>
    </row>
    <row r="960" spans="1:11" x14ac:dyDescent="0.15">
      <c r="A960" s="777">
        <v>221</v>
      </c>
      <c r="B960" s="777"/>
      <c r="C960" s="777"/>
      <c r="D960" s="777"/>
      <c r="E960" s="779">
        <f t="shared" si="77"/>
        <v>165.363</v>
      </c>
      <c r="F960" s="779"/>
      <c r="G960" s="779">
        <f t="shared" si="78"/>
        <v>30.75</v>
      </c>
      <c r="H960" s="780">
        <f t="shared" si="80"/>
        <v>134.613</v>
      </c>
      <c r="I960" s="786">
        <f t="shared" si="79"/>
        <v>134.613</v>
      </c>
      <c r="J960" s="782"/>
      <c r="K960" s="776"/>
    </row>
    <row r="961" spans="1:11" x14ac:dyDescent="0.15">
      <c r="A961" s="777">
        <v>222</v>
      </c>
      <c r="B961" s="777"/>
      <c r="C961" s="777"/>
      <c r="D961" s="777"/>
      <c r="E961" s="779">
        <f t="shared" si="77"/>
        <v>606.84299999999996</v>
      </c>
      <c r="F961" s="779"/>
      <c r="G961" s="779">
        <f t="shared" si="78"/>
        <v>87.5</v>
      </c>
      <c r="H961" s="780">
        <f>E961-G961-284.65</f>
        <v>234.69299999999998</v>
      </c>
      <c r="I961" s="786">
        <f t="shared" si="79"/>
        <v>519.34299999999996</v>
      </c>
      <c r="J961" s="782"/>
      <c r="K961" s="776"/>
    </row>
    <row r="962" spans="1:11" x14ac:dyDescent="0.15">
      <c r="A962" s="777">
        <v>223</v>
      </c>
      <c r="B962" s="777"/>
      <c r="C962" s="777"/>
      <c r="D962" s="777"/>
      <c r="E962" s="779">
        <f t="shared" si="77"/>
        <v>1882.7809999999999</v>
      </c>
      <c r="F962" s="779"/>
      <c r="G962" s="779">
        <f t="shared" si="78"/>
        <v>752.92</v>
      </c>
      <c r="H962" s="780">
        <f t="shared" si="80"/>
        <v>1129.8609999999999</v>
      </c>
      <c r="I962" s="786">
        <f t="shared" si="79"/>
        <v>1129.8610000000001</v>
      </c>
      <c r="J962" s="782"/>
      <c r="K962" s="776"/>
    </row>
    <row r="963" spans="1:11" x14ac:dyDescent="0.15">
      <c r="A963" s="777">
        <v>224</v>
      </c>
      <c r="B963" s="777"/>
      <c r="C963" s="777"/>
      <c r="D963" s="777"/>
      <c r="E963" s="779">
        <f t="shared" si="77"/>
        <v>0</v>
      </c>
      <c r="F963" s="779"/>
      <c r="G963" s="779">
        <f t="shared" si="78"/>
        <v>0</v>
      </c>
      <c r="H963" s="780">
        <f t="shared" si="80"/>
        <v>0</v>
      </c>
      <c r="I963" s="786">
        <f t="shared" si="79"/>
        <v>0</v>
      </c>
      <c r="J963" s="782"/>
      <c r="K963" s="776"/>
    </row>
    <row r="964" spans="1:11" x14ac:dyDescent="0.15">
      <c r="A964" s="777">
        <v>225</v>
      </c>
      <c r="B964" s="777"/>
      <c r="C964" s="777"/>
      <c r="D964" s="777"/>
      <c r="E964" s="779">
        <f t="shared" si="77"/>
        <v>3009.701</v>
      </c>
      <c r="F964" s="779"/>
      <c r="G964" s="779">
        <f t="shared" si="78"/>
        <v>730</v>
      </c>
      <c r="H964" s="780">
        <f t="shared" si="80"/>
        <v>2279.701</v>
      </c>
      <c r="I964" s="786">
        <f>J344+K344</f>
        <v>2279.701</v>
      </c>
      <c r="J964" s="782"/>
      <c r="K964" s="776"/>
    </row>
    <row r="965" spans="1:11" x14ac:dyDescent="0.15">
      <c r="A965" s="777">
        <v>226</v>
      </c>
      <c r="B965" s="777"/>
      <c r="C965" s="777"/>
      <c r="D965" s="777"/>
      <c r="E965" s="779">
        <f t="shared" si="77"/>
        <v>11330.954</v>
      </c>
      <c r="F965" s="779"/>
      <c r="G965" s="779">
        <f t="shared" si="78"/>
        <v>1817.94</v>
      </c>
      <c r="H965" s="780">
        <f>E965-G965-931.25</f>
        <v>8581.7639999999992</v>
      </c>
      <c r="I965" s="786">
        <f t="shared" si="79"/>
        <v>9513.0139999999992</v>
      </c>
      <c r="J965" s="782"/>
      <c r="K965" s="776"/>
    </row>
    <row r="966" spans="1:11" x14ac:dyDescent="0.15">
      <c r="A966" s="777">
        <v>290</v>
      </c>
      <c r="B966" s="777"/>
      <c r="C966" s="777"/>
      <c r="D966" s="777"/>
      <c r="E966" s="779">
        <f>H346+H347</f>
        <v>1270.588</v>
      </c>
      <c r="F966" s="779"/>
      <c r="G966" s="779">
        <f>I346+I347</f>
        <v>831.15999999999985</v>
      </c>
      <c r="H966" s="780">
        <f>E966-G966-50</f>
        <v>389.42800000000011</v>
      </c>
      <c r="I966" s="786">
        <f>J346+K346+J347+K347</f>
        <v>439.428</v>
      </c>
      <c r="J966" s="782"/>
      <c r="K966" s="776"/>
    </row>
    <row r="967" spans="1:11" x14ac:dyDescent="0.15">
      <c r="A967" s="777">
        <v>310</v>
      </c>
      <c r="B967" s="777"/>
      <c r="C967" s="777"/>
      <c r="D967" s="777"/>
      <c r="E967" s="779">
        <f>H348</f>
        <v>1884.7139999999999</v>
      </c>
      <c r="F967" s="779"/>
      <c r="G967" s="779">
        <f>I348</f>
        <v>0</v>
      </c>
      <c r="H967" s="780">
        <f t="shared" si="80"/>
        <v>1884.7139999999999</v>
      </c>
      <c r="I967" s="786">
        <f>J348+K348</f>
        <v>1884.7139999999999</v>
      </c>
      <c r="J967" s="782"/>
      <c r="K967" s="776"/>
    </row>
    <row r="968" spans="1:11" x14ac:dyDescent="0.15">
      <c r="A968" s="777">
        <v>340</v>
      </c>
      <c r="B968" s="777"/>
      <c r="C968" s="777"/>
      <c r="D968" s="777"/>
      <c r="E968" s="779">
        <f>H349</f>
        <v>848.55399999999997</v>
      </c>
      <c r="F968" s="779"/>
      <c r="G968" s="779">
        <f>I349</f>
        <v>253.32999999999998</v>
      </c>
      <c r="H968" s="780">
        <f>E968-G968-92.9</f>
        <v>502.32399999999996</v>
      </c>
      <c r="I968" s="786">
        <f>J349+K349</f>
        <v>595.22399999999993</v>
      </c>
      <c r="J968" s="782"/>
      <c r="K968" s="776"/>
    </row>
    <row r="969" spans="1:11" x14ac:dyDescent="0.15">
      <c r="A969" s="777"/>
      <c r="B969" s="777"/>
      <c r="C969" s="777"/>
      <c r="D969" s="777"/>
      <c r="E969" s="784">
        <f>SUM(E957:E968)</f>
        <v>92041.334999999992</v>
      </c>
      <c r="F969" s="784"/>
      <c r="G969" s="784">
        <f>SUM(G957:G968)</f>
        <v>37649.865000000005</v>
      </c>
      <c r="H969" s="785">
        <f>SUM(H957:H968)</f>
        <v>53024.369999999995</v>
      </c>
      <c r="I969" s="787">
        <f>SUM(I957:I968)</f>
        <v>54391.469999999994</v>
      </c>
      <c r="J969" s="787"/>
      <c r="K969" s="776"/>
    </row>
    <row r="970" spans="1:11" ht="13" x14ac:dyDescent="0.15">
      <c r="A970" s="777" t="s">
        <v>944</v>
      </c>
      <c r="B970" s="777"/>
      <c r="C970" s="777"/>
      <c r="D970" s="777"/>
      <c r="E970" s="784"/>
      <c r="F970" s="784"/>
      <c r="G970" s="784"/>
      <c r="H970" s="785"/>
      <c r="I970" s="778"/>
      <c r="J970" s="776"/>
      <c r="K970" s="776"/>
    </row>
    <row r="971" spans="1:11" x14ac:dyDescent="0.15">
      <c r="A971" s="777">
        <v>211</v>
      </c>
      <c r="B971" s="777"/>
      <c r="C971" s="777"/>
      <c r="D971" s="777"/>
      <c r="E971" s="779">
        <f>H418</f>
        <v>34212.527000000002</v>
      </c>
      <c r="F971" s="779"/>
      <c r="G971" s="779">
        <f>I418</f>
        <v>15764.34</v>
      </c>
      <c r="H971" s="780">
        <f>E971-G971</f>
        <v>18448.187000000002</v>
      </c>
      <c r="I971" s="781"/>
      <c r="J971" s="782"/>
      <c r="K971" s="776"/>
    </row>
    <row r="972" spans="1:11" ht="18" x14ac:dyDescent="0.15">
      <c r="A972" s="777">
        <v>212</v>
      </c>
      <c r="B972" s="777"/>
      <c r="C972" s="777"/>
      <c r="D972" s="777"/>
      <c r="E972" s="779">
        <f t="shared" ref="E972:E979" si="81">H419</f>
        <v>6</v>
      </c>
      <c r="F972" s="779"/>
      <c r="G972" s="779">
        <f t="shared" ref="G972:G979" si="82">I419</f>
        <v>2.5</v>
      </c>
      <c r="H972" s="780">
        <f t="shared" ref="H972:H982" si="83">E972-G972</f>
        <v>3.5</v>
      </c>
      <c r="I972" s="781"/>
      <c r="J972" s="783"/>
      <c r="K972" s="776"/>
    </row>
    <row r="973" spans="1:11" x14ac:dyDescent="0.15">
      <c r="A973" s="777">
        <v>213</v>
      </c>
      <c r="B973" s="777"/>
      <c r="C973" s="777"/>
      <c r="D973" s="777"/>
      <c r="E973" s="779">
        <f t="shared" si="81"/>
        <v>10324.619999999999</v>
      </c>
      <c r="F973" s="779"/>
      <c r="G973" s="779">
        <f t="shared" si="82"/>
        <v>5100.9400000000005</v>
      </c>
      <c r="H973" s="780">
        <f t="shared" si="83"/>
        <v>5223.6799999999985</v>
      </c>
      <c r="I973" s="781"/>
      <c r="J973" s="782"/>
      <c r="K973" s="776"/>
    </row>
    <row r="974" spans="1:11" ht="18" x14ac:dyDescent="0.15">
      <c r="A974" s="777">
        <v>221</v>
      </c>
      <c r="B974" s="777"/>
      <c r="C974" s="777"/>
      <c r="D974" s="777"/>
      <c r="E974" s="779">
        <f t="shared" si="81"/>
        <v>107</v>
      </c>
      <c r="F974" s="779"/>
      <c r="G974" s="779">
        <f t="shared" si="82"/>
        <v>26.75</v>
      </c>
      <c r="H974" s="780">
        <f t="shared" si="83"/>
        <v>80.25</v>
      </c>
      <c r="I974" s="781"/>
      <c r="J974" s="783"/>
      <c r="K974" s="776"/>
    </row>
    <row r="975" spans="1:11" ht="18" x14ac:dyDescent="0.15">
      <c r="A975" s="777">
        <v>222</v>
      </c>
      <c r="B975" s="777"/>
      <c r="C975" s="777"/>
      <c r="D975" s="777"/>
      <c r="E975" s="779">
        <f t="shared" si="81"/>
        <v>8</v>
      </c>
      <c r="F975" s="779"/>
      <c r="G975" s="779">
        <f t="shared" si="82"/>
        <v>2</v>
      </c>
      <c r="H975" s="780">
        <f t="shared" si="83"/>
        <v>6</v>
      </c>
      <c r="I975" s="781"/>
      <c r="J975" s="783"/>
      <c r="K975" s="776"/>
    </row>
    <row r="976" spans="1:11" ht="18" x14ac:dyDescent="0.15">
      <c r="A976" s="777">
        <v>223</v>
      </c>
      <c r="B976" s="777"/>
      <c r="C976" s="777"/>
      <c r="D976" s="777"/>
      <c r="E976" s="779">
        <f t="shared" si="81"/>
        <v>2192</v>
      </c>
      <c r="F976" s="779"/>
      <c r="G976" s="779">
        <f t="shared" si="82"/>
        <v>926.25</v>
      </c>
      <c r="H976" s="780">
        <f t="shared" si="83"/>
        <v>1265.75</v>
      </c>
      <c r="I976" s="781"/>
      <c r="J976" s="783"/>
      <c r="K976" s="776"/>
    </row>
    <row r="977" spans="1:11" ht="18" x14ac:dyDescent="0.15">
      <c r="A977" s="777">
        <v>224</v>
      </c>
      <c r="B977" s="777"/>
      <c r="C977" s="777"/>
      <c r="D977" s="777"/>
      <c r="E977" s="779">
        <f t="shared" si="81"/>
        <v>620</v>
      </c>
      <c r="F977" s="779"/>
      <c r="G977" s="779">
        <f t="shared" si="82"/>
        <v>258.33</v>
      </c>
      <c r="H977" s="780">
        <f t="shared" si="83"/>
        <v>361.67</v>
      </c>
      <c r="I977" s="781"/>
      <c r="J977" s="783"/>
      <c r="K977" s="776"/>
    </row>
    <row r="978" spans="1:11" ht="18" x14ac:dyDescent="0.15">
      <c r="A978" s="777">
        <v>225</v>
      </c>
      <c r="B978" s="777"/>
      <c r="C978" s="777"/>
      <c r="D978" s="777"/>
      <c r="E978" s="779">
        <f t="shared" si="81"/>
        <v>2144</v>
      </c>
      <c r="F978" s="779"/>
      <c r="G978" s="779">
        <f t="shared" si="82"/>
        <v>536</v>
      </c>
      <c r="H978" s="780">
        <f t="shared" si="83"/>
        <v>1608</v>
      </c>
      <c r="I978" s="781"/>
      <c r="J978" s="783"/>
      <c r="K978" s="776"/>
    </row>
    <row r="979" spans="1:11" ht="18" x14ac:dyDescent="0.15">
      <c r="A979" s="777">
        <v>226</v>
      </c>
      <c r="B979" s="777"/>
      <c r="C979" s="777"/>
      <c r="D979" s="777"/>
      <c r="E979" s="779">
        <f t="shared" si="81"/>
        <v>2471.1729999999998</v>
      </c>
      <c r="F979" s="779"/>
      <c r="G979" s="779">
        <f t="shared" si="82"/>
        <v>1024.8800000000001</v>
      </c>
      <c r="H979" s="780">
        <f t="shared" si="83"/>
        <v>1446.2929999999997</v>
      </c>
      <c r="I979" s="781"/>
      <c r="J979" s="783"/>
      <c r="K979" s="776"/>
    </row>
    <row r="980" spans="1:11" ht="18" x14ac:dyDescent="0.15">
      <c r="A980" s="777">
        <v>290</v>
      </c>
      <c r="B980" s="777"/>
      <c r="C980" s="777"/>
      <c r="D980" s="777"/>
      <c r="E980" s="779">
        <f>H427+H428</f>
        <v>2449.1</v>
      </c>
      <c r="F980" s="779"/>
      <c r="G980" s="779">
        <f>I427+I428</f>
        <v>1250.1000000000001</v>
      </c>
      <c r="H980" s="780">
        <f t="shared" si="83"/>
        <v>1198.9999999999998</v>
      </c>
      <c r="I980" s="781"/>
      <c r="J980" s="783"/>
      <c r="K980" s="776"/>
    </row>
    <row r="981" spans="1:11" ht="18" x14ac:dyDescent="0.15">
      <c r="A981" s="777">
        <v>310</v>
      </c>
      <c r="B981" s="777"/>
      <c r="C981" s="777"/>
      <c r="D981" s="777"/>
      <c r="E981" s="779">
        <f>H429</f>
        <v>445.08000000000004</v>
      </c>
      <c r="F981" s="779"/>
      <c r="G981" s="779">
        <f>I429</f>
        <v>0</v>
      </c>
      <c r="H981" s="780">
        <f t="shared" si="83"/>
        <v>445.08000000000004</v>
      </c>
      <c r="I981" s="781"/>
      <c r="J981" s="783"/>
      <c r="K981" s="776"/>
    </row>
    <row r="982" spans="1:11" ht="18" x14ac:dyDescent="0.15">
      <c r="A982" s="777">
        <v>340</v>
      </c>
      <c r="B982" s="777"/>
      <c r="C982" s="777"/>
      <c r="D982" s="777"/>
      <c r="E982" s="779">
        <f>H430</f>
        <v>357.1</v>
      </c>
      <c r="F982" s="779"/>
      <c r="G982" s="779">
        <f>I430</f>
        <v>91.670000000000016</v>
      </c>
      <c r="H982" s="780">
        <f t="shared" si="83"/>
        <v>265.43</v>
      </c>
      <c r="I982" s="781"/>
      <c r="J982" s="783"/>
      <c r="K982" s="776"/>
    </row>
    <row r="983" spans="1:11" ht="13" x14ac:dyDescent="0.15">
      <c r="A983" s="777"/>
      <c r="B983" s="777"/>
      <c r="C983" s="777"/>
      <c r="D983" s="777"/>
      <c r="E983" s="784">
        <f>SUM(E971:E982)</f>
        <v>55336.6</v>
      </c>
      <c r="F983" s="784"/>
      <c r="G983" s="784">
        <f>SUM(G971:G982)</f>
        <v>24983.759999999998</v>
      </c>
      <c r="H983" s="785">
        <f>SUM(H971:H982)</f>
        <v>30352.839999999997</v>
      </c>
      <c r="I983" s="784"/>
      <c r="J983" s="776"/>
      <c r="K983" s="776"/>
    </row>
    <row r="984" spans="1:11" ht="13" x14ac:dyDescent="0.15">
      <c r="A984" s="777"/>
      <c r="B984" s="777"/>
      <c r="C984" s="777"/>
      <c r="D984" s="777"/>
      <c r="E984" s="784"/>
      <c r="F984" s="784"/>
      <c r="G984" s="784"/>
      <c r="H984" s="785"/>
      <c r="I984" s="784"/>
      <c r="J984" s="776"/>
      <c r="K984" s="776"/>
    </row>
    <row r="985" spans="1:11" ht="13" x14ac:dyDescent="0.15">
      <c r="A985" s="777" t="s">
        <v>40</v>
      </c>
      <c r="B985" s="777"/>
      <c r="C985" s="777"/>
      <c r="D985" s="777"/>
      <c r="E985" s="784"/>
      <c r="F985" s="784"/>
      <c r="G985" s="784"/>
      <c r="H985" s="785"/>
      <c r="I985" s="778"/>
      <c r="J985" s="776"/>
      <c r="K985" s="776"/>
    </row>
    <row r="986" spans="1:11" x14ac:dyDescent="0.15">
      <c r="A986" s="777">
        <v>211</v>
      </c>
      <c r="B986" s="777"/>
      <c r="C986" s="777"/>
      <c r="D986" s="777"/>
      <c r="E986" s="779">
        <f>H809</f>
        <v>318054.97899999999</v>
      </c>
      <c r="F986" s="779"/>
      <c r="G986" s="779">
        <f>I809</f>
        <v>146015.06999999998</v>
      </c>
      <c r="H986" s="780">
        <f>E986-G986</f>
        <v>172039.90900000001</v>
      </c>
      <c r="I986" s="781"/>
      <c r="J986" s="782"/>
      <c r="K986" s="776"/>
    </row>
    <row r="987" spans="1:11" ht="18" x14ac:dyDescent="0.15">
      <c r="A987" s="777">
        <v>212</v>
      </c>
      <c r="B987" s="777"/>
      <c r="C987" s="777"/>
      <c r="D987" s="777"/>
      <c r="E987" s="779">
        <f t="shared" ref="E987:E994" si="84">H810</f>
        <v>369.3</v>
      </c>
      <c r="F987" s="779"/>
      <c r="G987" s="779">
        <f t="shared" ref="G987:G994" si="85">I810</f>
        <v>83.33</v>
      </c>
      <c r="H987" s="780">
        <f>E987-G987-6.6-16.7-23.1-32.9-54.3</f>
        <v>152.37</v>
      </c>
      <c r="I987" s="781"/>
      <c r="J987" s="783"/>
      <c r="K987" s="776"/>
    </row>
    <row r="988" spans="1:11" x14ac:dyDescent="0.15">
      <c r="A988" s="777">
        <v>213</v>
      </c>
      <c r="B988" s="777"/>
      <c r="C988" s="777"/>
      <c r="D988" s="777"/>
      <c r="E988" s="779">
        <f t="shared" si="84"/>
        <v>94861.786999999997</v>
      </c>
      <c r="F988" s="779"/>
      <c r="G988" s="779">
        <f t="shared" si="85"/>
        <v>47246.290000000008</v>
      </c>
      <c r="H988" s="780">
        <f t="shared" ref="H988:H997" si="86">E988-G988</f>
        <v>47615.496999999988</v>
      </c>
      <c r="I988" s="781"/>
      <c r="J988" s="782"/>
      <c r="K988" s="776"/>
    </row>
    <row r="989" spans="1:11" ht="18" x14ac:dyDescent="0.15">
      <c r="A989" s="777">
        <v>221</v>
      </c>
      <c r="B989" s="777"/>
      <c r="C989" s="777"/>
      <c r="D989" s="777"/>
      <c r="E989" s="779">
        <f t="shared" si="84"/>
        <v>0</v>
      </c>
      <c r="F989" s="779"/>
      <c r="G989" s="779">
        <f t="shared" si="85"/>
        <v>0</v>
      </c>
      <c r="H989" s="780">
        <f t="shared" si="86"/>
        <v>0</v>
      </c>
      <c r="I989" s="781"/>
      <c r="J989" s="783"/>
      <c r="K989" s="776"/>
    </row>
    <row r="990" spans="1:11" ht="18" x14ac:dyDescent="0.15">
      <c r="A990" s="777">
        <v>222</v>
      </c>
      <c r="B990" s="777"/>
      <c r="C990" s="777"/>
      <c r="D990" s="777"/>
      <c r="E990" s="779">
        <f t="shared" si="84"/>
        <v>5258.6390000000001</v>
      </c>
      <c r="F990" s="779"/>
      <c r="G990" s="779">
        <f t="shared" si="85"/>
        <v>804</v>
      </c>
      <c r="H990" s="780">
        <f>E990-G990-75-283.534-145.872-195.162-253.149-277.803</f>
        <v>3224.1190000000011</v>
      </c>
      <c r="I990" s="781"/>
      <c r="J990" s="783"/>
      <c r="K990" s="776"/>
    </row>
    <row r="991" spans="1:11" ht="18" x14ac:dyDescent="0.15">
      <c r="A991" s="777">
        <v>223</v>
      </c>
      <c r="B991" s="777"/>
      <c r="C991" s="777"/>
      <c r="D991" s="777"/>
      <c r="E991" s="779">
        <f t="shared" si="84"/>
        <v>6594.92</v>
      </c>
      <c r="F991" s="779"/>
      <c r="G991" s="779">
        <f t="shared" si="85"/>
        <v>3001.54</v>
      </c>
      <c r="H991" s="780">
        <f t="shared" si="86"/>
        <v>3593.38</v>
      </c>
      <c r="I991" s="781"/>
      <c r="J991" s="783"/>
      <c r="K991" s="776"/>
    </row>
    <row r="992" spans="1:11" ht="18" x14ac:dyDescent="0.15">
      <c r="A992" s="777">
        <v>224</v>
      </c>
      <c r="B992" s="777"/>
      <c r="C992" s="777"/>
      <c r="D992" s="777"/>
      <c r="E992" s="779">
        <f t="shared" si="84"/>
        <v>580</v>
      </c>
      <c r="F992" s="779"/>
      <c r="G992" s="779">
        <f t="shared" si="85"/>
        <v>241.67000000000002</v>
      </c>
      <c r="H992" s="780">
        <f t="shared" si="86"/>
        <v>338.33</v>
      </c>
      <c r="I992" s="781"/>
      <c r="J992" s="783"/>
      <c r="K992" s="776"/>
    </row>
    <row r="993" spans="1:11" ht="18" x14ac:dyDescent="0.15">
      <c r="A993" s="777">
        <v>225</v>
      </c>
      <c r="B993" s="777"/>
      <c r="C993" s="777"/>
      <c r="D993" s="777"/>
      <c r="E993" s="779">
        <f t="shared" si="84"/>
        <v>12729.03</v>
      </c>
      <c r="F993" s="779"/>
      <c r="G993" s="779">
        <f t="shared" si="85"/>
        <v>157.75</v>
      </c>
      <c r="H993" s="780">
        <f>E993-G993-4000</f>
        <v>8571.2800000000007</v>
      </c>
      <c r="I993" s="781"/>
      <c r="J993" s="783"/>
      <c r="K993" s="776"/>
    </row>
    <row r="994" spans="1:11" ht="18" x14ac:dyDescent="0.15">
      <c r="A994" s="777">
        <v>226</v>
      </c>
      <c r="B994" s="777"/>
      <c r="C994" s="777"/>
      <c r="D994" s="777"/>
      <c r="E994" s="779">
        <f t="shared" si="84"/>
        <v>10373.707</v>
      </c>
      <c r="F994" s="779"/>
      <c r="G994" s="779">
        <f t="shared" si="85"/>
        <v>3970.7299999999996</v>
      </c>
      <c r="H994" s="780">
        <f>E994-G994-250-149.55-166.7-195.99-278.73-391.85</f>
        <v>4970.1570000000011</v>
      </c>
      <c r="I994" s="781"/>
      <c r="J994" s="783"/>
      <c r="K994" s="776"/>
    </row>
    <row r="995" spans="1:11" ht="18" x14ac:dyDescent="0.15">
      <c r="A995" s="777">
        <v>290</v>
      </c>
      <c r="B995" s="777"/>
      <c r="C995" s="777"/>
      <c r="D995" s="777"/>
      <c r="E995" s="779">
        <f>H818+H819</f>
        <v>13422.690999999999</v>
      </c>
      <c r="F995" s="779"/>
      <c r="G995" s="779">
        <f>I818+I819</f>
        <v>7172.72</v>
      </c>
      <c r="H995" s="780">
        <f t="shared" si="86"/>
        <v>6249.9709999999986</v>
      </c>
      <c r="I995" s="781"/>
      <c r="J995" s="783"/>
      <c r="K995" s="776"/>
    </row>
    <row r="996" spans="1:11" ht="18" x14ac:dyDescent="0.15">
      <c r="A996" s="777">
        <v>310</v>
      </c>
      <c r="B996" s="777"/>
      <c r="C996" s="777"/>
      <c r="D996" s="777"/>
      <c r="E996" s="779">
        <f>H820</f>
        <v>13458.079000000002</v>
      </c>
      <c r="F996" s="779"/>
      <c r="G996" s="779">
        <f>I820</f>
        <v>0</v>
      </c>
      <c r="H996" s="780">
        <f>E996-G996-7000</f>
        <v>6458.0790000000015</v>
      </c>
      <c r="I996" s="781"/>
      <c r="J996" s="783"/>
      <c r="K996" s="776"/>
    </row>
    <row r="997" spans="1:11" ht="18" x14ac:dyDescent="0.15">
      <c r="A997" s="777">
        <v>340</v>
      </c>
      <c r="B997" s="777"/>
      <c r="C997" s="777"/>
      <c r="D997" s="777"/>
      <c r="E997" s="779">
        <f>H821</f>
        <v>3280.7539999999999</v>
      </c>
      <c r="F997" s="779"/>
      <c r="G997" s="779">
        <f>I821</f>
        <v>1088.1100000000001</v>
      </c>
      <c r="H997" s="780">
        <f t="shared" si="86"/>
        <v>2192.6439999999998</v>
      </c>
      <c r="I997" s="781"/>
      <c r="J997" s="783"/>
      <c r="K997" s="776"/>
    </row>
    <row r="998" spans="1:11" ht="13" x14ac:dyDescent="0.15">
      <c r="A998" s="777"/>
      <c r="B998" s="777"/>
      <c r="C998" s="777"/>
      <c r="D998" s="777"/>
      <c r="E998" s="784">
        <f>SUM(E986:E997)</f>
        <v>478983.88600000006</v>
      </c>
      <c r="F998" s="784"/>
      <c r="G998" s="784">
        <f>SUM(G986:G997)</f>
        <v>209781.21</v>
      </c>
      <c r="H998" s="785">
        <f>SUM(H986:H997)</f>
        <v>255405.736</v>
      </c>
      <c r="I998" s="784"/>
      <c r="J998" s="776"/>
      <c r="K998" s="776"/>
    </row>
    <row r="999" spans="1:11" ht="13" x14ac:dyDescent="0.15">
      <c r="A999" s="777" t="s">
        <v>945</v>
      </c>
      <c r="B999" s="777"/>
      <c r="C999" s="777"/>
      <c r="D999" s="777"/>
      <c r="E999" s="777"/>
      <c r="F999" s="777"/>
      <c r="G999" s="777"/>
      <c r="H999" s="740"/>
      <c r="I999" s="778"/>
      <c r="J999" s="776"/>
      <c r="K999" s="776"/>
    </row>
    <row r="1000" spans="1:11" ht="13" x14ac:dyDescent="0.15">
      <c r="A1000" s="777">
        <v>211</v>
      </c>
      <c r="B1000" s="777"/>
      <c r="C1000" s="777"/>
      <c r="D1000" s="777"/>
      <c r="E1000" s="779">
        <f>H841</f>
        <v>1008.3</v>
      </c>
      <c r="F1000" s="779"/>
      <c r="G1000" s="779">
        <f>I841</f>
        <v>464.96</v>
      </c>
      <c r="H1000" s="780">
        <f>E1000-G1000</f>
        <v>543.33999999999992</v>
      </c>
      <c r="I1000" s="779"/>
      <c r="J1000" s="776"/>
      <c r="K1000" s="776"/>
    </row>
    <row r="1001" spans="1:11" ht="13" x14ac:dyDescent="0.15">
      <c r="A1001" s="777">
        <v>212</v>
      </c>
      <c r="B1001" s="777"/>
      <c r="C1001" s="777"/>
      <c r="D1001" s="777"/>
      <c r="E1001" s="779">
        <f t="shared" ref="E1001:E1008" si="87">H842</f>
        <v>0</v>
      </c>
      <c r="F1001" s="779"/>
      <c r="G1001" s="779">
        <f t="shared" ref="G1001:G1008" si="88">I842</f>
        <v>0</v>
      </c>
      <c r="H1001" s="780">
        <f t="shared" ref="H1001:H1010" si="89">E1001-G1001</f>
        <v>0</v>
      </c>
      <c r="I1001" s="788"/>
      <c r="J1001" s="776"/>
      <c r="K1001" s="776"/>
    </row>
    <row r="1002" spans="1:11" ht="13" x14ac:dyDescent="0.15">
      <c r="A1002" s="777">
        <v>213</v>
      </c>
      <c r="B1002" s="777"/>
      <c r="C1002" s="777"/>
      <c r="D1002" s="777"/>
      <c r="E1002" s="779">
        <f t="shared" si="87"/>
        <v>307.81833999999998</v>
      </c>
      <c r="F1002" s="779"/>
      <c r="G1002" s="779">
        <f t="shared" si="88"/>
        <v>150.44</v>
      </c>
      <c r="H1002" s="780">
        <f t="shared" si="89"/>
        <v>157.37833999999998</v>
      </c>
      <c r="I1002" s="779"/>
      <c r="J1002" s="776"/>
      <c r="K1002" s="776"/>
    </row>
    <row r="1003" spans="1:11" ht="13" x14ac:dyDescent="0.15">
      <c r="A1003" s="777">
        <v>221</v>
      </c>
      <c r="B1003" s="777"/>
      <c r="C1003" s="777"/>
      <c r="D1003" s="777"/>
      <c r="E1003" s="779">
        <f t="shared" si="87"/>
        <v>12.681660000000001</v>
      </c>
      <c r="F1003" s="779"/>
      <c r="G1003" s="779">
        <f t="shared" si="88"/>
        <v>4</v>
      </c>
      <c r="H1003" s="780">
        <f t="shared" si="89"/>
        <v>8.6816600000000008</v>
      </c>
      <c r="I1003" s="779"/>
      <c r="J1003" s="776"/>
      <c r="K1003" s="776"/>
    </row>
    <row r="1004" spans="1:11" ht="13" x14ac:dyDescent="0.15">
      <c r="A1004" s="777">
        <v>222</v>
      </c>
      <c r="B1004" s="777"/>
      <c r="C1004" s="777"/>
      <c r="D1004" s="777"/>
      <c r="E1004" s="779">
        <f t="shared" si="87"/>
        <v>25.36999999999999</v>
      </c>
      <c r="F1004" s="779"/>
      <c r="G1004" s="779">
        <f t="shared" si="88"/>
        <v>22.65</v>
      </c>
      <c r="H1004" s="780">
        <f t="shared" si="89"/>
        <v>2.7199999999999918</v>
      </c>
      <c r="I1004" s="779"/>
      <c r="J1004" s="776"/>
      <c r="K1004" s="776"/>
    </row>
    <row r="1005" spans="1:11" ht="13" x14ac:dyDescent="0.15">
      <c r="A1005" s="777">
        <v>223</v>
      </c>
      <c r="B1005" s="777"/>
      <c r="C1005" s="777"/>
      <c r="D1005" s="777"/>
      <c r="E1005" s="779">
        <f t="shared" si="87"/>
        <v>0</v>
      </c>
      <c r="F1005" s="779"/>
      <c r="G1005" s="779">
        <f t="shared" si="88"/>
        <v>0</v>
      </c>
      <c r="H1005" s="780">
        <f t="shared" si="89"/>
        <v>0</v>
      </c>
      <c r="I1005" s="779"/>
      <c r="J1005" s="776"/>
      <c r="K1005" s="776"/>
    </row>
    <row r="1006" spans="1:11" ht="13" x14ac:dyDescent="0.15">
      <c r="A1006" s="777">
        <v>224</v>
      </c>
      <c r="B1006" s="777"/>
      <c r="C1006" s="777"/>
      <c r="D1006" s="777"/>
      <c r="E1006" s="779">
        <f t="shared" si="87"/>
        <v>0</v>
      </c>
      <c r="F1006" s="779"/>
      <c r="G1006" s="779">
        <f t="shared" si="88"/>
        <v>0</v>
      </c>
      <c r="H1006" s="780">
        <f t="shared" si="89"/>
        <v>0</v>
      </c>
      <c r="I1006" s="779"/>
      <c r="J1006" s="776"/>
      <c r="K1006" s="776"/>
    </row>
    <row r="1007" spans="1:11" ht="13" x14ac:dyDescent="0.15">
      <c r="A1007" s="777">
        <v>225</v>
      </c>
      <c r="B1007" s="777"/>
      <c r="C1007" s="777"/>
      <c r="D1007" s="777"/>
      <c r="E1007" s="779">
        <f t="shared" si="87"/>
        <v>9502.5</v>
      </c>
      <c r="F1007" s="779"/>
      <c r="G1007" s="779">
        <f t="shared" si="88"/>
        <v>9502.5</v>
      </c>
      <c r="H1007" s="780">
        <f t="shared" si="89"/>
        <v>0</v>
      </c>
      <c r="I1007" s="779"/>
      <c r="J1007" s="776"/>
      <c r="K1007" s="776"/>
    </row>
    <row r="1008" spans="1:11" ht="13" x14ac:dyDescent="0.15">
      <c r="A1008" s="777">
        <v>226</v>
      </c>
      <c r="B1008" s="777"/>
      <c r="C1008" s="777"/>
      <c r="D1008" s="777"/>
      <c r="E1008" s="779">
        <f t="shared" si="87"/>
        <v>473</v>
      </c>
      <c r="F1008" s="779"/>
      <c r="G1008" s="779">
        <f t="shared" si="88"/>
        <v>473</v>
      </c>
      <c r="H1008" s="780">
        <f t="shared" si="89"/>
        <v>0</v>
      </c>
      <c r="I1008" s="789"/>
      <c r="J1008" s="776"/>
      <c r="K1008" s="776"/>
    </row>
    <row r="1009" spans="1:11" x14ac:dyDescent="0.15">
      <c r="A1009" s="777">
        <v>290</v>
      </c>
      <c r="B1009" s="777"/>
      <c r="C1009" s="777"/>
      <c r="D1009" s="777"/>
      <c r="E1009" s="779">
        <f>H850+H851</f>
        <v>4.4000000000000004</v>
      </c>
      <c r="F1009" s="779"/>
      <c r="G1009" s="779">
        <f>I851+I850</f>
        <v>2.2199999999999998</v>
      </c>
      <c r="H1009" s="780">
        <f t="shared" si="89"/>
        <v>2.1800000000000006</v>
      </c>
      <c r="I1009" s="790"/>
      <c r="J1009" s="776"/>
      <c r="K1009" s="776"/>
    </row>
    <row r="1010" spans="1:11" x14ac:dyDescent="0.15">
      <c r="A1010" s="777">
        <v>310</v>
      </c>
      <c r="B1010" s="777"/>
      <c r="C1010" s="777"/>
      <c r="D1010" s="777"/>
      <c r="E1010" s="779">
        <f>H852</f>
        <v>0</v>
      </c>
      <c r="F1010" s="779"/>
      <c r="G1010" s="779">
        <f>I852</f>
        <v>0</v>
      </c>
      <c r="H1010" s="780">
        <f t="shared" si="89"/>
        <v>0</v>
      </c>
      <c r="I1010" s="790"/>
      <c r="J1010" s="776"/>
      <c r="K1010" s="776"/>
    </row>
    <row r="1011" spans="1:11" x14ac:dyDescent="0.15">
      <c r="A1011" s="777">
        <v>340</v>
      </c>
      <c r="B1011" s="777"/>
      <c r="C1011" s="777"/>
      <c r="D1011" s="777"/>
      <c r="E1011" s="779">
        <f>H853</f>
        <v>115.23</v>
      </c>
      <c r="F1011" s="779"/>
      <c r="G1011" s="779">
        <f>I853</f>
        <v>16.670000000000002</v>
      </c>
      <c r="H1011" s="780">
        <f>E1011-G1011</f>
        <v>98.56</v>
      </c>
      <c r="I1011" s="790"/>
      <c r="J1011" s="776"/>
      <c r="K1011" s="776"/>
    </row>
    <row r="1012" spans="1:11" ht="13" x14ac:dyDescent="0.15">
      <c r="A1012" s="777"/>
      <c r="B1012" s="777"/>
      <c r="C1012" s="777"/>
      <c r="D1012" s="777"/>
      <c r="E1012" s="784">
        <f>SUM(E1000:E1011)</f>
        <v>11449.3</v>
      </c>
      <c r="F1012" s="784"/>
      <c r="G1012" s="784">
        <f>SUM(G1000:G1011)</f>
        <v>10636.439999999999</v>
      </c>
      <c r="H1012" s="780">
        <f>SUM(H1000:H1011)</f>
        <v>812.8599999999999</v>
      </c>
      <c r="I1012" s="791">
        <f>SUM(I1000:I1011)</f>
        <v>0</v>
      </c>
      <c r="J1012" s="776"/>
      <c r="K1012" s="776"/>
    </row>
    <row r="1013" spans="1:11" ht="13" x14ac:dyDescent="0.15">
      <c r="A1013" s="769"/>
      <c r="B1013" s="769"/>
      <c r="C1013" s="769"/>
      <c r="D1013" s="769"/>
      <c r="E1013" s="769"/>
      <c r="F1013" s="769"/>
      <c r="G1013" s="769"/>
      <c r="H1013" s="775"/>
      <c r="I1013" s="776"/>
      <c r="J1013" s="776"/>
      <c r="K1013" s="776"/>
    </row>
    <row r="1014" spans="1:11" ht="13" x14ac:dyDescent="0.15">
      <c r="A1014" s="777" t="s">
        <v>946</v>
      </c>
      <c r="B1014" s="777"/>
      <c r="C1014" s="777"/>
      <c r="D1014" s="777"/>
      <c r="E1014" s="777"/>
      <c r="F1014" s="777"/>
      <c r="G1014" s="777"/>
      <c r="H1014" s="740"/>
      <c r="I1014" s="778"/>
      <c r="J1014" s="776"/>
      <c r="K1014" s="776"/>
    </row>
    <row r="1015" spans="1:11" ht="13" x14ac:dyDescent="0.15">
      <c r="A1015" s="777">
        <v>211</v>
      </c>
      <c r="B1015" s="777"/>
      <c r="C1015" s="777"/>
      <c r="D1015" s="777"/>
      <c r="E1015" s="779">
        <f>E928+E942+E957+E971+E986+E1000</f>
        <v>495258.72699999996</v>
      </c>
      <c r="F1015" s="779"/>
      <c r="G1015" s="779">
        <f>G928+G942+G957+G971+G986+G1000</f>
        <v>227331.58999999997</v>
      </c>
      <c r="H1015" s="792">
        <f>H928+H942+H957+H971+H986+H1000</f>
        <v>267927.13700000005</v>
      </c>
      <c r="I1015" s="779"/>
      <c r="J1015" s="776"/>
      <c r="K1015" s="776"/>
    </row>
    <row r="1016" spans="1:11" ht="13" x14ac:dyDescent="0.15">
      <c r="A1016" s="777">
        <v>212</v>
      </c>
      <c r="B1016" s="777"/>
      <c r="C1016" s="777"/>
      <c r="D1016" s="777"/>
      <c r="E1016" s="779">
        <f t="shared" ref="E1016:E1026" si="90">E929+E943+E958+E972+E987+E1001</f>
        <v>970.04</v>
      </c>
      <c r="F1016" s="779"/>
      <c r="G1016" s="779">
        <f t="shared" ref="G1016:H1026" si="91">G929+G943+G958+G972+G987+G1001</f>
        <v>336.64000000000004</v>
      </c>
      <c r="H1016" s="792">
        <f t="shared" si="91"/>
        <v>490.89999999999992</v>
      </c>
      <c r="I1016" s="788"/>
      <c r="J1016" s="776"/>
      <c r="K1016" s="776"/>
    </row>
    <row r="1017" spans="1:11" ht="13" x14ac:dyDescent="0.15">
      <c r="A1017" s="777">
        <v>213</v>
      </c>
      <c r="B1017" s="777"/>
      <c r="C1017" s="777"/>
      <c r="D1017" s="777"/>
      <c r="E1017" s="779">
        <f t="shared" si="90"/>
        <v>147966.43933999998</v>
      </c>
      <c r="F1017" s="779"/>
      <c r="G1017" s="779">
        <f t="shared" si="91"/>
        <v>73733.565000000002</v>
      </c>
      <c r="H1017" s="792">
        <f t="shared" si="91"/>
        <v>74232.87433999998</v>
      </c>
      <c r="I1017" s="779"/>
      <c r="J1017" s="776"/>
      <c r="K1017" s="776"/>
    </row>
    <row r="1018" spans="1:11" ht="13" x14ac:dyDescent="0.15">
      <c r="A1018" s="777">
        <v>221</v>
      </c>
      <c r="B1018" s="777"/>
      <c r="C1018" s="777"/>
      <c r="D1018" s="777"/>
      <c r="E1018" s="779">
        <f t="shared" si="90"/>
        <v>617.54466000000002</v>
      </c>
      <c r="F1018" s="779"/>
      <c r="G1018" s="779">
        <f t="shared" si="91"/>
        <v>138</v>
      </c>
      <c r="H1018" s="792">
        <f t="shared" si="91"/>
        <v>479.54466000000002</v>
      </c>
      <c r="I1018" s="779"/>
      <c r="J1018" s="776"/>
      <c r="K1018" s="776"/>
    </row>
    <row r="1019" spans="1:11" ht="13" x14ac:dyDescent="0.15">
      <c r="A1019" s="777">
        <v>222</v>
      </c>
      <c r="B1019" s="777"/>
      <c r="C1019" s="777"/>
      <c r="D1019" s="777"/>
      <c r="E1019" s="779">
        <f t="shared" si="90"/>
        <v>7045.8119999999999</v>
      </c>
      <c r="F1019" s="779"/>
      <c r="G1019" s="779">
        <f t="shared" si="91"/>
        <v>1004.9</v>
      </c>
      <c r="H1019" s="792">
        <f t="shared" si="91"/>
        <v>4514.7420000000011</v>
      </c>
      <c r="I1019" s="779"/>
      <c r="J1019" s="776"/>
      <c r="K1019" s="776"/>
    </row>
    <row r="1020" spans="1:11" ht="13" x14ac:dyDescent="0.15">
      <c r="A1020" s="777">
        <v>223</v>
      </c>
      <c r="B1020" s="777"/>
      <c r="C1020" s="777"/>
      <c r="D1020" s="777"/>
      <c r="E1020" s="779">
        <f t="shared" si="90"/>
        <v>13007.132</v>
      </c>
      <c r="F1020" s="779"/>
      <c r="G1020" s="779">
        <f t="shared" si="91"/>
        <v>5708.62</v>
      </c>
      <c r="H1020" s="792">
        <f t="shared" si="91"/>
        <v>7298.5120000000006</v>
      </c>
      <c r="I1020" s="779"/>
      <c r="J1020" s="776"/>
      <c r="K1020" s="776"/>
    </row>
    <row r="1021" spans="1:11" ht="13" x14ac:dyDescent="0.15">
      <c r="A1021" s="777">
        <v>224</v>
      </c>
      <c r="B1021" s="777"/>
      <c r="C1021" s="777"/>
      <c r="D1021" s="777"/>
      <c r="E1021" s="779">
        <f t="shared" si="90"/>
        <v>1203</v>
      </c>
      <c r="F1021" s="779"/>
      <c r="G1021" s="779">
        <f t="shared" si="91"/>
        <v>503</v>
      </c>
      <c r="H1021" s="792">
        <f t="shared" si="91"/>
        <v>700</v>
      </c>
      <c r="I1021" s="779"/>
      <c r="J1021" s="776"/>
      <c r="K1021" s="776"/>
    </row>
    <row r="1022" spans="1:11" ht="13" x14ac:dyDescent="0.15">
      <c r="A1022" s="777">
        <v>225</v>
      </c>
      <c r="B1022" s="777"/>
      <c r="C1022" s="777"/>
      <c r="D1022" s="777"/>
      <c r="E1022" s="779">
        <f t="shared" si="90"/>
        <v>52537.231</v>
      </c>
      <c r="F1022" s="779"/>
      <c r="G1022" s="779">
        <f t="shared" si="91"/>
        <v>11619.279999999999</v>
      </c>
      <c r="H1022" s="792">
        <f t="shared" si="91"/>
        <v>14613.050999999999</v>
      </c>
      <c r="I1022" s="779"/>
      <c r="J1022" s="776"/>
      <c r="K1022" s="776"/>
    </row>
    <row r="1023" spans="1:11" ht="13" x14ac:dyDescent="0.15">
      <c r="A1023" s="777">
        <v>226</v>
      </c>
      <c r="B1023" s="777"/>
      <c r="C1023" s="777"/>
      <c r="D1023" s="777"/>
      <c r="E1023" s="779">
        <f t="shared" si="90"/>
        <v>39340.917000000001</v>
      </c>
      <c r="F1023" s="779"/>
      <c r="G1023" s="779">
        <f t="shared" si="91"/>
        <v>15794.39</v>
      </c>
      <c r="H1023" s="792">
        <f t="shared" si="91"/>
        <v>21171.257000000001</v>
      </c>
      <c r="I1023" s="789"/>
      <c r="J1023" s="776"/>
      <c r="K1023" s="776"/>
    </row>
    <row r="1024" spans="1:11" x14ac:dyDescent="0.15">
      <c r="A1024" s="777">
        <v>290</v>
      </c>
      <c r="B1024" s="777"/>
      <c r="C1024" s="777"/>
      <c r="D1024" s="777"/>
      <c r="E1024" s="779">
        <f t="shared" si="90"/>
        <v>28309.538</v>
      </c>
      <c r="F1024" s="779"/>
      <c r="G1024" s="779">
        <f t="shared" si="91"/>
        <v>15967.009999999997</v>
      </c>
      <c r="H1024" s="792">
        <f t="shared" si="91"/>
        <v>12292.527999999998</v>
      </c>
      <c r="I1024" s="790"/>
      <c r="J1024" s="776"/>
      <c r="K1024" s="776"/>
    </row>
    <row r="1025" spans="1:11" x14ac:dyDescent="0.15">
      <c r="A1025" s="777">
        <v>310</v>
      </c>
      <c r="B1025" s="777"/>
      <c r="C1025" s="777"/>
      <c r="D1025" s="777"/>
      <c r="E1025" s="779">
        <f t="shared" si="90"/>
        <v>16983.292000000001</v>
      </c>
      <c r="F1025" s="779"/>
      <c r="G1025" s="779">
        <f t="shared" si="91"/>
        <v>720</v>
      </c>
      <c r="H1025" s="792">
        <f t="shared" si="91"/>
        <v>9263.2920000000013</v>
      </c>
      <c r="I1025" s="790"/>
      <c r="J1025" s="776"/>
      <c r="K1025" s="776"/>
    </row>
    <row r="1026" spans="1:11" x14ac:dyDescent="0.15">
      <c r="A1026" s="777">
        <v>340</v>
      </c>
      <c r="B1026" s="777"/>
      <c r="C1026" s="777"/>
      <c r="D1026" s="777"/>
      <c r="E1026" s="779">
        <f t="shared" si="90"/>
        <v>5778.0879999999997</v>
      </c>
      <c r="F1026" s="779"/>
      <c r="G1026" s="779">
        <f t="shared" si="91"/>
        <v>1835.2600000000002</v>
      </c>
      <c r="H1026" s="792">
        <f t="shared" si="91"/>
        <v>3849.9279999999994</v>
      </c>
      <c r="I1026" s="790"/>
      <c r="J1026" s="776"/>
      <c r="K1026" s="776"/>
    </row>
    <row r="1027" spans="1:11" ht="13" x14ac:dyDescent="0.15">
      <c r="A1027" s="777"/>
      <c r="B1027" s="777"/>
      <c r="C1027" s="777"/>
      <c r="D1027" s="777"/>
      <c r="E1027" s="784">
        <f>SUM(E1015:E1026)</f>
        <v>809017.76100000006</v>
      </c>
      <c r="F1027" s="784"/>
      <c r="G1027" s="784">
        <f>SUM(G1015:G1026)</f>
        <v>354692.255</v>
      </c>
      <c r="H1027" s="642">
        <f>SUM(H1015:H1026)</f>
        <v>416833.76600000006</v>
      </c>
      <c r="I1027" s="791">
        <f>SUM(I1015:I1026)</f>
        <v>0</v>
      </c>
      <c r="J1027" s="776"/>
      <c r="K1027" s="776"/>
    </row>
    <row r="1028" spans="1:11" ht="13" x14ac:dyDescent="0.15">
      <c r="A1028" s="769"/>
      <c r="B1028" s="769"/>
      <c r="C1028" s="769"/>
      <c r="D1028" s="769"/>
      <c r="E1028" s="769"/>
      <c r="F1028" s="769"/>
      <c r="G1028" s="769"/>
      <c r="H1028" s="775"/>
      <c r="I1028" s="776"/>
      <c r="J1028" s="776"/>
      <c r="K1028" s="776"/>
    </row>
    <row r="1029" spans="1:11" ht="13" x14ac:dyDescent="0.15">
      <c r="A1029" s="769"/>
      <c r="B1029" s="769"/>
      <c r="C1029" s="769"/>
      <c r="D1029" s="769"/>
      <c r="E1029" s="769"/>
      <c r="F1029" s="769"/>
      <c r="G1029" s="769"/>
      <c r="H1029" s="775"/>
      <c r="I1029" s="776"/>
      <c r="J1029" s="776"/>
      <c r="K1029" s="776"/>
    </row>
    <row r="1030" spans="1:11" ht="13" x14ac:dyDescent="0.15">
      <c r="A1030" s="769"/>
      <c r="B1030" s="769"/>
      <c r="C1030" s="769"/>
      <c r="D1030" s="769"/>
      <c r="E1030" s="769"/>
      <c r="F1030" s="769"/>
      <c r="G1030" s="769"/>
      <c r="H1030" s="775"/>
      <c r="I1030" s="776"/>
      <c r="J1030" s="776"/>
      <c r="K1030" s="776"/>
    </row>
    <row r="1031" spans="1:11" ht="13" x14ac:dyDescent="0.15">
      <c r="A1031" s="769"/>
      <c r="B1031" s="769"/>
      <c r="C1031" s="769"/>
      <c r="D1031" s="769"/>
      <c r="E1031" s="769"/>
      <c r="F1031" s="769"/>
      <c r="G1031" s="769"/>
      <c r="H1031" s="775"/>
      <c r="I1031" s="776"/>
      <c r="J1031" s="776"/>
      <c r="K1031" s="776"/>
    </row>
    <row r="1032" spans="1:11" ht="13" x14ac:dyDescent="0.15">
      <c r="A1032" s="769"/>
      <c r="B1032" s="769"/>
      <c r="C1032" s="769"/>
      <c r="D1032" s="769"/>
      <c r="E1032" s="769"/>
      <c r="F1032" s="769"/>
      <c r="G1032" s="769"/>
      <c r="H1032" s="775"/>
      <c r="I1032" s="776"/>
      <c r="J1032" s="776"/>
      <c r="K1032" s="776"/>
    </row>
    <row r="1033" spans="1:11" ht="13" x14ac:dyDescent="0.15">
      <c r="A1033" s="769"/>
      <c r="B1033" s="769"/>
      <c r="C1033" s="769"/>
      <c r="D1033" s="769"/>
      <c r="E1033" s="769"/>
      <c r="F1033" s="769"/>
      <c r="G1033" s="769"/>
      <c r="H1033" s="775"/>
      <c r="I1033" s="776"/>
      <c r="J1033" s="776"/>
      <c r="K1033" s="776"/>
    </row>
    <row r="1034" spans="1:11" ht="13" x14ac:dyDescent="0.15">
      <c r="A1034" s="769"/>
      <c r="B1034" s="769"/>
      <c r="C1034" s="769"/>
      <c r="D1034" s="769"/>
      <c r="E1034" s="769"/>
      <c r="F1034" s="769"/>
      <c r="G1034" s="769"/>
      <c r="H1034" s="775"/>
      <c r="I1034" s="776"/>
      <c r="J1034" s="776"/>
      <c r="K1034" s="776"/>
    </row>
    <row r="1035" spans="1:11" ht="13" x14ac:dyDescent="0.15">
      <c r="A1035" s="769"/>
      <c r="B1035" s="769"/>
      <c r="C1035" s="769"/>
      <c r="D1035" s="769"/>
      <c r="E1035" s="769"/>
      <c r="F1035" s="769"/>
      <c r="G1035" s="769"/>
      <c r="H1035" s="775"/>
      <c r="I1035" s="776"/>
      <c r="J1035" s="776"/>
      <c r="K1035" s="776"/>
    </row>
    <row r="1036" spans="1:11" ht="13" x14ac:dyDescent="0.15">
      <c r="A1036" s="769"/>
      <c r="B1036" s="769"/>
      <c r="C1036" s="769"/>
      <c r="D1036" s="769"/>
      <c r="E1036" s="769"/>
      <c r="F1036" s="769"/>
      <c r="G1036" s="769"/>
      <c r="H1036" s="775"/>
      <c r="I1036" s="776"/>
      <c r="J1036" s="776"/>
      <c r="K1036" s="776"/>
    </row>
    <row r="1037" spans="1:11" ht="13" x14ac:dyDescent="0.15">
      <c r="A1037" s="769"/>
      <c r="B1037" s="769"/>
      <c r="C1037" s="769"/>
      <c r="D1037" s="769"/>
      <c r="E1037" s="769"/>
      <c r="F1037" s="769"/>
      <c r="G1037" s="769"/>
      <c r="H1037" s="775"/>
      <c r="I1037" s="776"/>
      <c r="J1037" s="776"/>
      <c r="K1037" s="776"/>
    </row>
    <row r="1038" spans="1:11" ht="13" x14ac:dyDescent="0.15">
      <c r="A1038" s="769"/>
      <c r="B1038" s="769"/>
      <c r="C1038" s="769"/>
      <c r="D1038" s="769"/>
      <c r="E1038" s="769"/>
      <c r="F1038" s="769"/>
      <c r="G1038" s="769"/>
      <c r="H1038" s="775"/>
      <c r="I1038" s="776"/>
      <c r="J1038" s="776"/>
      <c r="K1038" s="776"/>
    </row>
    <row r="1039" spans="1:11" ht="13" x14ac:dyDescent="0.15">
      <c r="A1039" s="769"/>
      <c r="B1039" s="769"/>
      <c r="C1039" s="769"/>
      <c r="D1039" s="769"/>
      <c r="E1039" s="769"/>
      <c r="F1039" s="769"/>
      <c r="G1039" s="769"/>
      <c r="H1039" s="775"/>
      <c r="I1039" s="776"/>
      <c r="J1039" s="776"/>
      <c r="K1039" s="776"/>
    </row>
    <row r="1040" spans="1:11" ht="13" x14ac:dyDescent="0.15">
      <c r="A1040" s="769"/>
      <c r="B1040" s="769"/>
      <c r="C1040" s="769"/>
      <c r="D1040" s="769"/>
      <c r="E1040" s="769"/>
      <c r="F1040" s="769"/>
      <c r="G1040" s="769"/>
      <c r="H1040" s="775"/>
      <c r="I1040" s="776"/>
      <c r="J1040" s="776"/>
      <c r="K1040" s="776"/>
    </row>
    <row r="1041" spans="1:16" ht="13" x14ac:dyDescent="0.15">
      <c r="A1041" s="769"/>
      <c r="B1041" s="769"/>
      <c r="C1041" s="769"/>
      <c r="D1041" s="769"/>
      <c r="E1041" s="769"/>
      <c r="F1041" s="769"/>
      <c r="G1041" s="769"/>
      <c r="H1041" s="775"/>
      <c r="I1041" s="776"/>
      <c r="J1041" s="776"/>
      <c r="K1041" s="776"/>
    </row>
    <row r="1042" spans="1:16" ht="13" x14ac:dyDescent="0.15">
      <c r="A1042" s="769"/>
      <c r="B1042" s="769"/>
      <c r="C1042" s="769"/>
      <c r="D1042" s="769"/>
      <c r="E1042" s="769"/>
      <c r="F1042" s="769"/>
      <c r="G1042" s="769"/>
      <c r="H1042" s="775"/>
      <c r="I1042" s="776"/>
      <c r="J1042" s="776"/>
      <c r="K1042" s="776"/>
    </row>
    <row r="1043" spans="1:16" ht="13" x14ac:dyDescent="0.15">
      <c r="A1043" s="769"/>
      <c r="B1043" s="769"/>
      <c r="C1043" s="769"/>
      <c r="D1043" s="769"/>
      <c r="E1043" s="769"/>
      <c r="F1043" s="769"/>
      <c r="G1043" s="769"/>
      <c r="H1043" s="775"/>
      <c r="I1043" s="776"/>
      <c r="J1043" s="776"/>
      <c r="K1043" s="776"/>
    </row>
    <row r="1044" spans="1:16" ht="13" x14ac:dyDescent="0.15">
      <c r="A1044" s="769"/>
      <c r="B1044" s="769"/>
      <c r="C1044" s="769"/>
      <c r="D1044" s="769"/>
      <c r="E1044" s="769"/>
      <c r="F1044" s="769"/>
      <c r="G1044" s="769"/>
      <c r="H1044" s="775"/>
      <c r="I1044" s="776"/>
      <c r="J1044" s="776"/>
      <c r="K1044" s="776"/>
    </row>
    <row r="1045" spans="1:16" ht="13" x14ac:dyDescent="0.15">
      <c r="A1045" s="772"/>
      <c r="B1045" s="772"/>
      <c r="C1045" s="772"/>
      <c r="D1045" s="772"/>
      <c r="E1045" s="772"/>
      <c r="F1045" s="772"/>
      <c r="G1045" s="772"/>
      <c r="H1045" s="773"/>
      <c r="I1045" s="774"/>
      <c r="J1045" s="774"/>
      <c r="K1045" s="774"/>
      <c r="L1045" s="646"/>
      <c r="M1045" s="646"/>
      <c r="N1045" s="646"/>
      <c r="O1045" s="646"/>
      <c r="P1045" s="646"/>
    </row>
    <row r="1046" spans="1:16" ht="13" x14ac:dyDescent="0.15">
      <c r="A1046" s="769"/>
      <c r="B1046" s="769"/>
      <c r="C1046" s="769"/>
      <c r="D1046" s="769"/>
      <c r="E1046" s="769"/>
      <c r="F1046" s="769"/>
      <c r="G1046" s="769"/>
      <c r="H1046" s="775"/>
      <c r="I1046" s="776"/>
      <c r="J1046" s="776"/>
      <c r="K1046" s="776"/>
    </row>
    <row r="1047" spans="1:16" ht="13" x14ac:dyDescent="0.15">
      <c r="A1047" s="769"/>
      <c r="B1047" s="769"/>
      <c r="C1047" s="769"/>
      <c r="D1047" s="769"/>
      <c r="E1047" s="769"/>
      <c r="F1047" s="769"/>
      <c r="G1047" s="769"/>
      <c r="H1047" s="775"/>
      <c r="I1047" s="776"/>
      <c r="J1047" s="776"/>
      <c r="K1047" s="776"/>
    </row>
    <row r="1048" spans="1:16" ht="13" x14ac:dyDescent="0.15">
      <c r="A1048" s="769"/>
      <c r="B1048" s="769"/>
      <c r="C1048" s="769"/>
      <c r="D1048" s="769"/>
      <c r="E1048" s="769"/>
      <c r="F1048" s="769"/>
      <c r="G1048" s="769"/>
      <c r="H1048" s="775"/>
      <c r="I1048" s="776"/>
      <c r="J1048" s="776"/>
      <c r="K1048" s="776"/>
    </row>
    <row r="1049" spans="1:16" ht="13" x14ac:dyDescent="0.15">
      <c r="A1049" s="769"/>
      <c r="B1049" s="769"/>
      <c r="C1049" s="769"/>
      <c r="D1049" s="769"/>
      <c r="E1049" s="769"/>
      <c r="F1049" s="769"/>
      <c r="G1049" s="769"/>
      <c r="H1049" s="775"/>
      <c r="I1049" s="776"/>
      <c r="J1049" s="776"/>
      <c r="K1049" s="776"/>
    </row>
    <row r="1050" spans="1:16" ht="13" x14ac:dyDescent="0.15">
      <c r="A1050" s="769"/>
      <c r="B1050" s="769"/>
      <c r="C1050" s="769"/>
      <c r="D1050" s="769"/>
      <c r="E1050" s="769"/>
      <c r="F1050" s="769"/>
      <c r="G1050" s="769"/>
      <c r="H1050" s="775"/>
      <c r="I1050" s="776"/>
      <c r="J1050" s="776"/>
      <c r="K1050" s="776"/>
    </row>
    <row r="1051" spans="1:16" ht="13" x14ac:dyDescent="0.15">
      <c r="A1051" s="769"/>
      <c r="B1051" s="769"/>
      <c r="C1051" s="769"/>
      <c r="D1051" s="769"/>
      <c r="E1051" s="769"/>
      <c r="F1051" s="769"/>
      <c r="G1051" s="769"/>
      <c r="H1051" s="775"/>
      <c r="I1051" s="776"/>
      <c r="J1051" s="776"/>
      <c r="K1051" s="776"/>
    </row>
    <row r="1052" spans="1:16" ht="13" x14ac:dyDescent="0.15">
      <c r="A1052" s="769"/>
      <c r="B1052" s="769"/>
      <c r="C1052" s="769"/>
      <c r="D1052" s="769"/>
      <c r="E1052" s="769"/>
      <c r="F1052" s="769"/>
      <c r="G1052" s="769"/>
      <c r="H1052" s="775"/>
      <c r="I1052" s="776"/>
      <c r="J1052" s="776"/>
      <c r="K1052" s="776"/>
    </row>
    <row r="1053" spans="1:16" ht="13" x14ac:dyDescent="0.15">
      <c r="A1053" s="769"/>
      <c r="B1053" s="769"/>
      <c r="C1053" s="769"/>
      <c r="D1053" s="769"/>
      <c r="E1053" s="769"/>
      <c r="F1053" s="769"/>
      <c r="G1053" s="769"/>
      <c r="H1053" s="775"/>
      <c r="I1053" s="776"/>
      <c r="J1053" s="776"/>
      <c r="K1053" s="776"/>
    </row>
    <row r="1054" spans="1:16" ht="13" x14ac:dyDescent="0.15">
      <c r="A1054" s="769"/>
      <c r="B1054" s="769"/>
      <c r="C1054" s="769"/>
      <c r="D1054" s="769"/>
      <c r="E1054" s="769"/>
      <c r="F1054" s="769"/>
      <c r="G1054" s="769"/>
      <c r="H1054" s="775"/>
      <c r="I1054" s="776"/>
      <c r="J1054" s="776"/>
      <c r="K1054" s="776"/>
    </row>
    <row r="1055" spans="1:16" ht="13" x14ac:dyDescent="0.15">
      <c r="A1055" s="769"/>
      <c r="B1055" s="769"/>
      <c r="C1055" s="769"/>
      <c r="D1055" s="769"/>
      <c r="E1055" s="769"/>
      <c r="F1055" s="769"/>
      <c r="G1055" s="769"/>
      <c r="H1055" s="775"/>
      <c r="I1055" s="776"/>
      <c r="J1055" s="776"/>
      <c r="K1055" s="776"/>
    </row>
    <row r="1056" spans="1:16" ht="13" x14ac:dyDescent="0.15">
      <c r="A1056" s="769"/>
      <c r="B1056" s="769"/>
      <c r="C1056" s="769"/>
      <c r="D1056" s="769"/>
      <c r="E1056" s="769"/>
      <c r="F1056" s="769"/>
      <c r="G1056" s="769"/>
      <c r="H1056" s="775"/>
      <c r="I1056" s="776"/>
      <c r="J1056" s="776"/>
      <c r="K1056" s="776"/>
    </row>
    <row r="1057" spans="1:11" ht="13" x14ac:dyDescent="0.15">
      <c r="A1057" s="769"/>
      <c r="B1057" s="769"/>
      <c r="C1057" s="769"/>
      <c r="D1057" s="769"/>
      <c r="E1057" s="769"/>
      <c r="F1057" s="769"/>
      <c r="G1057" s="769"/>
      <c r="H1057" s="775"/>
      <c r="I1057" s="776"/>
      <c r="J1057" s="776"/>
      <c r="K1057" s="776"/>
    </row>
    <row r="1058" spans="1:11" ht="13" x14ac:dyDescent="0.15">
      <c r="A1058" s="769"/>
      <c r="B1058" s="769"/>
      <c r="C1058" s="769"/>
      <c r="D1058" s="769"/>
      <c r="E1058" s="769"/>
      <c r="F1058" s="769"/>
      <c r="G1058" s="769"/>
      <c r="H1058" s="775"/>
      <c r="I1058" s="776"/>
      <c r="J1058" s="776"/>
      <c r="K1058" s="776"/>
    </row>
    <row r="1059" spans="1:11" ht="13" x14ac:dyDescent="0.15">
      <c r="A1059" s="769"/>
      <c r="B1059" s="769"/>
      <c r="C1059" s="769"/>
      <c r="D1059" s="769"/>
      <c r="E1059" s="769"/>
      <c r="F1059" s="769"/>
      <c r="G1059" s="769"/>
      <c r="H1059" s="775"/>
      <c r="I1059" s="776"/>
      <c r="J1059" s="776"/>
      <c r="K1059" s="776"/>
    </row>
    <row r="1060" spans="1:11" ht="13" x14ac:dyDescent="0.15">
      <c r="A1060" s="769"/>
      <c r="B1060" s="769"/>
      <c r="C1060" s="769"/>
      <c r="D1060" s="769"/>
      <c r="E1060" s="769"/>
      <c r="F1060" s="769"/>
      <c r="G1060" s="769"/>
      <c r="H1060" s="775"/>
      <c r="I1060" s="776"/>
      <c r="J1060" s="776"/>
      <c r="K1060" s="776"/>
    </row>
    <row r="1061" spans="1:11" ht="13" x14ac:dyDescent="0.15">
      <c r="A1061" s="769"/>
      <c r="B1061" s="769"/>
      <c r="C1061" s="769"/>
      <c r="D1061" s="769"/>
      <c r="E1061" s="769"/>
      <c r="F1061" s="769"/>
      <c r="G1061" s="769"/>
      <c r="H1061" s="775"/>
      <c r="I1061" s="776"/>
      <c r="J1061" s="776"/>
      <c r="K1061" s="776"/>
    </row>
    <row r="1062" spans="1:11" ht="13" x14ac:dyDescent="0.15">
      <c r="A1062" s="769"/>
      <c r="B1062" s="769"/>
      <c r="C1062" s="769"/>
      <c r="D1062" s="769"/>
      <c r="E1062" s="769"/>
      <c r="F1062" s="769"/>
      <c r="G1062" s="769"/>
      <c r="H1062" s="775"/>
      <c r="I1062" s="776"/>
      <c r="J1062" s="776"/>
      <c r="K1062" s="776"/>
    </row>
    <row r="1063" spans="1:11" ht="13" x14ac:dyDescent="0.15">
      <c r="A1063" s="769"/>
      <c r="B1063" s="769"/>
      <c r="C1063" s="769"/>
      <c r="D1063" s="769"/>
      <c r="E1063" s="769"/>
      <c r="F1063" s="769"/>
      <c r="G1063" s="769"/>
      <c r="H1063" s="775"/>
      <c r="I1063" s="776"/>
      <c r="J1063" s="776"/>
      <c r="K1063" s="776"/>
    </row>
    <row r="1064" spans="1:11" ht="13" x14ac:dyDescent="0.15">
      <c r="A1064" s="769"/>
      <c r="B1064" s="769"/>
      <c r="C1064" s="769"/>
      <c r="D1064" s="769"/>
      <c r="E1064" s="769"/>
      <c r="F1064" s="769"/>
      <c r="G1064" s="769"/>
      <c r="H1064" s="775"/>
      <c r="I1064" s="776"/>
      <c r="J1064" s="776"/>
      <c r="K1064" s="776"/>
    </row>
    <row r="1065" spans="1:11" ht="13" x14ac:dyDescent="0.15">
      <c r="A1065" s="769"/>
      <c r="B1065" s="769"/>
      <c r="C1065" s="769"/>
      <c r="D1065" s="769"/>
      <c r="E1065" s="769"/>
      <c r="F1065" s="769"/>
      <c r="G1065" s="769"/>
      <c r="H1065" s="775"/>
      <c r="I1065" s="776"/>
      <c r="J1065" s="776"/>
      <c r="K1065" s="776"/>
    </row>
    <row r="1066" spans="1:11" ht="13" x14ac:dyDescent="0.15">
      <c r="A1066" s="769"/>
      <c r="B1066" s="769"/>
      <c r="C1066" s="769"/>
      <c r="D1066" s="769"/>
      <c r="E1066" s="769"/>
      <c r="F1066" s="769"/>
      <c r="G1066" s="769"/>
      <c r="H1066" s="775"/>
      <c r="I1066" s="776"/>
      <c r="J1066" s="776"/>
      <c r="K1066" s="776"/>
    </row>
    <row r="1067" spans="1:11" ht="13" x14ac:dyDescent="0.15">
      <c r="A1067" s="769"/>
      <c r="B1067" s="769"/>
      <c r="C1067" s="769"/>
      <c r="D1067" s="769"/>
      <c r="E1067" s="769"/>
      <c r="F1067" s="769"/>
      <c r="G1067" s="769"/>
      <c r="H1067" s="775"/>
      <c r="I1067" s="776"/>
      <c r="J1067" s="776"/>
      <c r="K1067" s="776"/>
    </row>
    <row r="1068" spans="1:11" ht="13" x14ac:dyDescent="0.15">
      <c r="A1068" s="769"/>
      <c r="B1068" s="769"/>
      <c r="C1068" s="769"/>
      <c r="D1068" s="769"/>
      <c r="E1068" s="769"/>
      <c r="F1068" s="769"/>
      <c r="G1068" s="769"/>
      <c r="H1068" s="775"/>
      <c r="I1068" s="776"/>
      <c r="J1068" s="776"/>
      <c r="K1068" s="776"/>
    </row>
    <row r="1069" spans="1:11" ht="13" x14ac:dyDescent="0.15">
      <c r="A1069" s="769"/>
      <c r="B1069" s="769"/>
      <c r="C1069" s="769"/>
      <c r="D1069" s="769"/>
      <c r="E1069" s="769"/>
      <c r="F1069" s="769"/>
      <c r="G1069" s="769"/>
      <c r="H1069" s="775"/>
      <c r="I1069" s="776"/>
      <c r="J1069" s="776"/>
      <c r="K1069" s="776"/>
    </row>
    <row r="1070" spans="1:11" ht="13" x14ac:dyDescent="0.15">
      <c r="A1070" s="769"/>
      <c r="B1070" s="769"/>
      <c r="C1070" s="769"/>
      <c r="D1070" s="769"/>
      <c r="E1070" s="769"/>
      <c r="F1070" s="769"/>
      <c r="G1070" s="769"/>
      <c r="H1070" s="775"/>
      <c r="I1070" s="776"/>
      <c r="J1070" s="776"/>
      <c r="K1070" s="776"/>
    </row>
    <row r="1071" spans="1:11" ht="13" x14ac:dyDescent="0.15">
      <c r="A1071" s="769"/>
      <c r="B1071" s="769"/>
      <c r="C1071" s="769"/>
      <c r="D1071" s="769"/>
      <c r="E1071" s="769"/>
      <c r="F1071" s="769"/>
      <c r="G1071" s="769"/>
      <c r="H1071" s="775"/>
      <c r="I1071" s="776"/>
      <c r="J1071" s="776"/>
      <c r="K1071" s="776"/>
    </row>
    <row r="1072" spans="1:11" ht="13" x14ac:dyDescent="0.15">
      <c r="A1072" s="769"/>
      <c r="B1072" s="769"/>
      <c r="C1072" s="769"/>
      <c r="D1072" s="769"/>
      <c r="E1072" s="769"/>
      <c r="F1072" s="769"/>
      <c r="G1072" s="769"/>
      <c r="H1072" s="775"/>
      <c r="I1072" s="776"/>
      <c r="J1072" s="776"/>
      <c r="K1072" s="776"/>
    </row>
    <row r="1073" spans="1:11" ht="13" x14ac:dyDescent="0.15">
      <c r="A1073" s="769"/>
      <c r="B1073" s="769"/>
      <c r="C1073" s="769"/>
      <c r="D1073" s="769"/>
      <c r="E1073" s="769"/>
      <c r="F1073" s="769"/>
      <c r="G1073" s="769"/>
      <c r="H1073" s="775"/>
      <c r="I1073" s="776"/>
      <c r="J1073" s="776"/>
      <c r="K1073" s="776"/>
    </row>
    <row r="1074" spans="1:11" ht="13" x14ac:dyDescent="0.15">
      <c r="A1074" s="769"/>
      <c r="B1074" s="769"/>
      <c r="C1074" s="769"/>
      <c r="D1074" s="769"/>
      <c r="E1074" s="769"/>
      <c r="F1074" s="769"/>
      <c r="G1074" s="769"/>
      <c r="H1074" s="775"/>
      <c r="I1074" s="776"/>
      <c r="J1074" s="776"/>
      <c r="K1074" s="776"/>
    </row>
    <row r="1075" spans="1:11" ht="13" x14ac:dyDescent="0.15">
      <c r="A1075" s="769"/>
      <c r="B1075" s="769"/>
      <c r="C1075" s="769"/>
      <c r="D1075" s="769"/>
      <c r="E1075" s="769"/>
      <c r="F1075" s="769"/>
      <c r="G1075" s="769"/>
      <c r="H1075" s="775"/>
      <c r="I1075" s="776"/>
      <c r="J1075" s="776"/>
      <c r="K1075" s="776"/>
    </row>
    <row r="1076" spans="1:11" ht="13" x14ac:dyDescent="0.15">
      <c r="A1076" s="769"/>
      <c r="B1076" s="769"/>
      <c r="C1076" s="769"/>
      <c r="D1076" s="769"/>
      <c r="E1076" s="769"/>
      <c r="F1076" s="769"/>
      <c r="G1076" s="769"/>
      <c r="H1076" s="775"/>
      <c r="I1076" s="776"/>
      <c r="J1076" s="776"/>
      <c r="K1076" s="776"/>
    </row>
    <row r="1077" spans="1:11" ht="13" x14ac:dyDescent="0.15">
      <c r="A1077" s="769"/>
      <c r="B1077" s="769"/>
      <c r="C1077" s="769"/>
      <c r="D1077" s="769"/>
      <c r="E1077" s="769"/>
      <c r="F1077" s="769"/>
      <c r="G1077" s="769"/>
      <c r="H1077" s="775"/>
      <c r="I1077" s="776"/>
      <c r="J1077" s="776"/>
      <c r="K1077" s="776"/>
    </row>
    <row r="1078" spans="1:11" ht="13" x14ac:dyDescent="0.15">
      <c r="A1078" s="769"/>
      <c r="B1078" s="769"/>
      <c r="C1078" s="769"/>
      <c r="D1078" s="769"/>
      <c r="E1078" s="769"/>
      <c r="F1078" s="769"/>
      <c r="G1078" s="769"/>
      <c r="H1078" s="775"/>
      <c r="I1078" s="776"/>
      <c r="J1078" s="776"/>
      <c r="K1078" s="776"/>
    </row>
    <row r="1079" spans="1:11" ht="13" x14ac:dyDescent="0.15">
      <c r="A1079" s="769"/>
      <c r="B1079" s="769"/>
      <c r="C1079" s="769"/>
      <c r="D1079" s="769"/>
      <c r="E1079" s="769"/>
      <c r="F1079" s="769"/>
      <c r="G1079" s="769"/>
      <c r="H1079" s="775"/>
      <c r="I1079" s="776"/>
      <c r="J1079" s="776"/>
      <c r="K1079" s="776"/>
    </row>
    <row r="1080" spans="1:11" ht="13" x14ac:dyDescent="0.15">
      <c r="A1080" s="769"/>
      <c r="B1080" s="769"/>
      <c r="C1080" s="769"/>
      <c r="D1080" s="769"/>
      <c r="E1080" s="769"/>
      <c r="F1080" s="769"/>
      <c r="G1080" s="769"/>
      <c r="H1080" s="775"/>
      <c r="I1080" s="776"/>
      <c r="J1080" s="776"/>
      <c r="K1080" s="776"/>
    </row>
    <row r="1081" spans="1:11" ht="13" x14ac:dyDescent="0.15">
      <c r="A1081" s="769"/>
      <c r="B1081" s="769"/>
      <c r="C1081" s="769"/>
      <c r="D1081" s="769"/>
      <c r="E1081" s="769"/>
      <c r="F1081" s="769"/>
      <c r="G1081" s="769"/>
      <c r="H1081" s="775"/>
      <c r="I1081" s="776"/>
      <c r="J1081" s="776"/>
      <c r="K1081" s="776"/>
    </row>
    <row r="1082" spans="1:11" ht="13" x14ac:dyDescent="0.15">
      <c r="A1082" s="769"/>
      <c r="B1082" s="769"/>
      <c r="C1082" s="769"/>
      <c r="D1082" s="769"/>
      <c r="E1082" s="769"/>
      <c r="F1082" s="769"/>
      <c r="G1082" s="769"/>
      <c r="H1082" s="775"/>
      <c r="I1082" s="776"/>
      <c r="J1082" s="776"/>
      <c r="K1082" s="776"/>
    </row>
    <row r="1083" spans="1:11" ht="13" x14ac:dyDescent="0.15">
      <c r="A1083" s="769"/>
      <c r="B1083" s="769"/>
      <c r="C1083" s="769"/>
      <c r="D1083" s="769"/>
      <c r="E1083" s="769"/>
      <c r="F1083" s="769"/>
      <c r="G1083" s="769"/>
      <c r="H1083" s="775"/>
      <c r="I1083" s="776"/>
      <c r="J1083" s="776"/>
      <c r="K1083" s="776"/>
    </row>
    <row r="1084" spans="1:11" ht="13" x14ac:dyDescent="0.15">
      <c r="A1084" s="769"/>
      <c r="B1084" s="769"/>
      <c r="C1084" s="769"/>
      <c r="D1084" s="769"/>
      <c r="E1084" s="769"/>
      <c r="F1084" s="769"/>
      <c r="G1084" s="769"/>
      <c r="H1084" s="775"/>
      <c r="I1084" s="776"/>
      <c r="J1084" s="776"/>
      <c r="K1084" s="776"/>
    </row>
    <row r="1085" spans="1:11" ht="13" x14ac:dyDescent="0.15">
      <c r="A1085" s="769"/>
      <c r="B1085" s="769"/>
      <c r="C1085" s="769"/>
      <c r="D1085" s="769"/>
      <c r="E1085" s="769"/>
      <c r="F1085" s="769"/>
      <c r="G1085" s="769"/>
      <c r="H1085" s="775"/>
      <c r="I1085" s="776"/>
      <c r="J1085" s="776"/>
      <c r="K1085" s="776"/>
    </row>
    <row r="1086" spans="1:11" ht="13" x14ac:dyDescent="0.15">
      <c r="A1086" s="769"/>
      <c r="B1086" s="769"/>
      <c r="C1086" s="769"/>
      <c r="D1086" s="769"/>
      <c r="E1086" s="769"/>
      <c r="F1086" s="769"/>
      <c r="G1086" s="769"/>
      <c r="H1086" s="775"/>
      <c r="I1086" s="776"/>
      <c r="J1086" s="776"/>
      <c r="K1086" s="776"/>
    </row>
    <row r="1087" spans="1:11" ht="13" x14ac:dyDescent="0.15">
      <c r="A1087" s="769"/>
      <c r="B1087" s="769"/>
      <c r="C1087" s="769"/>
      <c r="D1087" s="769"/>
      <c r="E1087" s="769"/>
      <c r="F1087" s="769"/>
      <c r="G1087" s="769"/>
      <c r="H1087" s="775"/>
      <c r="I1087" s="776"/>
      <c r="J1087" s="776"/>
      <c r="K1087" s="776"/>
    </row>
    <row r="1088" spans="1:11" ht="13" x14ac:dyDescent="0.15">
      <c r="A1088" s="769"/>
      <c r="B1088" s="769"/>
      <c r="C1088" s="769"/>
      <c r="D1088" s="769"/>
      <c r="E1088" s="769"/>
      <c r="F1088" s="769"/>
      <c r="G1088" s="769"/>
      <c r="H1088" s="775"/>
      <c r="I1088" s="776"/>
      <c r="J1088" s="776"/>
      <c r="K1088" s="776"/>
    </row>
    <row r="1089" spans="1:11" ht="13" x14ac:dyDescent="0.15">
      <c r="A1089" s="769"/>
      <c r="B1089" s="769"/>
      <c r="C1089" s="769"/>
      <c r="D1089" s="769"/>
      <c r="E1089" s="769"/>
      <c r="F1089" s="769"/>
      <c r="G1089" s="769"/>
      <c r="H1089" s="775"/>
      <c r="I1089" s="776"/>
      <c r="J1089" s="776"/>
      <c r="K1089" s="776"/>
    </row>
    <row r="1090" spans="1:11" ht="13" x14ac:dyDescent="0.15">
      <c r="A1090" s="769"/>
      <c r="B1090" s="769"/>
      <c r="C1090" s="769"/>
      <c r="D1090" s="769"/>
      <c r="E1090" s="769"/>
      <c r="F1090" s="769"/>
      <c r="G1090" s="769"/>
      <c r="H1090" s="775"/>
      <c r="I1090" s="776"/>
      <c r="J1090" s="776"/>
      <c r="K1090" s="776"/>
    </row>
    <row r="1091" spans="1:11" ht="13" x14ac:dyDescent="0.15">
      <c r="A1091" s="769"/>
      <c r="B1091" s="769"/>
      <c r="C1091" s="769"/>
      <c r="D1091" s="769"/>
      <c r="E1091" s="769"/>
      <c r="F1091" s="769"/>
      <c r="G1091" s="769"/>
      <c r="H1091" s="775"/>
      <c r="I1091" s="776"/>
      <c r="J1091" s="776"/>
      <c r="K1091" s="776"/>
    </row>
    <row r="1092" spans="1:11" ht="13" x14ac:dyDescent="0.15">
      <c r="A1092" s="769"/>
      <c r="B1092" s="769"/>
      <c r="C1092" s="769"/>
      <c r="D1092" s="769"/>
      <c r="E1092" s="769"/>
      <c r="F1092" s="769"/>
      <c r="G1092" s="769"/>
      <c r="H1092" s="775"/>
      <c r="I1092" s="776"/>
      <c r="J1092" s="776"/>
      <c r="K1092" s="776"/>
    </row>
    <row r="1093" spans="1:11" ht="13" x14ac:dyDescent="0.15">
      <c r="A1093" s="769"/>
      <c r="B1093" s="769"/>
      <c r="C1093" s="769"/>
      <c r="D1093" s="769"/>
      <c r="E1093" s="769"/>
      <c r="F1093" s="769"/>
      <c r="G1093" s="769"/>
      <c r="H1093" s="775"/>
      <c r="I1093" s="776"/>
      <c r="J1093" s="776"/>
      <c r="K1093" s="776"/>
    </row>
    <row r="1094" spans="1:11" ht="13" x14ac:dyDescent="0.15">
      <c r="A1094" s="769"/>
      <c r="B1094" s="769"/>
      <c r="C1094" s="769"/>
      <c r="D1094" s="769"/>
      <c r="E1094" s="769"/>
      <c r="F1094" s="769"/>
      <c r="G1094" s="769"/>
      <c r="H1094" s="775"/>
      <c r="I1094" s="776"/>
      <c r="J1094" s="776"/>
      <c r="K1094" s="776"/>
    </row>
    <row r="1095" spans="1:11" ht="13" x14ac:dyDescent="0.15">
      <c r="A1095" s="769"/>
      <c r="B1095" s="769"/>
      <c r="C1095" s="769"/>
      <c r="D1095" s="769"/>
      <c r="E1095" s="769"/>
      <c r="F1095" s="769"/>
      <c r="G1095" s="769"/>
      <c r="H1095" s="775"/>
      <c r="I1095" s="776"/>
      <c r="J1095" s="776"/>
      <c r="K1095" s="776"/>
    </row>
    <row r="1096" spans="1:11" ht="13" x14ac:dyDescent="0.15">
      <c r="A1096" s="769"/>
      <c r="B1096" s="769"/>
      <c r="C1096" s="769"/>
      <c r="D1096" s="769"/>
      <c r="E1096" s="769"/>
      <c r="F1096" s="769"/>
      <c r="G1096" s="769"/>
      <c r="H1096" s="775"/>
      <c r="I1096" s="776"/>
      <c r="J1096" s="776"/>
      <c r="K1096" s="776"/>
    </row>
    <row r="1097" spans="1:11" ht="13" x14ac:dyDescent="0.15">
      <c r="A1097" s="769"/>
      <c r="B1097" s="769"/>
      <c r="C1097" s="769"/>
      <c r="D1097" s="769"/>
      <c r="E1097" s="769"/>
      <c r="F1097" s="769"/>
      <c r="G1097" s="769"/>
      <c r="H1097" s="775"/>
      <c r="I1097" s="776"/>
      <c r="J1097" s="776"/>
      <c r="K1097" s="776"/>
    </row>
  </sheetData>
  <mergeCells count="10">
    <mergeCell ref="A877:A878"/>
    <mergeCell ref="A883:A884"/>
    <mergeCell ref="A910:A911"/>
    <mergeCell ref="A914:A916"/>
    <mergeCell ref="A1:K1"/>
    <mergeCell ref="A2:K2"/>
    <mergeCell ref="A3:K3"/>
    <mergeCell ref="A417:B417"/>
    <mergeCell ref="A694:D694"/>
    <mergeCell ref="A873:A87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135"/>
  <sheetViews>
    <sheetView view="pageBreakPreview" topLeftCell="A7" zoomScale="40" zoomScaleNormal="40" zoomScaleSheetLayoutView="40" zoomScalePageLayoutView="40" workbookViewId="0">
      <pane ySplit="3" topLeftCell="A10" activePane="bottomLeft" state="frozen"/>
      <selection activeCell="A7" sqref="A7"/>
      <selection pane="bottomLeft" activeCell="Q13" sqref="Q13"/>
    </sheetView>
  </sheetViews>
  <sheetFormatPr baseColWidth="10" defaultColWidth="8.83203125" defaultRowHeight="28" x14ac:dyDescent="0.3"/>
  <cols>
    <col min="1" max="1" width="8.83203125" style="305"/>
    <col min="2" max="2" width="19.6640625" style="569" customWidth="1"/>
    <col min="3" max="3" width="28.33203125" style="558" customWidth="1"/>
    <col min="4" max="4" width="69.5" style="409" customWidth="1"/>
    <col min="5" max="5" width="15.6640625" style="306" customWidth="1"/>
    <col min="6" max="6" width="16.33203125" style="306" customWidth="1"/>
    <col min="7" max="7" width="15.1640625" style="306" customWidth="1"/>
    <col min="8" max="8" width="28" style="591" customWidth="1"/>
    <col min="9" max="9" width="16.33203125" style="306" customWidth="1"/>
    <col min="10" max="10" width="15.1640625" style="306" customWidth="1"/>
    <col min="11" max="11" width="31" style="591" customWidth="1"/>
    <col min="12" max="12" width="14.6640625" style="306" customWidth="1"/>
    <col min="13" max="13" width="16.83203125" style="306" customWidth="1"/>
    <col min="14" max="14" width="27.33203125" style="591" customWidth="1"/>
    <col min="15" max="15" width="29.33203125" style="563" customWidth="1"/>
    <col min="16" max="18" width="20.33203125" style="306" customWidth="1"/>
    <col min="19" max="19" width="19.5" style="305" customWidth="1"/>
    <col min="20" max="20" width="31.5" style="305" customWidth="1"/>
    <col min="21" max="21" width="20.33203125" style="305" bestFit="1" customWidth="1"/>
    <col min="22" max="22" width="27" style="305" customWidth="1"/>
    <col min="23" max="23" width="24.83203125" style="305" bestFit="1" customWidth="1"/>
    <col min="24" max="25" width="15.33203125" style="305" customWidth="1"/>
    <col min="26" max="26" width="19.5" style="305" customWidth="1"/>
    <col min="27" max="27" width="14.6640625" style="305" customWidth="1"/>
    <col min="28" max="32" width="20.5" style="305" customWidth="1"/>
    <col min="33" max="33" width="13.5" style="305" customWidth="1"/>
    <col min="34" max="34" width="13.33203125" style="305" customWidth="1"/>
    <col min="35" max="35" width="12.5" style="305" customWidth="1"/>
    <col min="36" max="36" width="21.6640625" style="305" customWidth="1"/>
    <col min="37" max="16384" width="8.83203125" style="305"/>
  </cols>
  <sheetData>
    <row r="1" spans="2:34" ht="24" customHeight="1" x14ac:dyDescent="0.3">
      <c r="P1" s="424"/>
      <c r="Q1" s="424"/>
      <c r="R1" s="424"/>
    </row>
    <row r="2" spans="2:34" ht="26.25" customHeight="1" x14ac:dyDescent="0.3">
      <c r="J2" s="3108" t="s">
        <v>712</v>
      </c>
      <c r="K2" s="3108"/>
      <c r="L2" s="3108"/>
      <c r="M2" s="3108"/>
      <c r="N2" s="3108"/>
      <c r="O2" s="3108"/>
      <c r="P2" s="431"/>
      <c r="Q2" s="431"/>
      <c r="R2" s="431"/>
    </row>
    <row r="3" spans="2:34" ht="66" customHeight="1" x14ac:dyDescent="0.3">
      <c r="J3" s="3108"/>
      <c r="K3" s="3108"/>
      <c r="L3" s="3108"/>
      <c r="M3" s="3108"/>
      <c r="N3" s="3108"/>
      <c r="O3" s="3108"/>
      <c r="P3" s="431"/>
      <c r="Q3" s="431"/>
      <c r="R3" s="431"/>
    </row>
    <row r="4" spans="2:34" ht="12.75" customHeight="1" x14ac:dyDescent="0.3">
      <c r="P4" s="413"/>
      <c r="Q4" s="413"/>
      <c r="R4" s="413"/>
    </row>
    <row r="5" spans="2:34" ht="46.5" customHeight="1" x14ac:dyDescent="0.3">
      <c r="D5" s="3109" t="s">
        <v>874</v>
      </c>
      <c r="E5" s="3109"/>
      <c r="F5" s="3109"/>
      <c r="G5" s="3109"/>
      <c r="H5" s="3109"/>
      <c r="I5" s="3109"/>
      <c r="J5" s="3109"/>
      <c r="K5" s="3109"/>
      <c r="L5" s="3109"/>
      <c r="P5" s="424"/>
      <c r="Q5" s="424"/>
      <c r="R5" s="424"/>
    </row>
    <row r="6" spans="2:34" ht="39" customHeight="1" x14ac:dyDescent="0.3">
      <c r="P6" s="413"/>
      <c r="Q6" s="413"/>
      <c r="R6" s="413"/>
    </row>
    <row r="7" spans="2:34" s="556" customFormat="1" ht="32.25" customHeight="1" x14ac:dyDescent="0.3">
      <c r="B7" s="3131" t="s">
        <v>870</v>
      </c>
      <c r="C7" s="3129" t="s">
        <v>871</v>
      </c>
      <c r="D7" s="3131" t="s">
        <v>353</v>
      </c>
      <c r="E7" s="3131" t="s">
        <v>354</v>
      </c>
      <c r="F7" s="3110" t="s">
        <v>355</v>
      </c>
      <c r="G7" s="3111"/>
      <c r="H7" s="3111"/>
      <c r="I7" s="3111"/>
      <c r="J7" s="3111"/>
      <c r="K7" s="3111"/>
      <c r="L7" s="3111" t="s">
        <v>514</v>
      </c>
      <c r="M7" s="3111"/>
      <c r="N7" s="3115"/>
      <c r="O7" s="3134" t="s">
        <v>913</v>
      </c>
      <c r="P7" s="548">
        <v>2011</v>
      </c>
      <c r="Q7" s="548">
        <v>2012</v>
      </c>
      <c r="R7" s="548"/>
    </row>
    <row r="8" spans="2:34" s="556" customFormat="1" ht="27" customHeight="1" x14ac:dyDescent="0.3">
      <c r="B8" s="3132"/>
      <c r="C8" s="3130"/>
      <c r="D8" s="3132"/>
      <c r="E8" s="3132"/>
      <c r="F8" s="3110">
        <v>2011</v>
      </c>
      <c r="G8" s="3111"/>
      <c r="H8" s="3115"/>
      <c r="I8" s="3127">
        <v>2012</v>
      </c>
      <c r="J8" s="3127"/>
      <c r="K8" s="3127"/>
      <c r="L8" s="3127">
        <v>2013</v>
      </c>
      <c r="M8" s="3127"/>
      <c r="N8" s="3127"/>
      <c r="O8" s="3135"/>
      <c r="P8" s="548" t="e">
        <f>'Приложение № 2'!#REF!</f>
        <v>#REF!</v>
      </c>
      <c r="Q8" s="548">
        <f>'Приложение № 2'!H66</f>
        <v>1507206.1330500001</v>
      </c>
      <c r="R8" s="548"/>
    </row>
    <row r="9" spans="2:34" s="556" customFormat="1" ht="97.5" customHeight="1" x14ac:dyDescent="0.3">
      <c r="B9" s="3133"/>
      <c r="C9" s="3130"/>
      <c r="D9" s="3133"/>
      <c r="E9" s="3133"/>
      <c r="F9" s="426" t="s">
        <v>357</v>
      </c>
      <c r="G9" s="426" t="s">
        <v>358</v>
      </c>
      <c r="H9" s="592" t="s">
        <v>872</v>
      </c>
      <c r="I9" s="426" t="s">
        <v>357</v>
      </c>
      <c r="J9" s="426" t="s">
        <v>358</v>
      </c>
      <c r="K9" s="592" t="s">
        <v>872</v>
      </c>
      <c r="L9" s="426" t="s">
        <v>357</v>
      </c>
      <c r="M9" s="426" t="s">
        <v>359</v>
      </c>
      <c r="N9" s="592" t="s">
        <v>873</v>
      </c>
      <c r="O9" s="3135"/>
      <c r="P9" s="548"/>
      <c r="Q9" s="548" t="e">
        <f>Q8*100/P8</f>
        <v>#REF!</v>
      </c>
      <c r="R9" s="548"/>
    </row>
    <row r="10" spans="2:34" s="429" customFormat="1" ht="37.5" customHeight="1" x14ac:dyDescent="0.15">
      <c r="B10" s="568">
        <v>1</v>
      </c>
      <c r="C10" s="567">
        <v>2</v>
      </c>
      <c r="D10" s="429">
        <v>3</v>
      </c>
      <c r="E10" s="429">
        <v>4</v>
      </c>
      <c r="F10" s="429">
        <v>5</v>
      </c>
      <c r="G10" s="429">
        <v>6</v>
      </c>
      <c r="H10" s="608" t="s">
        <v>916</v>
      </c>
      <c r="I10" s="429">
        <v>8</v>
      </c>
      <c r="J10" s="429">
        <v>9</v>
      </c>
      <c r="K10" s="608" t="s">
        <v>917</v>
      </c>
      <c r="L10" s="429">
        <v>11</v>
      </c>
      <c r="M10" s="429">
        <v>12</v>
      </c>
      <c r="N10" s="608">
        <v>13</v>
      </c>
      <c r="O10" s="567" t="s">
        <v>915</v>
      </c>
    </row>
    <row r="11" spans="2:34" ht="62.25" customHeight="1" x14ac:dyDescent="0.3">
      <c r="B11" s="427" t="s">
        <v>918</v>
      </c>
      <c r="C11" s="559">
        <f>C12+C28+C51</f>
        <v>100</v>
      </c>
      <c r="D11" s="425"/>
      <c r="E11" s="547"/>
      <c r="F11" s="547"/>
      <c r="G11" s="547"/>
      <c r="H11" s="594"/>
      <c r="I11" s="547"/>
      <c r="J11" s="547"/>
      <c r="K11" s="594"/>
      <c r="L11" s="547"/>
      <c r="M11" s="547"/>
      <c r="N11" s="594"/>
      <c r="O11" s="564" t="e">
        <f>O12+O28+O51</f>
        <v>#REF!</v>
      </c>
      <c r="P11" s="548"/>
      <c r="Q11" s="548"/>
      <c r="R11" s="548"/>
    </row>
    <row r="12" spans="2:34" ht="59.25" customHeight="1" x14ac:dyDescent="0.3">
      <c r="B12" s="958" t="s">
        <v>6</v>
      </c>
      <c r="C12" s="560">
        <f>C14+C21+C25+C13</f>
        <v>38</v>
      </c>
      <c r="D12" s="3098" t="s">
        <v>360</v>
      </c>
      <c r="E12" s="3099"/>
      <c r="F12" s="3099"/>
      <c r="G12" s="3099"/>
      <c r="H12" s="3099"/>
      <c r="I12" s="3099"/>
      <c r="J12" s="3099"/>
      <c r="K12" s="3099"/>
      <c r="L12" s="3099"/>
      <c r="M12" s="3099"/>
      <c r="N12" s="599"/>
      <c r="O12" s="565" t="e">
        <f>O14+O21+O25+O13</f>
        <v>#REF!</v>
      </c>
      <c r="P12" s="548"/>
      <c r="Q12" s="548"/>
      <c r="R12" s="548"/>
      <c r="T12" s="3112" t="s">
        <v>636</v>
      </c>
      <c r="U12" s="3112"/>
      <c r="V12" s="3112"/>
      <c r="W12" s="3112"/>
      <c r="X12" s="3112"/>
      <c r="Y12" s="3112"/>
      <c r="Z12" s="3112"/>
      <c r="AA12" s="305" t="s">
        <v>650</v>
      </c>
    </row>
    <row r="13" spans="2:34" ht="128.25" customHeight="1" x14ac:dyDescent="0.3">
      <c r="B13" s="570"/>
      <c r="C13" s="561">
        <v>8</v>
      </c>
      <c r="D13" s="423" t="s">
        <v>362</v>
      </c>
      <c r="E13" s="422" t="s">
        <v>3</v>
      </c>
      <c r="F13" s="268" t="e">
        <f>'Приложение № 1'!#REF!</f>
        <v>#REF!</v>
      </c>
      <c r="G13" s="268" t="e">
        <f>'Приложение № 1'!#REF!</f>
        <v>#REF!</v>
      </c>
      <c r="H13" s="595" t="e">
        <f>G13*100/F13</f>
        <v>#REF!</v>
      </c>
      <c r="I13" s="268">
        <f>'Приложение № 1'!G11</f>
        <v>70</v>
      </c>
      <c r="J13" s="268">
        <f>'Приложение № 1'!H11</f>
        <v>70</v>
      </c>
      <c r="K13" s="595">
        <f>J13*100/I13</f>
        <v>100</v>
      </c>
      <c r="L13" s="268">
        <f>'Приложение № 1'!I11</f>
        <v>78</v>
      </c>
      <c r="M13" s="268">
        <f>'Приложение № 1'!J11</f>
        <v>78</v>
      </c>
      <c r="N13" s="595">
        <f>M13*100/L13</f>
        <v>100</v>
      </c>
      <c r="O13" s="262" t="e">
        <f>C13*J13/G13</f>
        <v>#REF!</v>
      </c>
      <c r="P13" s="549" t="e">
        <f>O13-C13</f>
        <v>#REF!</v>
      </c>
      <c r="Q13" s="549"/>
      <c r="R13" s="549"/>
      <c r="T13" s="296" t="s">
        <v>5</v>
      </c>
      <c r="U13" s="296" t="s">
        <v>17</v>
      </c>
      <c r="V13" s="296" t="s">
        <v>57</v>
      </c>
      <c r="W13" s="296" t="s">
        <v>67</v>
      </c>
      <c r="X13" s="296" t="s">
        <v>632</v>
      </c>
      <c r="Y13" s="296" t="s">
        <v>633</v>
      </c>
      <c r="Z13" s="296" t="s">
        <v>634</v>
      </c>
      <c r="AA13" s="263" t="str">
        <f>T13</f>
        <v>2012 год</v>
      </c>
      <c r="AB13" s="263" t="str">
        <f t="shared" ref="AB13:AG13" si="0">U13</f>
        <v>2013 год</v>
      </c>
      <c r="AC13" s="263" t="str">
        <f t="shared" si="0"/>
        <v>2014 год</v>
      </c>
      <c r="AD13" s="263" t="str">
        <f t="shared" si="0"/>
        <v>2015 год</v>
      </c>
      <c r="AE13" s="263" t="str">
        <f t="shared" si="0"/>
        <v>2016 год</v>
      </c>
      <c r="AF13" s="263" t="str">
        <f t="shared" si="0"/>
        <v>2017 год</v>
      </c>
      <c r="AG13" s="263" t="str">
        <f t="shared" si="0"/>
        <v>2018 год</v>
      </c>
    </row>
    <row r="14" spans="2:34" ht="38.25" customHeight="1" x14ac:dyDescent="0.3">
      <c r="B14" s="960" t="s">
        <v>7</v>
      </c>
      <c r="C14" s="562">
        <f>C15+C16+C17+C18+C19+C20</f>
        <v>17.5</v>
      </c>
      <c r="D14" s="3113" t="s">
        <v>22</v>
      </c>
      <c r="E14" s="3113"/>
      <c r="F14" s="3113"/>
      <c r="G14" s="3113"/>
      <c r="H14" s="3113"/>
      <c r="I14" s="3113"/>
      <c r="J14" s="3113"/>
      <c r="K14" s="3113"/>
      <c r="L14" s="3113"/>
      <c r="M14" s="3113"/>
      <c r="N14" s="600"/>
      <c r="O14" s="566" t="e">
        <f>O15+O16+O17+O18+O19+O20</f>
        <v>#REF!</v>
      </c>
      <c r="P14" s="549" t="e">
        <f t="shared" ref="P14:P63" si="1">O14-C14</f>
        <v>#REF!</v>
      </c>
      <c r="Q14" s="548"/>
      <c r="R14" s="548"/>
      <c r="T14" s="297">
        <v>464.9</v>
      </c>
      <c r="U14" s="297">
        <v>479.7</v>
      </c>
      <c r="V14" s="297">
        <v>495.6</v>
      </c>
      <c r="W14" s="297">
        <v>512.9</v>
      </c>
      <c r="X14" s="297">
        <v>532.4</v>
      </c>
      <c r="Y14" s="297">
        <v>553.70000000000005</v>
      </c>
      <c r="Z14" s="297">
        <v>577</v>
      </c>
      <c r="AA14" s="269">
        <f>J18+J19</f>
        <v>2599</v>
      </c>
      <c r="AB14" s="269">
        <f>M18+M19</f>
        <v>2898</v>
      </c>
      <c r="AC14" s="269" t="e">
        <f>#REF!+#REF!</f>
        <v>#REF!</v>
      </c>
      <c r="AD14" s="269" t="e">
        <f>#REF!+#REF!</f>
        <v>#REF!</v>
      </c>
      <c r="AE14" s="269" t="e">
        <f>#REF!+#REF!</f>
        <v>#REF!</v>
      </c>
      <c r="AF14" s="263"/>
      <c r="AG14" s="263"/>
    </row>
    <row r="15" spans="2:34" ht="84" customHeight="1" x14ac:dyDescent="0.3">
      <c r="B15" s="570" t="s">
        <v>875</v>
      </c>
      <c r="C15" s="561">
        <v>3.5</v>
      </c>
      <c r="D15" s="423" t="s">
        <v>365</v>
      </c>
      <c r="E15" s="422" t="s">
        <v>366</v>
      </c>
      <c r="F15" s="953" t="e">
        <f>'Приложение № 1'!#REF!</f>
        <v>#REF!</v>
      </c>
      <c r="G15" s="953" t="e">
        <f>'Приложение № 1'!#REF!</f>
        <v>#REF!</v>
      </c>
      <c r="H15" s="595" t="e">
        <f>G15*100/F15</f>
        <v>#REF!</v>
      </c>
      <c r="I15" s="953">
        <f>'Приложение № 1'!G13</f>
        <v>32</v>
      </c>
      <c r="J15" s="953">
        <f>'Приложение № 1'!H13</f>
        <v>28</v>
      </c>
      <c r="K15" s="595">
        <f t="shared" ref="K15:K20" si="2">J15*100/I15</f>
        <v>87.5</v>
      </c>
      <c r="L15" s="953">
        <f>'Приложение № 1'!I13</f>
        <v>32</v>
      </c>
      <c r="M15" s="953">
        <f>'Приложение № 1'!J13</f>
        <v>41</v>
      </c>
      <c r="N15" s="595">
        <f>M15*100/L15</f>
        <v>128.125</v>
      </c>
      <c r="O15" s="262" t="e">
        <f t="shared" ref="O15:O20" si="3">C15*J15/G15</f>
        <v>#REF!</v>
      </c>
      <c r="P15" s="549" t="e">
        <f t="shared" si="1"/>
        <v>#REF!</v>
      </c>
      <c r="Q15" s="414"/>
      <c r="R15" s="414"/>
      <c r="T15" s="3114" t="s">
        <v>637</v>
      </c>
      <c r="U15" s="3114"/>
      <c r="V15" s="3114"/>
      <c r="W15" s="3114"/>
      <c r="X15" s="3114"/>
      <c r="Y15" s="3114"/>
      <c r="Z15" s="3114"/>
      <c r="AA15" s="305" t="s">
        <v>650</v>
      </c>
      <c r="AB15" s="311">
        <v>2012</v>
      </c>
      <c r="AC15" s="311">
        <v>2013</v>
      </c>
      <c r="AD15" s="311">
        <v>2014</v>
      </c>
      <c r="AE15" s="311">
        <v>2015</v>
      </c>
      <c r="AF15" s="311">
        <v>2016</v>
      </c>
      <c r="AG15" s="311">
        <v>2017</v>
      </c>
      <c r="AH15" s="311">
        <v>2018</v>
      </c>
    </row>
    <row r="16" spans="2:34" ht="96.75" customHeight="1" x14ac:dyDescent="0.3">
      <c r="B16" s="570" t="s">
        <v>876</v>
      </c>
      <c r="C16" s="561">
        <v>3.5</v>
      </c>
      <c r="D16" s="423" t="s">
        <v>371</v>
      </c>
      <c r="E16" s="422" t="s">
        <v>306</v>
      </c>
      <c r="F16" s="417" t="e">
        <f>'Приложение № 1'!#REF!</f>
        <v>#REF!</v>
      </c>
      <c r="G16" s="417" t="e">
        <f>'Приложение № 1'!#REF!</f>
        <v>#REF!</v>
      </c>
      <c r="H16" s="595" t="e">
        <f t="shared" ref="H16:H39" si="4">G16*100/F16</f>
        <v>#REF!</v>
      </c>
      <c r="I16" s="417">
        <f>'Приложение № 1'!G14</f>
        <v>305</v>
      </c>
      <c r="J16" s="417">
        <f>'Приложение № 1'!H14</f>
        <v>298.14999999999998</v>
      </c>
      <c r="K16" s="595">
        <f t="shared" si="2"/>
        <v>97.754098360655732</v>
      </c>
      <c r="L16" s="417">
        <f>'Приложение № 1'!I14</f>
        <v>317.27</v>
      </c>
      <c r="M16" s="417" t="e">
        <f>'Приложение № 1'!#REF!</f>
        <v>#REF!</v>
      </c>
      <c r="N16" s="595" t="e">
        <f t="shared" ref="N16:N24" si="5">M16*100/L16</f>
        <v>#REF!</v>
      </c>
      <c r="O16" s="262" t="e">
        <f t="shared" si="3"/>
        <v>#REF!</v>
      </c>
      <c r="P16" s="549" t="e">
        <f t="shared" si="1"/>
        <v>#REF!</v>
      </c>
      <c r="Q16" s="550"/>
      <c r="R16" s="550"/>
      <c r="S16" s="305" t="s">
        <v>699</v>
      </c>
      <c r="T16" s="420"/>
      <c r="U16" s="420"/>
      <c r="V16" s="420"/>
      <c r="W16" s="420"/>
      <c r="X16" s="420"/>
      <c r="Y16" s="420"/>
      <c r="Z16" s="420"/>
      <c r="AB16" s="311"/>
      <c r="AC16" s="311"/>
      <c r="AD16" s="311"/>
      <c r="AE16" s="311"/>
      <c r="AF16" s="311"/>
      <c r="AG16" s="311"/>
      <c r="AH16" s="311"/>
    </row>
    <row r="17" spans="2:39" ht="117" customHeight="1" x14ac:dyDescent="0.3">
      <c r="B17" s="570" t="s">
        <v>877</v>
      </c>
      <c r="C17" s="561">
        <v>3.5</v>
      </c>
      <c r="D17" s="423" t="s">
        <v>372</v>
      </c>
      <c r="E17" s="422" t="s">
        <v>306</v>
      </c>
      <c r="F17" s="417" t="e">
        <f>'Приложение № 1'!#REF!</f>
        <v>#REF!</v>
      </c>
      <c r="G17" s="417" t="e">
        <f>'Приложение № 1'!#REF!</f>
        <v>#REF!</v>
      </c>
      <c r="H17" s="595" t="e">
        <f t="shared" si="4"/>
        <v>#REF!</v>
      </c>
      <c r="I17" s="417">
        <f>'Приложение № 1'!G15</f>
        <v>192</v>
      </c>
      <c r="J17" s="417">
        <f>'Приложение № 1'!H15</f>
        <v>222.38</v>
      </c>
      <c r="K17" s="595">
        <f t="shared" si="2"/>
        <v>115.82291666666667</v>
      </c>
      <c r="L17" s="417">
        <f>'Приложение № 1'!I15</f>
        <v>199.73</v>
      </c>
      <c r="M17" s="417">
        <f>'Приложение № 1'!J15</f>
        <v>325.18</v>
      </c>
      <c r="N17" s="595">
        <f t="shared" si="5"/>
        <v>162.80979322084815</v>
      </c>
      <c r="O17" s="262" t="e">
        <f t="shared" si="3"/>
        <v>#REF!</v>
      </c>
      <c r="P17" s="549" t="e">
        <f t="shared" si="1"/>
        <v>#REF!</v>
      </c>
      <c r="Q17" s="550"/>
      <c r="R17" s="550"/>
      <c r="T17" s="420"/>
      <c r="U17" s="420"/>
      <c r="V17" s="420"/>
      <c r="W17" s="420"/>
      <c r="X17" s="420"/>
      <c r="Y17" s="420"/>
      <c r="Z17" s="420"/>
      <c r="AB17" s="311"/>
      <c r="AC17" s="311"/>
      <c r="AD17" s="311"/>
      <c r="AE17" s="311"/>
      <c r="AF17" s="311"/>
      <c r="AG17" s="311"/>
      <c r="AH17" s="311"/>
    </row>
    <row r="18" spans="2:39" ht="85.5" customHeight="1" x14ac:dyDescent="0.3">
      <c r="B18" s="570" t="s">
        <v>878</v>
      </c>
      <c r="C18" s="561">
        <v>2.5</v>
      </c>
      <c r="D18" s="423" t="s">
        <v>367</v>
      </c>
      <c r="E18" s="422" t="s">
        <v>366</v>
      </c>
      <c r="F18" s="955" t="e">
        <f>'Приложение № 1'!#REF!</f>
        <v>#REF!</v>
      </c>
      <c r="G18" s="955" t="e">
        <f>'Приложение № 1'!#REF!</f>
        <v>#REF!</v>
      </c>
      <c r="H18" s="595" t="e">
        <f t="shared" si="4"/>
        <v>#REF!</v>
      </c>
      <c r="I18" s="955">
        <f>'Приложение № 1'!G16</f>
        <v>1795</v>
      </c>
      <c r="J18" s="955">
        <f>'Приложение № 1'!H16</f>
        <v>1866</v>
      </c>
      <c r="K18" s="595">
        <f t="shared" si="2"/>
        <v>103.95543175487465</v>
      </c>
      <c r="L18" s="955">
        <f>'Приложение № 1'!I16</f>
        <v>1813</v>
      </c>
      <c r="M18" s="955">
        <f>'Приложение № 1'!J16</f>
        <v>2031</v>
      </c>
      <c r="N18" s="595">
        <f t="shared" si="5"/>
        <v>112.02426916712631</v>
      </c>
      <c r="O18" s="262" t="e">
        <f t="shared" si="3"/>
        <v>#REF!</v>
      </c>
      <c r="P18" s="549" t="e">
        <f t="shared" si="1"/>
        <v>#REF!</v>
      </c>
      <c r="Q18" s="549"/>
      <c r="R18" s="549"/>
      <c r="T18" s="296" t="s">
        <v>5</v>
      </c>
      <c r="U18" s="296" t="s">
        <v>17</v>
      </c>
      <c r="V18" s="296" t="s">
        <v>57</v>
      </c>
      <c r="W18" s="296" t="s">
        <v>67</v>
      </c>
      <c r="X18" s="296" t="s">
        <v>632</v>
      </c>
      <c r="Y18" s="296" t="s">
        <v>633</v>
      </c>
      <c r="Z18" s="296" t="s">
        <v>634</v>
      </c>
      <c r="AB18" s="312">
        <v>950.28200000000004</v>
      </c>
      <c r="AC18" s="312">
        <v>959.90300000000002</v>
      </c>
      <c r="AD18" s="312">
        <v>972.50300000000004</v>
      </c>
      <c r="AE18" s="312">
        <v>986.00300000000004</v>
      </c>
      <c r="AF18" s="310">
        <v>1005.72</v>
      </c>
      <c r="AG18" s="263">
        <v>1025.8</v>
      </c>
      <c r="AH18" s="263">
        <v>1046.3499999999999</v>
      </c>
    </row>
    <row r="19" spans="2:39" ht="92.25" customHeight="1" x14ac:dyDescent="0.3">
      <c r="B19" s="570" t="s">
        <v>879</v>
      </c>
      <c r="C19" s="561">
        <v>2</v>
      </c>
      <c r="D19" s="423" t="s">
        <v>369</v>
      </c>
      <c r="E19" s="422" t="s">
        <v>366</v>
      </c>
      <c r="F19" s="955" t="e">
        <f>'Приложение № 1'!#REF!</f>
        <v>#REF!</v>
      </c>
      <c r="G19" s="955" t="e">
        <f>'Приложение № 1'!#REF!</f>
        <v>#REF!</v>
      </c>
      <c r="H19" s="595" t="e">
        <f t="shared" si="4"/>
        <v>#REF!</v>
      </c>
      <c r="I19" s="955">
        <f>'Приложение № 1'!G17</f>
        <v>688</v>
      </c>
      <c r="J19" s="955">
        <f>'Приложение № 1'!H17</f>
        <v>733</v>
      </c>
      <c r="K19" s="595">
        <f t="shared" si="2"/>
        <v>106.54069767441861</v>
      </c>
      <c r="L19" s="955">
        <f>'Приложение № 1'!I17</f>
        <v>804</v>
      </c>
      <c r="M19" s="955">
        <f>'Приложение № 1'!J17</f>
        <v>867</v>
      </c>
      <c r="N19" s="595">
        <f t="shared" si="5"/>
        <v>107.83582089552239</v>
      </c>
      <c r="O19" s="262" t="e">
        <f t="shared" si="3"/>
        <v>#REF!</v>
      </c>
      <c r="P19" s="549" t="e">
        <f t="shared" si="1"/>
        <v>#REF!</v>
      </c>
      <c r="Q19" s="549"/>
      <c r="R19" s="549"/>
      <c r="T19" s="297">
        <v>9.6999999999999993</v>
      </c>
      <c r="U19" s="297">
        <v>17.5</v>
      </c>
      <c r="V19" s="297">
        <v>33.299999999999997</v>
      </c>
      <c r="W19" s="297">
        <v>66.599999999999994</v>
      </c>
      <c r="X19" s="297">
        <v>139.9</v>
      </c>
      <c r="Y19" s="297">
        <v>307.8</v>
      </c>
      <c r="Z19" s="297">
        <v>708</v>
      </c>
      <c r="AB19" s="313">
        <f t="shared" ref="AB19:AH19" si="6">T19*100/AB18</f>
        <v>1.0207496301097989</v>
      </c>
      <c r="AC19" s="313">
        <f t="shared" si="6"/>
        <v>1.8231008758176608</v>
      </c>
      <c r="AD19" s="313">
        <f t="shared" si="6"/>
        <v>3.4241539614787815</v>
      </c>
      <c r="AE19" s="313">
        <f t="shared" si="6"/>
        <v>6.7545433431744106</v>
      </c>
      <c r="AF19" s="313">
        <f t="shared" si="6"/>
        <v>13.910432327089051</v>
      </c>
      <c r="AG19" s="313">
        <f t="shared" si="6"/>
        <v>30.005849093390527</v>
      </c>
      <c r="AH19" s="313">
        <f t="shared" si="6"/>
        <v>67.663783628804893</v>
      </c>
    </row>
    <row r="20" spans="2:39" ht="111" customHeight="1" x14ac:dyDescent="0.3">
      <c r="B20" s="570" t="s">
        <v>880</v>
      </c>
      <c r="C20" s="561">
        <v>2.5</v>
      </c>
      <c r="D20" s="423" t="s">
        <v>695</v>
      </c>
      <c r="E20" s="422" t="s">
        <v>3</v>
      </c>
      <c r="F20" s="417" t="e">
        <f>'Приложение № 1'!#REF!</f>
        <v>#REF!</v>
      </c>
      <c r="G20" s="417" t="e">
        <f>'Приложение № 1'!#REF!</f>
        <v>#REF!</v>
      </c>
      <c r="H20" s="595" t="e">
        <f t="shared" si="4"/>
        <v>#REF!</v>
      </c>
      <c r="I20" s="417">
        <f>'Приложение № 1'!G18</f>
        <v>80</v>
      </c>
      <c r="J20" s="417">
        <f>'Приложение № 1'!H18</f>
        <v>80</v>
      </c>
      <c r="K20" s="595">
        <f t="shared" si="2"/>
        <v>100</v>
      </c>
      <c r="L20" s="417">
        <f>'Приложение № 1'!I18</f>
        <v>83</v>
      </c>
      <c r="M20" s="417">
        <f>'Приложение № 1'!J18</f>
        <v>83</v>
      </c>
      <c r="N20" s="595">
        <f t="shared" si="5"/>
        <v>100</v>
      </c>
      <c r="O20" s="262" t="e">
        <f t="shared" si="3"/>
        <v>#REF!</v>
      </c>
      <c r="P20" s="549" t="e">
        <f t="shared" si="1"/>
        <v>#REF!</v>
      </c>
      <c r="Q20" s="414"/>
      <c r="R20" s="414"/>
      <c r="T20" s="3090" t="s">
        <v>692</v>
      </c>
      <c r="U20" s="3091"/>
      <c r="V20" s="3091"/>
      <c r="W20" s="3091"/>
      <c r="X20" s="3091"/>
      <c r="Y20" s="3091"/>
      <c r="Z20" s="3092"/>
      <c r="AA20" s="305" t="s">
        <v>650</v>
      </c>
    </row>
    <row r="21" spans="2:39" ht="62.25" customHeight="1" x14ac:dyDescent="0.3">
      <c r="B21" s="959" t="s">
        <v>8</v>
      </c>
      <c r="C21" s="562">
        <f>C22+C23+C24</f>
        <v>5.5</v>
      </c>
      <c r="D21" s="3093" t="s">
        <v>23</v>
      </c>
      <c r="E21" s="3094"/>
      <c r="F21" s="3094"/>
      <c r="G21" s="3094"/>
      <c r="H21" s="3094"/>
      <c r="I21" s="3094"/>
      <c r="J21" s="3094"/>
      <c r="K21" s="3094"/>
      <c r="L21" s="3094"/>
      <c r="M21" s="3094"/>
      <c r="N21" s="601"/>
      <c r="O21" s="566" t="e">
        <f>O22+O23+O24</f>
        <v>#REF!</v>
      </c>
      <c r="P21" s="549" t="e">
        <f t="shared" si="1"/>
        <v>#REF!</v>
      </c>
      <c r="Q21" s="548"/>
      <c r="R21" s="548"/>
      <c r="T21" s="298" t="s">
        <v>5</v>
      </c>
      <c r="U21" s="298" t="s">
        <v>17</v>
      </c>
      <c r="V21" s="298" t="s">
        <v>57</v>
      </c>
      <c r="W21" s="298" t="s">
        <v>67</v>
      </c>
      <c r="X21" s="298" t="s">
        <v>632</v>
      </c>
      <c r="Y21" s="298" t="s">
        <v>633</v>
      </c>
      <c r="Z21" s="298" t="s">
        <v>634</v>
      </c>
    </row>
    <row r="22" spans="2:39" ht="140" x14ac:dyDescent="0.3">
      <c r="B22" s="570" t="s">
        <v>881</v>
      </c>
      <c r="C22" s="561">
        <v>2</v>
      </c>
      <c r="D22" s="423" t="s">
        <v>374</v>
      </c>
      <c r="E22" s="422" t="s">
        <v>366</v>
      </c>
      <c r="F22" s="953" t="e">
        <f>'Приложение № 1'!#REF!</f>
        <v>#REF!</v>
      </c>
      <c r="G22" s="953" t="e">
        <f>'Приложение № 1'!#REF!</f>
        <v>#REF!</v>
      </c>
      <c r="H22" s="595" t="e">
        <f t="shared" si="4"/>
        <v>#REF!</v>
      </c>
      <c r="I22" s="953">
        <f>'Приложение № 1'!G20</f>
        <v>63</v>
      </c>
      <c r="J22" s="953">
        <f>'Приложение № 1'!H20</f>
        <v>80</v>
      </c>
      <c r="K22" s="595">
        <f>J22*100/I22</f>
        <v>126.98412698412699</v>
      </c>
      <c r="L22" s="953">
        <f>'Приложение № 1'!I20</f>
        <v>80</v>
      </c>
      <c r="M22" s="953">
        <f>'Приложение № 1'!J20</f>
        <v>80</v>
      </c>
      <c r="N22" s="595">
        <f t="shared" si="5"/>
        <v>100</v>
      </c>
      <c r="O22" s="262" t="e">
        <f>C22*J22/G22</f>
        <v>#REF!</v>
      </c>
      <c r="P22" s="549" t="e">
        <f t="shared" si="1"/>
        <v>#REF!</v>
      </c>
      <c r="Q22" s="414"/>
      <c r="R22" s="414"/>
      <c r="T22" s="298"/>
      <c r="U22" s="298"/>
      <c r="V22" s="298"/>
      <c r="W22" s="298"/>
      <c r="X22" s="298"/>
      <c r="Y22" s="298"/>
      <c r="Z22" s="298"/>
      <c r="AD22" s="314">
        <v>305</v>
      </c>
      <c r="AE22" s="314">
        <v>305.3</v>
      </c>
      <c r="AF22" s="314">
        <v>306.89999999999998</v>
      </c>
      <c r="AG22" s="314">
        <v>307</v>
      </c>
      <c r="AH22" s="314">
        <v>316</v>
      </c>
      <c r="AI22" s="314">
        <v>316.8</v>
      </c>
      <c r="AJ22" s="314">
        <v>324.39999999999998</v>
      </c>
      <c r="AK22" s="314">
        <v>333.93</v>
      </c>
      <c r="AL22" s="314">
        <v>346.2</v>
      </c>
      <c r="AM22" s="314">
        <v>359.9</v>
      </c>
    </row>
    <row r="23" spans="2:39" ht="140" x14ac:dyDescent="0.3">
      <c r="B23" s="570" t="s">
        <v>882</v>
      </c>
      <c r="C23" s="561">
        <v>2.5</v>
      </c>
      <c r="D23" s="423" t="s">
        <v>375</v>
      </c>
      <c r="E23" s="422" t="s">
        <v>702</v>
      </c>
      <c r="F23" s="486" t="e">
        <f>'Приложение № 1'!#REF!</f>
        <v>#REF!</v>
      </c>
      <c r="G23" s="486" t="e">
        <f>'Приложение № 1'!#REF!</f>
        <v>#REF!</v>
      </c>
      <c r="H23" s="595" t="e">
        <f t="shared" si="4"/>
        <v>#REF!</v>
      </c>
      <c r="I23" s="486">
        <f>'Приложение № 1'!G21</f>
        <v>38.799999999999997</v>
      </c>
      <c r="J23" s="486">
        <f>'Приложение № 1'!H21</f>
        <v>50</v>
      </c>
      <c r="K23" s="595">
        <f>J23*100/I23</f>
        <v>128.86597938144331</v>
      </c>
      <c r="L23" s="486">
        <f>'Приложение № 1'!I21</f>
        <v>41.4</v>
      </c>
      <c r="M23" s="486">
        <f>'Приложение № 1'!J21</f>
        <v>41.4</v>
      </c>
      <c r="N23" s="595">
        <f t="shared" si="5"/>
        <v>100</v>
      </c>
      <c r="O23" s="262" t="e">
        <f>C23*J23/G23</f>
        <v>#REF!</v>
      </c>
      <c r="P23" s="549" t="e">
        <f t="shared" si="1"/>
        <v>#REF!</v>
      </c>
      <c r="Q23" s="550"/>
      <c r="R23" s="550"/>
      <c r="T23" s="297" t="s">
        <v>635</v>
      </c>
      <c r="U23" s="297">
        <v>80</v>
      </c>
      <c r="V23" s="297">
        <v>540</v>
      </c>
      <c r="W23" s="297">
        <v>1015</v>
      </c>
      <c r="X23" s="297">
        <v>1489</v>
      </c>
      <c r="Y23" s="297">
        <v>1619</v>
      </c>
      <c r="Z23" s="297">
        <v>1683</v>
      </c>
      <c r="AD23" s="314">
        <v>141</v>
      </c>
      <c r="AE23" s="314">
        <v>157.19999999999999</v>
      </c>
      <c r="AF23" s="314">
        <v>141</v>
      </c>
      <c r="AG23" s="314">
        <v>158</v>
      </c>
      <c r="AH23" s="314">
        <v>162</v>
      </c>
      <c r="AI23" s="314">
        <v>162.9</v>
      </c>
      <c r="AJ23" s="314">
        <v>171.2</v>
      </c>
      <c r="AK23" s="314">
        <v>178.97</v>
      </c>
      <c r="AL23" s="314">
        <v>186.14</v>
      </c>
      <c r="AM23" s="314">
        <v>193.8</v>
      </c>
    </row>
    <row r="24" spans="2:39" ht="120.75" customHeight="1" x14ac:dyDescent="0.3">
      <c r="B24" s="570" t="s">
        <v>883</v>
      </c>
      <c r="C24" s="561">
        <v>1</v>
      </c>
      <c r="D24" s="423" t="s">
        <v>378</v>
      </c>
      <c r="E24" s="422" t="s">
        <v>366</v>
      </c>
      <c r="F24" s="953" t="e">
        <f>'Приложение № 1'!#REF!</f>
        <v>#REF!</v>
      </c>
      <c r="G24" s="953" t="e">
        <f>'Приложение № 1'!#REF!</f>
        <v>#REF!</v>
      </c>
      <c r="H24" s="595" t="e">
        <f t="shared" si="4"/>
        <v>#REF!</v>
      </c>
      <c r="I24" s="953">
        <f>'Приложение № 1'!G22</f>
        <v>15</v>
      </c>
      <c r="J24" s="953">
        <f>'Приложение № 1'!H22</f>
        <v>15</v>
      </c>
      <c r="K24" s="595">
        <f>J24*100/I24</f>
        <v>100</v>
      </c>
      <c r="L24" s="953">
        <f>'Приложение № 1'!I22</f>
        <v>15</v>
      </c>
      <c r="M24" s="953">
        <f>'Приложение № 1'!J22</f>
        <v>15</v>
      </c>
      <c r="N24" s="595">
        <f t="shared" si="5"/>
        <v>100</v>
      </c>
      <c r="O24" s="262" t="e">
        <f>C24*J24/G24</f>
        <v>#REF!</v>
      </c>
      <c r="P24" s="549" t="e">
        <f t="shared" si="1"/>
        <v>#REF!</v>
      </c>
      <c r="Q24" s="414"/>
      <c r="R24" s="414"/>
      <c r="T24" s="3086" t="s">
        <v>639</v>
      </c>
      <c r="U24" s="3087"/>
      <c r="V24" s="3087"/>
      <c r="W24" s="3087"/>
      <c r="X24" s="3087"/>
      <c r="Y24" s="3087"/>
      <c r="Z24" s="3088"/>
      <c r="AA24" s="305" t="s">
        <v>650</v>
      </c>
    </row>
    <row r="25" spans="2:39" ht="56.25" customHeight="1" x14ac:dyDescent="0.3">
      <c r="B25" s="959" t="s">
        <v>460</v>
      </c>
      <c r="C25" s="562">
        <f>C26+C27</f>
        <v>7</v>
      </c>
      <c r="D25" s="3089" t="s">
        <v>380</v>
      </c>
      <c r="E25" s="3089"/>
      <c r="F25" s="3089"/>
      <c r="G25" s="3089"/>
      <c r="H25" s="3089"/>
      <c r="I25" s="3089"/>
      <c r="J25" s="3089"/>
      <c r="K25" s="3089"/>
      <c r="L25" s="3089"/>
      <c r="M25" s="3089"/>
      <c r="N25" s="602"/>
      <c r="O25" s="566" t="e">
        <f>O26+O27</f>
        <v>#REF!</v>
      </c>
      <c r="P25" s="549" t="e">
        <f t="shared" si="1"/>
        <v>#REF!</v>
      </c>
      <c r="Q25" s="555"/>
      <c r="R25" s="555"/>
      <c r="T25" s="296" t="s">
        <v>5</v>
      </c>
      <c r="U25" s="296" t="s">
        <v>17</v>
      </c>
      <c r="V25" s="296" t="s">
        <v>57</v>
      </c>
      <c r="W25" s="296" t="s">
        <v>67</v>
      </c>
      <c r="X25" s="296" t="s">
        <v>632</v>
      </c>
      <c r="Y25" s="296" t="s">
        <v>633</v>
      </c>
      <c r="Z25" s="296" t="s">
        <v>634</v>
      </c>
      <c r="AD25" s="318">
        <v>305</v>
      </c>
      <c r="AE25" s="318">
        <v>305.3</v>
      </c>
      <c r="AF25" s="318">
        <v>306.89999999999998</v>
      </c>
      <c r="AG25" s="318">
        <v>307</v>
      </c>
      <c r="AH25" s="318">
        <v>316</v>
      </c>
      <c r="AI25" s="318">
        <v>316.8</v>
      </c>
      <c r="AJ25" s="318">
        <v>324.39999999999998</v>
      </c>
      <c r="AK25" s="318">
        <v>333.93</v>
      </c>
      <c r="AL25" s="318">
        <v>346.2</v>
      </c>
      <c r="AM25" s="318">
        <v>359.9</v>
      </c>
    </row>
    <row r="26" spans="2:39" ht="90.75" customHeight="1" x14ac:dyDescent="0.3">
      <c r="B26" s="570" t="s">
        <v>884</v>
      </c>
      <c r="C26" s="561">
        <v>3.5</v>
      </c>
      <c r="D26" s="423" t="s">
        <v>382</v>
      </c>
      <c r="E26" s="422" t="s">
        <v>3</v>
      </c>
      <c r="F26" s="953" t="e">
        <f>'Приложение № 1'!#REF!</f>
        <v>#REF!</v>
      </c>
      <c r="G26" s="953" t="e">
        <f>'Приложение № 1'!#REF!</f>
        <v>#REF!</v>
      </c>
      <c r="H26" s="595" t="e">
        <f t="shared" si="4"/>
        <v>#REF!</v>
      </c>
      <c r="I26" s="953">
        <f>'Приложение № 1'!G24</f>
        <v>4</v>
      </c>
      <c r="J26" s="953">
        <f>'Приложение № 1'!H24</f>
        <v>4</v>
      </c>
      <c r="K26" s="595">
        <f>J26*100/I26</f>
        <v>100</v>
      </c>
      <c r="L26" s="953">
        <f>'Приложение № 1'!I24</f>
        <v>4.5</v>
      </c>
      <c r="M26" s="953">
        <f>'Приложение № 1'!J24</f>
        <v>4.5</v>
      </c>
      <c r="N26" s="595">
        <f>M26*100/L26</f>
        <v>100</v>
      </c>
      <c r="O26" s="262" t="e">
        <f>C26*J26/G26</f>
        <v>#REF!</v>
      </c>
      <c r="P26" s="549" t="e">
        <f t="shared" si="1"/>
        <v>#REF!</v>
      </c>
      <c r="Q26" s="414"/>
      <c r="R26" s="414"/>
      <c r="T26" s="297">
        <v>22</v>
      </c>
      <c r="U26" s="297">
        <v>24</v>
      </c>
      <c r="V26" s="297">
        <v>26</v>
      </c>
      <c r="W26" s="297">
        <v>28</v>
      </c>
      <c r="X26" s="297">
        <v>31</v>
      </c>
      <c r="Y26" s="297">
        <v>33</v>
      </c>
      <c r="Z26" s="297">
        <v>34</v>
      </c>
      <c r="AD26" s="318">
        <v>141</v>
      </c>
      <c r="AE26" s="318">
        <v>157.19999999999999</v>
      </c>
      <c r="AF26" s="318">
        <v>141</v>
      </c>
      <c r="AG26" s="318">
        <v>158</v>
      </c>
      <c r="AH26" s="318">
        <v>162</v>
      </c>
      <c r="AI26" s="318">
        <v>162.9</v>
      </c>
      <c r="AJ26" s="318">
        <v>171.2</v>
      </c>
      <c r="AK26" s="318">
        <v>178.97</v>
      </c>
      <c r="AL26" s="318">
        <v>186.14</v>
      </c>
      <c r="AM26" s="318">
        <v>193.8</v>
      </c>
    </row>
    <row r="27" spans="2:39" ht="84" x14ac:dyDescent="0.3">
      <c r="B27" s="570" t="s">
        <v>885</v>
      </c>
      <c r="C27" s="561">
        <v>3.5</v>
      </c>
      <c r="D27" s="423" t="s">
        <v>385</v>
      </c>
      <c r="E27" s="422" t="s">
        <v>386</v>
      </c>
      <c r="F27" s="953" t="e">
        <f>'Приложение № 1'!#REF!</f>
        <v>#REF!</v>
      </c>
      <c r="G27" s="953" t="e">
        <f>'Приложение № 1'!#REF!</f>
        <v>#REF!</v>
      </c>
      <c r="H27" s="595" t="e">
        <f t="shared" si="4"/>
        <v>#REF!</v>
      </c>
      <c r="I27" s="953">
        <f>'Приложение № 1'!G25</f>
        <v>3</v>
      </c>
      <c r="J27" s="953">
        <f>'Приложение № 1'!H25</f>
        <v>2.93</v>
      </c>
      <c r="K27" s="595">
        <f>J27*100/I27</f>
        <v>97.666666666666671</v>
      </c>
      <c r="L27" s="953">
        <f>'Приложение № 1'!I25</f>
        <v>7</v>
      </c>
      <c r="M27" s="953">
        <f>'Приложение № 1'!J25</f>
        <v>6.35</v>
      </c>
      <c r="N27" s="595">
        <f>M27*100/L27</f>
        <v>90.714285714285708</v>
      </c>
      <c r="O27" s="262" t="e">
        <f>C27*J27/G27</f>
        <v>#REF!</v>
      </c>
      <c r="P27" s="549" t="e">
        <f t="shared" si="1"/>
        <v>#REF!</v>
      </c>
      <c r="Q27" s="550"/>
      <c r="R27" s="550"/>
      <c r="T27" s="3086" t="s">
        <v>640</v>
      </c>
      <c r="U27" s="3087"/>
      <c r="V27" s="3087"/>
      <c r="W27" s="3087"/>
      <c r="X27" s="3087"/>
      <c r="Y27" s="3087"/>
      <c r="Z27" s="3088"/>
      <c r="AA27" s="305" t="s">
        <v>650</v>
      </c>
    </row>
    <row r="28" spans="2:39" ht="35.25" customHeight="1" x14ac:dyDescent="0.3">
      <c r="B28" s="958" t="s">
        <v>9</v>
      </c>
      <c r="C28" s="560">
        <f>C31+C37+C41+C45+C29+C30</f>
        <v>42</v>
      </c>
      <c r="D28" s="3098" t="s">
        <v>24</v>
      </c>
      <c r="E28" s="3099"/>
      <c r="F28" s="3100"/>
      <c r="G28" s="3100"/>
      <c r="H28" s="3100"/>
      <c r="I28" s="3100"/>
      <c r="J28" s="3100"/>
      <c r="K28" s="3100"/>
      <c r="L28" s="3100"/>
      <c r="M28" s="3100"/>
      <c r="N28" s="603"/>
      <c r="O28" s="565" t="e">
        <f>O31+O37+O41+O45+O29+O30</f>
        <v>#REF!</v>
      </c>
      <c r="P28" s="549" t="e">
        <f t="shared" si="1"/>
        <v>#REF!</v>
      </c>
      <c r="Q28" s="548"/>
      <c r="R28" s="548"/>
      <c r="T28" s="296" t="s">
        <v>5</v>
      </c>
      <c r="U28" s="296" t="s">
        <v>17</v>
      </c>
      <c r="V28" s="296" t="s">
        <v>57</v>
      </c>
      <c r="W28" s="296" t="s">
        <v>67</v>
      </c>
      <c r="X28" s="296" t="s">
        <v>632</v>
      </c>
      <c r="Y28" s="296" t="s">
        <v>633</v>
      </c>
      <c r="Z28" s="296" t="s">
        <v>634</v>
      </c>
    </row>
    <row r="29" spans="2:39" ht="117" customHeight="1" x14ac:dyDescent="0.3">
      <c r="B29" s="570"/>
      <c r="C29" s="561">
        <v>3.5</v>
      </c>
      <c r="D29" s="423" t="s">
        <v>389</v>
      </c>
      <c r="E29" s="358" t="s">
        <v>3</v>
      </c>
      <c r="F29" s="956" t="e">
        <f>'Приложение № 1'!#REF!</f>
        <v>#REF!</v>
      </c>
      <c r="G29" s="956" t="e">
        <f>'Приложение № 1'!#REF!</f>
        <v>#REF!</v>
      </c>
      <c r="H29" s="595" t="e">
        <f t="shared" si="4"/>
        <v>#REF!</v>
      </c>
      <c r="I29" s="956">
        <f>'Приложение № 1'!G27</f>
        <v>70</v>
      </c>
      <c r="J29" s="956">
        <f>'Приложение № 1'!H27</f>
        <v>70</v>
      </c>
      <c r="K29" s="595">
        <f>J29*100/I29</f>
        <v>100</v>
      </c>
      <c r="L29" s="956">
        <f>'Приложение № 1'!I27</f>
        <v>78</v>
      </c>
      <c r="M29" s="956">
        <f>'Приложение № 1'!J27</f>
        <v>78</v>
      </c>
      <c r="N29" s="595">
        <f>M29*100/L29</f>
        <v>100</v>
      </c>
      <c r="O29" s="262" t="e">
        <f>C29*J29/G29</f>
        <v>#REF!</v>
      </c>
      <c r="P29" s="549" t="e">
        <f t="shared" si="1"/>
        <v>#REF!</v>
      </c>
      <c r="Q29" s="551"/>
      <c r="R29" s="551"/>
      <c r="T29" s="297">
        <v>352</v>
      </c>
      <c r="U29" s="297">
        <v>371.3</v>
      </c>
      <c r="V29" s="297">
        <v>392.9</v>
      </c>
      <c r="W29" s="297">
        <v>417.6</v>
      </c>
      <c r="X29" s="297">
        <v>446.8</v>
      </c>
      <c r="Y29" s="297">
        <v>482.1</v>
      </c>
      <c r="Z29" s="297">
        <v>525.5</v>
      </c>
    </row>
    <row r="30" spans="2:39" ht="121.5" customHeight="1" x14ac:dyDescent="0.3">
      <c r="B30" s="570"/>
      <c r="C30" s="561">
        <v>3.5</v>
      </c>
      <c r="D30" s="423" t="s">
        <v>391</v>
      </c>
      <c r="E30" s="358" t="s">
        <v>3</v>
      </c>
      <c r="F30" s="956" t="e">
        <f>'Приложение № 1'!#REF!</f>
        <v>#REF!</v>
      </c>
      <c r="G30" s="956" t="e">
        <f>'Приложение № 1'!#REF!</f>
        <v>#REF!</v>
      </c>
      <c r="H30" s="595" t="e">
        <f t="shared" si="4"/>
        <v>#REF!</v>
      </c>
      <c r="I30" s="956">
        <f>'Приложение № 1'!G28</f>
        <v>70</v>
      </c>
      <c r="J30" s="956">
        <f>'Приложение № 1'!H28</f>
        <v>70</v>
      </c>
      <c r="K30" s="595">
        <f>J30*100/I30</f>
        <v>100</v>
      </c>
      <c r="L30" s="956">
        <f>'Приложение № 1'!I28</f>
        <v>78</v>
      </c>
      <c r="M30" s="956">
        <f>'Приложение № 1'!J28</f>
        <v>78</v>
      </c>
      <c r="N30" s="595">
        <f>M30*100/L30</f>
        <v>100</v>
      </c>
      <c r="O30" s="262" t="e">
        <f>C30*J30/G30</f>
        <v>#REF!</v>
      </c>
      <c r="P30" s="549" t="e">
        <f t="shared" si="1"/>
        <v>#REF!</v>
      </c>
      <c r="Q30" s="551"/>
      <c r="R30" s="551"/>
      <c r="T30" s="3101" t="s">
        <v>641</v>
      </c>
      <c r="U30" s="3102"/>
      <c r="V30" s="3102"/>
      <c r="W30" s="3102"/>
      <c r="X30" s="3102"/>
      <c r="Y30" s="3102"/>
      <c r="Z30" s="3103"/>
      <c r="AA30" s="305" t="s">
        <v>650</v>
      </c>
    </row>
    <row r="31" spans="2:39" ht="38.25" customHeight="1" x14ac:dyDescent="0.3">
      <c r="B31" s="959" t="s">
        <v>10</v>
      </c>
      <c r="C31" s="562">
        <f>C32+C33+C34+C35+C36</f>
        <v>11</v>
      </c>
      <c r="D31" s="3089" t="s">
        <v>25</v>
      </c>
      <c r="E31" s="3089"/>
      <c r="F31" s="3104"/>
      <c r="G31" s="3104"/>
      <c r="H31" s="3104"/>
      <c r="I31" s="3104"/>
      <c r="J31" s="3104"/>
      <c r="K31" s="3104"/>
      <c r="L31" s="3104"/>
      <c r="M31" s="3104"/>
      <c r="N31" s="604"/>
      <c r="O31" s="566" t="e">
        <f>O32+O33+O34+O35+O36</f>
        <v>#REF!</v>
      </c>
      <c r="P31" s="549" t="e">
        <f t="shared" si="1"/>
        <v>#REF!</v>
      </c>
      <c r="Q31" s="555"/>
      <c r="R31" s="555"/>
      <c r="T31" s="298" t="s">
        <v>5</v>
      </c>
      <c r="U31" s="298" t="s">
        <v>17</v>
      </c>
      <c r="V31" s="298" t="s">
        <v>57</v>
      </c>
      <c r="W31" s="298" t="s">
        <v>67</v>
      </c>
      <c r="X31" s="298" t="s">
        <v>632</v>
      </c>
      <c r="Y31" s="298" t="s">
        <v>633</v>
      </c>
      <c r="Z31" s="298" t="s">
        <v>634</v>
      </c>
    </row>
    <row r="32" spans="2:39" ht="56" x14ac:dyDescent="0.3">
      <c r="B32" s="570" t="s">
        <v>886</v>
      </c>
      <c r="C32" s="561">
        <v>2</v>
      </c>
      <c r="D32" s="423" t="s">
        <v>394</v>
      </c>
      <c r="E32" s="422" t="s">
        <v>697</v>
      </c>
      <c r="F32" s="417" t="e">
        <f>'Приложение № 1'!#REF!</f>
        <v>#REF!</v>
      </c>
      <c r="G32" s="417" t="e">
        <f>'Приложение № 1'!#REF!</f>
        <v>#REF!</v>
      </c>
      <c r="H32" s="595" t="e">
        <f t="shared" si="4"/>
        <v>#REF!</v>
      </c>
      <c r="I32" s="417">
        <f>'Приложение № 1'!G30</f>
        <v>386.2</v>
      </c>
      <c r="J32" s="417">
        <f>'Приложение № 1'!H30</f>
        <v>234</v>
      </c>
      <c r="K32" s="595">
        <f>J32*100/I32</f>
        <v>60.590367685137238</v>
      </c>
      <c r="L32" s="417">
        <f>'Приложение № 1'!I30</f>
        <v>431.41</v>
      </c>
      <c r="M32" s="417">
        <f>'Приложение № 1'!J30</f>
        <v>406.5</v>
      </c>
      <c r="N32" s="595">
        <f>M32*100/L32</f>
        <v>94.22591038687095</v>
      </c>
      <c r="O32" s="262" t="e">
        <f>C32*J32/G32</f>
        <v>#REF!</v>
      </c>
      <c r="P32" s="549" t="e">
        <f t="shared" si="1"/>
        <v>#REF!</v>
      </c>
      <c r="Q32" s="550"/>
      <c r="R32" s="550"/>
      <c r="S32" s="307"/>
      <c r="T32" s="297">
        <v>34.1</v>
      </c>
      <c r="U32" s="297">
        <v>36.299999999999997</v>
      </c>
      <c r="V32" s="297">
        <v>38.799999999999997</v>
      </c>
      <c r="W32" s="297">
        <v>41.4</v>
      </c>
      <c r="X32" s="297">
        <v>44.3</v>
      </c>
      <c r="Y32" s="297">
        <v>47.4</v>
      </c>
      <c r="Z32" s="297">
        <v>50.9</v>
      </c>
    </row>
    <row r="33" spans="2:27" ht="117.75" customHeight="1" x14ac:dyDescent="0.3">
      <c r="B33" s="570" t="s">
        <v>887</v>
      </c>
      <c r="C33" s="561">
        <v>2</v>
      </c>
      <c r="D33" s="423" t="s">
        <v>696</v>
      </c>
      <c r="E33" s="422" t="s">
        <v>3</v>
      </c>
      <c r="F33" s="417" t="e">
        <f>'Приложение № 1'!#REF!</f>
        <v>#REF!</v>
      </c>
      <c r="G33" s="417" t="e">
        <f>'Приложение № 1'!#REF!</f>
        <v>#REF!</v>
      </c>
      <c r="H33" s="595" t="e">
        <f t="shared" si="4"/>
        <v>#REF!</v>
      </c>
      <c r="I33" s="417" t="e">
        <f>'Приложение № 1'!#REF!</f>
        <v>#REF!</v>
      </c>
      <c r="J33" s="417" t="e">
        <f>'Приложение № 1'!#REF!</f>
        <v>#REF!</v>
      </c>
      <c r="K33" s="595" t="e">
        <f>J33*100/I33</f>
        <v>#REF!</v>
      </c>
      <c r="L33" s="417">
        <f>'Приложение № 1'!G31</f>
        <v>57</v>
      </c>
      <c r="M33" s="417">
        <f>'Приложение № 1'!H31</f>
        <v>57</v>
      </c>
      <c r="N33" s="595">
        <f>M33*100/L33</f>
        <v>100</v>
      </c>
      <c r="O33" s="262" t="e">
        <f>C33*J33/G33</f>
        <v>#REF!</v>
      </c>
      <c r="P33" s="549" t="e">
        <f t="shared" si="1"/>
        <v>#REF!</v>
      </c>
      <c r="Q33" s="414"/>
      <c r="R33" s="414"/>
      <c r="S33" s="307"/>
      <c r="T33" s="3095" t="s">
        <v>649</v>
      </c>
      <c r="U33" s="3096"/>
      <c r="V33" s="3096"/>
      <c r="W33" s="3096"/>
      <c r="X33" s="3096"/>
      <c r="Y33" s="3096"/>
      <c r="Z33" s="3097"/>
      <c r="AA33" s="305" t="s">
        <v>650</v>
      </c>
    </row>
    <row r="34" spans="2:27" ht="98.25" customHeight="1" x14ac:dyDescent="0.3">
      <c r="B34" s="570" t="s">
        <v>888</v>
      </c>
      <c r="C34" s="561">
        <v>2.5</v>
      </c>
      <c r="D34" s="423" t="s">
        <v>558</v>
      </c>
      <c r="E34" s="422" t="s">
        <v>697</v>
      </c>
      <c r="F34" s="417" t="e">
        <f>'Приложение № 1'!#REF!</f>
        <v>#REF!</v>
      </c>
      <c r="G34" s="417" t="e">
        <f>'Приложение № 1'!#REF!</f>
        <v>#REF!</v>
      </c>
      <c r="H34" s="595" t="e">
        <f t="shared" si="4"/>
        <v>#REF!</v>
      </c>
      <c r="I34" s="417">
        <f>'Приложение № 1'!G32</f>
        <v>380</v>
      </c>
      <c r="J34" s="417">
        <f>'Приложение № 1'!H32</f>
        <v>389.4</v>
      </c>
      <c r="K34" s="595">
        <f>J34*100/I34</f>
        <v>102.47368421052632</v>
      </c>
      <c r="L34" s="417">
        <f>'Приложение № 1'!I32</f>
        <v>346.51</v>
      </c>
      <c r="M34" s="417" t="e">
        <f>'Приложение № 1'!#REF!</f>
        <v>#REF!</v>
      </c>
      <c r="N34" s="595" t="e">
        <f>M34*100/L34</f>
        <v>#REF!</v>
      </c>
      <c r="O34" s="262" t="e">
        <f>C34*J34/G34</f>
        <v>#REF!</v>
      </c>
      <c r="P34" s="549" t="e">
        <f t="shared" si="1"/>
        <v>#REF!</v>
      </c>
      <c r="Q34" s="550"/>
      <c r="R34" s="550"/>
      <c r="T34" s="296" t="s">
        <v>5</v>
      </c>
      <c r="U34" s="296" t="s">
        <v>17</v>
      </c>
      <c r="V34" s="296" t="s">
        <v>57</v>
      </c>
      <c r="W34" s="296" t="s">
        <v>67</v>
      </c>
      <c r="X34" s="296" t="s">
        <v>632</v>
      </c>
      <c r="Y34" s="296" t="s">
        <v>633</v>
      </c>
      <c r="Z34" s="296" t="s">
        <v>634</v>
      </c>
    </row>
    <row r="35" spans="2:27" ht="98.25" customHeight="1" x14ac:dyDescent="0.3">
      <c r="B35" s="570" t="s">
        <v>889</v>
      </c>
      <c r="C35" s="561">
        <v>2.5</v>
      </c>
      <c r="D35" s="423" t="s">
        <v>689</v>
      </c>
      <c r="E35" s="422" t="s">
        <v>366</v>
      </c>
      <c r="F35" s="268" t="e">
        <f>'Приложение № 1'!#REF!</f>
        <v>#REF!</v>
      </c>
      <c r="G35" s="268" t="e">
        <f>'Приложение № 1'!#REF!</f>
        <v>#REF!</v>
      </c>
      <c r="H35" s="595" t="e">
        <f t="shared" si="4"/>
        <v>#REF!</v>
      </c>
      <c r="I35" s="268">
        <f>'Приложение № 1'!G33</f>
        <v>190</v>
      </c>
      <c r="J35" s="268">
        <f>'Приложение № 1'!H33</f>
        <v>67</v>
      </c>
      <c r="K35" s="595">
        <f>J35*100/I35</f>
        <v>35.263157894736842</v>
      </c>
      <c r="L35" s="268">
        <f>'Приложение № 1'!I33</f>
        <v>226</v>
      </c>
      <c r="M35" s="268">
        <f>'Приложение № 1'!J33</f>
        <v>257</v>
      </c>
      <c r="N35" s="595">
        <f>M35*100/L35</f>
        <v>113.71681415929204</v>
      </c>
      <c r="O35" s="262" t="e">
        <f>C35*J35/G35</f>
        <v>#REF!</v>
      </c>
      <c r="P35" s="549" t="e">
        <f t="shared" si="1"/>
        <v>#REF!</v>
      </c>
      <c r="Q35" s="414"/>
      <c r="R35" s="414"/>
      <c r="T35" s="296"/>
      <c r="U35" s="296"/>
      <c r="V35" s="296"/>
      <c r="W35" s="296"/>
      <c r="X35" s="296"/>
      <c r="Y35" s="296"/>
      <c r="Z35" s="296"/>
    </row>
    <row r="36" spans="2:27" ht="96" customHeight="1" x14ac:dyDescent="0.3">
      <c r="B36" s="570" t="s">
        <v>890</v>
      </c>
      <c r="C36" s="561">
        <v>2</v>
      </c>
      <c r="D36" s="423" t="s">
        <v>400</v>
      </c>
      <c r="E36" s="422" t="s">
        <v>3</v>
      </c>
      <c r="F36" s="262" t="e">
        <f>'Приложение № 1'!#REF!</f>
        <v>#REF!</v>
      </c>
      <c r="G36" s="262" t="e">
        <f>'Приложение № 1'!#REF!</f>
        <v>#REF!</v>
      </c>
      <c r="H36" s="595" t="e">
        <f>G36*100/F36</f>
        <v>#REF!</v>
      </c>
      <c r="I36" s="262">
        <f>'Приложение № 1'!G34</f>
        <v>33.299999999999997</v>
      </c>
      <c r="J36" s="262">
        <f>'Приложение № 1'!H34</f>
        <v>33.299999999999997</v>
      </c>
      <c r="K36" s="595">
        <f>J36*100/I36</f>
        <v>100</v>
      </c>
      <c r="L36" s="262">
        <f>'Приложение № 1'!I34</f>
        <v>66.599999999999994</v>
      </c>
      <c r="M36" s="262">
        <f>'Приложение № 1'!J34</f>
        <v>100.53</v>
      </c>
      <c r="N36" s="595">
        <f>M36*100/L36</f>
        <v>150.94594594594597</v>
      </c>
      <c r="O36" s="262">
        <v>5.7</v>
      </c>
      <c r="P36" s="549">
        <f t="shared" si="1"/>
        <v>3.7</v>
      </c>
      <c r="Q36" s="552"/>
      <c r="R36" s="552"/>
      <c r="T36" s="297">
        <v>70</v>
      </c>
      <c r="U36" s="297">
        <v>71</v>
      </c>
      <c r="V36" s="297">
        <v>74</v>
      </c>
      <c r="W36" s="297">
        <v>78</v>
      </c>
      <c r="X36" s="297">
        <v>83</v>
      </c>
      <c r="Y36" s="297">
        <v>88</v>
      </c>
      <c r="Z36" s="297">
        <v>90</v>
      </c>
    </row>
    <row r="37" spans="2:27" ht="60" customHeight="1" x14ac:dyDescent="0.3">
      <c r="B37" s="959" t="s">
        <v>11</v>
      </c>
      <c r="C37" s="562">
        <f>C38+C39+C40</f>
        <v>5.5</v>
      </c>
      <c r="D37" s="3089" t="s">
        <v>26</v>
      </c>
      <c r="E37" s="3089"/>
      <c r="F37" s="3089"/>
      <c r="G37" s="3089"/>
      <c r="H37" s="3089"/>
      <c r="I37" s="3089"/>
      <c r="J37" s="3089"/>
      <c r="K37" s="3089"/>
      <c r="L37" s="3089"/>
      <c r="M37" s="3089"/>
      <c r="N37" s="602"/>
      <c r="O37" s="566" t="e">
        <f>O38+O39+O40</f>
        <v>#REF!</v>
      </c>
      <c r="P37" s="549" t="e">
        <f t="shared" si="1"/>
        <v>#REF!</v>
      </c>
      <c r="Q37" s="555"/>
      <c r="R37" s="555"/>
      <c r="T37" s="3086" t="s">
        <v>643</v>
      </c>
      <c r="U37" s="3087"/>
      <c r="V37" s="3087"/>
      <c r="W37" s="3087"/>
      <c r="X37" s="3087"/>
      <c r="Y37" s="3087"/>
      <c r="Z37" s="3088"/>
      <c r="AA37" s="305" t="s">
        <v>650</v>
      </c>
    </row>
    <row r="38" spans="2:27" ht="211.5" customHeight="1" x14ac:dyDescent="0.3">
      <c r="B38" s="570" t="s">
        <v>891</v>
      </c>
      <c r="C38" s="561">
        <v>2</v>
      </c>
      <c r="D38" s="423" t="s">
        <v>690</v>
      </c>
      <c r="E38" s="422" t="s">
        <v>3</v>
      </c>
      <c r="F38" s="268" t="e">
        <f>'Приложение № 1'!#REF!</f>
        <v>#REF!</v>
      </c>
      <c r="G38" s="268" t="e">
        <f>'Приложение № 1'!#REF!</f>
        <v>#REF!</v>
      </c>
      <c r="H38" s="595" t="e">
        <f t="shared" si="4"/>
        <v>#REF!</v>
      </c>
      <c r="I38" s="268">
        <f>'Приложение № 1'!G36</f>
        <v>32.01</v>
      </c>
      <c r="J38" s="268">
        <f>'Приложение № 1'!H36</f>
        <v>32.01</v>
      </c>
      <c r="K38" s="595">
        <f>J38*100/I38</f>
        <v>100</v>
      </c>
      <c r="L38" s="268">
        <f>'Приложение № 1'!I36</f>
        <v>32.799999999999997</v>
      </c>
      <c r="M38" s="268">
        <f>'Приложение № 1'!J36</f>
        <v>34.43</v>
      </c>
      <c r="N38" s="595">
        <f>M38*100/L38</f>
        <v>104.96951219512196</v>
      </c>
      <c r="O38" s="262" t="e">
        <f>C38*J38/G38</f>
        <v>#REF!</v>
      </c>
      <c r="P38" s="549" t="e">
        <f t="shared" si="1"/>
        <v>#REF!</v>
      </c>
      <c r="Q38" s="549"/>
      <c r="R38" s="549"/>
      <c r="T38" s="296" t="s">
        <v>5</v>
      </c>
      <c r="U38" s="296" t="s">
        <v>17</v>
      </c>
      <c r="V38" s="296" t="s">
        <v>57</v>
      </c>
      <c r="W38" s="296" t="s">
        <v>67</v>
      </c>
      <c r="X38" s="296" t="s">
        <v>632</v>
      </c>
      <c r="Y38" s="296" t="s">
        <v>633</v>
      </c>
      <c r="Z38" s="296" t="s">
        <v>634</v>
      </c>
    </row>
    <row r="39" spans="2:27" ht="94.5" customHeight="1" x14ac:dyDescent="0.3">
      <c r="B39" s="570" t="s">
        <v>892</v>
      </c>
      <c r="C39" s="561">
        <v>2.5</v>
      </c>
      <c r="D39" s="423" t="s">
        <v>404</v>
      </c>
      <c r="E39" s="422" t="s">
        <v>366</v>
      </c>
      <c r="F39" s="268" t="e">
        <f>'Приложение № 1'!#REF!</f>
        <v>#REF!</v>
      </c>
      <c r="G39" s="268" t="e">
        <f>'Приложение № 1'!#REF!</f>
        <v>#REF!</v>
      </c>
      <c r="H39" s="595" t="e">
        <f t="shared" si="4"/>
        <v>#REF!</v>
      </c>
      <c r="I39" s="268">
        <f>'Приложение № 1'!G37</f>
        <v>80</v>
      </c>
      <c r="J39" s="268">
        <f>'Приложение № 1'!H37</f>
        <v>80</v>
      </c>
      <c r="K39" s="595">
        <f>J39*100/I39</f>
        <v>100</v>
      </c>
      <c r="L39" s="268">
        <f>'Приложение № 1'!I37</f>
        <v>106</v>
      </c>
      <c r="M39" s="268">
        <f>'Приложение № 1'!J37</f>
        <v>106</v>
      </c>
      <c r="N39" s="595">
        <f>M39*100/L39</f>
        <v>100</v>
      </c>
      <c r="O39" s="262">
        <v>3</v>
      </c>
      <c r="P39" s="549">
        <f t="shared" si="1"/>
        <v>0.5</v>
      </c>
      <c r="Q39" s="414"/>
      <c r="R39" s="414"/>
      <c r="T39" s="297">
        <v>30.5</v>
      </c>
      <c r="U39" s="297">
        <v>31.24</v>
      </c>
      <c r="V39" s="297">
        <v>32.01</v>
      </c>
      <c r="W39" s="297">
        <v>32.79</v>
      </c>
      <c r="X39" s="297">
        <v>33.590000000000003</v>
      </c>
      <c r="Y39" s="297">
        <v>34.409999999999997</v>
      </c>
      <c r="Z39" s="297">
        <v>35.25</v>
      </c>
    </row>
    <row r="40" spans="2:27" ht="257.25" customHeight="1" x14ac:dyDescent="0.3">
      <c r="B40" s="570" t="s">
        <v>893</v>
      </c>
      <c r="C40" s="561">
        <v>1</v>
      </c>
      <c r="D40" s="423" t="s">
        <v>700</v>
      </c>
      <c r="E40" s="422" t="s">
        <v>366</v>
      </c>
      <c r="F40" s="268" t="e">
        <f>'Приложение № 1'!#REF!</f>
        <v>#REF!</v>
      </c>
      <c r="G40" s="268">
        <v>0.1</v>
      </c>
      <c r="H40" s="595" t="e">
        <f>G40*100/F40</f>
        <v>#REF!</v>
      </c>
      <c r="I40" s="268">
        <f>'Приложение № 1'!G38</f>
        <v>540</v>
      </c>
      <c r="J40" s="268">
        <f>'Приложение № 1'!H38</f>
        <v>240</v>
      </c>
      <c r="K40" s="595">
        <f>J40*100/I40</f>
        <v>44.444444444444443</v>
      </c>
      <c r="L40" s="268">
        <f>'Приложение № 1'!I38</f>
        <v>1015</v>
      </c>
      <c r="M40" s="268">
        <f>'Приложение № 1'!J38</f>
        <v>257</v>
      </c>
      <c r="N40" s="595">
        <f>M40*100/L40</f>
        <v>25.320197044334975</v>
      </c>
      <c r="O40" s="262">
        <f>C40*J40/G40</f>
        <v>2400</v>
      </c>
      <c r="P40" s="549">
        <f t="shared" si="1"/>
        <v>2399</v>
      </c>
      <c r="Q40" s="414"/>
      <c r="R40" s="414"/>
      <c r="T40" s="296" t="s">
        <v>5</v>
      </c>
      <c r="U40" s="296" t="s">
        <v>17</v>
      </c>
      <c r="V40" s="296" t="s">
        <v>57</v>
      </c>
      <c r="W40" s="296" t="s">
        <v>67</v>
      </c>
      <c r="X40" s="296" t="s">
        <v>632</v>
      </c>
      <c r="Y40" s="296" t="s">
        <v>633</v>
      </c>
      <c r="Z40" s="296" t="s">
        <v>634</v>
      </c>
    </row>
    <row r="41" spans="2:27" ht="66" customHeight="1" x14ac:dyDescent="0.3">
      <c r="B41" s="959" t="s">
        <v>19</v>
      </c>
      <c r="C41" s="562">
        <f>C42+C43+C44</f>
        <v>7</v>
      </c>
      <c r="D41" s="3089" t="s">
        <v>27</v>
      </c>
      <c r="E41" s="3089"/>
      <c r="F41" s="3089"/>
      <c r="G41" s="3089"/>
      <c r="H41" s="3089"/>
      <c r="I41" s="3089"/>
      <c r="J41" s="3089"/>
      <c r="K41" s="3089"/>
      <c r="L41" s="3089"/>
      <c r="M41" s="3089"/>
      <c r="N41" s="602"/>
      <c r="O41" s="566" t="e">
        <f>O42+O43+O44</f>
        <v>#REF!</v>
      </c>
      <c r="P41" s="549" t="e">
        <f t="shared" si="1"/>
        <v>#REF!</v>
      </c>
      <c r="Q41" s="555"/>
      <c r="R41" s="555"/>
      <c r="T41" s="297">
        <v>27.6</v>
      </c>
      <c r="U41" s="297">
        <v>36.700000000000003</v>
      </c>
      <c r="V41" s="297">
        <v>45.8</v>
      </c>
      <c r="W41" s="297">
        <v>54.9</v>
      </c>
      <c r="X41" s="297">
        <v>64</v>
      </c>
      <c r="Y41" s="297">
        <v>73.099999999999994</v>
      </c>
      <c r="Z41" s="297">
        <v>82.2</v>
      </c>
    </row>
    <row r="42" spans="2:27" ht="138.75" customHeight="1" x14ac:dyDescent="0.3">
      <c r="B42" s="570" t="s">
        <v>894</v>
      </c>
      <c r="C42" s="561">
        <v>2.5</v>
      </c>
      <c r="D42" s="423" t="s">
        <v>652</v>
      </c>
      <c r="E42" s="422" t="s">
        <v>3</v>
      </c>
      <c r="F42" s="957" t="e">
        <f>'Приложение № 1'!#REF!</f>
        <v>#REF!</v>
      </c>
      <c r="G42" s="957" t="e">
        <f>'Приложение № 1'!#REF!</f>
        <v>#REF!</v>
      </c>
      <c r="H42" s="595" t="e">
        <f>G42*100/F42</f>
        <v>#REF!</v>
      </c>
      <c r="I42" s="957">
        <f>'Приложение № 1'!G40</f>
        <v>26</v>
      </c>
      <c r="J42" s="957" t="e">
        <f>'Приложение № 1'!#REF!</f>
        <v>#REF!</v>
      </c>
      <c r="K42" s="595" t="e">
        <f>J42*100/I42</f>
        <v>#REF!</v>
      </c>
      <c r="L42" s="957">
        <f>'Приложение № 1'!I40</f>
        <v>28</v>
      </c>
      <c r="M42" s="957">
        <f>'Приложение № 1'!H40</f>
        <v>26</v>
      </c>
      <c r="N42" s="595">
        <f>M42*100/L42</f>
        <v>92.857142857142861</v>
      </c>
      <c r="O42" s="262" t="e">
        <f>C42*J42/G42</f>
        <v>#REF!</v>
      </c>
      <c r="P42" s="549" t="e">
        <f t="shared" si="1"/>
        <v>#REF!</v>
      </c>
      <c r="Q42" s="549"/>
      <c r="R42" s="549"/>
      <c r="T42" s="297"/>
      <c r="U42" s="297"/>
      <c r="V42" s="297"/>
      <c r="W42" s="297"/>
      <c r="X42" s="297"/>
      <c r="Y42" s="297"/>
      <c r="Z42" s="297"/>
    </row>
    <row r="43" spans="2:27" ht="117.75" customHeight="1" x14ac:dyDescent="0.3">
      <c r="B43" s="570" t="s">
        <v>895</v>
      </c>
      <c r="C43" s="561">
        <v>2</v>
      </c>
      <c r="D43" s="423" t="s">
        <v>408</v>
      </c>
      <c r="E43" s="422" t="s">
        <v>3</v>
      </c>
      <c r="F43" s="957" t="e">
        <f>'Приложение № 1'!#REF!</f>
        <v>#REF!</v>
      </c>
      <c r="G43" s="957" t="e">
        <f>'Приложение № 1'!#REF!</f>
        <v>#REF!</v>
      </c>
      <c r="H43" s="595" t="e">
        <f>G43*100/F43</f>
        <v>#REF!</v>
      </c>
      <c r="I43" s="957">
        <f>'Приложение № 1'!G41</f>
        <v>500</v>
      </c>
      <c r="J43" s="957">
        <f>'Приложение № 1'!H41</f>
        <v>605</v>
      </c>
      <c r="K43" s="595">
        <f>J43*100/I43</f>
        <v>121</v>
      </c>
      <c r="L43" s="957">
        <f>'Приложение № 1'!I41</f>
        <v>500</v>
      </c>
      <c r="M43" s="957">
        <f>'Приложение № 1'!J41</f>
        <v>449</v>
      </c>
      <c r="N43" s="595">
        <f>M43*100/L43</f>
        <v>89.8</v>
      </c>
      <c r="O43" s="262" t="e">
        <f>C43*J43/G43</f>
        <v>#REF!</v>
      </c>
      <c r="P43" s="549" t="e">
        <f t="shared" si="1"/>
        <v>#REF!</v>
      </c>
      <c r="Q43" s="549"/>
      <c r="R43" s="549"/>
      <c r="T43" s="3086" t="s">
        <v>645</v>
      </c>
      <c r="U43" s="3087"/>
      <c r="V43" s="3087"/>
      <c r="W43" s="3087"/>
      <c r="X43" s="3087"/>
      <c r="Y43" s="3087"/>
      <c r="Z43" s="3088"/>
      <c r="AA43" s="305" t="s">
        <v>650</v>
      </c>
    </row>
    <row r="44" spans="2:27" ht="114.75" customHeight="1" x14ac:dyDescent="0.3">
      <c r="B44" s="570" t="s">
        <v>896</v>
      </c>
      <c r="C44" s="561">
        <v>2.5</v>
      </c>
      <c r="D44" s="423" t="s">
        <v>656</v>
      </c>
      <c r="E44" s="422" t="s">
        <v>3</v>
      </c>
      <c r="F44" s="957" t="e">
        <f>'Приложение № 1'!#REF!</f>
        <v>#REF!</v>
      </c>
      <c r="G44" s="957" t="e">
        <f>'Приложение № 1'!#REF!</f>
        <v>#REF!</v>
      </c>
      <c r="H44" s="595" t="e">
        <f>G44*100/F44</f>
        <v>#REF!</v>
      </c>
      <c r="I44" s="957">
        <f>'Приложение № 1'!G42</f>
        <v>0.75</v>
      </c>
      <c r="J44" s="957">
        <f>'Приложение № 1'!H42</f>
        <v>2.4700000000000002</v>
      </c>
      <c r="K44" s="595">
        <f>J44*100/I44</f>
        <v>329.33333333333337</v>
      </c>
      <c r="L44" s="957">
        <f>'Приложение № 1'!I42</f>
        <v>1.39</v>
      </c>
      <c r="M44" s="957">
        <f>'Приложение № 1'!J42</f>
        <v>1.39</v>
      </c>
      <c r="N44" s="595">
        <f>M44*100/L44</f>
        <v>100</v>
      </c>
      <c r="O44" s="262" t="e">
        <f>C44*J44/G44</f>
        <v>#REF!</v>
      </c>
      <c r="P44" s="549" t="e">
        <f t="shared" si="1"/>
        <v>#REF!</v>
      </c>
      <c r="Q44" s="553"/>
      <c r="R44" s="553"/>
      <c r="T44" s="420"/>
      <c r="U44" s="420"/>
      <c r="V44" s="420"/>
      <c r="W44" s="420"/>
      <c r="X44" s="420"/>
      <c r="Y44" s="420"/>
      <c r="Z44" s="420"/>
    </row>
    <row r="45" spans="2:27" ht="33" customHeight="1" x14ac:dyDescent="0.3">
      <c r="B45" s="570" t="s">
        <v>28</v>
      </c>
      <c r="C45" s="562">
        <f>C46+C47+C48+C49+C50</f>
        <v>11.5</v>
      </c>
      <c r="D45" s="3093" t="s">
        <v>29</v>
      </c>
      <c r="E45" s="3094"/>
      <c r="F45" s="3094"/>
      <c r="G45" s="3094"/>
      <c r="H45" s="3094"/>
      <c r="I45" s="3094"/>
      <c r="J45" s="3094"/>
      <c r="K45" s="3094"/>
      <c r="L45" s="3094"/>
      <c r="M45" s="3094"/>
      <c r="N45" s="601"/>
      <c r="O45" s="566" t="e">
        <f>O46+O47+O48+O49+O50</f>
        <v>#REF!</v>
      </c>
      <c r="P45" s="549" t="e">
        <f t="shared" si="1"/>
        <v>#REF!</v>
      </c>
      <c r="Q45" s="548"/>
      <c r="R45" s="548"/>
      <c r="T45" s="296" t="s">
        <v>5</v>
      </c>
      <c r="U45" s="296" t="s">
        <v>17</v>
      </c>
      <c r="V45" s="296" t="s">
        <v>57</v>
      </c>
      <c r="W45" s="296" t="s">
        <v>67</v>
      </c>
      <c r="X45" s="296" t="s">
        <v>632</v>
      </c>
      <c r="Y45" s="296" t="s">
        <v>633</v>
      </c>
      <c r="Z45" s="296" t="s">
        <v>634</v>
      </c>
    </row>
    <row r="46" spans="2:27" x14ac:dyDescent="0.3">
      <c r="B46" s="570" t="s">
        <v>897</v>
      </c>
      <c r="C46" s="561">
        <v>2</v>
      </c>
      <c r="D46" s="423" t="s">
        <v>412</v>
      </c>
      <c r="E46" s="422" t="s">
        <v>366</v>
      </c>
      <c r="F46" s="268" t="e">
        <f>'Приложение № 1'!#REF!</f>
        <v>#REF!</v>
      </c>
      <c r="G46" s="268" t="e">
        <f>'Приложение № 1'!#REF!</f>
        <v>#REF!</v>
      </c>
      <c r="H46" s="595" t="e">
        <f>G46*100/F46</f>
        <v>#REF!</v>
      </c>
      <c r="I46" s="268">
        <f>'Приложение № 1'!G44</f>
        <v>1080</v>
      </c>
      <c r="J46" s="268">
        <f>'Приложение № 1'!H44</f>
        <v>1063</v>
      </c>
      <c r="K46" s="595">
        <f>J46*100/I46</f>
        <v>98.425925925925924</v>
      </c>
      <c r="L46" s="268">
        <f>'Приложение № 1'!I44</f>
        <v>1065</v>
      </c>
      <c r="M46" s="268">
        <f>'Приложение № 1'!J44</f>
        <v>1037</v>
      </c>
      <c r="N46" s="595">
        <f>M46*100/L46</f>
        <v>97.370892018779344</v>
      </c>
      <c r="O46" s="262" t="e">
        <f>C46*J46/G46</f>
        <v>#REF!</v>
      </c>
      <c r="P46" s="549" t="e">
        <f t="shared" si="1"/>
        <v>#REF!</v>
      </c>
      <c r="Q46" s="549"/>
      <c r="R46" s="549"/>
      <c r="T46" s="297">
        <v>41</v>
      </c>
      <c r="U46" s="297">
        <v>49</v>
      </c>
      <c r="V46" s="297">
        <v>57</v>
      </c>
      <c r="W46" s="297">
        <v>61</v>
      </c>
      <c r="X46" s="297">
        <v>69</v>
      </c>
      <c r="Y46" s="297">
        <v>77</v>
      </c>
      <c r="Z46" s="297">
        <v>85</v>
      </c>
    </row>
    <row r="47" spans="2:27" ht="100.5" customHeight="1" x14ac:dyDescent="0.3">
      <c r="B47" s="570" t="s">
        <v>898</v>
      </c>
      <c r="C47" s="561">
        <v>2</v>
      </c>
      <c r="D47" s="423" t="s">
        <v>657</v>
      </c>
      <c r="E47" s="422" t="s">
        <v>3</v>
      </c>
      <c r="F47" s="486" t="e">
        <f>'Приложение № 1'!#REF!</f>
        <v>#REF!</v>
      </c>
      <c r="G47" s="486" t="e">
        <f>'Приложение № 1'!#REF!</f>
        <v>#REF!</v>
      </c>
      <c r="H47" s="595" t="e">
        <f t="shared" ref="H47:H63" si="7">G47*100/F47</f>
        <v>#REF!</v>
      </c>
      <c r="I47" s="486">
        <f>'Приложение № 1'!G45</f>
        <v>1.2</v>
      </c>
      <c r="J47" s="486">
        <f>'Приложение № 1'!H45</f>
        <v>1.39</v>
      </c>
      <c r="K47" s="595">
        <f>J47*100/I47</f>
        <v>115.83333333333334</v>
      </c>
      <c r="L47" s="486">
        <f>'Приложение № 1'!I45</f>
        <v>1.36</v>
      </c>
      <c r="M47" s="486">
        <f>'Приложение № 1'!J45</f>
        <v>1.36</v>
      </c>
      <c r="N47" s="595">
        <f>M47*100/L47</f>
        <v>99.999999999999986</v>
      </c>
      <c r="O47" s="262" t="e">
        <f>C47*J47/G47</f>
        <v>#REF!</v>
      </c>
      <c r="P47" s="549" t="e">
        <f t="shared" si="1"/>
        <v>#REF!</v>
      </c>
      <c r="Q47" s="554"/>
      <c r="R47" s="554"/>
      <c r="T47" s="3086" t="s">
        <v>646</v>
      </c>
      <c r="U47" s="3087"/>
      <c r="V47" s="3087"/>
      <c r="W47" s="3087"/>
      <c r="X47" s="3087"/>
      <c r="Y47" s="3087"/>
      <c r="Z47" s="3088"/>
      <c r="AA47" s="305" t="s">
        <v>650</v>
      </c>
    </row>
    <row r="48" spans="2:27" ht="83.25" customHeight="1" x14ac:dyDescent="0.3">
      <c r="B48" s="570" t="s">
        <v>899</v>
      </c>
      <c r="C48" s="561">
        <v>2.5</v>
      </c>
      <c r="D48" s="423" t="s">
        <v>617</v>
      </c>
      <c r="E48" s="422" t="s">
        <v>366</v>
      </c>
      <c r="F48" s="268" t="e">
        <f>'Приложение № 1'!#REF!</f>
        <v>#REF!</v>
      </c>
      <c r="G48" s="268" t="e">
        <f>'Приложение № 1'!#REF!</f>
        <v>#REF!</v>
      </c>
      <c r="H48" s="595" t="e">
        <f t="shared" si="7"/>
        <v>#REF!</v>
      </c>
      <c r="I48" s="268">
        <f>'Приложение № 1'!G46</f>
        <v>2800</v>
      </c>
      <c r="J48" s="268">
        <f>'Приложение № 1'!H46</f>
        <v>2686</v>
      </c>
      <c r="K48" s="595">
        <f>J48*100/I48</f>
        <v>95.928571428571431</v>
      </c>
      <c r="L48" s="268">
        <f>'Приложение № 1'!I46</f>
        <v>2800</v>
      </c>
      <c r="M48" s="268">
        <f>'Приложение № 1'!J46</f>
        <v>2351</v>
      </c>
      <c r="N48" s="595">
        <f>M48*100/L48</f>
        <v>83.964285714285708</v>
      </c>
      <c r="O48" s="262" t="e">
        <f>C48*J48/G48</f>
        <v>#REF!</v>
      </c>
      <c r="P48" s="549" t="e">
        <f t="shared" si="1"/>
        <v>#REF!</v>
      </c>
      <c r="Q48" s="549"/>
      <c r="R48" s="549"/>
      <c r="T48" s="296" t="s">
        <v>5</v>
      </c>
      <c r="U48" s="296" t="s">
        <v>17</v>
      </c>
      <c r="V48" s="296" t="s">
        <v>57</v>
      </c>
      <c r="W48" s="296" t="s">
        <v>67</v>
      </c>
      <c r="X48" s="296" t="s">
        <v>632</v>
      </c>
      <c r="Y48" s="296" t="s">
        <v>633</v>
      </c>
      <c r="Z48" s="296" t="s">
        <v>634</v>
      </c>
    </row>
    <row r="49" spans="2:27" ht="88.5" customHeight="1" x14ac:dyDescent="0.3">
      <c r="B49" s="570" t="s">
        <v>900</v>
      </c>
      <c r="C49" s="561">
        <v>2.5</v>
      </c>
      <c r="D49" s="423" t="s">
        <v>616</v>
      </c>
      <c r="E49" s="422" t="s">
        <v>366</v>
      </c>
      <c r="F49" s="268" t="e">
        <f>'Приложение № 1'!#REF!</f>
        <v>#REF!</v>
      </c>
      <c r="G49" s="268" t="e">
        <f>'Приложение № 1'!#REF!</f>
        <v>#REF!</v>
      </c>
      <c r="H49" s="595" t="e">
        <f t="shared" si="7"/>
        <v>#REF!</v>
      </c>
      <c r="I49" s="268">
        <f>'Приложение № 1'!G47</f>
        <v>26</v>
      </c>
      <c r="J49" s="268">
        <f>'Приложение № 1'!H47</f>
        <v>21</v>
      </c>
      <c r="K49" s="595">
        <f>J49*100/I49</f>
        <v>80.769230769230774</v>
      </c>
      <c r="L49" s="268">
        <f>'Приложение № 1'!I47</f>
        <v>26</v>
      </c>
      <c r="M49" s="268">
        <f>'Приложение № 1'!J47</f>
        <v>15</v>
      </c>
      <c r="N49" s="595">
        <f>M49*100/L49</f>
        <v>57.692307692307693</v>
      </c>
      <c r="O49" s="262" t="e">
        <f>C49*J49/G49</f>
        <v>#REF!</v>
      </c>
      <c r="P49" s="549" t="e">
        <f t="shared" si="1"/>
        <v>#REF!</v>
      </c>
      <c r="Q49" s="549"/>
      <c r="R49" s="549"/>
      <c r="T49" s="297">
        <v>87</v>
      </c>
      <c r="U49" s="297">
        <v>91</v>
      </c>
      <c r="V49" s="297">
        <v>93</v>
      </c>
      <c r="W49" s="297">
        <v>95</v>
      </c>
      <c r="X49" s="297">
        <v>97</v>
      </c>
      <c r="Y49" s="297">
        <v>99</v>
      </c>
      <c r="Z49" s="297">
        <v>100</v>
      </c>
    </row>
    <row r="50" spans="2:27" ht="112" x14ac:dyDescent="0.3">
      <c r="B50" s="570" t="s">
        <v>901</v>
      </c>
      <c r="C50" s="561">
        <v>2.5</v>
      </c>
      <c r="D50" s="423" t="s">
        <v>703</v>
      </c>
      <c r="E50" s="422" t="s">
        <v>3</v>
      </c>
      <c r="F50" s="486" t="e">
        <f>'Приложение № 1'!#REF!</f>
        <v>#REF!</v>
      </c>
      <c r="G50" s="486" t="e">
        <f>'Приложение № 1'!#REF!</f>
        <v>#REF!</v>
      </c>
      <c r="H50" s="595" t="e">
        <f t="shared" si="7"/>
        <v>#REF!</v>
      </c>
      <c r="I50" s="486">
        <f>'Приложение № 1'!G48</f>
        <v>21</v>
      </c>
      <c r="J50" s="486" t="e">
        <f>'Приложение № 1'!#REF!</f>
        <v>#REF!</v>
      </c>
      <c r="K50" s="595" t="e">
        <f>J50*100/I50</f>
        <v>#REF!</v>
      </c>
      <c r="L50" s="486">
        <f>'Приложение № 1'!I48</f>
        <v>45.8</v>
      </c>
      <c r="M50" s="486">
        <f>'Приложение № 1'!H48</f>
        <v>23.4</v>
      </c>
      <c r="N50" s="595">
        <f>M50*100/L50</f>
        <v>51.091703056768559</v>
      </c>
      <c r="O50" s="262" t="e">
        <f>C50*J50/G50</f>
        <v>#REF!</v>
      </c>
      <c r="P50" s="549" t="e">
        <f t="shared" si="1"/>
        <v>#REF!</v>
      </c>
      <c r="Q50" s="549"/>
      <c r="R50" s="549"/>
      <c r="T50" s="3086" t="s">
        <v>647</v>
      </c>
      <c r="U50" s="3087"/>
      <c r="V50" s="3087"/>
      <c r="W50" s="3087"/>
      <c r="X50" s="3087"/>
      <c r="Y50" s="3087"/>
      <c r="Z50" s="3088"/>
    </row>
    <row r="51" spans="2:27" ht="40.5" customHeight="1" x14ac:dyDescent="0.3">
      <c r="B51" s="958" t="s">
        <v>12</v>
      </c>
      <c r="C51" s="560">
        <f>C53+C56+C60+C52</f>
        <v>20</v>
      </c>
      <c r="D51" s="3098" t="s">
        <v>30</v>
      </c>
      <c r="E51" s="3099"/>
      <c r="F51" s="3099"/>
      <c r="G51" s="3099"/>
      <c r="H51" s="3099"/>
      <c r="I51" s="3099"/>
      <c r="J51" s="3099"/>
      <c r="K51" s="3099"/>
      <c r="L51" s="3099"/>
      <c r="M51" s="3099"/>
      <c r="N51" s="599"/>
      <c r="O51" s="565" t="e">
        <f>O53+O56+O60+O52</f>
        <v>#REF!</v>
      </c>
      <c r="P51" s="549" t="e">
        <f t="shared" si="1"/>
        <v>#REF!</v>
      </c>
      <c r="Q51" s="548"/>
      <c r="R51" s="548"/>
      <c r="T51" s="296" t="s">
        <v>5</v>
      </c>
      <c r="U51" s="296" t="s">
        <v>17</v>
      </c>
      <c r="V51" s="296" t="s">
        <v>57</v>
      </c>
      <c r="W51" s="296" t="s">
        <v>67</v>
      </c>
      <c r="X51" s="296" t="s">
        <v>632</v>
      </c>
      <c r="Y51" s="296" t="s">
        <v>633</v>
      </c>
      <c r="Z51" s="296" t="s">
        <v>634</v>
      </c>
    </row>
    <row r="52" spans="2:27" ht="168" customHeight="1" x14ac:dyDescent="0.3">
      <c r="B52" s="570">
        <v>32</v>
      </c>
      <c r="C52" s="561">
        <v>3</v>
      </c>
      <c r="D52" s="423" t="s">
        <v>423</v>
      </c>
      <c r="E52" s="422" t="s">
        <v>339</v>
      </c>
      <c r="F52" s="953" t="e">
        <f>'Приложение № 1'!#REF!</f>
        <v>#REF!</v>
      </c>
      <c r="G52" s="953" t="e">
        <f>'Приложение № 1'!#REF!</f>
        <v>#REF!</v>
      </c>
      <c r="H52" s="595" t="e">
        <f t="shared" si="7"/>
        <v>#REF!</v>
      </c>
      <c r="I52" s="953">
        <f>'Приложение № 1'!G50</f>
        <v>1850</v>
      </c>
      <c r="J52" s="953">
        <f>'Приложение № 1'!H50</f>
        <v>2017</v>
      </c>
      <c r="K52" s="595">
        <f>J52*100/I52</f>
        <v>109.02702702702703</v>
      </c>
      <c r="L52" s="953">
        <f>'Приложение № 1'!I50</f>
        <v>1897</v>
      </c>
      <c r="M52" s="953">
        <f>'Приложение № 1'!J50</f>
        <v>2005</v>
      </c>
      <c r="N52" s="595">
        <f>M52*100/L52</f>
        <v>105.69319978914075</v>
      </c>
      <c r="O52" s="262" t="e">
        <f>C52*J52/G52</f>
        <v>#REF!</v>
      </c>
      <c r="P52" s="549" t="e">
        <f t="shared" si="1"/>
        <v>#REF!</v>
      </c>
      <c r="Q52" s="414"/>
      <c r="R52" s="414"/>
      <c r="T52" s="297" t="s">
        <v>635</v>
      </c>
      <c r="U52" s="297">
        <v>13</v>
      </c>
      <c r="V52" s="297">
        <v>25</v>
      </c>
      <c r="W52" s="297">
        <v>50</v>
      </c>
      <c r="X52" s="297">
        <v>63</v>
      </c>
      <c r="Y52" s="297">
        <v>88</v>
      </c>
      <c r="Z52" s="297">
        <v>100</v>
      </c>
    </row>
    <row r="53" spans="2:27" ht="33" x14ac:dyDescent="0.3">
      <c r="B53" s="959" t="s">
        <v>13</v>
      </c>
      <c r="C53" s="562">
        <f>C54+C55</f>
        <v>4</v>
      </c>
      <c r="D53" s="3093" t="s">
        <v>31</v>
      </c>
      <c r="E53" s="3094"/>
      <c r="F53" s="3094"/>
      <c r="G53" s="3094"/>
      <c r="H53" s="3094"/>
      <c r="I53" s="3094"/>
      <c r="J53" s="3094"/>
      <c r="K53" s="3094"/>
      <c r="L53" s="3094"/>
      <c r="M53" s="3094"/>
      <c r="N53" s="601"/>
      <c r="O53" s="566" t="e">
        <f>O54+O55</f>
        <v>#REF!</v>
      </c>
      <c r="P53" s="549" t="e">
        <f t="shared" si="1"/>
        <v>#REF!</v>
      </c>
      <c r="Q53" s="548"/>
      <c r="R53" s="548"/>
      <c r="T53" s="3086" t="s">
        <v>648</v>
      </c>
      <c r="U53" s="3087"/>
      <c r="V53" s="3087"/>
      <c r="W53" s="3087"/>
      <c r="X53" s="3087"/>
      <c r="Y53" s="3087"/>
      <c r="Z53" s="3088"/>
      <c r="AA53" s="305" t="s">
        <v>650</v>
      </c>
    </row>
    <row r="54" spans="2:27" ht="87" customHeight="1" x14ac:dyDescent="0.3">
      <c r="B54" s="570" t="s">
        <v>902</v>
      </c>
      <c r="C54" s="561">
        <v>2</v>
      </c>
      <c r="D54" s="423" t="s">
        <v>426</v>
      </c>
      <c r="E54" s="422" t="s">
        <v>366</v>
      </c>
      <c r="F54" s="953" t="e">
        <f>'Приложение № 1'!#REF!</f>
        <v>#REF!</v>
      </c>
      <c r="G54" s="953" t="e">
        <f>'Приложение № 1'!#REF!</f>
        <v>#REF!</v>
      </c>
      <c r="H54" s="595" t="e">
        <f t="shared" si="7"/>
        <v>#REF!</v>
      </c>
      <c r="I54" s="953">
        <f>'Приложение № 1'!G52</f>
        <v>4</v>
      </c>
      <c r="J54" s="953">
        <f>'Приложение № 1'!H52</f>
        <v>4</v>
      </c>
      <c r="K54" s="595">
        <f>J54*100/I54</f>
        <v>100</v>
      </c>
      <c r="L54" s="953">
        <f>'Приложение № 1'!I52</f>
        <v>4</v>
      </c>
      <c r="M54" s="953">
        <f>'Приложение № 1'!J52</f>
        <v>4</v>
      </c>
      <c r="N54" s="595">
        <f>M54*100/L54</f>
        <v>100</v>
      </c>
      <c r="O54" s="262" t="e">
        <f>C54*J54/G54</f>
        <v>#REF!</v>
      </c>
      <c r="P54" s="549" t="e">
        <f t="shared" si="1"/>
        <v>#REF!</v>
      </c>
      <c r="Q54" s="414"/>
      <c r="R54" s="414"/>
      <c r="T54" s="296" t="s">
        <v>17</v>
      </c>
      <c r="U54" s="296" t="s">
        <v>57</v>
      </c>
      <c r="V54" s="296" t="s">
        <v>67</v>
      </c>
      <c r="W54" s="296" t="s">
        <v>632</v>
      </c>
      <c r="X54" s="296" t="s">
        <v>633</v>
      </c>
      <c r="Y54" s="296" t="s">
        <v>634</v>
      </c>
      <c r="Z54" s="299"/>
    </row>
    <row r="55" spans="2:27" ht="93" customHeight="1" x14ac:dyDescent="0.3">
      <c r="B55" s="570" t="s">
        <v>903</v>
      </c>
      <c r="C55" s="561">
        <v>2</v>
      </c>
      <c r="D55" s="423" t="s">
        <v>428</v>
      </c>
      <c r="E55" s="422" t="s">
        <v>366</v>
      </c>
      <c r="F55" s="953" t="e">
        <f>'Приложение № 1'!#REF!</f>
        <v>#REF!</v>
      </c>
      <c r="G55" s="953" t="e">
        <f>'Приложение № 1'!#REF!</f>
        <v>#REF!</v>
      </c>
      <c r="H55" s="595" t="e">
        <f t="shared" si="7"/>
        <v>#REF!</v>
      </c>
      <c r="I55" s="953">
        <f>'Приложение № 1'!G53</f>
        <v>4</v>
      </c>
      <c r="J55" s="953">
        <f>'Приложение № 1'!H53</f>
        <v>4</v>
      </c>
      <c r="K55" s="595">
        <f>J55*100/I55</f>
        <v>100</v>
      </c>
      <c r="L55" s="953">
        <f>'Приложение № 1'!I53</f>
        <v>4</v>
      </c>
      <c r="M55" s="953">
        <f>'Приложение № 1'!J53</f>
        <v>4</v>
      </c>
      <c r="N55" s="595">
        <f>M55*100/L55</f>
        <v>100</v>
      </c>
      <c r="O55" s="262" t="e">
        <f>C55*J55/G55</f>
        <v>#REF!</v>
      </c>
      <c r="P55" s="549" t="e">
        <f t="shared" si="1"/>
        <v>#REF!</v>
      </c>
      <c r="Q55" s="414"/>
      <c r="R55" s="414"/>
      <c r="T55" s="297">
        <v>2</v>
      </c>
      <c r="U55" s="297">
        <v>3</v>
      </c>
      <c r="V55" s="297">
        <v>5</v>
      </c>
      <c r="W55" s="297">
        <v>6</v>
      </c>
      <c r="X55" s="297">
        <v>7</v>
      </c>
      <c r="Y55" s="297">
        <v>8</v>
      </c>
      <c r="Z55" s="300"/>
    </row>
    <row r="56" spans="2:27" x14ac:dyDescent="0.3">
      <c r="B56" s="959" t="s">
        <v>14</v>
      </c>
      <c r="C56" s="562">
        <f>C57+C58+C59</f>
        <v>7</v>
      </c>
      <c r="D56" s="3093" t="s">
        <v>32</v>
      </c>
      <c r="E56" s="3094"/>
      <c r="F56" s="3094"/>
      <c r="G56" s="3094"/>
      <c r="H56" s="3094"/>
      <c r="I56" s="3094"/>
      <c r="J56" s="3094"/>
      <c r="K56" s="3094"/>
      <c r="L56" s="3094"/>
      <c r="M56" s="3094"/>
      <c r="N56" s="601"/>
      <c r="O56" s="566" t="e">
        <f>O57+O58+O59</f>
        <v>#REF!</v>
      </c>
      <c r="P56" s="549" t="e">
        <f t="shared" si="1"/>
        <v>#REF!</v>
      </c>
      <c r="Q56" s="548"/>
      <c r="R56" s="548"/>
      <c r="T56" s="325">
        <v>2</v>
      </c>
      <c r="U56" s="325">
        <v>3</v>
      </c>
      <c r="V56" s="325">
        <v>5</v>
      </c>
      <c r="W56" s="325">
        <v>6</v>
      </c>
      <c r="X56" s="325">
        <v>7</v>
      </c>
      <c r="Y56" s="325">
        <v>8</v>
      </c>
      <c r="Z56" s="317">
        <v>900</v>
      </c>
    </row>
    <row r="57" spans="2:27" ht="142.5" customHeight="1" x14ac:dyDescent="0.3">
      <c r="B57" s="570" t="s">
        <v>904</v>
      </c>
      <c r="C57" s="561">
        <v>2.5</v>
      </c>
      <c r="D57" s="423" t="s">
        <v>431</v>
      </c>
      <c r="E57" s="422" t="s">
        <v>366</v>
      </c>
      <c r="F57" s="953" t="e">
        <f>'Приложение № 1'!#REF!</f>
        <v>#REF!</v>
      </c>
      <c r="G57" s="953" t="e">
        <f>'Приложение № 1'!#REF!</f>
        <v>#REF!</v>
      </c>
      <c r="H57" s="595" t="e">
        <f t="shared" si="7"/>
        <v>#REF!</v>
      </c>
      <c r="I57" s="953">
        <f>'Приложение № 1'!G55</f>
        <v>12</v>
      </c>
      <c r="J57" s="953">
        <f>'Приложение № 1'!H55</f>
        <v>12</v>
      </c>
      <c r="K57" s="595">
        <f>J57*100/I57</f>
        <v>100</v>
      </c>
      <c r="L57" s="953">
        <f>'Приложение № 1'!I55</f>
        <v>12</v>
      </c>
      <c r="M57" s="953">
        <f>'Приложение № 1'!J55</f>
        <v>12</v>
      </c>
      <c r="N57" s="595">
        <f>M57*100/L57</f>
        <v>100</v>
      </c>
      <c r="O57" s="262" t="e">
        <f>C57*J57/G57</f>
        <v>#REF!</v>
      </c>
      <c r="P57" s="549" t="e">
        <f t="shared" si="1"/>
        <v>#REF!</v>
      </c>
      <c r="Q57" s="414"/>
      <c r="R57" s="414"/>
      <c r="T57" s="3105"/>
      <c r="U57" s="3105"/>
      <c r="V57" s="3105"/>
      <c r="W57" s="3105"/>
      <c r="X57" s="3105"/>
      <c r="Y57" s="3105"/>
      <c r="Z57" s="3105"/>
    </row>
    <row r="58" spans="2:27" ht="169.5" customHeight="1" x14ac:dyDescent="0.3">
      <c r="B58" s="570" t="s">
        <v>905</v>
      </c>
      <c r="C58" s="561">
        <v>2.5</v>
      </c>
      <c r="D58" s="423" t="s">
        <v>433</v>
      </c>
      <c r="E58" s="422" t="s">
        <v>366</v>
      </c>
      <c r="F58" s="953" t="e">
        <f>'Приложение № 1'!#REF!</f>
        <v>#REF!</v>
      </c>
      <c r="G58" s="953" t="e">
        <f>'Приложение № 1'!#REF!</f>
        <v>#REF!</v>
      </c>
      <c r="H58" s="595" t="e">
        <f t="shared" si="7"/>
        <v>#REF!</v>
      </c>
      <c r="I58" s="953">
        <f>'Приложение № 1'!G56</f>
        <v>19</v>
      </c>
      <c r="J58" s="953">
        <f>'Приложение № 1'!H56</f>
        <v>19</v>
      </c>
      <c r="K58" s="595">
        <f>J58*100/I58</f>
        <v>100</v>
      </c>
      <c r="L58" s="953">
        <f>'Приложение № 1'!I56</f>
        <v>19</v>
      </c>
      <c r="M58" s="953">
        <f>'Приложение № 1'!J56</f>
        <v>19</v>
      </c>
      <c r="N58" s="595">
        <f>M58*100/L58</f>
        <v>100</v>
      </c>
      <c r="O58" s="262" t="e">
        <f>C58*J58/G58</f>
        <v>#REF!</v>
      </c>
      <c r="P58" s="549" t="e">
        <f t="shared" si="1"/>
        <v>#REF!</v>
      </c>
      <c r="Q58" s="414"/>
      <c r="R58" s="414"/>
      <c r="T58" s="301"/>
      <c r="U58" s="301"/>
      <c r="V58" s="301"/>
      <c r="W58" s="407">
        <v>1032204628.4</v>
      </c>
      <c r="X58" s="408">
        <f>W58*X59/W59</f>
        <v>90.007677183567949</v>
      </c>
      <c r="Y58" s="301"/>
      <c r="Z58" s="301"/>
    </row>
    <row r="59" spans="2:27" ht="112.5" customHeight="1" x14ac:dyDescent="0.3">
      <c r="B59" s="570" t="s">
        <v>906</v>
      </c>
      <c r="C59" s="561">
        <v>2</v>
      </c>
      <c r="D59" s="423" t="s">
        <v>701</v>
      </c>
      <c r="E59" s="422" t="s">
        <v>3</v>
      </c>
      <c r="F59" s="486" t="e">
        <f>'Приложение № 1'!#REF!</f>
        <v>#REF!</v>
      </c>
      <c r="G59" s="486" t="e">
        <f>'Приложение № 1'!#REF!</f>
        <v>#REF!</v>
      </c>
      <c r="H59" s="595" t="e">
        <f t="shared" si="7"/>
        <v>#REF!</v>
      </c>
      <c r="I59" s="486">
        <f>'Приложение № 1'!G57</f>
        <v>3</v>
      </c>
      <c r="J59" s="486">
        <f>'Приложение № 1'!H57</f>
        <v>3</v>
      </c>
      <c r="K59" s="595">
        <f>J59*100/I59</f>
        <v>100</v>
      </c>
      <c r="L59" s="486">
        <f>'Приложение № 1'!I57</f>
        <v>5</v>
      </c>
      <c r="M59" s="486">
        <f>'Приложение № 1'!J57</f>
        <v>5</v>
      </c>
      <c r="N59" s="595">
        <f>M59*100/L59</f>
        <v>100</v>
      </c>
      <c r="O59" s="262" t="e">
        <f>C59*J59/G59</f>
        <v>#REF!</v>
      </c>
      <c r="P59" s="549" t="e">
        <f t="shared" si="1"/>
        <v>#REF!</v>
      </c>
      <c r="Q59" s="414"/>
      <c r="R59" s="414"/>
      <c r="T59" s="302"/>
      <c r="U59" s="302"/>
      <c r="V59" s="302"/>
      <c r="W59" s="406">
        <v>1146796207.5</v>
      </c>
      <c r="X59" s="302">
        <v>100</v>
      </c>
      <c r="Y59" s="302"/>
      <c r="Z59" s="302"/>
    </row>
    <row r="60" spans="2:27" ht="35.25" customHeight="1" x14ac:dyDescent="0.3">
      <c r="B60" s="959" t="s">
        <v>33</v>
      </c>
      <c r="C60" s="562">
        <f>C61+C62+C63</f>
        <v>6</v>
      </c>
      <c r="D60" s="3093" t="s">
        <v>34</v>
      </c>
      <c r="E60" s="3094"/>
      <c r="F60" s="3094"/>
      <c r="G60" s="3094"/>
      <c r="H60" s="3094"/>
      <c r="I60" s="3094"/>
      <c r="J60" s="3094"/>
      <c r="K60" s="3094"/>
      <c r="L60" s="3094"/>
      <c r="M60" s="3094"/>
      <c r="N60" s="601"/>
      <c r="O60" s="566" t="e">
        <f>O61+O62+O63</f>
        <v>#REF!</v>
      </c>
      <c r="P60" s="549" t="e">
        <f t="shared" si="1"/>
        <v>#REF!</v>
      </c>
      <c r="Q60" s="548"/>
      <c r="R60" s="548"/>
      <c r="T60" s="3107"/>
      <c r="U60" s="3107"/>
      <c r="V60" s="3107"/>
      <c r="W60" s="3107"/>
      <c r="X60" s="3107"/>
      <c r="Y60" s="3107"/>
      <c r="Z60" s="3107"/>
    </row>
    <row r="61" spans="2:27" ht="93.75" customHeight="1" x14ac:dyDescent="0.3">
      <c r="B61" s="570" t="s">
        <v>907</v>
      </c>
      <c r="C61" s="561">
        <v>2</v>
      </c>
      <c r="D61" s="423" t="s">
        <v>436</v>
      </c>
      <c r="E61" s="422" t="s">
        <v>366</v>
      </c>
      <c r="F61" s="953" t="e">
        <f>'Приложение № 1'!#REF!</f>
        <v>#REF!</v>
      </c>
      <c r="G61" s="953" t="e">
        <f>'Приложение № 1'!#REF!</f>
        <v>#REF!</v>
      </c>
      <c r="H61" s="595" t="e">
        <f t="shared" si="7"/>
        <v>#REF!</v>
      </c>
      <c r="I61" s="953">
        <f>'Приложение № 1'!G59</f>
        <v>37</v>
      </c>
      <c r="J61" s="953">
        <f>'Приложение № 1'!H59</f>
        <v>37</v>
      </c>
      <c r="K61" s="595">
        <f>J61*100/I61</f>
        <v>100</v>
      </c>
      <c r="L61" s="953">
        <f>'Приложение № 1'!I59</f>
        <v>37</v>
      </c>
      <c r="M61" s="953">
        <f>'Приложение № 1'!J59</f>
        <v>37</v>
      </c>
      <c r="N61" s="595">
        <f>M61*100/L61</f>
        <v>100</v>
      </c>
      <c r="O61" s="262" t="e">
        <f>C61*J61/G61</f>
        <v>#REF!</v>
      </c>
      <c r="P61" s="549" t="e">
        <f t="shared" si="1"/>
        <v>#REF!</v>
      </c>
      <c r="Q61" s="414"/>
      <c r="R61" s="414"/>
      <c r="T61" s="3105"/>
      <c r="U61" s="3105"/>
      <c r="V61" s="3105"/>
      <c r="W61" s="3105"/>
      <c r="X61" s="3105"/>
      <c r="Y61" s="3105"/>
      <c r="Z61" s="3105"/>
    </row>
    <row r="62" spans="2:27" ht="125.25" customHeight="1" x14ac:dyDescent="0.3">
      <c r="B62" s="570" t="s">
        <v>908</v>
      </c>
      <c r="C62" s="561">
        <v>2</v>
      </c>
      <c r="D62" s="423" t="s">
        <v>438</v>
      </c>
      <c r="E62" s="422" t="s">
        <v>366</v>
      </c>
      <c r="F62" s="953" t="e">
        <f>'Приложение № 1'!#REF!</f>
        <v>#REF!</v>
      </c>
      <c r="G62" s="953" t="e">
        <f>'Приложение № 1'!#REF!</f>
        <v>#REF!</v>
      </c>
      <c r="H62" s="595" t="e">
        <f t="shared" si="7"/>
        <v>#REF!</v>
      </c>
      <c r="I62" s="953">
        <f>'Приложение № 1'!G60</f>
        <v>15</v>
      </c>
      <c r="J62" s="953">
        <f>'Приложение № 1'!H60</f>
        <v>15</v>
      </c>
      <c r="K62" s="595">
        <f>J62*100/I62</f>
        <v>100</v>
      </c>
      <c r="L62" s="953">
        <f>'Приложение № 1'!I60</f>
        <v>15</v>
      </c>
      <c r="M62" s="953">
        <f>'Приложение № 1'!J60</f>
        <v>15</v>
      </c>
      <c r="N62" s="595">
        <f>M62*100/L62</f>
        <v>100</v>
      </c>
      <c r="O62" s="262" t="e">
        <f>C62*J62/G62</f>
        <v>#REF!</v>
      </c>
      <c r="P62" s="549" t="e">
        <f t="shared" si="1"/>
        <v>#REF!</v>
      </c>
      <c r="Q62" s="414"/>
      <c r="R62" s="414"/>
      <c r="T62" s="301"/>
      <c r="U62" s="301"/>
      <c r="V62" s="301"/>
      <c r="W62" s="301"/>
      <c r="X62" s="301"/>
      <c r="Y62" s="301"/>
      <c r="Z62" s="301"/>
    </row>
    <row r="63" spans="2:27" ht="152.25" customHeight="1" x14ac:dyDescent="0.3">
      <c r="B63" s="570" t="s">
        <v>909</v>
      </c>
      <c r="C63" s="561">
        <v>2</v>
      </c>
      <c r="D63" s="423" t="s">
        <v>440</v>
      </c>
      <c r="E63" s="422" t="s">
        <v>366</v>
      </c>
      <c r="F63" s="953" t="e">
        <f>'Приложение № 1'!#REF!</f>
        <v>#REF!</v>
      </c>
      <c r="G63" s="953" t="e">
        <f>'Приложение № 1'!#REF!</f>
        <v>#REF!</v>
      </c>
      <c r="H63" s="595" t="e">
        <f t="shared" si="7"/>
        <v>#REF!</v>
      </c>
      <c r="I63" s="953">
        <f>'Приложение № 1'!G61</f>
        <v>80</v>
      </c>
      <c r="J63" s="953">
        <f>'Приложение № 1'!H61</f>
        <v>107</v>
      </c>
      <c r="K63" s="595">
        <f>J63*100/I63</f>
        <v>133.75</v>
      </c>
      <c r="L63" s="953">
        <f>'Приложение № 1'!I61</f>
        <v>80</v>
      </c>
      <c r="M63" s="953">
        <f>'Приложение № 1'!J61</f>
        <v>93</v>
      </c>
      <c r="N63" s="595">
        <f>M63*100/L63</f>
        <v>116.25</v>
      </c>
      <c r="O63" s="262" t="e">
        <f>C63*J63/G63</f>
        <v>#REF!</v>
      </c>
      <c r="P63" s="549" t="e">
        <f t="shared" si="1"/>
        <v>#REF!</v>
      </c>
      <c r="Q63" s="414"/>
      <c r="R63" s="414"/>
      <c r="T63" s="302"/>
      <c r="U63" s="302"/>
      <c r="V63" s="302"/>
      <c r="W63" s="302"/>
      <c r="X63" s="302"/>
      <c r="Y63" s="302"/>
      <c r="Z63" s="302"/>
    </row>
    <row r="64" spans="2:27" ht="31.5" customHeight="1" x14ac:dyDescent="0.3">
      <c r="D64" s="3106"/>
      <c r="E64" s="3106"/>
      <c r="F64" s="3106"/>
      <c r="G64" s="3106"/>
      <c r="H64" s="3106"/>
      <c r="I64" s="3106"/>
      <c r="J64" s="3106"/>
      <c r="K64" s="3106"/>
      <c r="L64" s="3106"/>
      <c r="M64" s="3106"/>
      <c r="N64" s="605"/>
      <c r="T64" s="3107"/>
      <c r="U64" s="3107"/>
      <c r="V64" s="3107"/>
      <c r="W64" s="3107"/>
      <c r="X64" s="3107"/>
      <c r="Y64" s="3107"/>
      <c r="Z64" s="3107"/>
    </row>
    <row r="65" spans="3:26" ht="31.5" customHeight="1" x14ac:dyDescent="0.3">
      <c r="D65" s="3118" t="s">
        <v>911</v>
      </c>
      <c r="E65" s="3116">
        <v>2011</v>
      </c>
      <c r="F65" s="3116"/>
      <c r="G65" s="3116">
        <v>2012</v>
      </c>
      <c r="H65" s="3116"/>
      <c r="I65" s="3116" t="s">
        <v>912</v>
      </c>
      <c r="J65" s="3116"/>
      <c r="K65" s="3116"/>
      <c r="L65" s="410"/>
      <c r="M65" s="410"/>
      <c r="N65" s="605"/>
      <c r="T65" s="419"/>
      <c r="U65" s="419"/>
      <c r="V65" s="419"/>
      <c r="W65" s="419"/>
      <c r="X65" s="419"/>
      <c r="Y65" s="419"/>
      <c r="Z65" s="419"/>
    </row>
    <row r="66" spans="3:26" x14ac:dyDescent="0.3">
      <c r="D66" s="3119"/>
      <c r="E66" s="3120" t="e">
        <f>P8</f>
        <v>#REF!</v>
      </c>
      <c r="F66" s="3120"/>
      <c r="G66" s="3120">
        <f>Q8</f>
        <v>1507206.1330500001</v>
      </c>
      <c r="H66" s="3120"/>
      <c r="I66" s="3121" t="e">
        <f>G66*100/E66</f>
        <v>#REF!</v>
      </c>
      <c r="J66" s="3121"/>
      <c r="K66" s="3121"/>
      <c r="T66" s="3105"/>
      <c r="U66" s="3105"/>
      <c r="V66" s="3105"/>
      <c r="W66" s="3105"/>
      <c r="X66" s="3105"/>
      <c r="Y66" s="3105"/>
      <c r="Z66" s="3105"/>
    </row>
    <row r="67" spans="3:26" x14ac:dyDescent="0.3">
      <c r="T67" s="301"/>
      <c r="U67" s="301"/>
      <c r="V67" s="301"/>
      <c r="W67" s="301"/>
      <c r="X67" s="301"/>
      <c r="Y67" s="301"/>
      <c r="Z67" s="303"/>
    </row>
    <row r="68" spans="3:26" x14ac:dyDescent="0.3">
      <c r="D68" s="3122" t="s">
        <v>914</v>
      </c>
      <c r="E68" s="3122"/>
      <c r="F68" s="3122"/>
      <c r="G68" s="3122"/>
      <c r="H68" s="3122"/>
      <c r="I68" s="3122"/>
      <c r="J68" s="3122"/>
      <c r="K68" s="3122"/>
      <c r="T68" s="301"/>
      <c r="U68" s="301"/>
      <c r="V68" s="301"/>
      <c r="W68" s="301"/>
      <c r="X68" s="301"/>
      <c r="Y68" s="301"/>
      <c r="Z68" s="303"/>
    </row>
    <row r="69" spans="3:26" ht="75" customHeight="1" x14ac:dyDescent="0.3">
      <c r="C69" s="305"/>
      <c r="D69" s="3117" t="s">
        <v>950</v>
      </c>
      <c r="E69" s="3117"/>
      <c r="F69" s="3117"/>
      <c r="G69" s="3117"/>
      <c r="H69" s="3117"/>
      <c r="I69" s="3117"/>
      <c r="J69" s="3117"/>
      <c r="K69" s="3117"/>
      <c r="L69" s="557"/>
      <c r="M69" s="557"/>
      <c r="N69" s="557"/>
      <c r="T69" s="302"/>
      <c r="U69" s="302"/>
      <c r="V69" s="302"/>
      <c r="W69" s="302"/>
      <c r="X69" s="302"/>
      <c r="Y69" s="302"/>
      <c r="Z69" s="304"/>
    </row>
    <row r="99" spans="4:23" ht="56.25" customHeight="1" x14ac:dyDescent="0.3">
      <c r="D99" s="423"/>
      <c r="E99" s="3110">
        <v>2010</v>
      </c>
      <c r="F99" s="3111"/>
      <c r="G99" s="3115"/>
      <c r="H99" s="596"/>
      <c r="I99" s="3110">
        <v>2011</v>
      </c>
      <c r="J99" s="3111"/>
      <c r="K99" s="3111"/>
      <c r="L99" s="3115"/>
      <c r="M99" s="428">
        <v>2012</v>
      </c>
      <c r="N99" s="596"/>
      <c r="O99" s="3111"/>
      <c r="P99" s="3111"/>
      <c r="Q99" s="3111"/>
      <c r="R99" s="3111"/>
      <c r="S99" s="3115"/>
      <c r="T99" s="3110">
        <v>2014</v>
      </c>
      <c r="U99" s="3111"/>
      <c r="V99" s="3115"/>
    </row>
    <row r="100" spans="4:23" ht="96" customHeight="1" x14ac:dyDescent="0.3">
      <c r="D100" s="423"/>
      <c r="E100" s="429" t="s">
        <v>598</v>
      </c>
      <c r="F100" s="429" t="s">
        <v>599</v>
      </c>
      <c r="G100" s="429" t="s">
        <v>602</v>
      </c>
      <c r="H100" s="593"/>
      <c r="I100" s="429" t="s">
        <v>598</v>
      </c>
      <c r="J100" s="429" t="s">
        <v>599</v>
      </c>
      <c r="K100" s="593"/>
      <c r="L100" s="429" t="s">
        <v>602</v>
      </c>
      <c r="M100" s="429" t="s">
        <v>598</v>
      </c>
      <c r="N100" s="606"/>
      <c r="P100" s="429"/>
      <c r="Q100" s="429"/>
      <c r="R100" s="429"/>
      <c r="S100" s="269" t="s">
        <v>602</v>
      </c>
      <c r="T100" s="427" t="s">
        <v>598</v>
      </c>
      <c r="U100" s="427" t="s">
        <v>599</v>
      </c>
      <c r="V100" s="269" t="s">
        <v>602</v>
      </c>
    </row>
    <row r="101" spans="4:23" x14ac:dyDescent="0.3">
      <c r="D101" s="423" t="s">
        <v>596</v>
      </c>
      <c r="E101" s="268">
        <v>7865</v>
      </c>
      <c r="F101" s="268">
        <v>275</v>
      </c>
      <c r="G101" s="262">
        <f>F101*100/E101</f>
        <v>3.4965034965034967</v>
      </c>
      <c r="H101" s="486"/>
      <c r="I101" s="268">
        <v>7576</v>
      </c>
      <c r="J101" s="268">
        <v>489</v>
      </c>
      <c r="K101" s="486"/>
      <c r="L101" s="262">
        <f>J101*100/I101</f>
        <v>6.4545934530095037</v>
      </c>
      <c r="M101" s="268">
        <v>7087</v>
      </c>
      <c r="N101" s="553"/>
      <c r="P101" s="268"/>
      <c r="Q101" s="268"/>
      <c r="R101" s="268"/>
      <c r="S101" s="308" t="e">
        <f>#REF!*100/#REF!</f>
        <v>#REF!</v>
      </c>
      <c r="T101" s="270">
        <v>6184</v>
      </c>
      <c r="U101" s="270">
        <v>495</v>
      </c>
      <c r="V101" s="308">
        <f>U101*100/T101</f>
        <v>8.0045278137128069</v>
      </c>
    </row>
    <row r="102" spans="4:23" x14ac:dyDescent="0.3">
      <c r="D102" s="423" t="s">
        <v>529</v>
      </c>
      <c r="E102" s="268">
        <v>2168</v>
      </c>
      <c r="F102" s="268">
        <v>59</v>
      </c>
      <c r="G102" s="262">
        <f>F102*100/E102</f>
        <v>2.7214022140221403</v>
      </c>
      <c r="H102" s="486"/>
      <c r="I102" s="268">
        <v>2093</v>
      </c>
      <c r="J102" s="268">
        <v>210</v>
      </c>
      <c r="K102" s="486"/>
      <c r="L102" s="262">
        <f>J102*100/I102</f>
        <v>10.033444816053512</v>
      </c>
      <c r="M102" s="268">
        <v>2000</v>
      </c>
      <c r="N102" s="553"/>
      <c r="P102" s="268"/>
      <c r="Q102" s="268"/>
      <c r="R102" s="268"/>
      <c r="S102" s="308" t="e">
        <f>#REF!*100/#REF!</f>
        <v>#REF!</v>
      </c>
      <c r="T102" s="270">
        <v>2000</v>
      </c>
      <c r="U102" s="270">
        <v>100</v>
      </c>
      <c r="V102" s="308">
        <f>U102*100/T102</f>
        <v>5</v>
      </c>
    </row>
    <row r="103" spans="4:23" x14ac:dyDescent="0.3">
      <c r="D103" s="423" t="s">
        <v>530</v>
      </c>
      <c r="E103" s="268">
        <v>580</v>
      </c>
      <c r="F103" s="268">
        <v>0</v>
      </c>
      <c r="G103" s="262">
        <f>F103*100/E103</f>
        <v>0</v>
      </c>
      <c r="H103" s="486"/>
      <c r="I103" s="268">
        <v>580</v>
      </c>
      <c r="J103" s="268"/>
      <c r="K103" s="486"/>
      <c r="L103" s="262">
        <f>J103*100/I103</f>
        <v>0</v>
      </c>
      <c r="M103" s="268">
        <v>580</v>
      </c>
      <c r="N103" s="553"/>
      <c r="P103" s="268"/>
      <c r="Q103" s="268"/>
      <c r="R103" s="268"/>
      <c r="S103" s="308" t="e">
        <f>#REF!*100/#REF!</f>
        <v>#REF!</v>
      </c>
      <c r="T103" s="270">
        <v>600</v>
      </c>
      <c r="U103" s="270">
        <v>10</v>
      </c>
      <c r="V103" s="308">
        <f>U103*100/T103</f>
        <v>1.6666666666666667</v>
      </c>
    </row>
    <row r="104" spans="4:23" x14ac:dyDescent="0.3">
      <c r="D104" s="423" t="s">
        <v>597</v>
      </c>
      <c r="E104" s="268">
        <v>0</v>
      </c>
      <c r="F104" s="268">
        <v>0</v>
      </c>
      <c r="G104" s="262">
        <v>0</v>
      </c>
      <c r="H104" s="486"/>
      <c r="I104" s="268">
        <v>0</v>
      </c>
      <c r="J104" s="268">
        <v>0</v>
      </c>
      <c r="K104" s="486"/>
      <c r="L104" s="262">
        <v>0</v>
      </c>
      <c r="M104" s="268">
        <v>0</v>
      </c>
      <c r="N104" s="553"/>
      <c r="P104" s="268"/>
      <c r="Q104" s="268"/>
      <c r="R104" s="268"/>
      <c r="S104" s="308">
        <v>0</v>
      </c>
      <c r="T104" s="270">
        <v>0</v>
      </c>
      <c r="U104" s="270">
        <v>0</v>
      </c>
      <c r="V104" s="308">
        <v>0</v>
      </c>
    </row>
    <row r="105" spans="4:23" x14ac:dyDescent="0.3">
      <c r="D105" s="430" t="s">
        <v>575</v>
      </c>
      <c r="E105" s="268">
        <f>SUM(E101:E104)</f>
        <v>10613</v>
      </c>
      <c r="F105" s="268">
        <f t="shared" ref="F105:V105" si="8">SUM(F101:F104)</f>
        <v>334</v>
      </c>
      <c r="G105" s="262">
        <f t="shared" si="8"/>
        <v>6.2179057105256366</v>
      </c>
      <c r="H105" s="486"/>
      <c r="I105" s="268">
        <f t="shared" si="8"/>
        <v>10249</v>
      </c>
      <c r="J105" s="268">
        <f t="shared" si="8"/>
        <v>699</v>
      </c>
      <c r="K105" s="486"/>
      <c r="L105" s="262">
        <f t="shared" si="8"/>
        <v>16.488038269063015</v>
      </c>
      <c r="M105" s="268">
        <f t="shared" si="8"/>
        <v>9667</v>
      </c>
      <c r="N105" s="553"/>
      <c r="P105" s="268"/>
      <c r="Q105" s="268"/>
      <c r="R105" s="268"/>
      <c r="S105" s="262" t="e">
        <f t="shared" si="8"/>
        <v>#REF!</v>
      </c>
      <c r="T105" s="268">
        <f t="shared" si="8"/>
        <v>8784</v>
      </c>
      <c r="U105" s="268">
        <f t="shared" si="8"/>
        <v>605</v>
      </c>
      <c r="V105" s="262">
        <f t="shared" si="8"/>
        <v>14.671194480379473</v>
      </c>
    </row>
    <row r="106" spans="4:23" x14ac:dyDescent="0.3">
      <c r="D106" s="410"/>
      <c r="E106" s="414"/>
      <c r="F106" s="414"/>
      <c r="G106" s="414"/>
      <c r="H106" s="553"/>
      <c r="I106" s="414"/>
      <c r="J106" s="414"/>
      <c r="K106" s="553"/>
      <c r="L106" s="414"/>
      <c r="M106" s="414"/>
      <c r="N106" s="553"/>
      <c r="P106" s="414"/>
      <c r="Q106" s="414"/>
      <c r="R106" s="414"/>
      <c r="S106" s="309"/>
      <c r="T106" s="309"/>
      <c r="U106" s="309"/>
      <c r="V106" s="309"/>
    </row>
    <row r="108" spans="4:23" x14ac:dyDescent="0.3">
      <c r="D108" s="423"/>
      <c r="E108" s="3110">
        <v>2010</v>
      </c>
      <c r="F108" s="3111"/>
      <c r="G108" s="3115"/>
      <c r="H108" s="596"/>
      <c r="I108" s="3110">
        <v>2011</v>
      </c>
      <c r="J108" s="3111"/>
      <c r="K108" s="3111"/>
      <c r="L108" s="3115"/>
      <c r="M108" s="428">
        <v>2012</v>
      </c>
      <c r="N108" s="596"/>
      <c r="O108" s="3123"/>
      <c r="P108" s="3123"/>
      <c r="Q108" s="3123"/>
      <c r="R108" s="3123"/>
      <c r="S108" s="3124"/>
      <c r="T108" s="3125">
        <v>2014</v>
      </c>
      <c r="U108" s="3123"/>
      <c r="V108" s="3124"/>
    </row>
    <row r="109" spans="4:23" ht="56" x14ac:dyDescent="0.3">
      <c r="D109" s="423"/>
      <c r="E109" s="429" t="s">
        <v>600</v>
      </c>
      <c r="F109" s="429" t="s">
        <v>601</v>
      </c>
      <c r="G109" s="429" t="s">
        <v>603</v>
      </c>
      <c r="H109" s="593"/>
      <c r="I109" s="429" t="s">
        <v>600</v>
      </c>
      <c r="J109" s="429" t="s">
        <v>601</v>
      </c>
      <c r="K109" s="593"/>
      <c r="L109" s="429" t="s">
        <v>603</v>
      </c>
      <c r="M109" s="429" t="s">
        <v>600</v>
      </c>
      <c r="N109" s="606"/>
      <c r="P109" s="429"/>
      <c r="Q109" s="429"/>
      <c r="R109" s="429"/>
      <c r="S109" s="269" t="s">
        <v>603</v>
      </c>
      <c r="T109" s="429" t="s">
        <v>600</v>
      </c>
      <c r="U109" s="429" t="s">
        <v>601</v>
      </c>
      <c r="V109" s="269" t="s">
        <v>603</v>
      </c>
    </row>
    <row r="110" spans="4:23" x14ac:dyDescent="0.3">
      <c r="D110" s="423" t="s">
        <v>596</v>
      </c>
      <c r="E110" s="268">
        <v>152889</v>
      </c>
      <c r="F110" s="268">
        <v>2740</v>
      </c>
      <c r="G110" s="262">
        <f>F110*100/E110</f>
        <v>1.792149860356206</v>
      </c>
      <c r="H110" s="486"/>
      <c r="I110" s="268">
        <f>E110+F110</f>
        <v>155629</v>
      </c>
      <c r="J110" s="268">
        <v>1545</v>
      </c>
      <c r="K110" s="486"/>
      <c r="L110" s="262">
        <f>J110*100/I110</f>
        <v>0.99274556798540114</v>
      </c>
      <c r="M110" s="268">
        <f>I110+J110</f>
        <v>157174</v>
      </c>
      <c r="N110" s="553"/>
      <c r="P110" s="268"/>
      <c r="Q110" s="268"/>
      <c r="R110" s="268"/>
      <c r="S110" s="308" t="e">
        <f>#REF!*100/#REF!</f>
        <v>#REF!</v>
      </c>
      <c r="T110" s="270" t="e">
        <f>#REF!+#REF!</f>
        <v>#REF!</v>
      </c>
      <c r="U110" s="270">
        <v>2000</v>
      </c>
      <c r="V110" s="308" t="e">
        <f>U110*100/T110</f>
        <v>#REF!</v>
      </c>
    </row>
    <row r="111" spans="4:23" x14ac:dyDescent="0.3">
      <c r="D111" s="423" t="s">
        <v>529</v>
      </c>
      <c r="E111" s="268">
        <v>18008</v>
      </c>
      <c r="F111" s="268">
        <v>236</v>
      </c>
      <c r="G111" s="262">
        <f>F111*100/E111</f>
        <v>1.3105286539315859</v>
      </c>
      <c r="H111" s="486"/>
      <c r="I111" s="268">
        <f>E111+F111</f>
        <v>18244</v>
      </c>
      <c r="J111" s="268">
        <v>39</v>
      </c>
      <c r="K111" s="486"/>
      <c r="L111" s="262">
        <f>J111*100/I111</f>
        <v>0.21376891032668274</v>
      </c>
      <c r="M111" s="268">
        <f>I111+J111</f>
        <v>18283</v>
      </c>
      <c r="N111" s="553"/>
      <c r="P111" s="268"/>
      <c r="Q111" s="268"/>
      <c r="R111" s="268"/>
      <c r="S111" s="308" t="e">
        <f>#REF!*100/#REF!</f>
        <v>#REF!</v>
      </c>
      <c r="T111" s="270" t="e">
        <f>#REF!+#REF!</f>
        <v>#REF!</v>
      </c>
      <c r="U111" s="270">
        <v>50</v>
      </c>
      <c r="V111" s="308" t="e">
        <f>U111*100/T111</f>
        <v>#REF!</v>
      </c>
    </row>
    <row r="112" spans="4:23" x14ac:dyDescent="0.3">
      <c r="D112" s="423" t="s">
        <v>530</v>
      </c>
      <c r="E112" s="268">
        <v>6215</v>
      </c>
      <c r="F112" s="268">
        <v>0</v>
      </c>
      <c r="G112" s="262">
        <f>F112*100/E112</f>
        <v>0</v>
      </c>
      <c r="H112" s="486"/>
      <c r="I112" s="268">
        <f>E112+F112</f>
        <v>6215</v>
      </c>
      <c r="J112" s="268">
        <v>10</v>
      </c>
      <c r="K112" s="486"/>
      <c r="L112" s="262">
        <f>J112*100/I112</f>
        <v>0.16090104585679807</v>
      </c>
      <c r="M112" s="268">
        <f>I112+J112</f>
        <v>6225</v>
      </c>
      <c r="N112" s="553"/>
      <c r="P112" s="268"/>
      <c r="Q112" s="268"/>
      <c r="R112" s="268"/>
      <c r="S112" s="308" t="e">
        <f>#REF!*100/#REF!</f>
        <v>#REF!</v>
      </c>
      <c r="T112" s="270" t="e">
        <f>#REF!+#REF!</f>
        <v>#REF!</v>
      </c>
      <c r="U112" s="270">
        <v>10</v>
      </c>
      <c r="V112" s="308" t="e">
        <f>U112*100/T112</f>
        <v>#REF!</v>
      </c>
      <c r="W112" s="305">
        <v>6245</v>
      </c>
    </row>
    <row r="113" spans="4:36" x14ac:dyDescent="0.3">
      <c r="D113" s="423" t="s">
        <v>597</v>
      </c>
      <c r="E113" s="268">
        <v>0</v>
      </c>
      <c r="F113" s="268">
        <v>0</v>
      </c>
      <c r="G113" s="262">
        <v>0</v>
      </c>
      <c r="H113" s="486"/>
      <c r="I113" s="268">
        <f>E113+F113</f>
        <v>0</v>
      </c>
      <c r="J113" s="268">
        <v>0</v>
      </c>
      <c r="K113" s="486"/>
      <c r="L113" s="262">
        <v>0</v>
      </c>
      <c r="M113" s="268">
        <f>I113+J113</f>
        <v>0</v>
      </c>
      <c r="N113" s="553"/>
      <c r="P113" s="268"/>
      <c r="Q113" s="268"/>
      <c r="R113" s="268"/>
      <c r="S113" s="308" t="e">
        <f>#REF!*100/#REF!</f>
        <v>#REF!</v>
      </c>
      <c r="T113" s="270" t="e">
        <f>#REF!+#REF!</f>
        <v>#REF!</v>
      </c>
      <c r="U113" s="270">
        <v>100</v>
      </c>
      <c r="V113" s="308" t="e">
        <f>U113*100/T113</f>
        <v>#REF!</v>
      </c>
    </row>
    <row r="114" spans="4:36" x14ac:dyDescent="0.3">
      <c r="D114" s="430" t="s">
        <v>575</v>
      </c>
      <c r="E114" s="268">
        <f>SUM(E110:E113)</f>
        <v>177112</v>
      </c>
      <c r="F114" s="268">
        <f t="shared" ref="F114:U114" si="9">SUM(F110:F113)</f>
        <v>2976</v>
      </c>
      <c r="G114" s="262">
        <f t="shared" si="9"/>
        <v>3.102678514287792</v>
      </c>
      <c r="H114" s="486"/>
      <c r="I114" s="268">
        <f t="shared" si="9"/>
        <v>180088</v>
      </c>
      <c r="J114" s="268">
        <f t="shared" si="9"/>
        <v>1594</v>
      </c>
      <c r="K114" s="486"/>
      <c r="L114" s="262">
        <f t="shared" si="9"/>
        <v>1.3674155241688819</v>
      </c>
      <c r="M114" s="268">
        <f t="shared" si="9"/>
        <v>181682</v>
      </c>
      <c r="N114" s="553"/>
      <c r="P114" s="268"/>
      <c r="Q114" s="268"/>
      <c r="R114" s="268"/>
      <c r="S114" s="262" t="e">
        <f>SUM(S110:S113)</f>
        <v>#REF!</v>
      </c>
      <c r="T114" s="268" t="e">
        <f t="shared" si="9"/>
        <v>#REF!</v>
      </c>
      <c r="U114" s="268">
        <f t="shared" si="9"/>
        <v>2160</v>
      </c>
      <c r="V114" s="262" t="e">
        <f>SUM(V110:V113)</f>
        <v>#REF!</v>
      </c>
    </row>
    <row r="116" spans="4:36" x14ac:dyDescent="0.3">
      <c r="D116" s="430" t="s">
        <v>263</v>
      </c>
      <c r="E116" s="3126">
        <v>2009</v>
      </c>
      <c r="F116" s="3126"/>
      <c r="G116" s="3126"/>
      <c r="H116" s="3126"/>
      <c r="I116" s="3126"/>
      <c r="J116" s="3127">
        <v>2010</v>
      </c>
      <c r="K116" s="3127"/>
      <c r="L116" s="3127"/>
      <c r="M116" s="3127"/>
      <c r="N116" s="596"/>
      <c r="O116" s="3123"/>
      <c r="P116" s="3123"/>
      <c r="Q116" s="3123"/>
      <c r="R116" s="3123"/>
      <c r="S116" s="3123"/>
      <c r="T116" s="3123"/>
      <c r="U116" s="3124"/>
      <c r="V116" s="3125">
        <v>2012</v>
      </c>
      <c r="W116" s="3123"/>
      <c r="X116" s="3123"/>
      <c r="Y116" s="3123"/>
      <c r="Z116" s="3124"/>
      <c r="AA116" s="3125">
        <v>2013</v>
      </c>
      <c r="AB116" s="3123"/>
      <c r="AC116" s="3123"/>
      <c r="AD116" s="3123"/>
      <c r="AE116" s="3124"/>
      <c r="AF116" s="3126">
        <v>2014</v>
      </c>
      <c r="AG116" s="3126"/>
      <c r="AH116" s="3126"/>
      <c r="AI116" s="3126"/>
      <c r="AJ116" s="3126"/>
    </row>
    <row r="117" spans="4:36" ht="88.5" customHeight="1" x14ac:dyDescent="0.3">
      <c r="D117" s="430"/>
      <c r="E117" s="427"/>
      <c r="F117" s="422" t="s">
        <v>607</v>
      </c>
      <c r="G117" s="422" t="s">
        <v>608</v>
      </c>
      <c r="H117" s="486"/>
      <c r="I117" s="422" t="s">
        <v>609</v>
      </c>
      <c r="J117" s="429"/>
      <c r="K117" s="593"/>
      <c r="L117" s="422" t="s">
        <v>607</v>
      </c>
      <c r="M117" s="422" t="s">
        <v>608</v>
      </c>
      <c r="N117" s="553"/>
      <c r="P117" s="422"/>
      <c r="Q117" s="422"/>
      <c r="R117" s="422"/>
      <c r="S117" s="263" t="s">
        <v>608</v>
      </c>
      <c r="T117" s="263" t="s">
        <v>609</v>
      </c>
      <c r="U117" s="263" t="s">
        <v>610</v>
      </c>
      <c r="V117" s="269"/>
      <c r="W117" s="263" t="s">
        <v>607</v>
      </c>
      <c r="X117" s="263" t="s">
        <v>608</v>
      </c>
      <c r="Y117" s="263" t="s">
        <v>609</v>
      </c>
      <c r="Z117" s="263" t="s">
        <v>610</v>
      </c>
      <c r="AA117" s="269"/>
      <c r="AB117" s="263" t="s">
        <v>607</v>
      </c>
      <c r="AC117" s="263" t="s">
        <v>608</v>
      </c>
      <c r="AD117" s="263" t="s">
        <v>609</v>
      </c>
      <c r="AE117" s="263" t="s">
        <v>610</v>
      </c>
      <c r="AF117" s="269"/>
      <c r="AG117" s="263" t="s">
        <v>607</v>
      </c>
      <c r="AH117" s="263" t="s">
        <v>608</v>
      </c>
      <c r="AI117" s="263" t="s">
        <v>609</v>
      </c>
      <c r="AJ117" s="263" t="s">
        <v>610</v>
      </c>
    </row>
    <row r="118" spans="4:36" x14ac:dyDescent="0.3">
      <c r="D118" s="411" t="s">
        <v>397</v>
      </c>
      <c r="E118" s="416">
        <v>9894900</v>
      </c>
      <c r="F118" s="415"/>
      <c r="G118" s="415"/>
      <c r="H118" s="597"/>
      <c r="I118" s="415"/>
      <c r="J118" s="416">
        <v>9753900</v>
      </c>
      <c r="K118" s="598"/>
      <c r="L118" s="415"/>
      <c r="M118" s="415"/>
      <c r="N118" s="607"/>
      <c r="P118" s="415"/>
      <c r="Q118" s="415"/>
      <c r="R118" s="415"/>
      <c r="S118" s="272"/>
      <c r="T118" s="272"/>
      <c r="U118" s="272"/>
      <c r="V118" s="271" t="e">
        <f>#REF!*1.05</f>
        <v>#REF!</v>
      </c>
      <c r="W118" s="272"/>
      <c r="X118" s="272"/>
      <c r="Y118" s="272"/>
      <c r="Z118" s="272"/>
      <c r="AA118" s="271" t="e">
        <f>V118*1.05</f>
        <v>#REF!</v>
      </c>
      <c r="AB118" s="272"/>
      <c r="AC118" s="272"/>
      <c r="AD118" s="272"/>
      <c r="AE118" s="272"/>
      <c r="AF118" s="271" t="e">
        <f>AA118*1.05</f>
        <v>#REF!</v>
      </c>
      <c r="AG118" s="272"/>
      <c r="AH118" s="272"/>
      <c r="AI118" s="272"/>
      <c r="AJ118" s="272"/>
    </row>
    <row r="119" spans="4:36" x14ac:dyDescent="0.3">
      <c r="D119" s="411" t="s">
        <v>604</v>
      </c>
      <c r="E119" s="416">
        <v>8158960</v>
      </c>
      <c r="F119" s="415"/>
      <c r="G119" s="415"/>
      <c r="H119" s="597"/>
      <c r="I119" s="415"/>
      <c r="J119" s="416">
        <v>8223984</v>
      </c>
      <c r="K119" s="598"/>
      <c r="L119" s="415">
        <f>(J119*100/E119)-100</f>
        <v>0.79696431898183562</v>
      </c>
      <c r="M119" s="415">
        <f>J119/2900</f>
        <v>2835.8565517241377</v>
      </c>
      <c r="N119" s="607"/>
      <c r="P119" s="415"/>
      <c r="Q119" s="415"/>
      <c r="R119" s="415"/>
      <c r="S119" s="272" t="e">
        <f>#REF!/2900</f>
        <v>#REF!</v>
      </c>
      <c r="T119" s="272" t="e">
        <f>#REF!/2700</f>
        <v>#REF!</v>
      </c>
      <c r="U119" s="272" t="e">
        <f>#REF!*100/#REF!</f>
        <v>#REF!</v>
      </c>
      <c r="V119" s="271" t="e">
        <f>#REF!*1.01</f>
        <v>#REF!</v>
      </c>
      <c r="W119" s="272" t="e">
        <f>(V119*100/#REF!)-100</f>
        <v>#REF!</v>
      </c>
      <c r="X119" s="272" t="e">
        <f>V119/2900</f>
        <v>#REF!</v>
      </c>
      <c r="Y119" s="272" t="e">
        <f>V122/2700</f>
        <v>#REF!</v>
      </c>
      <c r="Z119" s="272" t="e">
        <f>V120*100/V119</f>
        <v>#REF!</v>
      </c>
      <c r="AA119" s="271" t="e">
        <f>V119*1.01</f>
        <v>#REF!</v>
      </c>
      <c r="AB119" s="272" t="e">
        <f>(AA119*100/V119)-100</f>
        <v>#REF!</v>
      </c>
      <c r="AC119" s="272" t="e">
        <f>AA119/2700</f>
        <v>#REF!</v>
      </c>
      <c r="AD119" s="272" t="e">
        <f>AA122/2700</f>
        <v>#REF!</v>
      </c>
      <c r="AE119" s="272" t="e">
        <f>AA120*100/AA119</f>
        <v>#REF!</v>
      </c>
      <c r="AF119" s="271" t="e">
        <f>AA119*1.01</f>
        <v>#REF!</v>
      </c>
      <c r="AG119" s="272" t="e">
        <f>(AF119*100/AA119)-100</f>
        <v>#REF!</v>
      </c>
      <c r="AH119" s="272" t="e">
        <f>AF119/2700</f>
        <v>#REF!</v>
      </c>
      <c r="AI119" s="272" t="e">
        <f>AF122/2700</f>
        <v>#REF!</v>
      </c>
      <c r="AJ119" s="272" t="e">
        <f>AF120*100/AF119</f>
        <v>#REF!</v>
      </c>
    </row>
    <row r="120" spans="4:36" ht="56" x14ac:dyDescent="0.3">
      <c r="D120" s="411" t="s">
        <v>605</v>
      </c>
      <c r="E120" s="416">
        <v>34560</v>
      </c>
      <c r="F120" s="415"/>
      <c r="G120" s="415"/>
      <c r="H120" s="597"/>
      <c r="I120" s="415"/>
      <c r="J120" s="416">
        <v>35550</v>
      </c>
      <c r="K120" s="598"/>
      <c r="L120" s="415"/>
      <c r="M120" s="415"/>
      <c r="N120" s="607"/>
      <c r="P120" s="415"/>
      <c r="Q120" s="415"/>
      <c r="R120" s="415"/>
      <c r="S120" s="272"/>
      <c r="T120" s="272"/>
      <c r="U120" s="272"/>
      <c r="V120" s="271" t="e">
        <f>#REF!*1.01</f>
        <v>#REF!</v>
      </c>
      <c r="W120" s="272"/>
      <c r="X120" s="272"/>
      <c r="Y120" s="272"/>
      <c r="Z120" s="272"/>
      <c r="AA120" s="271" t="e">
        <f>V120*1.01</f>
        <v>#REF!</v>
      </c>
      <c r="AB120" s="272"/>
      <c r="AC120" s="272"/>
      <c r="AD120" s="272"/>
      <c r="AE120" s="272"/>
      <c r="AF120" s="271" t="e">
        <f>AA120*1.01</f>
        <v>#REF!</v>
      </c>
      <c r="AG120" s="272"/>
      <c r="AH120" s="272"/>
      <c r="AI120" s="272"/>
      <c r="AJ120" s="272"/>
    </row>
    <row r="121" spans="4:36" x14ac:dyDescent="0.3">
      <c r="D121" s="412" t="s">
        <v>412</v>
      </c>
      <c r="E121" s="416">
        <v>1084</v>
      </c>
      <c r="F121" s="415"/>
      <c r="G121" s="415"/>
      <c r="H121" s="597"/>
      <c r="I121" s="415"/>
      <c r="J121" s="416">
        <v>1084</v>
      </c>
      <c r="K121" s="598"/>
      <c r="L121" s="415"/>
      <c r="M121" s="415"/>
      <c r="N121" s="607"/>
      <c r="P121" s="415"/>
      <c r="Q121" s="415"/>
      <c r="R121" s="415"/>
      <c r="S121" s="272"/>
      <c r="T121" s="272"/>
      <c r="U121" s="272"/>
      <c r="V121" s="271" t="e">
        <f>#REF!</f>
        <v>#REF!</v>
      </c>
      <c r="W121" s="272"/>
      <c r="X121" s="272"/>
      <c r="Y121" s="272"/>
      <c r="Z121" s="272"/>
      <c r="AA121" s="271" t="e">
        <f>V121</f>
        <v>#REF!</v>
      </c>
      <c r="AB121" s="272"/>
      <c r="AC121" s="272"/>
      <c r="AD121" s="272"/>
      <c r="AE121" s="272"/>
      <c r="AF121" s="271" t="e">
        <f>AA121</f>
        <v>#REF!</v>
      </c>
      <c r="AG121" s="272"/>
      <c r="AH121" s="272"/>
      <c r="AI121" s="272"/>
      <c r="AJ121" s="272"/>
    </row>
    <row r="122" spans="4:36" x14ac:dyDescent="0.3">
      <c r="D122" s="412" t="s">
        <v>606</v>
      </c>
      <c r="E122" s="416">
        <v>135780</v>
      </c>
      <c r="F122" s="415"/>
      <c r="G122" s="415"/>
      <c r="H122" s="597"/>
      <c r="I122" s="415"/>
      <c r="J122" s="416">
        <v>130060</v>
      </c>
      <c r="K122" s="598"/>
      <c r="L122" s="415"/>
      <c r="M122" s="415"/>
      <c r="N122" s="607"/>
      <c r="P122" s="415"/>
      <c r="Q122" s="415"/>
      <c r="R122" s="415"/>
      <c r="S122" s="272"/>
      <c r="T122" s="272"/>
      <c r="U122" s="272"/>
      <c r="V122" s="271" t="e">
        <f>#REF!*1.01</f>
        <v>#REF!</v>
      </c>
      <c r="W122" s="272"/>
      <c r="X122" s="272"/>
      <c r="Y122" s="272"/>
      <c r="Z122" s="272"/>
      <c r="AA122" s="271" t="e">
        <f>V122*1.01</f>
        <v>#REF!</v>
      </c>
      <c r="AB122" s="272"/>
      <c r="AC122" s="272"/>
      <c r="AD122" s="272"/>
      <c r="AE122" s="272"/>
      <c r="AF122" s="271" t="e">
        <f>AA122*1.01</f>
        <v>#REF!</v>
      </c>
      <c r="AG122" s="272"/>
      <c r="AH122" s="272"/>
      <c r="AI122" s="272"/>
      <c r="AJ122" s="272"/>
    </row>
    <row r="123" spans="4:36" ht="56" x14ac:dyDescent="0.3">
      <c r="D123" s="412" t="s">
        <v>421</v>
      </c>
      <c r="E123" s="416">
        <v>11</v>
      </c>
      <c r="F123" s="415"/>
      <c r="G123" s="415"/>
      <c r="H123" s="597"/>
      <c r="I123" s="415"/>
      <c r="J123" s="416">
        <v>14</v>
      </c>
      <c r="K123" s="598"/>
      <c r="L123" s="415"/>
      <c r="M123" s="415"/>
      <c r="N123" s="607"/>
      <c r="P123" s="415"/>
      <c r="Q123" s="415"/>
      <c r="R123" s="415"/>
      <c r="S123" s="272"/>
      <c r="T123" s="272"/>
      <c r="U123" s="272"/>
      <c r="V123" s="271">
        <v>25</v>
      </c>
      <c r="W123" s="272"/>
      <c r="X123" s="272"/>
      <c r="Y123" s="272"/>
      <c r="Z123" s="272"/>
      <c r="AA123" s="271">
        <v>35</v>
      </c>
      <c r="AB123" s="272"/>
      <c r="AC123" s="272"/>
      <c r="AD123" s="272"/>
      <c r="AE123" s="272"/>
      <c r="AF123" s="271">
        <v>45</v>
      </c>
      <c r="AG123" s="272"/>
      <c r="AH123" s="272"/>
      <c r="AI123" s="272"/>
      <c r="AJ123" s="272"/>
    </row>
    <row r="125" spans="4:36" ht="56" x14ac:dyDescent="0.3">
      <c r="D125" s="423" t="s">
        <v>414</v>
      </c>
      <c r="V125" s="305">
        <f>1000*8223984/2700000</f>
        <v>3045.92</v>
      </c>
    </row>
    <row r="126" spans="4:36" x14ac:dyDescent="0.3">
      <c r="D126" s="423" t="s">
        <v>416</v>
      </c>
    </row>
    <row r="127" spans="4:36" ht="84" x14ac:dyDescent="0.3">
      <c r="D127" s="423" t="s">
        <v>418</v>
      </c>
    </row>
    <row r="129" spans="4:19" x14ac:dyDescent="0.3">
      <c r="D129" s="423"/>
      <c r="E129" s="3116">
        <v>2010</v>
      </c>
      <c r="F129" s="3116"/>
      <c r="G129" s="3116"/>
      <c r="H129" s="486"/>
      <c r="I129" s="3116">
        <v>2011</v>
      </c>
      <c r="J129" s="3116"/>
      <c r="K129" s="3116"/>
      <c r="L129" s="3116"/>
      <c r="M129" s="422">
        <v>2012</v>
      </c>
      <c r="N129" s="486"/>
      <c r="O129" s="3128"/>
      <c r="P129" s="3128"/>
      <c r="Q129" s="3128"/>
      <c r="R129" s="3128"/>
      <c r="S129" s="3128"/>
    </row>
    <row r="130" spans="4:19" ht="56" x14ac:dyDescent="0.3">
      <c r="D130" s="423"/>
      <c r="E130" s="422" t="s">
        <v>613</v>
      </c>
      <c r="F130" s="422" t="s">
        <v>614</v>
      </c>
      <c r="G130" s="422" t="s">
        <v>615</v>
      </c>
      <c r="H130" s="486"/>
      <c r="I130" s="422" t="s">
        <v>613</v>
      </c>
      <c r="J130" s="422" t="s">
        <v>614</v>
      </c>
      <c r="K130" s="486"/>
      <c r="L130" s="422" t="s">
        <v>615</v>
      </c>
      <c r="M130" s="422" t="s">
        <v>613</v>
      </c>
      <c r="N130" s="553"/>
      <c r="P130" s="422"/>
      <c r="Q130" s="422"/>
      <c r="R130" s="422"/>
      <c r="S130" s="421" t="s">
        <v>615</v>
      </c>
    </row>
    <row r="131" spans="4:19" x14ac:dyDescent="0.3">
      <c r="D131" s="423" t="s">
        <v>532</v>
      </c>
      <c r="E131" s="422"/>
      <c r="F131" s="422"/>
      <c r="G131" s="422"/>
      <c r="H131" s="486"/>
      <c r="I131" s="422"/>
      <c r="J131" s="422"/>
      <c r="K131" s="486"/>
      <c r="L131" s="422"/>
      <c r="M131" s="422"/>
      <c r="N131" s="553"/>
      <c r="P131" s="422"/>
      <c r="Q131" s="422"/>
      <c r="R131" s="422"/>
      <c r="S131" s="263"/>
    </row>
    <row r="132" spans="4:19" x14ac:dyDescent="0.3">
      <c r="D132" s="423" t="s">
        <v>533</v>
      </c>
      <c r="E132" s="422"/>
      <c r="F132" s="422"/>
      <c r="G132" s="422"/>
      <c r="H132" s="486"/>
      <c r="I132" s="422"/>
      <c r="J132" s="422"/>
      <c r="K132" s="486"/>
      <c r="L132" s="422"/>
      <c r="M132" s="422"/>
      <c r="N132" s="553"/>
      <c r="P132" s="422"/>
      <c r="Q132" s="422"/>
      <c r="R132" s="422"/>
      <c r="S132" s="263"/>
    </row>
    <row r="133" spans="4:19" x14ac:dyDescent="0.3">
      <c r="D133" s="423" t="s">
        <v>611</v>
      </c>
      <c r="E133" s="422"/>
      <c r="F133" s="422"/>
      <c r="G133" s="422"/>
      <c r="H133" s="486"/>
      <c r="I133" s="422"/>
      <c r="J133" s="422"/>
      <c r="K133" s="486"/>
      <c r="L133" s="422"/>
      <c r="M133" s="422"/>
      <c r="N133" s="553"/>
      <c r="P133" s="422"/>
      <c r="Q133" s="422"/>
      <c r="R133" s="422"/>
      <c r="S133" s="263"/>
    </row>
    <row r="134" spans="4:19" x14ac:dyDescent="0.3">
      <c r="D134" s="423" t="s">
        <v>612</v>
      </c>
      <c r="E134" s="422"/>
      <c r="F134" s="422"/>
      <c r="G134" s="422"/>
      <c r="H134" s="486"/>
      <c r="I134" s="422"/>
      <c r="J134" s="422"/>
      <c r="K134" s="486"/>
      <c r="L134" s="422"/>
      <c r="M134" s="422"/>
      <c r="N134" s="553"/>
      <c r="P134" s="422"/>
      <c r="Q134" s="422"/>
      <c r="R134" s="422"/>
      <c r="S134" s="263"/>
    </row>
    <row r="135" spans="4:19" x14ac:dyDescent="0.3">
      <c r="E135" s="262">
        <v>230</v>
      </c>
      <c r="F135" s="262">
        <v>4.7</v>
      </c>
      <c r="G135" s="262">
        <f>F135*100/E135</f>
        <v>2.0434782608695654</v>
      </c>
      <c r="H135" s="486"/>
      <c r="I135" s="262">
        <v>234.7</v>
      </c>
      <c r="J135" s="262">
        <v>8.6</v>
      </c>
      <c r="K135" s="486"/>
      <c r="L135" s="262">
        <f>J135*100/I135</f>
        <v>3.664252236898168</v>
      </c>
      <c r="M135" s="262">
        <v>243.3</v>
      </c>
      <c r="N135" s="553"/>
      <c r="P135" s="262"/>
      <c r="Q135" s="262"/>
      <c r="R135" s="262"/>
      <c r="S135" s="310" t="e">
        <f>#REF!*100/#REF!</f>
        <v>#REF!</v>
      </c>
    </row>
  </sheetData>
  <mergeCells count="69">
    <mergeCell ref="C7:C9"/>
    <mergeCell ref="B7:B9"/>
    <mergeCell ref="O7:O9"/>
    <mergeCell ref="F8:H8"/>
    <mergeCell ref="L8:N8"/>
    <mergeCell ref="I8:K8"/>
    <mergeCell ref="L7:N7"/>
    <mergeCell ref="D7:D9"/>
    <mergeCell ref="E7:E9"/>
    <mergeCell ref="AA116:AE116"/>
    <mergeCell ref="AF116:AJ116"/>
    <mergeCell ref="E129:G129"/>
    <mergeCell ref="I129:L129"/>
    <mergeCell ref="O129:S129"/>
    <mergeCell ref="I108:L108"/>
    <mergeCell ref="O108:S108"/>
    <mergeCell ref="T108:V108"/>
    <mergeCell ref="E116:I116"/>
    <mergeCell ref="J116:M116"/>
    <mergeCell ref="O116:U116"/>
    <mergeCell ref="V116:Z116"/>
    <mergeCell ref="E108:G108"/>
    <mergeCell ref="G65:H65"/>
    <mergeCell ref="E65:F65"/>
    <mergeCell ref="I65:K65"/>
    <mergeCell ref="D69:K69"/>
    <mergeCell ref="D65:D66"/>
    <mergeCell ref="G66:H66"/>
    <mergeCell ref="E66:F66"/>
    <mergeCell ref="I66:K66"/>
    <mergeCell ref="D68:K68"/>
    <mergeCell ref="T66:Z66"/>
    <mergeCell ref="E99:G99"/>
    <mergeCell ref="I99:L99"/>
    <mergeCell ref="O99:S99"/>
    <mergeCell ref="T99:V99"/>
    <mergeCell ref="J2:O3"/>
    <mergeCell ref="D5:L5"/>
    <mergeCell ref="F7:K7"/>
    <mergeCell ref="T57:Z57"/>
    <mergeCell ref="D60:M60"/>
    <mergeCell ref="T60:Z60"/>
    <mergeCell ref="D53:M53"/>
    <mergeCell ref="T43:Z43"/>
    <mergeCell ref="D45:M45"/>
    <mergeCell ref="T47:Z47"/>
    <mergeCell ref="T50:Z50"/>
    <mergeCell ref="D51:M51"/>
    <mergeCell ref="T12:Z12"/>
    <mergeCell ref="D14:M14"/>
    <mergeCell ref="T15:Z15"/>
    <mergeCell ref="D12:M12"/>
    <mergeCell ref="T61:Z61"/>
    <mergeCell ref="D64:M64"/>
    <mergeCell ref="T64:Z64"/>
    <mergeCell ref="T53:Z53"/>
    <mergeCell ref="D56:M56"/>
    <mergeCell ref="D41:M41"/>
    <mergeCell ref="T33:Z33"/>
    <mergeCell ref="D37:M37"/>
    <mergeCell ref="T37:Z37"/>
    <mergeCell ref="D28:M28"/>
    <mergeCell ref="T30:Z30"/>
    <mergeCell ref="D31:M31"/>
    <mergeCell ref="T24:Z24"/>
    <mergeCell ref="D25:M25"/>
    <mergeCell ref="T27:Z27"/>
    <mergeCell ref="T20:Z20"/>
    <mergeCell ref="D21:M21"/>
  </mergeCells>
  <pageMargins left="0.7" right="0.7" top="0.75" bottom="0.75" header="0.3" footer="0.3"/>
  <pageSetup paperSize="9" scale="38" orientation="landscape" r:id="rId1"/>
  <rowBreaks count="1" manualBreakCount="1">
    <brk id="44" min="1" max="1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B1:O25"/>
  <sheetViews>
    <sheetView view="pageBreakPreview" zoomScale="70" zoomScaleSheetLayoutView="70" workbookViewId="0">
      <selection activeCell="D8" sqref="D8"/>
    </sheetView>
  </sheetViews>
  <sheetFormatPr baseColWidth="10" defaultColWidth="8.83203125" defaultRowHeight="16" x14ac:dyDescent="0.2"/>
  <cols>
    <col min="1" max="1" width="3.1640625" style="610" customWidth="1"/>
    <col min="2" max="2" width="5.5" style="610" customWidth="1"/>
    <col min="3" max="3" width="12.5" style="610" customWidth="1"/>
    <col min="4" max="4" width="62.33203125" style="610" customWidth="1"/>
    <col min="5" max="5" width="11.33203125" style="610" customWidth="1"/>
    <col min="6" max="14" width="8.83203125" style="610"/>
    <col min="15" max="15" width="13.33203125" style="610" customWidth="1"/>
    <col min="16" max="16384" width="8.83203125" style="610"/>
  </cols>
  <sheetData>
    <row r="1" spans="2:15" ht="5.25" customHeight="1" x14ac:dyDescent="0.2"/>
    <row r="2" spans="2:15" ht="36.75" customHeight="1" x14ac:dyDescent="0.2">
      <c r="C2" s="3140" t="s">
        <v>923</v>
      </c>
      <c r="D2" s="3140"/>
      <c r="E2" s="3140"/>
      <c r="F2" s="3140"/>
      <c r="G2" s="3140"/>
      <c r="H2" s="3140"/>
      <c r="I2" s="3140"/>
      <c r="J2" s="3140"/>
      <c r="K2" s="3140"/>
      <c r="L2" s="3140"/>
      <c r="M2" s="3140"/>
      <c r="N2" s="3140"/>
    </row>
    <row r="3" spans="2:15" ht="6" customHeight="1" x14ac:dyDescent="0.2"/>
    <row r="4" spans="2:15" s="307" customFormat="1" ht="17" x14ac:dyDescent="0.2">
      <c r="B4" s="3136" t="s">
        <v>919</v>
      </c>
      <c r="C4" s="3136" t="s">
        <v>920</v>
      </c>
      <c r="D4" s="3136" t="s">
        <v>353</v>
      </c>
      <c r="E4" s="3136" t="s">
        <v>354</v>
      </c>
      <c r="F4" s="3141" t="s">
        <v>355</v>
      </c>
      <c r="G4" s="3142"/>
      <c r="H4" s="3142"/>
      <c r="I4" s="3142"/>
      <c r="J4" s="3142"/>
      <c r="K4" s="3143"/>
      <c r="L4" s="3141" t="s">
        <v>1</v>
      </c>
      <c r="M4" s="3142"/>
      <c r="N4" s="3143"/>
      <c r="O4" s="3136" t="s">
        <v>356</v>
      </c>
    </row>
    <row r="5" spans="2:15" s="307" customFormat="1" ht="17" x14ac:dyDescent="0.2">
      <c r="B5" s="3137"/>
      <c r="C5" s="3137"/>
      <c r="D5" s="3137"/>
      <c r="E5" s="3137"/>
      <c r="F5" s="3141">
        <v>2011</v>
      </c>
      <c r="G5" s="3143"/>
      <c r="H5" s="3141">
        <v>2012</v>
      </c>
      <c r="I5" s="3143"/>
      <c r="J5" s="3141">
        <v>2013</v>
      </c>
      <c r="K5" s="3143"/>
      <c r="L5" s="3136">
        <v>2014</v>
      </c>
      <c r="M5" s="3136">
        <v>2015</v>
      </c>
      <c r="N5" s="3136">
        <v>2016</v>
      </c>
      <c r="O5" s="3137"/>
    </row>
    <row r="6" spans="2:15" s="307" customFormat="1" ht="18.75" customHeight="1" x14ac:dyDescent="0.2">
      <c r="B6" s="3138"/>
      <c r="C6" s="3138"/>
      <c r="D6" s="3138"/>
      <c r="E6" s="3138"/>
      <c r="F6" s="614" t="s">
        <v>357</v>
      </c>
      <c r="G6" s="614" t="s">
        <v>358</v>
      </c>
      <c r="H6" s="614" t="s">
        <v>357</v>
      </c>
      <c r="I6" s="614" t="s">
        <v>358</v>
      </c>
      <c r="J6" s="614" t="s">
        <v>357</v>
      </c>
      <c r="K6" s="614" t="s">
        <v>359</v>
      </c>
      <c r="L6" s="3138"/>
      <c r="M6" s="3138"/>
      <c r="N6" s="3138"/>
      <c r="O6" s="3138"/>
    </row>
    <row r="7" spans="2:15" s="307" customFormat="1" ht="50.25" customHeight="1" x14ac:dyDescent="0.2">
      <c r="B7" s="615">
        <v>1</v>
      </c>
      <c r="C7" s="615" t="s">
        <v>922</v>
      </c>
      <c r="D7" s="616" t="str">
        <f>'Приложение № 1'!E20</f>
        <v xml:space="preserve">Число  государственных проектов в сфере традиционной народной культуры, любительского искусства социальной деятельности и патриотического воспитания. </v>
      </c>
      <c r="E7" s="616" t="str">
        <f>'Приложение № 1'!F20</f>
        <v>единиц</v>
      </c>
      <c r="F7" s="622" t="e">
        <f>'Приложение № 1'!#REF!</f>
        <v>#REF!</v>
      </c>
      <c r="G7" s="622" t="e">
        <f>'Приложение № 1'!#REF!</f>
        <v>#REF!</v>
      </c>
      <c r="H7" s="622">
        <f>'Приложение № 1'!G20</f>
        <v>63</v>
      </c>
      <c r="I7" s="622">
        <f>'Приложение № 1'!H20</f>
        <v>80</v>
      </c>
      <c r="J7" s="622">
        <f>'Приложение № 1'!I20</f>
        <v>80</v>
      </c>
      <c r="K7" s="622">
        <f>'Приложение № 1'!J20</f>
        <v>80</v>
      </c>
      <c r="L7" s="622">
        <f>'Приложение № 1'!M20</f>
        <v>80</v>
      </c>
      <c r="M7" s="622">
        <f>'Приложение № 1'!N20</f>
        <v>80</v>
      </c>
      <c r="N7" s="622">
        <f>'Приложение № 1'!O20</f>
        <v>95</v>
      </c>
      <c r="O7" s="622">
        <f>'Приложение № 1'!P20</f>
        <v>100</v>
      </c>
    </row>
    <row r="8" spans="2:15" ht="50.25" customHeight="1" x14ac:dyDescent="0.2">
      <c r="B8" s="617">
        <v>2</v>
      </c>
      <c r="C8" s="617" t="s">
        <v>921</v>
      </c>
      <c r="D8" s="620" t="str">
        <f>'Приложение № 1'!E21</f>
        <v>Число посетителей мероприятий в области традиционной народной культуры, любительского искусства социальной деятельности и патриотического воспитания.</v>
      </c>
      <c r="E8" s="620" t="str">
        <f>'Приложение № 1'!F21</f>
        <v>тыс. чел</v>
      </c>
      <c r="F8" s="618" t="e">
        <f>'Приложение № 1'!#REF!</f>
        <v>#REF!</v>
      </c>
      <c r="G8" s="618" t="e">
        <f>'Приложение № 1'!#REF!</f>
        <v>#REF!</v>
      </c>
      <c r="H8" s="618">
        <f>'Приложение № 1'!G21</f>
        <v>38.799999999999997</v>
      </c>
      <c r="I8" s="618">
        <f>'Приложение № 1'!H21</f>
        <v>50</v>
      </c>
      <c r="J8" s="618">
        <f>'Приложение № 1'!I21</f>
        <v>41.4</v>
      </c>
      <c r="K8" s="618">
        <f>'Приложение № 1'!J21</f>
        <v>41.4</v>
      </c>
      <c r="L8" s="618" t="e">
        <f>'Приложение № 1'!#REF!</f>
        <v>#REF!</v>
      </c>
      <c r="M8" s="618" t="e">
        <f>'Приложение № 1'!#REF!</f>
        <v>#REF!</v>
      </c>
      <c r="N8" s="618">
        <f>'Приложение № 1'!M21</f>
        <v>47.4</v>
      </c>
      <c r="O8" s="618">
        <f>'Приложение № 1'!N21</f>
        <v>50.9</v>
      </c>
    </row>
    <row r="9" spans="2:15" ht="36.75" customHeight="1" x14ac:dyDescent="0.2">
      <c r="B9" s="615">
        <v>3</v>
      </c>
      <c r="C9" s="615" t="s">
        <v>922</v>
      </c>
      <c r="D9" s="620" t="str">
        <f>'Приложение № 1'!E27</f>
        <v>Уровень удовлетворенности посетителей доступностью и качеством услуг государственных музеев.</v>
      </c>
      <c r="E9" s="620" t="str">
        <f>'Приложение № 1'!F27</f>
        <v>%</v>
      </c>
      <c r="F9" s="618" t="e">
        <f>'Приложение № 1'!#REF!</f>
        <v>#REF!</v>
      </c>
      <c r="G9" s="618" t="e">
        <f>'Приложение № 1'!#REF!</f>
        <v>#REF!</v>
      </c>
      <c r="H9" s="618">
        <f>'Приложение № 1'!G27</f>
        <v>70</v>
      </c>
      <c r="I9" s="618">
        <f>'Приложение № 1'!H27</f>
        <v>70</v>
      </c>
      <c r="J9" s="618">
        <f>'Приложение № 1'!I27</f>
        <v>78</v>
      </c>
      <c r="K9" s="618">
        <f>'Приложение № 1'!J27</f>
        <v>78</v>
      </c>
      <c r="L9" s="618">
        <f>'Приложение № 1'!M27</f>
        <v>88</v>
      </c>
      <c r="M9" s="618">
        <f>'Приложение № 1'!N27</f>
        <v>90</v>
      </c>
      <c r="N9" s="618">
        <f>'Приложение № 1'!O27</f>
        <v>95</v>
      </c>
      <c r="O9" s="618">
        <f>'Приложение № 1'!P27</f>
        <v>99</v>
      </c>
    </row>
    <row r="10" spans="2:15" ht="36.75" customHeight="1" x14ac:dyDescent="0.2">
      <c r="B10" s="617">
        <v>4</v>
      </c>
      <c r="C10" s="615" t="s">
        <v>922</v>
      </c>
      <c r="D10" s="620" t="str">
        <f>'Приложение № 1'!E28</f>
        <v xml:space="preserve">Уровень удовлетворенности посетителей доступностью и качеством услуг государственных библиотек. </v>
      </c>
      <c r="E10" s="620" t="str">
        <f>'Приложение № 1'!F28</f>
        <v>%</v>
      </c>
      <c r="F10" s="618" t="e">
        <f>'Приложение № 1'!#REF!</f>
        <v>#REF!</v>
      </c>
      <c r="G10" s="618" t="e">
        <f>'Приложение № 1'!#REF!</f>
        <v>#REF!</v>
      </c>
      <c r="H10" s="618">
        <f>'Приложение № 1'!G28</f>
        <v>70</v>
      </c>
      <c r="I10" s="618">
        <f>'Приложение № 1'!H28</f>
        <v>70</v>
      </c>
      <c r="J10" s="618">
        <f>'Приложение № 1'!I28</f>
        <v>78</v>
      </c>
      <c r="K10" s="618">
        <f>'Приложение № 1'!J28</f>
        <v>78</v>
      </c>
      <c r="L10" s="618">
        <f>'Приложение № 1'!M28</f>
        <v>88</v>
      </c>
      <c r="M10" s="618">
        <f>'Приложение № 1'!N28</f>
        <v>90</v>
      </c>
      <c r="N10" s="618">
        <f>'Приложение № 1'!O28</f>
        <v>95</v>
      </c>
      <c r="O10" s="618">
        <f>'Приложение № 1'!P28</f>
        <v>99</v>
      </c>
    </row>
    <row r="11" spans="2:15" ht="22.5" customHeight="1" x14ac:dyDescent="0.2">
      <c r="B11" s="615">
        <v>5</v>
      </c>
      <c r="C11" s="615" t="s">
        <v>921</v>
      </c>
      <c r="D11" s="620" t="str">
        <f>'Приложение № 1'!E30</f>
        <v xml:space="preserve">Число посещений музеев республики </v>
      </c>
      <c r="E11" s="620" t="str">
        <f>'Приложение № 1'!F30</f>
        <v>тыс.пос</v>
      </c>
      <c r="F11" s="618" t="e">
        <f>'Приложение № 1'!#REF!</f>
        <v>#REF!</v>
      </c>
      <c r="G11" s="618" t="e">
        <f>'Приложение № 1'!#REF!</f>
        <v>#REF!</v>
      </c>
      <c r="H11" s="618">
        <f>'Приложение № 1'!G30</f>
        <v>386.2</v>
      </c>
      <c r="I11" s="618">
        <f>'Приложение № 1'!H30</f>
        <v>234</v>
      </c>
      <c r="J11" s="618">
        <f>'Приложение № 1'!I30</f>
        <v>431.41</v>
      </c>
      <c r="K11" s="618">
        <f>'Приложение № 1'!J30</f>
        <v>406.5</v>
      </c>
      <c r="L11" s="618">
        <f>'Приложение № 1'!M30</f>
        <v>441.35</v>
      </c>
      <c r="M11" s="618">
        <f>'Приложение № 1'!N30</f>
        <v>467.95</v>
      </c>
      <c r="N11" s="618">
        <f>'Приложение № 1'!O30</f>
        <v>470</v>
      </c>
      <c r="O11" s="618">
        <f>'Приложение № 1'!P30</f>
        <v>490</v>
      </c>
    </row>
    <row r="12" spans="2:15" ht="34" x14ac:dyDescent="0.2">
      <c r="B12" s="617">
        <v>6</v>
      </c>
      <c r="C12" s="617" t="s">
        <v>921</v>
      </c>
      <c r="D12" s="620" t="str">
        <f>'Приложение № 1'!E31</f>
        <v>Увеличение доли музеев, имеющих сайт в сети «Интернет», в общем количестве музеев Республики Дагестан</v>
      </c>
      <c r="E12" s="620" t="str">
        <f>'Приложение № 1'!F31</f>
        <v>%</v>
      </c>
      <c r="F12" s="618" t="e">
        <f>'Приложение № 1'!#REF!</f>
        <v>#REF!</v>
      </c>
      <c r="G12" s="618" t="e">
        <f>'Приложение № 1'!#REF!</f>
        <v>#REF!</v>
      </c>
      <c r="H12" s="618" t="e">
        <f>'Приложение № 1'!#REF!</f>
        <v>#REF!</v>
      </c>
      <c r="I12" s="618" t="e">
        <f>'Приложение № 1'!#REF!</f>
        <v>#REF!</v>
      </c>
      <c r="J12" s="618">
        <f>'Приложение № 1'!G31</f>
        <v>57</v>
      </c>
      <c r="K12" s="618">
        <f>'Приложение № 1'!H31</f>
        <v>57</v>
      </c>
      <c r="L12" s="618">
        <f>'Приложение № 1'!J31</f>
        <v>100</v>
      </c>
      <c r="M12" s="618" t="e">
        <f>'Приложение № 1'!#REF!</f>
        <v>#REF!</v>
      </c>
      <c r="N12" s="618">
        <f>'Приложение № 1'!M31</f>
        <v>100</v>
      </c>
      <c r="O12" s="618">
        <f>'Приложение № 1'!N31</f>
        <v>100</v>
      </c>
    </row>
    <row r="13" spans="2:15" ht="34" x14ac:dyDescent="0.2">
      <c r="B13" s="615">
        <v>7</v>
      </c>
      <c r="C13" s="615" t="s">
        <v>922</v>
      </c>
      <c r="D13" s="620" t="str">
        <f>'Приложение № 1'!E32</f>
        <v>Количество посещений республиканских государственных библиотечных учреждений</v>
      </c>
      <c r="E13" s="620" t="str">
        <f>'Приложение № 1'!F32</f>
        <v>тыс.посещений</v>
      </c>
      <c r="F13" s="618" t="e">
        <f>'Приложение № 1'!#REF!</f>
        <v>#REF!</v>
      </c>
      <c r="G13" s="618" t="e">
        <f>'Приложение № 1'!#REF!</f>
        <v>#REF!</v>
      </c>
      <c r="H13" s="618">
        <f>'Приложение № 1'!G32</f>
        <v>380</v>
      </c>
      <c r="I13" s="618">
        <f>'Приложение № 1'!H32</f>
        <v>389.4</v>
      </c>
      <c r="J13" s="618">
        <f>'Приложение № 1'!I32</f>
        <v>346.51</v>
      </c>
      <c r="K13" s="618" t="e">
        <f>'Приложение № 1'!#REF!</f>
        <v>#REF!</v>
      </c>
      <c r="L13" s="618">
        <f>'Приложение № 1'!M32</f>
        <v>395.44</v>
      </c>
      <c r="M13" s="618">
        <f>'Приложение № 1'!N32</f>
        <v>395.59</v>
      </c>
      <c r="N13" s="618">
        <f>'Приложение № 1'!O32</f>
        <v>397</v>
      </c>
      <c r="O13" s="618">
        <f>'Приложение № 1'!P32</f>
        <v>400</v>
      </c>
    </row>
    <row r="14" spans="2:15" ht="34" x14ac:dyDescent="0.2">
      <c r="B14" s="617">
        <v>8</v>
      </c>
      <c r="C14" s="615" t="s">
        <v>922</v>
      </c>
      <c r="D14" s="620" t="str">
        <f>'Приложение № 1'!E33</f>
        <v>Количество выставок созданных государственными мзеями республики в отчетном году</v>
      </c>
      <c r="E14" s="620" t="str">
        <f>'Приложение № 1'!F33</f>
        <v>единиц</v>
      </c>
      <c r="F14" s="619" t="e">
        <f>'Приложение № 1'!#REF!</f>
        <v>#REF!</v>
      </c>
      <c r="G14" s="619" t="e">
        <f>'Приложение № 1'!#REF!</f>
        <v>#REF!</v>
      </c>
      <c r="H14" s="619">
        <f>'Приложение № 1'!G33</f>
        <v>190</v>
      </c>
      <c r="I14" s="619">
        <f>'Приложение № 1'!H33</f>
        <v>67</v>
      </c>
      <c r="J14" s="619">
        <f>'Приложение № 1'!I33</f>
        <v>226</v>
      </c>
      <c r="K14" s="619">
        <f>'Приложение № 1'!J33</f>
        <v>257</v>
      </c>
      <c r="L14" s="619">
        <f>'Приложение № 1'!M33</f>
        <v>294</v>
      </c>
      <c r="M14" s="619">
        <f>'Приложение № 1'!N33</f>
        <v>314</v>
      </c>
      <c r="N14" s="619">
        <f>'Приложение № 1'!O33</f>
        <v>320</v>
      </c>
      <c r="O14" s="619">
        <f>'Приложение № 1'!P33</f>
        <v>420</v>
      </c>
    </row>
    <row r="15" spans="2:15" ht="32.25" customHeight="1" x14ac:dyDescent="0.2">
      <c r="B15" s="615">
        <v>9</v>
      </c>
      <c r="C15" s="615" t="s">
        <v>922</v>
      </c>
      <c r="D15" s="620" t="str">
        <f>'Приложение № 1'!E34</f>
        <v>Количество библиографических записей в электронных базах данных</v>
      </c>
      <c r="E15" s="620" t="str">
        <f>'Приложение № 1'!F34</f>
        <v>тыс.единиц</v>
      </c>
      <c r="F15" s="618" t="e">
        <f>'Приложение № 1'!#REF!</f>
        <v>#REF!</v>
      </c>
      <c r="G15" s="618" t="e">
        <f>'Приложение № 1'!#REF!</f>
        <v>#REF!</v>
      </c>
      <c r="H15" s="618">
        <f>'Приложение № 1'!G34</f>
        <v>33.299999999999997</v>
      </c>
      <c r="I15" s="618">
        <f>'Приложение № 1'!H34</f>
        <v>33.299999999999997</v>
      </c>
      <c r="J15" s="618">
        <f>'Приложение № 1'!I34</f>
        <v>66.599999999999994</v>
      </c>
      <c r="K15" s="618">
        <f>'Приложение № 1'!J34</f>
        <v>100.53</v>
      </c>
      <c r="L15" s="618">
        <f>'Приложение № 1'!M34</f>
        <v>307.8</v>
      </c>
      <c r="M15" s="618">
        <f>'Приложение № 1'!N34</f>
        <v>708</v>
      </c>
      <c r="N15" s="618">
        <f>'Приложение № 1'!O34</f>
        <v>800</v>
      </c>
      <c r="O15" s="618">
        <f>'Приложение № 1'!P34</f>
        <v>900</v>
      </c>
    </row>
    <row r="16" spans="2:15" ht="51.75" customHeight="1" x14ac:dyDescent="0.2">
      <c r="B16" s="617">
        <v>10</v>
      </c>
      <c r="C16" s="617" t="s">
        <v>921</v>
      </c>
      <c r="D16" s="620" t="str">
        <f>'Приложение № 1'!E40</f>
        <v>Увеличение доли представленных (во всех формах) зрителю музейных предметов в общем количестве музейных предметов основного фонда</v>
      </c>
      <c r="E16" s="620" t="str">
        <f>'Приложение № 1'!F40</f>
        <v>%</v>
      </c>
      <c r="F16" s="618" t="e">
        <f>'Приложение № 1'!#REF!</f>
        <v>#REF!</v>
      </c>
      <c r="G16" s="618" t="e">
        <f>'Приложение № 1'!#REF!</f>
        <v>#REF!</v>
      </c>
      <c r="H16" s="618">
        <f>'Приложение № 1'!G40</f>
        <v>26</v>
      </c>
      <c r="I16" s="618" t="e">
        <f>'Приложение № 1'!#REF!</f>
        <v>#REF!</v>
      </c>
      <c r="J16" s="618">
        <f>'Приложение № 1'!I40</f>
        <v>28</v>
      </c>
      <c r="K16" s="618">
        <f>'Приложение № 1'!H40</f>
        <v>26</v>
      </c>
      <c r="L16" s="618">
        <f>'Приложение № 1'!J40</f>
        <v>28</v>
      </c>
      <c r="M16" s="618">
        <f>'Приложение № 1'!M40</f>
        <v>33</v>
      </c>
      <c r="N16" s="618">
        <f>'Приложение № 1'!N40</f>
        <v>34</v>
      </c>
      <c r="O16" s="618">
        <f>'Приложение № 1'!O40</f>
        <v>35</v>
      </c>
    </row>
    <row r="17" spans="2:15" ht="54.75" customHeight="1" x14ac:dyDescent="0.2">
      <c r="B17" s="615">
        <v>11</v>
      </c>
      <c r="C17" s="615" t="s">
        <v>922</v>
      </c>
      <c r="D17" s="620" t="str">
        <f>'Приложение № 1'!E41</f>
        <v>Количество отреставрированных музейных предметов</v>
      </c>
      <c r="E17" s="620" t="str">
        <f>'Приложение № 1'!F41</f>
        <v>ед.</v>
      </c>
      <c r="F17" s="618" t="e">
        <f>'Приложение № 1'!#REF!</f>
        <v>#REF!</v>
      </c>
      <c r="G17" s="618" t="e">
        <f>'Приложение № 1'!#REF!</f>
        <v>#REF!</v>
      </c>
      <c r="H17" s="618">
        <f>'Приложение № 1'!G41</f>
        <v>500</v>
      </c>
      <c r="I17" s="618">
        <f>'Приложение № 1'!H41</f>
        <v>605</v>
      </c>
      <c r="J17" s="618">
        <f>'Приложение № 1'!I41</f>
        <v>500</v>
      </c>
      <c r="K17" s="618">
        <f>'Приложение № 1'!J41</f>
        <v>449</v>
      </c>
      <c r="L17" s="618">
        <f>'Приложение № 1'!M41</f>
        <v>450</v>
      </c>
      <c r="M17" s="618">
        <f>'Приложение № 1'!N41</f>
        <v>450</v>
      </c>
      <c r="N17" s="618">
        <f>'Приложение № 1'!O41</f>
        <v>470</v>
      </c>
      <c r="O17" s="618">
        <f>'Приложение № 1'!P41</f>
        <v>500</v>
      </c>
    </row>
    <row r="18" spans="2:15" ht="51" customHeight="1" x14ac:dyDescent="0.2">
      <c r="B18" s="617">
        <v>12</v>
      </c>
      <c r="C18" s="615" t="s">
        <v>922</v>
      </c>
      <c r="D18" s="620" t="str">
        <f>'Приложение № 1'!E42</f>
        <v>Коэффициент пополнения фондов республиканских государственных музеев по сравнению с предыдущим годом</v>
      </c>
      <c r="E18" s="620" t="str">
        <f>'Приложение № 1'!F42</f>
        <v>%</v>
      </c>
      <c r="F18" s="618" t="e">
        <f>'Приложение № 1'!#REF!</f>
        <v>#REF!</v>
      </c>
      <c r="G18" s="618" t="e">
        <f>'Приложение № 1'!#REF!</f>
        <v>#REF!</v>
      </c>
      <c r="H18" s="618">
        <f>'Приложение № 1'!G42</f>
        <v>0.75</v>
      </c>
      <c r="I18" s="618">
        <f>'Приложение № 1'!H42</f>
        <v>2.4700000000000002</v>
      </c>
      <c r="J18" s="618">
        <f>'Приложение № 1'!I42</f>
        <v>1.39</v>
      </c>
      <c r="K18" s="618">
        <f>'Приложение № 1'!J42</f>
        <v>1.39</v>
      </c>
      <c r="L18" s="618">
        <f>'Приложение № 1'!M42</f>
        <v>1.6</v>
      </c>
      <c r="M18" s="618">
        <f>'Приложение № 1'!N42</f>
        <v>1.6</v>
      </c>
      <c r="N18" s="618">
        <f>'Приложение № 1'!O42</f>
        <v>1.6</v>
      </c>
      <c r="O18" s="618">
        <f>'Приложение № 1'!P42</f>
        <v>1.8</v>
      </c>
    </row>
    <row r="19" spans="2:15" ht="17" x14ac:dyDescent="0.2">
      <c r="B19" s="615">
        <v>13</v>
      </c>
      <c r="C19" s="615" t="s">
        <v>922</v>
      </c>
      <c r="D19" s="620" t="str">
        <f>'Приложение № 1'!E44</f>
        <v xml:space="preserve">Количество библиотек </v>
      </c>
      <c r="E19" s="620" t="str">
        <f>'Приложение № 1'!F44</f>
        <v>единиц</v>
      </c>
      <c r="F19" s="619" t="e">
        <f>'Приложение № 1'!#REF!</f>
        <v>#REF!</v>
      </c>
      <c r="G19" s="619" t="e">
        <f>'Приложение № 1'!#REF!</f>
        <v>#REF!</v>
      </c>
      <c r="H19" s="619">
        <f>'Приложение № 1'!G44</f>
        <v>1080</v>
      </c>
      <c r="I19" s="619">
        <f>'Приложение № 1'!H44</f>
        <v>1063</v>
      </c>
      <c r="J19" s="619">
        <f>'Приложение № 1'!I44</f>
        <v>1065</v>
      </c>
      <c r="K19" s="619">
        <f>'Приложение № 1'!J44</f>
        <v>1037</v>
      </c>
      <c r="L19" s="619">
        <f>'Приложение № 1'!M44</f>
        <v>1037</v>
      </c>
      <c r="M19" s="619">
        <f>'Приложение № 1'!N44</f>
        <v>1037</v>
      </c>
      <c r="N19" s="619">
        <f>'Приложение № 1'!O44</f>
        <v>1037</v>
      </c>
      <c r="O19" s="619">
        <f>'Приложение № 1'!P44</f>
        <v>1037</v>
      </c>
    </row>
    <row r="20" spans="2:15" ht="34" x14ac:dyDescent="0.2">
      <c r="B20" s="617">
        <v>14</v>
      </c>
      <c r="C20" s="615" t="s">
        <v>922</v>
      </c>
      <c r="D20" s="620" t="str">
        <f>'Приложение № 1'!E45</f>
        <v>Коэффициент пополнения библиотечных фондов республиканских библиотек</v>
      </c>
      <c r="E20" s="620" t="str">
        <f>'Приложение № 1'!F45</f>
        <v>%</v>
      </c>
      <c r="F20" s="618" t="e">
        <f>'Приложение № 1'!#REF!</f>
        <v>#REF!</v>
      </c>
      <c r="G20" s="618" t="e">
        <f>'Приложение № 1'!#REF!</f>
        <v>#REF!</v>
      </c>
      <c r="H20" s="618">
        <f>'Приложение № 1'!G45</f>
        <v>1.2</v>
      </c>
      <c r="I20" s="618">
        <f>'Приложение № 1'!H45</f>
        <v>1.39</v>
      </c>
      <c r="J20" s="618">
        <f>'Приложение № 1'!I45</f>
        <v>1.36</v>
      </c>
      <c r="K20" s="618">
        <f>'Приложение № 1'!J45</f>
        <v>1.36</v>
      </c>
      <c r="L20" s="618">
        <f>'Приложение № 1'!M45</f>
        <v>1.3</v>
      </c>
      <c r="M20" s="618">
        <f>'Приложение № 1'!N45</f>
        <v>1.3</v>
      </c>
      <c r="N20" s="618">
        <f>'Приложение № 1'!O45</f>
        <v>1.3</v>
      </c>
      <c r="O20" s="618">
        <f>'Приложение № 1'!P45</f>
        <v>2</v>
      </c>
    </row>
    <row r="21" spans="2:15" ht="17" x14ac:dyDescent="0.2">
      <c r="B21" s="615">
        <v>15</v>
      </c>
      <c r="C21" s="615" t="s">
        <v>922</v>
      </c>
      <c r="D21" s="620" t="str">
        <f>'Приложение № 1'!E46</f>
        <v>Книгообеспеченность на 1000 человек *</v>
      </c>
      <c r="E21" s="620" t="str">
        <f>'Приложение № 1'!F46</f>
        <v>единиц</v>
      </c>
      <c r="F21" s="619" t="e">
        <f>'Приложение № 1'!#REF!</f>
        <v>#REF!</v>
      </c>
      <c r="G21" s="619" t="e">
        <f>'Приложение № 1'!#REF!</f>
        <v>#REF!</v>
      </c>
      <c r="H21" s="619">
        <f>'Приложение № 1'!G46</f>
        <v>2800</v>
      </c>
      <c r="I21" s="619">
        <f>'Приложение № 1'!H46</f>
        <v>2686</v>
      </c>
      <c r="J21" s="619">
        <f>'Приложение № 1'!I46</f>
        <v>2800</v>
      </c>
      <c r="K21" s="619">
        <f>'Приложение № 1'!J46</f>
        <v>2351</v>
      </c>
      <c r="L21" s="619">
        <f>'Приложение № 1'!M46</f>
        <v>2351</v>
      </c>
      <c r="M21" s="619">
        <f>'Приложение № 1'!N46</f>
        <v>2360</v>
      </c>
      <c r="N21" s="619">
        <f>'Приложение № 1'!O46</f>
        <v>2360</v>
      </c>
      <c r="O21" s="619">
        <f>'Приложение № 1'!P46</f>
        <v>2500</v>
      </c>
    </row>
    <row r="22" spans="2:15" ht="36" customHeight="1" x14ac:dyDescent="0.2">
      <c r="B22" s="617">
        <v>16</v>
      </c>
      <c r="C22" s="615" t="s">
        <v>922</v>
      </c>
      <c r="D22" s="620" t="str">
        <f>'Приложение № 1'!E47</f>
        <v>Ежегодное пополнение книжных фондов на 1000 человек (норматив ЮНЕСКО – 250 книг) *</v>
      </c>
      <c r="E22" s="620" t="str">
        <f>'Приложение № 1'!F47</f>
        <v>единиц</v>
      </c>
      <c r="F22" s="619" t="e">
        <f>'Приложение № 1'!#REF!</f>
        <v>#REF!</v>
      </c>
      <c r="G22" s="619" t="e">
        <f>'Приложение № 1'!#REF!</f>
        <v>#REF!</v>
      </c>
      <c r="H22" s="619">
        <f>'Приложение № 1'!G47</f>
        <v>26</v>
      </c>
      <c r="I22" s="619">
        <f>'Приложение № 1'!H47</f>
        <v>21</v>
      </c>
      <c r="J22" s="619">
        <f>'Приложение № 1'!I47</f>
        <v>26</v>
      </c>
      <c r="K22" s="619">
        <f>'Приложение № 1'!J47</f>
        <v>15</v>
      </c>
      <c r="L22" s="619">
        <f>'Приложение № 1'!M47</f>
        <v>15</v>
      </c>
      <c r="M22" s="619">
        <f>'Приложение № 1'!N47</f>
        <v>15</v>
      </c>
      <c r="N22" s="619">
        <f>'Приложение № 1'!O47</f>
        <v>15</v>
      </c>
      <c r="O22" s="619">
        <f>'Приложение № 1'!P47</f>
        <v>20</v>
      </c>
    </row>
    <row r="23" spans="2:15" ht="49.5" customHeight="1" x14ac:dyDescent="0.2">
      <c r="B23" s="615">
        <v>17</v>
      </c>
      <c r="C23" s="615" t="s">
        <v>921</v>
      </c>
      <c r="D23" s="620" t="str">
        <f>'Приложение № 1'!E48</f>
        <v>Увеличение доли общедоступных (публичных) библиотек, подключенных к сети «Интернет», в общем количестве библиотек Республики Дагестан</v>
      </c>
      <c r="E23" s="620" t="str">
        <f>'Приложение № 1'!F48</f>
        <v>%</v>
      </c>
      <c r="F23" s="618" t="e">
        <f>'Приложение № 1'!#REF!</f>
        <v>#REF!</v>
      </c>
      <c r="G23" s="618" t="e">
        <f>'Приложение № 1'!#REF!</f>
        <v>#REF!</v>
      </c>
      <c r="H23" s="618">
        <f>'Приложение № 1'!G48</f>
        <v>21</v>
      </c>
      <c r="I23" s="618" t="e">
        <f>'Приложение № 1'!#REF!</f>
        <v>#REF!</v>
      </c>
      <c r="J23" s="618">
        <f>'Приложение № 1'!I48</f>
        <v>45.8</v>
      </c>
      <c r="K23" s="618">
        <f>'Приложение № 1'!H48</f>
        <v>23.4</v>
      </c>
      <c r="L23" s="618">
        <f>'Приложение № 1'!J48</f>
        <v>29</v>
      </c>
      <c r="M23" s="618">
        <f>'Приложение № 1'!M48</f>
        <v>73.099999999999994</v>
      </c>
      <c r="N23" s="618">
        <f>'Приложение № 1'!N48</f>
        <v>82.2</v>
      </c>
      <c r="O23" s="618">
        <f>'Приложение № 1'!O48</f>
        <v>90</v>
      </c>
    </row>
    <row r="24" spans="2:15" ht="11.25" customHeight="1" x14ac:dyDescent="0.2"/>
    <row r="25" spans="2:15" ht="33.75" customHeight="1" x14ac:dyDescent="0.2">
      <c r="D25" s="611" t="s">
        <v>924</v>
      </c>
      <c r="E25" s="612"/>
      <c r="F25" s="613"/>
      <c r="G25" s="613"/>
      <c r="H25" s="613"/>
      <c r="I25" s="613"/>
      <c r="J25" s="612"/>
      <c r="K25" s="3139" t="s">
        <v>925</v>
      </c>
      <c r="L25" s="3139"/>
      <c r="M25" s="3139"/>
      <c r="N25" s="3139"/>
    </row>
  </sheetData>
  <mergeCells count="15">
    <mergeCell ref="O4:O6"/>
    <mergeCell ref="D4:D6"/>
    <mergeCell ref="F4:K4"/>
    <mergeCell ref="J5:K5"/>
    <mergeCell ref="H5:I5"/>
    <mergeCell ref="F5:G5"/>
    <mergeCell ref="L4:N4"/>
    <mergeCell ref="N5:N6"/>
    <mergeCell ref="M5:M6"/>
    <mergeCell ref="L5:L6"/>
    <mergeCell ref="B4:B6"/>
    <mergeCell ref="E4:E6"/>
    <mergeCell ref="C4:C6"/>
    <mergeCell ref="K25:N25"/>
    <mergeCell ref="C2:N2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B2:O26"/>
  <sheetViews>
    <sheetView view="pageBreakPreview" topLeftCell="A4" zoomScale="70" zoomScaleSheetLayoutView="70" workbookViewId="0">
      <selection activeCell="R12" sqref="R12"/>
    </sheetView>
  </sheetViews>
  <sheetFormatPr baseColWidth="10" defaultColWidth="8.83203125" defaultRowHeight="13" x14ac:dyDescent="0.15"/>
  <cols>
    <col min="1" max="1" width="1.6640625" style="288" customWidth="1"/>
    <col min="2" max="2" width="6.33203125" style="291" customWidth="1"/>
    <col min="3" max="3" width="12.1640625" style="288" customWidth="1"/>
    <col min="4" max="4" width="45.1640625" style="625" customWidth="1"/>
    <col min="5" max="5" width="9.1640625" style="623" customWidth="1"/>
    <col min="6" max="14" width="8.83203125" style="288"/>
    <col min="15" max="15" width="13.1640625" style="288" customWidth="1"/>
    <col min="16" max="16384" width="8.83203125" style="288"/>
  </cols>
  <sheetData>
    <row r="2" spans="2:15" ht="7.5" customHeight="1" x14ac:dyDescent="0.15"/>
    <row r="3" spans="2:15" s="610" customFormat="1" ht="36.75" customHeight="1" x14ac:dyDescent="0.2">
      <c r="B3" s="612"/>
      <c r="C3" s="3140" t="s">
        <v>923</v>
      </c>
      <c r="D3" s="3140"/>
      <c r="E3" s="3140"/>
      <c r="F3" s="3140"/>
      <c r="G3" s="3140"/>
      <c r="H3" s="3140"/>
      <c r="I3" s="3140"/>
      <c r="J3" s="3140"/>
      <c r="K3" s="3140"/>
      <c r="L3" s="3140"/>
      <c r="M3" s="3140"/>
      <c r="N3" s="3140"/>
    </row>
    <row r="5" spans="2:15" s="307" customFormat="1" ht="17" x14ac:dyDescent="0.2">
      <c r="B5" s="3144" t="s">
        <v>919</v>
      </c>
      <c r="C5" s="3144" t="s">
        <v>920</v>
      </c>
      <c r="D5" s="3145" t="s">
        <v>353</v>
      </c>
      <c r="E5" s="3144" t="s">
        <v>354</v>
      </c>
      <c r="F5" s="3144" t="s">
        <v>355</v>
      </c>
      <c r="G5" s="3144"/>
      <c r="H5" s="3144"/>
      <c r="I5" s="3144"/>
      <c r="J5" s="3144"/>
      <c r="K5" s="3144"/>
      <c r="L5" s="3144" t="s">
        <v>1</v>
      </c>
      <c r="M5" s="3144"/>
      <c r="N5" s="3144"/>
      <c r="O5" s="3144" t="s">
        <v>356</v>
      </c>
    </row>
    <row r="6" spans="2:15" s="307" customFormat="1" ht="17" x14ac:dyDescent="0.2">
      <c r="B6" s="3144"/>
      <c r="C6" s="3144"/>
      <c r="D6" s="3145"/>
      <c r="E6" s="3144"/>
      <c r="F6" s="3144">
        <v>2011</v>
      </c>
      <c r="G6" s="3144"/>
      <c r="H6" s="3144">
        <v>2012</v>
      </c>
      <c r="I6" s="3144"/>
      <c r="J6" s="3144">
        <v>2013</v>
      </c>
      <c r="K6" s="3144"/>
      <c r="L6" s="3144">
        <v>2014</v>
      </c>
      <c r="M6" s="3144">
        <v>2015</v>
      </c>
      <c r="N6" s="3144">
        <v>2016</v>
      </c>
      <c r="O6" s="3144"/>
    </row>
    <row r="7" spans="2:15" s="307" customFormat="1" ht="18.75" customHeight="1" x14ac:dyDescent="0.2">
      <c r="B7" s="3144"/>
      <c r="C7" s="3144"/>
      <c r="D7" s="3145"/>
      <c r="E7" s="3144"/>
      <c r="F7" s="614" t="s">
        <v>357</v>
      </c>
      <c r="G7" s="614" t="s">
        <v>358</v>
      </c>
      <c r="H7" s="614" t="s">
        <v>357</v>
      </c>
      <c r="I7" s="614" t="s">
        <v>358</v>
      </c>
      <c r="J7" s="614" t="s">
        <v>357</v>
      </c>
      <c r="K7" s="614" t="s">
        <v>359</v>
      </c>
      <c r="L7" s="3144"/>
      <c r="M7" s="3144"/>
      <c r="N7" s="3144"/>
      <c r="O7" s="3144"/>
    </row>
    <row r="8" spans="2:15" ht="36.75" customHeight="1" x14ac:dyDescent="0.15">
      <c r="B8" s="617">
        <v>1</v>
      </c>
      <c r="C8" s="621" t="s">
        <v>922</v>
      </c>
      <c r="D8" s="620" t="str">
        <f>'Приложение № 1'!E13</f>
        <v>Количество новых театральных постановок</v>
      </c>
      <c r="E8" s="621" t="str">
        <f>'Приложение № 1'!F13</f>
        <v>единиц</v>
      </c>
      <c r="F8" s="619" t="e">
        <f>'Приложение № 1'!#REF!</f>
        <v>#REF!</v>
      </c>
      <c r="G8" s="619" t="e">
        <f>'Приложение № 1'!#REF!</f>
        <v>#REF!</v>
      </c>
      <c r="H8" s="619">
        <f>'Приложение № 1'!G13</f>
        <v>32</v>
      </c>
      <c r="I8" s="619">
        <f>'Приложение № 1'!H13</f>
        <v>28</v>
      </c>
      <c r="J8" s="619">
        <f>'Приложение № 1'!I13</f>
        <v>32</v>
      </c>
      <c r="K8" s="619">
        <f>'Приложение № 1'!J13</f>
        <v>41</v>
      </c>
      <c r="L8" s="619">
        <f>'Приложение № 1'!M13</f>
        <v>32</v>
      </c>
      <c r="M8" s="619">
        <f>'Приложение № 1'!N13</f>
        <v>32</v>
      </c>
      <c r="N8" s="619">
        <f>'Приложение № 1'!O13</f>
        <v>33</v>
      </c>
      <c r="O8" s="619">
        <f>'Приложение № 1'!P13</f>
        <v>35</v>
      </c>
    </row>
    <row r="9" spans="2:15" ht="47.25" customHeight="1" x14ac:dyDescent="0.15">
      <c r="B9" s="617">
        <v>2</v>
      </c>
      <c r="C9" s="621" t="s">
        <v>921</v>
      </c>
      <c r="D9" s="620" t="str">
        <f>'Приложение № 1'!E14</f>
        <v>Число зрителей, посетивших мероприятия, проведенные театрами на территории Республики Дагестан.</v>
      </c>
      <c r="E9" s="621" t="str">
        <f>'Приложение № 1'!F14</f>
        <v>тыс. чел.</v>
      </c>
      <c r="F9" s="624" t="e">
        <f>'Приложение № 1'!#REF!</f>
        <v>#REF!</v>
      </c>
      <c r="G9" s="624" t="e">
        <f>'Приложение № 1'!#REF!</f>
        <v>#REF!</v>
      </c>
      <c r="H9" s="624">
        <f>'Приложение № 1'!G14</f>
        <v>305</v>
      </c>
      <c r="I9" s="624">
        <f>'Приложение № 1'!H14</f>
        <v>298.14999999999998</v>
      </c>
      <c r="J9" s="624">
        <f>'Приложение № 1'!I14</f>
        <v>317.27</v>
      </c>
      <c r="K9" s="624" t="e">
        <f>'Приложение № 1'!#REF!</f>
        <v>#REF!</v>
      </c>
      <c r="L9" s="624">
        <f>'Приложение № 1'!M14</f>
        <v>372.15</v>
      </c>
      <c r="M9" s="624">
        <f>'Приложение № 1'!N14</f>
        <v>391.19</v>
      </c>
      <c r="N9" s="624">
        <f>'Приложение № 1'!O14</f>
        <v>395</v>
      </c>
      <c r="O9" s="624">
        <f>'Приложение № 1'!P14</f>
        <v>400</v>
      </c>
    </row>
    <row r="10" spans="2:15" ht="49.5" customHeight="1" x14ac:dyDescent="0.15">
      <c r="B10" s="617">
        <v>3</v>
      </c>
      <c r="C10" s="621" t="s">
        <v>921</v>
      </c>
      <c r="D10" s="620" t="str">
        <f>'Приложение № 1'!E15</f>
        <v>Число зрителей, посетивших мероприятия, проведенные концертными организациями на территории Дагестана.</v>
      </c>
      <c r="E10" s="621" t="str">
        <f>'Приложение № 1'!F15</f>
        <v>тыс. чел.</v>
      </c>
      <c r="F10" s="624" t="e">
        <f>'Приложение № 1'!#REF!</f>
        <v>#REF!</v>
      </c>
      <c r="G10" s="624" t="e">
        <f>'Приложение № 1'!#REF!</f>
        <v>#REF!</v>
      </c>
      <c r="H10" s="624">
        <f>'Приложение № 1'!G15</f>
        <v>192</v>
      </c>
      <c r="I10" s="624">
        <f>'Приложение № 1'!H15</f>
        <v>222.38</v>
      </c>
      <c r="J10" s="624">
        <f>'Приложение № 1'!I15</f>
        <v>199.73</v>
      </c>
      <c r="K10" s="624">
        <f>'Приложение № 1'!J15</f>
        <v>325.18</v>
      </c>
      <c r="L10" s="624">
        <f>'Приложение № 1'!M15</f>
        <v>209.33</v>
      </c>
      <c r="M10" s="624">
        <f>'Приложение № 1'!N15</f>
        <v>217.09</v>
      </c>
      <c r="N10" s="624">
        <f>'Приложение № 1'!O15</f>
        <v>218</v>
      </c>
      <c r="O10" s="624">
        <f>'Приложение № 1'!P15</f>
        <v>220</v>
      </c>
    </row>
    <row r="11" spans="2:15" ht="39" customHeight="1" x14ac:dyDescent="0.15">
      <c r="B11" s="617">
        <v>4</v>
      </c>
      <c r="C11" s="621" t="s">
        <v>922</v>
      </c>
      <c r="D11" s="620" t="str">
        <f>'Приложение № 1'!E16</f>
        <v>Число мероприятий проведённых театрами.</v>
      </c>
      <c r="E11" s="621" t="str">
        <f>'Приложение № 1'!F16</f>
        <v>единиц</v>
      </c>
      <c r="F11" s="619" t="e">
        <f>'Приложение № 1'!#REF!</f>
        <v>#REF!</v>
      </c>
      <c r="G11" s="619" t="e">
        <f>'Приложение № 1'!#REF!</f>
        <v>#REF!</v>
      </c>
      <c r="H11" s="619">
        <f>'Приложение № 1'!G16</f>
        <v>1795</v>
      </c>
      <c r="I11" s="619">
        <f>'Приложение № 1'!H16</f>
        <v>1866</v>
      </c>
      <c r="J11" s="619">
        <f>'Приложение № 1'!I16</f>
        <v>1813</v>
      </c>
      <c r="K11" s="619">
        <f>'Приложение № 1'!J16</f>
        <v>2031</v>
      </c>
      <c r="L11" s="619">
        <f>'Приложение № 1'!M16</f>
        <v>1813</v>
      </c>
      <c r="M11" s="619">
        <f>'Приложение № 1'!N16</f>
        <v>1813</v>
      </c>
      <c r="N11" s="619">
        <f>'Приложение № 1'!O16</f>
        <v>1813</v>
      </c>
      <c r="O11" s="619">
        <f>'Приложение № 1'!P16</f>
        <v>1850</v>
      </c>
    </row>
    <row r="12" spans="2:15" ht="34" x14ac:dyDescent="0.15">
      <c r="B12" s="617">
        <v>5</v>
      </c>
      <c r="C12" s="621" t="s">
        <v>922</v>
      </c>
      <c r="D12" s="620" t="str">
        <f>'Приложение № 1'!E17</f>
        <v>Число мероприятий, проведённых концертными организациями.</v>
      </c>
      <c r="E12" s="621" t="str">
        <f>'Приложение № 1'!F17</f>
        <v>единиц</v>
      </c>
      <c r="F12" s="619" t="e">
        <f>'Приложение № 1'!#REF!</f>
        <v>#REF!</v>
      </c>
      <c r="G12" s="619" t="e">
        <f>'Приложение № 1'!#REF!</f>
        <v>#REF!</v>
      </c>
      <c r="H12" s="619">
        <f>'Приложение № 1'!G17</f>
        <v>688</v>
      </c>
      <c r="I12" s="619">
        <f>'Приложение № 1'!H17</f>
        <v>733</v>
      </c>
      <c r="J12" s="619">
        <f>'Приложение № 1'!I17</f>
        <v>804</v>
      </c>
      <c r="K12" s="619">
        <f>'Приложение № 1'!J17</f>
        <v>867</v>
      </c>
      <c r="L12" s="619">
        <f>'Приложение № 1'!M17</f>
        <v>838</v>
      </c>
      <c r="M12" s="619">
        <f>'Приложение № 1'!N17</f>
        <v>838</v>
      </c>
      <c r="N12" s="619">
        <f>'Приложение № 1'!O17</f>
        <v>838</v>
      </c>
      <c r="O12" s="619">
        <f>'Приложение № 1'!P17</f>
        <v>850</v>
      </c>
    </row>
    <row r="13" spans="2:15" ht="57" customHeight="1" x14ac:dyDescent="0.15">
      <c r="B13" s="617">
        <v>6</v>
      </c>
      <c r="C13" s="621" t="s">
        <v>921</v>
      </c>
      <c r="D13" s="620" t="str">
        <f>'Приложение № 1'!E18</f>
        <v>Увеличение доли театров, имеющих сайт в сети «Интернет», в общем количестве театров Республики Дагестан</v>
      </c>
      <c r="E13" s="621" t="str">
        <f>'Приложение № 1'!F18</f>
        <v>%</v>
      </c>
      <c r="F13" s="624" t="e">
        <f>'Приложение № 1'!#REF!</f>
        <v>#REF!</v>
      </c>
      <c r="G13" s="624" t="e">
        <f>'Приложение № 1'!#REF!</f>
        <v>#REF!</v>
      </c>
      <c r="H13" s="624">
        <f>'Приложение № 1'!G18</f>
        <v>80</v>
      </c>
      <c r="I13" s="624">
        <f>'Приложение № 1'!H18</f>
        <v>80</v>
      </c>
      <c r="J13" s="624">
        <f>'Приложение № 1'!I18</f>
        <v>83</v>
      </c>
      <c r="K13" s="624">
        <f>'Приложение № 1'!J18</f>
        <v>83</v>
      </c>
      <c r="L13" s="624">
        <f>'Приложение № 1'!M18</f>
        <v>100</v>
      </c>
      <c r="M13" s="624">
        <f>'Приложение № 1'!N18</f>
        <v>100</v>
      </c>
      <c r="N13" s="624">
        <f>'Приложение № 1'!O18</f>
        <v>100</v>
      </c>
      <c r="O13" s="624">
        <f>'Приложение № 1'!P18</f>
        <v>100</v>
      </c>
    </row>
    <row r="14" spans="2:15" ht="69.75" customHeight="1" x14ac:dyDescent="0.15">
      <c r="B14" s="617">
        <v>7</v>
      </c>
      <c r="C14" s="621" t="s">
        <v>922</v>
      </c>
      <c r="D14" s="620" t="str">
        <f>'Приложение № 1'!E22</f>
        <v>Количество коллективов, принявших участие в межрегиональных, всероссийских и международных конкурсах.</v>
      </c>
      <c r="E14" s="621" t="str">
        <f>'Приложение № 1'!F22</f>
        <v>единиц</v>
      </c>
      <c r="F14" s="619" t="e">
        <f>'Приложение № 1'!#REF!</f>
        <v>#REF!</v>
      </c>
      <c r="G14" s="619" t="e">
        <f>'Приложение № 1'!#REF!</f>
        <v>#REF!</v>
      </c>
      <c r="H14" s="619">
        <f>'Приложение № 1'!G22</f>
        <v>15</v>
      </c>
      <c r="I14" s="619">
        <f>'Приложение № 1'!H22</f>
        <v>15</v>
      </c>
      <c r="J14" s="619">
        <f>'Приложение № 1'!I22</f>
        <v>15</v>
      </c>
      <c r="K14" s="619">
        <f>'Приложение № 1'!J22</f>
        <v>15</v>
      </c>
      <c r="L14" s="619">
        <f>'Приложение № 1'!M22</f>
        <v>17</v>
      </c>
      <c r="M14" s="619">
        <f>'Приложение № 1'!N22</f>
        <v>17</v>
      </c>
      <c r="N14" s="619">
        <f>'Приложение № 1'!O22</f>
        <v>18</v>
      </c>
      <c r="O14" s="619">
        <f>'Приложение № 1'!P22</f>
        <v>20</v>
      </c>
    </row>
    <row r="15" spans="2:15" ht="83.25" customHeight="1" x14ac:dyDescent="0.15">
      <c r="B15" s="617">
        <v>8</v>
      </c>
      <c r="C15" s="621" t="s">
        <v>922</v>
      </c>
      <c r="D15" s="620" t="str">
        <f>'Приложение № 1'!E50</f>
        <v xml:space="preserve">Среднегодовое число учащихся получающих дополнительное и профессиональное образование в сфере культуры и искусства на бесплатной  (частично) платной основах. </v>
      </c>
      <c r="E15" s="621" t="str">
        <f>'Приложение № 1'!F50</f>
        <v>чел.</v>
      </c>
      <c r="F15" s="619" t="e">
        <f>'Приложение № 1'!#REF!</f>
        <v>#REF!</v>
      </c>
      <c r="G15" s="619" t="e">
        <f>'Приложение № 1'!#REF!</f>
        <v>#REF!</v>
      </c>
      <c r="H15" s="619">
        <f>'Приложение № 1'!G50</f>
        <v>1850</v>
      </c>
      <c r="I15" s="619">
        <f>'Приложение № 1'!H50</f>
        <v>2017</v>
      </c>
      <c r="J15" s="619">
        <f>'Приложение № 1'!I50</f>
        <v>1897</v>
      </c>
      <c r="K15" s="619">
        <f>'Приложение № 1'!J50</f>
        <v>2005</v>
      </c>
      <c r="L15" s="619">
        <f>'Приложение № 1'!M50</f>
        <v>2030</v>
      </c>
      <c r="M15" s="619">
        <f>'Приложение № 1'!N50</f>
        <v>2030</v>
      </c>
      <c r="N15" s="619">
        <f>'Приложение № 1'!O50</f>
        <v>2040</v>
      </c>
      <c r="O15" s="619">
        <f>'Приложение № 1'!P50</f>
        <v>2100</v>
      </c>
    </row>
    <row r="16" spans="2:15" ht="54.75" customHeight="1" x14ac:dyDescent="0.15">
      <c r="B16" s="617">
        <v>9</v>
      </c>
      <c r="C16" s="621" t="s">
        <v>922</v>
      </c>
      <c r="D16" s="620" t="str">
        <f>'Приложение № 1'!E52</f>
        <v>Число республиканских школ дополнительного образования в сфере культуры и искусства.</v>
      </c>
      <c r="E16" s="621" t="str">
        <f>'Приложение № 1'!F52</f>
        <v>единиц</v>
      </c>
      <c r="F16" s="619" t="e">
        <f>'Приложение № 1'!#REF!</f>
        <v>#REF!</v>
      </c>
      <c r="G16" s="619" t="e">
        <f>'Приложение № 1'!#REF!</f>
        <v>#REF!</v>
      </c>
      <c r="H16" s="619">
        <f>'Приложение № 1'!G52</f>
        <v>4</v>
      </c>
      <c r="I16" s="619">
        <f>'Приложение № 1'!H52</f>
        <v>4</v>
      </c>
      <c r="J16" s="619">
        <f>'Приложение № 1'!I52</f>
        <v>4</v>
      </c>
      <c r="K16" s="619">
        <f>'Приложение № 1'!J52</f>
        <v>4</v>
      </c>
      <c r="L16" s="619">
        <f>'Приложение № 1'!M52</f>
        <v>4</v>
      </c>
      <c r="M16" s="619">
        <f>'Приложение № 1'!N52</f>
        <v>4</v>
      </c>
      <c r="N16" s="619">
        <f>'Приложение № 1'!O52</f>
        <v>4</v>
      </c>
      <c r="O16" s="619">
        <f>'Приложение № 1'!P52</f>
        <v>4</v>
      </c>
    </row>
    <row r="17" spans="2:15" ht="39.75" customHeight="1" x14ac:dyDescent="0.15">
      <c r="B17" s="617">
        <v>10</v>
      </c>
      <c r="C17" s="621" t="s">
        <v>922</v>
      </c>
      <c r="D17" s="620" t="str">
        <f>'Приложение № 1'!E53</f>
        <v>Число средних специальных учебных заведений в сфере культуры и искусства.</v>
      </c>
      <c r="E17" s="621" t="str">
        <f>'Приложение № 1'!F53</f>
        <v>единиц</v>
      </c>
      <c r="F17" s="619" t="e">
        <f>'Приложение № 1'!#REF!</f>
        <v>#REF!</v>
      </c>
      <c r="G17" s="619" t="e">
        <f>'Приложение № 1'!#REF!</f>
        <v>#REF!</v>
      </c>
      <c r="H17" s="619">
        <f>'Приложение № 1'!G53</f>
        <v>4</v>
      </c>
      <c r="I17" s="619">
        <f>'Приложение № 1'!H53</f>
        <v>4</v>
      </c>
      <c r="J17" s="619">
        <f>'Приложение № 1'!I53</f>
        <v>4</v>
      </c>
      <c r="K17" s="619">
        <f>'Приложение № 1'!J53</f>
        <v>4</v>
      </c>
      <c r="L17" s="619">
        <f>'Приложение № 1'!M53</f>
        <v>4</v>
      </c>
      <c r="M17" s="619">
        <f>'Приложение № 1'!N53</f>
        <v>4</v>
      </c>
      <c r="N17" s="619">
        <f>'Приложение № 1'!O53</f>
        <v>4</v>
      </c>
      <c r="O17" s="619">
        <f>'Приложение № 1'!P53</f>
        <v>4</v>
      </c>
    </row>
    <row r="18" spans="2:15" ht="87.75" customHeight="1" x14ac:dyDescent="0.15">
      <c r="B18" s="617">
        <v>11</v>
      </c>
      <c r="C18" s="621" t="s">
        <v>922</v>
      </c>
      <c r="D18" s="620" t="str">
        <f>'Приложение № 1'!E55</f>
        <v>Количество лауреатов межрегиональных, всероссийских и международных конкурсов среди студентов республиканских учебных заведений культуры и искусства</v>
      </c>
      <c r="E18" s="621" t="str">
        <f>'Приложение № 1'!F55</f>
        <v>единиц</v>
      </c>
      <c r="F18" s="619" t="e">
        <f>'Приложение № 1'!#REF!</f>
        <v>#REF!</v>
      </c>
      <c r="G18" s="619" t="e">
        <f>'Приложение № 1'!#REF!</f>
        <v>#REF!</v>
      </c>
      <c r="H18" s="619">
        <f>'Приложение № 1'!G55</f>
        <v>12</v>
      </c>
      <c r="I18" s="619">
        <f>'Приложение № 1'!H55</f>
        <v>12</v>
      </c>
      <c r="J18" s="619">
        <f>'Приложение № 1'!I55</f>
        <v>12</v>
      </c>
      <c r="K18" s="619">
        <f>'Приложение № 1'!J55</f>
        <v>12</v>
      </c>
      <c r="L18" s="619">
        <f>'Приложение № 1'!M55</f>
        <v>12</v>
      </c>
      <c r="M18" s="619">
        <f>'Приложение № 1'!N55</f>
        <v>12</v>
      </c>
      <c r="N18" s="619">
        <f>'Приложение № 1'!O55</f>
        <v>12</v>
      </c>
      <c r="O18" s="619">
        <f>'Приложение № 1'!P55</f>
        <v>14</v>
      </c>
    </row>
    <row r="19" spans="2:15" ht="81.75" customHeight="1" x14ac:dyDescent="0.15">
      <c r="B19" s="617">
        <v>12</v>
      </c>
      <c r="C19" s="621" t="s">
        <v>922</v>
      </c>
      <c r="D19" s="620" t="str">
        <f>'Приложение № 1'!E56</f>
        <v>Количество специальностей,  которые можно получить  в государственных учреждениях среднего  профессионального образования  в сфере культуры и искусства.</v>
      </c>
      <c r="E19" s="621" t="str">
        <f>'Приложение № 1'!F56</f>
        <v>единиц</v>
      </c>
      <c r="F19" s="619" t="e">
        <f>'Приложение № 1'!#REF!</f>
        <v>#REF!</v>
      </c>
      <c r="G19" s="619" t="e">
        <f>'Приложение № 1'!#REF!</f>
        <v>#REF!</v>
      </c>
      <c r="H19" s="619">
        <f>'Приложение № 1'!G56</f>
        <v>19</v>
      </c>
      <c r="I19" s="619">
        <f>'Приложение № 1'!H56</f>
        <v>19</v>
      </c>
      <c r="J19" s="619">
        <f>'Приложение № 1'!I56</f>
        <v>19</v>
      </c>
      <c r="K19" s="619">
        <f>'Приложение № 1'!J56</f>
        <v>19</v>
      </c>
      <c r="L19" s="619">
        <f>'Приложение № 1'!M56</f>
        <v>19</v>
      </c>
      <c r="M19" s="619">
        <f>'Приложение № 1'!N56</f>
        <v>19</v>
      </c>
      <c r="N19" s="619">
        <f>'Приложение № 1'!O56</f>
        <v>19</v>
      </c>
      <c r="O19" s="619">
        <f>'Приложение № 1'!P56</f>
        <v>19</v>
      </c>
    </row>
    <row r="20" spans="2:15" ht="50.25" customHeight="1" x14ac:dyDescent="0.15">
      <c r="B20" s="617">
        <v>13</v>
      </c>
      <c r="C20" s="621" t="s">
        <v>921</v>
      </c>
      <c r="D20" s="620" t="str">
        <f>'Приложение № 1'!E57</f>
        <v>Увеличение доли детей, привлекаемых к участию в творческих мероприятиях, в общем числе детей</v>
      </c>
      <c r="E20" s="621" t="str">
        <f>'Приложение № 1'!F57</f>
        <v>%</v>
      </c>
      <c r="F20" s="624" t="e">
        <f>'Приложение № 1'!#REF!</f>
        <v>#REF!</v>
      </c>
      <c r="G20" s="624" t="e">
        <f>'Приложение № 1'!#REF!</f>
        <v>#REF!</v>
      </c>
      <c r="H20" s="624">
        <f>'Приложение № 1'!G57</f>
        <v>3</v>
      </c>
      <c r="I20" s="624">
        <f>'Приложение № 1'!H57</f>
        <v>3</v>
      </c>
      <c r="J20" s="624">
        <f>'Приложение № 1'!I57</f>
        <v>5</v>
      </c>
      <c r="K20" s="624">
        <f>'Приложение № 1'!J57</f>
        <v>5</v>
      </c>
      <c r="L20" s="624">
        <f>'Приложение № 1'!M57</f>
        <v>7</v>
      </c>
      <c r="M20" s="624">
        <f>'Приложение № 1'!N57</f>
        <v>8</v>
      </c>
      <c r="N20" s="624">
        <f>'Приложение № 1'!O57</f>
        <v>10</v>
      </c>
      <c r="O20" s="624">
        <f>'Приложение № 1'!P57</f>
        <v>15</v>
      </c>
    </row>
    <row r="21" spans="2:15" ht="50.25" customHeight="1" x14ac:dyDescent="0.15">
      <c r="B21" s="617">
        <v>14</v>
      </c>
      <c r="C21" s="621" t="s">
        <v>922</v>
      </c>
      <c r="D21" s="620" t="str">
        <f>'Приложение № 1'!E59</f>
        <v>Количество творческих мероприятий (проектов), проведенных при поддержке министерства культуры</v>
      </c>
      <c r="E21" s="621" t="str">
        <f>'Приложение № 1'!F59</f>
        <v>единиц</v>
      </c>
      <c r="F21" s="619" t="e">
        <f>'Приложение № 1'!#REF!</f>
        <v>#REF!</v>
      </c>
      <c r="G21" s="619" t="e">
        <f>'Приложение № 1'!#REF!</f>
        <v>#REF!</v>
      </c>
      <c r="H21" s="619">
        <f>'Приложение № 1'!G59</f>
        <v>37</v>
      </c>
      <c r="I21" s="619">
        <f>'Приложение № 1'!H59</f>
        <v>37</v>
      </c>
      <c r="J21" s="619">
        <f>'Приложение № 1'!I59</f>
        <v>37</v>
      </c>
      <c r="K21" s="619">
        <f>'Приложение № 1'!J59</f>
        <v>37</v>
      </c>
      <c r="L21" s="619">
        <f>'Приложение № 1'!M59</f>
        <v>12</v>
      </c>
      <c r="M21" s="619">
        <f>'Приложение № 1'!N59</f>
        <v>12</v>
      </c>
      <c r="N21" s="619">
        <f>'Приложение № 1'!O59</f>
        <v>14</v>
      </c>
      <c r="O21" s="619">
        <f>'Приложение № 1'!P59</f>
        <v>17</v>
      </c>
    </row>
    <row r="22" spans="2:15" ht="64.5" customHeight="1" x14ac:dyDescent="0.15">
      <c r="B22" s="617">
        <v>15</v>
      </c>
      <c r="C22" s="621" t="s">
        <v>922</v>
      </c>
      <c r="D22" s="620" t="str">
        <f>'Приложение № 1'!E60</f>
        <v>Количество творческих мероприятий (проектов), проведенных совместно с общественными организациями при поддержке министерства культуры</v>
      </c>
      <c r="E22" s="621" t="str">
        <f>'Приложение № 1'!F60</f>
        <v>единиц</v>
      </c>
      <c r="F22" s="619" t="e">
        <f>'Приложение № 1'!#REF!</f>
        <v>#REF!</v>
      </c>
      <c r="G22" s="619" t="e">
        <f>'Приложение № 1'!#REF!</f>
        <v>#REF!</v>
      </c>
      <c r="H22" s="619">
        <f>'Приложение № 1'!G60</f>
        <v>15</v>
      </c>
      <c r="I22" s="619">
        <f>'Приложение № 1'!H60</f>
        <v>15</v>
      </c>
      <c r="J22" s="619">
        <f>'Приложение № 1'!I60</f>
        <v>15</v>
      </c>
      <c r="K22" s="619">
        <f>'Приложение № 1'!J60</f>
        <v>15</v>
      </c>
      <c r="L22" s="619">
        <f>'Приложение № 1'!M60</f>
        <v>8</v>
      </c>
      <c r="M22" s="619">
        <f>'Приложение № 1'!N60</f>
        <v>8</v>
      </c>
      <c r="N22" s="619">
        <f>'Приложение № 1'!O60</f>
        <v>8</v>
      </c>
      <c r="O22" s="619">
        <f>'Приложение № 1'!P60</f>
        <v>10</v>
      </c>
    </row>
    <row r="23" spans="2:15" ht="63.75" customHeight="1" x14ac:dyDescent="0.15">
      <c r="B23" s="617">
        <v>16</v>
      </c>
      <c r="C23" s="621" t="s">
        <v>922</v>
      </c>
      <c r="D23" s="620" t="str">
        <f>'Приложение № 1'!E61</f>
        <v>Количество мероприятий (спектаклей, концертов), показанных театрами и концертными организациями за пределами республики.</v>
      </c>
      <c r="E23" s="621" t="str">
        <f>'Приложение № 1'!F61</f>
        <v>единиц</v>
      </c>
      <c r="F23" s="619" t="e">
        <f>'Приложение № 1'!#REF!</f>
        <v>#REF!</v>
      </c>
      <c r="G23" s="619" t="e">
        <f>'Приложение № 1'!#REF!</f>
        <v>#REF!</v>
      </c>
      <c r="H23" s="619">
        <f>'Приложение № 1'!G61</f>
        <v>80</v>
      </c>
      <c r="I23" s="619">
        <f>'Приложение № 1'!H61</f>
        <v>107</v>
      </c>
      <c r="J23" s="619">
        <f>'Приложение № 1'!I61</f>
        <v>80</v>
      </c>
      <c r="K23" s="619">
        <f>'Приложение № 1'!J61</f>
        <v>93</v>
      </c>
      <c r="L23" s="619">
        <f>'Приложение № 1'!M61</f>
        <v>85</v>
      </c>
      <c r="M23" s="619">
        <f>'Приложение № 1'!N61</f>
        <v>85</v>
      </c>
      <c r="N23" s="619">
        <f>'Приложение № 1'!O61</f>
        <v>85</v>
      </c>
      <c r="O23" s="619">
        <f>'Приложение № 1'!P61</f>
        <v>95</v>
      </c>
    </row>
    <row r="26" spans="2:15" s="610" customFormat="1" ht="33.75" customHeight="1" x14ac:dyDescent="0.2">
      <c r="D26" s="626" t="s">
        <v>927</v>
      </c>
      <c r="E26" s="612"/>
      <c r="F26" s="613"/>
      <c r="G26" s="613"/>
      <c r="H26" s="613"/>
      <c r="I26" s="613"/>
      <c r="J26" s="612"/>
      <c r="K26" s="3139" t="s">
        <v>928</v>
      </c>
      <c r="L26" s="3139"/>
      <c r="M26" s="3139"/>
      <c r="N26" s="3139"/>
    </row>
  </sheetData>
  <mergeCells count="15">
    <mergeCell ref="B5:B7"/>
    <mergeCell ref="C5:C7"/>
    <mergeCell ref="D5:D7"/>
    <mergeCell ref="E5:E7"/>
    <mergeCell ref="F5:K5"/>
    <mergeCell ref="C3:N3"/>
    <mergeCell ref="K26:N26"/>
    <mergeCell ref="O5:O7"/>
    <mergeCell ref="F6:G6"/>
    <mergeCell ref="H6:I6"/>
    <mergeCell ref="J6:K6"/>
    <mergeCell ref="L6:L7"/>
    <mergeCell ref="M6:M7"/>
    <mergeCell ref="N6:N7"/>
    <mergeCell ref="L5:N5"/>
  </mergeCells>
  <printOptions horizontalCentered="1"/>
  <pageMargins left="0.31496062992125984" right="0.31496062992125984" top="0.15748031496062992" bottom="0.35433070866141736" header="0.31496062992125984" footer="0.31496062992125984"/>
  <pageSetup paperSize="9" scale="7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B2:O13"/>
  <sheetViews>
    <sheetView view="pageBreakPreview" zoomScale="70" zoomScaleSheetLayoutView="70" workbookViewId="0">
      <selection activeCell="D10" sqref="D10"/>
    </sheetView>
  </sheetViews>
  <sheetFormatPr baseColWidth="10" defaultColWidth="8.83203125" defaultRowHeight="13" x14ac:dyDescent="0.15"/>
  <cols>
    <col min="1" max="1" width="1.6640625" style="288" customWidth="1"/>
    <col min="2" max="2" width="6.33203125" style="291" customWidth="1"/>
    <col min="3" max="3" width="13" style="288" customWidth="1"/>
    <col min="4" max="4" width="45.1640625" style="625" customWidth="1"/>
    <col min="5" max="5" width="9.1640625" style="623" customWidth="1"/>
    <col min="6" max="14" width="8.83203125" style="288"/>
    <col min="15" max="15" width="13.1640625" style="288" customWidth="1"/>
    <col min="16" max="16384" width="8.83203125" style="288"/>
  </cols>
  <sheetData>
    <row r="2" spans="2:15" ht="7.5" customHeight="1" x14ac:dyDescent="0.15"/>
    <row r="3" spans="2:15" s="610" customFormat="1" ht="36.75" customHeight="1" x14ac:dyDescent="0.2">
      <c r="B3" s="612"/>
      <c r="C3" s="3140" t="s">
        <v>923</v>
      </c>
      <c r="D3" s="3140"/>
      <c r="E3" s="3140"/>
      <c r="F3" s="3140"/>
      <c r="G3" s="3140"/>
      <c r="H3" s="3140"/>
      <c r="I3" s="3140"/>
      <c r="J3" s="3140"/>
      <c r="K3" s="3140"/>
      <c r="L3" s="3140"/>
      <c r="M3" s="3140"/>
      <c r="N3" s="3140"/>
    </row>
    <row r="5" spans="2:15" s="307" customFormat="1" ht="18" x14ac:dyDescent="0.2">
      <c r="B5" s="3148" t="s">
        <v>919</v>
      </c>
      <c r="C5" s="3148" t="s">
        <v>920</v>
      </c>
      <c r="D5" s="3149" t="s">
        <v>353</v>
      </c>
      <c r="E5" s="3148" t="s">
        <v>354</v>
      </c>
      <c r="F5" s="3148" t="s">
        <v>355</v>
      </c>
      <c r="G5" s="3148"/>
      <c r="H5" s="3148"/>
      <c r="I5" s="3148"/>
      <c r="J5" s="3148"/>
      <c r="K5" s="3148"/>
      <c r="L5" s="3148" t="s">
        <v>1</v>
      </c>
      <c r="M5" s="3148"/>
      <c r="N5" s="3148"/>
      <c r="O5" s="3148" t="s">
        <v>356</v>
      </c>
    </row>
    <row r="6" spans="2:15" s="307" customFormat="1" ht="18" x14ac:dyDescent="0.2">
      <c r="B6" s="3148"/>
      <c r="C6" s="3148"/>
      <c r="D6" s="3149"/>
      <c r="E6" s="3148"/>
      <c r="F6" s="3148">
        <v>2011</v>
      </c>
      <c r="G6" s="3148"/>
      <c r="H6" s="3148">
        <v>2012</v>
      </c>
      <c r="I6" s="3148"/>
      <c r="J6" s="3148">
        <v>2013</v>
      </c>
      <c r="K6" s="3148"/>
      <c r="L6" s="3148">
        <v>2014</v>
      </c>
      <c r="M6" s="3148">
        <v>2015</v>
      </c>
      <c r="N6" s="3148">
        <v>2016</v>
      </c>
      <c r="O6" s="3148"/>
    </row>
    <row r="7" spans="2:15" s="307" customFormat="1" ht="18.75" customHeight="1" x14ac:dyDescent="0.2">
      <c r="B7" s="3148"/>
      <c r="C7" s="3148"/>
      <c r="D7" s="3149"/>
      <c r="E7" s="3148"/>
      <c r="F7" s="609" t="s">
        <v>357</v>
      </c>
      <c r="G7" s="609" t="s">
        <v>358</v>
      </c>
      <c r="H7" s="609" t="s">
        <v>357</v>
      </c>
      <c r="I7" s="609" t="s">
        <v>358</v>
      </c>
      <c r="J7" s="609" t="s">
        <v>357</v>
      </c>
      <c r="K7" s="609" t="s">
        <v>359</v>
      </c>
      <c r="L7" s="3148"/>
      <c r="M7" s="3148"/>
      <c r="N7" s="3148"/>
      <c r="O7" s="3148"/>
    </row>
    <row r="8" spans="2:15" ht="139.5" customHeight="1" x14ac:dyDescent="0.15">
      <c r="B8" s="627">
        <v>1</v>
      </c>
      <c r="C8" s="490" t="s">
        <v>921</v>
      </c>
      <c r="D8" s="628" t="str">
        <f>'Приложение № 1'!E36</f>
        <v>Увеличение доли объектов культурного наследия, находящихся в удовлетворительном состоянии, в общем количестве объектов культурного наследия федерального, регионального и местного (муниципального) значения</v>
      </c>
      <c r="E8" s="628" t="str">
        <f>'Приложение № 1'!F36</f>
        <v>%</v>
      </c>
      <c r="F8" s="632" t="e">
        <f>'Приложение № 1'!#REF!</f>
        <v>#REF!</v>
      </c>
      <c r="G8" s="632" t="e">
        <f>'Приложение № 1'!#REF!</f>
        <v>#REF!</v>
      </c>
      <c r="H8" s="632">
        <f>'Приложение № 1'!G36</f>
        <v>32.01</v>
      </c>
      <c r="I8" s="632">
        <f>'Приложение № 1'!H36</f>
        <v>32.01</v>
      </c>
      <c r="J8" s="632">
        <f>'Приложение № 1'!I36</f>
        <v>32.799999999999997</v>
      </c>
      <c r="K8" s="632">
        <f>'Приложение № 1'!J36</f>
        <v>34.43</v>
      </c>
      <c r="L8" s="632">
        <f>'Приложение № 1'!M36</f>
        <v>34.409999999999997</v>
      </c>
      <c r="M8" s="632">
        <f>'Приложение № 1'!N36</f>
        <v>35.25</v>
      </c>
      <c r="N8" s="632">
        <f>'Приложение № 1'!O36</f>
        <v>38</v>
      </c>
      <c r="O8" s="632">
        <f>'Приложение № 1'!P36</f>
        <v>50</v>
      </c>
    </row>
    <row r="9" spans="2:15" ht="72" customHeight="1" x14ac:dyDescent="0.15">
      <c r="B9" s="627">
        <v>2</v>
      </c>
      <c r="C9" s="490"/>
      <c r="D9" s="628" t="str">
        <f>'Приложение № 1'!E37</f>
        <v>Объекты культурного наследия, прошедших инвентаризацию и мониторинг</v>
      </c>
      <c r="E9" s="628" t="str">
        <f>'Приложение № 1'!F37</f>
        <v>единиц</v>
      </c>
      <c r="F9" s="632" t="e">
        <f>'Приложение № 1'!#REF!</f>
        <v>#REF!</v>
      </c>
      <c r="G9" s="632" t="e">
        <f>'Приложение № 1'!#REF!</f>
        <v>#REF!</v>
      </c>
      <c r="H9" s="632">
        <f>'Приложение № 1'!G37</f>
        <v>80</v>
      </c>
      <c r="I9" s="632">
        <f>'Приложение № 1'!H37</f>
        <v>80</v>
      </c>
      <c r="J9" s="632">
        <f>'Приложение № 1'!I37</f>
        <v>106</v>
      </c>
      <c r="K9" s="632">
        <f>'Приложение № 1'!J37</f>
        <v>106</v>
      </c>
      <c r="L9" s="632">
        <f>'Приложение № 1'!M37</f>
        <v>130</v>
      </c>
      <c r="M9" s="632">
        <f>'Приложение № 1'!N37</f>
        <v>140</v>
      </c>
      <c r="N9" s="632">
        <f>'Приложение № 1'!O37</f>
        <v>150</v>
      </c>
      <c r="O9" s="632">
        <f>'Приложение № 1'!P37</f>
        <v>250</v>
      </c>
    </row>
    <row r="10" spans="2:15" ht="179.25" customHeight="1" x14ac:dyDescent="0.15">
      <c r="B10" s="627">
        <v>3</v>
      </c>
      <c r="C10" s="490" t="s">
        <v>921</v>
      </c>
      <c r="D10" s="628" t="str">
        <f>'Приложение № 1'!E38</f>
        <v>Количество объектов культурного наследия, расположенных на территории Республики Дагестан, информация о которых внесена в электронную базу данных единого государственного реестра объектов культурного наследия (памятников истории и культуры) народов Российской Федерации</v>
      </c>
      <c r="E10" s="628" t="str">
        <f>'Приложение № 1'!F38</f>
        <v>единиц</v>
      </c>
      <c r="F10" s="632" t="e">
        <f>'Приложение № 1'!#REF!</f>
        <v>#REF!</v>
      </c>
      <c r="G10" s="632" t="e">
        <f>'Приложение № 1'!#REF!</f>
        <v>#REF!</v>
      </c>
      <c r="H10" s="632">
        <f>'Приложение № 1'!G38</f>
        <v>540</v>
      </c>
      <c r="I10" s="632">
        <f>'Приложение № 1'!H38</f>
        <v>240</v>
      </c>
      <c r="J10" s="632">
        <f>'Приложение № 1'!I38</f>
        <v>1015</v>
      </c>
      <c r="K10" s="632">
        <f>'Приложение № 1'!J38</f>
        <v>257</v>
      </c>
      <c r="L10" s="632">
        <f>'Приложение № 1'!M38</f>
        <v>1619</v>
      </c>
      <c r="M10" s="632">
        <f>'Приложение № 1'!N38</f>
        <v>1683</v>
      </c>
      <c r="N10" s="632">
        <f>'Приложение № 1'!O38</f>
        <v>1700</v>
      </c>
      <c r="O10" s="632">
        <f>'Приложение № 1'!P38</f>
        <v>2000</v>
      </c>
    </row>
    <row r="13" spans="2:15" s="610" customFormat="1" ht="58.5" customHeight="1" x14ac:dyDescent="0.2">
      <c r="C13" s="3147" t="s">
        <v>930</v>
      </c>
      <c r="D13" s="3147"/>
      <c r="E13" s="3147"/>
      <c r="F13" s="629"/>
      <c r="G13" s="630"/>
      <c r="H13" s="631"/>
      <c r="I13" s="631"/>
      <c r="J13" s="631"/>
      <c r="K13" s="3146" t="s">
        <v>929</v>
      </c>
      <c r="L13" s="3146"/>
      <c r="M13" s="3146"/>
      <c r="N13" s="3146"/>
    </row>
  </sheetData>
  <mergeCells count="16">
    <mergeCell ref="C3:N3"/>
    <mergeCell ref="B5:B7"/>
    <mergeCell ref="C5:C7"/>
    <mergeCell ref="D5:D7"/>
    <mergeCell ref="E5:E7"/>
    <mergeCell ref="F5:K5"/>
    <mergeCell ref="L5:N5"/>
    <mergeCell ref="K13:N13"/>
    <mergeCell ref="C13:E13"/>
    <mergeCell ref="O5:O7"/>
    <mergeCell ref="F6:G6"/>
    <mergeCell ref="H6:I6"/>
    <mergeCell ref="J6:K6"/>
    <mergeCell ref="L6:L7"/>
    <mergeCell ref="M6:M7"/>
    <mergeCell ref="N6:N7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78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view="pageBreakPreview" topLeftCell="A2" zoomScale="30" zoomScaleNormal="25" zoomScaleSheetLayoutView="30" zoomScalePageLayoutView="25" workbookViewId="0">
      <pane ySplit="5" topLeftCell="A7" activePane="bottomLeft" state="frozen"/>
      <selection activeCell="A2" sqref="A2"/>
      <selection pane="bottomLeft" activeCell="F6" sqref="F6"/>
    </sheetView>
  </sheetViews>
  <sheetFormatPr baseColWidth="10" defaultColWidth="8.83203125" defaultRowHeight="37" x14ac:dyDescent="0.35"/>
  <cols>
    <col min="1" max="1" width="13.33203125" style="471" customWidth="1"/>
    <col min="2" max="2" width="88.6640625" style="155" customWidth="1"/>
    <col min="3" max="3" width="23.33203125" style="156" customWidth="1"/>
    <col min="4" max="4" width="22.6640625" style="257" customWidth="1"/>
    <col min="5" max="5" width="20.5" style="257" customWidth="1"/>
    <col min="6" max="6" width="35.33203125" style="256" customWidth="1"/>
    <col min="7" max="8" width="20.5" style="257" customWidth="1"/>
    <col min="9" max="9" width="36.1640625" style="256" customWidth="1"/>
    <col min="10" max="10" width="40.83203125" style="256" customWidth="1"/>
    <col min="11" max="11" width="18.83203125" style="257" customWidth="1"/>
    <col min="12" max="12" width="24.5" style="257" customWidth="1"/>
    <col min="13" max="13" width="9.83203125" style="155" customWidth="1"/>
    <col min="14" max="14" width="15" style="155" customWidth="1"/>
    <col min="15" max="22" width="15.33203125" style="155" customWidth="1"/>
    <col min="23" max="16384" width="8.83203125" style="155"/>
  </cols>
  <sheetData>
    <row r="1" spans="1:12" x14ac:dyDescent="0.35">
      <c r="B1" s="257"/>
      <c r="C1" s="258"/>
      <c r="F1" s="259"/>
      <c r="I1" s="259"/>
      <c r="J1" s="259"/>
    </row>
    <row r="2" spans="1:12" x14ac:dyDescent="0.35">
      <c r="B2" s="3177" t="s">
        <v>588</v>
      </c>
      <c r="C2" s="3177"/>
      <c r="D2" s="3177"/>
      <c r="E2" s="3177"/>
      <c r="F2" s="3177"/>
      <c r="G2" s="3177"/>
      <c r="H2" s="3177"/>
      <c r="I2" s="3177"/>
      <c r="J2" s="3177"/>
      <c r="K2" s="3177"/>
      <c r="L2" s="3177"/>
    </row>
    <row r="3" spans="1:12" x14ac:dyDescent="0.35">
      <c r="B3" s="257"/>
      <c r="C3" s="258"/>
      <c r="F3" s="259"/>
      <c r="I3" s="259"/>
      <c r="J3" s="259"/>
    </row>
    <row r="4" spans="1:12" ht="38.25" customHeight="1" x14ac:dyDescent="0.35">
      <c r="A4" s="3150" t="s">
        <v>2</v>
      </c>
      <c r="B4" s="3160" t="s">
        <v>353</v>
      </c>
      <c r="C4" s="3160" t="s">
        <v>354</v>
      </c>
      <c r="D4" s="3178" t="s">
        <v>355</v>
      </c>
      <c r="E4" s="3178"/>
      <c r="F4" s="3178"/>
      <c r="G4" s="3178"/>
      <c r="H4" s="3178"/>
      <c r="I4" s="3178"/>
      <c r="J4" s="3178"/>
      <c r="K4" s="3178"/>
      <c r="L4" s="3178"/>
    </row>
    <row r="5" spans="1:12" ht="47.25" customHeight="1" x14ac:dyDescent="0.35">
      <c r="A5" s="3151"/>
      <c r="B5" s="3160"/>
      <c r="C5" s="3160"/>
      <c r="D5" s="3181">
        <v>2011</v>
      </c>
      <c r="E5" s="3182"/>
      <c r="F5" s="3183"/>
      <c r="G5" s="3181">
        <v>2012</v>
      </c>
      <c r="H5" s="3182"/>
      <c r="I5" s="3183"/>
      <c r="J5" s="3179" t="s">
        <v>805</v>
      </c>
      <c r="K5" s="3172">
        <v>2013</v>
      </c>
      <c r="L5" s="3172"/>
    </row>
    <row r="6" spans="1:12" ht="183" customHeight="1" x14ac:dyDescent="0.35">
      <c r="A6" s="3152"/>
      <c r="B6" s="3160"/>
      <c r="C6" s="3160"/>
      <c r="D6" s="418" t="s">
        <v>357</v>
      </c>
      <c r="E6" s="418" t="s">
        <v>358</v>
      </c>
      <c r="F6" s="260" t="s">
        <v>619</v>
      </c>
      <c r="G6" s="418" t="s">
        <v>357</v>
      </c>
      <c r="H6" s="418" t="s">
        <v>358</v>
      </c>
      <c r="I6" s="260" t="s">
        <v>619</v>
      </c>
      <c r="J6" s="3180"/>
      <c r="K6" s="418" t="s">
        <v>357</v>
      </c>
      <c r="L6" s="418" t="s">
        <v>359</v>
      </c>
    </row>
    <row r="7" spans="1:12" ht="45.75" customHeight="1" x14ac:dyDescent="0.35">
      <c r="A7" s="472" t="s">
        <v>6</v>
      </c>
      <c r="B7" s="3160" t="s">
        <v>579</v>
      </c>
      <c r="C7" s="3160"/>
      <c r="D7" s="3160"/>
      <c r="E7" s="3160"/>
      <c r="F7" s="3160"/>
      <c r="G7" s="3160"/>
      <c r="H7" s="3160"/>
      <c r="I7" s="3160"/>
      <c r="J7" s="3160"/>
      <c r="K7" s="3160"/>
      <c r="L7" s="3160"/>
    </row>
    <row r="8" spans="1:12" ht="150.75" customHeight="1" x14ac:dyDescent="0.35">
      <c r="A8" s="470" t="s">
        <v>7</v>
      </c>
      <c r="B8" s="158" t="s">
        <v>362</v>
      </c>
      <c r="C8" s="159" t="s">
        <v>3</v>
      </c>
      <c r="D8" s="475" t="e">
        <f>'Приложение № 1'!#REF!</f>
        <v>#REF!</v>
      </c>
      <c r="E8" s="475" t="e">
        <f>'Приложение № 1'!#REF!</f>
        <v>#REF!</v>
      </c>
      <c r="F8" s="254" t="e">
        <f>E8*100/D8</f>
        <v>#REF!</v>
      </c>
      <c r="G8" s="475">
        <f>'Приложение № 1'!G11</f>
        <v>70</v>
      </c>
      <c r="H8" s="475">
        <f>'Приложение № 1'!H11</f>
        <v>70</v>
      </c>
      <c r="I8" s="254">
        <f>H8*100/G8</f>
        <v>100</v>
      </c>
      <c r="J8" s="254" t="e">
        <f>100-(E8*100/H8)</f>
        <v>#REF!</v>
      </c>
      <c r="K8" s="475">
        <f>'Приложение № 1'!I11</f>
        <v>78</v>
      </c>
      <c r="L8" s="475">
        <f>'Приложение № 1'!J11</f>
        <v>78</v>
      </c>
    </row>
    <row r="9" spans="1:12" ht="150.75" customHeight="1" x14ac:dyDescent="0.35">
      <c r="A9" s="470" t="s">
        <v>8</v>
      </c>
      <c r="B9" s="160" t="s">
        <v>389</v>
      </c>
      <c r="C9" s="159" t="s">
        <v>3</v>
      </c>
      <c r="D9" s="475" t="e">
        <f>'Приложение № 1'!#REF!</f>
        <v>#REF!</v>
      </c>
      <c r="E9" s="475" t="e">
        <f>'Приложение № 1'!#REF!</f>
        <v>#REF!</v>
      </c>
      <c r="F9" s="254" t="e">
        <f t="shared" ref="F9:F15" si="0">E9*100/D9</f>
        <v>#REF!</v>
      </c>
      <c r="G9" s="475">
        <f>'Приложение № 1'!G27</f>
        <v>70</v>
      </c>
      <c r="H9" s="475">
        <f>'Приложение № 1'!H27</f>
        <v>70</v>
      </c>
      <c r="I9" s="254">
        <f t="shared" ref="I9:I15" si="1">H9*100/G9</f>
        <v>100</v>
      </c>
      <c r="J9" s="254" t="e">
        <f t="shared" ref="J9:J15" si="2">100-(E9*100/H9)</f>
        <v>#REF!</v>
      </c>
      <c r="K9" s="475">
        <f>'Приложение № 1'!I27</f>
        <v>78</v>
      </c>
      <c r="L9" s="475">
        <f>'Приложение № 1'!J27</f>
        <v>78</v>
      </c>
    </row>
    <row r="10" spans="1:12" ht="150.75" customHeight="1" x14ac:dyDescent="0.35">
      <c r="A10" s="470" t="s">
        <v>460</v>
      </c>
      <c r="B10" s="160" t="s">
        <v>391</v>
      </c>
      <c r="C10" s="159" t="s">
        <v>3</v>
      </c>
      <c r="D10" s="475" t="e">
        <f>'Приложение № 1'!#REF!</f>
        <v>#REF!</v>
      </c>
      <c r="E10" s="475" t="e">
        <f>'Приложение № 1'!#REF!</f>
        <v>#REF!</v>
      </c>
      <c r="F10" s="254" t="e">
        <f t="shared" si="0"/>
        <v>#REF!</v>
      </c>
      <c r="G10" s="475">
        <f>'Приложение № 1'!G28</f>
        <v>70</v>
      </c>
      <c r="H10" s="475">
        <f>'Приложение № 1'!H28</f>
        <v>70</v>
      </c>
      <c r="I10" s="254">
        <f t="shared" si="1"/>
        <v>100</v>
      </c>
      <c r="J10" s="254" t="e">
        <f t="shared" si="2"/>
        <v>#REF!</v>
      </c>
      <c r="K10" s="475">
        <f>'Приложение № 1'!I28</f>
        <v>78</v>
      </c>
      <c r="L10" s="475">
        <f>'Приложение № 1'!J28</f>
        <v>78</v>
      </c>
    </row>
    <row r="11" spans="1:12" ht="114" customHeight="1" x14ac:dyDescent="0.35">
      <c r="A11" s="470" t="s">
        <v>465</v>
      </c>
      <c r="B11" s="161" t="s">
        <v>382</v>
      </c>
      <c r="C11" s="159" t="s">
        <v>383</v>
      </c>
      <c r="D11" s="475" t="e">
        <f>'Приложение № 1'!#REF!</f>
        <v>#REF!</v>
      </c>
      <c r="E11" s="475" t="e">
        <f>'Приложение № 1'!#REF!</f>
        <v>#REF!</v>
      </c>
      <c r="F11" s="254" t="e">
        <f t="shared" si="0"/>
        <v>#REF!</v>
      </c>
      <c r="G11" s="475">
        <f>'Приложение № 1'!G24</f>
        <v>4</v>
      </c>
      <c r="H11" s="475">
        <f>'Приложение № 1'!H24</f>
        <v>4</v>
      </c>
      <c r="I11" s="254">
        <f t="shared" si="1"/>
        <v>100</v>
      </c>
      <c r="J11" s="254" t="e">
        <f t="shared" si="2"/>
        <v>#REF!</v>
      </c>
      <c r="K11" s="475">
        <f>'Приложение № 1'!I24</f>
        <v>4.5</v>
      </c>
      <c r="L11" s="475">
        <f>'Приложение № 1'!J24</f>
        <v>4.5</v>
      </c>
    </row>
    <row r="12" spans="1:12" ht="155.25" customHeight="1" x14ac:dyDescent="0.35">
      <c r="A12" s="470" t="s">
        <v>468</v>
      </c>
      <c r="B12" s="161" t="s">
        <v>408</v>
      </c>
      <c r="C12" s="159" t="s">
        <v>3</v>
      </c>
      <c r="D12" s="475" t="e">
        <f>'Приложение № 1'!#REF!</f>
        <v>#REF!</v>
      </c>
      <c r="E12" s="475" t="e">
        <f>'Приложение № 1'!#REF!</f>
        <v>#REF!</v>
      </c>
      <c r="F12" s="254" t="e">
        <f t="shared" si="0"/>
        <v>#REF!</v>
      </c>
      <c r="G12" s="475">
        <f>'Приложение № 1'!G41</f>
        <v>500</v>
      </c>
      <c r="H12" s="475">
        <f>'Приложение № 1'!H41</f>
        <v>605</v>
      </c>
      <c r="I12" s="254">
        <f t="shared" si="1"/>
        <v>121</v>
      </c>
      <c r="J12" s="254" t="e">
        <f>100-(E12*100/H12)</f>
        <v>#REF!</v>
      </c>
      <c r="K12" s="475">
        <f>'Приложение № 1'!I41</f>
        <v>500</v>
      </c>
      <c r="L12" s="475">
        <f>'Приложение № 1'!J41</f>
        <v>449</v>
      </c>
    </row>
    <row r="13" spans="1:12" ht="122.25" customHeight="1" x14ac:dyDescent="0.35">
      <c r="A13" s="470" t="s">
        <v>475</v>
      </c>
      <c r="B13" s="161" t="s">
        <v>657</v>
      </c>
      <c r="C13" s="159" t="s">
        <v>383</v>
      </c>
      <c r="D13" s="475" t="e">
        <f>'Приложение № 1'!#REF!</f>
        <v>#REF!</v>
      </c>
      <c r="E13" s="475" t="e">
        <f>'Приложение № 1'!#REF!</f>
        <v>#REF!</v>
      </c>
      <c r="F13" s="254" t="e">
        <f t="shared" si="0"/>
        <v>#REF!</v>
      </c>
      <c r="G13" s="475">
        <f>'Приложение № 1'!G45</f>
        <v>1.2</v>
      </c>
      <c r="H13" s="475">
        <f>'Приложение № 1'!H45</f>
        <v>1.39</v>
      </c>
      <c r="I13" s="254">
        <f t="shared" si="1"/>
        <v>115.83333333333334</v>
      </c>
      <c r="J13" s="254" t="e">
        <f>100-(E13*100/H13)</f>
        <v>#REF!</v>
      </c>
      <c r="K13" s="475">
        <f>'Приложение № 1'!I45</f>
        <v>1.36</v>
      </c>
      <c r="L13" s="475">
        <f>'Приложение № 1'!J45</f>
        <v>1.36</v>
      </c>
    </row>
    <row r="14" spans="1:12" ht="149.25" customHeight="1" x14ac:dyDescent="0.35">
      <c r="A14" s="470" t="s">
        <v>482</v>
      </c>
      <c r="B14" s="161" t="s">
        <v>400</v>
      </c>
      <c r="C14" s="159" t="s">
        <v>3</v>
      </c>
      <c r="D14" s="475" t="e">
        <f>'Приложение № 1'!#REF!</f>
        <v>#REF!</v>
      </c>
      <c r="E14" s="475" t="e">
        <f>'Приложение № 1'!#REF!</f>
        <v>#REF!</v>
      </c>
      <c r="F14" s="254" t="e">
        <f t="shared" si="0"/>
        <v>#REF!</v>
      </c>
      <c r="G14" s="475">
        <f>'Приложение № 1'!G34</f>
        <v>33.299999999999997</v>
      </c>
      <c r="H14" s="475">
        <f>'Приложение № 1'!H34</f>
        <v>33.299999999999997</v>
      </c>
      <c r="I14" s="254">
        <f t="shared" si="1"/>
        <v>100</v>
      </c>
      <c r="J14" s="254" t="e">
        <f t="shared" si="2"/>
        <v>#REF!</v>
      </c>
      <c r="K14" s="475">
        <f>'Приложение № 1'!I34</f>
        <v>66.599999999999994</v>
      </c>
      <c r="L14" s="475">
        <f>'Приложение № 1'!J34</f>
        <v>100.53</v>
      </c>
    </row>
    <row r="15" spans="1:12" ht="303" customHeight="1" x14ac:dyDescent="0.35">
      <c r="A15" s="470" t="s">
        <v>489</v>
      </c>
      <c r="B15" s="161" t="s">
        <v>690</v>
      </c>
      <c r="C15" s="159" t="s">
        <v>3</v>
      </c>
      <c r="D15" s="475" t="e">
        <f>'Приложение № 1'!#REF!</f>
        <v>#REF!</v>
      </c>
      <c r="E15" s="475" t="e">
        <f>'Приложение № 1'!#REF!</f>
        <v>#REF!</v>
      </c>
      <c r="F15" s="254" t="e">
        <f t="shared" si="0"/>
        <v>#REF!</v>
      </c>
      <c r="G15" s="475">
        <f>'Приложение № 1'!G36</f>
        <v>32.01</v>
      </c>
      <c r="H15" s="475">
        <f>'Приложение № 1'!H36</f>
        <v>32.01</v>
      </c>
      <c r="I15" s="254">
        <f t="shared" si="1"/>
        <v>100</v>
      </c>
      <c r="J15" s="254" t="e">
        <f t="shared" si="2"/>
        <v>#REF!</v>
      </c>
      <c r="K15" s="475">
        <f>'Приложение № 1'!I36</f>
        <v>32.799999999999997</v>
      </c>
      <c r="L15" s="475">
        <f>'Приложение № 1'!J36</f>
        <v>34.43</v>
      </c>
    </row>
    <row r="16" spans="1:12" s="162" customFormat="1" ht="37.5" customHeight="1" x14ac:dyDescent="0.35">
      <c r="A16" s="3153" t="s">
        <v>580</v>
      </c>
      <c r="B16" s="3154"/>
      <c r="C16" s="3154"/>
      <c r="D16" s="3154"/>
      <c r="E16" s="3155"/>
      <c r="F16" s="255" t="e">
        <f>SUM(F8:F15)/8</f>
        <v>#REF!</v>
      </c>
      <c r="G16" s="3161"/>
      <c r="H16" s="3162"/>
      <c r="I16" s="255">
        <f>SUM(I8:I15)/8</f>
        <v>104.60416666666667</v>
      </c>
      <c r="J16" s="255" t="e">
        <f>SUM(J8:J15)/8</f>
        <v>#REF!</v>
      </c>
      <c r="K16" s="418"/>
      <c r="L16" s="418"/>
    </row>
    <row r="17" spans="1:20" s="162" customFormat="1" ht="60" customHeight="1" x14ac:dyDescent="0.35">
      <c r="A17" s="472" t="s">
        <v>9</v>
      </c>
      <c r="B17" s="3160" t="s">
        <v>581</v>
      </c>
      <c r="C17" s="3160"/>
      <c r="D17" s="3160"/>
      <c r="E17" s="3160"/>
      <c r="F17" s="3160"/>
      <c r="G17" s="3160"/>
      <c r="H17" s="3160"/>
      <c r="I17" s="3160"/>
      <c r="J17" s="3160"/>
      <c r="K17" s="3160"/>
      <c r="L17" s="3160"/>
    </row>
    <row r="18" spans="1:20" ht="74" x14ac:dyDescent="0.35">
      <c r="A18" s="470" t="s">
        <v>10</v>
      </c>
      <c r="B18" s="158" t="s">
        <v>365</v>
      </c>
      <c r="C18" s="159" t="s">
        <v>366</v>
      </c>
      <c r="D18" s="476" t="e">
        <f>'Приложение № 1'!#REF!</f>
        <v>#REF!</v>
      </c>
      <c r="E18" s="476" t="e">
        <f>'Приложение № 1'!#REF!</f>
        <v>#REF!</v>
      </c>
      <c r="F18" s="254" t="e">
        <f t="shared" ref="F18:F30" si="3">E18*100/D18</f>
        <v>#REF!</v>
      </c>
      <c r="G18" s="476">
        <f>'Приложение № 1'!G13</f>
        <v>32</v>
      </c>
      <c r="H18" s="476">
        <f>'Приложение № 1'!H13</f>
        <v>28</v>
      </c>
      <c r="I18" s="254">
        <f>H18*100/G18</f>
        <v>87.5</v>
      </c>
      <c r="J18" s="254" t="e">
        <f>100-(E18*100/H18)</f>
        <v>#REF!</v>
      </c>
      <c r="K18" s="476">
        <f>'Приложение № 1'!I13</f>
        <v>32</v>
      </c>
      <c r="L18" s="476">
        <f>'Приложение № 1'!J13</f>
        <v>41</v>
      </c>
    </row>
    <row r="19" spans="1:20" ht="74" x14ac:dyDescent="0.35">
      <c r="A19" s="470" t="s">
        <v>11</v>
      </c>
      <c r="B19" s="158" t="s">
        <v>367</v>
      </c>
      <c r="C19" s="159" t="s">
        <v>366</v>
      </c>
      <c r="D19" s="476" t="e">
        <f>'Приложение № 1'!#REF!</f>
        <v>#REF!</v>
      </c>
      <c r="E19" s="476" t="e">
        <f>'Приложение № 1'!#REF!</f>
        <v>#REF!</v>
      </c>
      <c r="F19" s="254" t="e">
        <f t="shared" si="3"/>
        <v>#REF!</v>
      </c>
      <c r="G19" s="476">
        <f>'Приложение № 1'!G16</f>
        <v>1795</v>
      </c>
      <c r="H19" s="476">
        <f>'Приложение № 1'!H16</f>
        <v>1866</v>
      </c>
      <c r="I19" s="254">
        <f t="shared" ref="I19:I42" si="4">H19*100/G19</f>
        <v>103.95543175487465</v>
      </c>
      <c r="J19" s="254" t="e">
        <f>100-(E19*100/H19)</f>
        <v>#REF!</v>
      </c>
      <c r="K19" s="476">
        <f>'Приложение № 1'!I16</f>
        <v>1813</v>
      </c>
      <c r="L19" s="476">
        <f>'Приложение № 1'!J16</f>
        <v>2031</v>
      </c>
    </row>
    <row r="20" spans="1:20" ht="94.5" customHeight="1" x14ac:dyDescent="0.35">
      <c r="A20" s="470" t="s">
        <v>19</v>
      </c>
      <c r="B20" s="158" t="s">
        <v>369</v>
      </c>
      <c r="C20" s="159" t="s">
        <v>366</v>
      </c>
      <c r="D20" s="476" t="e">
        <f>'Приложение № 1'!#REF!</f>
        <v>#REF!</v>
      </c>
      <c r="E20" s="476" t="e">
        <f>'Приложение № 1'!#REF!</f>
        <v>#REF!</v>
      </c>
      <c r="F20" s="254" t="e">
        <f t="shared" si="3"/>
        <v>#REF!</v>
      </c>
      <c r="G20" s="476">
        <f>'Приложение № 1'!G17</f>
        <v>688</v>
      </c>
      <c r="H20" s="476">
        <f>'Приложение № 1'!H17</f>
        <v>733</v>
      </c>
      <c r="I20" s="254">
        <f t="shared" si="4"/>
        <v>106.54069767441861</v>
      </c>
      <c r="J20" s="254" t="e">
        <f t="shared" ref="J20:J30" si="5">100-(E20*100/H20)</f>
        <v>#REF!</v>
      </c>
      <c r="K20" s="476">
        <f>'Приложение № 1'!I17</f>
        <v>804</v>
      </c>
      <c r="L20" s="476">
        <f>'Приложение № 1'!J17</f>
        <v>867</v>
      </c>
    </row>
    <row r="21" spans="1:20" ht="111" x14ac:dyDescent="0.35">
      <c r="A21" s="470" t="s">
        <v>28</v>
      </c>
      <c r="B21" s="158" t="s">
        <v>371</v>
      </c>
      <c r="C21" s="159" t="s">
        <v>306</v>
      </c>
      <c r="D21" s="477" t="e">
        <f>'Приложение № 1'!#REF!</f>
        <v>#REF!</v>
      </c>
      <c r="E21" s="477" t="e">
        <f>'Приложение № 1'!#REF!</f>
        <v>#REF!</v>
      </c>
      <c r="F21" s="254" t="e">
        <f t="shared" si="3"/>
        <v>#REF!</v>
      </c>
      <c r="G21" s="477">
        <f>'Приложение № 1'!G14</f>
        <v>305</v>
      </c>
      <c r="H21" s="477">
        <f>'Приложение № 1'!H14</f>
        <v>298.14999999999998</v>
      </c>
      <c r="I21" s="254">
        <f t="shared" si="4"/>
        <v>97.754098360655732</v>
      </c>
      <c r="J21" s="254" t="e">
        <f t="shared" si="5"/>
        <v>#REF!</v>
      </c>
      <c r="K21" s="477">
        <f>'Приложение № 1'!I14</f>
        <v>317.27</v>
      </c>
      <c r="L21" s="477" t="e">
        <f>'Приложение № 1'!#REF!</f>
        <v>#REF!</v>
      </c>
    </row>
    <row r="22" spans="1:20" ht="148" x14ac:dyDescent="0.35">
      <c r="A22" s="470" t="s">
        <v>806</v>
      </c>
      <c r="B22" s="158" t="s">
        <v>372</v>
      </c>
      <c r="C22" s="159" t="s">
        <v>306</v>
      </c>
      <c r="D22" s="477" t="e">
        <f>'Приложение № 1'!#REF!</f>
        <v>#REF!</v>
      </c>
      <c r="E22" s="477" t="e">
        <f>'Приложение № 1'!#REF!</f>
        <v>#REF!</v>
      </c>
      <c r="F22" s="254" t="e">
        <f t="shared" si="3"/>
        <v>#REF!</v>
      </c>
      <c r="G22" s="477">
        <f>'Приложение № 1'!G15</f>
        <v>192</v>
      </c>
      <c r="H22" s="477">
        <f>'Приложение № 1'!H15</f>
        <v>222.38</v>
      </c>
      <c r="I22" s="254">
        <f t="shared" si="4"/>
        <v>115.82291666666667</v>
      </c>
      <c r="J22" s="254" t="e">
        <f t="shared" si="5"/>
        <v>#REF!</v>
      </c>
      <c r="K22" s="477">
        <f>'Приложение № 1'!I15</f>
        <v>199.73</v>
      </c>
      <c r="L22" s="477">
        <f>'Приложение № 1'!J15</f>
        <v>325.18</v>
      </c>
    </row>
    <row r="23" spans="1:20" x14ac:dyDescent="0.35">
      <c r="A23" s="470" t="s">
        <v>807</v>
      </c>
      <c r="B23" s="161" t="s">
        <v>394</v>
      </c>
      <c r="C23" s="159" t="s">
        <v>395</v>
      </c>
      <c r="D23" s="477" t="e">
        <f>'Приложение № 1'!#REF!</f>
        <v>#REF!</v>
      </c>
      <c r="E23" s="477" t="e">
        <f>'Приложение № 1'!#REF!</f>
        <v>#REF!</v>
      </c>
      <c r="F23" s="254" t="e">
        <f t="shared" si="3"/>
        <v>#REF!</v>
      </c>
      <c r="G23" s="477">
        <f>'Приложение № 1'!G30</f>
        <v>386.2</v>
      </c>
      <c r="H23" s="477">
        <f>'Приложение № 1'!H30</f>
        <v>234</v>
      </c>
      <c r="I23" s="254">
        <f t="shared" si="4"/>
        <v>60.590367685137238</v>
      </c>
      <c r="J23" s="254" t="e">
        <f t="shared" si="5"/>
        <v>#REF!</v>
      </c>
      <c r="K23" s="477">
        <f>'Приложение № 1'!I30</f>
        <v>431.41</v>
      </c>
      <c r="L23" s="477">
        <f>'Приложение № 1'!J30</f>
        <v>406.5</v>
      </c>
    </row>
    <row r="24" spans="1:20" ht="185" x14ac:dyDescent="0.35">
      <c r="A24" s="470" t="s">
        <v>808</v>
      </c>
      <c r="B24" s="160" t="s">
        <v>423</v>
      </c>
      <c r="C24" s="159" t="s">
        <v>339</v>
      </c>
      <c r="D24" s="476" t="e">
        <f>'Приложение № 1'!#REF!</f>
        <v>#REF!</v>
      </c>
      <c r="E24" s="476" t="e">
        <f>'Приложение № 1'!#REF!</f>
        <v>#REF!</v>
      </c>
      <c r="F24" s="254" t="e">
        <f t="shared" si="3"/>
        <v>#REF!</v>
      </c>
      <c r="G24" s="476">
        <f>'Приложение № 1'!G50</f>
        <v>1850</v>
      </c>
      <c r="H24" s="476">
        <f>'Приложение № 1'!H50</f>
        <v>2017</v>
      </c>
      <c r="I24" s="254">
        <f t="shared" si="4"/>
        <v>109.02702702702703</v>
      </c>
      <c r="J24" s="254" t="e">
        <f t="shared" si="5"/>
        <v>#REF!</v>
      </c>
      <c r="K24" s="476">
        <f>'Приложение № 1'!I50</f>
        <v>1897</v>
      </c>
      <c r="L24" s="476">
        <f>'Приложение № 1'!J50</f>
        <v>2005</v>
      </c>
      <c r="N24" s="164">
        <f>[10]Лист3!K40</f>
        <v>1849</v>
      </c>
      <c r="O24" s="164">
        <f>[10]Лист3!L40</f>
        <v>1680</v>
      </c>
      <c r="P24" s="164">
        <f>[10]Лист3!M40</f>
        <v>1700</v>
      </c>
      <c r="Q24" s="164">
        <f>[10]Лист3!N40</f>
        <v>1774</v>
      </c>
      <c r="R24" s="164">
        <f>[10]Лист3!O40</f>
        <v>1827</v>
      </c>
      <c r="S24" s="164">
        <f>[10]Лист3!P40</f>
        <v>1859</v>
      </c>
      <c r="T24" s="164">
        <f>[10]Лист3!Q40</f>
        <v>1895</v>
      </c>
    </row>
    <row r="25" spans="1:20" ht="74" x14ac:dyDescent="0.35">
      <c r="A25" s="470" t="s">
        <v>809</v>
      </c>
      <c r="B25" s="161" t="s">
        <v>397</v>
      </c>
      <c r="C25" s="159" t="s">
        <v>395</v>
      </c>
      <c r="D25" s="477" t="e">
        <f>'Приложение № 1'!#REF!</f>
        <v>#REF!</v>
      </c>
      <c r="E25" s="477" t="e">
        <f>'Приложение № 1'!#REF!</f>
        <v>#REF!</v>
      </c>
      <c r="F25" s="254" t="e">
        <f t="shared" si="3"/>
        <v>#REF!</v>
      </c>
      <c r="G25" s="477">
        <f>'Приложение № 1'!G32</f>
        <v>380</v>
      </c>
      <c r="H25" s="477">
        <f>'Приложение № 1'!H32</f>
        <v>389.4</v>
      </c>
      <c r="I25" s="254">
        <f t="shared" si="4"/>
        <v>102.47368421052632</v>
      </c>
      <c r="J25" s="254" t="e">
        <f t="shared" si="5"/>
        <v>#REF!</v>
      </c>
      <c r="K25" s="477">
        <f>'Приложение № 1'!I32</f>
        <v>346.51</v>
      </c>
      <c r="L25" s="477" t="e">
        <f>'Приложение № 1'!#REF!</f>
        <v>#REF!</v>
      </c>
    </row>
    <row r="26" spans="1:20" ht="111.75" customHeight="1" x14ac:dyDescent="0.35">
      <c r="A26" s="470" t="s">
        <v>810</v>
      </c>
      <c r="B26" s="161" t="s">
        <v>689</v>
      </c>
      <c r="C26" s="159" t="s">
        <v>366</v>
      </c>
      <c r="D26" s="476" t="e">
        <f>'Приложение № 1'!#REF!</f>
        <v>#REF!</v>
      </c>
      <c r="E26" s="476" t="e">
        <f>'Приложение № 1'!#REF!</f>
        <v>#REF!</v>
      </c>
      <c r="F26" s="254" t="e">
        <f t="shared" si="3"/>
        <v>#REF!</v>
      </c>
      <c r="G26" s="476">
        <f>'Приложение № 1'!G33</f>
        <v>190</v>
      </c>
      <c r="H26" s="476">
        <f>'Приложение № 1'!H33</f>
        <v>67</v>
      </c>
      <c r="I26" s="254">
        <f t="shared" si="4"/>
        <v>35.263157894736842</v>
      </c>
      <c r="J26" s="254" t="e">
        <f t="shared" si="5"/>
        <v>#REF!</v>
      </c>
      <c r="K26" s="476">
        <f>'Приложение № 1'!I33</f>
        <v>226</v>
      </c>
      <c r="L26" s="476">
        <f>'Приложение № 1'!J33</f>
        <v>257</v>
      </c>
    </row>
    <row r="27" spans="1:20" ht="78.75" customHeight="1" x14ac:dyDescent="0.35">
      <c r="A27" s="470" t="s">
        <v>811</v>
      </c>
      <c r="B27" s="161" t="s">
        <v>405</v>
      </c>
      <c r="C27" s="159" t="s">
        <v>366</v>
      </c>
      <c r="D27" s="476" t="e">
        <f>'Приложение № 1'!#REF!</f>
        <v>#REF!</v>
      </c>
      <c r="E27" s="476" t="e">
        <f>'Приложение № 1'!#REF!</f>
        <v>#REF!</v>
      </c>
      <c r="F27" s="254">
        <v>100</v>
      </c>
      <c r="G27" s="476" t="e">
        <f>'Приложение № 1'!#REF!</f>
        <v>#REF!</v>
      </c>
      <c r="H27" s="476" t="e">
        <f>'Приложение № 1'!#REF!</f>
        <v>#REF!</v>
      </c>
      <c r="I27" s="254" t="e">
        <f t="shared" si="4"/>
        <v>#REF!</v>
      </c>
      <c r="J27" s="254" t="e">
        <f t="shared" si="5"/>
        <v>#REF!</v>
      </c>
      <c r="K27" s="476" t="e">
        <f>'Приложение № 1'!#REF!</f>
        <v>#REF!</v>
      </c>
      <c r="L27" s="476" t="e">
        <f>'Приложение № 1'!#REF!</f>
        <v>#REF!</v>
      </c>
    </row>
    <row r="28" spans="1:20" ht="198" customHeight="1" thickBot="1" x14ac:dyDescent="0.4">
      <c r="A28" s="470" t="s">
        <v>812</v>
      </c>
      <c r="B28" s="469" t="s">
        <v>374</v>
      </c>
      <c r="C28" s="159" t="s">
        <v>366</v>
      </c>
      <c r="D28" s="476" t="e">
        <f>'Приложение № 1'!#REF!</f>
        <v>#REF!</v>
      </c>
      <c r="E28" s="476" t="e">
        <f>'Приложение № 1'!#REF!</f>
        <v>#REF!</v>
      </c>
      <c r="F28" s="254" t="e">
        <f t="shared" si="3"/>
        <v>#REF!</v>
      </c>
      <c r="G28" s="476">
        <f>'Приложение № 1'!G20</f>
        <v>63</v>
      </c>
      <c r="H28" s="476">
        <f>'Приложение № 1'!H20</f>
        <v>80</v>
      </c>
      <c r="I28" s="254">
        <f t="shared" si="4"/>
        <v>126.98412698412699</v>
      </c>
      <c r="J28" s="254" t="e">
        <f t="shared" si="5"/>
        <v>#REF!</v>
      </c>
      <c r="K28" s="476">
        <f>'Приложение № 1'!I20</f>
        <v>80</v>
      </c>
      <c r="L28" s="476">
        <f>'Приложение № 1'!J20</f>
        <v>80</v>
      </c>
      <c r="N28" s="165">
        <v>70</v>
      </c>
      <c r="O28" s="165">
        <v>75</v>
      </c>
      <c r="P28" s="165">
        <v>80</v>
      </c>
      <c r="Q28" s="165">
        <v>85</v>
      </c>
      <c r="R28" s="165">
        <v>90</v>
      </c>
    </row>
    <row r="29" spans="1:20" ht="186.75" customHeight="1" x14ac:dyDescent="0.35">
      <c r="A29" s="470" t="s">
        <v>813</v>
      </c>
      <c r="B29" s="469" t="s">
        <v>582</v>
      </c>
      <c r="C29" s="159" t="s">
        <v>376</v>
      </c>
      <c r="D29" s="477" t="e">
        <f>'Приложение № 1'!#REF!</f>
        <v>#REF!</v>
      </c>
      <c r="E29" s="477" t="e">
        <f>'Приложение № 1'!#REF!</f>
        <v>#REF!</v>
      </c>
      <c r="F29" s="254" t="e">
        <f t="shared" si="3"/>
        <v>#REF!</v>
      </c>
      <c r="G29" s="477">
        <f>'Приложение № 1'!G21</f>
        <v>38.799999999999997</v>
      </c>
      <c r="H29" s="477">
        <f>'Приложение № 1'!H21</f>
        <v>50</v>
      </c>
      <c r="I29" s="254">
        <f t="shared" si="4"/>
        <v>128.86597938144331</v>
      </c>
      <c r="J29" s="254" t="e">
        <f t="shared" si="5"/>
        <v>#REF!</v>
      </c>
      <c r="K29" s="477">
        <f>'Приложение № 1'!I21</f>
        <v>41.4</v>
      </c>
      <c r="L29" s="477">
        <f>'Приложение № 1'!J21</f>
        <v>41.4</v>
      </c>
    </row>
    <row r="30" spans="1:20" ht="163.5" customHeight="1" x14ac:dyDescent="0.35">
      <c r="A30" s="470" t="s">
        <v>814</v>
      </c>
      <c r="B30" s="469" t="s">
        <v>378</v>
      </c>
      <c r="C30" s="159" t="s">
        <v>366</v>
      </c>
      <c r="D30" s="476" t="e">
        <f>'Приложение № 1'!#REF!</f>
        <v>#REF!</v>
      </c>
      <c r="E30" s="476" t="e">
        <f>'Приложение № 1'!#REF!</f>
        <v>#REF!</v>
      </c>
      <c r="F30" s="254" t="e">
        <f t="shared" si="3"/>
        <v>#REF!</v>
      </c>
      <c r="G30" s="476">
        <f>'Приложение № 1'!G22</f>
        <v>15</v>
      </c>
      <c r="H30" s="476">
        <f>'Приложение № 1'!H22</f>
        <v>15</v>
      </c>
      <c r="I30" s="254">
        <f t="shared" si="4"/>
        <v>100</v>
      </c>
      <c r="J30" s="254" t="e">
        <f t="shared" si="5"/>
        <v>#REF!</v>
      </c>
      <c r="K30" s="476">
        <f>'Приложение № 1'!I22</f>
        <v>15</v>
      </c>
      <c r="L30" s="476">
        <f>'Приложение № 1'!J22</f>
        <v>15</v>
      </c>
    </row>
    <row r="31" spans="1:20" s="162" customFormat="1" ht="54.75" customHeight="1" x14ac:dyDescent="0.35">
      <c r="A31" s="3161" t="s">
        <v>583</v>
      </c>
      <c r="B31" s="3165"/>
      <c r="C31" s="3165"/>
      <c r="D31" s="3165"/>
      <c r="E31" s="3162"/>
      <c r="F31" s="255" t="e">
        <f>SUM(F18:F30)/13</f>
        <v>#REF!</v>
      </c>
      <c r="G31" s="166"/>
      <c r="H31" s="167"/>
      <c r="I31" s="255" t="e">
        <f>SUM(I18:I30)/13</f>
        <v>#REF!</v>
      </c>
      <c r="J31" s="255" t="e">
        <f>SUM(J18:J30)/13</f>
        <v>#REF!</v>
      </c>
      <c r="K31" s="3163"/>
      <c r="L31" s="3164"/>
    </row>
    <row r="32" spans="1:20" s="162" customFormat="1" ht="52.5" customHeight="1" x14ac:dyDescent="0.35">
      <c r="A32" s="472" t="s">
        <v>12</v>
      </c>
      <c r="B32" s="3172" t="s">
        <v>584</v>
      </c>
      <c r="C32" s="3172"/>
      <c r="D32" s="3172"/>
      <c r="E32" s="3172"/>
      <c r="F32" s="3172"/>
      <c r="G32" s="3172"/>
      <c r="H32" s="3172"/>
      <c r="I32" s="3172"/>
      <c r="J32" s="3172"/>
      <c r="K32" s="3172"/>
      <c r="L32" s="3172"/>
    </row>
    <row r="33" spans="1:20" ht="111" x14ac:dyDescent="0.35">
      <c r="A33" s="470" t="s">
        <v>13</v>
      </c>
      <c r="B33" s="168" t="s">
        <v>409</v>
      </c>
      <c r="C33" s="163" t="s">
        <v>3</v>
      </c>
      <c r="D33" s="487" t="e">
        <f>'Приложение № 1'!#REF!</f>
        <v>#REF!</v>
      </c>
      <c r="E33" s="487" t="e">
        <f>'Приложение № 1'!#REF!</f>
        <v>#REF!</v>
      </c>
      <c r="F33" s="254" t="e">
        <f t="shared" ref="F33:F41" si="6">E33*100/D33</f>
        <v>#REF!</v>
      </c>
      <c r="G33" s="487">
        <f>'Приложение № 1'!G42</f>
        <v>0.75</v>
      </c>
      <c r="H33" s="487">
        <f>'Приложение № 1'!H42</f>
        <v>2.4700000000000002</v>
      </c>
      <c r="I33" s="254">
        <f>H33*100/G33</f>
        <v>329.33333333333337</v>
      </c>
      <c r="J33" s="254" t="e">
        <f>100-(E33*100/H33)</f>
        <v>#REF!</v>
      </c>
      <c r="K33" s="487">
        <f>'Приложение № 1'!I42</f>
        <v>1.39</v>
      </c>
      <c r="L33" s="487">
        <f>'Приложение № 1'!J42</f>
        <v>1.39</v>
      </c>
    </row>
    <row r="34" spans="1:20" x14ac:dyDescent="0.35">
      <c r="A34" s="470" t="s">
        <v>14</v>
      </c>
      <c r="B34" s="168" t="s">
        <v>416</v>
      </c>
      <c r="C34" s="163" t="s">
        <v>366</v>
      </c>
      <c r="D34" s="476" t="e">
        <f>'Приложение № 1'!#REF!</f>
        <v>#REF!</v>
      </c>
      <c r="E34" s="476" t="e">
        <f>'Приложение № 1'!#REF!</f>
        <v>#REF!</v>
      </c>
      <c r="F34" s="254" t="e">
        <f t="shared" si="6"/>
        <v>#REF!</v>
      </c>
      <c r="G34" s="476">
        <f>'Приложение № 1'!G46</f>
        <v>2800</v>
      </c>
      <c r="H34" s="476">
        <f>'Приложение № 1'!H46</f>
        <v>2686</v>
      </c>
      <c r="I34" s="254">
        <f t="shared" si="4"/>
        <v>95.928571428571431</v>
      </c>
      <c r="J34" s="254" t="e">
        <f t="shared" ref="J34:J41" si="7">100-(E34*100/H34)</f>
        <v>#REF!</v>
      </c>
      <c r="K34" s="476">
        <f>'Приложение № 1'!I46</f>
        <v>2800</v>
      </c>
      <c r="L34" s="476">
        <f>'Приложение № 1'!J46</f>
        <v>2351</v>
      </c>
    </row>
    <row r="35" spans="1:20" ht="111" x14ac:dyDescent="0.35">
      <c r="A35" s="470" t="s">
        <v>33</v>
      </c>
      <c r="B35" s="168" t="s">
        <v>418</v>
      </c>
      <c r="C35" s="163" t="s">
        <v>366</v>
      </c>
      <c r="D35" s="476" t="e">
        <f>'Приложение № 1'!#REF!</f>
        <v>#REF!</v>
      </c>
      <c r="E35" s="476" t="e">
        <f>'Приложение № 1'!#REF!</f>
        <v>#REF!</v>
      </c>
      <c r="F35" s="254" t="e">
        <f t="shared" si="6"/>
        <v>#REF!</v>
      </c>
      <c r="G35" s="476">
        <f>'Приложение № 1'!G47</f>
        <v>26</v>
      </c>
      <c r="H35" s="476">
        <f>'Приложение № 1'!H47</f>
        <v>21</v>
      </c>
      <c r="I35" s="254">
        <f t="shared" si="4"/>
        <v>80.769230769230774</v>
      </c>
      <c r="J35" s="254" t="e">
        <f>100-(E35*100/H35)</f>
        <v>#REF!</v>
      </c>
      <c r="K35" s="476">
        <f>'Приложение № 1'!I47</f>
        <v>26</v>
      </c>
      <c r="L35" s="476">
        <f>'Приложение № 1'!J47</f>
        <v>15</v>
      </c>
    </row>
    <row r="36" spans="1:20" ht="194.25" customHeight="1" x14ac:dyDescent="0.35">
      <c r="A36" s="470" t="s">
        <v>815</v>
      </c>
      <c r="B36" s="168" t="s">
        <v>703</v>
      </c>
      <c r="C36" s="163" t="s">
        <v>366</v>
      </c>
      <c r="D36" s="476" t="e">
        <f>'Приложение № 1'!#REF!</f>
        <v>#REF!</v>
      </c>
      <c r="E36" s="476" t="e">
        <f>'Приложение № 1'!#REF!</f>
        <v>#REF!</v>
      </c>
      <c r="F36" s="254" t="e">
        <f t="shared" si="6"/>
        <v>#REF!</v>
      </c>
      <c r="G36" s="476">
        <f>'Приложение № 1'!G48</f>
        <v>21</v>
      </c>
      <c r="H36" s="476" t="e">
        <f>'Приложение № 1'!#REF!</f>
        <v>#REF!</v>
      </c>
      <c r="I36" s="254" t="e">
        <f t="shared" si="4"/>
        <v>#REF!</v>
      </c>
      <c r="J36" s="254" t="e">
        <f t="shared" si="7"/>
        <v>#REF!</v>
      </c>
      <c r="K36" s="476">
        <f>'Приложение № 1'!I48</f>
        <v>45.8</v>
      </c>
      <c r="L36" s="476">
        <f>'Приложение № 1'!H48</f>
        <v>23.4</v>
      </c>
      <c r="N36" s="164"/>
      <c r="O36" s="164"/>
      <c r="P36" s="164"/>
      <c r="Q36" s="164"/>
      <c r="R36" s="164"/>
      <c r="S36" s="164"/>
      <c r="T36" s="164"/>
    </row>
    <row r="37" spans="1:20" ht="185" x14ac:dyDescent="0.35">
      <c r="A37" s="470" t="s">
        <v>816</v>
      </c>
      <c r="B37" s="169" t="s">
        <v>431</v>
      </c>
      <c r="C37" s="163" t="s">
        <v>366</v>
      </c>
      <c r="D37" s="476" t="e">
        <f>'Приложение № 1'!#REF!</f>
        <v>#REF!</v>
      </c>
      <c r="E37" s="476" t="e">
        <f>'Приложение № 1'!#REF!</f>
        <v>#REF!</v>
      </c>
      <c r="F37" s="254" t="e">
        <f t="shared" si="6"/>
        <v>#REF!</v>
      </c>
      <c r="G37" s="476">
        <f>'Приложение № 1'!G55</f>
        <v>12</v>
      </c>
      <c r="H37" s="476">
        <f>'Приложение № 1'!H55</f>
        <v>12</v>
      </c>
      <c r="I37" s="254">
        <f t="shared" si="4"/>
        <v>100</v>
      </c>
      <c r="J37" s="254" t="e">
        <f t="shared" si="7"/>
        <v>#REF!</v>
      </c>
      <c r="K37" s="476">
        <f>'Приложение № 1'!I55</f>
        <v>12</v>
      </c>
      <c r="L37" s="476">
        <f>'Приложение № 1'!J55</f>
        <v>12</v>
      </c>
    </row>
    <row r="38" spans="1:20" ht="185" x14ac:dyDescent="0.35">
      <c r="A38" s="470" t="s">
        <v>817</v>
      </c>
      <c r="B38" s="160" t="s">
        <v>433</v>
      </c>
      <c r="C38" s="159" t="s">
        <v>366</v>
      </c>
      <c r="D38" s="476" t="e">
        <f>'Приложение № 1'!#REF!</f>
        <v>#REF!</v>
      </c>
      <c r="E38" s="476" t="e">
        <f>'Приложение № 1'!#REF!</f>
        <v>#REF!</v>
      </c>
      <c r="F38" s="254" t="e">
        <f t="shared" si="6"/>
        <v>#REF!</v>
      </c>
      <c r="G38" s="476">
        <f>'Приложение № 1'!G56</f>
        <v>19</v>
      </c>
      <c r="H38" s="476">
        <f>'Приложение № 1'!H56</f>
        <v>19</v>
      </c>
      <c r="I38" s="254">
        <f t="shared" si="4"/>
        <v>100</v>
      </c>
      <c r="J38" s="254" t="e">
        <f t="shared" si="7"/>
        <v>#REF!</v>
      </c>
      <c r="K38" s="476">
        <f>'Приложение № 1'!I56</f>
        <v>19</v>
      </c>
      <c r="L38" s="476">
        <f>'Приложение № 1'!J56</f>
        <v>19</v>
      </c>
    </row>
    <row r="39" spans="1:20" ht="158.25" customHeight="1" x14ac:dyDescent="0.35">
      <c r="A39" s="470" t="s">
        <v>818</v>
      </c>
      <c r="B39" s="160" t="s">
        <v>701</v>
      </c>
      <c r="C39" s="159" t="s">
        <v>3</v>
      </c>
      <c r="D39" s="163" t="e">
        <f>'Приложение № 1'!#REF!</f>
        <v>#REF!</v>
      </c>
      <c r="E39" s="163" t="e">
        <f>'Приложение № 1'!#REF!</f>
        <v>#REF!</v>
      </c>
      <c r="F39" s="254" t="e">
        <f t="shared" si="6"/>
        <v>#REF!</v>
      </c>
      <c r="G39" s="163">
        <f>'Приложение № 1'!G57</f>
        <v>3</v>
      </c>
      <c r="H39" s="163">
        <f>'Приложение № 1'!H57</f>
        <v>3</v>
      </c>
      <c r="I39" s="254">
        <f t="shared" si="4"/>
        <v>100</v>
      </c>
      <c r="J39" s="254" t="e">
        <f t="shared" si="7"/>
        <v>#REF!</v>
      </c>
      <c r="K39" s="163">
        <f>'Приложение № 1'!I57</f>
        <v>5</v>
      </c>
      <c r="L39" s="163">
        <f>'Приложение № 1'!J57</f>
        <v>5</v>
      </c>
    </row>
    <row r="40" spans="1:20" ht="111" x14ac:dyDescent="0.35">
      <c r="A40" s="470" t="s">
        <v>819</v>
      </c>
      <c r="B40" s="160" t="s">
        <v>436</v>
      </c>
      <c r="C40" s="159" t="s">
        <v>366</v>
      </c>
      <c r="D40" s="476" t="e">
        <f>'Приложение № 1'!#REF!</f>
        <v>#REF!</v>
      </c>
      <c r="E40" s="476" t="e">
        <f>'Приложение № 1'!#REF!</f>
        <v>#REF!</v>
      </c>
      <c r="F40" s="254" t="e">
        <f t="shared" si="6"/>
        <v>#REF!</v>
      </c>
      <c r="G40" s="476">
        <f>'Приложение № 1'!G59</f>
        <v>37</v>
      </c>
      <c r="H40" s="476">
        <f>'Приложение № 1'!H59</f>
        <v>37</v>
      </c>
      <c r="I40" s="254">
        <f t="shared" si="4"/>
        <v>100</v>
      </c>
      <c r="J40" s="254" t="e">
        <f t="shared" si="7"/>
        <v>#REF!</v>
      </c>
      <c r="K40" s="476">
        <f>'Приложение № 1'!I59</f>
        <v>37</v>
      </c>
      <c r="L40" s="476">
        <f>'Приложение № 1'!J59</f>
        <v>37</v>
      </c>
    </row>
    <row r="41" spans="1:20" ht="214.5" customHeight="1" x14ac:dyDescent="0.35">
      <c r="A41" s="470" t="s">
        <v>820</v>
      </c>
      <c r="B41" s="469" t="s">
        <v>438</v>
      </c>
      <c r="C41" s="159" t="s">
        <v>366</v>
      </c>
      <c r="D41" s="476" t="e">
        <f>'Приложение № 1'!#REF!</f>
        <v>#REF!</v>
      </c>
      <c r="E41" s="476" t="e">
        <f>'Приложение № 1'!#REF!</f>
        <v>#REF!</v>
      </c>
      <c r="F41" s="254" t="e">
        <f t="shared" si="6"/>
        <v>#REF!</v>
      </c>
      <c r="G41" s="476">
        <f>'Приложение № 1'!G60</f>
        <v>15</v>
      </c>
      <c r="H41" s="476">
        <f>'Приложение № 1'!H60</f>
        <v>15</v>
      </c>
      <c r="I41" s="254">
        <f t="shared" si="4"/>
        <v>100</v>
      </c>
      <c r="J41" s="254" t="e">
        <f t="shared" si="7"/>
        <v>#REF!</v>
      </c>
      <c r="K41" s="476">
        <f>'Приложение № 1'!I60</f>
        <v>15</v>
      </c>
      <c r="L41" s="476">
        <f>'Приложение № 1'!J60</f>
        <v>15</v>
      </c>
    </row>
    <row r="42" spans="1:20" ht="148" x14ac:dyDescent="0.35">
      <c r="A42" s="470" t="s">
        <v>821</v>
      </c>
      <c r="B42" s="160" t="s">
        <v>440</v>
      </c>
      <c r="C42" s="159" t="s">
        <v>366</v>
      </c>
      <c r="D42" s="476" t="e">
        <f>'Приложение № 1'!#REF!</f>
        <v>#REF!</v>
      </c>
      <c r="E42" s="476" t="e">
        <f>'Приложение № 1'!#REF!</f>
        <v>#REF!</v>
      </c>
      <c r="F42" s="254" t="e">
        <f>E42*100/D42</f>
        <v>#REF!</v>
      </c>
      <c r="G42" s="476">
        <f>'Приложение № 1'!G61</f>
        <v>80</v>
      </c>
      <c r="H42" s="476">
        <f>'Приложение № 1'!H61</f>
        <v>107</v>
      </c>
      <c r="I42" s="254">
        <f t="shared" si="4"/>
        <v>133.75</v>
      </c>
      <c r="J42" s="254" t="e">
        <f>100-(E42*100/H42)</f>
        <v>#REF!</v>
      </c>
      <c r="K42" s="476">
        <f>'Приложение № 1'!I61</f>
        <v>80</v>
      </c>
      <c r="L42" s="476">
        <f>'Приложение № 1'!J61</f>
        <v>93</v>
      </c>
    </row>
    <row r="43" spans="1:20" ht="70.5" customHeight="1" x14ac:dyDescent="0.35">
      <c r="A43" s="3158" t="s">
        <v>585</v>
      </c>
      <c r="B43" s="3158"/>
      <c r="C43" s="3158"/>
      <c r="D43" s="3158"/>
      <c r="E43" s="3159"/>
      <c r="F43" s="473" t="e">
        <f>SUM(F33:F42)/10</f>
        <v>#REF!</v>
      </c>
      <c r="G43" s="3173"/>
      <c r="H43" s="3174"/>
      <c r="I43" s="473" t="e">
        <f>SUM(I33:I42)/10</f>
        <v>#REF!</v>
      </c>
      <c r="J43" s="473" t="e">
        <f>SUM(J33:J42)/10</f>
        <v>#REF!</v>
      </c>
      <c r="K43" s="479"/>
      <c r="L43" s="480"/>
    </row>
    <row r="44" spans="1:20" ht="75.75" customHeight="1" x14ac:dyDescent="0.35">
      <c r="A44" s="3156" t="s">
        <v>586</v>
      </c>
      <c r="B44" s="3156"/>
      <c r="C44" s="3156"/>
      <c r="D44" s="3156"/>
      <c r="E44" s="3157"/>
      <c r="F44" s="473" t="e">
        <f>(F43+F31+F16)/3</f>
        <v>#REF!</v>
      </c>
      <c r="G44" s="3175"/>
      <c r="H44" s="3176"/>
      <c r="I44" s="473" t="e">
        <f>(I43+I31+I16)/3</f>
        <v>#REF!</v>
      </c>
      <c r="J44" s="473" t="e">
        <f>(J43+J31+J16)/3</f>
        <v>#REF!</v>
      </c>
      <c r="K44" s="481" t="e">
        <f>I44-F44</f>
        <v>#REF!</v>
      </c>
      <c r="L44" s="482"/>
    </row>
    <row r="45" spans="1:20" ht="85.5" customHeight="1" x14ac:dyDescent="0.35">
      <c r="A45" s="3156" t="s">
        <v>587</v>
      </c>
      <c r="B45" s="3156"/>
      <c r="C45" s="3157"/>
      <c r="D45" s="478" t="e">
        <f>'Приложение № 2'!#REF!</f>
        <v>#REF!</v>
      </c>
      <c r="E45" s="478" t="e">
        <f>'Приложение № 2'!#REF!</f>
        <v>#REF!</v>
      </c>
      <c r="F45" s="474" t="e">
        <f>E45*100/D45</f>
        <v>#REF!</v>
      </c>
      <c r="G45" s="478">
        <v>770617.3</v>
      </c>
      <c r="H45" s="478">
        <f>'Приложение № 2'!H66</f>
        <v>1507206.1330500001</v>
      </c>
      <c r="I45" s="474">
        <f>H45*100/G45</f>
        <v>195.58425862616892</v>
      </c>
      <c r="J45" s="474" t="e">
        <f>100-(E45*100/H45)</f>
        <v>#REF!</v>
      </c>
      <c r="K45" s="483"/>
      <c r="L45" s="484"/>
      <c r="N45" s="157" t="e">
        <f>F44-F45</f>
        <v>#REF!</v>
      </c>
    </row>
    <row r="46" spans="1:20" x14ac:dyDescent="0.35">
      <c r="B46" s="257"/>
      <c r="C46" s="258"/>
      <c r="F46" s="259"/>
      <c r="I46" s="259"/>
      <c r="J46" s="259"/>
      <c r="N46" s="157" t="e">
        <f>I44-I45</f>
        <v>#REF!</v>
      </c>
    </row>
    <row r="47" spans="1:20" ht="105" customHeight="1" x14ac:dyDescent="0.35">
      <c r="B47" s="3166" t="s">
        <v>823</v>
      </c>
      <c r="C47" s="3167"/>
      <c r="D47" s="3167"/>
      <c r="E47" s="3167"/>
      <c r="F47" s="3167"/>
      <c r="G47" s="3167"/>
      <c r="H47" s="3167"/>
      <c r="I47" s="3168"/>
      <c r="J47" s="261"/>
      <c r="K47" s="485"/>
      <c r="L47" s="485"/>
      <c r="N47" s="157" t="e">
        <f>J44-J45</f>
        <v>#REF!</v>
      </c>
    </row>
    <row r="48" spans="1:20" ht="105" customHeight="1" x14ac:dyDescent="0.35">
      <c r="B48" s="3166" t="s">
        <v>824</v>
      </c>
      <c r="C48" s="3167"/>
      <c r="D48" s="3167"/>
      <c r="E48" s="3167"/>
      <c r="F48" s="3167"/>
      <c r="G48" s="3167"/>
      <c r="H48" s="3167"/>
      <c r="I48" s="3168"/>
      <c r="J48" s="259"/>
    </row>
    <row r="49" spans="2:10" ht="120" customHeight="1" x14ac:dyDescent="0.35">
      <c r="B49" s="3169" t="s">
        <v>822</v>
      </c>
      <c r="C49" s="3170"/>
      <c r="D49" s="3170"/>
      <c r="E49" s="3170"/>
      <c r="F49" s="3170"/>
      <c r="G49" s="3170"/>
      <c r="H49" s="3170"/>
      <c r="I49" s="3171"/>
      <c r="J49" s="259"/>
    </row>
  </sheetData>
  <mergeCells count="23">
    <mergeCell ref="B2:L2"/>
    <mergeCell ref="B4:B6"/>
    <mergeCell ref="C4:C6"/>
    <mergeCell ref="D4:L4"/>
    <mergeCell ref="K5:L5"/>
    <mergeCell ref="J5:J6"/>
    <mergeCell ref="D5:F5"/>
    <mergeCell ref="G5:I5"/>
    <mergeCell ref="B47:I47"/>
    <mergeCell ref="B49:I49"/>
    <mergeCell ref="B48:I48"/>
    <mergeCell ref="B32:L32"/>
    <mergeCell ref="G43:H44"/>
    <mergeCell ref="A4:A6"/>
    <mergeCell ref="A16:E16"/>
    <mergeCell ref="A45:C45"/>
    <mergeCell ref="A44:E44"/>
    <mergeCell ref="A43:E43"/>
    <mergeCell ref="B7:L7"/>
    <mergeCell ref="G16:H16"/>
    <mergeCell ref="B17:L17"/>
    <mergeCell ref="K31:L31"/>
    <mergeCell ref="A31:E31"/>
  </mergeCells>
  <pageMargins left="0.70866141732283472" right="0.51181102362204722" top="0.74803149606299213" bottom="0.74803149606299213" header="0.31496062992125984" footer="0.31496062992125984"/>
  <pageSetup paperSize="9" scale="34" orientation="landscape" r:id="rId1"/>
  <rowBreaks count="4" manualBreakCount="4">
    <brk id="12" max="11" man="1"/>
    <brk id="23" max="11" man="1"/>
    <brk id="31" max="11" man="1"/>
    <brk id="39" max="11" man="1"/>
  </rowBreaks>
  <colBreaks count="1" manualBreakCount="1">
    <brk id="12" max="4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0"/>
  <sheetViews>
    <sheetView topLeftCell="A844" workbookViewId="0">
      <selection activeCell="J858" sqref="J858"/>
    </sheetView>
  </sheetViews>
  <sheetFormatPr baseColWidth="10" defaultColWidth="8.83203125" defaultRowHeight="13" x14ac:dyDescent="0.15"/>
  <cols>
    <col min="1" max="1" width="34.1640625" style="41" bestFit="1" customWidth="1"/>
    <col min="2" max="2" width="5.33203125" style="47" customWidth="1"/>
    <col min="3" max="3" width="4.6640625" style="47" customWidth="1"/>
    <col min="4" max="4" width="5.1640625" style="47" customWidth="1"/>
    <col min="5" max="5" width="8.83203125" style="47" bestFit="1" customWidth="1"/>
    <col min="6" max="6" width="5" style="47" bestFit="1" customWidth="1"/>
    <col min="7" max="7" width="8.1640625" style="47" customWidth="1"/>
    <col min="8" max="8" width="13.6640625" style="101" customWidth="1"/>
    <col min="10" max="10" width="10.5" bestFit="1" customWidth="1"/>
  </cols>
  <sheetData>
    <row r="1" spans="1:8" x14ac:dyDescent="0.15">
      <c r="A1" s="3185" t="s">
        <v>68</v>
      </c>
      <c r="B1" s="3185"/>
      <c r="C1" s="3185"/>
      <c r="D1" s="3185"/>
      <c r="E1" s="3185"/>
      <c r="F1" s="3185"/>
      <c r="G1" s="3185"/>
      <c r="H1" s="3185"/>
    </row>
    <row r="2" spans="1:8" x14ac:dyDescent="0.15">
      <c r="A2" s="3185" t="s">
        <v>212</v>
      </c>
      <c r="B2" s="3185"/>
      <c r="C2" s="3185"/>
      <c r="D2" s="3185"/>
      <c r="E2" s="3185"/>
      <c r="F2" s="3185"/>
      <c r="G2" s="3185"/>
      <c r="H2" s="3185"/>
    </row>
    <row r="3" spans="1:8" x14ac:dyDescent="0.15">
      <c r="A3" s="3186" t="s">
        <v>69</v>
      </c>
      <c r="B3" s="3186"/>
      <c r="C3" s="3186"/>
      <c r="D3" s="3186"/>
      <c r="E3" s="3186"/>
      <c r="F3" s="3186"/>
      <c r="G3" s="3186"/>
      <c r="H3" s="3186"/>
    </row>
    <row r="4" spans="1:8" x14ac:dyDescent="0.15">
      <c r="A4" s="3187"/>
      <c r="B4" s="3187"/>
      <c r="C4" s="3187"/>
      <c r="D4" s="3187"/>
      <c r="E4" s="3187"/>
      <c r="F4" s="3187"/>
      <c r="G4" s="3187"/>
      <c r="H4" s="3187"/>
    </row>
    <row r="5" spans="1:8" ht="14" x14ac:dyDescent="0.15">
      <c r="A5" s="5" t="s">
        <v>70</v>
      </c>
      <c r="B5" s="5" t="s">
        <v>71</v>
      </c>
      <c r="C5" s="5" t="s">
        <v>72</v>
      </c>
      <c r="D5" s="5" t="s">
        <v>73</v>
      </c>
      <c r="E5" s="5" t="s">
        <v>74</v>
      </c>
      <c r="F5" s="5" t="s">
        <v>75</v>
      </c>
      <c r="G5" s="6" t="s">
        <v>76</v>
      </c>
      <c r="H5" s="437" t="s">
        <v>4</v>
      </c>
    </row>
    <row r="6" spans="1:8" x14ac:dyDescent="0.15">
      <c r="A6" s="51" t="s">
        <v>77</v>
      </c>
      <c r="B6" s="62"/>
      <c r="C6" s="62"/>
      <c r="D6" s="62"/>
      <c r="E6" s="62"/>
      <c r="F6" s="62"/>
      <c r="G6" s="63"/>
      <c r="H6" s="84"/>
    </row>
    <row r="7" spans="1:8" ht="14" x14ac:dyDescent="0.15">
      <c r="A7" s="53" t="s">
        <v>78</v>
      </c>
      <c r="B7" s="54" t="s">
        <v>79</v>
      </c>
      <c r="C7" s="54" t="s">
        <v>80</v>
      </c>
      <c r="D7" s="54" t="s">
        <v>110</v>
      </c>
      <c r="E7" s="54" t="s">
        <v>81</v>
      </c>
      <c r="F7" s="54" t="s">
        <v>82</v>
      </c>
      <c r="G7" s="64">
        <v>211</v>
      </c>
      <c r="H7" s="52">
        <f>13158+300+200+3.6+150</f>
        <v>13811.6</v>
      </c>
    </row>
    <row r="8" spans="1:8" ht="14" x14ac:dyDescent="0.15">
      <c r="A8" s="53" t="s">
        <v>83</v>
      </c>
      <c r="B8" s="54" t="s">
        <v>79</v>
      </c>
      <c r="C8" s="54" t="s">
        <v>80</v>
      </c>
      <c r="D8" s="54" t="s">
        <v>110</v>
      </c>
      <c r="E8" s="54" t="s">
        <v>81</v>
      </c>
      <c r="F8" s="54" t="s">
        <v>82</v>
      </c>
      <c r="G8" s="64">
        <v>212</v>
      </c>
      <c r="H8" s="52">
        <f>20-10-5</f>
        <v>5</v>
      </c>
    </row>
    <row r="9" spans="1:8" ht="14" x14ac:dyDescent="0.15">
      <c r="A9" s="53" t="s">
        <v>84</v>
      </c>
      <c r="B9" s="54" t="s">
        <v>79</v>
      </c>
      <c r="C9" s="54" t="s">
        <v>80</v>
      </c>
      <c r="D9" s="54" t="s">
        <v>110</v>
      </c>
      <c r="E9" s="54" t="s">
        <v>81</v>
      </c>
      <c r="F9" s="54" t="s">
        <v>82</v>
      </c>
      <c r="G9" s="64">
        <v>213</v>
      </c>
      <c r="H9" s="52">
        <f>4500-71.88-300-200+1-150</f>
        <v>3779.12</v>
      </c>
    </row>
    <row r="10" spans="1:8" ht="14" x14ac:dyDescent="0.15">
      <c r="A10" s="53" t="s">
        <v>85</v>
      </c>
      <c r="B10" s="54" t="s">
        <v>79</v>
      </c>
      <c r="C10" s="54" t="s">
        <v>80</v>
      </c>
      <c r="D10" s="54" t="s">
        <v>110</v>
      </c>
      <c r="E10" s="54" t="s">
        <v>81</v>
      </c>
      <c r="F10" s="54" t="s">
        <v>82</v>
      </c>
      <c r="G10" s="64">
        <v>221</v>
      </c>
      <c r="H10" s="52">
        <v>639</v>
      </c>
    </row>
    <row r="11" spans="1:8" ht="14" x14ac:dyDescent="0.15">
      <c r="A11" s="53" t="s">
        <v>86</v>
      </c>
      <c r="B11" s="54" t="s">
        <v>79</v>
      </c>
      <c r="C11" s="54" t="s">
        <v>80</v>
      </c>
      <c r="D11" s="54" t="s">
        <v>110</v>
      </c>
      <c r="E11" s="54" t="s">
        <v>81</v>
      </c>
      <c r="F11" s="54" t="s">
        <v>82</v>
      </c>
      <c r="G11" s="64">
        <v>222</v>
      </c>
      <c r="H11" s="52">
        <f>300-150</f>
        <v>150</v>
      </c>
    </row>
    <row r="12" spans="1:8" ht="14" x14ac:dyDescent="0.15">
      <c r="A12" s="53" t="s">
        <v>87</v>
      </c>
      <c r="B12" s="54" t="s">
        <v>79</v>
      </c>
      <c r="C12" s="54" t="s">
        <v>80</v>
      </c>
      <c r="D12" s="54" t="s">
        <v>110</v>
      </c>
      <c r="E12" s="54" t="s">
        <v>81</v>
      </c>
      <c r="F12" s="54" t="s">
        <v>82</v>
      </c>
      <c r="G12" s="64">
        <v>223</v>
      </c>
      <c r="H12" s="52">
        <v>250</v>
      </c>
    </row>
    <row r="13" spans="1:8" ht="14" x14ac:dyDescent="0.15">
      <c r="A13" s="53" t="s">
        <v>89</v>
      </c>
      <c r="B13" s="54" t="s">
        <v>79</v>
      </c>
      <c r="C13" s="54" t="s">
        <v>80</v>
      </c>
      <c r="D13" s="54" t="s">
        <v>110</v>
      </c>
      <c r="E13" s="54" t="s">
        <v>81</v>
      </c>
      <c r="F13" s="54" t="s">
        <v>82</v>
      </c>
      <c r="G13" s="64">
        <v>224</v>
      </c>
      <c r="H13" s="52">
        <f>195-195</f>
        <v>0</v>
      </c>
    </row>
    <row r="14" spans="1:8" ht="14" x14ac:dyDescent="0.15">
      <c r="A14" s="53" t="s">
        <v>90</v>
      </c>
      <c r="B14" s="54" t="s">
        <v>79</v>
      </c>
      <c r="C14" s="54" t="s">
        <v>80</v>
      </c>
      <c r="D14" s="54" t="s">
        <v>110</v>
      </c>
      <c r="E14" s="54" t="s">
        <v>81</v>
      </c>
      <c r="F14" s="54" t="s">
        <v>82</v>
      </c>
      <c r="G14" s="64">
        <v>225</v>
      </c>
      <c r="H14" s="52">
        <f>15+395-100</f>
        <v>310</v>
      </c>
    </row>
    <row r="15" spans="1:8" ht="14" x14ac:dyDescent="0.15">
      <c r="A15" s="53" t="s">
        <v>91</v>
      </c>
      <c r="B15" s="54" t="s">
        <v>79</v>
      </c>
      <c r="C15" s="54" t="s">
        <v>80</v>
      </c>
      <c r="D15" s="54" t="s">
        <v>110</v>
      </c>
      <c r="E15" s="54" t="s">
        <v>81</v>
      </c>
      <c r="F15" s="54" t="s">
        <v>82</v>
      </c>
      <c r="G15" s="64">
        <v>226</v>
      </c>
      <c r="H15" s="52">
        <f>1200+300+4948.6+10+5+150+69.445</f>
        <v>6683.0450000000001</v>
      </c>
    </row>
    <row r="16" spans="1:8" ht="14" x14ac:dyDescent="0.15">
      <c r="A16" s="53" t="s">
        <v>92</v>
      </c>
      <c r="B16" s="54" t="s">
        <v>79</v>
      </c>
      <c r="C16" s="54" t="s">
        <v>80</v>
      </c>
      <c r="D16" s="54" t="s">
        <v>110</v>
      </c>
      <c r="E16" s="54" t="s">
        <v>81</v>
      </c>
      <c r="F16" s="54" t="s">
        <v>82</v>
      </c>
      <c r="G16" s="64" t="s">
        <v>93</v>
      </c>
      <c r="H16" s="52">
        <f>71.88</f>
        <v>71.88</v>
      </c>
    </row>
    <row r="17" spans="1:8" ht="14" x14ac:dyDescent="0.15">
      <c r="A17" s="53" t="s">
        <v>94</v>
      </c>
      <c r="B17" s="54" t="s">
        <v>79</v>
      </c>
      <c r="C17" s="54" t="s">
        <v>80</v>
      </c>
      <c r="D17" s="54" t="s">
        <v>110</v>
      </c>
      <c r="E17" s="54" t="s">
        <v>81</v>
      </c>
      <c r="F17" s="54" t="s">
        <v>82</v>
      </c>
      <c r="G17" s="64">
        <v>290</v>
      </c>
      <c r="H17" s="52">
        <f>86+82.2+10+469.5-150</f>
        <v>497.70000000000005</v>
      </c>
    </row>
    <row r="18" spans="1:8" ht="14" x14ac:dyDescent="0.15">
      <c r="A18" s="53" t="s">
        <v>96</v>
      </c>
      <c r="B18" s="54" t="s">
        <v>79</v>
      </c>
      <c r="C18" s="54" t="s">
        <v>80</v>
      </c>
      <c r="D18" s="54" t="s">
        <v>110</v>
      </c>
      <c r="E18" s="54" t="s">
        <v>81</v>
      </c>
      <c r="F18" s="54" t="s">
        <v>82</v>
      </c>
      <c r="G18" s="64">
        <v>310</v>
      </c>
      <c r="H18" s="52">
        <f>565.7+250</f>
        <v>815.7</v>
      </c>
    </row>
    <row r="19" spans="1:8" ht="14" x14ac:dyDescent="0.15">
      <c r="A19" s="53" t="s">
        <v>97</v>
      </c>
      <c r="B19" s="54" t="s">
        <v>79</v>
      </c>
      <c r="C19" s="54" t="s">
        <v>80</v>
      </c>
      <c r="D19" s="54" t="s">
        <v>110</v>
      </c>
      <c r="E19" s="54" t="s">
        <v>81</v>
      </c>
      <c r="F19" s="54" t="s">
        <v>82</v>
      </c>
      <c r="G19" s="64">
        <v>340</v>
      </c>
      <c r="H19" s="52">
        <v>736.6</v>
      </c>
    </row>
    <row r="20" spans="1:8" ht="14" x14ac:dyDescent="0.15">
      <c r="A20" s="51" t="s">
        <v>98</v>
      </c>
      <c r="B20" s="62" t="s">
        <v>79</v>
      </c>
      <c r="C20" s="62" t="s">
        <v>80</v>
      </c>
      <c r="D20" s="62" t="s">
        <v>110</v>
      </c>
      <c r="E20" s="65" t="s">
        <v>219</v>
      </c>
      <c r="F20" s="65" t="s">
        <v>82</v>
      </c>
      <c r="G20" s="66"/>
      <c r="H20" s="56">
        <f>SUM(H7:H19)</f>
        <v>27749.645</v>
      </c>
    </row>
    <row r="21" spans="1:8" ht="14" x14ac:dyDescent="0.15">
      <c r="A21" s="18" t="s">
        <v>99</v>
      </c>
      <c r="B21" s="19"/>
      <c r="C21" s="19"/>
      <c r="D21" s="19"/>
      <c r="E21" s="19"/>
      <c r="F21" s="19"/>
      <c r="G21" s="21"/>
      <c r="H21" s="32"/>
    </row>
    <row r="22" spans="1:8" ht="14" x14ac:dyDescent="0.15">
      <c r="A22" s="15" t="s">
        <v>78</v>
      </c>
      <c r="B22" s="16" t="s">
        <v>79</v>
      </c>
      <c r="C22" s="16" t="s">
        <v>100</v>
      </c>
      <c r="D22" s="16" t="s">
        <v>101</v>
      </c>
      <c r="E22" s="16">
        <v>4239902</v>
      </c>
      <c r="F22" s="16" t="s">
        <v>102</v>
      </c>
      <c r="G22" s="17">
        <v>211</v>
      </c>
      <c r="H22" s="85">
        <f>3060.6+41</f>
        <v>3101.6</v>
      </c>
    </row>
    <row r="23" spans="1:8" ht="14" x14ac:dyDescent="0.15">
      <c r="A23" s="15" t="s">
        <v>103</v>
      </c>
      <c r="B23" s="16" t="s">
        <v>79</v>
      </c>
      <c r="C23" s="16" t="s">
        <v>100</v>
      </c>
      <c r="D23" s="16" t="s">
        <v>101</v>
      </c>
      <c r="E23" s="16">
        <v>4239902</v>
      </c>
      <c r="F23" s="16" t="s">
        <v>102</v>
      </c>
      <c r="G23" s="17">
        <v>212</v>
      </c>
      <c r="H23" s="85">
        <v>24</v>
      </c>
    </row>
    <row r="24" spans="1:8" ht="14" x14ac:dyDescent="0.15">
      <c r="A24" s="15" t="s">
        <v>84</v>
      </c>
      <c r="B24" s="16" t="s">
        <v>79</v>
      </c>
      <c r="C24" s="16" t="s">
        <v>100</v>
      </c>
      <c r="D24" s="16" t="s">
        <v>101</v>
      </c>
      <c r="E24" s="16">
        <v>4239902</v>
      </c>
      <c r="F24" s="16" t="s">
        <v>102</v>
      </c>
      <c r="G24" s="17">
        <v>213</v>
      </c>
      <c r="H24" s="85">
        <f>1046.7+11.7</f>
        <v>1058.4000000000001</v>
      </c>
    </row>
    <row r="25" spans="1:8" ht="14" x14ac:dyDescent="0.15">
      <c r="A25" s="15" t="s">
        <v>85</v>
      </c>
      <c r="B25" s="16" t="s">
        <v>79</v>
      </c>
      <c r="C25" s="16" t="s">
        <v>100</v>
      </c>
      <c r="D25" s="16" t="s">
        <v>101</v>
      </c>
      <c r="E25" s="16">
        <v>4239902</v>
      </c>
      <c r="F25" s="16" t="s">
        <v>102</v>
      </c>
      <c r="G25" s="17">
        <v>221</v>
      </c>
      <c r="H25" s="85">
        <v>10</v>
      </c>
    </row>
    <row r="26" spans="1:8" ht="14" x14ac:dyDescent="0.15">
      <c r="A26" s="15" t="s">
        <v>86</v>
      </c>
      <c r="B26" s="16" t="s">
        <v>79</v>
      </c>
      <c r="C26" s="16" t="s">
        <v>100</v>
      </c>
      <c r="D26" s="16" t="s">
        <v>101</v>
      </c>
      <c r="E26" s="16">
        <v>4239902</v>
      </c>
      <c r="F26" s="16" t="s">
        <v>102</v>
      </c>
      <c r="G26" s="17">
        <v>222</v>
      </c>
      <c r="H26" s="85">
        <v>0</v>
      </c>
    </row>
    <row r="27" spans="1:8" ht="14" x14ac:dyDescent="0.15">
      <c r="A27" s="15" t="s">
        <v>87</v>
      </c>
      <c r="B27" s="16" t="s">
        <v>79</v>
      </c>
      <c r="C27" s="16" t="s">
        <v>100</v>
      </c>
      <c r="D27" s="16" t="s">
        <v>101</v>
      </c>
      <c r="E27" s="16">
        <v>4239902</v>
      </c>
      <c r="F27" s="16" t="s">
        <v>102</v>
      </c>
      <c r="G27" s="17">
        <v>223</v>
      </c>
      <c r="H27" s="85">
        <f>105.6-8.8-88.16-8.64</f>
        <v>0</v>
      </c>
    </row>
    <row r="28" spans="1:8" ht="14" x14ac:dyDescent="0.15">
      <c r="A28" s="15" t="s">
        <v>89</v>
      </c>
      <c r="B28" s="16" t="s">
        <v>79</v>
      </c>
      <c r="C28" s="16" t="s">
        <v>100</v>
      </c>
      <c r="D28" s="16" t="s">
        <v>101</v>
      </c>
      <c r="E28" s="16">
        <v>4239902</v>
      </c>
      <c r="F28" s="16" t="s">
        <v>102</v>
      </c>
      <c r="G28" s="17">
        <v>224</v>
      </c>
      <c r="H28" s="85">
        <f>22-22</f>
        <v>0</v>
      </c>
    </row>
    <row r="29" spans="1:8" ht="14" x14ac:dyDescent="0.15">
      <c r="A29" s="15" t="s">
        <v>90</v>
      </c>
      <c r="B29" s="16" t="s">
        <v>79</v>
      </c>
      <c r="C29" s="16" t="s">
        <v>100</v>
      </c>
      <c r="D29" s="16" t="s">
        <v>101</v>
      </c>
      <c r="E29" s="16">
        <v>4239902</v>
      </c>
      <c r="F29" s="16" t="s">
        <v>102</v>
      </c>
      <c r="G29" s="17">
        <v>225</v>
      </c>
      <c r="H29" s="85">
        <v>5</v>
      </c>
    </row>
    <row r="30" spans="1:8" ht="14" x14ac:dyDescent="0.15">
      <c r="A30" s="15" t="s">
        <v>91</v>
      </c>
      <c r="B30" s="16" t="s">
        <v>79</v>
      </c>
      <c r="C30" s="16" t="s">
        <v>100</v>
      </c>
      <c r="D30" s="16" t="s">
        <v>101</v>
      </c>
      <c r="E30" s="16">
        <v>4239902</v>
      </c>
      <c r="F30" s="16" t="s">
        <v>102</v>
      </c>
      <c r="G30" s="17">
        <v>226</v>
      </c>
      <c r="H30" s="85">
        <f>2+8.8</f>
        <v>10.8</v>
      </c>
    </row>
    <row r="31" spans="1:8" ht="14" x14ac:dyDescent="0.15">
      <c r="A31" s="15" t="s">
        <v>220</v>
      </c>
      <c r="B31" s="16" t="s">
        <v>79</v>
      </c>
      <c r="C31" s="16" t="s">
        <v>100</v>
      </c>
      <c r="D31" s="16" t="s">
        <v>101</v>
      </c>
      <c r="E31" s="16">
        <v>4239902</v>
      </c>
      <c r="F31" s="16" t="s">
        <v>102</v>
      </c>
      <c r="G31" s="17">
        <v>290</v>
      </c>
      <c r="H31" s="85">
        <f>1+10.1</f>
        <v>11.1</v>
      </c>
    </row>
    <row r="32" spans="1:8" ht="14" x14ac:dyDescent="0.15">
      <c r="A32" s="15" t="s">
        <v>220</v>
      </c>
      <c r="B32" s="16" t="s">
        <v>79</v>
      </c>
      <c r="C32" s="16" t="s">
        <v>100</v>
      </c>
      <c r="D32" s="16" t="s">
        <v>101</v>
      </c>
      <c r="E32" s="16" t="s">
        <v>221</v>
      </c>
      <c r="F32" s="16" t="s">
        <v>102</v>
      </c>
      <c r="G32" s="17">
        <v>290</v>
      </c>
      <c r="H32" s="85">
        <f>36.4+16.8</f>
        <v>53.2</v>
      </c>
    </row>
    <row r="33" spans="1:8" ht="14" x14ac:dyDescent="0.15">
      <c r="A33" s="15" t="s">
        <v>104</v>
      </c>
      <c r="B33" s="16" t="s">
        <v>79</v>
      </c>
      <c r="C33" s="16" t="s">
        <v>100</v>
      </c>
      <c r="D33" s="16" t="s">
        <v>101</v>
      </c>
      <c r="E33" s="16">
        <v>4239902</v>
      </c>
      <c r="F33" s="16" t="s">
        <v>102</v>
      </c>
      <c r="G33" s="17">
        <v>310</v>
      </c>
      <c r="H33" s="85">
        <v>70</v>
      </c>
    </row>
    <row r="34" spans="1:8" ht="14" x14ac:dyDescent="0.15">
      <c r="A34" s="15" t="s">
        <v>97</v>
      </c>
      <c r="B34" s="16" t="s">
        <v>79</v>
      </c>
      <c r="C34" s="16" t="s">
        <v>100</v>
      </c>
      <c r="D34" s="16" t="s">
        <v>101</v>
      </c>
      <c r="E34" s="16">
        <v>4239902</v>
      </c>
      <c r="F34" s="16" t="s">
        <v>102</v>
      </c>
      <c r="G34" s="17">
        <v>340</v>
      </c>
      <c r="H34" s="85">
        <f>5+22</f>
        <v>27</v>
      </c>
    </row>
    <row r="35" spans="1:8" ht="14" x14ac:dyDescent="0.15">
      <c r="A35" s="18" t="s">
        <v>98</v>
      </c>
      <c r="B35" s="19" t="s">
        <v>79</v>
      </c>
      <c r="C35" s="19" t="s">
        <v>100</v>
      </c>
      <c r="D35" s="19" t="s">
        <v>101</v>
      </c>
      <c r="E35" s="20" t="s">
        <v>222</v>
      </c>
      <c r="F35" s="20" t="s">
        <v>102</v>
      </c>
      <c r="G35" s="21"/>
      <c r="H35" s="86">
        <f>SUM(H22:H34)</f>
        <v>4371.1000000000004</v>
      </c>
    </row>
    <row r="36" spans="1:8" ht="14" x14ac:dyDescent="0.15">
      <c r="A36" s="18" t="s">
        <v>105</v>
      </c>
      <c r="B36" s="16"/>
      <c r="C36" s="16"/>
      <c r="D36" s="16"/>
      <c r="E36" s="16"/>
      <c r="F36" s="16"/>
      <c r="G36" s="21"/>
      <c r="H36" s="85"/>
    </row>
    <row r="37" spans="1:8" ht="14" x14ac:dyDescent="0.15">
      <c r="A37" s="15" t="s">
        <v>78</v>
      </c>
      <c r="B37" s="16" t="s">
        <v>79</v>
      </c>
      <c r="C37" s="16" t="s">
        <v>100</v>
      </c>
      <c r="D37" s="16" t="s">
        <v>101</v>
      </c>
      <c r="E37" s="16">
        <v>4239902</v>
      </c>
      <c r="F37" s="16" t="s">
        <v>102</v>
      </c>
      <c r="G37" s="17">
        <v>211</v>
      </c>
      <c r="H37" s="85">
        <f>2037.3+27.3</f>
        <v>2064.6</v>
      </c>
    </row>
    <row r="38" spans="1:8" ht="14" x14ac:dyDescent="0.15">
      <c r="A38" s="15" t="s">
        <v>103</v>
      </c>
      <c r="B38" s="16" t="s">
        <v>79</v>
      </c>
      <c r="C38" s="16" t="s">
        <v>100</v>
      </c>
      <c r="D38" s="16" t="s">
        <v>101</v>
      </c>
      <c r="E38" s="16">
        <v>4239902</v>
      </c>
      <c r="F38" s="16" t="s">
        <v>102</v>
      </c>
      <c r="G38" s="17">
        <v>212</v>
      </c>
      <c r="H38" s="85">
        <v>18</v>
      </c>
    </row>
    <row r="39" spans="1:8" ht="14" x14ac:dyDescent="0.15">
      <c r="A39" s="15" t="s">
        <v>84</v>
      </c>
      <c r="B39" s="16" t="s">
        <v>79</v>
      </c>
      <c r="C39" s="16" t="s">
        <v>100</v>
      </c>
      <c r="D39" s="16" t="s">
        <v>101</v>
      </c>
      <c r="E39" s="16">
        <v>4239902</v>
      </c>
      <c r="F39" s="16" t="s">
        <v>102</v>
      </c>
      <c r="G39" s="17">
        <v>213</v>
      </c>
      <c r="H39" s="85">
        <f>696.8+7.8</f>
        <v>704.59999999999991</v>
      </c>
    </row>
    <row r="40" spans="1:8" ht="14" x14ac:dyDescent="0.15">
      <c r="A40" s="15" t="s">
        <v>85</v>
      </c>
      <c r="B40" s="16" t="s">
        <v>79</v>
      </c>
      <c r="C40" s="16" t="s">
        <v>100</v>
      </c>
      <c r="D40" s="16" t="s">
        <v>101</v>
      </c>
      <c r="E40" s="16">
        <v>4239902</v>
      </c>
      <c r="F40" s="16" t="s">
        <v>102</v>
      </c>
      <c r="G40" s="17">
        <v>221</v>
      </c>
      <c r="H40" s="85">
        <v>0</v>
      </c>
    </row>
    <row r="41" spans="1:8" ht="14" x14ac:dyDescent="0.15">
      <c r="A41" s="15" t="s">
        <v>86</v>
      </c>
      <c r="B41" s="16" t="s">
        <v>79</v>
      </c>
      <c r="C41" s="16" t="s">
        <v>100</v>
      </c>
      <c r="D41" s="16" t="s">
        <v>101</v>
      </c>
      <c r="E41" s="16">
        <v>4239902</v>
      </c>
      <c r="F41" s="16" t="s">
        <v>102</v>
      </c>
      <c r="G41" s="17">
        <v>222</v>
      </c>
      <c r="H41" s="85">
        <v>0</v>
      </c>
    </row>
    <row r="42" spans="1:8" ht="14" x14ac:dyDescent="0.15">
      <c r="A42" s="15" t="s">
        <v>87</v>
      </c>
      <c r="B42" s="16" t="s">
        <v>79</v>
      </c>
      <c r="C42" s="16" t="s">
        <v>100</v>
      </c>
      <c r="D42" s="16" t="s">
        <v>101</v>
      </c>
      <c r="E42" s="16">
        <v>4239902</v>
      </c>
      <c r="F42" s="16" t="s">
        <v>102</v>
      </c>
      <c r="G42" s="17">
        <v>223</v>
      </c>
      <c r="H42" s="85">
        <v>0</v>
      </c>
    </row>
    <row r="43" spans="1:8" ht="14" x14ac:dyDescent="0.15">
      <c r="A43" s="15" t="s">
        <v>89</v>
      </c>
      <c r="B43" s="16" t="s">
        <v>79</v>
      </c>
      <c r="C43" s="16" t="s">
        <v>100</v>
      </c>
      <c r="D43" s="16" t="s">
        <v>101</v>
      </c>
      <c r="E43" s="16">
        <v>4239902</v>
      </c>
      <c r="F43" s="16" t="s">
        <v>102</v>
      </c>
      <c r="G43" s="17">
        <v>224</v>
      </c>
      <c r="H43" s="85">
        <v>0</v>
      </c>
    </row>
    <row r="44" spans="1:8" ht="14" x14ac:dyDescent="0.15">
      <c r="A44" s="15" t="s">
        <v>90</v>
      </c>
      <c r="B44" s="16" t="s">
        <v>79</v>
      </c>
      <c r="C44" s="16" t="s">
        <v>100</v>
      </c>
      <c r="D44" s="16" t="s">
        <v>101</v>
      </c>
      <c r="E44" s="16">
        <v>4239902</v>
      </c>
      <c r="F44" s="16" t="s">
        <v>102</v>
      </c>
      <c r="G44" s="17">
        <v>225</v>
      </c>
      <c r="H44" s="85">
        <v>0</v>
      </c>
    </row>
    <row r="45" spans="1:8" ht="14" x14ac:dyDescent="0.15">
      <c r="A45" s="15" t="s">
        <v>91</v>
      </c>
      <c r="B45" s="16" t="s">
        <v>79</v>
      </c>
      <c r="C45" s="16" t="s">
        <v>100</v>
      </c>
      <c r="D45" s="16" t="s">
        <v>101</v>
      </c>
      <c r="E45" s="16">
        <v>4239902</v>
      </c>
      <c r="F45" s="16" t="s">
        <v>102</v>
      </c>
      <c r="G45" s="17">
        <v>226</v>
      </c>
      <c r="H45" s="85">
        <v>0</v>
      </c>
    </row>
    <row r="46" spans="1:8" ht="14" x14ac:dyDescent="0.15">
      <c r="A46" s="11" t="s">
        <v>94</v>
      </c>
      <c r="B46" s="16" t="s">
        <v>79</v>
      </c>
      <c r="C46" s="16" t="s">
        <v>100</v>
      </c>
      <c r="D46" s="16" t="s">
        <v>101</v>
      </c>
      <c r="E46" s="16">
        <v>4239902</v>
      </c>
      <c r="F46" s="16" t="s">
        <v>102</v>
      </c>
      <c r="G46" s="17">
        <v>290</v>
      </c>
      <c r="H46" s="85">
        <v>5.5</v>
      </c>
    </row>
    <row r="47" spans="1:8" ht="14" x14ac:dyDescent="0.15">
      <c r="A47" s="11" t="s">
        <v>94</v>
      </c>
      <c r="B47" s="16" t="s">
        <v>79</v>
      </c>
      <c r="C47" s="16" t="s">
        <v>100</v>
      </c>
      <c r="D47" s="16" t="s">
        <v>101</v>
      </c>
      <c r="E47" s="16" t="s">
        <v>221</v>
      </c>
      <c r="F47" s="16" t="s">
        <v>102</v>
      </c>
      <c r="G47" s="17" t="s">
        <v>95</v>
      </c>
      <c r="H47" s="85">
        <v>0</v>
      </c>
    </row>
    <row r="48" spans="1:8" ht="14" x14ac:dyDescent="0.15">
      <c r="A48" s="15" t="s">
        <v>104</v>
      </c>
      <c r="B48" s="16" t="s">
        <v>79</v>
      </c>
      <c r="C48" s="16" t="s">
        <v>100</v>
      </c>
      <c r="D48" s="16" t="s">
        <v>101</v>
      </c>
      <c r="E48" s="16">
        <v>4239902</v>
      </c>
      <c r="F48" s="16" t="s">
        <v>102</v>
      </c>
      <c r="G48" s="17">
        <v>310</v>
      </c>
      <c r="H48" s="85">
        <v>0</v>
      </c>
    </row>
    <row r="49" spans="1:8" ht="14" x14ac:dyDescent="0.15">
      <c r="A49" s="15" t="s">
        <v>97</v>
      </c>
      <c r="B49" s="16" t="s">
        <v>79</v>
      </c>
      <c r="C49" s="16" t="s">
        <v>100</v>
      </c>
      <c r="D49" s="16" t="s">
        <v>101</v>
      </c>
      <c r="E49" s="16">
        <v>4239902</v>
      </c>
      <c r="F49" s="16" t="s">
        <v>102</v>
      </c>
      <c r="G49" s="17">
        <v>340</v>
      </c>
      <c r="H49" s="85">
        <v>10</v>
      </c>
    </row>
    <row r="50" spans="1:8" ht="14" x14ac:dyDescent="0.15">
      <c r="A50" s="18" t="s">
        <v>98</v>
      </c>
      <c r="B50" s="19" t="s">
        <v>79</v>
      </c>
      <c r="C50" s="19" t="s">
        <v>100</v>
      </c>
      <c r="D50" s="19" t="s">
        <v>101</v>
      </c>
      <c r="E50" s="20" t="s">
        <v>222</v>
      </c>
      <c r="F50" s="20" t="s">
        <v>102</v>
      </c>
      <c r="G50" s="21"/>
      <c r="H50" s="86">
        <f>SUM(H37:H49)</f>
        <v>2802.7</v>
      </c>
    </row>
    <row r="51" spans="1:8" ht="14" x14ac:dyDescent="0.15">
      <c r="A51" s="18" t="s">
        <v>106</v>
      </c>
      <c r="B51" s="16"/>
      <c r="C51" s="16"/>
      <c r="D51" s="16"/>
      <c r="E51" s="16"/>
      <c r="F51" s="16"/>
      <c r="G51" s="21"/>
      <c r="H51" s="85"/>
    </row>
    <row r="52" spans="1:8" ht="14" x14ac:dyDescent="0.15">
      <c r="A52" s="15" t="s">
        <v>78</v>
      </c>
      <c r="B52" s="16" t="s">
        <v>79</v>
      </c>
      <c r="C52" s="16" t="s">
        <v>100</v>
      </c>
      <c r="D52" s="16" t="s">
        <v>101</v>
      </c>
      <c r="E52" s="16">
        <v>4239902</v>
      </c>
      <c r="F52" s="16" t="s">
        <v>102</v>
      </c>
      <c r="G52" s="17">
        <v>211</v>
      </c>
      <c r="H52" s="85">
        <f>2537.8+111</f>
        <v>2648.8</v>
      </c>
    </row>
    <row r="53" spans="1:8" ht="14" x14ac:dyDescent="0.15">
      <c r="A53" s="15" t="s">
        <v>103</v>
      </c>
      <c r="B53" s="16" t="s">
        <v>79</v>
      </c>
      <c r="C53" s="16" t="s">
        <v>100</v>
      </c>
      <c r="D53" s="16" t="s">
        <v>101</v>
      </c>
      <c r="E53" s="16">
        <v>4239902</v>
      </c>
      <c r="F53" s="16" t="s">
        <v>102</v>
      </c>
      <c r="G53" s="17">
        <v>212</v>
      </c>
      <c r="H53" s="85">
        <v>19.2</v>
      </c>
    </row>
    <row r="54" spans="1:8" ht="14" x14ac:dyDescent="0.15">
      <c r="A54" s="15" t="s">
        <v>84</v>
      </c>
      <c r="B54" s="16" t="s">
        <v>79</v>
      </c>
      <c r="C54" s="16" t="s">
        <v>100</v>
      </c>
      <c r="D54" s="16" t="s">
        <v>101</v>
      </c>
      <c r="E54" s="16">
        <v>4239902</v>
      </c>
      <c r="F54" s="16" t="s">
        <v>102</v>
      </c>
      <c r="G54" s="17">
        <v>213</v>
      </c>
      <c r="H54" s="85">
        <f>867.9+31.6</f>
        <v>899.5</v>
      </c>
    </row>
    <row r="55" spans="1:8" ht="14" x14ac:dyDescent="0.15">
      <c r="A55" s="15" t="s">
        <v>85</v>
      </c>
      <c r="B55" s="16" t="s">
        <v>79</v>
      </c>
      <c r="C55" s="16" t="s">
        <v>100</v>
      </c>
      <c r="D55" s="16" t="s">
        <v>101</v>
      </c>
      <c r="E55" s="16">
        <v>4239902</v>
      </c>
      <c r="F55" s="16" t="s">
        <v>102</v>
      </c>
      <c r="G55" s="17">
        <v>221</v>
      </c>
      <c r="H55" s="85">
        <v>0</v>
      </c>
    </row>
    <row r="56" spans="1:8" ht="14" x14ac:dyDescent="0.15">
      <c r="A56" s="15" t="s">
        <v>86</v>
      </c>
      <c r="B56" s="16" t="s">
        <v>79</v>
      </c>
      <c r="C56" s="16" t="s">
        <v>100</v>
      </c>
      <c r="D56" s="16" t="s">
        <v>101</v>
      </c>
      <c r="E56" s="16">
        <v>4239902</v>
      </c>
      <c r="F56" s="16" t="s">
        <v>102</v>
      </c>
      <c r="G56" s="17">
        <v>222</v>
      </c>
      <c r="H56" s="85">
        <v>0</v>
      </c>
    </row>
    <row r="57" spans="1:8" ht="14" x14ac:dyDescent="0.15">
      <c r="A57" s="15" t="s">
        <v>87</v>
      </c>
      <c r="B57" s="16" t="s">
        <v>79</v>
      </c>
      <c r="C57" s="16" t="s">
        <v>100</v>
      </c>
      <c r="D57" s="16" t="s">
        <v>101</v>
      </c>
      <c r="E57" s="16">
        <v>4239902</v>
      </c>
      <c r="F57" s="16" t="s">
        <v>102</v>
      </c>
      <c r="G57" s="17">
        <v>223</v>
      </c>
      <c r="H57" s="85">
        <v>0</v>
      </c>
    </row>
    <row r="58" spans="1:8" ht="14" x14ac:dyDescent="0.15">
      <c r="A58" s="15" t="s">
        <v>89</v>
      </c>
      <c r="B58" s="16" t="s">
        <v>79</v>
      </c>
      <c r="C58" s="16" t="s">
        <v>100</v>
      </c>
      <c r="D58" s="16" t="s">
        <v>101</v>
      </c>
      <c r="E58" s="16">
        <v>4239902</v>
      </c>
      <c r="F58" s="16" t="s">
        <v>102</v>
      </c>
      <c r="G58" s="17">
        <v>224</v>
      </c>
      <c r="H58" s="85">
        <v>0</v>
      </c>
    </row>
    <row r="59" spans="1:8" ht="14" x14ac:dyDescent="0.15">
      <c r="A59" s="15" t="s">
        <v>90</v>
      </c>
      <c r="B59" s="16" t="s">
        <v>79</v>
      </c>
      <c r="C59" s="16" t="s">
        <v>100</v>
      </c>
      <c r="D59" s="16" t="s">
        <v>101</v>
      </c>
      <c r="E59" s="16">
        <v>4239902</v>
      </c>
      <c r="F59" s="16" t="s">
        <v>102</v>
      </c>
      <c r="G59" s="17">
        <v>225</v>
      </c>
      <c r="H59" s="85">
        <v>0</v>
      </c>
    </row>
    <row r="60" spans="1:8" ht="14" x14ac:dyDescent="0.15">
      <c r="A60" s="15" t="s">
        <v>91</v>
      </c>
      <c r="B60" s="16" t="s">
        <v>79</v>
      </c>
      <c r="C60" s="16" t="s">
        <v>100</v>
      </c>
      <c r="D60" s="16" t="s">
        <v>101</v>
      </c>
      <c r="E60" s="16">
        <v>4239902</v>
      </c>
      <c r="F60" s="16" t="s">
        <v>102</v>
      </c>
      <c r="G60" s="17">
        <v>226</v>
      </c>
      <c r="H60" s="85">
        <v>0</v>
      </c>
    </row>
    <row r="61" spans="1:8" ht="14" x14ac:dyDescent="0.15">
      <c r="A61" s="11" t="s">
        <v>94</v>
      </c>
      <c r="B61" s="16" t="s">
        <v>79</v>
      </c>
      <c r="C61" s="16" t="s">
        <v>100</v>
      </c>
      <c r="D61" s="16" t="s">
        <v>101</v>
      </c>
      <c r="E61" s="16">
        <v>4239902</v>
      </c>
      <c r="F61" s="16" t="s">
        <v>102</v>
      </c>
      <c r="G61" s="17">
        <v>290</v>
      </c>
      <c r="H61" s="85">
        <v>5.5</v>
      </c>
    </row>
    <row r="62" spans="1:8" ht="14" x14ac:dyDescent="0.15">
      <c r="A62" s="11" t="s">
        <v>94</v>
      </c>
      <c r="B62" s="16" t="s">
        <v>79</v>
      </c>
      <c r="C62" s="16" t="s">
        <v>100</v>
      </c>
      <c r="D62" s="16" t="s">
        <v>101</v>
      </c>
      <c r="E62" s="16" t="s">
        <v>221</v>
      </c>
      <c r="F62" s="16" t="s">
        <v>102</v>
      </c>
      <c r="G62" s="17" t="s">
        <v>95</v>
      </c>
      <c r="H62" s="85">
        <v>1.4</v>
      </c>
    </row>
    <row r="63" spans="1:8" ht="14" x14ac:dyDescent="0.15">
      <c r="A63" s="15" t="s">
        <v>104</v>
      </c>
      <c r="B63" s="16" t="s">
        <v>79</v>
      </c>
      <c r="C63" s="16" t="s">
        <v>100</v>
      </c>
      <c r="D63" s="16" t="s">
        <v>101</v>
      </c>
      <c r="E63" s="16">
        <v>4239902</v>
      </c>
      <c r="F63" s="16" t="s">
        <v>102</v>
      </c>
      <c r="G63" s="17">
        <v>310</v>
      </c>
      <c r="H63" s="85">
        <v>15</v>
      </c>
    </row>
    <row r="64" spans="1:8" ht="14" x14ac:dyDescent="0.15">
      <c r="A64" s="15" t="s">
        <v>97</v>
      </c>
      <c r="B64" s="16" t="s">
        <v>79</v>
      </c>
      <c r="C64" s="16" t="s">
        <v>100</v>
      </c>
      <c r="D64" s="16" t="s">
        <v>101</v>
      </c>
      <c r="E64" s="16">
        <v>4239902</v>
      </c>
      <c r="F64" s="16" t="s">
        <v>102</v>
      </c>
      <c r="G64" s="17">
        <v>340</v>
      </c>
      <c r="H64" s="85">
        <v>10.8</v>
      </c>
    </row>
    <row r="65" spans="1:8" ht="14" x14ac:dyDescent="0.15">
      <c r="A65" s="18" t="s">
        <v>98</v>
      </c>
      <c r="B65" s="19" t="s">
        <v>79</v>
      </c>
      <c r="C65" s="19" t="s">
        <v>100</v>
      </c>
      <c r="D65" s="19" t="s">
        <v>101</v>
      </c>
      <c r="E65" s="20" t="s">
        <v>222</v>
      </c>
      <c r="F65" s="20" t="s">
        <v>102</v>
      </c>
      <c r="G65" s="67"/>
      <c r="H65" s="86">
        <f>SUM(H52:H64)</f>
        <v>3600.2000000000003</v>
      </c>
    </row>
    <row r="66" spans="1:8" ht="14" x14ac:dyDescent="0.15">
      <c r="A66" s="18" t="s">
        <v>107</v>
      </c>
      <c r="B66" s="16"/>
      <c r="C66" s="16"/>
      <c r="D66" s="16"/>
      <c r="E66" s="16"/>
      <c r="F66" s="16"/>
      <c r="G66" s="21"/>
      <c r="H66" s="85"/>
    </row>
    <row r="67" spans="1:8" ht="14" x14ac:dyDescent="0.15">
      <c r="A67" s="15" t="s">
        <v>78</v>
      </c>
      <c r="B67" s="16" t="s">
        <v>79</v>
      </c>
      <c r="C67" s="16" t="s">
        <v>100</v>
      </c>
      <c r="D67" s="16" t="s">
        <v>101</v>
      </c>
      <c r="E67" s="16">
        <v>4239902</v>
      </c>
      <c r="F67" s="16" t="s">
        <v>102</v>
      </c>
      <c r="G67" s="17">
        <v>211</v>
      </c>
      <c r="H67" s="85">
        <v>5762.6</v>
      </c>
    </row>
    <row r="68" spans="1:8" ht="14" x14ac:dyDescent="0.15">
      <c r="A68" s="15" t="s">
        <v>103</v>
      </c>
      <c r="B68" s="16" t="s">
        <v>79</v>
      </c>
      <c r="C68" s="16" t="s">
        <v>100</v>
      </c>
      <c r="D68" s="16" t="s">
        <v>101</v>
      </c>
      <c r="E68" s="16">
        <v>4239902</v>
      </c>
      <c r="F68" s="16" t="s">
        <v>102</v>
      </c>
      <c r="G68" s="17">
        <v>212</v>
      </c>
      <c r="H68" s="85">
        <f>20+33.6</f>
        <v>53.6</v>
      </c>
    </row>
    <row r="69" spans="1:8" ht="14" x14ac:dyDescent="0.15">
      <c r="A69" s="15" t="s">
        <v>84</v>
      </c>
      <c r="B69" s="16" t="s">
        <v>79</v>
      </c>
      <c r="C69" s="16" t="s">
        <v>100</v>
      </c>
      <c r="D69" s="16" t="s">
        <v>101</v>
      </c>
      <c r="E69" s="16">
        <v>4239902</v>
      </c>
      <c r="F69" s="16" t="s">
        <v>102</v>
      </c>
      <c r="G69" s="17">
        <v>213</v>
      </c>
      <c r="H69" s="85">
        <v>1970.8</v>
      </c>
    </row>
    <row r="70" spans="1:8" ht="14" x14ac:dyDescent="0.15">
      <c r="A70" s="15" t="s">
        <v>85</v>
      </c>
      <c r="B70" s="16" t="s">
        <v>79</v>
      </c>
      <c r="C70" s="16" t="s">
        <v>100</v>
      </c>
      <c r="D70" s="16" t="s">
        <v>101</v>
      </c>
      <c r="E70" s="16">
        <v>4239902</v>
      </c>
      <c r="F70" s="16" t="s">
        <v>102</v>
      </c>
      <c r="G70" s="17">
        <v>221</v>
      </c>
      <c r="H70" s="85">
        <v>16</v>
      </c>
    </row>
    <row r="71" spans="1:8" ht="14" x14ac:dyDescent="0.15">
      <c r="A71" s="15" t="s">
        <v>86</v>
      </c>
      <c r="B71" s="16" t="s">
        <v>79</v>
      </c>
      <c r="C71" s="16" t="s">
        <v>100</v>
      </c>
      <c r="D71" s="16" t="s">
        <v>101</v>
      </c>
      <c r="E71" s="16">
        <v>4239902</v>
      </c>
      <c r="F71" s="16" t="s">
        <v>102</v>
      </c>
      <c r="G71" s="17">
        <v>222</v>
      </c>
      <c r="H71" s="85">
        <v>50</v>
      </c>
    </row>
    <row r="72" spans="1:8" ht="14" x14ac:dyDescent="0.15">
      <c r="A72" s="15" t="s">
        <v>87</v>
      </c>
      <c r="B72" s="16" t="s">
        <v>79</v>
      </c>
      <c r="C72" s="16" t="s">
        <v>100</v>
      </c>
      <c r="D72" s="16" t="s">
        <v>101</v>
      </c>
      <c r="E72" s="16">
        <v>4239902</v>
      </c>
      <c r="F72" s="16" t="s">
        <v>102</v>
      </c>
      <c r="G72" s="17">
        <v>223</v>
      </c>
      <c r="H72" s="85">
        <f>569.9-35+8.64</f>
        <v>543.54</v>
      </c>
    </row>
    <row r="73" spans="1:8" ht="14" x14ac:dyDescent="0.15">
      <c r="A73" s="15" t="s">
        <v>89</v>
      </c>
      <c r="B73" s="16" t="s">
        <v>79</v>
      </c>
      <c r="C73" s="16" t="s">
        <v>100</v>
      </c>
      <c r="D73" s="16" t="s">
        <v>101</v>
      </c>
      <c r="E73" s="16">
        <v>4239902</v>
      </c>
      <c r="F73" s="16" t="s">
        <v>102</v>
      </c>
      <c r="G73" s="17">
        <v>224</v>
      </c>
      <c r="H73" s="85">
        <v>0</v>
      </c>
    </row>
    <row r="74" spans="1:8" ht="14" x14ac:dyDescent="0.15">
      <c r="A74" s="15" t="s">
        <v>90</v>
      </c>
      <c r="B74" s="16" t="s">
        <v>79</v>
      </c>
      <c r="C74" s="16" t="s">
        <v>100</v>
      </c>
      <c r="D74" s="16" t="s">
        <v>101</v>
      </c>
      <c r="E74" s="16">
        <v>4239902</v>
      </c>
      <c r="F74" s="16" t="s">
        <v>102</v>
      </c>
      <c r="G74" s="17">
        <v>225</v>
      </c>
      <c r="H74" s="85">
        <v>100</v>
      </c>
    </row>
    <row r="75" spans="1:8" ht="14" x14ac:dyDescent="0.15">
      <c r="A75" s="15" t="s">
        <v>91</v>
      </c>
      <c r="B75" s="16" t="s">
        <v>79</v>
      </c>
      <c r="C75" s="16" t="s">
        <v>100</v>
      </c>
      <c r="D75" s="16" t="s">
        <v>101</v>
      </c>
      <c r="E75" s="16">
        <v>4239902</v>
      </c>
      <c r="F75" s="16" t="s">
        <v>102</v>
      </c>
      <c r="G75" s="17">
        <v>226</v>
      </c>
      <c r="H75" s="85">
        <v>580</v>
      </c>
    </row>
    <row r="76" spans="1:8" ht="14" x14ac:dyDescent="0.15">
      <c r="A76" s="11" t="s">
        <v>220</v>
      </c>
      <c r="B76" s="16" t="s">
        <v>79</v>
      </c>
      <c r="C76" s="16" t="s">
        <v>100</v>
      </c>
      <c r="D76" s="16" t="s">
        <v>101</v>
      </c>
      <c r="E76" s="16">
        <v>4239902</v>
      </c>
      <c r="F76" s="16" t="s">
        <v>102</v>
      </c>
      <c r="G76" s="17">
        <v>290</v>
      </c>
      <c r="H76" s="85">
        <f>5.7+1</f>
        <v>6.7</v>
      </c>
    </row>
    <row r="77" spans="1:8" ht="14" x14ac:dyDescent="0.15">
      <c r="A77" s="11" t="s">
        <v>220</v>
      </c>
      <c r="B77" s="16" t="s">
        <v>79</v>
      </c>
      <c r="C77" s="16" t="s">
        <v>100</v>
      </c>
      <c r="D77" s="16" t="s">
        <v>101</v>
      </c>
      <c r="E77" s="16" t="s">
        <v>221</v>
      </c>
      <c r="F77" s="16" t="s">
        <v>102</v>
      </c>
      <c r="G77" s="17" t="s">
        <v>95</v>
      </c>
      <c r="H77" s="85">
        <f>1512.9-200</f>
        <v>1312.9</v>
      </c>
    </row>
    <row r="78" spans="1:8" ht="14" x14ac:dyDescent="0.15">
      <c r="A78" s="15" t="s">
        <v>104</v>
      </c>
      <c r="B78" s="16" t="s">
        <v>79</v>
      </c>
      <c r="C78" s="16" t="s">
        <v>100</v>
      </c>
      <c r="D78" s="16" t="s">
        <v>101</v>
      </c>
      <c r="E78" s="16">
        <v>4239902</v>
      </c>
      <c r="F78" s="16" t="s">
        <v>102</v>
      </c>
      <c r="G78" s="17">
        <v>310</v>
      </c>
      <c r="H78" s="85">
        <v>690</v>
      </c>
    </row>
    <row r="79" spans="1:8" ht="14" x14ac:dyDescent="0.15">
      <c r="A79" s="15" t="s">
        <v>97</v>
      </c>
      <c r="B79" s="16" t="s">
        <v>79</v>
      </c>
      <c r="C79" s="16" t="s">
        <v>100</v>
      </c>
      <c r="D79" s="16" t="s">
        <v>101</v>
      </c>
      <c r="E79" s="16">
        <v>4239902</v>
      </c>
      <c r="F79" s="16" t="s">
        <v>102</v>
      </c>
      <c r="G79" s="17">
        <v>340</v>
      </c>
      <c r="H79" s="85">
        <v>120</v>
      </c>
    </row>
    <row r="80" spans="1:8" ht="14" x14ac:dyDescent="0.15">
      <c r="A80" s="18" t="s">
        <v>98</v>
      </c>
      <c r="B80" s="19" t="s">
        <v>79</v>
      </c>
      <c r="C80" s="19" t="s">
        <v>100</v>
      </c>
      <c r="D80" s="19" t="s">
        <v>101</v>
      </c>
      <c r="E80" s="20" t="s">
        <v>222</v>
      </c>
      <c r="F80" s="20" t="s">
        <v>102</v>
      </c>
      <c r="G80" s="21"/>
      <c r="H80" s="86">
        <f>SUM(H67:H79)</f>
        <v>11206.140000000001</v>
      </c>
    </row>
    <row r="81" spans="1:8" ht="14" x14ac:dyDescent="0.15">
      <c r="A81" s="8" t="s">
        <v>108</v>
      </c>
      <c r="B81" s="10"/>
      <c r="C81" s="10"/>
      <c r="D81" s="10"/>
      <c r="E81" s="10"/>
      <c r="F81" s="10"/>
      <c r="G81" s="12"/>
      <c r="H81" s="85"/>
    </row>
    <row r="82" spans="1:8" ht="14" x14ac:dyDescent="0.15">
      <c r="A82" s="53" t="s">
        <v>78</v>
      </c>
      <c r="B82" s="54" t="s">
        <v>79</v>
      </c>
      <c r="C82" s="54" t="s">
        <v>100</v>
      </c>
      <c r="D82" s="54" t="s">
        <v>101</v>
      </c>
      <c r="E82" s="54">
        <v>4239902</v>
      </c>
      <c r="F82" s="54" t="s">
        <v>102</v>
      </c>
      <c r="G82" s="64">
        <v>211</v>
      </c>
      <c r="H82" s="438">
        <f>H22+H37+H52+H67</f>
        <v>13577.6</v>
      </c>
    </row>
    <row r="83" spans="1:8" ht="14" x14ac:dyDescent="0.15">
      <c r="A83" s="53" t="s">
        <v>103</v>
      </c>
      <c r="B83" s="54" t="s">
        <v>79</v>
      </c>
      <c r="C83" s="54" t="s">
        <v>100</v>
      </c>
      <c r="D83" s="54" t="s">
        <v>101</v>
      </c>
      <c r="E83" s="54">
        <v>4239902</v>
      </c>
      <c r="F83" s="54" t="s">
        <v>102</v>
      </c>
      <c r="G83" s="64">
        <v>212</v>
      </c>
      <c r="H83" s="87">
        <f t="shared" ref="H83:H94" si="0">H23+H38+H53+H68</f>
        <v>114.80000000000001</v>
      </c>
    </row>
    <row r="84" spans="1:8" ht="14" x14ac:dyDescent="0.15">
      <c r="A84" s="53" t="s">
        <v>84</v>
      </c>
      <c r="B84" s="54" t="s">
        <v>79</v>
      </c>
      <c r="C84" s="54" t="s">
        <v>100</v>
      </c>
      <c r="D84" s="54" t="s">
        <v>101</v>
      </c>
      <c r="E84" s="54">
        <v>4239902</v>
      </c>
      <c r="F84" s="54" t="s">
        <v>102</v>
      </c>
      <c r="G84" s="64">
        <v>213</v>
      </c>
      <c r="H84" s="438">
        <f t="shared" si="0"/>
        <v>4633.3</v>
      </c>
    </row>
    <row r="85" spans="1:8" ht="14" x14ac:dyDescent="0.15">
      <c r="A85" s="53" t="s">
        <v>85</v>
      </c>
      <c r="B85" s="54" t="s">
        <v>79</v>
      </c>
      <c r="C85" s="54" t="s">
        <v>100</v>
      </c>
      <c r="D85" s="54" t="s">
        <v>101</v>
      </c>
      <c r="E85" s="54">
        <v>4239902</v>
      </c>
      <c r="F85" s="54" t="s">
        <v>102</v>
      </c>
      <c r="G85" s="64">
        <v>221</v>
      </c>
      <c r="H85" s="87">
        <f t="shared" si="0"/>
        <v>26</v>
      </c>
    </row>
    <row r="86" spans="1:8" ht="14" x14ac:dyDescent="0.15">
      <c r="A86" s="53" t="s">
        <v>86</v>
      </c>
      <c r="B86" s="54" t="s">
        <v>79</v>
      </c>
      <c r="C86" s="54" t="s">
        <v>100</v>
      </c>
      <c r="D86" s="54" t="s">
        <v>101</v>
      </c>
      <c r="E86" s="54">
        <v>4239902</v>
      </c>
      <c r="F86" s="54" t="s">
        <v>102</v>
      </c>
      <c r="G86" s="64">
        <v>222</v>
      </c>
      <c r="H86" s="87">
        <f t="shared" si="0"/>
        <v>50</v>
      </c>
    </row>
    <row r="87" spans="1:8" ht="14" x14ac:dyDescent="0.15">
      <c r="A87" s="53" t="s">
        <v>87</v>
      </c>
      <c r="B87" s="54" t="s">
        <v>79</v>
      </c>
      <c r="C87" s="54" t="s">
        <v>100</v>
      </c>
      <c r="D87" s="54" t="s">
        <v>101</v>
      </c>
      <c r="E87" s="54">
        <v>4239902</v>
      </c>
      <c r="F87" s="54" t="s">
        <v>102</v>
      </c>
      <c r="G87" s="64">
        <v>223</v>
      </c>
      <c r="H87" s="439">
        <f t="shared" si="0"/>
        <v>543.54</v>
      </c>
    </row>
    <row r="88" spans="1:8" ht="14" x14ac:dyDescent="0.15">
      <c r="A88" s="53" t="s">
        <v>89</v>
      </c>
      <c r="B88" s="54" t="s">
        <v>79</v>
      </c>
      <c r="C88" s="54" t="s">
        <v>100</v>
      </c>
      <c r="D88" s="54" t="s">
        <v>101</v>
      </c>
      <c r="E88" s="54">
        <v>4239902</v>
      </c>
      <c r="F88" s="54" t="s">
        <v>102</v>
      </c>
      <c r="G88" s="64">
        <v>224</v>
      </c>
      <c r="H88" s="440">
        <f t="shared" si="0"/>
        <v>0</v>
      </c>
    </row>
    <row r="89" spans="1:8" ht="14" x14ac:dyDescent="0.15">
      <c r="A89" s="53" t="s">
        <v>90</v>
      </c>
      <c r="B89" s="54" t="s">
        <v>79</v>
      </c>
      <c r="C89" s="54" t="s">
        <v>100</v>
      </c>
      <c r="D89" s="54" t="s">
        <v>101</v>
      </c>
      <c r="E89" s="54">
        <v>4239902</v>
      </c>
      <c r="F89" s="54" t="s">
        <v>102</v>
      </c>
      <c r="G89" s="64">
        <v>225</v>
      </c>
      <c r="H89" s="87">
        <f t="shared" si="0"/>
        <v>105</v>
      </c>
    </row>
    <row r="90" spans="1:8" ht="14" x14ac:dyDescent="0.15">
      <c r="A90" s="53" t="s">
        <v>91</v>
      </c>
      <c r="B90" s="54" t="s">
        <v>79</v>
      </c>
      <c r="C90" s="54" t="s">
        <v>100</v>
      </c>
      <c r="D90" s="54" t="s">
        <v>101</v>
      </c>
      <c r="E90" s="54">
        <v>4239902</v>
      </c>
      <c r="F90" s="54" t="s">
        <v>102</v>
      </c>
      <c r="G90" s="64">
        <v>226</v>
      </c>
      <c r="H90" s="438">
        <f t="shared" si="0"/>
        <v>590.79999999999995</v>
      </c>
    </row>
    <row r="91" spans="1:8" ht="14" x14ac:dyDescent="0.15">
      <c r="A91" s="53" t="s">
        <v>223</v>
      </c>
      <c r="B91" s="54" t="s">
        <v>79</v>
      </c>
      <c r="C91" s="54" t="s">
        <v>100</v>
      </c>
      <c r="D91" s="54" t="s">
        <v>101</v>
      </c>
      <c r="E91" s="54">
        <v>4239902</v>
      </c>
      <c r="F91" s="54" t="s">
        <v>102</v>
      </c>
      <c r="G91" s="64">
        <v>290</v>
      </c>
      <c r="H91" s="87">
        <f t="shared" si="0"/>
        <v>28.8</v>
      </c>
    </row>
    <row r="92" spans="1:8" ht="14" x14ac:dyDescent="0.15">
      <c r="A92" s="68" t="s">
        <v>94</v>
      </c>
      <c r="B92" s="54" t="s">
        <v>79</v>
      </c>
      <c r="C92" s="54" t="s">
        <v>100</v>
      </c>
      <c r="D92" s="54" t="s">
        <v>101</v>
      </c>
      <c r="E92" s="54" t="s">
        <v>221</v>
      </c>
      <c r="F92" s="54" t="s">
        <v>102</v>
      </c>
      <c r="G92" s="64">
        <v>290</v>
      </c>
      <c r="H92" s="439">
        <f t="shared" si="0"/>
        <v>1367.5</v>
      </c>
    </row>
    <row r="93" spans="1:8" ht="14" x14ac:dyDescent="0.15">
      <c r="A93" s="53" t="s">
        <v>104</v>
      </c>
      <c r="B93" s="54" t="s">
        <v>79</v>
      </c>
      <c r="C93" s="54" t="s">
        <v>100</v>
      </c>
      <c r="D93" s="54" t="s">
        <v>101</v>
      </c>
      <c r="E93" s="54">
        <v>4239902</v>
      </c>
      <c r="F93" s="54" t="s">
        <v>102</v>
      </c>
      <c r="G93" s="64">
        <v>310</v>
      </c>
      <c r="H93" s="87">
        <f t="shared" si="0"/>
        <v>775</v>
      </c>
    </row>
    <row r="94" spans="1:8" ht="14" x14ac:dyDescent="0.15">
      <c r="A94" s="53" t="s">
        <v>97</v>
      </c>
      <c r="B94" s="54" t="s">
        <v>79</v>
      </c>
      <c r="C94" s="54" t="s">
        <v>100</v>
      </c>
      <c r="D94" s="54" t="s">
        <v>101</v>
      </c>
      <c r="E94" s="54">
        <v>4239902</v>
      </c>
      <c r="F94" s="54" t="s">
        <v>102</v>
      </c>
      <c r="G94" s="64">
        <v>340</v>
      </c>
      <c r="H94" s="438">
        <f t="shared" si="0"/>
        <v>167.8</v>
      </c>
    </row>
    <row r="95" spans="1:8" ht="14" x14ac:dyDescent="0.15">
      <c r="A95" s="55" t="s">
        <v>98</v>
      </c>
      <c r="B95" s="65" t="s">
        <v>79</v>
      </c>
      <c r="C95" s="65" t="s">
        <v>100</v>
      </c>
      <c r="D95" s="65" t="s">
        <v>101</v>
      </c>
      <c r="E95" s="65" t="s">
        <v>222</v>
      </c>
      <c r="F95" s="65" t="s">
        <v>102</v>
      </c>
      <c r="G95" s="69"/>
      <c r="H95" s="88">
        <f>SUM(H82:H94)</f>
        <v>21980.14</v>
      </c>
    </row>
    <row r="96" spans="1:8" ht="14" x14ac:dyDescent="0.15">
      <c r="A96" s="18" t="s">
        <v>109</v>
      </c>
      <c r="B96" s="19"/>
      <c r="C96" s="19"/>
      <c r="D96" s="19"/>
      <c r="E96" s="19"/>
      <c r="F96" s="19"/>
      <c r="G96" s="21"/>
      <c r="H96" s="89"/>
    </row>
    <row r="97" spans="1:8" ht="14" x14ac:dyDescent="0.15">
      <c r="A97" s="15" t="s">
        <v>78</v>
      </c>
      <c r="B97" s="16" t="s">
        <v>79</v>
      </c>
      <c r="C97" s="16" t="s">
        <v>100</v>
      </c>
      <c r="D97" s="16" t="s">
        <v>110</v>
      </c>
      <c r="E97" s="16" t="s">
        <v>224</v>
      </c>
      <c r="F97" s="16" t="s">
        <v>102</v>
      </c>
      <c r="G97" s="17">
        <v>211</v>
      </c>
      <c r="H97" s="89">
        <f>14563.4+65+194.8</f>
        <v>14823.199999999999</v>
      </c>
    </row>
    <row r="98" spans="1:8" ht="14" x14ac:dyDescent="0.15">
      <c r="A98" s="15" t="s">
        <v>83</v>
      </c>
      <c r="B98" s="16" t="s">
        <v>79</v>
      </c>
      <c r="C98" s="16" t="s">
        <v>100</v>
      </c>
      <c r="D98" s="16" t="s">
        <v>110</v>
      </c>
      <c r="E98" s="16" t="s">
        <v>224</v>
      </c>
      <c r="F98" s="16" t="s">
        <v>102</v>
      </c>
      <c r="G98" s="17">
        <v>212</v>
      </c>
      <c r="H98" s="89">
        <f>7+97.2-9+9</f>
        <v>104.2</v>
      </c>
    </row>
    <row r="99" spans="1:8" ht="14" x14ac:dyDescent="0.15">
      <c r="A99" s="15" t="s">
        <v>84</v>
      </c>
      <c r="B99" s="16" t="s">
        <v>79</v>
      </c>
      <c r="C99" s="16" t="s">
        <v>100</v>
      </c>
      <c r="D99" s="16" t="s">
        <v>110</v>
      </c>
      <c r="E99" s="16" t="s">
        <v>224</v>
      </c>
      <c r="F99" s="16" t="s">
        <v>102</v>
      </c>
      <c r="G99" s="17">
        <v>213</v>
      </c>
      <c r="H99" s="89">
        <f>4980.7-65-9+55.5</f>
        <v>4962.2</v>
      </c>
    </row>
    <row r="100" spans="1:8" ht="14" x14ac:dyDescent="0.15">
      <c r="A100" s="15" t="s">
        <v>85</v>
      </c>
      <c r="B100" s="16" t="s">
        <v>79</v>
      </c>
      <c r="C100" s="16" t="s">
        <v>100</v>
      </c>
      <c r="D100" s="16" t="s">
        <v>110</v>
      </c>
      <c r="E100" s="16" t="s">
        <v>224</v>
      </c>
      <c r="F100" s="16" t="s">
        <v>102</v>
      </c>
      <c r="G100" s="17">
        <v>221</v>
      </c>
      <c r="H100" s="89">
        <f>19+5</f>
        <v>24</v>
      </c>
    </row>
    <row r="101" spans="1:8" ht="14" x14ac:dyDescent="0.15">
      <c r="A101" s="15" t="s">
        <v>86</v>
      </c>
      <c r="B101" s="16" t="s">
        <v>79</v>
      </c>
      <c r="C101" s="16" t="s">
        <v>100</v>
      </c>
      <c r="D101" s="16" t="s">
        <v>110</v>
      </c>
      <c r="E101" s="16" t="s">
        <v>224</v>
      </c>
      <c r="F101" s="16" t="s">
        <v>102</v>
      </c>
      <c r="G101" s="17">
        <v>222</v>
      </c>
      <c r="H101" s="89">
        <v>112</v>
      </c>
    </row>
    <row r="102" spans="1:8" ht="14" x14ac:dyDescent="0.15">
      <c r="A102" s="15" t="s">
        <v>87</v>
      </c>
      <c r="B102" s="16" t="s">
        <v>79</v>
      </c>
      <c r="C102" s="16" t="s">
        <v>100</v>
      </c>
      <c r="D102" s="16" t="s">
        <v>110</v>
      </c>
      <c r="E102" s="16" t="s">
        <v>224</v>
      </c>
      <c r="F102" s="16" t="s">
        <v>102</v>
      </c>
      <c r="G102" s="17">
        <v>223</v>
      </c>
      <c r="H102" s="85">
        <f>459-46-60</f>
        <v>353</v>
      </c>
    </row>
    <row r="103" spans="1:8" ht="14" x14ac:dyDescent="0.15">
      <c r="A103" s="15" t="s">
        <v>111</v>
      </c>
      <c r="B103" s="16" t="s">
        <v>79</v>
      </c>
      <c r="C103" s="16" t="s">
        <v>100</v>
      </c>
      <c r="D103" s="16" t="s">
        <v>110</v>
      </c>
      <c r="E103" s="16" t="s">
        <v>224</v>
      </c>
      <c r="F103" s="16" t="s">
        <v>102</v>
      </c>
      <c r="G103" s="17">
        <v>224</v>
      </c>
      <c r="H103" s="85">
        <v>0</v>
      </c>
    </row>
    <row r="104" spans="1:8" ht="14" x14ac:dyDescent="0.15">
      <c r="A104" s="15" t="s">
        <v>90</v>
      </c>
      <c r="B104" s="16" t="s">
        <v>79</v>
      </c>
      <c r="C104" s="16" t="s">
        <v>100</v>
      </c>
      <c r="D104" s="16" t="s">
        <v>110</v>
      </c>
      <c r="E104" s="16" t="s">
        <v>224</v>
      </c>
      <c r="F104" s="16" t="s">
        <v>102</v>
      </c>
      <c r="G104" s="17">
        <v>225</v>
      </c>
      <c r="H104" s="85">
        <v>1013</v>
      </c>
    </row>
    <row r="105" spans="1:8" ht="14" x14ac:dyDescent="0.15">
      <c r="A105" s="15" t="s">
        <v>91</v>
      </c>
      <c r="B105" s="16" t="s">
        <v>79</v>
      </c>
      <c r="C105" s="16" t="s">
        <v>100</v>
      </c>
      <c r="D105" s="16" t="s">
        <v>110</v>
      </c>
      <c r="E105" s="16" t="s">
        <v>224</v>
      </c>
      <c r="F105" s="16" t="s">
        <v>102</v>
      </c>
      <c r="G105" s="17">
        <v>226</v>
      </c>
      <c r="H105" s="85">
        <f>263+15</f>
        <v>278</v>
      </c>
    </row>
    <row r="106" spans="1:8" ht="14" x14ac:dyDescent="0.15">
      <c r="A106" s="11" t="s">
        <v>94</v>
      </c>
      <c r="B106" s="16" t="s">
        <v>79</v>
      </c>
      <c r="C106" s="16" t="s">
        <v>100</v>
      </c>
      <c r="D106" s="16" t="s">
        <v>110</v>
      </c>
      <c r="E106" s="16" t="s">
        <v>224</v>
      </c>
      <c r="F106" s="16" t="s">
        <v>102</v>
      </c>
      <c r="G106" s="17">
        <v>290</v>
      </c>
      <c r="H106" s="85">
        <f>29.4+1615.9</f>
        <v>1645.3000000000002</v>
      </c>
    </row>
    <row r="107" spans="1:8" ht="14" x14ac:dyDescent="0.15">
      <c r="A107" s="11" t="s">
        <v>94</v>
      </c>
      <c r="B107" s="16" t="s">
        <v>79</v>
      </c>
      <c r="C107" s="16" t="s">
        <v>100</v>
      </c>
      <c r="D107" s="16" t="s">
        <v>110</v>
      </c>
      <c r="E107" s="16" t="s">
        <v>252</v>
      </c>
      <c r="F107" s="16" t="s">
        <v>102</v>
      </c>
      <c r="G107" s="17" t="s">
        <v>95</v>
      </c>
      <c r="H107" s="85">
        <f>277.5+353.2+0.335</f>
        <v>631.03500000000008</v>
      </c>
    </row>
    <row r="108" spans="1:8" ht="14" x14ac:dyDescent="0.15">
      <c r="A108" s="15" t="s">
        <v>96</v>
      </c>
      <c r="B108" s="16" t="s">
        <v>79</v>
      </c>
      <c r="C108" s="16" t="s">
        <v>100</v>
      </c>
      <c r="D108" s="16" t="s">
        <v>110</v>
      </c>
      <c r="E108" s="16" t="s">
        <v>224</v>
      </c>
      <c r="F108" s="16" t="s">
        <v>102</v>
      </c>
      <c r="G108" s="17">
        <v>310</v>
      </c>
      <c r="H108" s="85">
        <f>1130-565-100</f>
        <v>465</v>
      </c>
    </row>
    <row r="109" spans="1:8" ht="14" x14ac:dyDescent="0.15">
      <c r="A109" s="15" t="s">
        <v>97</v>
      </c>
      <c r="B109" s="16" t="s">
        <v>79</v>
      </c>
      <c r="C109" s="16" t="s">
        <v>100</v>
      </c>
      <c r="D109" s="16" t="s">
        <v>110</v>
      </c>
      <c r="E109" s="16" t="s">
        <v>224</v>
      </c>
      <c r="F109" s="16" t="s">
        <v>102</v>
      </c>
      <c r="G109" s="17">
        <v>340</v>
      </c>
      <c r="H109" s="85">
        <f>40+35</f>
        <v>75</v>
      </c>
    </row>
    <row r="110" spans="1:8" ht="14" x14ac:dyDescent="0.15">
      <c r="A110" s="18" t="s">
        <v>98</v>
      </c>
      <c r="B110" s="19" t="s">
        <v>79</v>
      </c>
      <c r="C110" s="19" t="s">
        <v>100</v>
      </c>
      <c r="D110" s="19" t="s">
        <v>110</v>
      </c>
      <c r="E110" s="20" t="s">
        <v>226</v>
      </c>
      <c r="F110" s="20" t="s">
        <v>102</v>
      </c>
      <c r="G110" s="21"/>
      <c r="H110" s="86">
        <f>SUM(H97:H109)</f>
        <v>24485.934999999998</v>
      </c>
    </row>
    <row r="111" spans="1:8" ht="14" x14ac:dyDescent="0.15">
      <c r="A111" s="18" t="s">
        <v>112</v>
      </c>
      <c r="B111" s="16"/>
      <c r="C111" s="16"/>
      <c r="D111" s="16"/>
      <c r="E111" s="16"/>
      <c r="F111" s="16"/>
      <c r="G111" s="21"/>
      <c r="H111" s="85"/>
    </row>
    <row r="112" spans="1:8" ht="14" x14ac:dyDescent="0.15">
      <c r="A112" s="15" t="s">
        <v>78</v>
      </c>
      <c r="B112" s="16" t="s">
        <v>79</v>
      </c>
      <c r="C112" s="16" t="s">
        <v>100</v>
      </c>
      <c r="D112" s="16" t="s">
        <v>110</v>
      </c>
      <c r="E112" s="16" t="s">
        <v>224</v>
      </c>
      <c r="F112" s="16" t="s">
        <v>102</v>
      </c>
      <c r="G112" s="17">
        <v>211</v>
      </c>
      <c r="H112" s="85">
        <f>8086.2+108.2</f>
        <v>8194.4</v>
      </c>
    </row>
    <row r="113" spans="1:8" ht="14" x14ac:dyDescent="0.15">
      <c r="A113" s="15" t="s">
        <v>83</v>
      </c>
      <c r="B113" s="16" t="s">
        <v>79</v>
      </c>
      <c r="C113" s="16" t="s">
        <v>100</v>
      </c>
      <c r="D113" s="16" t="s">
        <v>110</v>
      </c>
      <c r="E113" s="16" t="s">
        <v>224</v>
      </c>
      <c r="F113" s="16" t="s">
        <v>102</v>
      </c>
      <c r="G113" s="17">
        <v>212</v>
      </c>
      <c r="H113" s="85">
        <f>3+45.6</f>
        <v>48.6</v>
      </c>
    </row>
    <row r="114" spans="1:8" ht="14" x14ac:dyDescent="0.15">
      <c r="A114" s="15" t="s">
        <v>84</v>
      </c>
      <c r="B114" s="16" t="s">
        <v>79</v>
      </c>
      <c r="C114" s="16" t="s">
        <v>100</v>
      </c>
      <c r="D114" s="16" t="s">
        <v>110</v>
      </c>
      <c r="E114" s="16" t="s">
        <v>224</v>
      </c>
      <c r="F114" s="16" t="s">
        <v>102</v>
      </c>
      <c r="G114" s="17">
        <v>213</v>
      </c>
      <c r="H114" s="85">
        <f>2765.5+30.8</f>
        <v>2796.3</v>
      </c>
    </row>
    <row r="115" spans="1:8" ht="14" x14ac:dyDescent="0.15">
      <c r="A115" s="15" t="s">
        <v>85</v>
      </c>
      <c r="B115" s="16" t="s">
        <v>79</v>
      </c>
      <c r="C115" s="16" t="s">
        <v>100</v>
      </c>
      <c r="D115" s="16" t="s">
        <v>110</v>
      </c>
      <c r="E115" s="16" t="s">
        <v>224</v>
      </c>
      <c r="F115" s="16" t="s">
        <v>102</v>
      </c>
      <c r="G115" s="17">
        <v>221</v>
      </c>
      <c r="H115" s="85">
        <v>18</v>
      </c>
    </row>
    <row r="116" spans="1:8" ht="14" x14ac:dyDescent="0.15">
      <c r="A116" s="15" t="s">
        <v>86</v>
      </c>
      <c r="B116" s="16" t="s">
        <v>79</v>
      </c>
      <c r="C116" s="16" t="s">
        <v>100</v>
      </c>
      <c r="D116" s="16" t="s">
        <v>110</v>
      </c>
      <c r="E116" s="16" t="s">
        <v>224</v>
      </c>
      <c r="F116" s="16" t="s">
        <v>102</v>
      </c>
      <c r="G116" s="17">
        <v>222</v>
      </c>
      <c r="H116" s="85">
        <v>47</v>
      </c>
    </row>
    <row r="117" spans="1:8" ht="14" x14ac:dyDescent="0.15">
      <c r="A117" s="15" t="s">
        <v>87</v>
      </c>
      <c r="B117" s="16" t="s">
        <v>79</v>
      </c>
      <c r="C117" s="16" t="s">
        <v>100</v>
      </c>
      <c r="D117" s="16" t="s">
        <v>110</v>
      </c>
      <c r="E117" s="16" t="s">
        <v>224</v>
      </c>
      <c r="F117" s="16" t="s">
        <v>102</v>
      </c>
      <c r="G117" s="17">
        <v>223</v>
      </c>
      <c r="H117" s="85">
        <v>406.1</v>
      </c>
    </row>
    <row r="118" spans="1:8" ht="14" x14ac:dyDescent="0.15">
      <c r="A118" s="15" t="s">
        <v>111</v>
      </c>
      <c r="B118" s="16" t="s">
        <v>79</v>
      </c>
      <c r="C118" s="16" t="s">
        <v>100</v>
      </c>
      <c r="D118" s="16" t="s">
        <v>110</v>
      </c>
      <c r="E118" s="16" t="s">
        <v>224</v>
      </c>
      <c r="F118" s="16" t="s">
        <v>102</v>
      </c>
      <c r="G118" s="17">
        <v>224</v>
      </c>
      <c r="H118" s="85">
        <v>0</v>
      </c>
    </row>
    <row r="119" spans="1:8" ht="14" x14ac:dyDescent="0.15">
      <c r="A119" s="15" t="s">
        <v>90</v>
      </c>
      <c r="B119" s="16" t="s">
        <v>79</v>
      </c>
      <c r="C119" s="16" t="s">
        <v>100</v>
      </c>
      <c r="D119" s="16" t="s">
        <v>110</v>
      </c>
      <c r="E119" s="16" t="s">
        <v>224</v>
      </c>
      <c r="F119" s="16" t="s">
        <v>102</v>
      </c>
      <c r="G119" s="17">
        <v>225</v>
      </c>
      <c r="H119" s="85">
        <v>1000</v>
      </c>
    </row>
    <row r="120" spans="1:8" ht="14" x14ac:dyDescent="0.15">
      <c r="A120" s="15" t="s">
        <v>91</v>
      </c>
      <c r="B120" s="16" t="s">
        <v>79</v>
      </c>
      <c r="C120" s="16" t="s">
        <v>100</v>
      </c>
      <c r="D120" s="16" t="s">
        <v>110</v>
      </c>
      <c r="E120" s="16" t="s">
        <v>224</v>
      </c>
      <c r="F120" s="16" t="s">
        <v>102</v>
      </c>
      <c r="G120" s="17">
        <v>226</v>
      </c>
      <c r="H120" s="85">
        <f>0+70+125</f>
        <v>195</v>
      </c>
    </row>
    <row r="121" spans="1:8" ht="14" x14ac:dyDescent="0.15">
      <c r="A121" s="11" t="s">
        <v>94</v>
      </c>
      <c r="B121" s="16" t="s">
        <v>79</v>
      </c>
      <c r="C121" s="16" t="s">
        <v>100</v>
      </c>
      <c r="D121" s="16" t="s">
        <v>110</v>
      </c>
      <c r="E121" s="16" t="s">
        <v>224</v>
      </c>
      <c r="F121" s="16" t="s">
        <v>102</v>
      </c>
      <c r="G121" s="17">
        <v>290</v>
      </c>
      <c r="H121" s="85">
        <f>22.6+1444.8</f>
        <v>1467.3999999999999</v>
      </c>
    </row>
    <row r="122" spans="1:8" ht="14" x14ac:dyDescent="0.15">
      <c r="A122" s="11" t="s">
        <v>94</v>
      </c>
      <c r="B122" s="16" t="s">
        <v>79</v>
      </c>
      <c r="C122" s="16" t="s">
        <v>100</v>
      </c>
      <c r="D122" s="16" t="s">
        <v>110</v>
      </c>
      <c r="E122" s="16" t="s">
        <v>252</v>
      </c>
      <c r="F122" s="16" t="s">
        <v>102</v>
      </c>
      <c r="G122" s="17" t="s">
        <v>95</v>
      </c>
      <c r="H122" s="85">
        <f>6.8+0</f>
        <v>6.8</v>
      </c>
    </row>
    <row r="123" spans="1:8" ht="14" x14ac:dyDescent="0.15">
      <c r="A123" s="15" t="s">
        <v>96</v>
      </c>
      <c r="B123" s="16" t="s">
        <v>79</v>
      </c>
      <c r="C123" s="16" t="s">
        <v>100</v>
      </c>
      <c r="D123" s="16" t="s">
        <v>110</v>
      </c>
      <c r="E123" s="16" t="s">
        <v>224</v>
      </c>
      <c r="F123" s="16" t="s">
        <v>102</v>
      </c>
      <c r="G123" s="17">
        <v>310</v>
      </c>
      <c r="H123" s="85">
        <f>120-70+100</f>
        <v>150</v>
      </c>
    </row>
    <row r="124" spans="1:8" ht="14" x14ac:dyDescent="0.15">
      <c r="A124" s="15" t="s">
        <v>97</v>
      </c>
      <c r="B124" s="16" t="s">
        <v>79</v>
      </c>
      <c r="C124" s="16" t="s">
        <v>100</v>
      </c>
      <c r="D124" s="16" t="s">
        <v>110</v>
      </c>
      <c r="E124" s="16" t="s">
        <v>224</v>
      </c>
      <c r="F124" s="16" t="s">
        <v>102</v>
      </c>
      <c r="G124" s="17">
        <v>340</v>
      </c>
      <c r="H124" s="85">
        <v>16</v>
      </c>
    </row>
    <row r="125" spans="1:8" ht="14" x14ac:dyDescent="0.15">
      <c r="A125" s="18" t="s">
        <v>98</v>
      </c>
      <c r="B125" s="19" t="s">
        <v>79</v>
      </c>
      <c r="C125" s="19" t="s">
        <v>100</v>
      </c>
      <c r="D125" s="19" t="s">
        <v>110</v>
      </c>
      <c r="E125" s="20" t="s">
        <v>226</v>
      </c>
      <c r="F125" s="20" t="s">
        <v>102</v>
      </c>
      <c r="G125" s="21"/>
      <c r="H125" s="86">
        <f>SUM(H112:H124)</f>
        <v>14345.599999999999</v>
      </c>
    </row>
    <row r="126" spans="1:8" ht="14" x14ac:dyDescent="0.15">
      <c r="A126" s="18" t="s">
        <v>113</v>
      </c>
      <c r="B126" s="16"/>
      <c r="C126" s="16"/>
      <c r="D126" s="16"/>
      <c r="E126" s="16"/>
      <c r="F126" s="16"/>
      <c r="G126" s="21"/>
      <c r="H126" s="85"/>
    </row>
    <row r="127" spans="1:8" ht="14" x14ac:dyDescent="0.15">
      <c r="A127" s="15" t="s">
        <v>78</v>
      </c>
      <c r="B127" s="16" t="s">
        <v>79</v>
      </c>
      <c r="C127" s="16" t="s">
        <v>100</v>
      </c>
      <c r="D127" s="16" t="s">
        <v>110</v>
      </c>
      <c r="E127" s="16" t="s">
        <v>224</v>
      </c>
      <c r="F127" s="16" t="s">
        <v>102</v>
      </c>
      <c r="G127" s="17">
        <v>211</v>
      </c>
      <c r="H127" s="85">
        <f>10905.7+145.9</f>
        <v>11051.6</v>
      </c>
    </row>
    <row r="128" spans="1:8" ht="14" x14ac:dyDescent="0.15">
      <c r="A128" s="15" t="s">
        <v>83</v>
      </c>
      <c r="B128" s="16" t="s">
        <v>79</v>
      </c>
      <c r="C128" s="16" t="s">
        <v>100</v>
      </c>
      <c r="D128" s="16" t="s">
        <v>110</v>
      </c>
      <c r="E128" s="16" t="s">
        <v>224</v>
      </c>
      <c r="F128" s="16" t="s">
        <v>102</v>
      </c>
      <c r="G128" s="17">
        <v>212</v>
      </c>
      <c r="H128" s="85">
        <f>3+66</f>
        <v>69</v>
      </c>
    </row>
    <row r="129" spans="1:8" ht="14" x14ac:dyDescent="0.15">
      <c r="A129" s="15" t="s">
        <v>84</v>
      </c>
      <c r="B129" s="16" t="s">
        <v>79</v>
      </c>
      <c r="C129" s="16" t="s">
        <v>100</v>
      </c>
      <c r="D129" s="16" t="s">
        <v>110</v>
      </c>
      <c r="E129" s="16" t="s">
        <v>224</v>
      </c>
      <c r="F129" s="16" t="s">
        <v>102</v>
      </c>
      <c r="G129" s="17">
        <v>213</v>
      </c>
      <c r="H129" s="85">
        <f>3729.8+41.6+0.1</f>
        <v>3771.5</v>
      </c>
    </row>
    <row r="130" spans="1:8" ht="14" x14ac:dyDescent="0.15">
      <c r="A130" s="15" t="s">
        <v>85</v>
      </c>
      <c r="B130" s="16" t="s">
        <v>79</v>
      </c>
      <c r="C130" s="16" t="s">
        <v>100</v>
      </c>
      <c r="D130" s="16" t="s">
        <v>110</v>
      </c>
      <c r="E130" s="16" t="s">
        <v>224</v>
      </c>
      <c r="F130" s="16" t="s">
        <v>102</v>
      </c>
      <c r="G130" s="17">
        <v>221</v>
      </c>
      <c r="H130" s="85">
        <v>15</v>
      </c>
    </row>
    <row r="131" spans="1:8" ht="14" x14ac:dyDescent="0.15">
      <c r="A131" s="15" t="s">
        <v>86</v>
      </c>
      <c r="B131" s="16" t="s">
        <v>79</v>
      </c>
      <c r="C131" s="16" t="s">
        <v>100</v>
      </c>
      <c r="D131" s="16" t="s">
        <v>110</v>
      </c>
      <c r="E131" s="16" t="s">
        <v>224</v>
      </c>
      <c r="F131" s="16" t="s">
        <v>102</v>
      </c>
      <c r="G131" s="17">
        <v>222</v>
      </c>
      <c r="H131" s="85">
        <v>25</v>
      </c>
    </row>
    <row r="132" spans="1:8" ht="14" x14ac:dyDescent="0.15">
      <c r="A132" s="15" t="s">
        <v>87</v>
      </c>
      <c r="B132" s="16" t="s">
        <v>79</v>
      </c>
      <c r="C132" s="16" t="s">
        <v>100</v>
      </c>
      <c r="D132" s="16" t="s">
        <v>110</v>
      </c>
      <c r="E132" s="16" t="s">
        <v>224</v>
      </c>
      <c r="F132" s="16" t="s">
        <v>102</v>
      </c>
      <c r="G132" s="17">
        <v>223</v>
      </c>
      <c r="H132" s="85">
        <f>308.7-30</f>
        <v>278.7</v>
      </c>
    </row>
    <row r="133" spans="1:8" ht="14" x14ac:dyDescent="0.15">
      <c r="A133" s="15" t="s">
        <v>111</v>
      </c>
      <c r="B133" s="16" t="s">
        <v>79</v>
      </c>
      <c r="C133" s="16" t="s">
        <v>100</v>
      </c>
      <c r="D133" s="16" t="s">
        <v>110</v>
      </c>
      <c r="E133" s="16" t="s">
        <v>224</v>
      </c>
      <c r="F133" s="16" t="s">
        <v>102</v>
      </c>
      <c r="G133" s="17">
        <v>224</v>
      </c>
      <c r="H133" s="85">
        <v>18</v>
      </c>
    </row>
    <row r="134" spans="1:8" ht="14" x14ac:dyDescent="0.15">
      <c r="A134" s="15" t="s">
        <v>90</v>
      </c>
      <c r="B134" s="16" t="s">
        <v>79</v>
      </c>
      <c r="C134" s="16" t="s">
        <v>100</v>
      </c>
      <c r="D134" s="16" t="s">
        <v>110</v>
      </c>
      <c r="E134" s="16" t="s">
        <v>224</v>
      </c>
      <c r="F134" s="16" t="s">
        <v>102</v>
      </c>
      <c r="G134" s="17">
        <v>225</v>
      </c>
      <c r="H134" s="85">
        <v>13</v>
      </c>
    </row>
    <row r="135" spans="1:8" ht="14" x14ac:dyDescent="0.15">
      <c r="A135" s="15" t="s">
        <v>91</v>
      </c>
      <c r="B135" s="16" t="s">
        <v>79</v>
      </c>
      <c r="C135" s="16" t="s">
        <v>100</v>
      </c>
      <c r="D135" s="16" t="s">
        <v>110</v>
      </c>
      <c r="E135" s="16" t="s">
        <v>224</v>
      </c>
      <c r="F135" s="16" t="s">
        <v>102</v>
      </c>
      <c r="G135" s="17">
        <v>226</v>
      </c>
      <c r="H135" s="85">
        <v>612</v>
      </c>
    </row>
    <row r="136" spans="1:8" ht="14" x14ac:dyDescent="0.15">
      <c r="A136" s="11" t="s">
        <v>94</v>
      </c>
      <c r="B136" s="16" t="s">
        <v>79</v>
      </c>
      <c r="C136" s="16" t="s">
        <v>100</v>
      </c>
      <c r="D136" s="16" t="s">
        <v>110</v>
      </c>
      <c r="E136" s="16" t="s">
        <v>224</v>
      </c>
      <c r="F136" s="16" t="s">
        <v>102</v>
      </c>
      <c r="G136" s="17">
        <v>290</v>
      </c>
      <c r="H136" s="85">
        <f>27.5+946.2</f>
        <v>973.7</v>
      </c>
    </row>
    <row r="137" spans="1:8" ht="14" x14ac:dyDescent="0.15">
      <c r="A137" s="11" t="s">
        <v>94</v>
      </c>
      <c r="B137" s="16" t="s">
        <v>79</v>
      </c>
      <c r="C137" s="16" t="s">
        <v>100</v>
      </c>
      <c r="D137" s="16" t="s">
        <v>110</v>
      </c>
      <c r="E137" s="16" t="s">
        <v>252</v>
      </c>
      <c r="F137" s="16" t="s">
        <v>102</v>
      </c>
      <c r="G137" s="17" t="s">
        <v>95</v>
      </c>
      <c r="H137" s="85">
        <f>119.4+90.9</f>
        <v>210.3</v>
      </c>
    </row>
    <row r="138" spans="1:8" ht="14" x14ac:dyDescent="0.15">
      <c r="A138" s="15" t="s">
        <v>96</v>
      </c>
      <c r="B138" s="16" t="s">
        <v>79</v>
      </c>
      <c r="C138" s="16" t="s">
        <v>100</v>
      </c>
      <c r="D138" s="16" t="s">
        <v>110</v>
      </c>
      <c r="E138" s="16" t="s">
        <v>224</v>
      </c>
      <c r="F138" s="16" t="s">
        <v>102</v>
      </c>
      <c r="G138" s="17">
        <v>310</v>
      </c>
      <c r="H138" s="85">
        <v>100</v>
      </c>
    </row>
    <row r="139" spans="1:8" ht="14" x14ac:dyDescent="0.15">
      <c r="A139" s="15" t="s">
        <v>97</v>
      </c>
      <c r="B139" s="16" t="s">
        <v>79</v>
      </c>
      <c r="C139" s="16" t="s">
        <v>100</v>
      </c>
      <c r="D139" s="16" t="s">
        <v>110</v>
      </c>
      <c r="E139" s="16" t="s">
        <v>224</v>
      </c>
      <c r="F139" s="16" t="s">
        <v>102</v>
      </c>
      <c r="G139" s="17">
        <v>340</v>
      </c>
      <c r="H139" s="85">
        <v>60</v>
      </c>
    </row>
    <row r="140" spans="1:8" ht="14" x14ac:dyDescent="0.15">
      <c r="A140" s="18" t="s">
        <v>98</v>
      </c>
      <c r="B140" s="19" t="s">
        <v>79</v>
      </c>
      <c r="C140" s="19" t="s">
        <v>100</v>
      </c>
      <c r="D140" s="19" t="s">
        <v>110</v>
      </c>
      <c r="E140" s="20" t="s">
        <v>226</v>
      </c>
      <c r="F140" s="20" t="s">
        <v>102</v>
      </c>
      <c r="G140" s="21"/>
      <c r="H140" s="86">
        <f>SUM(H127:H139)</f>
        <v>17197.8</v>
      </c>
    </row>
    <row r="141" spans="1:8" ht="14" x14ac:dyDescent="0.15">
      <c r="A141" s="18" t="s">
        <v>114</v>
      </c>
      <c r="B141" s="16"/>
      <c r="C141" s="16"/>
      <c r="D141" s="16"/>
      <c r="E141" s="16"/>
      <c r="F141" s="16"/>
      <c r="G141" s="21"/>
      <c r="H141" s="85"/>
    </row>
    <row r="142" spans="1:8" ht="14" x14ac:dyDescent="0.15">
      <c r="A142" s="15" t="s">
        <v>78</v>
      </c>
      <c r="B142" s="16" t="s">
        <v>79</v>
      </c>
      <c r="C142" s="16" t="s">
        <v>100</v>
      </c>
      <c r="D142" s="16" t="s">
        <v>110</v>
      </c>
      <c r="E142" s="16" t="s">
        <v>224</v>
      </c>
      <c r="F142" s="16" t="s">
        <v>102</v>
      </c>
      <c r="G142" s="17">
        <v>211</v>
      </c>
      <c r="H142" s="85">
        <f>6543.4+87.6</f>
        <v>6631</v>
      </c>
    </row>
    <row r="143" spans="1:8" ht="14" x14ac:dyDescent="0.15">
      <c r="A143" s="15" t="s">
        <v>83</v>
      </c>
      <c r="B143" s="16" t="s">
        <v>79</v>
      </c>
      <c r="C143" s="16" t="s">
        <v>100</v>
      </c>
      <c r="D143" s="16" t="s">
        <v>110</v>
      </c>
      <c r="E143" s="16" t="s">
        <v>224</v>
      </c>
      <c r="F143" s="16" t="s">
        <v>102</v>
      </c>
      <c r="G143" s="17">
        <v>212</v>
      </c>
      <c r="H143" s="85">
        <f>2+68.4</f>
        <v>70.400000000000006</v>
      </c>
    </row>
    <row r="144" spans="1:8" ht="14" x14ac:dyDescent="0.15">
      <c r="A144" s="15" t="s">
        <v>84</v>
      </c>
      <c r="B144" s="16" t="s">
        <v>79</v>
      </c>
      <c r="C144" s="16" t="s">
        <v>100</v>
      </c>
      <c r="D144" s="16" t="s">
        <v>110</v>
      </c>
      <c r="E144" s="16" t="s">
        <v>224</v>
      </c>
      <c r="F144" s="16" t="s">
        <v>102</v>
      </c>
      <c r="G144" s="17">
        <v>213</v>
      </c>
      <c r="H144" s="85">
        <f>2237.9+25</f>
        <v>2262.9</v>
      </c>
    </row>
    <row r="145" spans="1:8" ht="14" x14ac:dyDescent="0.15">
      <c r="A145" s="15" t="s">
        <v>85</v>
      </c>
      <c r="B145" s="16" t="s">
        <v>79</v>
      </c>
      <c r="C145" s="16" t="s">
        <v>100</v>
      </c>
      <c r="D145" s="16" t="s">
        <v>110</v>
      </c>
      <c r="E145" s="16" t="s">
        <v>224</v>
      </c>
      <c r="F145" s="16" t="s">
        <v>102</v>
      </c>
      <c r="G145" s="17">
        <v>221</v>
      </c>
      <c r="H145" s="85">
        <v>15</v>
      </c>
    </row>
    <row r="146" spans="1:8" ht="14" x14ac:dyDescent="0.15">
      <c r="A146" s="15" t="s">
        <v>86</v>
      </c>
      <c r="B146" s="16" t="s">
        <v>79</v>
      </c>
      <c r="C146" s="16" t="s">
        <v>100</v>
      </c>
      <c r="D146" s="16" t="s">
        <v>110</v>
      </c>
      <c r="E146" s="16" t="s">
        <v>224</v>
      </c>
      <c r="F146" s="16" t="s">
        <v>102</v>
      </c>
      <c r="G146" s="17">
        <v>222</v>
      </c>
      <c r="H146" s="85">
        <v>13</v>
      </c>
    </row>
    <row r="147" spans="1:8" ht="14" x14ac:dyDescent="0.15">
      <c r="A147" s="15" t="s">
        <v>87</v>
      </c>
      <c r="B147" s="16" t="s">
        <v>79</v>
      </c>
      <c r="C147" s="16" t="s">
        <v>100</v>
      </c>
      <c r="D147" s="16" t="s">
        <v>110</v>
      </c>
      <c r="E147" s="16" t="s">
        <v>224</v>
      </c>
      <c r="F147" s="16" t="s">
        <v>102</v>
      </c>
      <c r="G147" s="17">
        <v>223</v>
      </c>
      <c r="H147" s="85">
        <f>81.7-22.51</f>
        <v>59.19</v>
      </c>
    </row>
    <row r="148" spans="1:8" ht="14" x14ac:dyDescent="0.15">
      <c r="A148" s="15" t="s">
        <v>111</v>
      </c>
      <c r="B148" s="16" t="s">
        <v>79</v>
      </c>
      <c r="C148" s="16" t="s">
        <v>100</v>
      </c>
      <c r="D148" s="16" t="s">
        <v>110</v>
      </c>
      <c r="E148" s="16" t="s">
        <v>224</v>
      </c>
      <c r="F148" s="16" t="s">
        <v>102</v>
      </c>
      <c r="G148" s="17">
        <v>224</v>
      </c>
      <c r="H148" s="85">
        <v>6</v>
      </c>
    </row>
    <row r="149" spans="1:8" ht="14" x14ac:dyDescent="0.15">
      <c r="A149" s="15" t="s">
        <v>90</v>
      </c>
      <c r="B149" s="16" t="s">
        <v>79</v>
      </c>
      <c r="C149" s="16" t="s">
        <v>100</v>
      </c>
      <c r="D149" s="16" t="s">
        <v>110</v>
      </c>
      <c r="E149" s="16" t="s">
        <v>224</v>
      </c>
      <c r="F149" s="16" t="s">
        <v>102</v>
      </c>
      <c r="G149" s="17">
        <v>225</v>
      </c>
      <c r="H149" s="85">
        <v>9</v>
      </c>
    </row>
    <row r="150" spans="1:8" ht="14" x14ac:dyDescent="0.15">
      <c r="A150" s="15" t="s">
        <v>91</v>
      </c>
      <c r="B150" s="16" t="s">
        <v>79</v>
      </c>
      <c r="C150" s="16" t="s">
        <v>100</v>
      </c>
      <c r="D150" s="16" t="s">
        <v>110</v>
      </c>
      <c r="E150" s="16" t="s">
        <v>224</v>
      </c>
      <c r="F150" s="16" t="s">
        <v>102</v>
      </c>
      <c r="G150" s="17">
        <v>226</v>
      </c>
      <c r="H150" s="85">
        <v>25</v>
      </c>
    </row>
    <row r="151" spans="1:8" ht="14" x14ac:dyDescent="0.15">
      <c r="A151" s="11" t="s">
        <v>94</v>
      </c>
      <c r="B151" s="16" t="s">
        <v>79</v>
      </c>
      <c r="C151" s="16" t="s">
        <v>100</v>
      </c>
      <c r="D151" s="16" t="s">
        <v>110</v>
      </c>
      <c r="E151" s="16" t="s">
        <v>224</v>
      </c>
      <c r="F151" s="16" t="s">
        <v>102</v>
      </c>
      <c r="G151" s="17">
        <v>290</v>
      </c>
      <c r="H151" s="85">
        <f>18.6+652.4</f>
        <v>671</v>
      </c>
    </row>
    <row r="152" spans="1:8" ht="14" x14ac:dyDescent="0.15">
      <c r="A152" s="11" t="s">
        <v>94</v>
      </c>
      <c r="B152" s="16" t="s">
        <v>79</v>
      </c>
      <c r="C152" s="16" t="s">
        <v>100</v>
      </c>
      <c r="D152" s="16" t="s">
        <v>110</v>
      </c>
      <c r="E152" s="16" t="s">
        <v>252</v>
      </c>
      <c r="F152" s="16" t="s">
        <v>102</v>
      </c>
      <c r="G152" s="17" t="s">
        <v>95</v>
      </c>
      <c r="H152" s="85">
        <f>1.1-0.335</f>
        <v>0.76500000000000012</v>
      </c>
    </row>
    <row r="153" spans="1:8" ht="14" x14ac:dyDescent="0.15">
      <c r="A153" s="15" t="s">
        <v>96</v>
      </c>
      <c r="B153" s="16" t="s">
        <v>79</v>
      </c>
      <c r="C153" s="16" t="s">
        <v>100</v>
      </c>
      <c r="D153" s="16" t="s">
        <v>110</v>
      </c>
      <c r="E153" s="16" t="s">
        <v>224</v>
      </c>
      <c r="F153" s="16" t="s">
        <v>102</v>
      </c>
      <c r="G153" s="17">
        <v>310</v>
      </c>
      <c r="H153" s="85">
        <v>40</v>
      </c>
    </row>
    <row r="154" spans="1:8" ht="14" x14ac:dyDescent="0.15">
      <c r="A154" s="15" t="s">
        <v>97</v>
      </c>
      <c r="B154" s="16" t="s">
        <v>79</v>
      </c>
      <c r="C154" s="16" t="s">
        <v>100</v>
      </c>
      <c r="D154" s="16" t="s">
        <v>110</v>
      </c>
      <c r="E154" s="16" t="s">
        <v>224</v>
      </c>
      <c r="F154" s="16" t="s">
        <v>102</v>
      </c>
      <c r="G154" s="17">
        <v>340</v>
      </c>
      <c r="H154" s="85">
        <v>25</v>
      </c>
    </row>
    <row r="155" spans="1:8" ht="14" x14ac:dyDescent="0.15">
      <c r="A155" s="48" t="s">
        <v>98</v>
      </c>
      <c r="B155" s="20" t="s">
        <v>79</v>
      </c>
      <c r="C155" s="20" t="s">
        <v>100</v>
      </c>
      <c r="D155" s="20" t="s">
        <v>110</v>
      </c>
      <c r="E155" s="20" t="s">
        <v>226</v>
      </c>
      <c r="F155" s="20" t="s">
        <v>102</v>
      </c>
      <c r="G155" s="67"/>
      <c r="H155" s="50">
        <f>SUM(H142:H154)</f>
        <v>9828.2549999999992</v>
      </c>
    </row>
    <row r="156" spans="1:8" ht="14" x14ac:dyDescent="0.15">
      <c r="A156" s="51" t="s">
        <v>115</v>
      </c>
      <c r="B156" s="54"/>
      <c r="C156" s="54"/>
      <c r="D156" s="54"/>
      <c r="E156" s="54"/>
      <c r="F156" s="54"/>
      <c r="G156" s="66"/>
      <c r="H156" s="90"/>
    </row>
    <row r="157" spans="1:8" ht="14" x14ac:dyDescent="0.15">
      <c r="A157" s="53" t="s">
        <v>78</v>
      </c>
      <c r="B157" s="54" t="s">
        <v>79</v>
      </c>
      <c r="C157" s="54" t="s">
        <v>100</v>
      </c>
      <c r="D157" s="54" t="s">
        <v>110</v>
      </c>
      <c r="E157" s="54" t="s">
        <v>224</v>
      </c>
      <c r="F157" s="54" t="s">
        <v>102</v>
      </c>
      <c r="G157" s="64">
        <v>211</v>
      </c>
      <c r="H157" s="52">
        <f t="shared" ref="H157:H169" si="1">H97+H112+H127+H142</f>
        <v>40700.199999999997</v>
      </c>
    </row>
    <row r="158" spans="1:8" ht="14" x14ac:dyDescent="0.15">
      <c r="A158" s="53" t="s">
        <v>83</v>
      </c>
      <c r="B158" s="54" t="s">
        <v>79</v>
      </c>
      <c r="C158" s="54" t="s">
        <v>100</v>
      </c>
      <c r="D158" s="54" t="s">
        <v>110</v>
      </c>
      <c r="E158" s="54" t="s">
        <v>224</v>
      </c>
      <c r="F158" s="54" t="s">
        <v>102</v>
      </c>
      <c r="G158" s="64">
        <v>212</v>
      </c>
      <c r="H158" s="52">
        <f t="shared" si="1"/>
        <v>292.20000000000005</v>
      </c>
    </row>
    <row r="159" spans="1:8" ht="14" x14ac:dyDescent="0.15">
      <c r="A159" s="53" t="s">
        <v>84</v>
      </c>
      <c r="B159" s="54" t="s">
        <v>79</v>
      </c>
      <c r="C159" s="54" t="s">
        <v>100</v>
      </c>
      <c r="D159" s="54" t="s">
        <v>110</v>
      </c>
      <c r="E159" s="54" t="s">
        <v>224</v>
      </c>
      <c r="F159" s="54" t="s">
        <v>102</v>
      </c>
      <c r="G159" s="64">
        <v>213</v>
      </c>
      <c r="H159" s="52">
        <f t="shared" si="1"/>
        <v>13792.9</v>
      </c>
    </row>
    <row r="160" spans="1:8" ht="14" x14ac:dyDescent="0.15">
      <c r="A160" s="53" t="s">
        <v>85</v>
      </c>
      <c r="B160" s="54" t="s">
        <v>79</v>
      </c>
      <c r="C160" s="54" t="s">
        <v>100</v>
      </c>
      <c r="D160" s="54" t="s">
        <v>110</v>
      </c>
      <c r="E160" s="54" t="s">
        <v>224</v>
      </c>
      <c r="F160" s="54" t="s">
        <v>102</v>
      </c>
      <c r="G160" s="64">
        <v>221</v>
      </c>
      <c r="H160" s="52">
        <f t="shared" si="1"/>
        <v>72</v>
      </c>
    </row>
    <row r="161" spans="1:8" ht="14" x14ac:dyDescent="0.15">
      <c r="A161" s="53" t="s">
        <v>86</v>
      </c>
      <c r="B161" s="54" t="s">
        <v>79</v>
      </c>
      <c r="C161" s="54" t="s">
        <v>100</v>
      </c>
      <c r="D161" s="54" t="s">
        <v>110</v>
      </c>
      <c r="E161" s="54" t="s">
        <v>224</v>
      </c>
      <c r="F161" s="54" t="s">
        <v>102</v>
      </c>
      <c r="G161" s="64">
        <v>222</v>
      </c>
      <c r="H161" s="52">
        <f t="shared" si="1"/>
        <v>197</v>
      </c>
    </row>
    <row r="162" spans="1:8" ht="14" x14ac:dyDescent="0.15">
      <c r="A162" s="53" t="s">
        <v>87</v>
      </c>
      <c r="B162" s="54" t="s">
        <v>79</v>
      </c>
      <c r="C162" s="54" t="s">
        <v>100</v>
      </c>
      <c r="D162" s="54" t="s">
        <v>110</v>
      </c>
      <c r="E162" s="54" t="s">
        <v>224</v>
      </c>
      <c r="F162" s="54" t="s">
        <v>102</v>
      </c>
      <c r="G162" s="64">
        <v>223</v>
      </c>
      <c r="H162" s="52">
        <f t="shared" si="1"/>
        <v>1096.99</v>
      </c>
    </row>
    <row r="163" spans="1:8" ht="14" x14ac:dyDescent="0.15">
      <c r="A163" s="53" t="s">
        <v>111</v>
      </c>
      <c r="B163" s="54" t="s">
        <v>79</v>
      </c>
      <c r="C163" s="54" t="s">
        <v>100</v>
      </c>
      <c r="D163" s="54" t="s">
        <v>110</v>
      </c>
      <c r="E163" s="54" t="s">
        <v>224</v>
      </c>
      <c r="F163" s="54" t="s">
        <v>102</v>
      </c>
      <c r="G163" s="64">
        <v>224</v>
      </c>
      <c r="H163" s="52">
        <f t="shared" si="1"/>
        <v>24</v>
      </c>
    </row>
    <row r="164" spans="1:8" ht="14" x14ac:dyDescent="0.15">
      <c r="A164" s="53" t="s">
        <v>90</v>
      </c>
      <c r="B164" s="54" t="s">
        <v>79</v>
      </c>
      <c r="C164" s="54" t="s">
        <v>100</v>
      </c>
      <c r="D164" s="54" t="s">
        <v>110</v>
      </c>
      <c r="E164" s="54" t="s">
        <v>224</v>
      </c>
      <c r="F164" s="54" t="s">
        <v>102</v>
      </c>
      <c r="G164" s="64">
        <v>225</v>
      </c>
      <c r="H164" s="52">
        <f t="shared" si="1"/>
        <v>2035</v>
      </c>
    </row>
    <row r="165" spans="1:8" ht="14" x14ac:dyDescent="0.15">
      <c r="A165" s="53" t="s">
        <v>91</v>
      </c>
      <c r="B165" s="54" t="s">
        <v>79</v>
      </c>
      <c r="C165" s="54" t="s">
        <v>100</v>
      </c>
      <c r="D165" s="54" t="s">
        <v>110</v>
      </c>
      <c r="E165" s="54" t="s">
        <v>224</v>
      </c>
      <c r="F165" s="54" t="s">
        <v>102</v>
      </c>
      <c r="G165" s="64">
        <v>226</v>
      </c>
      <c r="H165" s="52">
        <f t="shared" si="1"/>
        <v>1110</v>
      </c>
    </row>
    <row r="166" spans="1:8" ht="14" x14ac:dyDescent="0.15">
      <c r="A166" s="68" t="s">
        <v>94</v>
      </c>
      <c r="B166" s="54" t="s">
        <v>79</v>
      </c>
      <c r="C166" s="54" t="s">
        <v>100</v>
      </c>
      <c r="D166" s="54" t="s">
        <v>110</v>
      </c>
      <c r="E166" s="54" t="s">
        <v>224</v>
      </c>
      <c r="F166" s="54" t="s">
        <v>102</v>
      </c>
      <c r="G166" s="64">
        <v>290</v>
      </c>
      <c r="H166" s="52">
        <f t="shared" si="1"/>
        <v>4757.3999999999996</v>
      </c>
    </row>
    <row r="167" spans="1:8" ht="14" x14ac:dyDescent="0.15">
      <c r="A167" s="68" t="s">
        <v>94</v>
      </c>
      <c r="B167" s="54" t="s">
        <v>79</v>
      </c>
      <c r="C167" s="54" t="s">
        <v>100</v>
      </c>
      <c r="D167" s="54" t="s">
        <v>110</v>
      </c>
      <c r="E167" s="54" t="s">
        <v>252</v>
      </c>
      <c r="F167" s="54" t="s">
        <v>102</v>
      </c>
      <c r="G167" s="64" t="s">
        <v>95</v>
      </c>
      <c r="H167" s="52">
        <f t="shared" si="1"/>
        <v>848.9</v>
      </c>
    </row>
    <row r="168" spans="1:8" ht="14" x14ac:dyDescent="0.15">
      <c r="A168" s="53" t="s">
        <v>96</v>
      </c>
      <c r="B168" s="54" t="s">
        <v>79</v>
      </c>
      <c r="C168" s="54" t="s">
        <v>100</v>
      </c>
      <c r="D168" s="54" t="s">
        <v>110</v>
      </c>
      <c r="E168" s="54" t="s">
        <v>224</v>
      </c>
      <c r="F168" s="54" t="s">
        <v>102</v>
      </c>
      <c r="G168" s="64">
        <v>310</v>
      </c>
      <c r="H168" s="52">
        <f t="shared" si="1"/>
        <v>755</v>
      </c>
    </row>
    <row r="169" spans="1:8" ht="14" x14ac:dyDescent="0.15">
      <c r="A169" s="53" t="s">
        <v>97</v>
      </c>
      <c r="B169" s="54" t="s">
        <v>79</v>
      </c>
      <c r="C169" s="54" t="s">
        <v>100</v>
      </c>
      <c r="D169" s="54" t="s">
        <v>110</v>
      </c>
      <c r="E169" s="54" t="s">
        <v>224</v>
      </c>
      <c r="F169" s="54" t="s">
        <v>102</v>
      </c>
      <c r="G169" s="64">
        <v>340</v>
      </c>
      <c r="H169" s="52">
        <f t="shared" si="1"/>
        <v>176</v>
      </c>
    </row>
    <row r="170" spans="1:8" ht="14" x14ac:dyDescent="0.15">
      <c r="A170" s="51" t="s">
        <v>98</v>
      </c>
      <c r="B170" s="62" t="s">
        <v>79</v>
      </c>
      <c r="C170" s="62" t="s">
        <v>100</v>
      </c>
      <c r="D170" s="62" t="s">
        <v>110</v>
      </c>
      <c r="E170" s="65" t="s">
        <v>226</v>
      </c>
      <c r="F170" s="65" t="s">
        <v>102</v>
      </c>
      <c r="G170" s="66"/>
      <c r="H170" s="57">
        <f>SUM(H157:H169)</f>
        <v>65857.59</v>
      </c>
    </row>
    <row r="171" spans="1:8" ht="14" x14ac:dyDescent="0.15">
      <c r="A171" s="18" t="s">
        <v>116</v>
      </c>
      <c r="B171" s="19"/>
      <c r="C171" s="19"/>
      <c r="D171" s="19"/>
      <c r="E171" s="19"/>
      <c r="F171" s="19"/>
      <c r="G171" s="21"/>
      <c r="H171" s="85"/>
    </row>
    <row r="172" spans="1:8" ht="14" x14ac:dyDescent="0.15">
      <c r="A172" s="15" t="s">
        <v>78</v>
      </c>
      <c r="B172" s="16" t="s">
        <v>79</v>
      </c>
      <c r="C172" s="16" t="s">
        <v>100</v>
      </c>
      <c r="D172" s="16" t="s">
        <v>117</v>
      </c>
      <c r="E172" s="16" t="s">
        <v>118</v>
      </c>
      <c r="F172" s="16" t="s">
        <v>102</v>
      </c>
      <c r="G172" s="17">
        <v>211</v>
      </c>
      <c r="H172" s="85">
        <f>1050.2+14.1</f>
        <v>1064.3</v>
      </c>
    </row>
    <row r="173" spans="1:8" ht="14" x14ac:dyDescent="0.15">
      <c r="A173" s="15" t="s">
        <v>83</v>
      </c>
      <c r="B173" s="16" t="s">
        <v>79</v>
      </c>
      <c r="C173" s="16" t="s">
        <v>100</v>
      </c>
      <c r="D173" s="16" t="s">
        <v>117</v>
      </c>
      <c r="E173" s="16" t="s">
        <v>118</v>
      </c>
      <c r="F173" s="16" t="s">
        <v>102</v>
      </c>
      <c r="G173" s="17">
        <v>212</v>
      </c>
      <c r="H173" s="85">
        <v>5</v>
      </c>
    </row>
    <row r="174" spans="1:8" ht="14" x14ac:dyDescent="0.15">
      <c r="A174" s="15" t="s">
        <v>84</v>
      </c>
      <c r="B174" s="16" t="s">
        <v>79</v>
      </c>
      <c r="C174" s="16" t="s">
        <v>100</v>
      </c>
      <c r="D174" s="16" t="s">
        <v>117</v>
      </c>
      <c r="E174" s="16" t="s">
        <v>118</v>
      </c>
      <c r="F174" s="16" t="s">
        <v>102</v>
      </c>
      <c r="G174" s="17">
        <v>213</v>
      </c>
      <c r="H174" s="85">
        <f>359.2+4</f>
        <v>363.2</v>
      </c>
    </row>
    <row r="175" spans="1:8" ht="14" x14ac:dyDescent="0.15">
      <c r="A175" s="15" t="s">
        <v>85</v>
      </c>
      <c r="B175" s="16" t="s">
        <v>79</v>
      </c>
      <c r="C175" s="16" t="s">
        <v>100</v>
      </c>
      <c r="D175" s="16" t="s">
        <v>117</v>
      </c>
      <c r="E175" s="16" t="s">
        <v>118</v>
      </c>
      <c r="F175" s="16" t="s">
        <v>102</v>
      </c>
      <c r="G175" s="17">
        <v>221</v>
      </c>
      <c r="H175" s="85">
        <v>13</v>
      </c>
    </row>
    <row r="176" spans="1:8" ht="14" x14ac:dyDescent="0.15">
      <c r="A176" s="15" t="s">
        <v>86</v>
      </c>
      <c r="B176" s="16" t="s">
        <v>79</v>
      </c>
      <c r="C176" s="16" t="s">
        <v>100</v>
      </c>
      <c r="D176" s="16" t="s">
        <v>117</v>
      </c>
      <c r="E176" s="16" t="s">
        <v>118</v>
      </c>
      <c r="F176" s="16" t="s">
        <v>102</v>
      </c>
      <c r="G176" s="17">
        <v>222</v>
      </c>
      <c r="H176" s="85">
        <v>20</v>
      </c>
    </row>
    <row r="177" spans="1:8" ht="14" x14ac:dyDescent="0.15">
      <c r="A177" s="15" t="s">
        <v>87</v>
      </c>
      <c r="B177" s="16" t="s">
        <v>79</v>
      </c>
      <c r="C177" s="16" t="s">
        <v>100</v>
      </c>
      <c r="D177" s="16" t="s">
        <v>117</v>
      </c>
      <c r="E177" s="16" t="s">
        <v>118</v>
      </c>
      <c r="F177" s="16" t="s">
        <v>102</v>
      </c>
      <c r="G177" s="17">
        <v>223</v>
      </c>
      <c r="H177" s="85">
        <v>0</v>
      </c>
    </row>
    <row r="178" spans="1:8" ht="14" x14ac:dyDescent="0.15">
      <c r="A178" s="15" t="s">
        <v>111</v>
      </c>
      <c r="B178" s="16" t="s">
        <v>79</v>
      </c>
      <c r="C178" s="16" t="s">
        <v>100</v>
      </c>
      <c r="D178" s="16" t="s">
        <v>117</v>
      </c>
      <c r="E178" s="16" t="s">
        <v>118</v>
      </c>
      <c r="F178" s="16" t="s">
        <v>102</v>
      </c>
      <c r="G178" s="17">
        <v>224</v>
      </c>
      <c r="H178" s="85">
        <v>0</v>
      </c>
    </row>
    <row r="179" spans="1:8" ht="14" x14ac:dyDescent="0.15">
      <c r="A179" s="15" t="s">
        <v>90</v>
      </c>
      <c r="B179" s="16" t="s">
        <v>79</v>
      </c>
      <c r="C179" s="16" t="s">
        <v>100</v>
      </c>
      <c r="D179" s="16" t="s">
        <v>117</v>
      </c>
      <c r="E179" s="16" t="s">
        <v>118</v>
      </c>
      <c r="F179" s="16" t="s">
        <v>102</v>
      </c>
      <c r="G179" s="17">
        <v>225</v>
      </c>
      <c r="H179" s="85">
        <v>0</v>
      </c>
    </row>
    <row r="180" spans="1:8" ht="14" x14ac:dyDescent="0.15">
      <c r="A180" s="15" t="s">
        <v>91</v>
      </c>
      <c r="B180" s="16" t="s">
        <v>79</v>
      </c>
      <c r="C180" s="16" t="s">
        <v>100</v>
      </c>
      <c r="D180" s="16" t="s">
        <v>117</v>
      </c>
      <c r="E180" s="16" t="s">
        <v>118</v>
      </c>
      <c r="F180" s="16" t="s">
        <v>102</v>
      </c>
      <c r="G180" s="17">
        <v>226</v>
      </c>
      <c r="H180" s="85">
        <v>6</v>
      </c>
    </row>
    <row r="181" spans="1:8" ht="14" x14ac:dyDescent="0.15">
      <c r="A181" s="11" t="s">
        <v>94</v>
      </c>
      <c r="B181" s="16" t="s">
        <v>79</v>
      </c>
      <c r="C181" s="16" t="s">
        <v>100</v>
      </c>
      <c r="D181" s="16" t="s">
        <v>117</v>
      </c>
      <c r="E181" s="16" t="s">
        <v>118</v>
      </c>
      <c r="F181" s="16" t="s">
        <v>102</v>
      </c>
      <c r="G181" s="17">
        <v>290</v>
      </c>
      <c r="H181" s="85">
        <v>2.2999999999999998</v>
      </c>
    </row>
    <row r="182" spans="1:8" ht="14" x14ac:dyDescent="0.15">
      <c r="A182" s="11" t="s">
        <v>94</v>
      </c>
      <c r="B182" s="16" t="s">
        <v>79</v>
      </c>
      <c r="C182" s="16" t="s">
        <v>100</v>
      </c>
      <c r="D182" s="16" t="s">
        <v>117</v>
      </c>
      <c r="E182" s="16" t="s">
        <v>228</v>
      </c>
      <c r="F182" s="16" t="s">
        <v>102</v>
      </c>
      <c r="G182" s="17" t="s">
        <v>95</v>
      </c>
      <c r="H182" s="85">
        <v>4.9000000000000004</v>
      </c>
    </row>
    <row r="183" spans="1:8" ht="14" x14ac:dyDescent="0.15">
      <c r="A183" s="15" t="s">
        <v>96</v>
      </c>
      <c r="B183" s="16" t="s">
        <v>79</v>
      </c>
      <c r="C183" s="16" t="s">
        <v>100</v>
      </c>
      <c r="D183" s="16" t="s">
        <v>117</v>
      </c>
      <c r="E183" s="16" t="s">
        <v>118</v>
      </c>
      <c r="F183" s="16" t="s">
        <v>102</v>
      </c>
      <c r="G183" s="17">
        <v>310</v>
      </c>
      <c r="H183" s="85">
        <v>4</v>
      </c>
    </row>
    <row r="184" spans="1:8" ht="14" x14ac:dyDescent="0.15">
      <c r="A184" s="15" t="s">
        <v>97</v>
      </c>
      <c r="B184" s="16" t="s">
        <v>79</v>
      </c>
      <c r="C184" s="16" t="s">
        <v>100</v>
      </c>
      <c r="D184" s="16" t="s">
        <v>117</v>
      </c>
      <c r="E184" s="16" t="s">
        <v>118</v>
      </c>
      <c r="F184" s="16" t="s">
        <v>102</v>
      </c>
      <c r="G184" s="17">
        <v>340</v>
      </c>
      <c r="H184" s="85">
        <v>20</v>
      </c>
    </row>
    <row r="185" spans="1:8" ht="14" x14ac:dyDescent="0.15">
      <c r="A185" s="18" t="s">
        <v>98</v>
      </c>
      <c r="B185" s="19" t="s">
        <v>79</v>
      </c>
      <c r="C185" s="19" t="s">
        <v>100</v>
      </c>
      <c r="D185" s="19" t="s">
        <v>117</v>
      </c>
      <c r="E185" s="20" t="s">
        <v>229</v>
      </c>
      <c r="F185" s="20" t="s">
        <v>102</v>
      </c>
      <c r="G185" s="21"/>
      <c r="H185" s="32">
        <f>SUM(H172:H184)</f>
        <v>1502.7</v>
      </c>
    </row>
    <row r="186" spans="1:8" ht="14" x14ac:dyDescent="0.15">
      <c r="A186" s="70" t="s">
        <v>119</v>
      </c>
      <c r="B186" s="91" t="s">
        <v>79</v>
      </c>
      <c r="C186" s="91" t="s">
        <v>100</v>
      </c>
      <c r="D186" s="91" t="s">
        <v>120</v>
      </c>
      <c r="E186" s="20" t="s">
        <v>121</v>
      </c>
      <c r="F186" s="20" t="s">
        <v>122</v>
      </c>
      <c r="G186" s="67">
        <v>290</v>
      </c>
      <c r="H186" s="437">
        <f>528+252-30</f>
        <v>750</v>
      </c>
    </row>
    <row r="187" spans="1:8" ht="14" x14ac:dyDescent="0.15">
      <c r="A187" s="70" t="s">
        <v>253</v>
      </c>
      <c r="B187" s="91" t="s">
        <v>79</v>
      </c>
      <c r="C187" s="91" t="s">
        <v>100</v>
      </c>
      <c r="D187" s="91" t="s">
        <v>120</v>
      </c>
      <c r="E187" s="20" t="s">
        <v>209</v>
      </c>
      <c r="F187" s="20" t="s">
        <v>254</v>
      </c>
      <c r="G187" s="67" t="s">
        <v>95</v>
      </c>
      <c r="H187" s="437">
        <v>2450</v>
      </c>
    </row>
    <row r="188" spans="1:8" ht="14" x14ac:dyDescent="0.15">
      <c r="A188" s="8" t="s">
        <v>123</v>
      </c>
      <c r="B188" s="9"/>
      <c r="C188" s="9"/>
      <c r="D188" s="9"/>
      <c r="E188" s="9"/>
      <c r="F188" s="9"/>
      <c r="G188" s="12"/>
      <c r="H188" s="92"/>
    </row>
    <row r="189" spans="1:8" ht="14" x14ac:dyDescent="0.15">
      <c r="A189" s="58" t="s">
        <v>78</v>
      </c>
      <c r="B189" s="59" t="s">
        <v>79</v>
      </c>
      <c r="C189" s="59" t="s">
        <v>100</v>
      </c>
      <c r="D189" s="59"/>
      <c r="E189" s="16"/>
      <c r="F189" s="59"/>
      <c r="G189" s="71">
        <v>211</v>
      </c>
      <c r="H189" s="61">
        <f>H82+H157+H172</f>
        <v>55342.1</v>
      </c>
    </row>
    <row r="190" spans="1:8" ht="14" x14ac:dyDescent="0.15">
      <c r="A190" s="58" t="s">
        <v>83</v>
      </c>
      <c r="B190" s="59" t="s">
        <v>79</v>
      </c>
      <c r="C190" s="59" t="s">
        <v>100</v>
      </c>
      <c r="D190" s="59"/>
      <c r="E190" s="16"/>
      <c r="F190" s="59"/>
      <c r="G190" s="71">
        <v>212</v>
      </c>
      <c r="H190" s="61">
        <f>H83+H158+H173</f>
        <v>412.00000000000006</v>
      </c>
    </row>
    <row r="191" spans="1:8" ht="14" x14ac:dyDescent="0.15">
      <c r="A191" s="58" t="s">
        <v>84</v>
      </c>
      <c r="B191" s="59" t="s">
        <v>79</v>
      </c>
      <c r="C191" s="59" t="s">
        <v>100</v>
      </c>
      <c r="D191" s="59"/>
      <c r="E191" s="16"/>
      <c r="F191" s="59"/>
      <c r="G191" s="71">
        <v>213</v>
      </c>
      <c r="H191" s="61">
        <f t="shared" ref="H191:H201" si="2">H174+H159+H84</f>
        <v>18789.400000000001</v>
      </c>
    </row>
    <row r="192" spans="1:8" ht="14" x14ac:dyDescent="0.15">
      <c r="A192" s="58" t="s">
        <v>85</v>
      </c>
      <c r="B192" s="59" t="s">
        <v>79</v>
      </c>
      <c r="C192" s="59" t="s">
        <v>100</v>
      </c>
      <c r="D192" s="59"/>
      <c r="E192" s="16"/>
      <c r="F192" s="59"/>
      <c r="G192" s="71">
        <v>221</v>
      </c>
      <c r="H192" s="61">
        <f t="shared" si="2"/>
        <v>111</v>
      </c>
    </row>
    <row r="193" spans="1:8" ht="14" x14ac:dyDescent="0.15">
      <c r="A193" s="58" t="s">
        <v>86</v>
      </c>
      <c r="B193" s="59" t="s">
        <v>79</v>
      </c>
      <c r="C193" s="59" t="s">
        <v>100</v>
      </c>
      <c r="D193" s="59"/>
      <c r="E193" s="16"/>
      <c r="F193" s="59"/>
      <c r="G193" s="71">
        <v>222</v>
      </c>
      <c r="H193" s="61">
        <f t="shared" si="2"/>
        <v>267</v>
      </c>
    </row>
    <row r="194" spans="1:8" ht="14" x14ac:dyDescent="0.15">
      <c r="A194" s="58" t="s">
        <v>87</v>
      </c>
      <c r="B194" s="59" t="s">
        <v>79</v>
      </c>
      <c r="C194" s="59" t="s">
        <v>100</v>
      </c>
      <c r="D194" s="59"/>
      <c r="E194" s="16"/>
      <c r="F194" s="59"/>
      <c r="G194" s="71">
        <v>223</v>
      </c>
      <c r="H194" s="61">
        <f t="shared" si="2"/>
        <v>1640.53</v>
      </c>
    </row>
    <row r="195" spans="1:8" ht="14" x14ac:dyDescent="0.15">
      <c r="A195" s="58" t="s">
        <v>111</v>
      </c>
      <c r="B195" s="59" t="s">
        <v>79</v>
      </c>
      <c r="C195" s="59" t="s">
        <v>100</v>
      </c>
      <c r="D195" s="59"/>
      <c r="E195" s="16"/>
      <c r="F195" s="59"/>
      <c r="G195" s="71">
        <v>224</v>
      </c>
      <c r="H195" s="61">
        <f t="shared" si="2"/>
        <v>24</v>
      </c>
    </row>
    <row r="196" spans="1:8" ht="14" x14ac:dyDescent="0.15">
      <c r="A196" s="58" t="s">
        <v>90</v>
      </c>
      <c r="B196" s="59" t="s">
        <v>79</v>
      </c>
      <c r="C196" s="59" t="s">
        <v>100</v>
      </c>
      <c r="D196" s="59"/>
      <c r="E196" s="16"/>
      <c r="F196" s="59"/>
      <c r="G196" s="71">
        <v>225</v>
      </c>
      <c r="H196" s="61">
        <f t="shared" si="2"/>
        <v>2140</v>
      </c>
    </row>
    <row r="197" spans="1:8" ht="14" x14ac:dyDescent="0.15">
      <c r="A197" s="58" t="s">
        <v>91</v>
      </c>
      <c r="B197" s="59" t="s">
        <v>79</v>
      </c>
      <c r="C197" s="59" t="s">
        <v>100</v>
      </c>
      <c r="D197" s="59"/>
      <c r="E197" s="16"/>
      <c r="F197" s="59"/>
      <c r="G197" s="71">
        <v>226</v>
      </c>
      <c r="H197" s="61">
        <f t="shared" si="2"/>
        <v>1706.8</v>
      </c>
    </row>
    <row r="198" spans="1:8" ht="14" x14ac:dyDescent="0.15">
      <c r="A198" s="72" t="s">
        <v>94</v>
      </c>
      <c r="B198" s="59" t="s">
        <v>79</v>
      </c>
      <c r="C198" s="59" t="s">
        <v>100</v>
      </c>
      <c r="D198" s="59"/>
      <c r="E198" s="16"/>
      <c r="F198" s="59"/>
      <c r="G198" s="71">
        <v>290</v>
      </c>
      <c r="H198" s="61">
        <f>H181+H166+H91+H186+H187</f>
        <v>7988.5</v>
      </c>
    </row>
    <row r="199" spans="1:8" ht="14" x14ac:dyDescent="0.15">
      <c r="A199" s="72" t="s">
        <v>94</v>
      </c>
      <c r="B199" s="59" t="s">
        <v>79</v>
      </c>
      <c r="C199" s="59" t="s">
        <v>100</v>
      </c>
      <c r="D199" s="59"/>
      <c r="E199" s="16" t="s">
        <v>217</v>
      </c>
      <c r="F199" s="59"/>
      <c r="G199" s="71" t="s">
        <v>95</v>
      </c>
      <c r="H199" s="61">
        <f t="shared" si="2"/>
        <v>2221.3000000000002</v>
      </c>
    </row>
    <row r="200" spans="1:8" ht="14" x14ac:dyDescent="0.15">
      <c r="A200" s="58" t="s">
        <v>96</v>
      </c>
      <c r="B200" s="59" t="s">
        <v>79</v>
      </c>
      <c r="C200" s="59" t="s">
        <v>100</v>
      </c>
      <c r="D200" s="59"/>
      <c r="E200" s="16"/>
      <c r="F200" s="59"/>
      <c r="G200" s="71">
        <v>310</v>
      </c>
      <c r="H200" s="61">
        <f t="shared" si="2"/>
        <v>1534</v>
      </c>
    </row>
    <row r="201" spans="1:8" ht="14" x14ac:dyDescent="0.15">
      <c r="A201" s="58" t="s">
        <v>97</v>
      </c>
      <c r="B201" s="59" t="s">
        <v>79</v>
      </c>
      <c r="C201" s="59" t="s">
        <v>100</v>
      </c>
      <c r="D201" s="59"/>
      <c r="E201" s="16"/>
      <c r="F201" s="59"/>
      <c r="G201" s="71">
        <v>340</v>
      </c>
      <c r="H201" s="61">
        <f t="shared" si="2"/>
        <v>363.8</v>
      </c>
    </row>
    <row r="202" spans="1:8" ht="14" x14ac:dyDescent="0.15">
      <c r="A202" s="29" t="s">
        <v>98</v>
      </c>
      <c r="B202" s="30" t="s">
        <v>79</v>
      </c>
      <c r="C202" s="30" t="s">
        <v>100</v>
      </c>
      <c r="D202" s="30"/>
      <c r="E202" s="20"/>
      <c r="F202" s="30"/>
      <c r="G202" s="31"/>
      <c r="H202" s="60">
        <f>SUM(H189:H201)</f>
        <v>92540.430000000008</v>
      </c>
    </row>
    <row r="203" spans="1:8" ht="14" x14ac:dyDescent="0.15">
      <c r="A203" s="18" t="s">
        <v>38</v>
      </c>
      <c r="B203" s="16"/>
      <c r="C203" s="16"/>
      <c r="D203" s="19"/>
      <c r="E203" s="19"/>
      <c r="F203" s="19"/>
      <c r="G203" s="21"/>
      <c r="H203" s="32"/>
    </row>
    <row r="204" spans="1:8" ht="14" x14ac:dyDescent="0.15">
      <c r="A204" s="15" t="s">
        <v>124</v>
      </c>
      <c r="B204" s="16" t="s">
        <v>79</v>
      </c>
      <c r="C204" s="16" t="s">
        <v>80</v>
      </c>
      <c r="D204" s="16" t="s">
        <v>125</v>
      </c>
      <c r="E204" s="16" t="s">
        <v>255</v>
      </c>
      <c r="F204" s="16" t="s">
        <v>102</v>
      </c>
      <c r="G204" s="17">
        <v>211</v>
      </c>
      <c r="H204" s="49">
        <f>15174.9+150+203.1+70</f>
        <v>15598</v>
      </c>
    </row>
    <row r="205" spans="1:8" ht="14" x14ac:dyDescent="0.15">
      <c r="A205" s="15" t="s">
        <v>83</v>
      </c>
      <c r="B205" s="16" t="s">
        <v>79</v>
      </c>
      <c r="C205" s="16" t="s">
        <v>80</v>
      </c>
      <c r="D205" s="16" t="s">
        <v>125</v>
      </c>
      <c r="E205" s="16">
        <v>4409901</v>
      </c>
      <c r="F205" s="16" t="s">
        <v>102</v>
      </c>
      <c r="G205" s="17">
        <v>212</v>
      </c>
      <c r="H205" s="49">
        <v>180</v>
      </c>
    </row>
    <row r="206" spans="1:8" ht="14" x14ac:dyDescent="0.15">
      <c r="A206" s="15" t="s">
        <v>84</v>
      </c>
      <c r="B206" s="16" t="s">
        <v>79</v>
      </c>
      <c r="C206" s="16" t="s">
        <v>80</v>
      </c>
      <c r="D206" s="16" t="s">
        <v>125</v>
      </c>
      <c r="E206" s="16">
        <v>4409901</v>
      </c>
      <c r="F206" s="16" t="s">
        <v>102</v>
      </c>
      <c r="G206" s="17">
        <v>213</v>
      </c>
      <c r="H206" s="49">
        <f>5189.8-100-150+57.9</f>
        <v>4997.7</v>
      </c>
    </row>
    <row r="207" spans="1:8" ht="14" x14ac:dyDescent="0.15">
      <c r="A207" s="15" t="s">
        <v>85</v>
      </c>
      <c r="B207" s="16" t="s">
        <v>79</v>
      </c>
      <c r="C207" s="16" t="s">
        <v>80</v>
      </c>
      <c r="D207" s="16" t="s">
        <v>125</v>
      </c>
      <c r="E207" s="16">
        <v>4409901</v>
      </c>
      <c r="F207" s="16" t="s">
        <v>102</v>
      </c>
      <c r="G207" s="17">
        <v>221</v>
      </c>
      <c r="H207" s="49">
        <v>157</v>
      </c>
    </row>
    <row r="208" spans="1:8" ht="14" x14ac:dyDescent="0.15">
      <c r="A208" s="15" t="s">
        <v>86</v>
      </c>
      <c r="B208" s="16" t="s">
        <v>79</v>
      </c>
      <c r="C208" s="16" t="s">
        <v>80</v>
      </c>
      <c r="D208" s="16" t="s">
        <v>125</v>
      </c>
      <c r="E208" s="16">
        <v>4409901</v>
      </c>
      <c r="F208" s="16" t="s">
        <v>102</v>
      </c>
      <c r="G208" s="17">
        <v>222</v>
      </c>
      <c r="H208" s="49">
        <f>90+205</f>
        <v>295</v>
      </c>
    </row>
    <row r="209" spans="1:8" ht="14" x14ac:dyDescent="0.15">
      <c r="A209" s="15" t="s">
        <v>87</v>
      </c>
      <c r="B209" s="16" t="s">
        <v>79</v>
      </c>
      <c r="C209" s="16" t="s">
        <v>80</v>
      </c>
      <c r="D209" s="16" t="s">
        <v>125</v>
      </c>
      <c r="E209" s="16">
        <v>4409901</v>
      </c>
      <c r="F209" s="16" t="s">
        <v>102</v>
      </c>
      <c r="G209" s="17">
        <v>223</v>
      </c>
      <c r="H209" s="49">
        <f>127.5+60</f>
        <v>187.5</v>
      </c>
    </row>
    <row r="210" spans="1:8" ht="14" x14ac:dyDescent="0.15">
      <c r="A210" s="15" t="s">
        <v>111</v>
      </c>
      <c r="B210" s="16" t="s">
        <v>79</v>
      </c>
      <c r="C210" s="16" t="s">
        <v>80</v>
      </c>
      <c r="D210" s="16" t="s">
        <v>125</v>
      </c>
      <c r="E210" s="16">
        <v>4409901</v>
      </c>
      <c r="F210" s="16" t="s">
        <v>102</v>
      </c>
      <c r="G210" s="17">
        <v>224</v>
      </c>
      <c r="H210" s="49">
        <v>0</v>
      </c>
    </row>
    <row r="211" spans="1:8" ht="14" x14ac:dyDescent="0.15">
      <c r="A211" s="15" t="s">
        <v>90</v>
      </c>
      <c r="B211" s="16" t="s">
        <v>79</v>
      </c>
      <c r="C211" s="16" t="s">
        <v>80</v>
      </c>
      <c r="D211" s="16" t="s">
        <v>125</v>
      </c>
      <c r="E211" s="16">
        <v>4409901</v>
      </c>
      <c r="F211" s="16" t="s">
        <v>102</v>
      </c>
      <c r="G211" s="17">
        <v>225</v>
      </c>
      <c r="H211" s="49">
        <f>289-115</f>
        <v>174</v>
      </c>
    </row>
    <row r="212" spans="1:8" ht="14" x14ac:dyDescent="0.15">
      <c r="A212" s="15" t="s">
        <v>91</v>
      </c>
      <c r="B212" s="16" t="s">
        <v>79</v>
      </c>
      <c r="C212" s="16" t="s">
        <v>80</v>
      </c>
      <c r="D212" s="16" t="s">
        <v>125</v>
      </c>
      <c r="E212" s="16">
        <v>4409901</v>
      </c>
      <c r="F212" s="16" t="s">
        <v>102</v>
      </c>
      <c r="G212" s="17">
        <v>226</v>
      </c>
      <c r="H212" s="441">
        <f>6000+95+132.8+765+147+189+1000+6566</f>
        <v>14894.8</v>
      </c>
    </row>
    <row r="213" spans="1:8" ht="14" x14ac:dyDescent="0.15">
      <c r="A213" s="11" t="s">
        <v>94</v>
      </c>
      <c r="B213" s="16" t="s">
        <v>79</v>
      </c>
      <c r="C213" s="16" t="s">
        <v>80</v>
      </c>
      <c r="D213" s="16" t="s">
        <v>125</v>
      </c>
      <c r="E213" s="16">
        <v>4409901</v>
      </c>
      <c r="F213" s="16" t="s">
        <v>102</v>
      </c>
      <c r="G213" s="17">
        <v>290</v>
      </c>
      <c r="H213" s="49">
        <f>19.4</f>
        <v>19.399999999999999</v>
      </c>
    </row>
    <row r="214" spans="1:8" ht="14" x14ac:dyDescent="0.15">
      <c r="A214" s="11" t="s">
        <v>94</v>
      </c>
      <c r="B214" s="16" t="s">
        <v>79</v>
      </c>
      <c r="C214" s="16" t="s">
        <v>80</v>
      </c>
      <c r="D214" s="16" t="s">
        <v>125</v>
      </c>
      <c r="E214" s="16" t="s">
        <v>230</v>
      </c>
      <c r="F214" s="16" t="s">
        <v>102</v>
      </c>
      <c r="G214" s="17" t="s">
        <v>95</v>
      </c>
      <c r="H214" s="49">
        <f>85.6+22.5-70</f>
        <v>38.099999999999994</v>
      </c>
    </row>
    <row r="215" spans="1:8" ht="14" x14ac:dyDescent="0.15">
      <c r="A215" s="15" t="s">
        <v>96</v>
      </c>
      <c r="B215" s="16" t="s">
        <v>79</v>
      </c>
      <c r="C215" s="16" t="s">
        <v>80</v>
      </c>
      <c r="D215" s="16" t="s">
        <v>125</v>
      </c>
      <c r="E215" s="16">
        <v>4409901</v>
      </c>
      <c r="F215" s="16" t="s">
        <v>102</v>
      </c>
      <c r="G215" s="17">
        <v>310</v>
      </c>
      <c r="H215" s="49">
        <f>711.1-250</f>
        <v>461.1</v>
      </c>
    </row>
    <row r="216" spans="1:8" ht="14" x14ac:dyDescent="0.15">
      <c r="A216" s="15" t="s">
        <v>97</v>
      </c>
      <c r="B216" s="16" t="s">
        <v>79</v>
      </c>
      <c r="C216" s="16" t="s">
        <v>80</v>
      </c>
      <c r="D216" s="16" t="s">
        <v>125</v>
      </c>
      <c r="E216" s="16">
        <v>4409901</v>
      </c>
      <c r="F216" s="16" t="s">
        <v>102</v>
      </c>
      <c r="G216" s="17">
        <v>340</v>
      </c>
      <c r="H216" s="49">
        <f>730-300</f>
        <v>430</v>
      </c>
    </row>
    <row r="217" spans="1:8" ht="14" x14ac:dyDescent="0.15">
      <c r="A217" s="48" t="s">
        <v>98</v>
      </c>
      <c r="B217" s="20" t="s">
        <v>79</v>
      </c>
      <c r="C217" s="20" t="s">
        <v>80</v>
      </c>
      <c r="D217" s="20" t="s">
        <v>125</v>
      </c>
      <c r="E217" s="20" t="s">
        <v>231</v>
      </c>
      <c r="F217" s="20" t="s">
        <v>102</v>
      </c>
      <c r="G217" s="67"/>
      <c r="H217" s="50">
        <f>SUM(H204:H216)</f>
        <v>37432.6</v>
      </c>
    </row>
    <row r="218" spans="1:8" ht="14" x14ac:dyDescent="0.15">
      <c r="A218" s="48" t="s">
        <v>126</v>
      </c>
      <c r="B218" s="20"/>
      <c r="C218" s="20"/>
      <c r="D218" s="20"/>
      <c r="E218" s="20"/>
      <c r="F218" s="20"/>
      <c r="G218" s="67"/>
      <c r="H218" s="50"/>
    </row>
    <row r="219" spans="1:8" ht="14" x14ac:dyDescent="0.15">
      <c r="A219" s="15" t="s">
        <v>124</v>
      </c>
      <c r="B219" s="16" t="s">
        <v>79</v>
      </c>
      <c r="C219" s="16" t="s">
        <v>80</v>
      </c>
      <c r="D219" s="16" t="s">
        <v>125</v>
      </c>
      <c r="E219" s="73">
        <v>4409900</v>
      </c>
      <c r="F219" s="74" t="s">
        <v>102</v>
      </c>
      <c r="G219" s="17">
        <v>211</v>
      </c>
      <c r="H219" s="49">
        <f>7725.1+103.4</f>
        <v>7828.5</v>
      </c>
    </row>
    <row r="220" spans="1:8" ht="14" x14ac:dyDescent="0.15">
      <c r="A220" s="15" t="s">
        <v>83</v>
      </c>
      <c r="B220" s="16" t="s">
        <v>79</v>
      </c>
      <c r="C220" s="16" t="s">
        <v>80</v>
      </c>
      <c r="D220" s="16" t="s">
        <v>125</v>
      </c>
      <c r="E220" s="73">
        <v>4409900</v>
      </c>
      <c r="F220" s="74" t="s">
        <v>102</v>
      </c>
      <c r="G220" s="17">
        <v>212</v>
      </c>
      <c r="H220" s="49">
        <v>0</v>
      </c>
    </row>
    <row r="221" spans="1:8" ht="14" x14ac:dyDescent="0.15">
      <c r="A221" s="15" t="s">
        <v>84</v>
      </c>
      <c r="B221" s="16" t="s">
        <v>79</v>
      </c>
      <c r="C221" s="16" t="s">
        <v>80</v>
      </c>
      <c r="D221" s="16" t="s">
        <v>125</v>
      </c>
      <c r="E221" s="73">
        <v>4409900</v>
      </c>
      <c r="F221" s="74" t="s">
        <v>102</v>
      </c>
      <c r="G221" s="17">
        <v>213</v>
      </c>
      <c r="H221" s="49">
        <f>2642+29.5</f>
        <v>2671.5</v>
      </c>
    </row>
    <row r="222" spans="1:8" ht="14" x14ac:dyDescent="0.15">
      <c r="A222" s="15" t="s">
        <v>85</v>
      </c>
      <c r="B222" s="16" t="s">
        <v>79</v>
      </c>
      <c r="C222" s="16" t="s">
        <v>80</v>
      </c>
      <c r="D222" s="16" t="s">
        <v>125</v>
      </c>
      <c r="E222" s="73">
        <v>4409900</v>
      </c>
      <c r="F222" s="74" t="s">
        <v>102</v>
      </c>
      <c r="G222" s="17">
        <v>221</v>
      </c>
      <c r="H222" s="49">
        <v>16</v>
      </c>
    </row>
    <row r="223" spans="1:8" ht="14" x14ac:dyDescent="0.15">
      <c r="A223" s="15" t="s">
        <v>86</v>
      </c>
      <c r="B223" s="16" t="s">
        <v>79</v>
      </c>
      <c r="C223" s="16" t="s">
        <v>80</v>
      </c>
      <c r="D223" s="16" t="s">
        <v>125</v>
      </c>
      <c r="E223" s="73">
        <v>4409900</v>
      </c>
      <c r="F223" s="74" t="s">
        <v>102</v>
      </c>
      <c r="G223" s="17">
        <v>222</v>
      </c>
      <c r="H223" s="49">
        <v>0</v>
      </c>
    </row>
    <row r="224" spans="1:8" ht="14" x14ac:dyDescent="0.15">
      <c r="A224" s="15" t="s">
        <v>87</v>
      </c>
      <c r="B224" s="16" t="s">
        <v>79</v>
      </c>
      <c r="C224" s="16" t="s">
        <v>80</v>
      </c>
      <c r="D224" s="16" t="s">
        <v>125</v>
      </c>
      <c r="E224" s="73">
        <v>4409900</v>
      </c>
      <c r="F224" s="74" t="s">
        <v>102</v>
      </c>
      <c r="G224" s="17">
        <v>223</v>
      </c>
      <c r="H224" s="49">
        <v>0</v>
      </c>
    </row>
    <row r="225" spans="1:8" ht="14" x14ac:dyDescent="0.15">
      <c r="A225" s="15" t="s">
        <v>111</v>
      </c>
      <c r="B225" s="16" t="s">
        <v>79</v>
      </c>
      <c r="C225" s="16" t="s">
        <v>80</v>
      </c>
      <c r="D225" s="16" t="s">
        <v>125</v>
      </c>
      <c r="E225" s="73">
        <v>4409900</v>
      </c>
      <c r="F225" s="74" t="s">
        <v>102</v>
      </c>
      <c r="G225" s="17">
        <v>224</v>
      </c>
      <c r="H225" s="49">
        <v>0</v>
      </c>
    </row>
    <row r="226" spans="1:8" ht="14" x14ac:dyDescent="0.15">
      <c r="A226" s="15" t="s">
        <v>90</v>
      </c>
      <c r="B226" s="16" t="s">
        <v>79</v>
      </c>
      <c r="C226" s="16" t="s">
        <v>80</v>
      </c>
      <c r="D226" s="16" t="s">
        <v>125</v>
      </c>
      <c r="E226" s="73">
        <v>4409900</v>
      </c>
      <c r="F226" s="74" t="s">
        <v>102</v>
      </c>
      <c r="G226" s="17">
        <v>225</v>
      </c>
      <c r="H226" s="49">
        <f>19000-6681.314</f>
        <v>12318.686</v>
      </c>
    </row>
    <row r="227" spans="1:8" ht="14" x14ac:dyDescent="0.15">
      <c r="A227" s="15" t="s">
        <v>91</v>
      </c>
      <c r="B227" s="16" t="s">
        <v>79</v>
      </c>
      <c r="C227" s="16" t="s">
        <v>80</v>
      </c>
      <c r="D227" s="16" t="s">
        <v>125</v>
      </c>
      <c r="E227" s="73">
        <v>4409900</v>
      </c>
      <c r="F227" s="74" t="s">
        <v>102</v>
      </c>
      <c r="G227" s="17">
        <v>226</v>
      </c>
      <c r="H227" s="49">
        <f>212.6+4681.314+60</f>
        <v>4953.9140000000007</v>
      </c>
    </row>
    <row r="228" spans="1:8" ht="14" x14ac:dyDescent="0.15">
      <c r="A228" s="11" t="s">
        <v>94</v>
      </c>
      <c r="B228" s="16" t="s">
        <v>79</v>
      </c>
      <c r="C228" s="16" t="s">
        <v>80</v>
      </c>
      <c r="D228" s="16" t="s">
        <v>125</v>
      </c>
      <c r="E228" s="73">
        <v>4409900</v>
      </c>
      <c r="F228" s="74" t="s">
        <v>102</v>
      </c>
      <c r="G228" s="17">
        <v>290</v>
      </c>
      <c r="H228" s="49">
        <f>14.8-10.77</f>
        <v>4.0300000000000011</v>
      </c>
    </row>
    <row r="229" spans="1:8" ht="14" x14ac:dyDescent="0.15">
      <c r="A229" s="11" t="s">
        <v>94</v>
      </c>
      <c r="B229" s="16" t="s">
        <v>79</v>
      </c>
      <c r="C229" s="16" t="s">
        <v>80</v>
      </c>
      <c r="D229" s="16" t="s">
        <v>125</v>
      </c>
      <c r="E229" s="73">
        <v>4409500</v>
      </c>
      <c r="F229" s="74" t="s">
        <v>102</v>
      </c>
      <c r="G229" s="17" t="s">
        <v>95</v>
      </c>
      <c r="H229" s="49">
        <f>171.6+227+10.77</f>
        <v>409.37</v>
      </c>
    </row>
    <row r="230" spans="1:8" ht="14" x14ac:dyDescent="0.15">
      <c r="A230" s="15" t="s">
        <v>96</v>
      </c>
      <c r="B230" s="16" t="s">
        <v>79</v>
      </c>
      <c r="C230" s="16" t="s">
        <v>80</v>
      </c>
      <c r="D230" s="16" t="s">
        <v>125</v>
      </c>
      <c r="E230" s="73">
        <v>4409900</v>
      </c>
      <c r="F230" s="74" t="s">
        <v>102</v>
      </c>
      <c r="G230" s="17">
        <v>310</v>
      </c>
      <c r="H230" s="49">
        <f>2000</f>
        <v>2000</v>
      </c>
    </row>
    <row r="231" spans="1:8" ht="14" x14ac:dyDescent="0.15">
      <c r="A231" s="15" t="s">
        <v>97</v>
      </c>
      <c r="B231" s="16" t="s">
        <v>79</v>
      </c>
      <c r="C231" s="16" t="s">
        <v>80</v>
      </c>
      <c r="D231" s="16" t="s">
        <v>125</v>
      </c>
      <c r="E231" s="73">
        <v>4409900</v>
      </c>
      <c r="F231" s="74" t="s">
        <v>102</v>
      </c>
      <c r="G231" s="17">
        <v>340</v>
      </c>
      <c r="H231" s="49">
        <v>20</v>
      </c>
    </row>
    <row r="232" spans="1:8" ht="14" x14ac:dyDescent="0.15">
      <c r="A232" s="48" t="s">
        <v>98</v>
      </c>
      <c r="B232" s="20" t="s">
        <v>79</v>
      </c>
      <c r="C232" s="20" t="s">
        <v>80</v>
      </c>
      <c r="D232" s="20" t="s">
        <v>125</v>
      </c>
      <c r="E232" s="75">
        <v>4400000</v>
      </c>
      <c r="F232" s="76" t="s">
        <v>102</v>
      </c>
      <c r="G232" s="67"/>
      <c r="H232" s="50">
        <f>SUM(H219:H231)</f>
        <v>30222</v>
      </c>
    </row>
    <row r="233" spans="1:8" ht="14" x14ac:dyDescent="0.15">
      <c r="A233" s="55" t="s">
        <v>127</v>
      </c>
      <c r="B233" s="65"/>
      <c r="C233" s="65"/>
      <c r="D233" s="65"/>
      <c r="E233" s="77"/>
      <c r="F233" s="65"/>
      <c r="G233" s="69"/>
      <c r="H233" s="50"/>
    </row>
    <row r="234" spans="1:8" ht="14" x14ac:dyDescent="0.15">
      <c r="A234" s="53" t="s">
        <v>124</v>
      </c>
      <c r="B234" s="54" t="s">
        <v>79</v>
      </c>
      <c r="C234" s="54" t="s">
        <v>80</v>
      </c>
      <c r="D234" s="54" t="s">
        <v>125</v>
      </c>
      <c r="E234" s="54" t="s">
        <v>231</v>
      </c>
      <c r="F234" s="54" t="s">
        <v>102</v>
      </c>
      <c r="G234" s="64">
        <v>211</v>
      </c>
      <c r="H234" s="52">
        <f t="shared" ref="H234:H243" si="3">H219+H204</f>
        <v>23426.5</v>
      </c>
    </row>
    <row r="235" spans="1:8" ht="14" x14ac:dyDescent="0.15">
      <c r="A235" s="53" t="s">
        <v>83</v>
      </c>
      <c r="B235" s="54" t="s">
        <v>79</v>
      </c>
      <c r="C235" s="54" t="s">
        <v>80</v>
      </c>
      <c r="D235" s="54" t="s">
        <v>125</v>
      </c>
      <c r="E235" s="54" t="s">
        <v>231</v>
      </c>
      <c r="F235" s="54" t="s">
        <v>102</v>
      </c>
      <c r="G235" s="64">
        <v>212</v>
      </c>
      <c r="H235" s="52">
        <f t="shared" si="3"/>
        <v>180</v>
      </c>
    </row>
    <row r="236" spans="1:8" ht="14" x14ac:dyDescent="0.15">
      <c r="A236" s="53" t="s">
        <v>84</v>
      </c>
      <c r="B236" s="54" t="s">
        <v>79</v>
      </c>
      <c r="C236" s="54" t="s">
        <v>80</v>
      </c>
      <c r="D236" s="54" t="s">
        <v>125</v>
      </c>
      <c r="E236" s="54" t="s">
        <v>231</v>
      </c>
      <c r="F236" s="54" t="s">
        <v>102</v>
      </c>
      <c r="G236" s="64">
        <v>213</v>
      </c>
      <c r="H236" s="52">
        <f t="shared" si="3"/>
        <v>7669.2</v>
      </c>
    </row>
    <row r="237" spans="1:8" ht="14" x14ac:dyDescent="0.15">
      <c r="A237" s="53" t="s">
        <v>85</v>
      </c>
      <c r="B237" s="54" t="s">
        <v>79</v>
      </c>
      <c r="C237" s="54" t="s">
        <v>80</v>
      </c>
      <c r="D237" s="54" t="s">
        <v>125</v>
      </c>
      <c r="E237" s="54" t="s">
        <v>231</v>
      </c>
      <c r="F237" s="54" t="s">
        <v>102</v>
      </c>
      <c r="G237" s="64">
        <v>221</v>
      </c>
      <c r="H237" s="52">
        <f t="shared" si="3"/>
        <v>173</v>
      </c>
    </row>
    <row r="238" spans="1:8" ht="14" x14ac:dyDescent="0.15">
      <c r="A238" s="53" t="s">
        <v>86</v>
      </c>
      <c r="B238" s="54" t="s">
        <v>79</v>
      </c>
      <c r="C238" s="54" t="s">
        <v>80</v>
      </c>
      <c r="D238" s="54" t="s">
        <v>125</v>
      </c>
      <c r="E238" s="54" t="s">
        <v>231</v>
      </c>
      <c r="F238" s="54" t="s">
        <v>102</v>
      </c>
      <c r="G238" s="64">
        <v>222</v>
      </c>
      <c r="H238" s="52">
        <f t="shared" si="3"/>
        <v>295</v>
      </c>
    </row>
    <row r="239" spans="1:8" ht="14" x14ac:dyDescent="0.15">
      <c r="A239" s="53" t="s">
        <v>87</v>
      </c>
      <c r="B239" s="54" t="s">
        <v>79</v>
      </c>
      <c r="C239" s="54" t="s">
        <v>80</v>
      </c>
      <c r="D239" s="54" t="s">
        <v>125</v>
      </c>
      <c r="E239" s="54" t="s">
        <v>231</v>
      </c>
      <c r="F239" s="54" t="s">
        <v>102</v>
      </c>
      <c r="G239" s="64">
        <v>223</v>
      </c>
      <c r="H239" s="52">
        <f t="shared" si="3"/>
        <v>187.5</v>
      </c>
    </row>
    <row r="240" spans="1:8" ht="14" x14ac:dyDescent="0.15">
      <c r="A240" s="53" t="s">
        <v>111</v>
      </c>
      <c r="B240" s="54" t="s">
        <v>79</v>
      </c>
      <c r="C240" s="54" t="s">
        <v>80</v>
      </c>
      <c r="D240" s="54" t="s">
        <v>125</v>
      </c>
      <c r="E240" s="54" t="s">
        <v>231</v>
      </c>
      <c r="F240" s="54" t="s">
        <v>102</v>
      </c>
      <c r="G240" s="64">
        <v>224</v>
      </c>
      <c r="H240" s="52">
        <f t="shared" si="3"/>
        <v>0</v>
      </c>
    </row>
    <row r="241" spans="1:8" ht="14" x14ac:dyDescent="0.15">
      <c r="A241" s="53" t="s">
        <v>90</v>
      </c>
      <c r="B241" s="54" t="s">
        <v>79</v>
      </c>
      <c r="C241" s="54" t="s">
        <v>80</v>
      </c>
      <c r="D241" s="54" t="s">
        <v>125</v>
      </c>
      <c r="E241" s="54" t="s">
        <v>231</v>
      </c>
      <c r="F241" s="54" t="s">
        <v>102</v>
      </c>
      <c r="G241" s="64">
        <v>225</v>
      </c>
      <c r="H241" s="52">
        <f t="shared" si="3"/>
        <v>12492.686</v>
      </c>
    </row>
    <row r="242" spans="1:8" ht="14" x14ac:dyDescent="0.15">
      <c r="A242" s="53" t="s">
        <v>91</v>
      </c>
      <c r="B242" s="54" t="s">
        <v>79</v>
      </c>
      <c r="C242" s="54" t="s">
        <v>80</v>
      </c>
      <c r="D242" s="54" t="s">
        <v>125</v>
      </c>
      <c r="E242" s="54" t="s">
        <v>231</v>
      </c>
      <c r="F242" s="54" t="s">
        <v>102</v>
      </c>
      <c r="G242" s="64">
        <v>226</v>
      </c>
      <c r="H242" s="52">
        <f t="shared" si="3"/>
        <v>19848.714</v>
      </c>
    </row>
    <row r="243" spans="1:8" ht="14" x14ac:dyDescent="0.15">
      <c r="A243" s="68" t="s">
        <v>94</v>
      </c>
      <c r="B243" s="54" t="s">
        <v>79</v>
      </c>
      <c r="C243" s="54" t="s">
        <v>80</v>
      </c>
      <c r="D243" s="54" t="s">
        <v>125</v>
      </c>
      <c r="E243" s="54" t="s">
        <v>231</v>
      </c>
      <c r="F243" s="54" t="s">
        <v>102</v>
      </c>
      <c r="G243" s="64">
        <v>290</v>
      </c>
      <c r="H243" s="52">
        <f t="shared" si="3"/>
        <v>23.43</v>
      </c>
    </row>
    <row r="244" spans="1:8" ht="14" x14ac:dyDescent="0.15">
      <c r="A244" s="68" t="s">
        <v>94</v>
      </c>
      <c r="B244" s="54" t="s">
        <v>79</v>
      </c>
      <c r="C244" s="54" t="s">
        <v>80</v>
      </c>
      <c r="D244" s="54" t="s">
        <v>125</v>
      </c>
      <c r="E244" s="54" t="s">
        <v>230</v>
      </c>
      <c r="F244" s="54" t="s">
        <v>102</v>
      </c>
      <c r="G244" s="64" t="s">
        <v>95</v>
      </c>
      <c r="H244" s="52">
        <f>H214+H229</f>
        <v>447.47</v>
      </c>
    </row>
    <row r="245" spans="1:8" ht="14" x14ac:dyDescent="0.15">
      <c r="A245" s="53" t="s">
        <v>96</v>
      </c>
      <c r="B245" s="54" t="s">
        <v>79</v>
      </c>
      <c r="C245" s="54" t="s">
        <v>80</v>
      </c>
      <c r="D245" s="54" t="s">
        <v>125</v>
      </c>
      <c r="E245" s="54" t="s">
        <v>231</v>
      </c>
      <c r="F245" s="54" t="s">
        <v>102</v>
      </c>
      <c r="G245" s="64">
        <v>310</v>
      </c>
      <c r="H245" s="52">
        <f>H230+H215</f>
        <v>2461.1</v>
      </c>
    </row>
    <row r="246" spans="1:8" ht="14" x14ac:dyDescent="0.15">
      <c r="A246" s="53" t="s">
        <v>97</v>
      </c>
      <c r="B246" s="54" t="s">
        <v>79</v>
      </c>
      <c r="C246" s="54" t="s">
        <v>80</v>
      </c>
      <c r="D246" s="54" t="s">
        <v>125</v>
      </c>
      <c r="E246" s="54" t="s">
        <v>231</v>
      </c>
      <c r="F246" s="54" t="s">
        <v>102</v>
      </c>
      <c r="G246" s="64">
        <v>340</v>
      </c>
      <c r="H246" s="52">
        <f>H231+H216</f>
        <v>450</v>
      </c>
    </row>
    <row r="247" spans="1:8" ht="14" x14ac:dyDescent="0.15">
      <c r="A247" s="55" t="s">
        <v>98</v>
      </c>
      <c r="B247" s="65" t="s">
        <v>79</v>
      </c>
      <c r="C247" s="65" t="s">
        <v>80</v>
      </c>
      <c r="D247" s="65" t="s">
        <v>125</v>
      </c>
      <c r="E247" s="65" t="s">
        <v>231</v>
      </c>
      <c r="F247" s="65" t="s">
        <v>102</v>
      </c>
      <c r="G247" s="69"/>
      <c r="H247" s="56">
        <f>SUM(H234:H246)</f>
        <v>67654.600000000006</v>
      </c>
    </row>
    <row r="248" spans="1:8" ht="14" x14ac:dyDescent="0.15">
      <c r="A248" s="18" t="s">
        <v>128</v>
      </c>
      <c r="B248" s="16"/>
      <c r="C248" s="16"/>
      <c r="D248" s="16"/>
      <c r="E248" s="19"/>
      <c r="F248" s="19"/>
      <c r="G248" s="21"/>
      <c r="H248" s="50"/>
    </row>
    <row r="249" spans="1:8" ht="14" x14ac:dyDescent="0.15">
      <c r="A249" s="15" t="s">
        <v>124</v>
      </c>
      <c r="B249" s="16" t="s">
        <v>79</v>
      </c>
      <c r="C249" s="16" t="s">
        <v>80</v>
      </c>
      <c r="D249" s="16" t="s">
        <v>125</v>
      </c>
      <c r="E249" s="16">
        <v>4419901</v>
      </c>
      <c r="F249" s="16" t="s">
        <v>102</v>
      </c>
      <c r="G249" s="17">
        <v>211</v>
      </c>
      <c r="H249" s="49">
        <f>28180.3+377.1</f>
        <v>28557.399999999998</v>
      </c>
    </row>
    <row r="250" spans="1:8" ht="14" x14ac:dyDescent="0.15">
      <c r="A250" s="15" t="s">
        <v>83</v>
      </c>
      <c r="B250" s="16" t="s">
        <v>79</v>
      </c>
      <c r="C250" s="16" t="s">
        <v>80</v>
      </c>
      <c r="D250" s="16" t="s">
        <v>125</v>
      </c>
      <c r="E250" s="16">
        <v>4419901</v>
      </c>
      <c r="F250" s="16" t="s">
        <v>102</v>
      </c>
      <c r="G250" s="17">
        <v>212</v>
      </c>
      <c r="H250" s="49">
        <v>5</v>
      </c>
    </row>
    <row r="251" spans="1:8" ht="14" x14ac:dyDescent="0.15">
      <c r="A251" s="15" t="s">
        <v>84</v>
      </c>
      <c r="B251" s="16" t="s">
        <v>79</v>
      </c>
      <c r="C251" s="16" t="s">
        <v>80</v>
      </c>
      <c r="D251" s="16" t="s">
        <v>125</v>
      </c>
      <c r="E251" s="16">
        <v>4419901</v>
      </c>
      <c r="F251" s="16" t="s">
        <v>102</v>
      </c>
      <c r="G251" s="17">
        <v>213</v>
      </c>
      <c r="H251" s="441">
        <f>9637.6-200+107.4</f>
        <v>9545</v>
      </c>
    </row>
    <row r="252" spans="1:8" ht="14" x14ac:dyDescent="0.15">
      <c r="A252" s="15" t="s">
        <v>85</v>
      </c>
      <c r="B252" s="16" t="s">
        <v>79</v>
      </c>
      <c r="C252" s="16" t="s">
        <v>80</v>
      </c>
      <c r="D252" s="16" t="s">
        <v>125</v>
      </c>
      <c r="E252" s="16">
        <v>4419901</v>
      </c>
      <c r="F252" s="16" t="s">
        <v>102</v>
      </c>
      <c r="G252" s="17">
        <v>221</v>
      </c>
      <c r="H252" s="49">
        <v>50</v>
      </c>
    </row>
    <row r="253" spans="1:8" ht="14" x14ac:dyDescent="0.15">
      <c r="A253" s="15" t="s">
        <v>86</v>
      </c>
      <c r="B253" s="16" t="s">
        <v>79</v>
      </c>
      <c r="C253" s="16" t="s">
        <v>80</v>
      </c>
      <c r="D253" s="16" t="s">
        <v>125</v>
      </c>
      <c r="E253" s="16">
        <v>4419901</v>
      </c>
      <c r="F253" s="16" t="s">
        <v>102</v>
      </c>
      <c r="G253" s="17">
        <v>222</v>
      </c>
      <c r="H253" s="49">
        <v>10</v>
      </c>
    </row>
    <row r="254" spans="1:8" ht="14" x14ac:dyDescent="0.15">
      <c r="A254" s="15" t="s">
        <v>87</v>
      </c>
      <c r="B254" s="16" t="s">
        <v>79</v>
      </c>
      <c r="C254" s="16" t="s">
        <v>80</v>
      </c>
      <c r="D254" s="16" t="s">
        <v>125</v>
      </c>
      <c r="E254" s="16">
        <v>4419901</v>
      </c>
      <c r="F254" s="16" t="s">
        <v>102</v>
      </c>
      <c r="G254" s="17">
        <v>223</v>
      </c>
      <c r="H254" s="49">
        <f>1193.8-40-100</f>
        <v>1053.8</v>
      </c>
    </row>
    <row r="255" spans="1:8" ht="14" x14ac:dyDescent="0.15">
      <c r="A255" s="15" t="s">
        <v>111</v>
      </c>
      <c r="B255" s="16" t="s">
        <v>79</v>
      </c>
      <c r="C255" s="16" t="s">
        <v>80</v>
      </c>
      <c r="D255" s="16" t="s">
        <v>125</v>
      </c>
      <c r="E255" s="16">
        <v>4419901</v>
      </c>
      <c r="F255" s="16" t="s">
        <v>102</v>
      </c>
      <c r="G255" s="17">
        <v>224</v>
      </c>
      <c r="H255" s="49">
        <v>0</v>
      </c>
    </row>
    <row r="256" spans="1:8" ht="14" x14ac:dyDescent="0.15">
      <c r="A256" s="15" t="s">
        <v>90</v>
      </c>
      <c r="B256" s="16" t="s">
        <v>79</v>
      </c>
      <c r="C256" s="16" t="s">
        <v>80</v>
      </c>
      <c r="D256" s="16" t="s">
        <v>125</v>
      </c>
      <c r="E256" s="16">
        <v>4419901</v>
      </c>
      <c r="F256" s="16" t="s">
        <v>102</v>
      </c>
      <c r="G256" s="17">
        <v>225</v>
      </c>
      <c r="H256" s="49">
        <v>3765</v>
      </c>
    </row>
    <row r="257" spans="1:8" ht="14" x14ac:dyDescent="0.15">
      <c r="A257" s="15" t="s">
        <v>91</v>
      </c>
      <c r="B257" s="16" t="s">
        <v>79</v>
      </c>
      <c r="C257" s="16" t="s">
        <v>80</v>
      </c>
      <c r="D257" s="16" t="s">
        <v>125</v>
      </c>
      <c r="E257" s="16">
        <v>4419901</v>
      </c>
      <c r="F257" s="16" t="s">
        <v>102</v>
      </c>
      <c r="G257" s="17">
        <v>226</v>
      </c>
      <c r="H257" s="49">
        <f>997+40</f>
        <v>1037</v>
      </c>
    </row>
    <row r="258" spans="1:8" ht="14" x14ac:dyDescent="0.15">
      <c r="A258" s="11" t="s">
        <v>94</v>
      </c>
      <c r="B258" s="16" t="s">
        <v>79</v>
      </c>
      <c r="C258" s="16" t="s">
        <v>80</v>
      </c>
      <c r="D258" s="16" t="s">
        <v>125</v>
      </c>
      <c r="E258" s="16">
        <v>4419901</v>
      </c>
      <c r="F258" s="16" t="s">
        <v>102</v>
      </c>
      <c r="G258" s="17">
        <v>290</v>
      </c>
      <c r="H258" s="49">
        <f>67.2+10</f>
        <v>77.2</v>
      </c>
    </row>
    <row r="259" spans="1:8" ht="14" x14ac:dyDescent="0.15">
      <c r="A259" s="11" t="s">
        <v>94</v>
      </c>
      <c r="B259" s="16" t="s">
        <v>79</v>
      </c>
      <c r="C259" s="16" t="s">
        <v>80</v>
      </c>
      <c r="D259" s="16" t="s">
        <v>125</v>
      </c>
      <c r="E259" s="16" t="s">
        <v>232</v>
      </c>
      <c r="F259" s="16" t="s">
        <v>102</v>
      </c>
      <c r="G259" s="17" t="s">
        <v>95</v>
      </c>
      <c r="H259" s="49">
        <f>906.6+152.3</f>
        <v>1058.9000000000001</v>
      </c>
    </row>
    <row r="260" spans="1:8" ht="14" x14ac:dyDescent="0.15">
      <c r="A260" s="15" t="s">
        <v>96</v>
      </c>
      <c r="B260" s="16" t="s">
        <v>79</v>
      </c>
      <c r="C260" s="16" t="s">
        <v>80</v>
      </c>
      <c r="D260" s="16" t="s">
        <v>125</v>
      </c>
      <c r="E260" s="16">
        <v>4419901</v>
      </c>
      <c r="F260" s="16" t="s">
        <v>102</v>
      </c>
      <c r="G260" s="17">
        <v>310</v>
      </c>
      <c r="H260" s="49">
        <v>500</v>
      </c>
    </row>
    <row r="261" spans="1:8" ht="14" x14ac:dyDescent="0.15">
      <c r="A261" s="15" t="s">
        <v>97</v>
      </c>
      <c r="B261" s="16" t="s">
        <v>79</v>
      </c>
      <c r="C261" s="16" t="s">
        <v>80</v>
      </c>
      <c r="D261" s="16" t="s">
        <v>125</v>
      </c>
      <c r="E261" s="16">
        <v>4419901</v>
      </c>
      <c r="F261" s="16" t="s">
        <v>102</v>
      </c>
      <c r="G261" s="17">
        <v>340</v>
      </c>
      <c r="H261" s="49">
        <v>200</v>
      </c>
    </row>
    <row r="262" spans="1:8" ht="14" x14ac:dyDescent="0.15">
      <c r="A262" s="48" t="s">
        <v>98</v>
      </c>
      <c r="B262" s="20" t="s">
        <v>79</v>
      </c>
      <c r="C262" s="20" t="s">
        <v>80</v>
      </c>
      <c r="D262" s="20" t="s">
        <v>125</v>
      </c>
      <c r="E262" s="20" t="s">
        <v>233</v>
      </c>
      <c r="F262" s="20" t="s">
        <v>102</v>
      </c>
      <c r="G262" s="67"/>
      <c r="H262" s="50">
        <f>SUM(H249:H261)</f>
        <v>45859.299999999996</v>
      </c>
    </row>
    <row r="263" spans="1:8" ht="14" x14ac:dyDescent="0.15">
      <c r="A263" s="18" t="s">
        <v>129</v>
      </c>
      <c r="B263" s="16"/>
      <c r="C263" s="16"/>
      <c r="D263" s="16"/>
      <c r="E263" s="16"/>
      <c r="F263" s="16"/>
      <c r="G263" s="21"/>
      <c r="H263" s="50"/>
    </row>
    <row r="264" spans="1:8" ht="14" x14ac:dyDescent="0.15">
      <c r="A264" s="15" t="s">
        <v>124</v>
      </c>
      <c r="B264" s="16" t="s">
        <v>79</v>
      </c>
      <c r="C264" s="16" t="s">
        <v>80</v>
      </c>
      <c r="D264" s="16" t="s">
        <v>125</v>
      </c>
      <c r="E264" s="16">
        <v>4419901</v>
      </c>
      <c r="F264" s="16" t="s">
        <v>102</v>
      </c>
      <c r="G264" s="17">
        <v>211</v>
      </c>
      <c r="H264" s="49">
        <f>6375.8+85.3</f>
        <v>6461.1</v>
      </c>
    </row>
    <row r="265" spans="1:8" ht="14" x14ac:dyDescent="0.15">
      <c r="A265" s="15" t="s">
        <v>83</v>
      </c>
      <c r="B265" s="16" t="s">
        <v>79</v>
      </c>
      <c r="C265" s="16" t="s">
        <v>80</v>
      </c>
      <c r="D265" s="16" t="s">
        <v>125</v>
      </c>
      <c r="E265" s="16">
        <v>4419901</v>
      </c>
      <c r="F265" s="16" t="s">
        <v>102</v>
      </c>
      <c r="G265" s="17">
        <v>212</v>
      </c>
      <c r="H265" s="49">
        <f>5-1.27</f>
        <v>3.73</v>
      </c>
    </row>
    <row r="266" spans="1:8" ht="14" x14ac:dyDescent="0.15">
      <c r="A266" s="15" t="s">
        <v>84</v>
      </c>
      <c r="B266" s="16" t="s">
        <v>79</v>
      </c>
      <c r="C266" s="16" t="s">
        <v>80</v>
      </c>
      <c r="D266" s="16" t="s">
        <v>125</v>
      </c>
      <c r="E266" s="16">
        <v>4419901</v>
      </c>
      <c r="F266" s="16" t="s">
        <v>102</v>
      </c>
      <c r="G266" s="17">
        <v>213</v>
      </c>
      <c r="H266" s="49">
        <f>2180.5+24.3</f>
        <v>2204.8000000000002</v>
      </c>
    </row>
    <row r="267" spans="1:8" ht="14" x14ac:dyDescent="0.15">
      <c r="A267" s="15" t="s">
        <v>85</v>
      </c>
      <c r="B267" s="16" t="s">
        <v>79</v>
      </c>
      <c r="C267" s="16" t="s">
        <v>80</v>
      </c>
      <c r="D267" s="16" t="s">
        <v>125</v>
      </c>
      <c r="E267" s="16">
        <v>4419901</v>
      </c>
      <c r="F267" s="16" t="s">
        <v>102</v>
      </c>
      <c r="G267" s="17">
        <v>221</v>
      </c>
      <c r="H267" s="49">
        <v>16</v>
      </c>
    </row>
    <row r="268" spans="1:8" ht="14" x14ac:dyDescent="0.15">
      <c r="A268" s="15" t="s">
        <v>86</v>
      </c>
      <c r="B268" s="16" t="s">
        <v>79</v>
      </c>
      <c r="C268" s="16" t="s">
        <v>80</v>
      </c>
      <c r="D268" s="16" t="s">
        <v>125</v>
      </c>
      <c r="E268" s="16">
        <v>4419901</v>
      </c>
      <c r="F268" s="16" t="s">
        <v>102</v>
      </c>
      <c r="G268" s="17">
        <v>222</v>
      </c>
      <c r="H268" s="49">
        <f>25+27.77</f>
        <v>52.769999999999996</v>
      </c>
    </row>
    <row r="269" spans="1:8" ht="14" x14ac:dyDescent="0.15">
      <c r="A269" s="15" t="s">
        <v>87</v>
      </c>
      <c r="B269" s="16" t="s">
        <v>79</v>
      </c>
      <c r="C269" s="16" t="s">
        <v>80</v>
      </c>
      <c r="D269" s="16" t="s">
        <v>125</v>
      </c>
      <c r="E269" s="16">
        <v>4419901</v>
      </c>
      <c r="F269" s="16" t="s">
        <v>102</v>
      </c>
      <c r="G269" s="17">
        <v>223</v>
      </c>
      <c r="H269" s="49">
        <f>369.6-40</f>
        <v>329.6</v>
      </c>
    </row>
    <row r="270" spans="1:8" ht="14" x14ac:dyDescent="0.15">
      <c r="A270" s="15" t="s">
        <v>111</v>
      </c>
      <c r="B270" s="16" t="s">
        <v>79</v>
      </c>
      <c r="C270" s="16" t="s">
        <v>80</v>
      </c>
      <c r="D270" s="16" t="s">
        <v>125</v>
      </c>
      <c r="E270" s="16">
        <v>4419901</v>
      </c>
      <c r="F270" s="16" t="s">
        <v>102</v>
      </c>
      <c r="G270" s="17">
        <v>224</v>
      </c>
      <c r="H270" s="49">
        <v>0</v>
      </c>
    </row>
    <row r="271" spans="1:8" ht="14" x14ac:dyDescent="0.15">
      <c r="A271" s="15" t="s">
        <v>90</v>
      </c>
      <c r="B271" s="16" t="s">
        <v>79</v>
      </c>
      <c r="C271" s="16" t="s">
        <v>80</v>
      </c>
      <c r="D271" s="16" t="s">
        <v>125</v>
      </c>
      <c r="E271" s="16">
        <v>4419901</v>
      </c>
      <c r="F271" s="16" t="s">
        <v>102</v>
      </c>
      <c r="G271" s="17">
        <v>225</v>
      </c>
      <c r="H271" s="49">
        <v>515</v>
      </c>
    </row>
    <row r="272" spans="1:8" ht="14" x14ac:dyDescent="0.15">
      <c r="A272" s="15" t="s">
        <v>91</v>
      </c>
      <c r="B272" s="16" t="s">
        <v>79</v>
      </c>
      <c r="C272" s="16" t="s">
        <v>80</v>
      </c>
      <c r="D272" s="16" t="s">
        <v>125</v>
      </c>
      <c r="E272" s="16">
        <v>4419901</v>
      </c>
      <c r="F272" s="16" t="s">
        <v>102</v>
      </c>
      <c r="G272" s="17">
        <v>226</v>
      </c>
      <c r="H272" s="49">
        <f>570+80</f>
        <v>650</v>
      </c>
    </row>
    <row r="273" spans="1:8" ht="14" x14ac:dyDescent="0.15">
      <c r="A273" s="11" t="s">
        <v>94</v>
      </c>
      <c r="B273" s="16" t="s">
        <v>79</v>
      </c>
      <c r="C273" s="16" t="s">
        <v>80</v>
      </c>
      <c r="D273" s="16" t="s">
        <v>125</v>
      </c>
      <c r="E273" s="16">
        <v>4419901</v>
      </c>
      <c r="F273" s="16" t="s">
        <v>102</v>
      </c>
      <c r="G273" s="17">
        <v>290</v>
      </c>
      <c r="H273" s="49">
        <f>14.8+9.5</f>
        <v>24.3</v>
      </c>
    </row>
    <row r="274" spans="1:8" ht="14" x14ac:dyDescent="0.15">
      <c r="A274" s="11" t="s">
        <v>94</v>
      </c>
      <c r="B274" s="16" t="s">
        <v>79</v>
      </c>
      <c r="C274" s="16" t="s">
        <v>80</v>
      </c>
      <c r="D274" s="16" t="s">
        <v>125</v>
      </c>
      <c r="E274" s="16" t="s">
        <v>232</v>
      </c>
      <c r="F274" s="16" t="s">
        <v>102</v>
      </c>
      <c r="G274" s="17" t="s">
        <v>95</v>
      </c>
      <c r="H274" s="49">
        <f>74+125.3-26.5</f>
        <v>172.8</v>
      </c>
    </row>
    <row r="275" spans="1:8" ht="14" x14ac:dyDescent="0.15">
      <c r="A275" s="15" t="s">
        <v>96</v>
      </c>
      <c r="B275" s="16" t="s">
        <v>79</v>
      </c>
      <c r="C275" s="16" t="s">
        <v>80</v>
      </c>
      <c r="D275" s="16" t="s">
        <v>125</v>
      </c>
      <c r="E275" s="16">
        <v>4419901</v>
      </c>
      <c r="F275" s="16" t="s">
        <v>102</v>
      </c>
      <c r="G275" s="17">
        <v>310</v>
      </c>
      <c r="H275" s="49">
        <f>590-80</f>
        <v>510</v>
      </c>
    </row>
    <row r="276" spans="1:8" ht="14" x14ac:dyDescent="0.15">
      <c r="A276" s="15" t="s">
        <v>97</v>
      </c>
      <c r="B276" s="16" t="s">
        <v>79</v>
      </c>
      <c r="C276" s="16" t="s">
        <v>80</v>
      </c>
      <c r="D276" s="16" t="s">
        <v>125</v>
      </c>
      <c r="E276" s="16">
        <v>4419901</v>
      </c>
      <c r="F276" s="16" t="s">
        <v>102</v>
      </c>
      <c r="G276" s="17">
        <v>340</v>
      </c>
      <c r="H276" s="49">
        <f>20+20</f>
        <v>40</v>
      </c>
    </row>
    <row r="277" spans="1:8" ht="14" x14ac:dyDescent="0.15">
      <c r="A277" s="48" t="s">
        <v>98</v>
      </c>
      <c r="B277" s="20" t="s">
        <v>79</v>
      </c>
      <c r="C277" s="20" t="s">
        <v>80</v>
      </c>
      <c r="D277" s="20" t="s">
        <v>125</v>
      </c>
      <c r="E277" s="20" t="s">
        <v>233</v>
      </c>
      <c r="F277" s="20" t="s">
        <v>102</v>
      </c>
      <c r="G277" s="67"/>
      <c r="H277" s="50">
        <f>SUM(H264:H276)</f>
        <v>10980.1</v>
      </c>
    </row>
    <row r="278" spans="1:8" ht="14" x14ac:dyDescent="0.15">
      <c r="A278" s="18" t="s">
        <v>130</v>
      </c>
      <c r="B278" s="16"/>
      <c r="C278" s="16"/>
      <c r="D278" s="16"/>
      <c r="E278" s="16"/>
      <c r="F278" s="16"/>
      <c r="G278" s="21"/>
      <c r="H278" s="50"/>
    </row>
    <row r="279" spans="1:8" ht="14" x14ac:dyDescent="0.15">
      <c r="A279" s="15" t="s">
        <v>124</v>
      </c>
      <c r="B279" s="16" t="s">
        <v>79</v>
      </c>
      <c r="C279" s="16" t="s">
        <v>80</v>
      </c>
      <c r="D279" s="16" t="s">
        <v>125</v>
      </c>
      <c r="E279" s="16">
        <v>4419901</v>
      </c>
      <c r="F279" s="16" t="s">
        <v>102</v>
      </c>
      <c r="G279" s="17">
        <v>211</v>
      </c>
      <c r="H279" s="49">
        <f>10851.9+145.2</f>
        <v>10997.1</v>
      </c>
    </row>
    <row r="280" spans="1:8" ht="14" x14ac:dyDescent="0.15">
      <c r="A280" s="15" t="s">
        <v>83</v>
      </c>
      <c r="B280" s="16" t="s">
        <v>79</v>
      </c>
      <c r="C280" s="16" t="s">
        <v>80</v>
      </c>
      <c r="D280" s="16" t="s">
        <v>125</v>
      </c>
      <c r="E280" s="16">
        <v>4419901</v>
      </c>
      <c r="F280" s="16" t="s">
        <v>102</v>
      </c>
      <c r="G280" s="17">
        <v>212</v>
      </c>
      <c r="H280" s="49">
        <v>0</v>
      </c>
    </row>
    <row r="281" spans="1:8" ht="14" x14ac:dyDescent="0.15">
      <c r="A281" s="15" t="s">
        <v>84</v>
      </c>
      <c r="B281" s="16" t="s">
        <v>79</v>
      </c>
      <c r="C281" s="16" t="s">
        <v>80</v>
      </c>
      <c r="D281" s="16" t="s">
        <v>125</v>
      </c>
      <c r="E281" s="16">
        <v>4419901</v>
      </c>
      <c r="F281" s="16" t="s">
        <v>102</v>
      </c>
      <c r="G281" s="17">
        <v>213</v>
      </c>
      <c r="H281" s="49">
        <f>3711.4+41.4-60</f>
        <v>3692.8</v>
      </c>
    </row>
    <row r="282" spans="1:8" ht="14" x14ac:dyDescent="0.15">
      <c r="A282" s="15" t="s">
        <v>85</v>
      </c>
      <c r="B282" s="16" t="s">
        <v>79</v>
      </c>
      <c r="C282" s="16" t="s">
        <v>80</v>
      </c>
      <c r="D282" s="16" t="s">
        <v>125</v>
      </c>
      <c r="E282" s="16">
        <v>4419901</v>
      </c>
      <c r="F282" s="16" t="s">
        <v>102</v>
      </c>
      <c r="G282" s="17">
        <v>221</v>
      </c>
      <c r="H282" s="49">
        <v>48</v>
      </c>
    </row>
    <row r="283" spans="1:8" ht="14" x14ac:dyDescent="0.15">
      <c r="A283" s="15" t="s">
        <v>86</v>
      </c>
      <c r="B283" s="16" t="s">
        <v>79</v>
      </c>
      <c r="C283" s="16" t="s">
        <v>80</v>
      </c>
      <c r="D283" s="16" t="s">
        <v>125</v>
      </c>
      <c r="E283" s="16">
        <v>4419901</v>
      </c>
      <c r="F283" s="16" t="s">
        <v>102</v>
      </c>
      <c r="G283" s="17">
        <v>222</v>
      </c>
      <c r="H283" s="49">
        <v>0</v>
      </c>
    </row>
    <row r="284" spans="1:8" ht="14" x14ac:dyDescent="0.15">
      <c r="A284" s="15" t="s">
        <v>87</v>
      </c>
      <c r="B284" s="16" t="s">
        <v>79</v>
      </c>
      <c r="C284" s="16" t="s">
        <v>80</v>
      </c>
      <c r="D284" s="16" t="s">
        <v>125</v>
      </c>
      <c r="E284" s="16">
        <v>4419901</v>
      </c>
      <c r="F284" s="16" t="s">
        <v>102</v>
      </c>
      <c r="G284" s="17">
        <v>223</v>
      </c>
      <c r="H284" s="49">
        <f>295.5+40</f>
        <v>335.5</v>
      </c>
    </row>
    <row r="285" spans="1:8" ht="14" x14ac:dyDescent="0.15">
      <c r="A285" s="15" t="s">
        <v>111</v>
      </c>
      <c r="B285" s="16" t="s">
        <v>79</v>
      </c>
      <c r="C285" s="16" t="s">
        <v>80</v>
      </c>
      <c r="D285" s="16" t="s">
        <v>125</v>
      </c>
      <c r="E285" s="16">
        <v>4419901</v>
      </c>
      <c r="F285" s="16" t="s">
        <v>102</v>
      </c>
      <c r="G285" s="17">
        <v>224</v>
      </c>
      <c r="H285" s="49">
        <v>0</v>
      </c>
    </row>
    <row r="286" spans="1:8" ht="14" x14ac:dyDescent="0.15">
      <c r="A286" s="15" t="s">
        <v>90</v>
      </c>
      <c r="B286" s="16" t="s">
        <v>79</v>
      </c>
      <c r="C286" s="16" t="s">
        <v>80</v>
      </c>
      <c r="D286" s="16" t="s">
        <v>125</v>
      </c>
      <c r="E286" s="16">
        <v>4419901</v>
      </c>
      <c r="F286" s="16" t="s">
        <v>102</v>
      </c>
      <c r="G286" s="17">
        <v>225</v>
      </c>
      <c r="H286" s="49">
        <v>0</v>
      </c>
    </row>
    <row r="287" spans="1:8" ht="14" x14ac:dyDescent="0.15">
      <c r="A287" s="15" t="s">
        <v>91</v>
      </c>
      <c r="B287" s="16" t="s">
        <v>79</v>
      </c>
      <c r="C287" s="16" t="s">
        <v>80</v>
      </c>
      <c r="D287" s="16" t="s">
        <v>125</v>
      </c>
      <c r="E287" s="16">
        <v>4419901</v>
      </c>
      <c r="F287" s="16" t="s">
        <v>102</v>
      </c>
      <c r="G287" s="17">
        <v>226</v>
      </c>
      <c r="H287" s="49">
        <v>58.8</v>
      </c>
    </row>
    <row r="288" spans="1:8" ht="14" x14ac:dyDescent="0.15">
      <c r="A288" s="11" t="s">
        <v>94</v>
      </c>
      <c r="B288" s="16" t="s">
        <v>79</v>
      </c>
      <c r="C288" s="16" t="s">
        <v>80</v>
      </c>
      <c r="D288" s="16" t="s">
        <v>125</v>
      </c>
      <c r="E288" s="16">
        <v>4419901</v>
      </c>
      <c r="F288" s="16" t="s">
        <v>102</v>
      </c>
      <c r="G288" s="17">
        <v>290</v>
      </c>
      <c r="H288" s="49">
        <v>24.7</v>
      </c>
    </row>
    <row r="289" spans="1:8" ht="14" x14ac:dyDescent="0.15">
      <c r="A289" s="11" t="s">
        <v>94</v>
      </c>
      <c r="B289" s="16" t="s">
        <v>79</v>
      </c>
      <c r="C289" s="16" t="s">
        <v>80</v>
      </c>
      <c r="D289" s="16" t="s">
        <v>125</v>
      </c>
      <c r="E289" s="16" t="s">
        <v>232</v>
      </c>
      <c r="F289" s="16" t="s">
        <v>102</v>
      </c>
      <c r="G289" s="17" t="s">
        <v>95</v>
      </c>
      <c r="H289" s="49">
        <v>63.5</v>
      </c>
    </row>
    <row r="290" spans="1:8" ht="14" x14ac:dyDescent="0.15">
      <c r="A290" s="15" t="s">
        <v>96</v>
      </c>
      <c r="B290" s="16" t="s">
        <v>79</v>
      </c>
      <c r="C290" s="16" t="s">
        <v>80</v>
      </c>
      <c r="D290" s="16" t="s">
        <v>125</v>
      </c>
      <c r="E290" s="16">
        <v>4419901</v>
      </c>
      <c r="F290" s="16" t="s">
        <v>102</v>
      </c>
      <c r="G290" s="17">
        <v>310</v>
      </c>
      <c r="H290" s="49">
        <v>100</v>
      </c>
    </row>
    <row r="291" spans="1:8" ht="14" x14ac:dyDescent="0.15">
      <c r="A291" s="15" t="s">
        <v>97</v>
      </c>
      <c r="B291" s="16" t="s">
        <v>79</v>
      </c>
      <c r="C291" s="16" t="s">
        <v>80</v>
      </c>
      <c r="D291" s="16" t="s">
        <v>125</v>
      </c>
      <c r="E291" s="16">
        <v>4419901</v>
      </c>
      <c r="F291" s="16" t="s">
        <v>102</v>
      </c>
      <c r="G291" s="17">
        <v>340</v>
      </c>
      <c r="H291" s="49">
        <v>15</v>
      </c>
    </row>
    <row r="292" spans="1:8" ht="14" x14ac:dyDescent="0.15">
      <c r="A292" s="18" t="s">
        <v>98</v>
      </c>
      <c r="B292" s="19" t="s">
        <v>79</v>
      </c>
      <c r="C292" s="19" t="s">
        <v>80</v>
      </c>
      <c r="D292" s="19" t="s">
        <v>125</v>
      </c>
      <c r="E292" s="20" t="s">
        <v>233</v>
      </c>
      <c r="F292" s="20" t="s">
        <v>102</v>
      </c>
      <c r="G292" s="21"/>
      <c r="H292" s="32">
        <f>SUM(H279:H291)</f>
        <v>15335.400000000001</v>
      </c>
    </row>
    <row r="293" spans="1:8" ht="14" x14ac:dyDescent="0.15">
      <c r="A293" s="18" t="s">
        <v>131</v>
      </c>
      <c r="B293" s="19"/>
      <c r="C293" s="19"/>
      <c r="D293" s="19"/>
      <c r="E293" s="20"/>
      <c r="F293" s="20"/>
      <c r="G293" s="21"/>
      <c r="H293" s="50"/>
    </row>
    <row r="294" spans="1:8" ht="14" x14ac:dyDescent="0.15">
      <c r="A294" s="15" t="s">
        <v>124</v>
      </c>
      <c r="B294" s="16" t="s">
        <v>79</v>
      </c>
      <c r="C294" s="16" t="s">
        <v>80</v>
      </c>
      <c r="D294" s="16" t="s">
        <v>125</v>
      </c>
      <c r="E294" s="16">
        <v>4419901</v>
      </c>
      <c r="F294" s="16" t="s">
        <v>102</v>
      </c>
      <c r="G294" s="17">
        <v>211</v>
      </c>
      <c r="H294" s="49">
        <f>2480.2+33.2</f>
        <v>2513.3999999999996</v>
      </c>
    </row>
    <row r="295" spans="1:8" ht="14" x14ac:dyDescent="0.15">
      <c r="A295" s="15" t="s">
        <v>83</v>
      </c>
      <c r="B295" s="16" t="s">
        <v>79</v>
      </c>
      <c r="C295" s="16" t="s">
        <v>80</v>
      </c>
      <c r="D295" s="16" t="s">
        <v>125</v>
      </c>
      <c r="E295" s="16">
        <v>4419901</v>
      </c>
      <c r="F295" s="16" t="s">
        <v>102</v>
      </c>
      <c r="G295" s="17">
        <v>212</v>
      </c>
      <c r="H295" s="49">
        <v>0</v>
      </c>
    </row>
    <row r="296" spans="1:8" ht="14" x14ac:dyDescent="0.15">
      <c r="A296" s="15" t="s">
        <v>84</v>
      </c>
      <c r="B296" s="16" t="s">
        <v>79</v>
      </c>
      <c r="C296" s="16" t="s">
        <v>80</v>
      </c>
      <c r="D296" s="16" t="s">
        <v>125</v>
      </c>
      <c r="E296" s="16">
        <v>4419901</v>
      </c>
      <c r="F296" s="16" t="s">
        <v>102</v>
      </c>
      <c r="G296" s="17">
        <v>213</v>
      </c>
      <c r="H296" s="49">
        <f>848.2+9.5</f>
        <v>857.7</v>
      </c>
    </row>
    <row r="297" spans="1:8" ht="14" x14ac:dyDescent="0.15">
      <c r="A297" s="15" t="s">
        <v>85</v>
      </c>
      <c r="B297" s="16" t="s">
        <v>79</v>
      </c>
      <c r="C297" s="16" t="s">
        <v>80</v>
      </c>
      <c r="D297" s="16" t="s">
        <v>125</v>
      </c>
      <c r="E297" s="16">
        <v>4419901</v>
      </c>
      <c r="F297" s="16" t="s">
        <v>102</v>
      </c>
      <c r="G297" s="17">
        <v>221</v>
      </c>
      <c r="H297" s="49">
        <v>57</v>
      </c>
    </row>
    <row r="298" spans="1:8" ht="14" x14ac:dyDescent="0.15">
      <c r="A298" s="15" t="s">
        <v>86</v>
      </c>
      <c r="B298" s="16" t="s">
        <v>79</v>
      </c>
      <c r="C298" s="16" t="s">
        <v>80</v>
      </c>
      <c r="D298" s="16" t="s">
        <v>125</v>
      </c>
      <c r="E298" s="16">
        <v>4419901</v>
      </c>
      <c r="F298" s="16" t="s">
        <v>102</v>
      </c>
      <c r="G298" s="17">
        <v>222</v>
      </c>
      <c r="H298" s="49">
        <f>170+120</f>
        <v>290</v>
      </c>
    </row>
    <row r="299" spans="1:8" ht="14" x14ac:dyDescent="0.15">
      <c r="A299" s="15" t="s">
        <v>87</v>
      </c>
      <c r="B299" s="16" t="s">
        <v>79</v>
      </c>
      <c r="C299" s="16" t="s">
        <v>80</v>
      </c>
      <c r="D299" s="16" t="s">
        <v>125</v>
      </c>
      <c r="E299" s="16">
        <v>4419901</v>
      </c>
      <c r="F299" s="16" t="s">
        <v>102</v>
      </c>
      <c r="G299" s="17">
        <v>223</v>
      </c>
      <c r="H299" s="49">
        <v>0</v>
      </c>
    </row>
    <row r="300" spans="1:8" ht="14" x14ac:dyDescent="0.15">
      <c r="A300" s="15" t="s">
        <v>111</v>
      </c>
      <c r="B300" s="16" t="s">
        <v>79</v>
      </c>
      <c r="C300" s="16" t="s">
        <v>80</v>
      </c>
      <c r="D300" s="16" t="s">
        <v>125</v>
      </c>
      <c r="E300" s="16">
        <v>4419901</v>
      </c>
      <c r="F300" s="16" t="s">
        <v>102</v>
      </c>
      <c r="G300" s="17">
        <v>224</v>
      </c>
      <c r="H300" s="49">
        <v>0</v>
      </c>
    </row>
    <row r="301" spans="1:8" ht="14" x14ac:dyDescent="0.15">
      <c r="A301" s="15" t="s">
        <v>90</v>
      </c>
      <c r="B301" s="16" t="s">
        <v>79</v>
      </c>
      <c r="C301" s="16" t="s">
        <v>80</v>
      </c>
      <c r="D301" s="16" t="s">
        <v>125</v>
      </c>
      <c r="E301" s="16">
        <v>4419901</v>
      </c>
      <c r="F301" s="16" t="s">
        <v>102</v>
      </c>
      <c r="G301" s="17">
        <v>225</v>
      </c>
      <c r="H301" s="49">
        <f>160</f>
        <v>160</v>
      </c>
    </row>
    <row r="302" spans="1:8" ht="14" x14ac:dyDescent="0.15">
      <c r="A302" s="15" t="s">
        <v>91</v>
      </c>
      <c r="B302" s="16" t="s">
        <v>79</v>
      </c>
      <c r="C302" s="16" t="s">
        <v>80</v>
      </c>
      <c r="D302" s="16" t="s">
        <v>125</v>
      </c>
      <c r="E302" s="16">
        <v>4419901</v>
      </c>
      <c r="F302" s="16" t="s">
        <v>102</v>
      </c>
      <c r="G302" s="17">
        <v>226</v>
      </c>
      <c r="H302" s="49">
        <f>1980+500+400+1000</f>
        <v>3880</v>
      </c>
    </row>
    <row r="303" spans="1:8" ht="14" x14ac:dyDescent="0.15">
      <c r="A303" s="11" t="s">
        <v>94</v>
      </c>
      <c r="B303" s="16" t="s">
        <v>79</v>
      </c>
      <c r="C303" s="16" t="s">
        <v>80</v>
      </c>
      <c r="D303" s="16" t="s">
        <v>125</v>
      </c>
      <c r="E303" s="16">
        <v>4419901</v>
      </c>
      <c r="F303" s="16" t="s">
        <v>102</v>
      </c>
      <c r="G303" s="17">
        <v>290</v>
      </c>
      <c r="H303" s="49">
        <v>4.5999999999999996</v>
      </c>
    </row>
    <row r="304" spans="1:8" ht="14" x14ac:dyDescent="0.15">
      <c r="A304" s="11" t="s">
        <v>94</v>
      </c>
      <c r="B304" s="16" t="s">
        <v>79</v>
      </c>
      <c r="C304" s="16" t="s">
        <v>80</v>
      </c>
      <c r="D304" s="16" t="s">
        <v>125</v>
      </c>
      <c r="E304" s="16" t="s">
        <v>232</v>
      </c>
      <c r="F304" s="16" t="s">
        <v>102</v>
      </c>
      <c r="G304" s="17" t="s">
        <v>95</v>
      </c>
      <c r="H304" s="49">
        <f>54.7+4.1</f>
        <v>58.800000000000004</v>
      </c>
    </row>
    <row r="305" spans="1:8" ht="14" x14ac:dyDescent="0.15">
      <c r="A305" s="15" t="s">
        <v>96</v>
      </c>
      <c r="B305" s="16" t="s">
        <v>79</v>
      </c>
      <c r="C305" s="16" t="s">
        <v>80</v>
      </c>
      <c r="D305" s="16" t="s">
        <v>125</v>
      </c>
      <c r="E305" s="16">
        <v>4419901</v>
      </c>
      <c r="F305" s="16" t="s">
        <v>102</v>
      </c>
      <c r="G305" s="17">
        <v>310</v>
      </c>
      <c r="H305" s="49">
        <f>3050-160-620-400</f>
        <v>1870</v>
      </c>
    </row>
    <row r="306" spans="1:8" ht="14" x14ac:dyDescent="0.15">
      <c r="A306" s="15" t="s">
        <v>97</v>
      </c>
      <c r="B306" s="16" t="s">
        <v>79</v>
      </c>
      <c r="C306" s="16" t="s">
        <v>80</v>
      </c>
      <c r="D306" s="16" t="s">
        <v>125</v>
      </c>
      <c r="E306" s="16">
        <v>4419901</v>
      </c>
      <c r="F306" s="16" t="s">
        <v>102</v>
      </c>
      <c r="G306" s="17">
        <v>340</v>
      </c>
      <c r="H306" s="49">
        <v>350</v>
      </c>
    </row>
    <row r="307" spans="1:8" ht="14" x14ac:dyDescent="0.15">
      <c r="A307" s="18" t="s">
        <v>98</v>
      </c>
      <c r="B307" s="19" t="s">
        <v>79</v>
      </c>
      <c r="C307" s="19" t="s">
        <v>80</v>
      </c>
      <c r="D307" s="19" t="s">
        <v>125</v>
      </c>
      <c r="E307" s="20" t="s">
        <v>233</v>
      </c>
      <c r="F307" s="20" t="s">
        <v>102</v>
      </c>
      <c r="G307" s="17"/>
      <c r="H307" s="32">
        <f>SUM(H294:H306)</f>
        <v>10041.5</v>
      </c>
    </row>
    <row r="308" spans="1:8" ht="14" x14ac:dyDescent="0.15">
      <c r="A308" s="51" t="s">
        <v>132</v>
      </c>
      <c r="B308" s="54"/>
      <c r="C308" s="54"/>
      <c r="D308" s="54"/>
      <c r="E308" s="54"/>
      <c r="F308" s="54"/>
      <c r="G308" s="66"/>
      <c r="H308" s="50"/>
    </row>
    <row r="309" spans="1:8" ht="14" x14ac:dyDescent="0.15">
      <c r="A309" s="53" t="s">
        <v>124</v>
      </c>
      <c r="B309" s="54" t="s">
        <v>79</v>
      </c>
      <c r="C309" s="54" t="s">
        <v>80</v>
      </c>
      <c r="D309" s="54" t="s">
        <v>125</v>
      </c>
      <c r="E309" s="54" t="s">
        <v>234</v>
      </c>
      <c r="F309" s="54" t="s">
        <v>102</v>
      </c>
      <c r="G309" s="64">
        <v>211</v>
      </c>
      <c r="H309" s="52">
        <f t="shared" ref="H309:H321" si="4">H249+H264+H279+H294</f>
        <v>48529</v>
      </c>
    </row>
    <row r="310" spans="1:8" ht="14" x14ac:dyDescent="0.15">
      <c r="A310" s="53" t="s">
        <v>83</v>
      </c>
      <c r="B310" s="54" t="s">
        <v>79</v>
      </c>
      <c r="C310" s="54" t="s">
        <v>80</v>
      </c>
      <c r="D310" s="54" t="s">
        <v>125</v>
      </c>
      <c r="E310" s="54" t="s">
        <v>234</v>
      </c>
      <c r="F310" s="54" t="s">
        <v>102</v>
      </c>
      <c r="G310" s="64">
        <v>212</v>
      </c>
      <c r="H310" s="52">
        <f t="shared" si="4"/>
        <v>8.73</v>
      </c>
    </row>
    <row r="311" spans="1:8" ht="14" x14ac:dyDescent="0.15">
      <c r="A311" s="53" t="s">
        <v>84</v>
      </c>
      <c r="B311" s="54" t="s">
        <v>79</v>
      </c>
      <c r="C311" s="54" t="s">
        <v>80</v>
      </c>
      <c r="D311" s="54" t="s">
        <v>125</v>
      </c>
      <c r="E311" s="54" t="s">
        <v>234</v>
      </c>
      <c r="F311" s="54" t="s">
        <v>102</v>
      </c>
      <c r="G311" s="64">
        <v>213</v>
      </c>
      <c r="H311" s="52">
        <f t="shared" si="4"/>
        <v>16300.3</v>
      </c>
    </row>
    <row r="312" spans="1:8" ht="14" x14ac:dyDescent="0.15">
      <c r="A312" s="53" t="s">
        <v>85</v>
      </c>
      <c r="B312" s="54" t="s">
        <v>79</v>
      </c>
      <c r="C312" s="54" t="s">
        <v>80</v>
      </c>
      <c r="D312" s="54" t="s">
        <v>125</v>
      </c>
      <c r="E312" s="54" t="s">
        <v>234</v>
      </c>
      <c r="F312" s="54" t="s">
        <v>102</v>
      </c>
      <c r="G312" s="64">
        <v>221</v>
      </c>
      <c r="H312" s="52">
        <f t="shared" si="4"/>
        <v>171</v>
      </c>
    </row>
    <row r="313" spans="1:8" ht="14" x14ac:dyDescent="0.15">
      <c r="A313" s="53" t="s">
        <v>86</v>
      </c>
      <c r="B313" s="54" t="s">
        <v>79</v>
      </c>
      <c r="C313" s="54" t="s">
        <v>80</v>
      </c>
      <c r="D313" s="54" t="s">
        <v>125</v>
      </c>
      <c r="E313" s="54" t="s">
        <v>234</v>
      </c>
      <c r="F313" s="54" t="s">
        <v>102</v>
      </c>
      <c r="G313" s="64">
        <v>222</v>
      </c>
      <c r="H313" s="52">
        <f t="shared" si="4"/>
        <v>352.77</v>
      </c>
    </row>
    <row r="314" spans="1:8" ht="14" x14ac:dyDescent="0.15">
      <c r="A314" s="53" t="s">
        <v>87</v>
      </c>
      <c r="B314" s="54" t="s">
        <v>79</v>
      </c>
      <c r="C314" s="54" t="s">
        <v>80</v>
      </c>
      <c r="D314" s="54" t="s">
        <v>125</v>
      </c>
      <c r="E314" s="54" t="s">
        <v>234</v>
      </c>
      <c r="F314" s="54" t="s">
        <v>102</v>
      </c>
      <c r="G314" s="64">
        <v>223</v>
      </c>
      <c r="H314" s="52">
        <f t="shared" si="4"/>
        <v>1718.9</v>
      </c>
    </row>
    <row r="315" spans="1:8" ht="14" x14ac:dyDescent="0.15">
      <c r="A315" s="53" t="s">
        <v>111</v>
      </c>
      <c r="B315" s="54" t="s">
        <v>79</v>
      </c>
      <c r="C315" s="54" t="s">
        <v>80</v>
      </c>
      <c r="D315" s="54" t="s">
        <v>125</v>
      </c>
      <c r="E315" s="54" t="s">
        <v>234</v>
      </c>
      <c r="F315" s="54" t="s">
        <v>102</v>
      </c>
      <c r="G315" s="64">
        <v>224</v>
      </c>
      <c r="H315" s="52">
        <f t="shared" si="4"/>
        <v>0</v>
      </c>
    </row>
    <row r="316" spans="1:8" ht="14" x14ac:dyDescent="0.15">
      <c r="A316" s="53" t="s">
        <v>90</v>
      </c>
      <c r="B316" s="54" t="s">
        <v>79</v>
      </c>
      <c r="C316" s="54" t="s">
        <v>80</v>
      </c>
      <c r="D316" s="54" t="s">
        <v>125</v>
      </c>
      <c r="E316" s="54" t="s">
        <v>234</v>
      </c>
      <c r="F316" s="54" t="s">
        <v>102</v>
      </c>
      <c r="G316" s="64">
        <v>225</v>
      </c>
      <c r="H316" s="52">
        <f t="shared" si="4"/>
        <v>4440</v>
      </c>
    </row>
    <row r="317" spans="1:8" ht="14" x14ac:dyDescent="0.15">
      <c r="A317" s="53" t="s">
        <v>91</v>
      </c>
      <c r="B317" s="54" t="s">
        <v>79</v>
      </c>
      <c r="C317" s="54" t="s">
        <v>80</v>
      </c>
      <c r="D317" s="54" t="s">
        <v>125</v>
      </c>
      <c r="E317" s="54" t="s">
        <v>234</v>
      </c>
      <c r="F317" s="54" t="s">
        <v>102</v>
      </c>
      <c r="G317" s="64">
        <v>226</v>
      </c>
      <c r="H317" s="52">
        <f t="shared" si="4"/>
        <v>5625.8</v>
      </c>
    </row>
    <row r="318" spans="1:8" ht="14" x14ac:dyDescent="0.15">
      <c r="A318" s="68" t="s">
        <v>94</v>
      </c>
      <c r="B318" s="54" t="s">
        <v>79</v>
      </c>
      <c r="C318" s="54" t="s">
        <v>80</v>
      </c>
      <c r="D318" s="54" t="s">
        <v>125</v>
      </c>
      <c r="E318" s="54" t="s">
        <v>234</v>
      </c>
      <c r="F318" s="54" t="s">
        <v>102</v>
      </c>
      <c r="G318" s="64">
        <v>290</v>
      </c>
      <c r="H318" s="52">
        <f t="shared" si="4"/>
        <v>130.80000000000001</v>
      </c>
    </row>
    <row r="319" spans="1:8" ht="14" x14ac:dyDescent="0.15">
      <c r="A319" s="68" t="s">
        <v>94</v>
      </c>
      <c r="B319" s="54" t="s">
        <v>79</v>
      </c>
      <c r="C319" s="54" t="s">
        <v>80</v>
      </c>
      <c r="D319" s="54" t="s">
        <v>125</v>
      </c>
      <c r="E319" s="54" t="s">
        <v>232</v>
      </c>
      <c r="F319" s="54" t="s">
        <v>102</v>
      </c>
      <c r="G319" s="64" t="s">
        <v>95</v>
      </c>
      <c r="H319" s="52">
        <f t="shared" si="4"/>
        <v>1354</v>
      </c>
    </row>
    <row r="320" spans="1:8" ht="14" x14ac:dyDescent="0.15">
      <c r="A320" s="53" t="s">
        <v>96</v>
      </c>
      <c r="B320" s="54" t="s">
        <v>79</v>
      </c>
      <c r="C320" s="54" t="s">
        <v>80</v>
      </c>
      <c r="D320" s="54" t="s">
        <v>125</v>
      </c>
      <c r="E320" s="54" t="s">
        <v>234</v>
      </c>
      <c r="F320" s="54" t="s">
        <v>102</v>
      </c>
      <c r="G320" s="64">
        <v>310</v>
      </c>
      <c r="H320" s="52">
        <f t="shared" si="4"/>
        <v>2980</v>
      </c>
    </row>
    <row r="321" spans="1:8" ht="14" x14ac:dyDescent="0.15">
      <c r="A321" s="53" t="s">
        <v>97</v>
      </c>
      <c r="B321" s="54" t="s">
        <v>79</v>
      </c>
      <c r="C321" s="54" t="s">
        <v>80</v>
      </c>
      <c r="D321" s="54" t="s">
        <v>125</v>
      </c>
      <c r="E321" s="54" t="s">
        <v>234</v>
      </c>
      <c r="F321" s="54" t="s">
        <v>102</v>
      </c>
      <c r="G321" s="64">
        <v>340</v>
      </c>
      <c r="H321" s="52">
        <f t="shared" si="4"/>
        <v>605</v>
      </c>
    </row>
    <row r="322" spans="1:8" ht="14" x14ac:dyDescent="0.15">
      <c r="A322" s="51" t="s">
        <v>98</v>
      </c>
      <c r="B322" s="62" t="s">
        <v>79</v>
      </c>
      <c r="C322" s="62" t="s">
        <v>80</v>
      </c>
      <c r="D322" s="62" t="s">
        <v>125</v>
      </c>
      <c r="E322" s="65" t="s">
        <v>233</v>
      </c>
      <c r="F322" s="65" t="s">
        <v>102</v>
      </c>
      <c r="G322" s="66"/>
      <c r="H322" s="57">
        <f>SUM(H309:H321)</f>
        <v>82216.3</v>
      </c>
    </row>
    <row r="323" spans="1:8" ht="14" x14ac:dyDescent="0.15">
      <c r="A323" s="18" t="s">
        <v>133</v>
      </c>
      <c r="B323" s="16"/>
      <c r="C323" s="16"/>
      <c r="D323" s="16"/>
      <c r="E323" s="19"/>
      <c r="F323" s="19"/>
      <c r="G323" s="21"/>
      <c r="H323" s="50"/>
    </row>
    <row r="324" spans="1:8" ht="14" x14ac:dyDescent="0.15">
      <c r="A324" s="15" t="s">
        <v>78</v>
      </c>
      <c r="B324" s="16" t="s">
        <v>79</v>
      </c>
      <c r="C324" s="16" t="s">
        <v>80</v>
      </c>
      <c r="D324" s="16" t="s">
        <v>125</v>
      </c>
      <c r="E324" s="16">
        <v>4429901</v>
      </c>
      <c r="F324" s="16" t="s">
        <v>102</v>
      </c>
      <c r="G324" s="17">
        <v>211</v>
      </c>
      <c r="H324" s="49">
        <f>19332.3+150+258.6</f>
        <v>19740.899999999998</v>
      </c>
    </row>
    <row r="325" spans="1:8" ht="14" x14ac:dyDescent="0.15">
      <c r="A325" s="15" t="s">
        <v>103</v>
      </c>
      <c r="B325" s="16" t="s">
        <v>79</v>
      </c>
      <c r="C325" s="16" t="s">
        <v>80</v>
      </c>
      <c r="D325" s="16" t="s">
        <v>125</v>
      </c>
      <c r="E325" s="16">
        <v>4429901</v>
      </c>
      <c r="F325" s="16" t="s">
        <v>102</v>
      </c>
      <c r="G325" s="17">
        <v>212</v>
      </c>
      <c r="H325" s="49">
        <v>5</v>
      </c>
    </row>
    <row r="326" spans="1:8" ht="14" x14ac:dyDescent="0.15">
      <c r="A326" s="15" t="s">
        <v>84</v>
      </c>
      <c r="B326" s="16" t="s">
        <v>79</v>
      </c>
      <c r="C326" s="16" t="s">
        <v>80</v>
      </c>
      <c r="D326" s="16" t="s">
        <v>125</v>
      </c>
      <c r="E326" s="16">
        <v>4429901</v>
      </c>
      <c r="F326" s="16" t="s">
        <v>102</v>
      </c>
      <c r="G326" s="17">
        <v>213</v>
      </c>
      <c r="H326" s="49">
        <f>6611.7-150+73.7</f>
        <v>6535.4</v>
      </c>
    </row>
    <row r="327" spans="1:8" ht="14" x14ac:dyDescent="0.15">
      <c r="A327" s="15" t="s">
        <v>85</v>
      </c>
      <c r="B327" s="16" t="s">
        <v>79</v>
      </c>
      <c r="C327" s="16" t="s">
        <v>80</v>
      </c>
      <c r="D327" s="16" t="s">
        <v>125</v>
      </c>
      <c r="E327" s="16">
        <v>4429901</v>
      </c>
      <c r="F327" s="16" t="s">
        <v>102</v>
      </c>
      <c r="G327" s="17">
        <v>221</v>
      </c>
      <c r="H327" s="49">
        <v>51</v>
      </c>
    </row>
    <row r="328" spans="1:8" ht="14" x14ac:dyDescent="0.15">
      <c r="A328" s="15" t="s">
        <v>86</v>
      </c>
      <c r="B328" s="16" t="s">
        <v>79</v>
      </c>
      <c r="C328" s="16" t="s">
        <v>80</v>
      </c>
      <c r="D328" s="16" t="s">
        <v>125</v>
      </c>
      <c r="E328" s="16">
        <v>4429901</v>
      </c>
      <c r="F328" s="16" t="s">
        <v>102</v>
      </c>
      <c r="G328" s="17">
        <v>222</v>
      </c>
      <c r="H328" s="49">
        <v>20</v>
      </c>
    </row>
    <row r="329" spans="1:8" ht="14" x14ac:dyDescent="0.15">
      <c r="A329" s="15" t="s">
        <v>87</v>
      </c>
      <c r="B329" s="16" t="s">
        <v>79</v>
      </c>
      <c r="C329" s="16" t="s">
        <v>80</v>
      </c>
      <c r="D329" s="16" t="s">
        <v>125</v>
      </c>
      <c r="E329" s="16">
        <v>4429901</v>
      </c>
      <c r="F329" s="16" t="s">
        <v>102</v>
      </c>
      <c r="G329" s="17">
        <v>223</v>
      </c>
      <c r="H329" s="49">
        <f>1877.1-200</f>
        <v>1677.1</v>
      </c>
    </row>
    <row r="330" spans="1:8" ht="14" x14ac:dyDescent="0.15">
      <c r="A330" s="15" t="s">
        <v>134</v>
      </c>
      <c r="B330" s="16" t="s">
        <v>79</v>
      </c>
      <c r="C330" s="16" t="s">
        <v>80</v>
      </c>
      <c r="D330" s="16" t="s">
        <v>125</v>
      </c>
      <c r="E330" s="16">
        <v>4429901</v>
      </c>
      <c r="F330" s="16" t="s">
        <v>102</v>
      </c>
      <c r="G330" s="17">
        <v>224</v>
      </c>
      <c r="H330" s="49">
        <v>0</v>
      </c>
    </row>
    <row r="331" spans="1:8" ht="14" x14ac:dyDescent="0.15">
      <c r="A331" s="15" t="s">
        <v>90</v>
      </c>
      <c r="B331" s="16" t="s">
        <v>79</v>
      </c>
      <c r="C331" s="16" t="s">
        <v>80</v>
      </c>
      <c r="D331" s="16" t="s">
        <v>125</v>
      </c>
      <c r="E331" s="16">
        <v>4429901</v>
      </c>
      <c r="F331" s="16" t="s">
        <v>102</v>
      </c>
      <c r="G331" s="17">
        <v>225</v>
      </c>
      <c r="H331" s="49">
        <f>1215-200</f>
        <v>1015</v>
      </c>
    </row>
    <row r="332" spans="1:8" ht="14" x14ac:dyDescent="0.15">
      <c r="A332" s="15" t="s">
        <v>91</v>
      </c>
      <c r="B332" s="16" t="s">
        <v>79</v>
      </c>
      <c r="C332" s="16" t="s">
        <v>80</v>
      </c>
      <c r="D332" s="16" t="s">
        <v>125</v>
      </c>
      <c r="E332" s="16">
        <v>4429901</v>
      </c>
      <c r="F332" s="16" t="s">
        <v>102</v>
      </c>
      <c r="G332" s="17">
        <v>226</v>
      </c>
      <c r="H332" s="49">
        <v>1300</v>
      </c>
    </row>
    <row r="333" spans="1:8" ht="14" x14ac:dyDescent="0.15">
      <c r="A333" s="11" t="s">
        <v>94</v>
      </c>
      <c r="B333" s="16" t="s">
        <v>79</v>
      </c>
      <c r="C333" s="16" t="s">
        <v>80</v>
      </c>
      <c r="D333" s="16" t="s">
        <v>125</v>
      </c>
      <c r="E333" s="16">
        <v>4429901</v>
      </c>
      <c r="F333" s="16" t="s">
        <v>102</v>
      </c>
      <c r="G333" s="17">
        <v>290</v>
      </c>
      <c r="H333" s="49">
        <v>44.6</v>
      </c>
    </row>
    <row r="334" spans="1:8" ht="14" x14ac:dyDescent="0.15">
      <c r="A334" s="11" t="s">
        <v>94</v>
      </c>
      <c r="B334" s="16" t="s">
        <v>79</v>
      </c>
      <c r="C334" s="16" t="s">
        <v>80</v>
      </c>
      <c r="D334" s="16" t="s">
        <v>125</v>
      </c>
      <c r="E334" s="16" t="s">
        <v>235</v>
      </c>
      <c r="F334" s="16" t="s">
        <v>102</v>
      </c>
      <c r="G334" s="17" t="s">
        <v>95</v>
      </c>
      <c r="H334" s="49">
        <f>1666.2+573.4</f>
        <v>2239.6</v>
      </c>
    </row>
    <row r="335" spans="1:8" ht="14" x14ac:dyDescent="0.15">
      <c r="A335" s="15" t="s">
        <v>96</v>
      </c>
      <c r="B335" s="16" t="s">
        <v>79</v>
      </c>
      <c r="C335" s="16" t="s">
        <v>80</v>
      </c>
      <c r="D335" s="16" t="s">
        <v>125</v>
      </c>
      <c r="E335" s="16">
        <v>4429901</v>
      </c>
      <c r="F335" s="16" t="s">
        <v>102</v>
      </c>
      <c r="G335" s="17">
        <v>310</v>
      </c>
      <c r="H335" s="49">
        <f>500+200</f>
        <v>700</v>
      </c>
    </row>
    <row r="336" spans="1:8" ht="14" x14ac:dyDescent="0.15">
      <c r="A336" s="15" t="s">
        <v>97</v>
      </c>
      <c r="B336" s="16" t="s">
        <v>79</v>
      </c>
      <c r="C336" s="16" t="s">
        <v>80</v>
      </c>
      <c r="D336" s="16" t="s">
        <v>125</v>
      </c>
      <c r="E336" s="16">
        <v>4429901</v>
      </c>
      <c r="F336" s="16" t="s">
        <v>102</v>
      </c>
      <c r="G336" s="17">
        <v>340</v>
      </c>
      <c r="H336" s="441">
        <f>250+80</f>
        <v>330</v>
      </c>
    </row>
    <row r="337" spans="1:8" ht="14" x14ac:dyDescent="0.15">
      <c r="A337" s="48" t="s">
        <v>98</v>
      </c>
      <c r="B337" s="20" t="s">
        <v>79</v>
      </c>
      <c r="C337" s="20" t="s">
        <v>80</v>
      </c>
      <c r="D337" s="20" t="s">
        <v>125</v>
      </c>
      <c r="E337" s="20" t="s">
        <v>236</v>
      </c>
      <c r="F337" s="20" t="s">
        <v>102</v>
      </c>
      <c r="G337" s="67"/>
      <c r="H337" s="50">
        <f>SUM(H324:H336)</f>
        <v>33658.599999999991</v>
      </c>
    </row>
    <row r="338" spans="1:8" ht="14" x14ac:dyDescent="0.15">
      <c r="A338" s="18" t="s">
        <v>135</v>
      </c>
      <c r="B338" s="16"/>
      <c r="C338" s="16"/>
      <c r="D338" s="16"/>
      <c r="E338" s="16"/>
      <c r="F338" s="16"/>
      <c r="G338" s="21"/>
      <c r="H338" s="50"/>
    </row>
    <row r="339" spans="1:8" ht="14" x14ac:dyDescent="0.15">
      <c r="A339" s="15" t="s">
        <v>78</v>
      </c>
      <c r="B339" s="16" t="s">
        <v>79</v>
      </c>
      <c r="C339" s="16" t="s">
        <v>80</v>
      </c>
      <c r="D339" s="16" t="s">
        <v>125</v>
      </c>
      <c r="E339" s="16">
        <v>4429901</v>
      </c>
      <c r="F339" s="16" t="s">
        <v>102</v>
      </c>
      <c r="G339" s="17">
        <v>211</v>
      </c>
      <c r="H339" s="49">
        <f>5407.3+72.4</f>
        <v>5479.7</v>
      </c>
    </row>
    <row r="340" spans="1:8" ht="14" x14ac:dyDescent="0.15">
      <c r="A340" s="15" t="s">
        <v>103</v>
      </c>
      <c r="B340" s="16" t="s">
        <v>79</v>
      </c>
      <c r="C340" s="16" t="s">
        <v>80</v>
      </c>
      <c r="D340" s="16" t="s">
        <v>125</v>
      </c>
      <c r="E340" s="16">
        <v>4429901</v>
      </c>
      <c r="F340" s="16" t="s">
        <v>102</v>
      </c>
      <c r="G340" s="17">
        <v>212</v>
      </c>
      <c r="H340" s="49">
        <v>3</v>
      </c>
    </row>
    <row r="341" spans="1:8" ht="14" x14ac:dyDescent="0.15">
      <c r="A341" s="15" t="s">
        <v>84</v>
      </c>
      <c r="B341" s="16" t="s">
        <v>79</v>
      </c>
      <c r="C341" s="16" t="s">
        <v>80</v>
      </c>
      <c r="D341" s="16" t="s">
        <v>125</v>
      </c>
      <c r="E341" s="16">
        <v>4429901</v>
      </c>
      <c r="F341" s="16" t="s">
        <v>102</v>
      </c>
      <c r="G341" s="17">
        <v>213</v>
      </c>
      <c r="H341" s="49">
        <f>1849.3+20.6</f>
        <v>1869.8999999999999</v>
      </c>
    </row>
    <row r="342" spans="1:8" ht="14" x14ac:dyDescent="0.15">
      <c r="A342" s="15" t="s">
        <v>85</v>
      </c>
      <c r="B342" s="16" t="s">
        <v>79</v>
      </c>
      <c r="C342" s="16" t="s">
        <v>80</v>
      </c>
      <c r="D342" s="16" t="s">
        <v>125</v>
      </c>
      <c r="E342" s="16">
        <v>4429901</v>
      </c>
      <c r="F342" s="16" t="s">
        <v>102</v>
      </c>
      <c r="G342" s="17">
        <v>221</v>
      </c>
      <c r="H342" s="49">
        <v>33</v>
      </c>
    </row>
    <row r="343" spans="1:8" ht="14" x14ac:dyDescent="0.15">
      <c r="A343" s="15" t="s">
        <v>86</v>
      </c>
      <c r="B343" s="16" t="s">
        <v>79</v>
      </c>
      <c r="C343" s="16" t="s">
        <v>80</v>
      </c>
      <c r="D343" s="16" t="s">
        <v>125</v>
      </c>
      <c r="E343" s="16">
        <v>4429901</v>
      </c>
      <c r="F343" s="16" t="s">
        <v>102</v>
      </c>
      <c r="G343" s="17">
        <v>222</v>
      </c>
      <c r="H343" s="49">
        <v>5</v>
      </c>
    </row>
    <row r="344" spans="1:8" ht="14" x14ac:dyDescent="0.15">
      <c r="A344" s="15" t="s">
        <v>87</v>
      </c>
      <c r="B344" s="16" t="s">
        <v>79</v>
      </c>
      <c r="C344" s="16" t="s">
        <v>80</v>
      </c>
      <c r="D344" s="16" t="s">
        <v>125</v>
      </c>
      <c r="E344" s="16">
        <v>4429901</v>
      </c>
      <c r="F344" s="16" t="s">
        <v>102</v>
      </c>
      <c r="G344" s="17">
        <v>223</v>
      </c>
      <c r="H344" s="49">
        <f>193.4+33.1</f>
        <v>226.5</v>
      </c>
    </row>
    <row r="345" spans="1:8" ht="14" x14ac:dyDescent="0.15">
      <c r="A345" s="15" t="s">
        <v>134</v>
      </c>
      <c r="B345" s="16" t="s">
        <v>79</v>
      </c>
      <c r="C345" s="16" t="s">
        <v>80</v>
      </c>
      <c r="D345" s="16" t="s">
        <v>125</v>
      </c>
      <c r="E345" s="16">
        <v>4429901</v>
      </c>
      <c r="F345" s="16" t="s">
        <v>102</v>
      </c>
      <c r="G345" s="17">
        <v>224</v>
      </c>
      <c r="H345" s="49">
        <v>0</v>
      </c>
    </row>
    <row r="346" spans="1:8" ht="14" x14ac:dyDescent="0.15">
      <c r="A346" s="15" t="s">
        <v>90</v>
      </c>
      <c r="B346" s="16" t="s">
        <v>79</v>
      </c>
      <c r="C346" s="16" t="s">
        <v>80</v>
      </c>
      <c r="D346" s="16" t="s">
        <v>125</v>
      </c>
      <c r="E346" s="16">
        <v>4429901</v>
      </c>
      <c r="F346" s="16" t="s">
        <v>102</v>
      </c>
      <c r="G346" s="17">
        <v>225</v>
      </c>
      <c r="H346" s="49">
        <v>2606.6</v>
      </c>
    </row>
    <row r="347" spans="1:8" ht="14" x14ac:dyDescent="0.15">
      <c r="A347" s="15" t="s">
        <v>91</v>
      </c>
      <c r="B347" s="16" t="s">
        <v>79</v>
      </c>
      <c r="C347" s="16" t="s">
        <v>80</v>
      </c>
      <c r="D347" s="16" t="s">
        <v>125</v>
      </c>
      <c r="E347" s="16">
        <v>4429901</v>
      </c>
      <c r="F347" s="16" t="s">
        <v>102</v>
      </c>
      <c r="G347" s="17">
        <v>226</v>
      </c>
      <c r="H347" s="49">
        <v>797</v>
      </c>
    </row>
    <row r="348" spans="1:8" ht="14" x14ac:dyDescent="0.15">
      <c r="A348" s="11" t="s">
        <v>94</v>
      </c>
      <c r="B348" s="16" t="s">
        <v>79</v>
      </c>
      <c r="C348" s="16" t="s">
        <v>80</v>
      </c>
      <c r="D348" s="16" t="s">
        <v>125</v>
      </c>
      <c r="E348" s="16">
        <v>4429901</v>
      </c>
      <c r="F348" s="16" t="s">
        <v>102</v>
      </c>
      <c r="G348" s="17">
        <v>290</v>
      </c>
      <c r="H348" s="49">
        <v>12.5</v>
      </c>
    </row>
    <row r="349" spans="1:8" ht="14" x14ac:dyDescent="0.15">
      <c r="A349" s="11" t="s">
        <v>94</v>
      </c>
      <c r="B349" s="16" t="s">
        <v>79</v>
      </c>
      <c r="C349" s="16" t="s">
        <v>80</v>
      </c>
      <c r="D349" s="16" t="s">
        <v>125</v>
      </c>
      <c r="E349" s="16" t="s">
        <v>235</v>
      </c>
      <c r="F349" s="16" t="s">
        <v>102</v>
      </c>
      <c r="G349" s="17" t="s">
        <v>95</v>
      </c>
      <c r="H349" s="49">
        <f>78.6+280.7</f>
        <v>359.29999999999995</v>
      </c>
    </row>
    <row r="350" spans="1:8" ht="14" x14ac:dyDescent="0.15">
      <c r="A350" s="15" t="s">
        <v>96</v>
      </c>
      <c r="B350" s="16" t="s">
        <v>79</v>
      </c>
      <c r="C350" s="16" t="s">
        <v>80</v>
      </c>
      <c r="D350" s="16" t="s">
        <v>125</v>
      </c>
      <c r="E350" s="16">
        <v>4429901</v>
      </c>
      <c r="F350" s="16" t="s">
        <v>102</v>
      </c>
      <c r="G350" s="17">
        <v>310</v>
      </c>
      <c r="H350" s="49">
        <f>105</f>
        <v>105</v>
      </c>
    </row>
    <row r="351" spans="1:8" ht="14" x14ac:dyDescent="0.15">
      <c r="A351" s="15" t="s">
        <v>97</v>
      </c>
      <c r="B351" s="16" t="s">
        <v>79</v>
      </c>
      <c r="C351" s="16" t="s">
        <v>80</v>
      </c>
      <c r="D351" s="16" t="s">
        <v>125</v>
      </c>
      <c r="E351" s="16">
        <v>4429901</v>
      </c>
      <c r="F351" s="16" t="s">
        <v>102</v>
      </c>
      <c r="G351" s="17">
        <v>340</v>
      </c>
      <c r="H351" s="441">
        <f>10+80</f>
        <v>90</v>
      </c>
    </row>
    <row r="352" spans="1:8" ht="14" x14ac:dyDescent="0.15">
      <c r="A352" s="48" t="s">
        <v>98</v>
      </c>
      <c r="B352" s="20" t="s">
        <v>79</v>
      </c>
      <c r="C352" s="20" t="s">
        <v>80</v>
      </c>
      <c r="D352" s="20" t="s">
        <v>125</v>
      </c>
      <c r="E352" s="20" t="s">
        <v>236</v>
      </c>
      <c r="F352" s="20" t="s">
        <v>102</v>
      </c>
      <c r="G352" s="67"/>
      <c r="H352" s="50">
        <f>SUM(H339:H351)</f>
        <v>11587.499999999998</v>
      </c>
    </row>
    <row r="353" spans="1:8" ht="14" x14ac:dyDescent="0.15">
      <c r="A353" s="18" t="s">
        <v>136</v>
      </c>
      <c r="B353" s="16"/>
      <c r="C353" s="16"/>
      <c r="D353" s="16"/>
      <c r="E353" s="16"/>
      <c r="F353" s="16"/>
      <c r="G353" s="21"/>
      <c r="H353" s="50"/>
    </row>
    <row r="354" spans="1:8" ht="14" x14ac:dyDescent="0.15">
      <c r="A354" s="15" t="s">
        <v>78</v>
      </c>
      <c r="B354" s="16" t="s">
        <v>79</v>
      </c>
      <c r="C354" s="16" t="s">
        <v>80</v>
      </c>
      <c r="D354" s="16" t="s">
        <v>125</v>
      </c>
      <c r="E354" s="16">
        <v>4429901</v>
      </c>
      <c r="F354" s="16" t="s">
        <v>102</v>
      </c>
      <c r="G354" s="17">
        <v>211</v>
      </c>
      <c r="H354" s="49">
        <f>4424.4+59.2</f>
        <v>4483.5999999999995</v>
      </c>
    </row>
    <row r="355" spans="1:8" ht="14" x14ac:dyDescent="0.15">
      <c r="A355" s="15" t="s">
        <v>103</v>
      </c>
      <c r="B355" s="16" t="s">
        <v>79</v>
      </c>
      <c r="C355" s="16" t="s">
        <v>80</v>
      </c>
      <c r="D355" s="16" t="s">
        <v>125</v>
      </c>
      <c r="E355" s="16">
        <v>4429901</v>
      </c>
      <c r="F355" s="16" t="s">
        <v>102</v>
      </c>
      <c r="G355" s="17">
        <v>212</v>
      </c>
      <c r="H355" s="49">
        <v>0</v>
      </c>
    </row>
    <row r="356" spans="1:8" ht="14" x14ac:dyDescent="0.15">
      <c r="A356" s="15" t="s">
        <v>84</v>
      </c>
      <c r="B356" s="16" t="s">
        <v>79</v>
      </c>
      <c r="C356" s="16" t="s">
        <v>80</v>
      </c>
      <c r="D356" s="16" t="s">
        <v>125</v>
      </c>
      <c r="E356" s="16">
        <v>4429901</v>
      </c>
      <c r="F356" s="16" t="s">
        <v>102</v>
      </c>
      <c r="G356" s="17">
        <v>213</v>
      </c>
      <c r="H356" s="49">
        <f>1513.1+16.9</f>
        <v>1530</v>
      </c>
    </row>
    <row r="357" spans="1:8" ht="14" x14ac:dyDescent="0.15">
      <c r="A357" s="15" t="s">
        <v>85</v>
      </c>
      <c r="B357" s="16" t="s">
        <v>79</v>
      </c>
      <c r="C357" s="16" t="s">
        <v>80</v>
      </c>
      <c r="D357" s="16" t="s">
        <v>125</v>
      </c>
      <c r="E357" s="16">
        <v>4429901</v>
      </c>
      <c r="F357" s="16" t="s">
        <v>102</v>
      </c>
      <c r="G357" s="17">
        <v>221</v>
      </c>
      <c r="H357" s="49">
        <f>14+0.3+9.5</f>
        <v>23.8</v>
      </c>
    </row>
    <row r="358" spans="1:8" ht="14" x14ac:dyDescent="0.15">
      <c r="A358" s="15" t="s">
        <v>86</v>
      </c>
      <c r="B358" s="16" t="s">
        <v>79</v>
      </c>
      <c r="C358" s="16" t="s">
        <v>80</v>
      </c>
      <c r="D358" s="16" t="s">
        <v>125</v>
      </c>
      <c r="E358" s="16">
        <v>4429901</v>
      </c>
      <c r="F358" s="16" t="s">
        <v>102</v>
      </c>
      <c r="G358" s="17">
        <v>222</v>
      </c>
      <c r="H358" s="49">
        <v>0</v>
      </c>
    </row>
    <row r="359" spans="1:8" ht="14" x14ac:dyDescent="0.15">
      <c r="A359" s="15" t="s">
        <v>87</v>
      </c>
      <c r="B359" s="16" t="s">
        <v>79</v>
      </c>
      <c r="C359" s="16" t="s">
        <v>80</v>
      </c>
      <c r="D359" s="16" t="s">
        <v>125</v>
      </c>
      <c r="E359" s="16">
        <v>4429901</v>
      </c>
      <c r="F359" s="16" t="s">
        <v>102</v>
      </c>
      <c r="G359" s="17">
        <v>223</v>
      </c>
      <c r="H359" s="49">
        <f>136-71.8</f>
        <v>64.2</v>
      </c>
    </row>
    <row r="360" spans="1:8" ht="14" x14ac:dyDescent="0.15">
      <c r="A360" s="15" t="s">
        <v>134</v>
      </c>
      <c r="B360" s="16" t="s">
        <v>79</v>
      </c>
      <c r="C360" s="16" t="s">
        <v>80</v>
      </c>
      <c r="D360" s="16" t="s">
        <v>125</v>
      </c>
      <c r="E360" s="16">
        <v>4429901</v>
      </c>
      <c r="F360" s="16" t="s">
        <v>102</v>
      </c>
      <c r="G360" s="17">
        <v>224</v>
      </c>
      <c r="H360" s="49">
        <f>612-92</f>
        <v>520</v>
      </c>
    </row>
    <row r="361" spans="1:8" ht="14" x14ac:dyDescent="0.15">
      <c r="A361" s="15" t="s">
        <v>90</v>
      </c>
      <c r="B361" s="16" t="s">
        <v>79</v>
      </c>
      <c r="C361" s="16" t="s">
        <v>80</v>
      </c>
      <c r="D361" s="16" t="s">
        <v>125</v>
      </c>
      <c r="E361" s="16">
        <v>4429901</v>
      </c>
      <c r="F361" s="16" t="s">
        <v>102</v>
      </c>
      <c r="G361" s="17">
        <v>225</v>
      </c>
      <c r="H361" s="49">
        <f>7+5.7</f>
        <v>12.7</v>
      </c>
    </row>
    <row r="362" spans="1:8" ht="14" x14ac:dyDescent="0.15">
      <c r="A362" s="15" t="s">
        <v>91</v>
      </c>
      <c r="B362" s="16" t="s">
        <v>79</v>
      </c>
      <c r="C362" s="16" t="s">
        <v>80</v>
      </c>
      <c r="D362" s="16" t="s">
        <v>125</v>
      </c>
      <c r="E362" s="16">
        <v>4429901</v>
      </c>
      <c r="F362" s="16" t="s">
        <v>102</v>
      </c>
      <c r="G362" s="17">
        <v>226</v>
      </c>
      <c r="H362" s="49">
        <f>100+5+56.6</f>
        <v>161.6</v>
      </c>
    </row>
    <row r="363" spans="1:8" ht="14" x14ac:dyDescent="0.15">
      <c r="A363" s="11" t="s">
        <v>94</v>
      </c>
      <c r="B363" s="16" t="s">
        <v>79</v>
      </c>
      <c r="C363" s="16" t="s">
        <v>80</v>
      </c>
      <c r="D363" s="16" t="s">
        <v>125</v>
      </c>
      <c r="E363" s="16">
        <v>4429901</v>
      </c>
      <c r="F363" s="16" t="s">
        <v>102</v>
      </c>
      <c r="G363" s="17">
        <v>290</v>
      </c>
      <c r="H363" s="49">
        <v>9.6999999999999993</v>
      </c>
    </row>
    <row r="364" spans="1:8" ht="14" x14ac:dyDescent="0.15">
      <c r="A364" s="11" t="s">
        <v>94</v>
      </c>
      <c r="B364" s="16" t="s">
        <v>79</v>
      </c>
      <c r="C364" s="16" t="s">
        <v>80</v>
      </c>
      <c r="D364" s="16" t="s">
        <v>125</v>
      </c>
      <c r="E364" s="16" t="s">
        <v>235</v>
      </c>
      <c r="F364" s="16" t="s">
        <v>102</v>
      </c>
      <c r="G364" s="17" t="s">
        <v>95</v>
      </c>
      <c r="H364" s="49">
        <f>20.3-6.77</f>
        <v>13.530000000000001</v>
      </c>
    </row>
    <row r="365" spans="1:8" ht="14" x14ac:dyDescent="0.15">
      <c r="A365" s="15" t="s">
        <v>96</v>
      </c>
      <c r="B365" s="16" t="s">
        <v>79</v>
      </c>
      <c r="C365" s="16" t="s">
        <v>80</v>
      </c>
      <c r="D365" s="16" t="s">
        <v>125</v>
      </c>
      <c r="E365" s="16">
        <v>4429901</v>
      </c>
      <c r="F365" s="16" t="s">
        <v>102</v>
      </c>
      <c r="G365" s="17">
        <v>310</v>
      </c>
      <c r="H365" s="49">
        <v>150</v>
      </c>
    </row>
    <row r="366" spans="1:8" ht="14" x14ac:dyDescent="0.15">
      <c r="A366" s="15" t="s">
        <v>97</v>
      </c>
      <c r="B366" s="16" t="s">
        <v>79</v>
      </c>
      <c r="C366" s="16" t="s">
        <v>80</v>
      </c>
      <c r="D366" s="16" t="s">
        <v>125</v>
      </c>
      <c r="E366" s="16">
        <v>4429901</v>
      </c>
      <c r="F366" s="16" t="s">
        <v>102</v>
      </c>
      <c r="G366" s="17">
        <v>340</v>
      </c>
      <c r="H366" s="49">
        <f>10+28.2+92</f>
        <v>130.19999999999999</v>
      </c>
    </row>
    <row r="367" spans="1:8" ht="14" x14ac:dyDescent="0.15">
      <c r="A367" s="48" t="s">
        <v>98</v>
      </c>
      <c r="B367" s="20" t="s">
        <v>79</v>
      </c>
      <c r="C367" s="20" t="s">
        <v>80</v>
      </c>
      <c r="D367" s="20" t="s">
        <v>125</v>
      </c>
      <c r="E367" s="20" t="s">
        <v>236</v>
      </c>
      <c r="F367" s="20" t="s">
        <v>102</v>
      </c>
      <c r="G367" s="67"/>
      <c r="H367" s="50">
        <f>SUM(H354:H366)</f>
        <v>7099.329999999999</v>
      </c>
    </row>
    <row r="368" spans="1:8" ht="14" x14ac:dyDescent="0.15">
      <c r="A368" s="18" t="s">
        <v>137</v>
      </c>
      <c r="B368" s="16"/>
      <c r="C368" s="16"/>
      <c r="D368" s="16"/>
      <c r="E368" s="16"/>
      <c r="F368" s="16"/>
      <c r="G368" s="21"/>
      <c r="H368" s="50"/>
    </row>
    <row r="369" spans="1:8" ht="14" x14ac:dyDescent="0.15">
      <c r="A369" s="15" t="s">
        <v>78</v>
      </c>
      <c r="B369" s="16" t="s">
        <v>79</v>
      </c>
      <c r="C369" s="16" t="s">
        <v>80</v>
      </c>
      <c r="D369" s="16" t="s">
        <v>125</v>
      </c>
      <c r="E369" s="16">
        <v>4429901</v>
      </c>
      <c r="F369" s="16" t="s">
        <v>102</v>
      </c>
      <c r="G369" s="17">
        <v>211</v>
      </c>
      <c r="H369" s="49">
        <f>1850+24.8</f>
        <v>1874.8</v>
      </c>
    </row>
    <row r="370" spans="1:8" ht="14" x14ac:dyDescent="0.15">
      <c r="A370" s="15" t="s">
        <v>103</v>
      </c>
      <c r="B370" s="16" t="s">
        <v>79</v>
      </c>
      <c r="C370" s="16" t="s">
        <v>80</v>
      </c>
      <c r="D370" s="16" t="s">
        <v>125</v>
      </c>
      <c r="E370" s="16">
        <v>4429901</v>
      </c>
      <c r="F370" s="16" t="s">
        <v>102</v>
      </c>
      <c r="G370" s="17">
        <v>212</v>
      </c>
      <c r="H370" s="49">
        <v>2</v>
      </c>
    </row>
    <row r="371" spans="1:8" ht="14" x14ac:dyDescent="0.15">
      <c r="A371" s="15" t="s">
        <v>84</v>
      </c>
      <c r="B371" s="16" t="s">
        <v>79</v>
      </c>
      <c r="C371" s="16" t="s">
        <v>80</v>
      </c>
      <c r="D371" s="16" t="s">
        <v>125</v>
      </c>
      <c r="E371" s="16">
        <v>4429901</v>
      </c>
      <c r="F371" s="16" t="s">
        <v>102</v>
      </c>
      <c r="G371" s="17">
        <v>213</v>
      </c>
      <c r="H371" s="49">
        <f>632.7+7.1</f>
        <v>639.80000000000007</v>
      </c>
    </row>
    <row r="372" spans="1:8" ht="14" x14ac:dyDescent="0.15">
      <c r="A372" s="15" t="s">
        <v>85</v>
      </c>
      <c r="B372" s="16" t="s">
        <v>79</v>
      </c>
      <c r="C372" s="16" t="s">
        <v>80</v>
      </c>
      <c r="D372" s="16" t="s">
        <v>125</v>
      </c>
      <c r="E372" s="16">
        <v>4429901</v>
      </c>
      <c r="F372" s="16" t="s">
        <v>102</v>
      </c>
      <c r="G372" s="17">
        <v>221</v>
      </c>
      <c r="H372" s="49">
        <v>9</v>
      </c>
    </row>
    <row r="373" spans="1:8" ht="14" x14ac:dyDescent="0.15">
      <c r="A373" s="15" t="s">
        <v>86</v>
      </c>
      <c r="B373" s="16" t="s">
        <v>79</v>
      </c>
      <c r="C373" s="16" t="s">
        <v>80</v>
      </c>
      <c r="D373" s="16" t="s">
        <v>125</v>
      </c>
      <c r="E373" s="16">
        <v>4429901</v>
      </c>
      <c r="F373" s="16" t="s">
        <v>102</v>
      </c>
      <c r="G373" s="17">
        <v>222</v>
      </c>
      <c r="H373" s="49">
        <v>10</v>
      </c>
    </row>
    <row r="374" spans="1:8" ht="14" x14ac:dyDescent="0.15">
      <c r="A374" s="15" t="s">
        <v>87</v>
      </c>
      <c r="B374" s="16" t="s">
        <v>79</v>
      </c>
      <c r="C374" s="16" t="s">
        <v>80</v>
      </c>
      <c r="D374" s="16" t="s">
        <v>125</v>
      </c>
      <c r="E374" s="16">
        <v>4429901</v>
      </c>
      <c r="F374" s="16" t="s">
        <v>102</v>
      </c>
      <c r="G374" s="17">
        <v>223</v>
      </c>
      <c r="H374" s="49">
        <f>116.9-33.1-30</f>
        <v>53.800000000000011</v>
      </c>
    </row>
    <row r="375" spans="1:8" ht="14" x14ac:dyDescent="0.15">
      <c r="A375" s="15" t="s">
        <v>134</v>
      </c>
      <c r="B375" s="16" t="s">
        <v>79</v>
      </c>
      <c r="C375" s="16" t="s">
        <v>80</v>
      </c>
      <c r="D375" s="16" t="s">
        <v>125</v>
      </c>
      <c r="E375" s="16">
        <v>4429901</v>
      </c>
      <c r="F375" s="16" t="s">
        <v>102</v>
      </c>
      <c r="G375" s="17">
        <v>224</v>
      </c>
      <c r="H375" s="49">
        <v>20</v>
      </c>
    </row>
    <row r="376" spans="1:8" ht="14" x14ac:dyDescent="0.15">
      <c r="A376" s="15" t="s">
        <v>90</v>
      </c>
      <c r="B376" s="16" t="s">
        <v>79</v>
      </c>
      <c r="C376" s="16" t="s">
        <v>80</v>
      </c>
      <c r="D376" s="16" t="s">
        <v>125</v>
      </c>
      <c r="E376" s="16">
        <v>4429901</v>
      </c>
      <c r="F376" s="16" t="s">
        <v>102</v>
      </c>
      <c r="G376" s="17">
        <v>225</v>
      </c>
      <c r="H376" s="49">
        <f>2+29</f>
        <v>31</v>
      </c>
    </row>
    <row r="377" spans="1:8" ht="14" x14ac:dyDescent="0.15">
      <c r="A377" s="15" t="s">
        <v>91</v>
      </c>
      <c r="B377" s="16" t="s">
        <v>79</v>
      </c>
      <c r="C377" s="16" t="s">
        <v>80</v>
      </c>
      <c r="D377" s="16" t="s">
        <v>125</v>
      </c>
      <c r="E377" s="16">
        <v>4429901</v>
      </c>
      <c r="F377" s="16" t="s">
        <v>102</v>
      </c>
      <c r="G377" s="17">
        <v>226</v>
      </c>
      <c r="H377" s="49">
        <v>30</v>
      </c>
    </row>
    <row r="378" spans="1:8" ht="14" x14ac:dyDescent="0.15">
      <c r="A378" s="11" t="s">
        <v>94</v>
      </c>
      <c r="B378" s="16" t="s">
        <v>79</v>
      </c>
      <c r="C378" s="16" t="s">
        <v>80</v>
      </c>
      <c r="D378" s="16" t="s">
        <v>125</v>
      </c>
      <c r="E378" s="16">
        <v>4429901</v>
      </c>
      <c r="F378" s="16" t="s">
        <v>102</v>
      </c>
      <c r="G378" s="17">
        <v>290</v>
      </c>
      <c r="H378" s="49">
        <v>4</v>
      </c>
    </row>
    <row r="379" spans="1:8" ht="14" x14ac:dyDescent="0.15">
      <c r="A379" s="11" t="s">
        <v>94</v>
      </c>
      <c r="B379" s="16" t="s">
        <v>79</v>
      </c>
      <c r="C379" s="16" t="s">
        <v>80</v>
      </c>
      <c r="D379" s="16" t="s">
        <v>125</v>
      </c>
      <c r="E379" s="16" t="s">
        <v>235</v>
      </c>
      <c r="F379" s="16" t="s">
        <v>102</v>
      </c>
      <c r="G379" s="17" t="s">
        <v>95</v>
      </c>
      <c r="H379" s="49">
        <v>5.4</v>
      </c>
    </row>
    <row r="380" spans="1:8" ht="14" x14ac:dyDescent="0.15">
      <c r="A380" s="15" t="s">
        <v>96</v>
      </c>
      <c r="B380" s="16" t="s">
        <v>79</v>
      </c>
      <c r="C380" s="16" t="s">
        <v>80</v>
      </c>
      <c r="D380" s="16" t="s">
        <v>125</v>
      </c>
      <c r="E380" s="16">
        <v>4429901</v>
      </c>
      <c r="F380" s="16" t="s">
        <v>102</v>
      </c>
      <c r="G380" s="17">
        <v>310</v>
      </c>
      <c r="H380" s="49">
        <v>75</v>
      </c>
    </row>
    <row r="381" spans="1:8" ht="14" x14ac:dyDescent="0.15">
      <c r="A381" s="15" t="s">
        <v>97</v>
      </c>
      <c r="B381" s="16" t="s">
        <v>79</v>
      </c>
      <c r="C381" s="16" t="s">
        <v>80</v>
      </c>
      <c r="D381" s="16" t="s">
        <v>125</v>
      </c>
      <c r="E381" s="16">
        <v>4429901</v>
      </c>
      <c r="F381" s="16" t="s">
        <v>102</v>
      </c>
      <c r="G381" s="17">
        <v>340</v>
      </c>
      <c r="H381" s="49">
        <v>16</v>
      </c>
    </row>
    <row r="382" spans="1:8" ht="14" x14ac:dyDescent="0.15">
      <c r="A382" s="18" t="s">
        <v>98</v>
      </c>
      <c r="B382" s="19" t="s">
        <v>79</v>
      </c>
      <c r="C382" s="19" t="s">
        <v>80</v>
      </c>
      <c r="D382" s="19" t="s">
        <v>125</v>
      </c>
      <c r="E382" s="20" t="s">
        <v>236</v>
      </c>
      <c r="F382" s="20" t="s">
        <v>102</v>
      </c>
      <c r="G382" s="21"/>
      <c r="H382" s="32">
        <f>SUM(H369:H381)</f>
        <v>2770.8</v>
      </c>
    </row>
    <row r="383" spans="1:8" ht="14" x14ac:dyDescent="0.15">
      <c r="A383" s="51" t="s">
        <v>138</v>
      </c>
      <c r="B383" s="54"/>
      <c r="C383" s="54"/>
      <c r="D383" s="54"/>
      <c r="E383" s="54"/>
      <c r="F383" s="54"/>
      <c r="G383" s="66"/>
      <c r="H383" s="50"/>
    </row>
    <row r="384" spans="1:8" ht="14" x14ac:dyDescent="0.15">
      <c r="A384" s="53" t="s">
        <v>78</v>
      </c>
      <c r="B384" s="54" t="s">
        <v>79</v>
      </c>
      <c r="C384" s="54" t="s">
        <v>80</v>
      </c>
      <c r="D384" s="54" t="s">
        <v>125</v>
      </c>
      <c r="E384" s="54" t="s">
        <v>237</v>
      </c>
      <c r="F384" s="54" t="s">
        <v>102</v>
      </c>
      <c r="G384" s="64">
        <v>211</v>
      </c>
      <c r="H384" s="52">
        <f t="shared" ref="H384:H396" si="5">H369+H354+H339+H324</f>
        <v>31578.999999999996</v>
      </c>
    </row>
    <row r="385" spans="1:8" ht="14" x14ac:dyDescent="0.15">
      <c r="A385" s="53" t="s">
        <v>103</v>
      </c>
      <c r="B385" s="54" t="s">
        <v>79</v>
      </c>
      <c r="C385" s="54" t="s">
        <v>80</v>
      </c>
      <c r="D385" s="54" t="s">
        <v>125</v>
      </c>
      <c r="E385" s="54" t="s">
        <v>237</v>
      </c>
      <c r="F385" s="54" t="s">
        <v>102</v>
      </c>
      <c r="G385" s="64">
        <v>212</v>
      </c>
      <c r="H385" s="52">
        <f t="shared" si="5"/>
        <v>10</v>
      </c>
    </row>
    <row r="386" spans="1:8" ht="14" x14ac:dyDescent="0.15">
      <c r="A386" s="53" t="s">
        <v>84</v>
      </c>
      <c r="B386" s="54" t="s">
        <v>79</v>
      </c>
      <c r="C386" s="54" t="s">
        <v>80</v>
      </c>
      <c r="D386" s="54" t="s">
        <v>125</v>
      </c>
      <c r="E386" s="54" t="s">
        <v>237</v>
      </c>
      <c r="F386" s="54" t="s">
        <v>102</v>
      </c>
      <c r="G386" s="64">
        <v>213</v>
      </c>
      <c r="H386" s="52">
        <f t="shared" si="5"/>
        <v>10575.099999999999</v>
      </c>
    </row>
    <row r="387" spans="1:8" ht="14" x14ac:dyDescent="0.15">
      <c r="A387" s="53" t="s">
        <v>85</v>
      </c>
      <c r="B387" s="54" t="s">
        <v>79</v>
      </c>
      <c r="C387" s="54" t="s">
        <v>80</v>
      </c>
      <c r="D387" s="54" t="s">
        <v>125</v>
      </c>
      <c r="E387" s="54" t="s">
        <v>237</v>
      </c>
      <c r="F387" s="54" t="s">
        <v>102</v>
      </c>
      <c r="G387" s="64">
        <v>221</v>
      </c>
      <c r="H387" s="52">
        <f t="shared" si="5"/>
        <v>116.8</v>
      </c>
    </row>
    <row r="388" spans="1:8" ht="14" x14ac:dyDescent="0.15">
      <c r="A388" s="53" t="s">
        <v>86</v>
      </c>
      <c r="B388" s="54" t="s">
        <v>79</v>
      </c>
      <c r="C388" s="54" t="s">
        <v>80</v>
      </c>
      <c r="D388" s="54" t="s">
        <v>125</v>
      </c>
      <c r="E388" s="54" t="s">
        <v>237</v>
      </c>
      <c r="F388" s="54" t="s">
        <v>102</v>
      </c>
      <c r="G388" s="64">
        <v>222</v>
      </c>
      <c r="H388" s="52">
        <f t="shared" si="5"/>
        <v>35</v>
      </c>
    </row>
    <row r="389" spans="1:8" ht="14" x14ac:dyDescent="0.15">
      <c r="A389" s="53" t="s">
        <v>87</v>
      </c>
      <c r="B389" s="54" t="s">
        <v>79</v>
      </c>
      <c r="C389" s="54" t="s">
        <v>80</v>
      </c>
      <c r="D389" s="54" t="s">
        <v>125</v>
      </c>
      <c r="E389" s="54" t="s">
        <v>237</v>
      </c>
      <c r="F389" s="54" t="s">
        <v>102</v>
      </c>
      <c r="G389" s="64">
        <v>223</v>
      </c>
      <c r="H389" s="52">
        <f t="shared" si="5"/>
        <v>2021.6</v>
      </c>
    </row>
    <row r="390" spans="1:8" ht="14" x14ac:dyDescent="0.15">
      <c r="A390" s="53" t="s">
        <v>134</v>
      </c>
      <c r="B390" s="54" t="s">
        <v>79</v>
      </c>
      <c r="C390" s="54" t="s">
        <v>80</v>
      </c>
      <c r="D390" s="54" t="s">
        <v>125</v>
      </c>
      <c r="E390" s="54" t="s">
        <v>237</v>
      </c>
      <c r="F390" s="54" t="s">
        <v>102</v>
      </c>
      <c r="G390" s="64">
        <v>224</v>
      </c>
      <c r="H390" s="52">
        <f t="shared" si="5"/>
        <v>540</v>
      </c>
    </row>
    <row r="391" spans="1:8" ht="14" x14ac:dyDescent="0.15">
      <c r="A391" s="53" t="s">
        <v>90</v>
      </c>
      <c r="B391" s="54" t="s">
        <v>79</v>
      </c>
      <c r="C391" s="54" t="s">
        <v>80</v>
      </c>
      <c r="D391" s="54" t="s">
        <v>125</v>
      </c>
      <c r="E391" s="54" t="s">
        <v>237</v>
      </c>
      <c r="F391" s="54" t="s">
        <v>102</v>
      </c>
      <c r="G391" s="64">
        <v>225</v>
      </c>
      <c r="H391" s="52">
        <f t="shared" si="5"/>
        <v>3665.2999999999997</v>
      </c>
    </row>
    <row r="392" spans="1:8" ht="14" x14ac:dyDescent="0.15">
      <c r="A392" s="53" t="s">
        <v>91</v>
      </c>
      <c r="B392" s="54" t="s">
        <v>79</v>
      </c>
      <c r="C392" s="54" t="s">
        <v>80</v>
      </c>
      <c r="D392" s="54" t="s">
        <v>125</v>
      </c>
      <c r="E392" s="54" t="s">
        <v>237</v>
      </c>
      <c r="F392" s="54" t="s">
        <v>102</v>
      </c>
      <c r="G392" s="64">
        <v>226</v>
      </c>
      <c r="H392" s="52">
        <f t="shared" si="5"/>
        <v>2288.6</v>
      </c>
    </row>
    <row r="393" spans="1:8" ht="14" x14ac:dyDescent="0.15">
      <c r="A393" s="68" t="s">
        <v>94</v>
      </c>
      <c r="B393" s="54" t="s">
        <v>79</v>
      </c>
      <c r="C393" s="54" t="s">
        <v>80</v>
      </c>
      <c r="D393" s="54" t="s">
        <v>125</v>
      </c>
      <c r="E393" s="54" t="s">
        <v>237</v>
      </c>
      <c r="F393" s="54" t="s">
        <v>102</v>
      </c>
      <c r="G393" s="64">
        <v>290</v>
      </c>
      <c r="H393" s="52">
        <f t="shared" si="5"/>
        <v>70.8</v>
      </c>
    </row>
    <row r="394" spans="1:8" ht="14" x14ac:dyDescent="0.15">
      <c r="A394" s="68" t="s">
        <v>94</v>
      </c>
      <c r="B394" s="54" t="s">
        <v>79</v>
      </c>
      <c r="C394" s="54" t="s">
        <v>80</v>
      </c>
      <c r="D394" s="54" t="s">
        <v>125</v>
      </c>
      <c r="E394" s="54" t="s">
        <v>235</v>
      </c>
      <c r="F394" s="54" t="s">
        <v>102</v>
      </c>
      <c r="G394" s="64" t="s">
        <v>95</v>
      </c>
      <c r="H394" s="52">
        <f t="shared" si="5"/>
        <v>2617.83</v>
      </c>
    </row>
    <row r="395" spans="1:8" ht="14" x14ac:dyDescent="0.15">
      <c r="A395" s="53" t="s">
        <v>96</v>
      </c>
      <c r="B395" s="54" t="s">
        <v>79</v>
      </c>
      <c r="C395" s="54" t="s">
        <v>80</v>
      </c>
      <c r="D395" s="54" t="s">
        <v>125</v>
      </c>
      <c r="E395" s="54" t="s">
        <v>237</v>
      </c>
      <c r="F395" s="54" t="s">
        <v>102</v>
      </c>
      <c r="G395" s="64">
        <v>310</v>
      </c>
      <c r="H395" s="52">
        <f t="shared" si="5"/>
        <v>1030</v>
      </c>
    </row>
    <row r="396" spans="1:8" ht="14" x14ac:dyDescent="0.15">
      <c r="A396" s="53" t="s">
        <v>97</v>
      </c>
      <c r="B396" s="54" t="s">
        <v>79</v>
      </c>
      <c r="C396" s="54" t="s">
        <v>80</v>
      </c>
      <c r="D396" s="54" t="s">
        <v>125</v>
      </c>
      <c r="E396" s="54" t="s">
        <v>237</v>
      </c>
      <c r="F396" s="54" t="s">
        <v>102</v>
      </c>
      <c r="G396" s="64">
        <v>340</v>
      </c>
      <c r="H396" s="52">
        <f t="shared" si="5"/>
        <v>566.20000000000005</v>
      </c>
    </row>
    <row r="397" spans="1:8" ht="14" x14ac:dyDescent="0.15">
      <c r="A397" s="51" t="s">
        <v>98</v>
      </c>
      <c r="B397" s="62" t="s">
        <v>79</v>
      </c>
      <c r="C397" s="62" t="s">
        <v>80</v>
      </c>
      <c r="D397" s="62" t="s">
        <v>125</v>
      </c>
      <c r="E397" s="65" t="s">
        <v>236</v>
      </c>
      <c r="F397" s="65" t="s">
        <v>102</v>
      </c>
      <c r="G397" s="66"/>
      <c r="H397" s="57">
        <f>SUM(H384:H396)</f>
        <v>55116.229999999996</v>
      </c>
    </row>
    <row r="398" spans="1:8" ht="14" x14ac:dyDescent="0.15">
      <c r="A398" s="18" t="s">
        <v>139</v>
      </c>
      <c r="B398" s="16"/>
      <c r="C398" s="16"/>
      <c r="D398" s="16"/>
      <c r="E398" s="19"/>
      <c r="F398" s="19"/>
      <c r="G398" s="21"/>
      <c r="H398" s="50">
        <f>H385+H393+H394</f>
        <v>2698.63</v>
      </c>
    </row>
    <row r="399" spans="1:8" ht="14" x14ac:dyDescent="0.15">
      <c r="A399" s="15" t="s">
        <v>78</v>
      </c>
      <c r="B399" s="16" t="s">
        <v>79</v>
      </c>
      <c r="C399" s="16" t="s">
        <v>80</v>
      </c>
      <c r="D399" s="16" t="s">
        <v>125</v>
      </c>
      <c r="E399" s="16">
        <v>4439901</v>
      </c>
      <c r="F399" s="16" t="s">
        <v>102</v>
      </c>
      <c r="G399" s="17">
        <v>211</v>
      </c>
      <c r="H399" s="49">
        <f>20072.1+268.5</f>
        <v>20340.599999999999</v>
      </c>
    </row>
    <row r="400" spans="1:8" ht="14" x14ac:dyDescent="0.15">
      <c r="A400" s="15" t="s">
        <v>103</v>
      </c>
      <c r="B400" s="16" t="s">
        <v>79</v>
      </c>
      <c r="C400" s="16" t="s">
        <v>80</v>
      </c>
      <c r="D400" s="16" t="s">
        <v>125</v>
      </c>
      <c r="E400" s="16">
        <v>4439901</v>
      </c>
      <c r="F400" s="16" t="s">
        <v>102</v>
      </c>
      <c r="G400" s="17">
        <v>212</v>
      </c>
      <c r="H400" s="49">
        <v>0</v>
      </c>
    </row>
    <row r="401" spans="1:8" ht="14" x14ac:dyDescent="0.15">
      <c r="A401" s="15" t="s">
        <v>84</v>
      </c>
      <c r="B401" s="16" t="s">
        <v>79</v>
      </c>
      <c r="C401" s="16" t="s">
        <v>80</v>
      </c>
      <c r="D401" s="16" t="s">
        <v>125</v>
      </c>
      <c r="E401" s="16">
        <v>4439901</v>
      </c>
      <c r="F401" s="16" t="s">
        <v>102</v>
      </c>
      <c r="G401" s="17">
        <v>213</v>
      </c>
      <c r="H401" s="441">
        <f>6864.7-183-202-440+76.6</f>
        <v>6116.3</v>
      </c>
    </row>
    <row r="402" spans="1:8" ht="14" x14ac:dyDescent="0.15">
      <c r="A402" s="15" t="s">
        <v>85</v>
      </c>
      <c r="B402" s="16" t="s">
        <v>79</v>
      </c>
      <c r="C402" s="16" t="s">
        <v>80</v>
      </c>
      <c r="D402" s="16" t="s">
        <v>125</v>
      </c>
      <c r="E402" s="16">
        <v>4439901</v>
      </c>
      <c r="F402" s="16" t="s">
        <v>102</v>
      </c>
      <c r="G402" s="17">
        <v>221</v>
      </c>
      <c r="H402" s="49">
        <v>0</v>
      </c>
    </row>
    <row r="403" spans="1:8" ht="14" x14ac:dyDescent="0.15">
      <c r="A403" s="15" t="s">
        <v>86</v>
      </c>
      <c r="B403" s="16" t="s">
        <v>79</v>
      </c>
      <c r="C403" s="16" t="s">
        <v>80</v>
      </c>
      <c r="D403" s="16" t="s">
        <v>125</v>
      </c>
      <c r="E403" s="16">
        <v>4439901</v>
      </c>
      <c r="F403" s="16" t="s">
        <v>102</v>
      </c>
      <c r="G403" s="17">
        <v>222</v>
      </c>
      <c r="H403" s="49">
        <f>60+36+100</f>
        <v>196</v>
      </c>
    </row>
    <row r="404" spans="1:8" ht="14" x14ac:dyDescent="0.15">
      <c r="A404" s="15" t="s">
        <v>87</v>
      </c>
      <c r="B404" s="16" t="s">
        <v>79</v>
      </c>
      <c r="C404" s="16" t="s">
        <v>80</v>
      </c>
      <c r="D404" s="16" t="s">
        <v>125</v>
      </c>
      <c r="E404" s="16">
        <v>4439901</v>
      </c>
      <c r="F404" s="16" t="s">
        <v>102</v>
      </c>
      <c r="G404" s="17">
        <v>223</v>
      </c>
      <c r="H404" s="441">
        <f>1926.7-333-67-100</f>
        <v>1426.7</v>
      </c>
    </row>
    <row r="405" spans="1:8" ht="14" x14ac:dyDescent="0.15">
      <c r="A405" s="15" t="s">
        <v>134</v>
      </c>
      <c r="B405" s="16" t="s">
        <v>79</v>
      </c>
      <c r="C405" s="16" t="s">
        <v>80</v>
      </c>
      <c r="D405" s="16" t="s">
        <v>125</v>
      </c>
      <c r="E405" s="16">
        <v>4439901</v>
      </c>
      <c r="F405" s="16" t="s">
        <v>102</v>
      </c>
      <c r="G405" s="17">
        <v>224</v>
      </c>
      <c r="H405" s="49">
        <v>0</v>
      </c>
    </row>
    <row r="406" spans="1:8" ht="14" x14ac:dyDescent="0.15">
      <c r="A406" s="15" t="s">
        <v>90</v>
      </c>
      <c r="B406" s="16" t="s">
        <v>79</v>
      </c>
      <c r="C406" s="16" t="s">
        <v>80</v>
      </c>
      <c r="D406" s="16" t="s">
        <v>125</v>
      </c>
      <c r="E406" s="16">
        <v>4439901</v>
      </c>
      <c r="F406" s="16" t="s">
        <v>102</v>
      </c>
      <c r="G406" s="17">
        <v>225</v>
      </c>
      <c r="H406" s="49">
        <f>6000+100+139</f>
        <v>6239</v>
      </c>
    </row>
    <row r="407" spans="1:8" ht="14" x14ac:dyDescent="0.15">
      <c r="A407" s="15" t="s">
        <v>91</v>
      </c>
      <c r="B407" s="16" t="s">
        <v>79</v>
      </c>
      <c r="C407" s="16" t="s">
        <v>80</v>
      </c>
      <c r="D407" s="16" t="s">
        <v>125</v>
      </c>
      <c r="E407" s="16">
        <v>4439901</v>
      </c>
      <c r="F407" s="16" t="s">
        <v>102</v>
      </c>
      <c r="G407" s="17">
        <v>226</v>
      </c>
      <c r="H407" s="441">
        <f>100+135+23.607+100+91.1+74</f>
        <v>523.70699999999999</v>
      </c>
    </row>
    <row r="408" spans="1:8" ht="14" x14ac:dyDescent="0.15">
      <c r="A408" s="11" t="s">
        <v>94</v>
      </c>
      <c r="B408" s="16" t="s">
        <v>79</v>
      </c>
      <c r="C408" s="16" t="s">
        <v>80</v>
      </c>
      <c r="D408" s="16" t="s">
        <v>125</v>
      </c>
      <c r="E408" s="16">
        <v>4439901</v>
      </c>
      <c r="F408" s="16" t="s">
        <v>102</v>
      </c>
      <c r="G408" s="17">
        <v>290</v>
      </c>
      <c r="H408" s="49">
        <v>47.5</v>
      </c>
    </row>
    <row r="409" spans="1:8" ht="14" x14ac:dyDescent="0.15">
      <c r="A409" s="11" t="s">
        <v>94</v>
      </c>
      <c r="B409" s="16" t="s">
        <v>79</v>
      </c>
      <c r="C409" s="16" t="s">
        <v>80</v>
      </c>
      <c r="D409" s="16" t="s">
        <v>125</v>
      </c>
      <c r="E409" s="16" t="s">
        <v>238</v>
      </c>
      <c r="F409" s="16" t="s">
        <v>102</v>
      </c>
      <c r="G409" s="17" t="s">
        <v>95</v>
      </c>
      <c r="H409" s="49">
        <f>2569.6+1615.3-290</f>
        <v>3894.8999999999996</v>
      </c>
    </row>
    <row r="410" spans="1:8" ht="14" x14ac:dyDescent="0.15">
      <c r="A410" s="15" t="s">
        <v>96</v>
      </c>
      <c r="B410" s="16" t="s">
        <v>79</v>
      </c>
      <c r="C410" s="16" t="s">
        <v>80</v>
      </c>
      <c r="D410" s="16" t="s">
        <v>125</v>
      </c>
      <c r="E410" s="16">
        <v>4439901</v>
      </c>
      <c r="F410" s="16" t="s">
        <v>102</v>
      </c>
      <c r="G410" s="17">
        <v>310</v>
      </c>
      <c r="H410" s="441">
        <f>2300-300-139-1677.7</f>
        <v>183.29999999999995</v>
      </c>
    </row>
    <row r="411" spans="1:8" ht="14" x14ac:dyDescent="0.15">
      <c r="A411" s="15" t="s">
        <v>97</v>
      </c>
      <c r="B411" s="16" t="s">
        <v>79</v>
      </c>
      <c r="C411" s="16" t="s">
        <v>80</v>
      </c>
      <c r="D411" s="16" t="s">
        <v>125</v>
      </c>
      <c r="E411" s="16">
        <v>4439901</v>
      </c>
      <c r="F411" s="16" t="s">
        <v>102</v>
      </c>
      <c r="G411" s="17">
        <v>340</v>
      </c>
      <c r="H411" s="49">
        <f>400+300</f>
        <v>700</v>
      </c>
    </row>
    <row r="412" spans="1:8" ht="14" x14ac:dyDescent="0.15">
      <c r="A412" s="48" t="s">
        <v>98</v>
      </c>
      <c r="B412" s="20" t="s">
        <v>79</v>
      </c>
      <c r="C412" s="20" t="s">
        <v>80</v>
      </c>
      <c r="D412" s="20" t="s">
        <v>125</v>
      </c>
      <c r="E412" s="20" t="s">
        <v>239</v>
      </c>
      <c r="F412" s="20" t="s">
        <v>102</v>
      </c>
      <c r="G412" s="67"/>
      <c r="H412" s="50">
        <f>SUM(H399:H411)</f>
        <v>39668.007000000005</v>
      </c>
    </row>
    <row r="413" spans="1:8" ht="14" x14ac:dyDescent="0.15">
      <c r="A413" s="18" t="s">
        <v>140</v>
      </c>
      <c r="B413" s="16"/>
      <c r="C413" s="16"/>
      <c r="D413" s="16"/>
      <c r="E413" s="16"/>
      <c r="F413" s="16"/>
      <c r="G413" s="21"/>
      <c r="H413" s="50"/>
    </row>
    <row r="414" spans="1:8" ht="14" x14ac:dyDescent="0.15">
      <c r="A414" s="15" t="s">
        <v>78</v>
      </c>
      <c r="B414" s="16" t="s">
        <v>79</v>
      </c>
      <c r="C414" s="16" t="s">
        <v>80</v>
      </c>
      <c r="D414" s="16" t="s">
        <v>125</v>
      </c>
      <c r="E414" s="16">
        <v>4439901</v>
      </c>
      <c r="F414" s="16" t="s">
        <v>102</v>
      </c>
      <c r="G414" s="17">
        <v>211</v>
      </c>
      <c r="H414" s="49">
        <f>20803.7+278.4</f>
        <v>21082.100000000002</v>
      </c>
    </row>
    <row r="415" spans="1:8" ht="14" x14ac:dyDescent="0.15">
      <c r="A415" s="15" t="s">
        <v>103</v>
      </c>
      <c r="B415" s="16" t="s">
        <v>79</v>
      </c>
      <c r="C415" s="16" t="s">
        <v>80</v>
      </c>
      <c r="D415" s="16" t="s">
        <v>125</v>
      </c>
      <c r="E415" s="16">
        <v>4439901</v>
      </c>
      <c r="F415" s="16" t="s">
        <v>102</v>
      </c>
      <c r="G415" s="17">
        <v>212</v>
      </c>
      <c r="H415" s="49">
        <v>0</v>
      </c>
    </row>
    <row r="416" spans="1:8" ht="14" x14ac:dyDescent="0.15">
      <c r="A416" s="15" t="s">
        <v>84</v>
      </c>
      <c r="B416" s="16" t="s">
        <v>79</v>
      </c>
      <c r="C416" s="16" t="s">
        <v>80</v>
      </c>
      <c r="D416" s="16" t="s">
        <v>125</v>
      </c>
      <c r="E416" s="16">
        <v>4439901</v>
      </c>
      <c r="F416" s="16" t="s">
        <v>102</v>
      </c>
      <c r="G416" s="17">
        <v>213</v>
      </c>
      <c r="H416" s="49">
        <f>7114.9+79.3</f>
        <v>7194.2</v>
      </c>
    </row>
    <row r="417" spans="1:8" ht="14" x14ac:dyDescent="0.15">
      <c r="A417" s="15" t="s">
        <v>85</v>
      </c>
      <c r="B417" s="16" t="s">
        <v>79</v>
      </c>
      <c r="C417" s="16" t="s">
        <v>80</v>
      </c>
      <c r="D417" s="16" t="s">
        <v>125</v>
      </c>
      <c r="E417" s="16">
        <v>4439901</v>
      </c>
      <c r="F417" s="16" t="s">
        <v>102</v>
      </c>
      <c r="G417" s="17">
        <v>221</v>
      </c>
      <c r="H417" s="49">
        <v>0</v>
      </c>
    </row>
    <row r="418" spans="1:8" ht="14" x14ac:dyDescent="0.15">
      <c r="A418" s="15" t="s">
        <v>86</v>
      </c>
      <c r="B418" s="16" t="s">
        <v>79</v>
      </c>
      <c r="C418" s="16" t="s">
        <v>80</v>
      </c>
      <c r="D418" s="16" t="s">
        <v>125</v>
      </c>
      <c r="E418" s="16">
        <v>4439901</v>
      </c>
      <c r="F418" s="16" t="s">
        <v>102</v>
      </c>
      <c r="G418" s="17">
        <v>222</v>
      </c>
      <c r="H418" s="49">
        <v>0</v>
      </c>
    </row>
    <row r="419" spans="1:8" ht="14" x14ac:dyDescent="0.15">
      <c r="A419" s="15" t="s">
        <v>87</v>
      </c>
      <c r="B419" s="16" t="s">
        <v>79</v>
      </c>
      <c r="C419" s="16" t="s">
        <v>80</v>
      </c>
      <c r="D419" s="16" t="s">
        <v>125</v>
      </c>
      <c r="E419" s="16">
        <v>4439901</v>
      </c>
      <c r="F419" s="16" t="s">
        <v>102</v>
      </c>
      <c r="G419" s="17">
        <v>223</v>
      </c>
      <c r="H419" s="49">
        <f>764.9</f>
        <v>764.9</v>
      </c>
    </row>
    <row r="420" spans="1:8" ht="14" x14ac:dyDescent="0.15">
      <c r="A420" s="15" t="s">
        <v>134</v>
      </c>
      <c r="B420" s="16" t="s">
        <v>79</v>
      </c>
      <c r="C420" s="16" t="s">
        <v>80</v>
      </c>
      <c r="D420" s="16" t="s">
        <v>125</v>
      </c>
      <c r="E420" s="16">
        <v>4439901</v>
      </c>
      <c r="F420" s="16" t="s">
        <v>102</v>
      </c>
      <c r="G420" s="17">
        <v>224</v>
      </c>
      <c r="H420" s="49">
        <v>0</v>
      </c>
    </row>
    <row r="421" spans="1:8" ht="14" x14ac:dyDescent="0.15">
      <c r="A421" s="15" t="s">
        <v>90</v>
      </c>
      <c r="B421" s="16" t="s">
        <v>79</v>
      </c>
      <c r="C421" s="16" t="s">
        <v>80</v>
      </c>
      <c r="D421" s="16" t="s">
        <v>125</v>
      </c>
      <c r="E421" s="16">
        <v>4439901</v>
      </c>
      <c r="F421" s="16" t="s">
        <v>102</v>
      </c>
      <c r="G421" s="17">
        <v>225</v>
      </c>
      <c r="H421" s="49">
        <v>2000</v>
      </c>
    </row>
    <row r="422" spans="1:8" ht="14" x14ac:dyDescent="0.15">
      <c r="A422" s="15" t="s">
        <v>91</v>
      </c>
      <c r="B422" s="16" t="s">
        <v>79</v>
      </c>
      <c r="C422" s="16" t="s">
        <v>80</v>
      </c>
      <c r="D422" s="16" t="s">
        <v>125</v>
      </c>
      <c r="E422" s="16">
        <v>4439901</v>
      </c>
      <c r="F422" s="16" t="s">
        <v>102</v>
      </c>
      <c r="G422" s="17">
        <v>226</v>
      </c>
      <c r="H422" s="441">
        <f>60+48.607+91.1+49</f>
        <v>248.70699999999999</v>
      </c>
    </row>
    <row r="423" spans="1:8" ht="14" x14ac:dyDescent="0.15">
      <c r="A423" s="11" t="s">
        <v>94</v>
      </c>
      <c r="B423" s="16" t="s">
        <v>79</v>
      </c>
      <c r="C423" s="16" t="s">
        <v>80</v>
      </c>
      <c r="D423" s="16" t="s">
        <v>125</v>
      </c>
      <c r="E423" s="16">
        <v>4439901</v>
      </c>
      <c r="F423" s="16" t="s">
        <v>102</v>
      </c>
      <c r="G423" s="17">
        <v>290</v>
      </c>
      <c r="H423" s="49">
        <v>40.1</v>
      </c>
    </row>
    <row r="424" spans="1:8" ht="14" x14ac:dyDescent="0.15">
      <c r="A424" s="11" t="s">
        <v>94</v>
      </c>
      <c r="B424" s="16" t="s">
        <v>79</v>
      </c>
      <c r="C424" s="16" t="s">
        <v>80</v>
      </c>
      <c r="D424" s="16" t="s">
        <v>125</v>
      </c>
      <c r="E424" s="16" t="s">
        <v>238</v>
      </c>
      <c r="F424" s="16" t="s">
        <v>102</v>
      </c>
      <c r="G424" s="17" t="s">
        <v>95</v>
      </c>
      <c r="H424" s="49">
        <f>864.4+830.3</f>
        <v>1694.6999999999998</v>
      </c>
    </row>
    <row r="425" spans="1:8" ht="14" x14ac:dyDescent="0.15">
      <c r="A425" s="15" t="s">
        <v>96</v>
      </c>
      <c r="B425" s="16" t="s">
        <v>79</v>
      </c>
      <c r="C425" s="16" t="s">
        <v>80</v>
      </c>
      <c r="D425" s="16" t="s">
        <v>125</v>
      </c>
      <c r="E425" s="16">
        <v>4439901</v>
      </c>
      <c r="F425" s="16" t="s">
        <v>102</v>
      </c>
      <c r="G425" s="17">
        <v>310</v>
      </c>
      <c r="H425" s="441">
        <f>500-100</f>
        <v>400</v>
      </c>
    </row>
    <row r="426" spans="1:8" ht="14" x14ac:dyDescent="0.15">
      <c r="A426" s="15" t="s">
        <v>97</v>
      </c>
      <c r="B426" s="16" t="s">
        <v>79</v>
      </c>
      <c r="C426" s="16" t="s">
        <v>80</v>
      </c>
      <c r="D426" s="16" t="s">
        <v>125</v>
      </c>
      <c r="E426" s="16">
        <v>4439901</v>
      </c>
      <c r="F426" s="16" t="s">
        <v>102</v>
      </c>
      <c r="G426" s="17">
        <v>340</v>
      </c>
      <c r="H426" s="49">
        <f>100+50</f>
        <v>150</v>
      </c>
    </row>
    <row r="427" spans="1:8" ht="14" x14ac:dyDescent="0.15">
      <c r="A427" s="48" t="s">
        <v>98</v>
      </c>
      <c r="B427" s="20" t="s">
        <v>79</v>
      </c>
      <c r="C427" s="20" t="s">
        <v>80</v>
      </c>
      <c r="D427" s="20" t="s">
        <v>125</v>
      </c>
      <c r="E427" s="20" t="s">
        <v>239</v>
      </c>
      <c r="F427" s="20" t="s">
        <v>102</v>
      </c>
      <c r="G427" s="67"/>
      <c r="H427" s="50">
        <f>SUM(H414:H426)</f>
        <v>33574.707000000002</v>
      </c>
    </row>
    <row r="428" spans="1:8" ht="14" x14ac:dyDescent="0.15">
      <c r="A428" s="18" t="s">
        <v>141</v>
      </c>
      <c r="B428" s="16"/>
      <c r="C428" s="16"/>
      <c r="D428" s="16"/>
      <c r="E428" s="16"/>
      <c r="F428" s="16"/>
      <c r="G428" s="21"/>
      <c r="H428" s="50"/>
    </row>
    <row r="429" spans="1:8" ht="14" x14ac:dyDescent="0.15">
      <c r="A429" s="15" t="s">
        <v>78</v>
      </c>
      <c r="B429" s="16" t="s">
        <v>79</v>
      </c>
      <c r="C429" s="16" t="s">
        <v>80</v>
      </c>
      <c r="D429" s="16" t="s">
        <v>125</v>
      </c>
      <c r="E429" s="16">
        <v>4439901</v>
      </c>
      <c r="F429" s="16" t="s">
        <v>102</v>
      </c>
      <c r="G429" s="17">
        <v>211</v>
      </c>
      <c r="H429" s="49">
        <f>17747.2+237.5</f>
        <v>17984.7</v>
      </c>
    </row>
    <row r="430" spans="1:8" ht="14" x14ac:dyDescent="0.15">
      <c r="A430" s="15" t="s">
        <v>103</v>
      </c>
      <c r="B430" s="16" t="s">
        <v>79</v>
      </c>
      <c r="C430" s="16" t="s">
        <v>80</v>
      </c>
      <c r="D430" s="16" t="s">
        <v>125</v>
      </c>
      <c r="E430" s="16">
        <v>4439901</v>
      </c>
      <c r="F430" s="16" t="s">
        <v>102</v>
      </c>
      <c r="G430" s="17">
        <v>212</v>
      </c>
      <c r="H430" s="49">
        <v>0</v>
      </c>
    </row>
    <row r="431" spans="1:8" ht="14" x14ac:dyDescent="0.15">
      <c r="A431" s="15" t="s">
        <v>84</v>
      </c>
      <c r="B431" s="16" t="s">
        <v>79</v>
      </c>
      <c r="C431" s="16" t="s">
        <v>80</v>
      </c>
      <c r="D431" s="16" t="s">
        <v>125</v>
      </c>
      <c r="E431" s="16">
        <v>4439901</v>
      </c>
      <c r="F431" s="16" t="s">
        <v>102</v>
      </c>
      <c r="G431" s="17">
        <v>213</v>
      </c>
      <c r="H431" s="441">
        <f>6069.5-50-120-200+67.7</f>
        <v>5767.2</v>
      </c>
    </row>
    <row r="432" spans="1:8" ht="14" x14ac:dyDescent="0.15">
      <c r="A432" s="15" t="s">
        <v>85</v>
      </c>
      <c r="B432" s="16" t="s">
        <v>79</v>
      </c>
      <c r="C432" s="16" t="s">
        <v>80</v>
      </c>
      <c r="D432" s="16" t="s">
        <v>125</v>
      </c>
      <c r="E432" s="16">
        <v>4439901</v>
      </c>
      <c r="F432" s="16" t="s">
        <v>102</v>
      </c>
      <c r="G432" s="17">
        <v>221</v>
      </c>
      <c r="H432" s="49">
        <v>0</v>
      </c>
    </row>
    <row r="433" spans="1:8" ht="14" x14ac:dyDescent="0.15">
      <c r="A433" s="15" t="s">
        <v>86</v>
      </c>
      <c r="B433" s="16" t="s">
        <v>79</v>
      </c>
      <c r="C433" s="16" t="s">
        <v>80</v>
      </c>
      <c r="D433" s="16" t="s">
        <v>125</v>
      </c>
      <c r="E433" s="16">
        <v>4439901</v>
      </c>
      <c r="F433" s="16" t="s">
        <v>102</v>
      </c>
      <c r="G433" s="17">
        <v>222</v>
      </c>
      <c r="H433" s="49">
        <f>100</f>
        <v>100</v>
      </c>
    </row>
    <row r="434" spans="1:8" ht="14" x14ac:dyDescent="0.15">
      <c r="A434" s="15" t="s">
        <v>87</v>
      </c>
      <c r="B434" s="16" t="s">
        <v>79</v>
      </c>
      <c r="C434" s="16" t="s">
        <v>80</v>
      </c>
      <c r="D434" s="16" t="s">
        <v>125</v>
      </c>
      <c r="E434" s="16">
        <v>4439901</v>
      </c>
      <c r="F434" s="16" t="s">
        <v>102</v>
      </c>
      <c r="G434" s="17">
        <v>223</v>
      </c>
      <c r="H434" s="441">
        <f>1229.7-200-200+0.01</f>
        <v>829.71</v>
      </c>
    </row>
    <row r="435" spans="1:8" ht="14" x14ac:dyDescent="0.15">
      <c r="A435" s="15" t="s">
        <v>134</v>
      </c>
      <c r="B435" s="16" t="s">
        <v>79</v>
      </c>
      <c r="C435" s="16" t="s">
        <v>80</v>
      </c>
      <c r="D435" s="16" t="s">
        <v>125</v>
      </c>
      <c r="E435" s="16">
        <v>4439901</v>
      </c>
      <c r="F435" s="16" t="s">
        <v>102</v>
      </c>
      <c r="G435" s="17">
        <v>224</v>
      </c>
      <c r="H435" s="49">
        <v>0</v>
      </c>
    </row>
    <row r="436" spans="1:8" ht="14" x14ac:dyDescent="0.15">
      <c r="A436" s="15" t="s">
        <v>90</v>
      </c>
      <c r="B436" s="16" t="s">
        <v>79</v>
      </c>
      <c r="C436" s="16" t="s">
        <v>80</v>
      </c>
      <c r="D436" s="16" t="s">
        <v>125</v>
      </c>
      <c r="E436" s="16">
        <v>4439901</v>
      </c>
      <c r="F436" s="16" t="s">
        <v>102</v>
      </c>
      <c r="G436" s="17">
        <v>225</v>
      </c>
      <c r="H436" s="49">
        <v>800</v>
      </c>
    </row>
    <row r="437" spans="1:8" ht="14" x14ac:dyDescent="0.15">
      <c r="A437" s="15" t="s">
        <v>91</v>
      </c>
      <c r="B437" s="16" t="s">
        <v>79</v>
      </c>
      <c r="C437" s="16" t="s">
        <v>80</v>
      </c>
      <c r="D437" s="16" t="s">
        <v>125</v>
      </c>
      <c r="E437" s="16">
        <v>4439901</v>
      </c>
      <c r="F437" s="16" t="s">
        <v>102</v>
      </c>
      <c r="G437" s="17">
        <v>226</v>
      </c>
      <c r="H437" s="49">
        <f>50+55.607+42</f>
        <v>147.607</v>
      </c>
    </row>
    <row r="438" spans="1:8" ht="14" x14ac:dyDescent="0.15">
      <c r="A438" s="11" t="s">
        <v>94</v>
      </c>
      <c r="B438" s="16" t="s">
        <v>79</v>
      </c>
      <c r="C438" s="16" t="s">
        <v>80</v>
      </c>
      <c r="D438" s="16" t="s">
        <v>125</v>
      </c>
      <c r="E438" s="16">
        <v>4439901</v>
      </c>
      <c r="F438" s="16" t="s">
        <v>102</v>
      </c>
      <c r="G438" s="17">
        <v>290</v>
      </c>
      <c r="H438" s="49">
        <f>40.3+100</f>
        <v>140.30000000000001</v>
      </c>
    </row>
    <row r="439" spans="1:8" ht="14" x14ac:dyDescent="0.15">
      <c r="A439" s="11" t="s">
        <v>94</v>
      </c>
      <c r="B439" s="16" t="s">
        <v>79</v>
      </c>
      <c r="C439" s="16" t="s">
        <v>80</v>
      </c>
      <c r="D439" s="16" t="s">
        <v>125</v>
      </c>
      <c r="E439" s="16" t="s">
        <v>238</v>
      </c>
      <c r="F439" s="16" t="s">
        <v>102</v>
      </c>
      <c r="G439" s="17" t="s">
        <v>95</v>
      </c>
      <c r="H439" s="49">
        <f>2521+455.1</f>
        <v>2976.1</v>
      </c>
    </row>
    <row r="440" spans="1:8" ht="14" x14ac:dyDescent="0.15">
      <c r="A440" s="15" t="s">
        <v>96</v>
      </c>
      <c r="B440" s="16" t="s">
        <v>79</v>
      </c>
      <c r="C440" s="16" t="s">
        <v>80</v>
      </c>
      <c r="D440" s="16" t="s">
        <v>125</v>
      </c>
      <c r="E440" s="16">
        <v>4439901</v>
      </c>
      <c r="F440" s="16" t="s">
        <v>102</v>
      </c>
      <c r="G440" s="17">
        <v>310</v>
      </c>
      <c r="H440" s="49">
        <f>50+90</f>
        <v>140</v>
      </c>
    </row>
    <row r="441" spans="1:8" ht="14" x14ac:dyDescent="0.15">
      <c r="A441" s="15" t="s">
        <v>97</v>
      </c>
      <c r="B441" s="16" t="s">
        <v>79</v>
      </c>
      <c r="C441" s="16" t="s">
        <v>80</v>
      </c>
      <c r="D441" s="16" t="s">
        <v>125</v>
      </c>
      <c r="E441" s="16">
        <v>4439901</v>
      </c>
      <c r="F441" s="16" t="s">
        <v>102</v>
      </c>
      <c r="G441" s="17">
        <v>340</v>
      </c>
      <c r="H441" s="49">
        <f>150+50</f>
        <v>200</v>
      </c>
    </row>
    <row r="442" spans="1:8" ht="14" x14ac:dyDescent="0.15">
      <c r="A442" s="48" t="s">
        <v>98</v>
      </c>
      <c r="B442" s="20" t="s">
        <v>79</v>
      </c>
      <c r="C442" s="20" t="s">
        <v>80</v>
      </c>
      <c r="D442" s="20" t="s">
        <v>125</v>
      </c>
      <c r="E442" s="20" t="s">
        <v>239</v>
      </c>
      <c r="F442" s="20" t="s">
        <v>102</v>
      </c>
      <c r="G442" s="67"/>
      <c r="H442" s="50">
        <f>SUM(H429:H441)</f>
        <v>29085.616999999998</v>
      </c>
    </row>
    <row r="443" spans="1:8" ht="14" x14ac:dyDescent="0.15">
      <c r="A443" s="18" t="s">
        <v>142</v>
      </c>
      <c r="B443" s="16"/>
      <c r="C443" s="16"/>
      <c r="D443" s="16"/>
      <c r="E443" s="16"/>
      <c r="F443" s="16"/>
      <c r="G443" s="21"/>
      <c r="H443" s="50"/>
    </row>
    <row r="444" spans="1:8" ht="14" x14ac:dyDescent="0.15">
      <c r="A444" s="15" t="s">
        <v>78</v>
      </c>
      <c r="B444" s="16" t="s">
        <v>79</v>
      </c>
      <c r="C444" s="16" t="s">
        <v>80</v>
      </c>
      <c r="D444" s="16" t="s">
        <v>125</v>
      </c>
      <c r="E444" s="16">
        <v>4439901</v>
      </c>
      <c r="F444" s="16" t="s">
        <v>102</v>
      </c>
      <c r="G444" s="17">
        <v>211</v>
      </c>
      <c r="H444" s="49">
        <f>15488.4+207.2</f>
        <v>15695.6</v>
      </c>
    </row>
    <row r="445" spans="1:8" ht="14" x14ac:dyDescent="0.15">
      <c r="A445" s="15" t="s">
        <v>103</v>
      </c>
      <c r="B445" s="16" t="s">
        <v>79</v>
      </c>
      <c r="C445" s="16" t="s">
        <v>80</v>
      </c>
      <c r="D445" s="16" t="s">
        <v>125</v>
      </c>
      <c r="E445" s="16">
        <v>4439901</v>
      </c>
      <c r="F445" s="16" t="s">
        <v>102</v>
      </c>
      <c r="G445" s="17">
        <v>212</v>
      </c>
      <c r="H445" s="49">
        <v>0</v>
      </c>
    </row>
    <row r="446" spans="1:8" ht="14" x14ac:dyDescent="0.15">
      <c r="A446" s="15" t="s">
        <v>84</v>
      </c>
      <c r="B446" s="16" t="s">
        <v>79</v>
      </c>
      <c r="C446" s="16" t="s">
        <v>80</v>
      </c>
      <c r="D446" s="16" t="s">
        <v>125</v>
      </c>
      <c r="E446" s="16">
        <v>4439901</v>
      </c>
      <c r="F446" s="16" t="s">
        <v>102</v>
      </c>
      <c r="G446" s="17">
        <v>213</v>
      </c>
      <c r="H446" s="441">
        <f>5297-100-200+59.1</f>
        <v>5056.1000000000004</v>
      </c>
    </row>
    <row r="447" spans="1:8" ht="14" x14ac:dyDescent="0.15">
      <c r="A447" s="15" t="s">
        <v>85</v>
      </c>
      <c r="B447" s="16" t="s">
        <v>79</v>
      </c>
      <c r="C447" s="16" t="s">
        <v>80</v>
      </c>
      <c r="D447" s="16" t="s">
        <v>125</v>
      </c>
      <c r="E447" s="16">
        <v>4439901</v>
      </c>
      <c r="F447" s="16" t="s">
        <v>102</v>
      </c>
      <c r="G447" s="17">
        <v>221</v>
      </c>
      <c r="H447" s="49">
        <v>0</v>
      </c>
    </row>
    <row r="448" spans="1:8" ht="14" x14ac:dyDescent="0.15">
      <c r="A448" s="15" t="s">
        <v>86</v>
      </c>
      <c r="B448" s="16" t="s">
        <v>79</v>
      </c>
      <c r="C448" s="16" t="s">
        <v>80</v>
      </c>
      <c r="D448" s="16" t="s">
        <v>125</v>
      </c>
      <c r="E448" s="16">
        <v>4439901</v>
      </c>
      <c r="F448" s="16" t="s">
        <v>102</v>
      </c>
      <c r="G448" s="17">
        <v>222</v>
      </c>
      <c r="H448" s="49">
        <v>0</v>
      </c>
    </row>
    <row r="449" spans="1:8" ht="14" x14ac:dyDescent="0.15">
      <c r="A449" s="15" t="s">
        <v>87</v>
      </c>
      <c r="B449" s="16" t="s">
        <v>79</v>
      </c>
      <c r="C449" s="16" t="s">
        <v>80</v>
      </c>
      <c r="D449" s="16" t="s">
        <v>125</v>
      </c>
      <c r="E449" s="16">
        <v>4439901</v>
      </c>
      <c r="F449" s="16" t="s">
        <v>102</v>
      </c>
      <c r="G449" s="17">
        <v>223</v>
      </c>
      <c r="H449" s="49">
        <f>300.8-113.82-0.01</f>
        <v>186.97000000000003</v>
      </c>
    </row>
    <row r="450" spans="1:8" ht="14" x14ac:dyDescent="0.15">
      <c r="A450" s="15" t="s">
        <v>134</v>
      </c>
      <c r="B450" s="16" t="s">
        <v>79</v>
      </c>
      <c r="C450" s="16" t="s">
        <v>80</v>
      </c>
      <c r="D450" s="16" t="s">
        <v>125</v>
      </c>
      <c r="E450" s="16">
        <v>4439901</v>
      </c>
      <c r="F450" s="16" t="s">
        <v>102</v>
      </c>
      <c r="G450" s="17">
        <v>224</v>
      </c>
      <c r="H450" s="49">
        <v>0</v>
      </c>
    </row>
    <row r="451" spans="1:8" ht="14" x14ac:dyDescent="0.15">
      <c r="A451" s="15" t="s">
        <v>90</v>
      </c>
      <c r="B451" s="16" t="s">
        <v>79</v>
      </c>
      <c r="C451" s="16" t="s">
        <v>80</v>
      </c>
      <c r="D451" s="16" t="s">
        <v>125</v>
      </c>
      <c r="E451" s="16">
        <v>4439901</v>
      </c>
      <c r="F451" s="16" t="s">
        <v>102</v>
      </c>
      <c r="G451" s="17">
        <v>225</v>
      </c>
      <c r="H451" s="49">
        <v>0</v>
      </c>
    </row>
    <row r="452" spans="1:8" ht="14" x14ac:dyDescent="0.15">
      <c r="A452" s="15" t="s">
        <v>91</v>
      </c>
      <c r="B452" s="16" t="s">
        <v>79</v>
      </c>
      <c r="C452" s="16" t="s">
        <v>80</v>
      </c>
      <c r="D452" s="16" t="s">
        <v>125</v>
      </c>
      <c r="E452" s="16">
        <v>4439901</v>
      </c>
      <c r="F452" s="16" t="s">
        <v>102</v>
      </c>
      <c r="G452" s="17">
        <v>226</v>
      </c>
      <c r="H452" s="49">
        <f>50+100-142</f>
        <v>8</v>
      </c>
    </row>
    <row r="453" spans="1:8" ht="14" x14ac:dyDescent="0.15">
      <c r="A453" s="11" t="s">
        <v>94</v>
      </c>
      <c r="B453" s="16" t="s">
        <v>79</v>
      </c>
      <c r="C453" s="16" t="s">
        <v>80</v>
      </c>
      <c r="D453" s="16" t="s">
        <v>125</v>
      </c>
      <c r="E453" s="16">
        <v>4439901</v>
      </c>
      <c r="F453" s="16" t="s">
        <v>102</v>
      </c>
      <c r="G453" s="17">
        <v>290</v>
      </c>
      <c r="H453" s="49">
        <v>33.200000000000003</v>
      </c>
    </row>
    <row r="454" spans="1:8" ht="14" x14ac:dyDescent="0.15">
      <c r="A454" s="11" t="s">
        <v>94</v>
      </c>
      <c r="B454" s="16" t="s">
        <v>79</v>
      </c>
      <c r="C454" s="16" t="s">
        <v>80</v>
      </c>
      <c r="D454" s="16" t="s">
        <v>125</v>
      </c>
      <c r="E454" s="16" t="s">
        <v>238</v>
      </c>
      <c r="F454" s="16" t="s">
        <v>102</v>
      </c>
      <c r="G454" s="17" t="s">
        <v>95</v>
      </c>
      <c r="H454" s="49">
        <f>1382.3+108.9</f>
        <v>1491.2</v>
      </c>
    </row>
    <row r="455" spans="1:8" ht="14" x14ac:dyDescent="0.15">
      <c r="A455" s="15" t="s">
        <v>96</v>
      </c>
      <c r="B455" s="16" t="s">
        <v>79</v>
      </c>
      <c r="C455" s="16" t="s">
        <v>80</v>
      </c>
      <c r="D455" s="16" t="s">
        <v>125</v>
      </c>
      <c r="E455" s="16">
        <v>4439901</v>
      </c>
      <c r="F455" s="16" t="s">
        <v>102</v>
      </c>
      <c r="G455" s="17">
        <v>310</v>
      </c>
      <c r="H455" s="49">
        <f>50+80</f>
        <v>130</v>
      </c>
    </row>
    <row r="456" spans="1:8" ht="14" x14ac:dyDescent="0.15">
      <c r="A456" s="15" t="s">
        <v>97</v>
      </c>
      <c r="B456" s="16" t="s">
        <v>79</v>
      </c>
      <c r="C456" s="16" t="s">
        <v>80</v>
      </c>
      <c r="D456" s="16" t="s">
        <v>125</v>
      </c>
      <c r="E456" s="16">
        <v>4439901</v>
      </c>
      <c r="F456" s="16" t="s">
        <v>102</v>
      </c>
      <c r="G456" s="17">
        <v>340</v>
      </c>
      <c r="H456" s="49">
        <f>200+120</f>
        <v>320</v>
      </c>
    </row>
    <row r="457" spans="1:8" ht="14" x14ac:dyDescent="0.15">
      <c r="A457" s="48" t="s">
        <v>98</v>
      </c>
      <c r="B457" s="20" t="s">
        <v>79</v>
      </c>
      <c r="C457" s="20" t="s">
        <v>80</v>
      </c>
      <c r="D457" s="20" t="s">
        <v>125</v>
      </c>
      <c r="E457" s="20" t="s">
        <v>239</v>
      </c>
      <c r="F457" s="20" t="s">
        <v>102</v>
      </c>
      <c r="G457" s="67"/>
      <c r="H457" s="50">
        <f>SUM(H444:H456)</f>
        <v>22921.070000000003</v>
      </c>
    </row>
    <row r="458" spans="1:8" ht="14" x14ac:dyDescent="0.15">
      <c r="A458" s="18" t="s">
        <v>143</v>
      </c>
      <c r="B458" s="16"/>
      <c r="C458" s="16"/>
      <c r="D458" s="16"/>
      <c r="E458" s="16"/>
      <c r="F458" s="16"/>
      <c r="G458" s="21"/>
      <c r="H458" s="50"/>
    </row>
    <row r="459" spans="1:8" ht="14" x14ac:dyDescent="0.15">
      <c r="A459" s="15" t="s">
        <v>78</v>
      </c>
      <c r="B459" s="16" t="s">
        <v>79</v>
      </c>
      <c r="C459" s="16" t="s">
        <v>80</v>
      </c>
      <c r="D459" s="16" t="s">
        <v>125</v>
      </c>
      <c r="E459" s="16">
        <v>4439901</v>
      </c>
      <c r="F459" s="16" t="s">
        <v>102</v>
      </c>
      <c r="G459" s="17">
        <v>211</v>
      </c>
      <c r="H459" s="49">
        <f>9476.8+126.8</f>
        <v>9603.5999999999985</v>
      </c>
    </row>
    <row r="460" spans="1:8" ht="14" x14ac:dyDescent="0.15">
      <c r="A460" s="15" t="s">
        <v>103</v>
      </c>
      <c r="B460" s="16" t="s">
        <v>79</v>
      </c>
      <c r="C460" s="16" t="s">
        <v>80</v>
      </c>
      <c r="D460" s="16" t="s">
        <v>125</v>
      </c>
      <c r="E460" s="16">
        <v>4439901</v>
      </c>
      <c r="F460" s="16" t="s">
        <v>102</v>
      </c>
      <c r="G460" s="17">
        <v>212</v>
      </c>
      <c r="H460" s="49">
        <v>0</v>
      </c>
    </row>
    <row r="461" spans="1:8" ht="14" x14ac:dyDescent="0.15">
      <c r="A461" s="15" t="s">
        <v>84</v>
      </c>
      <c r="B461" s="16" t="s">
        <v>79</v>
      </c>
      <c r="C461" s="16" t="s">
        <v>80</v>
      </c>
      <c r="D461" s="16" t="s">
        <v>125</v>
      </c>
      <c r="E461" s="16">
        <v>4439901</v>
      </c>
      <c r="F461" s="16" t="s">
        <v>102</v>
      </c>
      <c r="G461" s="17">
        <v>213</v>
      </c>
      <c r="H461" s="49">
        <f>3241.1+490+36.1</f>
        <v>3767.2</v>
      </c>
    </row>
    <row r="462" spans="1:8" ht="14" x14ac:dyDescent="0.15">
      <c r="A462" s="15" t="s">
        <v>85</v>
      </c>
      <c r="B462" s="16" t="s">
        <v>79</v>
      </c>
      <c r="C462" s="16" t="s">
        <v>80</v>
      </c>
      <c r="D462" s="16" t="s">
        <v>125</v>
      </c>
      <c r="E462" s="16">
        <v>4439901</v>
      </c>
      <c r="F462" s="16" t="s">
        <v>102</v>
      </c>
      <c r="G462" s="17">
        <v>221</v>
      </c>
      <c r="H462" s="49">
        <v>0</v>
      </c>
    </row>
    <row r="463" spans="1:8" ht="14" x14ac:dyDescent="0.15">
      <c r="A463" s="15" t="s">
        <v>86</v>
      </c>
      <c r="B463" s="16" t="s">
        <v>79</v>
      </c>
      <c r="C463" s="16" t="s">
        <v>80</v>
      </c>
      <c r="D463" s="16" t="s">
        <v>125</v>
      </c>
      <c r="E463" s="16">
        <v>4439901</v>
      </c>
      <c r="F463" s="16" t="s">
        <v>102</v>
      </c>
      <c r="G463" s="17">
        <v>222</v>
      </c>
      <c r="H463" s="49">
        <v>0</v>
      </c>
    </row>
    <row r="464" spans="1:8" ht="14" x14ac:dyDescent="0.15">
      <c r="A464" s="15" t="s">
        <v>87</v>
      </c>
      <c r="B464" s="16" t="s">
        <v>79</v>
      </c>
      <c r="C464" s="16" t="s">
        <v>80</v>
      </c>
      <c r="D464" s="16" t="s">
        <v>125</v>
      </c>
      <c r="E464" s="16">
        <v>4439901</v>
      </c>
      <c r="F464" s="16" t="s">
        <v>102</v>
      </c>
      <c r="G464" s="17">
        <v>223</v>
      </c>
      <c r="H464" s="441">
        <f>877+533-660.33</f>
        <v>749.67</v>
      </c>
    </row>
    <row r="465" spans="1:8" ht="14" x14ac:dyDescent="0.15">
      <c r="A465" s="15" t="s">
        <v>134</v>
      </c>
      <c r="B465" s="16" t="s">
        <v>79</v>
      </c>
      <c r="C465" s="16" t="s">
        <v>80</v>
      </c>
      <c r="D465" s="16" t="s">
        <v>125</v>
      </c>
      <c r="E465" s="16">
        <v>4439901</v>
      </c>
      <c r="F465" s="16" t="s">
        <v>102</v>
      </c>
      <c r="G465" s="17">
        <v>224</v>
      </c>
      <c r="H465" s="49">
        <v>0</v>
      </c>
    </row>
    <row r="466" spans="1:8" ht="14" x14ac:dyDescent="0.15">
      <c r="A466" s="15" t="s">
        <v>90</v>
      </c>
      <c r="B466" s="16" t="s">
        <v>79</v>
      </c>
      <c r="C466" s="16" t="s">
        <v>80</v>
      </c>
      <c r="D466" s="16" t="s">
        <v>125</v>
      </c>
      <c r="E466" s="16">
        <v>4439901</v>
      </c>
      <c r="F466" s="16" t="s">
        <v>102</v>
      </c>
      <c r="G466" s="17">
        <v>225</v>
      </c>
      <c r="H466" s="49">
        <v>0</v>
      </c>
    </row>
    <row r="467" spans="1:8" ht="14" x14ac:dyDescent="0.15">
      <c r="A467" s="15" t="s">
        <v>91</v>
      </c>
      <c r="B467" s="16" t="s">
        <v>79</v>
      </c>
      <c r="C467" s="16" t="s">
        <v>80</v>
      </c>
      <c r="D467" s="16" t="s">
        <v>125</v>
      </c>
      <c r="E467" s="16">
        <v>4439901</v>
      </c>
      <c r="F467" s="16" t="s">
        <v>102</v>
      </c>
      <c r="G467" s="17">
        <v>226</v>
      </c>
      <c r="H467" s="49">
        <v>50</v>
      </c>
    </row>
    <row r="468" spans="1:8" ht="14" x14ac:dyDescent="0.15">
      <c r="A468" s="11" t="s">
        <v>94</v>
      </c>
      <c r="B468" s="16" t="s">
        <v>79</v>
      </c>
      <c r="C468" s="16" t="s">
        <v>80</v>
      </c>
      <c r="D468" s="16" t="s">
        <v>125</v>
      </c>
      <c r="E468" s="16">
        <v>4439901</v>
      </c>
      <c r="F468" s="16" t="s">
        <v>102</v>
      </c>
      <c r="G468" s="17">
        <v>290</v>
      </c>
      <c r="H468" s="49">
        <f>19+660.33+86.1</f>
        <v>765.43000000000006</v>
      </c>
    </row>
    <row r="469" spans="1:8" ht="14" x14ac:dyDescent="0.15">
      <c r="A469" s="11" t="s">
        <v>94</v>
      </c>
      <c r="B469" s="16" t="s">
        <v>79</v>
      </c>
      <c r="C469" s="16" t="s">
        <v>80</v>
      </c>
      <c r="D469" s="16" t="s">
        <v>125</v>
      </c>
      <c r="E469" s="16" t="s">
        <v>238</v>
      </c>
      <c r="F469" s="16" t="s">
        <v>102</v>
      </c>
      <c r="G469" s="17" t="s">
        <v>95</v>
      </c>
      <c r="H469" s="49">
        <f>15.4+378.1-86.1</f>
        <v>307.39999999999998</v>
      </c>
    </row>
    <row r="470" spans="1:8" ht="14" x14ac:dyDescent="0.15">
      <c r="A470" s="15" t="s">
        <v>96</v>
      </c>
      <c r="B470" s="16" t="s">
        <v>79</v>
      </c>
      <c r="C470" s="16" t="s">
        <v>80</v>
      </c>
      <c r="D470" s="16" t="s">
        <v>125</v>
      </c>
      <c r="E470" s="16">
        <v>4439901</v>
      </c>
      <c r="F470" s="16" t="s">
        <v>102</v>
      </c>
      <c r="G470" s="17">
        <v>310</v>
      </c>
      <c r="H470" s="49">
        <v>650</v>
      </c>
    </row>
    <row r="471" spans="1:8" ht="14" x14ac:dyDescent="0.15">
      <c r="A471" s="15" t="s">
        <v>97</v>
      </c>
      <c r="B471" s="16" t="s">
        <v>79</v>
      </c>
      <c r="C471" s="16" t="s">
        <v>80</v>
      </c>
      <c r="D471" s="16" t="s">
        <v>125</v>
      </c>
      <c r="E471" s="16">
        <v>4439901</v>
      </c>
      <c r="F471" s="16" t="s">
        <v>102</v>
      </c>
      <c r="G471" s="17">
        <v>340</v>
      </c>
      <c r="H471" s="49">
        <v>150</v>
      </c>
    </row>
    <row r="472" spans="1:8" ht="14" x14ac:dyDescent="0.15">
      <c r="A472" s="48" t="s">
        <v>98</v>
      </c>
      <c r="B472" s="20" t="s">
        <v>79</v>
      </c>
      <c r="C472" s="20" t="s">
        <v>80</v>
      </c>
      <c r="D472" s="20" t="s">
        <v>125</v>
      </c>
      <c r="E472" s="20" t="s">
        <v>239</v>
      </c>
      <c r="F472" s="20" t="s">
        <v>102</v>
      </c>
      <c r="G472" s="67"/>
      <c r="H472" s="50">
        <f>SUM(H459:H471)</f>
        <v>16043.3</v>
      </c>
    </row>
    <row r="473" spans="1:8" ht="14" x14ac:dyDescent="0.15">
      <c r="A473" s="18" t="s">
        <v>144</v>
      </c>
      <c r="B473" s="16"/>
      <c r="C473" s="16"/>
      <c r="D473" s="16"/>
      <c r="E473" s="16"/>
      <c r="F473" s="16"/>
      <c r="G473" s="21"/>
      <c r="H473" s="50"/>
    </row>
    <row r="474" spans="1:8" ht="14" x14ac:dyDescent="0.15">
      <c r="A474" s="15" t="s">
        <v>78</v>
      </c>
      <c r="B474" s="16" t="s">
        <v>79</v>
      </c>
      <c r="C474" s="16" t="s">
        <v>80</v>
      </c>
      <c r="D474" s="16" t="s">
        <v>125</v>
      </c>
      <c r="E474" s="16">
        <v>4439901</v>
      </c>
      <c r="F474" s="16" t="s">
        <v>102</v>
      </c>
      <c r="G474" s="17">
        <v>211</v>
      </c>
      <c r="H474" s="49">
        <f>13017.6+174.2</f>
        <v>13191.800000000001</v>
      </c>
    </row>
    <row r="475" spans="1:8" ht="14" x14ac:dyDescent="0.15">
      <c r="A475" s="15" t="s">
        <v>103</v>
      </c>
      <c r="B475" s="16" t="s">
        <v>79</v>
      </c>
      <c r="C475" s="16" t="s">
        <v>80</v>
      </c>
      <c r="D475" s="16" t="s">
        <v>125</v>
      </c>
      <c r="E475" s="16">
        <v>4439901</v>
      </c>
      <c r="F475" s="16" t="s">
        <v>102</v>
      </c>
      <c r="G475" s="17">
        <v>212</v>
      </c>
      <c r="H475" s="49">
        <v>0</v>
      </c>
    </row>
    <row r="476" spans="1:8" ht="14" x14ac:dyDescent="0.15">
      <c r="A476" s="15" t="s">
        <v>84</v>
      </c>
      <c r="B476" s="16" t="s">
        <v>79</v>
      </c>
      <c r="C476" s="16" t="s">
        <v>80</v>
      </c>
      <c r="D476" s="16" t="s">
        <v>125</v>
      </c>
      <c r="E476" s="16">
        <v>4439901</v>
      </c>
      <c r="F476" s="16" t="s">
        <v>102</v>
      </c>
      <c r="G476" s="17">
        <v>213</v>
      </c>
      <c r="H476" s="49">
        <f>4452+49.6</f>
        <v>4501.6000000000004</v>
      </c>
    </row>
    <row r="477" spans="1:8" ht="14" x14ac:dyDescent="0.15">
      <c r="A477" s="15" t="s">
        <v>85</v>
      </c>
      <c r="B477" s="16" t="s">
        <v>79</v>
      </c>
      <c r="C477" s="16" t="s">
        <v>80</v>
      </c>
      <c r="D477" s="16" t="s">
        <v>125</v>
      </c>
      <c r="E477" s="16">
        <v>4439901</v>
      </c>
      <c r="F477" s="16" t="s">
        <v>102</v>
      </c>
      <c r="G477" s="17">
        <v>221</v>
      </c>
      <c r="H477" s="49">
        <v>0</v>
      </c>
    </row>
    <row r="478" spans="1:8" ht="14" x14ac:dyDescent="0.15">
      <c r="A478" s="15" t="s">
        <v>86</v>
      </c>
      <c r="B478" s="16" t="s">
        <v>79</v>
      </c>
      <c r="C478" s="16" t="s">
        <v>80</v>
      </c>
      <c r="D478" s="16" t="s">
        <v>125</v>
      </c>
      <c r="E478" s="16">
        <v>4439901</v>
      </c>
      <c r="F478" s="16" t="s">
        <v>102</v>
      </c>
      <c r="G478" s="17">
        <v>222</v>
      </c>
      <c r="H478" s="49">
        <v>0</v>
      </c>
    </row>
    <row r="479" spans="1:8" ht="14" x14ac:dyDescent="0.15">
      <c r="A479" s="15" t="s">
        <v>87</v>
      </c>
      <c r="B479" s="16" t="s">
        <v>79</v>
      </c>
      <c r="C479" s="16" t="s">
        <v>80</v>
      </c>
      <c r="D479" s="16" t="s">
        <v>125</v>
      </c>
      <c r="E479" s="16">
        <v>4439901</v>
      </c>
      <c r="F479" s="16" t="s">
        <v>102</v>
      </c>
      <c r="G479" s="17">
        <v>223</v>
      </c>
      <c r="H479" s="49">
        <v>0</v>
      </c>
    </row>
    <row r="480" spans="1:8" ht="14" x14ac:dyDescent="0.15">
      <c r="A480" s="15" t="s">
        <v>134</v>
      </c>
      <c r="B480" s="16" t="s">
        <v>79</v>
      </c>
      <c r="C480" s="16" t="s">
        <v>80</v>
      </c>
      <c r="D480" s="16" t="s">
        <v>125</v>
      </c>
      <c r="E480" s="16">
        <v>4439901</v>
      </c>
      <c r="F480" s="16" t="s">
        <v>102</v>
      </c>
      <c r="G480" s="17">
        <v>224</v>
      </c>
      <c r="H480" s="49">
        <v>0</v>
      </c>
    </row>
    <row r="481" spans="1:8" ht="14" x14ac:dyDescent="0.15">
      <c r="A481" s="15" t="s">
        <v>90</v>
      </c>
      <c r="B481" s="16" t="s">
        <v>79</v>
      </c>
      <c r="C481" s="16" t="s">
        <v>80</v>
      </c>
      <c r="D481" s="16" t="s">
        <v>125</v>
      </c>
      <c r="E481" s="16">
        <v>4439901</v>
      </c>
      <c r="F481" s="16" t="s">
        <v>102</v>
      </c>
      <c r="G481" s="17">
        <v>225</v>
      </c>
      <c r="H481" s="49">
        <v>0</v>
      </c>
    </row>
    <row r="482" spans="1:8" ht="14" x14ac:dyDescent="0.15">
      <c r="A482" s="15" t="s">
        <v>91</v>
      </c>
      <c r="B482" s="16" t="s">
        <v>79</v>
      </c>
      <c r="C482" s="16" t="s">
        <v>80</v>
      </c>
      <c r="D482" s="16" t="s">
        <v>125</v>
      </c>
      <c r="E482" s="16">
        <v>4439901</v>
      </c>
      <c r="F482" s="16" t="s">
        <v>102</v>
      </c>
      <c r="G482" s="17">
        <v>226</v>
      </c>
      <c r="H482" s="49">
        <f>350+75+23.607+152.973</f>
        <v>601.57999999999993</v>
      </c>
    </row>
    <row r="483" spans="1:8" ht="14" x14ac:dyDescent="0.15">
      <c r="A483" s="11" t="s">
        <v>94</v>
      </c>
      <c r="B483" s="16" t="s">
        <v>79</v>
      </c>
      <c r="C483" s="16" t="s">
        <v>80</v>
      </c>
      <c r="D483" s="16" t="s">
        <v>125</v>
      </c>
      <c r="E483" s="16">
        <v>4439901</v>
      </c>
      <c r="F483" s="16" t="s">
        <v>102</v>
      </c>
      <c r="G483" s="17">
        <v>290</v>
      </c>
      <c r="H483" s="49">
        <v>21.8</v>
      </c>
    </row>
    <row r="484" spans="1:8" ht="14" x14ac:dyDescent="0.15">
      <c r="A484" s="11" t="s">
        <v>94</v>
      </c>
      <c r="B484" s="16" t="s">
        <v>79</v>
      </c>
      <c r="C484" s="16" t="s">
        <v>80</v>
      </c>
      <c r="D484" s="16" t="s">
        <v>125</v>
      </c>
      <c r="E484" s="16" t="s">
        <v>238</v>
      </c>
      <c r="F484" s="16" t="s">
        <v>102</v>
      </c>
      <c r="G484" s="17" t="s">
        <v>95</v>
      </c>
      <c r="H484" s="49">
        <v>39</v>
      </c>
    </row>
    <row r="485" spans="1:8" ht="14" x14ac:dyDescent="0.15">
      <c r="A485" s="15" t="s">
        <v>96</v>
      </c>
      <c r="B485" s="16" t="s">
        <v>79</v>
      </c>
      <c r="C485" s="16" t="s">
        <v>80</v>
      </c>
      <c r="D485" s="16" t="s">
        <v>125</v>
      </c>
      <c r="E485" s="16">
        <v>4439901</v>
      </c>
      <c r="F485" s="16" t="s">
        <v>102</v>
      </c>
      <c r="G485" s="17">
        <v>310</v>
      </c>
      <c r="H485" s="49">
        <v>50</v>
      </c>
    </row>
    <row r="486" spans="1:8" ht="14" x14ac:dyDescent="0.15">
      <c r="A486" s="15" t="s">
        <v>97</v>
      </c>
      <c r="B486" s="16" t="s">
        <v>79</v>
      </c>
      <c r="C486" s="16" t="s">
        <v>80</v>
      </c>
      <c r="D486" s="16" t="s">
        <v>125</v>
      </c>
      <c r="E486" s="16">
        <v>4439901</v>
      </c>
      <c r="F486" s="16" t="s">
        <v>102</v>
      </c>
      <c r="G486" s="17">
        <v>340</v>
      </c>
      <c r="H486" s="49">
        <f>250+175+50</f>
        <v>475</v>
      </c>
    </row>
    <row r="487" spans="1:8" ht="14" x14ac:dyDescent="0.15">
      <c r="A487" s="48" t="s">
        <v>98</v>
      </c>
      <c r="B487" s="20" t="s">
        <v>79</v>
      </c>
      <c r="C487" s="20" t="s">
        <v>80</v>
      </c>
      <c r="D487" s="20" t="s">
        <v>125</v>
      </c>
      <c r="E487" s="20" t="s">
        <v>239</v>
      </c>
      <c r="F487" s="20" t="s">
        <v>102</v>
      </c>
      <c r="G487" s="67"/>
      <c r="H487" s="50">
        <f>SUM(H474:H486)</f>
        <v>18880.780000000002</v>
      </c>
    </row>
    <row r="488" spans="1:8" ht="14" x14ac:dyDescent="0.15">
      <c r="A488" s="18" t="s">
        <v>145</v>
      </c>
      <c r="B488" s="16"/>
      <c r="C488" s="16"/>
      <c r="D488" s="16"/>
      <c r="E488" s="16"/>
      <c r="F488" s="16"/>
      <c r="G488" s="21"/>
      <c r="H488" s="50"/>
    </row>
    <row r="489" spans="1:8" ht="14" x14ac:dyDescent="0.15">
      <c r="A489" s="15" t="s">
        <v>78</v>
      </c>
      <c r="B489" s="16" t="s">
        <v>79</v>
      </c>
      <c r="C489" s="16" t="s">
        <v>80</v>
      </c>
      <c r="D489" s="16" t="s">
        <v>125</v>
      </c>
      <c r="E489" s="16">
        <v>4439901</v>
      </c>
      <c r="F489" s="16" t="s">
        <v>102</v>
      </c>
      <c r="G489" s="17">
        <v>211</v>
      </c>
      <c r="H489" s="49">
        <f>12437.1+166.4</f>
        <v>12603.5</v>
      </c>
    </row>
    <row r="490" spans="1:8" ht="14" x14ac:dyDescent="0.15">
      <c r="A490" s="15" t="s">
        <v>103</v>
      </c>
      <c r="B490" s="16" t="s">
        <v>79</v>
      </c>
      <c r="C490" s="16" t="s">
        <v>80</v>
      </c>
      <c r="D490" s="16" t="s">
        <v>125</v>
      </c>
      <c r="E490" s="16">
        <v>4439901</v>
      </c>
      <c r="F490" s="16" t="s">
        <v>102</v>
      </c>
      <c r="G490" s="17">
        <v>212</v>
      </c>
      <c r="H490" s="49">
        <v>0</v>
      </c>
    </row>
    <row r="491" spans="1:8" ht="14" x14ac:dyDescent="0.15">
      <c r="A491" s="15" t="s">
        <v>84</v>
      </c>
      <c r="B491" s="16" t="s">
        <v>79</v>
      </c>
      <c r="C491" s="16" t="s">
        <v>80</v>
      </c>
      <c r="D491" s="16" t="s">
        <v>125</v>
      </c>
      <c r="E491" s="16">
        <v>4439901</v>
      </c>
      <c r="F491" s="16" t="s">
        <v>102</v>
      </c>
      <c r="G491" s="17">
        <v>213</v>
      </c>
      <c r="H491" s="49">
        <f>4253.5+150+47.4</f>
        <v>4450.8999999999996</v>
      </c>
    </row>
    <row r="492" spans="1:8" ht="14" x14ac:dyDescent="0.15">
      <c r="A492" s="15" t="s">
        <v>85</v>
      </c>
      <c r="B492" s="16" t="s">
        <v>79</v>
      </c>
      <c r="C492" s="16" t="s">
        <v>80</v>
      </c>
      <c r="D492" s="16" t="s">
        <v>125</v>
      </c>
      <c r="E492" s="16">
        <v>4439901</v>
      </c>
      <c r="F492" s="16" t="s">
        <v>102</v>
      </c>
      <c r="G492" s="17">
        <v>221</v>
      </c>
      <c r="H492" s="49">
        <v>0</v>
      </c>
    </row>
    <row r="493" spans="1:8" ht="14" x14ac:dyDescent="0.15">
      <c r="A493" s="15" t="s">
        <v>86</v>
      </c>
      <c r="B493" s="16" t="s">
        <v>79</v>
      </c>
      <c r="C493" s="16" t="s">
        <v>80</v>
      </c>
      <c r="D493" s="16" t="s">
        <v>125</v>
      </c>
      <c r="E493" s="16">
        <v>4439901</v>
      </c>
      <c r="F493" s="16" t="s">
        <v>102</v>
      </c>
      <c r="G493" s="17">
        <v>222</v>
      </c>
      <c r="H493" s="49">
        <v>0</v>
      </c>
    </row>
    <row r="494" spans="1:8" ht="14" x14ac:dyDescent="0.15">
      <c r="A494" s="15" t="s">
        <v>87</v>
      </c>
      <c r="B494" s="16" t="s">
        <v>79</v>
      </c>
      <c r="C494" s="16" t="s">
        <v>80</v>
      </c>
      <c r="D494" s="16" t="s">
        <v>125</v>
      </c>
      <c r="E494" s="16">
        <v>4439901</v>
      </c>
      <c r="F494" s="16" t="s">
        <v>102</v>
      </c>
      <c r="G494" s="17">
        <v>223</v>
      </c>
      <c r="H494" s="49">
        <f>531.7-56</f>
        <v>475.70000000000005</v>
      </c>
    </row>
    <row r="495" spans="1:8" ht="14" x14ac:dyDescent="0.15">
      <c r="A495" s="15" t="s">
        <v>134</v>
      </c>
      <c r="B495" s="16" t="s">
        <v>79</v>
      </c>
      <c r="C495" s="16" t="s">
        <v>80</v>
      </c>
      <c r="D495" s="16" t="s">
        <v>125</v>
      </c>
      <c r="E495" s="16">
        <v>4439901</v>
      </c>
      <c r="F495" s="16" t="s">
        <v>102</v>
      </c>
      <c r="G495" s="17">
        <v>224</v>
      </c>
      <c r="H495" s="49">
        <v>0</v>
      </c>
    </row>
    <row r="496" spans="1:8" ht="14" x14ac:dyDescent="0.15">
      <c r="A496" s="15" t="s">
        <v>90</v>
      </c>
      <c r="B496" s="16" t="s">
        <v>79</v>
      </c>
      <c r="C496" s="16" t="s">
        <v>80</v>
      </c>
      <c r="D496" s="16" t="s">
        <v>125</v>
      </c>
      <c r="E496" s="16">
        <v>4439901</v>
      </c>
      <c r="F496" s="16" t="s">
        <v>102</v>
      </c>
      <c r="G496" s="17">
        <v>225</v>
      </c>
      <c r="H496" s="49">
        <v>0</v>
      </c>
    </row>
    <row r="497" spans="1:8" ht="14" x14ac:dyDescent="0.15">
      <c r="A497" s="15" t="s">
        <v>91</v>
      </c>
      <c r="B497" s="16" t="s">
        <v>79</v>
      </c>
      <c r="C497" s="16" t="s">
        <v>80</v>
      </c>
      <c r="D497" s="16" t="s">
        <v>125</v>
      </c>
      <c r="E497" s="16">
        <v>4439901</v>
      </c>
      <c r="F497" s="16" t="s">
        <v>102</v>
      </c>
      <c r="G497" s="17">
        <v>226</v>
      </c>
      <c r="H497" s="441">
        <f>500+97.607</f>
        <v>597.60699999999997</v>
      </c>
    </row>
    <row r="498" spans="1:8" ht="14" x14ac:dyDescent="0.15">
      <c r="A498" s="11" t="s">
        <v>94</v>
      </c>
      <c r="B498" s="16" t="s">
        <v>79</v>
      </c>
      <c r="C498" s="16" t="s">
        <v>80</v>
      </c>
      <c r="D498" s="16" t="s">
        <v>125</v>
      </c>
      <c r="E498" s="16">
        <v>4439901</v>
      </c>
      <c r="F498" s="16" t="s">
        <v>102</v>
      </c>
      <c r="G498" s="17">
        <v>290</v>
      </c>
      <c r="H498" s="49">
        <v>27.5</v>
      </c>
    </row>
    <row r="499" spans="1:8" ht="14" x14ac:dyDescent="0.15">
      <c r="A499" s="11" t="s">
        <v>94</v>
      </c>
      <c r="B499" s="16" t="s">
        <v>79</v>
      </c>
      <c r="C499" s="16" t="s">
        <v>80</v>
      </c>
      <c r="D499" s="16" t="s">
        <v>125</v>
      </c>
      <c r="E499" s="16" t="s">
        <v>238</v>
      </c>
      <c r="F499" s="16" t="s">
        <v>102</v>
      </c>
      <c r="G499" s="17" t="s">
        <v>95</v>
      </c>
      <c r="H499" s="49">
        <f>1076.9+414.8</f>
        <v>1491.7</v>
      </c>
    </row>
    <row r="500" spans="1:8" ht="14" x14ac:dyDescent="0.15">
      <c r="A500" s="15" t="s">
        <v>96</v>
      </c>
      <c r="B500" s="16" t="s">
        <v>79</v>
      </c>
      <c r="C500" s="16" t="s">
        <v>80</v>
      </c>
      <c r="D500" s="16" t="s">
        <v>125</v>
      </c>
      <c r="E500" s="16">
        <v>4439901</v>
      </c>
      <c r="F500" s="16" t="s">
        <v>102</v>
      </c>
      <c r="G500" s="17">
        <v>310</v>
      </c>
      <c r="H500" s="49"/>
    </row>
    <row r="501" spans="1:8" ht="14" x14ac:dyDescent="0.15">
      <c r="A501" s="15" t="s">
        <v>97</v>
      </c>
      <c r="B501" s="16" t="s">
        <v>79</v>
      </c>
      <c r="C501" s="16" t="s">
        <v>80</v>
      </c>
      <c r="D501" s="16" t="s">
        <v>125</v>
      </c>
      <c r="E501" s="16">
        <v>4439901</v>
      </c>
      <c r="F501" s="16" t="s">
        <v>102</v>
      </c>
      <c r="G501" s="17">
        <v>340</v>
      </c>
      <c r="H501" s="49">
        <f>380+50</f>
        <v>430</v>
      </c>
    </row>
    <row r="502" spans="1:8" ht="14" x14ac:dyDescent="0.15">
      <c r="A502" s="48" t="s">
        <v>98</v>
      </c>
      <c r="B502" s="20" t="s">
        <v>79</v>
      </c>
      <c r="C502" s="20" t="s">
        <v>80</v>
      </c>
      <c r="D502" s="20" t="s">
        <v>125</v>
      </c>
      <c r="E502" s="20" t="s">
        <v>239</v>
      </c>
      <c r="F502" s="20" t="s">
        <v>102</v>
      </c>
      <c r="G502" s="67"/>
      <c r="H502" s="50">
        <f>SUM(H489:H501)</f>
        <v>20076.907000000003</v>
      </c>
    </row>
    <row r="503" spans="1:8" ht="14" x14ac:dyDescent="0.15">
      <c r="A503" s="18" t="s">
        <v>146</v>
      </c>
      <c r="B503" s="16"/>
      <c r="C503" s="16"/>
      <c r="D503" s="16"/>
      <c r="E503" s="16"/>
      <c r="F503" s="16"/>
      <c r="G503" s="21"/>
      <c r="H503" s="50"/>
    </row>
    <row r="504" spans="1:8" ht="14" x14ac:dyDescent="0.15">
      <c r="A504" s="15" t="s">
        <v>78</v>
      </c>
      <c r="B504" s="16" t="s">
        <v>79</v>
      </c>
      <c r="C504" s="16" t="s">
        <v>80</v>
      </c>
      <c r="D504" s="16" t="s">
        <v>125</v>
      </c>
      <c r="E504" s="16">
        <v>4439901</v>
      </c>
      <c r="F504" s="16" t="s">
        <v>102</v>
      </c>
      <c r="G504" s="17">
        <v>211</v>
      </c>
      <c r="H504" s="49">
        <f>34879.7+300+466.7</f>
        <v>35646.399999999994</v>
      </c>
    </row>
    <row r="505" spans="1:8" ht="14" x14ac:dyDescent="0.15">
      <c r="A505" s="15" t="s">
        <v>103</v>
      </c>
      <c r="B505" s="16" t="s">
        <v>79</v>
      </c>
      <c r="C505" s="16" t="s">
        <v>80</v>
      </c>
      <c r="D505" s="16" t="s">
        <v>125</v>
      </c>
      <c r="E505" s="16">
        <v>4439901</v>
      </c>
      <c r="F505" s="16" t="s">
        <v>102</v>
      </c>
      <c r="G505" s="17">
        <v>212</v>
      </c>
      <c r="H505" s="49">
        <v>0</v>
      </c>
    </row>
    <row r="506" spans="1:8" ht="14" x14ac:dyDescent="0.15">
      <c r="A506" s="15" t="s">
        <v>84</v>
      </c>
      <c r="B506" s="16" t="s">
        <v>79</v>
      </c>
      <c r="C506" s="16" t="s">
        <v>80</v>
      </c>
      <c r="D506" s="16" t="s">
        <v>125</v>
      </c>
      <c r="E506" s="16">
        <v>4439901</v>
      </c>
      <c r="F506" s="16" t="s">
        <v>102</v>
      </c>
      <c r="G506" s="17">
        <v>213</v>
      </c>
      <c r="H506" s="49">
        <f>11928.9-300+133</f>
        <v>11761.9</v>
      </c>
    </row>
    <row r="507" spans="1:8" ht="14" x14ac:dyDescent="0.15">
      <c r="A507" s="15" t="s">
        <v>85</v>
      </c>
      <c r="B507" s="16" t="s">
        <v>79</v>
      </c>
      <c r="C507" s="16" t="s">
        <v>80</v>
      </c>
      <c r="D507" s="16" t="s">
        <v>125</v>
      </c>
      <c r="E507" s="16">
        <v>4439901</v>
      </c>
      <c r="F507" s="16" t="s">
        <v>102</v>
      </c>
      <c r="G507" s="17">
        <v>221</v>
      </c>
      <c r="H507" s="49">
        <v>0</v>
      </c>
    </row>
    <row r="508" spans="1:8" ht="14" x14ac:dyDescent="0.15">
      <c r="A508" s="15" t="s">
        <v>86</v>
      </c>
      <c r="B508" s="16" t="s">
        <v>79</v>
      </c>
      <c r="C508" s="16" t="s">
        <v>80</v>
      </c>
      <c r="D508" s="16" t="s">
        <v>125</v>
      </c>
      <c r="E508" s="16">
        <v>4439901</v>
      </c>
      <c r="F508" s="16" t="s">
        <v>102</v>
      </c>
      <c r="G508" s="17">
        <v>222</v>
      </c>
      <c r="H508" s="49">
        <v>0</v>
      </c>
    </row>
    <row r="509" spans="1:8" ht="14" x14ac:dyDescent="0.15">
      <c r="A509" s="15" t="s">
        <v>87</v>
      </c>
      <c r="B509" s="16" t="s">
        <v>79</v>
      </c>
      <c r="C509" s="16" t="s">
        <v>80</v>
      </c>
      <c r="D509" s="16" t="s">
        <v>125</v>
      </c>
      <c r="E509" s="16">
        <v>4439901</v>
      </c>
      <c r="F509" s="16" t="s">
        <v>102</v>
      </c>
      <c r="G509" s="17">
        <v>223</v>
      </c>
      <c r="H509" s="49">
        <v>0</v>
      </c>
    </row>
    <row r="510" spans="1:8" ht="14" x14ac:dyDescent="0.15">
      <c r="A510" s="15" t="s">
        <v>134</v>
      </c>
      <c r="B510" s="16" t="s">
        <v>79</v>
      </c>
      <c r="C510" s="16" t="s">
        <v>80</v>
      </c>
      <c r="D510" s="16" t="s">
        <v>125</v>
      </c>
      <c r="E510" s="16">
        <v>4439901</v>
      </c>
      <c r="F510" s="16" t="s">
        <v>102</v>
      </c>
      <c r="G510" s="17">
        <v>224</v>
      </c>
      <c r="H510" s="49">
        <v>0</v>
      </c>
    </row>
    <row r="511" spans="1:8" ht="14" x14ac:dyDescent="0.15">
      <c r="A511" s="15" t="s">
        <v>90</v>
      </c>
      <c r="B511" s="16" t="s">
        <v>79</v>
      </c>
      <c r="C511" s="16" t="s">
        <v>80</v>
      </c>
      <c r="D511" s="16" t="s">
        <v>125</v>
      </c>
      <c r="E511" s="16">
        <v>4439901</v>
      </c>
      <c r="F511" s="16" t="s">
        <v>102</v>
      </c>
      <c r="G511" s="17">
        <v>225</v>
      </c>
      <c r="H511" s="49">
        <v>0</v>
      </c>
    </row>
    <row r="512" spans="1:8" ht="14" x14ac:dyDescent="0.15">
      <c r="A512" s="15" t="s">
        <v>91</v>
      </c>
      <c r="B512" s="16" t="s">
        <v>79</v>
      </c>
      <c r="C512" s="16" t="s">
        <v>80</v>
      </c>
      <c r="D512" s="16" t="s">
        <v>125</v>
      </c>
      <c r="E512" s="16">
        <v>4439901</v>
      </c>
      <c r="F512" s="16" t="s">
        <v>102</v>
      </c>
      <c r="G512" s="17">
        <v>226</v>
      </c>
      <c r="H512" s="441">
        <f>80+120+99+188.707</f>
        <v>487.70699999999999</v>
      </c>
    </row>
    <row r="513" spans="1:8" ht="14" x14ac:dyDescent="0.15">
      <c r="A513" s="11" t="s">
        <v>94</v>
      </c>
      <c r="B513" s="16" t="s">
        <v>79</v>
      </c>
      <c r="C513" s="16" t="s">
        <v>80</v>
      </c>
      <c r="D513" s="16" t="s">
        <v>125</v>
      </c>
      <c r="E513" s="16">
        <v>4439901</v>
      </c>
      <c r="F513" s="16" t="s">
        <v>102</v>
      </c>
      <c r="G513" s="17">
        <v>290</v>
      </c>
      <c r="H513" s="49">
        <v>65.900000000000006</v>
      </c>
    </row>
    <row r="514" spans="1:8" ht="14" x14ac:dyDescent="0.15">
      <c r="A514" s="11" t="s">
        <v>94</v>
      </c>
      <c r="B514" s="16" t="s">
        <v>79</v>
      </c>
      <c r="C514" s="16" t="s">
        <v>80</v>
      </c>
      <c r="D514" s="16" t="s">
        <v>125</v>
      </c>
      <c r="E514" s="16" t="s">
        <v>238</v>
      </c>
      <c r="F514" s="16" t="s">
        <v>102</v>
      </c>
      <c r="G514" s="17" t="s">
        <v>95</v>
      </c>
      <c r="H514" s="49">
        <v>64.8</v>
      </c>
    </row>
    <row r="515" spans="1:8" ht="14" x14ac:dyDescent="0.15">
      <c r="A515" s="15" t="s">
        <v>96</v>
      </c>
      <c r="B515" s="16" t="s">
        <v>79</v>
      </c>
      <c r="C515" s="16" t="s">
        <v>80</v>
      </c>
      <c r="D515" s="16" t="s">
        <v>125</v>
      </c>
      <c r="E515" s="16">
        <v>4439901</v>
      </c>
      <c r="F515" s="16" t="s">
        <v>102</v>
      </c>
      <c r="G515" s="17">
        <v>310</v>
      </c>
      <c r="H515" s="49">
        <f>70+200.04</f>
        <v>270.03999999999996</v>
      </c>
    </row>
    <row r="516" spans="1:8" ht="14" x14ac:dyDescent="0.15">
      <c r="A516" s="15" t="s">
        <v>97</v>
      </c>
      <c r="B516" s="16" t="s">
        <v>79</v>
      </c>
      <c r="C516" s="16" t="s">
        <v>80</v>
      </c>
      <c r="D516" s="16" t="s">
        <v>125</v>
      </c>
      <c r="E516" s="16">
        <v>4439901</v>
      </c>
      <c r="F516" s="16" t="s">
        <v>102</v>
      </c>
      <c r="G516" s="17">
        <v>340</v>
      </c>
      <c r="H516" s="49">
        <v>430</v>
      </c>
    </row>
    <row r="517" spans="1:8" ht="14" x14ac:dyDescent="0.15">
      <c r="A517" s="48" t="s">
        <v>98</v>
      </c>
      <c r="B517" s="20" t="s">
        <v>79</v>
      </c>
      <c r="C517" s="20" t="s">
        <v>80</v>
      </c>
      <c r="D517" s="20" t="s">
        <v>125</v>
      </c>
      <c r="E517" s="20" t="s">
        <v>239</v>
      </c>
      <c r="F517" s="20" t="s">
        <v>102</v>
      </c>
      <c r="G517" s="67"/>
      <c r="H517" s="50">
        <f>SUM(H504:H516)</f>
        <v>48726.747000000003</v>
      </c>
    </row>
    <row r="518" spans="1:8" ht="14" x14ac:dyDescent="0.15">
      <c r="A518" s="18" t="s">
        <v>147</v>
      </c>
      <c r="B518" s="16"/>
      <c r="C518" s="16"/>
      <c r="D518" s="16"/>
      <c r="E518" s="16"/>
      <c r="F518" s="16"/>
      <c r="G518" s="21"/>
      <c r="H518" s="50"/>
    </row>
    <row r="519" spans="1:8" ht="14" x14ac:dyDescent="0.15">
      <c r="A519" s="15" t="s">
        <v>78</v>
      </c>
      <c r="B519" s="16" t="s">
        <v>79</v>
      </c>
      <c r="C519" s="16" t="s">
        <v>80</v>
      </c>
      <c r="D519" s="16" t="s">
        <v>125</v>
      </c>
      <c r="E519" s="16">
        <v>4439901</v>
      </c>
      <c r="F519" s="16" t="s">
        <v>102</v>
      </c>
      <c r="G519" s="17">
        <v>211</v>
      </c>
      <c r="H519" s="49">
        <f>11859.7+158.7</f>
        <v>12018.400000000001</v>
      </c>
    </row>
    <row r="520" spans="1:8" ht="14" x14ac:dyDescent="0.15">
      <c r="A520" s="15" t="s">
        <v>103</v>
      </c>
      <c r="B520" s="16" t="s">
        <v>79</v>
      </c>
      <c r="C520" s="16" t="s">
        <v>80</v>
      </c>
      <c r="D520" s="16" t="s">
        <v>125</v>
      </c>
      <c r="E520" s="16">
        <v>4439901</v>
      </c>
      <c r="F520" s="16" t="s">
        <v>102</v>
      </c>
      <c r="G520" s="17">
        <v>212</v>
      </c>
      <c r="H520" s="49">
        <v>0</v>
      </c>
    </row>
    <row r="521" spans="1:8" ht="14" x14ac:dyDescent="0.15">
      <c r="A521" s="15" t="s">
        <v>84</v>
      </c>
      <c r="B521" s="16" t="s">
        <v>79</v>
      </c>
      <c r="C521" s="16" t="s">
        <v>80</v>
      </c>
      <c r="D521" s="16" t="s">
        <v>125</v>
      </c>
      <c r="E521" s="16">
        <v>4439901</v>
      </c>
      <c r="F521" s="16" t="s">
        <v>102</v>
      </c>
      <c r="G521" s="17">
        <v>213</v>
      </c>
      <c r="H521" s="441">
        <f>4056-30+45.2</f>
        <v>4071.2</v>
      </c>
    </row>
    <row r="522" spans="1:8" ht="14" x14ac:dyDescent="0.15">
      <c r="A522" s="15" t="s">
        <v>85</v>
      </c>
      <c r="B522" s="16" t="s">
        <v>79</v>
      </c>
      <c r="C522" s="16" t="s">
        <v>80</v>
      </c>
      <c r="D522" s="16" t="s">
        <v>125</v>
      </c>
      <c r="E522" s="16">
        <v>4439901</v>
      </c>
      <c r="F522" s="16" t="s">
        <v>102</v>
      </c>
      <c r="G522" s="17">
        <v>221</v>
      </c>
      <c r="H522" s="49">
        <v>0</v>
      </c>
    </row>
    <row r="523" spans="1:8" ht="14" x14ac:dyDescent="0.15">
      <c r="A523" s="15" t="s">
        <v>86</v>
      </c>
      <c r="B523" s="16" t="s">
        <v>79</v>
      </c>
      <c r="C523" s="16" t="s">
        <v>80</v>
      </c>
      <c r="D523" s="16" t="s">
        <v>125</v>
      </c>
      <c r="E523" s="16">
        <v>4439901</v>
      </c>
      <c r="F523" s="16" t="s">
        <v>102</v>
      </c>
      <c r="G523" s="17">
        <v>222</v>
      </c>
      <c r="H523" s="49">
        <v>0</v>
      </c>
    </row>
    <row r="524" spans="1:8" ht="14" x14ac:dyDescent="0.15">
      <c r="A524" s="15" t="s">
        <v>87</v>
      </c>
      <c r="B524" s="16" t="s">
        <v>79</v>
      </c>
      <c r="C524" s="16" t="s">
        <v>80</v>
      </c>
      <c r="D524" s="16" t="s">
        <v>125</v>
      </c>
      <c r="E524" s="16">
        <v>4439901</v>
      </c>
      <c r="F524" s="16" t="s">
        <v>102</v>
      </c>
      <c r="G524" s="17">
        <v>223</v>
      </c>
      <c r="H524" s="49">
        <v>20</v>
      </c>
    </row>
    <row r="525" spans="1:8" ht="14" x14ac:dyDescent="0.15">
      <c r="A525" s="15" t="s">
        <v>134</v>
      </c>
      <c r="B525" s="16" t="s">
        <v>79</v>
      </c>
      <c r="C525" s="16" t="s">
        <v>80</v>
      </c>
      <c r="D525" s="16" t="s">
        <v>125</v>
      </c>
      <c r="E525" s="16">
        <v>4439901</v>
      </c>
      <c r="F525" s="16" t="s">
        <v>102</v>
      </c>
      <c r="G525" s="17">
        <v>224</v>
      </c>
      <c r="H525" s="49">
        <v>0</v>
      </c>
    </row>
    <row r="526" spans="1:8" ht="14" x14ac:dyDescent="0.15">
      <c r="A526" s="15" t="s">
        <v>90</v>
      </c>
      <c r="B526" s="16" t="s">
        <v>79</v>
      </c>
      <c r="C526" s="16" t="s">
        <v>80</v>
      </c>
      <c r="D526" s="16" t="s">
        <v>125</v>
      </c>
      <c r="E526" s="16">
        <v>4439901</v>
      </c>
      <c r="F526" s="16" t="s">
        <v>102</v>
      </c>
      <c r="G526" s="17">
        <v>225</v>
      </c>
      <c r="H526" s="49">
        <v>0</v>
      </c>
    </row>
    <row r="527" spans="1:8" ht="14" x14ac:dyDescent="0.15">
      <c r="A527" s="15" t="s">
        <v>91</v>
      </c>
      <c r="B527" s="16" t="s">
        <v>79</v>
      </c>
      <c r="C527" s="16" t="s">
        <v>80</v>
      </c>
      <c r="D527" s="16" t="s">
        <v>125</v>
      </c>
      <c r="E527" s="16">
        <v>4439901</v>
      </c>
      <c r="F527" s="16" t="s">
        <v>102</v>
      </c>
      <c r="G527" s="17">
        <v>226</v>
      </c>
      <c r="H527" s="49">
        <v>20</v>
      </c>
    </row>
    <row r="528" spans="1:8" ht="14" x14ac:dyDescent="0.15">
      <c r="A528" s="11" t="s">
        <v>94</v>
      </c>
      <c r="B528" s="16" t="s">
        <v>79</v>
      </c>
      <c r="C528" s="16" t="s">
        <v>80</v>
      </c>
      <c r="D528" s="16" t="s">
        <v>125</v>
      </c>
      <c r="E528" s="16">
        <v>4439901</v>
      </c>
      <c r="F528" s="16" t="s">
        <v>102</v>
      </c>
      <c r="G528" s="17">
        <v>290</v>
      </c>
      <c r="H528" s="49">
        <v>18.600000000000001</v>
      </c>
    </row>
    <row r="529" spans="1:8" ht="14" x14ac:dyDescent="0.15">
      <c r="A529" s="11" t="s">
        <v>94</v>
      </c>
      <c r="B529" s="16" t="s">
        <v>79</v>
      </c>
      <c r="C529" s="16" t="s">
        <v>80</v>
      </c>
      <c r="D529" s="16" t="s">
        <v>125</v>
      </c>
      <c r="E529" s="16" t="s">
        <v>238</v>
      </c>
      <c r="F529" s="16" t="s">
        <v>102</v>
      </c>
      <c r="G529" s="17" t="s">
        <v>95</v>
      </c>
      <c r="H529" s="49">
        <f>40.5+107.3</f>
        <v>147.80000000000001</v>
      </c>
    </row>
    <row r="530" spans="1:8" ht="14" x14ac:dyDescent="0.15">
      <c r="A530" s="15" t="s">
        <v>96</v>
      </c>
      <c r="B530" s="16" t="s">
        <v>79</v>
      </c>
      <c r="C530" s="16" t="s">
        <v>80</v>
      </c>
      <c r="D530" s="16" t="s">
        <v>125</v>
      </c>
      <c r="E530" s="16">
        <v>4439901</v>
      </c>
      <c r="F530" s="16" t="s">
        <v>102</v>
      </c>
      <c r="G530" s="17">
        <v>310</v>
      </c>
      <c r="H530" s="49">
        <v>80</v>
      </c>
    </row>
    <row r="531" spans="1:8" ht="14" x14ac:dyDescent="0.15">
      <c r="A531" s="15" t="s">
        <v>97</v>
      </c>
      <c r="B531" s="16" t="s">
        <v>79</v>
      </c>
      <c r="C531" s="16" t="s">
        <v>80</v>
      </c>
      <c r="D531" s="16" t="s">
        <v>125</v>
      </c>
      <c r="E531" s="16">
        <v>4439901</v>
      </c>
      <c r="F531" s="16" t="s">
        <v>102</v>
      </c>
      <c r="G531" s="17">
        <v>340</v>
      </c>
      <c r="H531" s="49">
        <v>80</v>
      </c>
    </row>
    <row r="532" spans="1:8" ht="14" x14ac:dyDescent="0.15">
      <c r="A532" s="48" t="s">
        <v>98</v>
      </c>
      <c r="B532" s="20" t="s">
        <v>79</v>
      </c>
      <c r="C532" s="20" t="s">
        <v>80</v>
      </c>
      <c r="D532" s="20" t="s">
        <v>125</v>
      </c>
      <c r="E532" s="20" t="s">
        <v>239</v>
      </c>
      <c r="F532" s="20" t="s">
        <v>102</v>
      </c>
      <c r="G532" s="67"/>
      <c r="H532" s="50">
        <f>SUM(H519:H531)</f>
        <v>16456</v>
      </c>
    </row>
    <row r="533" spans="1:8" ht="14" x14ac:dyDescent="0.15">
      <c r="A533" s="18" t="s">
        <v>148</v>
      </c>
      <c r="B533" s="16"/>
      <c r="C533" s="16"/>
      <c r="D533" s="16"/>
      <c r="E533" s="16"/>
      <c r="F533" s="16"/>
      <c r="G533" s="21"/>
      <c r="H533" s="50"/>
    </row>
    <row r="534" spans="1:8" ht="14" x14ac:dyDescent="0.15">
      <c r="A534" s="15" t="s">
        <v>78</v>
      </c>
      <c r="B534" s="16" t="s">
        <v>79</v>
      </c>
      <c r="C534" s="16" t="s">
        <v>80</v>
      </c>
      <c r="D534" s="16" t="s">
        <v>125</v>
      </c>
      <c r="E534" s="16">
        <v>4439901</v>
      </c>
      <c r="F534" s="16" t="s">
        <v>102</v>
      </c>
      <c r="G534" s="17">
        <v>211</v>
      </c>
      <c r="H534" s="49">
        <f>6097.5+81.6</f>
        <v>6179.1</v>
      </c>
    </row>
    <row r="535" spans="1:8" ht="14" x14ac:dyDescent="0.15">
      <c r="A535" s="15" t="s">
        <v>103</v>
      </c>
      <c r="B535" s="16" t="s">
        <v>79</v>
      </c>
      <c r="C535" s="16" t="s">
        <v>80</v>
      </c>
      <c r="D535" s="16" t="s">
        <v>125</v>
      </c>
      <c r="E535" s="16">
        <v>4439901</v>
      </c>
      <c r="F535" s="16" t="s">
        <v>102</v>
      </c>
      <c r="G535" s="17">
        <v>212</v>
      </c>
      <c r="H535" s="49">
        <v>0</v>
      </c>
    </row>
    <row r="536" spans="1:8" ht="14" x14ac:dyDescent="0.15">
      <c r="A536" s="15" t="s">
        <v>84</v>
      </c>
      <c r="B536" s="16" t="s">
        <v>79</v>
      </c>
      <c r="C536" s="16" t="s">
        <v>80</v>
      </c>
      <c r="D536" s="16" t="s">
        <v>125</v>
      </c>
      <c r="E536" s="16">
        <v>4439901</v>
      </c>
      <c r="F536" s="16" t="s">
        <v>102</v>
      </c>
      <c r="G536" s="17">
        <v>213</v>
      </c>
      <c r="H536" s="441">
        <f>2085.3-15+23.3</f>
        <v>2093.6000000000004</v>
      </c>
    </row>
    <row r="537" spans="1:8" ht="14" x14ac:dyDescent="0.15">
      <c r="A537" s="15" t="s">
        <v>85</v>
      </c>
      <c r="B537" s="16" t="s">
        <v>79</v>
      </c>
      <c r="C537" s="16" t="s">
        <v>80</v>
      </c>
      <c r="D537" s="16" t="s">
        <v>125</v>
      </c>
      <c r="E537" s="16">
        <v>4439901</v>
      </c>
      <c r="F537" s="16" t="s">
        <v>102</v>
      </c>
      <c r="G537" s="17">
        <v>221</v>
      </c>
      <c r="H537" s="49">
        <v>0</v>
      </c>
    </row>
    <row r="538" spans="1:8" ht="14" x14ac:dyDescent="0.15">
      <c r="A538" s="15" t="s">
        <v>86</v>
      </c>
      <c r="B538" s="16" t="s">
        <v>79</v>
      </c>
      <c r="C538" s="16" t="s">
        <v>80</v>
      </c>
      <c r="D538" s="16" t="s">
        <v>125</v>
      </c>
      <c r="E538" s="16">
        <v>4439901</v>
      </c>
      <c r="F538" s="16" t="s">
        <v>102</v>
      </c>
      <c r="G538" s="17">
        <v>222</v>
      </c>
      <c r="H538" s="49">
        <v>0</v>
      </c>
    </row>
    <row r="539" spans="1:8" ht="14" x14ac:dyDescent="0.15">
      <c r="A539" s="15" t="s">
        <v>87</v>
      </c>
      <c r="B539" s="16" t="s">
        <v>79</v>
      </c>
      <c r="C539" s="16" t="s">
        <v>80</v>
      </c>
      <c r="D539" s="16" t="s">
        <v>125</v>
      </c>
      <c r="E539" s="16">
        <v>4439901</v>
      </c>
      <c r="F539" s="16" t="s">
        <v>102</v>
      </c>
      <c r="G539" s="17">
        <v>223</v>
      </c>
      <c r="H539" s="49">
        <v>0</v>
      </c>
    </row>
    <row r="540" spans="1:8" ht="14" x14ac:dyDescent="0.15">
      <c r="A540" s="15" t="s">
        <v>134</v>
      </c>
      <c r="B540" s="16" t="s">
        <v>79</v>
      </c>
      <c r="C540" s="16" t="s">
        <v>80</v>
      </c>
      <c r="D540" s="16" t="s">
        <v>125</v>
      </c>
      <c r="E540" s="16">
        <v>4439901</v>
      </c>
      <c r="F540" s="16" t="s">
        <v>102</v>
      </c>
      <c r="G540" s="17">
        <v>224</v>
      </c>
      <c r="H540" s="49">
        <v>0</v>
      </c>
    </row>
    <row r="541" spans="1:8" ht="14" x14ac:dyDescent="0.15">
      <c r="A541" s="15" t="s">
        <v>90</v>
      </c>
      <c r="B541" s="16" t="s">
        <v>79</v>
      </c>
      <c r="C541" s="16" t="s">
        <v>80</v>
      </c>
      <c r="D541" s="16" t="s">
        <v>125</v>
      </c>
      <c r="E541" s="16">
        <v>4439901</v>
      </c>
      <c r="F541" s="16" t="s">
        <v>102</v>
      </c>
      <c r="G541" s="17">
        <v>225</v>
      </c>
      <c r="H541" s="49">
        <v>0</v>
      </c>
    </row>
    <row r="542" spans="1:8" ht="14" x14ac:dyDescent="0.15">
      <c r="A542" s="15" t="s">
        <v>91</v>
      </c>
      <c r="B542" s="16" t="s">
        <v>79</v>
      </c>
      <c r="C542" s="16" t="s">
        <v>80</v>
      </c>
      <c r="D542" s="16" t="s">
        <v>125</v>
      </c>
      <c r="E542" s="16">
        <v>4439901</v>
      </c>
      <c r="F542" s="16" t="s">
        <v>102</v>
      </c>
      <c r="G542" s="17">
        <v>226</v>
      </c>
      <c r="H542" s="49">
        <v>20</v>
      </c>
    </row>
    <row r="543" spans="1:8" ht="14" x14ac:dyDescent="0.15">
      <c r="A543" s="11" t="s">
        <v>94</v>
      </c>
      <c r="B543" s="16" t="s">
        <v>79</v>
      </c>
      <c r="C543" s="16" t="s">
        <v>80</v>
      </c>
      <c r="D543" s="16" t="s">
        <v>125</v>
      </c>
      <c r="E543" s="16">
        <v>4439901</v>
      </c>
      <c r="F543" s="16" t="s">
        <v>102</v>
      </c>
      <c r="G543" s="17">
        <v>290</v>
      </c>
      <c r="H543" s="49">
        <v>10.6</v>
      </c>
    </row>
    <row r="544" spans="1:8" ht="14" x14ac:dyDescent="0.15">
      <c r="A544" s="11" t="s">
        <v>94</v>
      </c>
      <c r="B544" s="16" t="s">
        <v>79</v>
      </c>
      <c r="C544" s="16" t="s">
        <v>80</v>
      </c>
      <c r="D544" s="16" t="s">
        <v>125</v>
      </c>
      <c r="E544" s="16" t="s">
        <v>238</v>
      </c>
      <c r="F544" s="16" t="s">
        <v>102</v>
      </c>
      <c r="G544" s="17" t="s">
        <v>95</v>
      </c>
      <c r="H544" s="49">
        <v>12.2</v>
      </c>
    </row>
    <row r="545" spans="1:8" ht="14" x14ac:dyDescent="0.15">
      <c r="A545" s="15" t="s">
        <v>96</v>
      </c>
      <c r="B545" s="16" t="s">
        <v>79</v>
      </c>
      <c r="C545" s="16" t="s">
        <v>80</v>
      </c>
      <c r="D545" s="16" t="s">
        <v>125</v>
      </c>
      <c r="E545" s="16">
        <v>4439901</v>
      </c>
      <c r="F545" s="16" t="s">
        <v>102</v>
      </c>
      <c r="G545" s="17">
        <v>310</v>
      </c>
      <c r="H545" s="49">
        <v>50</v>
      </c>
    </row>
    <row r="546" spans="1:8" ht="14" x14ac:dyDescent="0.15">
      <c r="A546" s="15" t="s">
        <v>97</v>
      </c>
      <c r="B546" s="16" t="s">
        <v>79</v>
      </c>
      <c r="C546" s="16" t="s">
        <v>80</v>
      </c>
      <c r="D546" s="16" t="s">
        <v>125</v>
      </c>
      <c r="E546" s="16">
        <v>4439901</v>
      </c>
      <c r="F546" s="16" t="s">
        <v>102</v>
      </c>
      <c r="G546" s="17">
        <v>340</v>
      </c>
      <c r="H546" s="49">
        <v>60</v>
      </c>
    </row>
    <row r="547" spans="1:8" ht="14" x14ac:dyDescent="0.15">
      <c r="A547" s="48" t="s">
        <v>98</v>
      </c>
      <c r="B547" s="20" t="s">
        <v>79</v>
      </c>
      <c r="C547" s="20" t="s">
        <v>80</v>
      </c>
      <c r="D547" s="20" t="s">
        <v>125</v>
      </c>
      <c r="E547" s="20" t="s">
        <v>239</v>
      </c>
      <c r="F547" s="20" t="s">
        <v>102</v>
      </c>
      <c r="G547" s="67"/>
      <c r="H547" s="50">
        <f>SUM(H534:H546)</f>
        <v>8425.5000000000018</v>
      </c>
    </row>
    <row r="548" spans="1:8" ht="14" x14ac:dyDescent="0.15">
      <c r="A548" s="18" t="s">
        <v>149</v>
      </c>
      <c r="B548" s="16"/>
      <c r="C548" s="16"/>
      <c r="D548" s="16"/>
      <c r="E548" s="16"/>
      <c r="F548" s="16"/>
      <c r="G548" s="21"/>
      <c r="H548" s="50"/>
    </row>
    <row r="549" spans="1:8" ht="14" x14ac:dyDescent="0.15">
      <c r="A549" s="15" t="s">
        <v>78</v>
      </c>
      <c r="B549" s="16" t="s">
        <v>79</v>
      </c>
      <c r="C549" s="16" t="s">
        <v>80</v>
      </c>
      <c r="D549" s="16" t="s">
        <v>125</v>
      </c>
      <c r="E549" s="16">
        <v>4439901</v>
      </c>
      <c r="F549" s="16" t="s">
        <v>102</v>
      </c>
      <c r="G549" s="17">
        <v>211</v>
      </c>
      <c r="H549" s="49">
        <f>6074.7+81.3</f>
        <v>6156</v>
      </c>
    </row>
    <row r="550" spans="1:8" ht="14" x14ac:dyDescent="0.15">
      <c r="A550" s="15" t="s">
        <v>103</v>
      </c>
      <c r="B550" s="16" t="s">
        <v>79</v>
      </c>
      <c r="C550" s="16" t="s">
        <v>80</v>
      </c>
      <c r="D550" s="16" t="s">
        <v>125</v>
      </c>
      <c r="E550" s="16">
        <v>4439901</v>
      </c>
      <c r="F550" s="16" t="s">
        <v>102</v>
      </c>
      <c r="G550" s="17">
        <v>212</v>
      </c>
      <c r="H550" s="49">
        <v>0</v>
      </c>
    </row>
    <row r="551" spans="1:8" ht="14" x14ac:dyDescent="0.15">
      <c r="A551" s="15" t="s">
        <v>84</v>
      </c>
      <c r="B551" s="16" t="s">
        <v>79</v>
      </c>
      <c r="C551" s="16" t="s">
        <v>80</v>
      </c>
      <c r="D551" s="16" t="s">
        <v>125</v>
      </c>
      <c r="E551" s="16">
        <v>4439901</v>
      </c>
      <c r="F551" s="16" t="s">
        <v>102</v>
      </c>
      <c r="G551" s="17">
        <v>213</v>
      </c>
      <c r="H551" s="441">
        <f>2077.6-50-50+23.2</f>
        <v>2000.8</v>
      </c>
    </row>
    <row r="552" spans="1:8" ht="14" x14ac:dyDescent="0.15">
      <c r="A552" s="15" t="s">
        <v>85</v>
      </c>
      <c r="B552" s="16" t="s">
        <v>79</v>
      </c>
      <c r="C552" s="16" t="s">
        <v>80</v>
      </c>
      <c r="D552" s="16" t="s">
        <v>125</v>
      </c>
      <c r="E552" s="16">
        <v>4439901</v>
      </c>
      <c r="F552" s="16" t="s">
        <v>102</v>
      </c>
      <c r="G552" s="17">
        <v>221</v>
      </c>
      <c r="H552" s="49">
        <v>0</v>
      </c>
    </row>
    <row r="553" spans="1:8" ht="14" x14ac:dyDescent="0.15">
      <c r="A553" s="15" t="s">
        <v>86</v>
      </c>
      <c r="B553" s="16" t="s">
        <v>79</v>
      </c>
      <c r="C553" s="16" t="s">
        <v>80</v>
      </c>
      <c r="D553" s="16" t="s">
        <v>125</v>
      </c>
      <c r="E553" s="16">
        <v>4439901</v>
      </c>
      <c r="F553" s="16" t="s">
        <v>102</v>
      </c>
      <c r="G553" s="17">
        <v>222</v>
      </c>
      <c r="H553" s="49">
        <v>0</v>
      </c>
    </row>
    <row r="554" spans="1:8" ht="14" x14ac:dyDescent="0.15">
      <c r="A554" s="15" t="s">
        <v>87</v>
      </c>
      <c r="B554" s="16" t="s">
        <v>79</v>
      </c>
      <c r="C554" s="16" t="s">
        <v>80</v>
      </c>
      <c r="D554" s="16" t="s">
        <v>125</v>
      </c>
      <c r="E554" s="16">
        <v>4439901</v>
      </c>
      <c r="F554" s="16" t="s">
        <v>102</v>
      </c>
      <c r="G554" s="17">
        <v>223</v>
      </c>
      <c r="H554" s="49">
        <f>170.3-80-45</f>
        <v>45.300000000000011</v>
      </c>
    </row>
    <row r="555" spans="1:8" ht="14" x14ac:dyDescent="0.15">
      <c r="A555" s="15" t="s">
        <v>134</v>
      </c>
      <c r="B555" s="16" t="s">
        <v>79</v>
      </c>
      <c r="C555" s="16" t="s">
        <v>80</v>
      </c>
      <c r="D555" s="16" t="s">
        <v>125</v>
      </c>
      <c r="E555" s="16">
        <v>4439901</v>
      </c>
      <c r="F555" s="16" t="s">
        <v>102</v>
      </c>
      <c r="G555" s="17">
        <v>224</v>
      </c>
      <c r="H555" s="49">
        <v>0</v>
      </c>
    </row>
    <row r="556" spans="1:8" ht="14" x14ac:dyDescent="0.15">
      <c r="A556" s="15" t="s">
        <v>90</v>
      </c>
      <c r="B556" s="16" t="s">
        <v>79</v>
      </c>
      <c r="C556" s="16" t="s">
        <v>80</v>
      </c>
      <c r="D556" s="16" t="s">
        <v>125</v>
      </c>
      <c r="E556" s="16">
        <v>4439901</v>
      </c>
      <c r="F556" s="16" t="s">
        <v>102</v>
      </c>
      <c r="G556" s="17">
        <v>225</v>
      </c>
      <c r="H556" s="49">
        <v>0</v>
      </c>
    </row>
    <row r="557" spans="1:8" ht="14" x14ac:dyDescent="0.15">
      <c r="A557" s="15" t="s">
        <v>91</v>
      </c>
      <c r="B557" s="16" t="s">
        <v>79</v>
      </c>
      <c r="C557" s="16" t="s">
        <v>80</v>
      </c>
      <c r="D557" s="16" t="s">
        <v>125</v>
      </c>
      <c r="E557" s="16">
        <v>4439901</v>
      </c>
      <c r="F557" s="16" t="s">
        <v>102</v>
      </c>
      <c r="G557" s="17">
        <v>226</v>
      </c>
      <c r="H557" s="49">
        <v>20</v>
      </c>
    </row>
    <row r="558" spans="1:8" ht="14" x14ac:dyDescent="0.15">
      <c r="A558" s="11" t="s">
        <v>94</v>
      </c>
      <c r="B558" s="16" t="s">
        <v>79</v>
      </c>
      <c r="C558" s="16" t="s">
        <v>80</v>
      </c>
      <c r="D558" s="16" t="s">
        <v>125</v>
      </c>
      <c r="E558" s="16">
        <v>4439901</v>
      </c>
      <c r="F558" s="16" t="s">
        <v>102</v>
      </c>
      <c r="G558" s="17">
        <v>290</v>
      </c>
      <c r="H558" s="49">
        <f>11-10</f>
        <v>1</v>
      </c>
    </row>
    <row r="559" spans="1:8" ht="14" x14ac:dyDescent="0.15">
      <c r="A559" s="11" t="s">
        <v>94</v>
      </c>
      <c r="B559" s="16" t="s">
        <v>79</v>
      </c>
      <c r="C559" s="16" t="s">
        <v>80</v>
      </c>
      <c r="D559" s="16" t="s">
        <v>125</v>
      </c>
      <c r="E559" s="16" t="s">
        <v>238</v>
      </c>
      <c r="F559" s="16" t="s">
        <v>102</v>
      </c>
      <c r="G559" s="17" t="s">
        <v>95</v>
      </c>
      <c r="H559" s="49">
        <f>13+86.7-99.7</f>
        <v>0</v>
      </c>
    </row>
    <row r="560" spans="1:8" ht="14" x14ac:dyDescent="0.15">
      <c r="A560" s="15" t="s">
        <v>96</v>
      </c>
      <c r="B560" s="16" t="s">
        <v>79</v>
      </c>
      <c r="C560" s="16" t="s">
        <v>80</v>
      </c>
      <c r="D560" s="16" t="s">
        <v>125</v>
      </c>
      <c r="E560" s="16">
        <v>4439901</v>
      </c>
      <c r="F560" s="16" t="s">
        <v>102</v>
      </c>
      <c r="G560" s="17">
        <v>310</v>
      </c>
      <c r="H560" s="49">
        <v>60</v>
      </c>
    </row>
    <row r="561" spans="1:8" ht="14" x14ac:dyDescent="0.15">
      <c r="A561" s="15" t="s">
        <v>97</v>
      </c>
      <c r="B561" s="16" t="s">
        <v>79</v>
      </c>
      <c r="C561" s="16" t="s">
        <v>80</v>
      </c>
      <c r="D561" s="16" t="s">
        <v>125</v>
      </c>
      <c r="E561" s="16">
        <v>4439901</v>
      </c>
      <c r="F561" s="16" t="s">
        <v>102</v>
      </c>
      <c r="G561" s="17">
        <v>340</v>
      </c>
      <c r="H561" s="49">
        <v>100</v>
      </c>
    </row>
    <row r="562" spans="1:8" ht="14" x14ac:dyDescent="0.15">
      <c r="A562" s="48" t="s">
        <v>98</v>
      </c>
      <c r="B562" s="20" t="s">
        <v>79</v>
      </c>
      <c r="C562" s="20" t="s">
        <v>80</v>
      </c>
      <c r="D562" s="20" t="s">
        <v>125</v>
      </c>
      <c r="E562" s="20" t="s">
        <v>239</v>
      </c>
      <c r="F562" s="20" t="s">
        <v>102</v>
      </c>
      <c r="G562" s="67"/>
      <c r="H562" s="50">
        <f>SUM(H549:H561)</f>
        <v>8383.1</v>
      </c>
    </row>
    <row r="563" spans="1:8" ht="14" x14ac:dyDescent="0.15">
      <c r="A563" s="18" t="s">
        <v>150</v>
      </c>
      <c r="B563" s="16"/>
      <c r="C563" s="16"/>
      <c r="D563" s="16"/>
      <c r="E563" s="16"/>
      <c r="F563" s="16"/>
      <c r="G563" s="21"/>
      <c r="H563" s="50"/>
    </row>
    <row r="564" spans="1:8" ht="14" x14ac:dyDescent="0.15">
      <c r="A564" s="15" t="s">
        <v>78</v>
      </c>
      <c r="B564" s="16" t="s">
        <v>79</v>
      </c>
      <c r="C564" s="16" t="s">
        <v>80</v>
      </c>
      <c r="D564" s="16" t="s">
        <v>125</v>
      </c>
      <c r="E564" s="16">
        <v>4439901</v>
      </c>
      <c r="F564" s="16" t="s">
        <v>102</v>
      </c>
      <c r="G564" s="17">
        <v>211</v>
      </c>
      <c r="H564" s="441">
        <f>20686.8+200+297.5+276.8</f>
        <v>21461.1</v>
      </c>
    </row>
    <row r="565" spans="1:8" ht="14" x14ac:dyDescent="0.15">
      <c r="A565" s="15" t="s">
        <v>103</v>
      </c>
      <c r="B565" s="16" t="s">
        <v>79</v>
      </c>
      <c r="C565" s="16" t="s">
        <v>80</v>
      </c>
      <c r="D565" s="16" t="s">
        <v>125</v>
      </c>
      <c r="E565" s="16">
        <v>4439901</v>
      </c>
      <c r="F565" s="16" t="s">
        <v>102</v>
      </c>
      <c r="G565" s="17">
        <v>212</v>
      </c>
      <c r="H565" s="49">
        <v>0</v>
      </c>
    </row>
    <row r="566" spans="1:8" ht="14" x14ac:dyDescent="0.15">
      <c r="A566" s="15" t="s">
        <v>84</v>
      </c>
      <c r="B566" s="16" t="s">
        <v>79</v>
      </c>
      <c r="C566" s="16" t="s">
        <v>80</v>
      </c>
      <c r="D566" s="16" t="s">
        <v>125</v>
      </c>
      <c r="E566" s="16">
        <v>4439901</v>
      </c>
      <c r="F566" s="16" t="s">
        <v>102</v>
      </c>
      <c r="G566" s="17">
        <v>213</v>
      </c>
      <c r="H566" s="441">
        <f>7074.9+101+78.9</f>
        <v>7254.7999999999993</v>
      </c>
    </row>
    <row r="567" spans="1:8" ht="14" x14ac:dyDescent="0.15">
      <c r="A567" s="15" t="s">
        <v>85</v>
      </c>
      <c r="B567" s="16" t="s">
        <v>79</v>
      </c>
      <c r="C567" s="16" t="s">
        <v>80</v>
      </c>
      <c r="D567" s="16" t="s">
        <v>125</v>
      </c>
      <c r="E567" s="16">
        <v>4439901</v>
      </c>
      <c r="F567" s="16" t="s">
        <v>102</v>
      </c>
      <c r="G567" s="17">
        <v>221</v>
      </c>
      <c r="H567" s="49">
        <v>0</v>
      </c>
    </row>
    <row r="568" spans="1:8" ht="14" x14ac:dyDescent="0.15">
      <c r="A568" s="15" t="s">
        <v>86</v>
      </c>
      <c r="B568" s="16" t="s">
        <v>79</v>
      </c>
      <c r="C568" s="16" t="s">
        <v>80</v>
      </c>
      <c r="D568" s="16" t="s">
        <v>125</v>
      </c>
      <c r="E568" s="16">
        <v>4439901</v>
      </c>
      <c r="F568" s="16" t="s">
        <v>102</v>
      </c>
      <c r="G568" s="17">
        <v>222</v>
      </c>
      <c r="H568" s="49">
        <f>110</f>
        <v>110</v>
      </c>
    </row>
    <row r="569" spans="1:8" ht="14" x14ac:dyDescent="0.15">
      <c r="A569" s="15" t="s">
        <v>87</v>
      </c>
      <c r="B569" s="16" t="s">
        <v>79</v>
      </c>
      <c r="C569" s="16" t="s">
        <v>80</v>
      </c>
      <c r="D569" s="16" t="s">
        <v>125</v>
      </c>
      <c r="E569" s="16">
        <v>4439901</v>
      </c>
      <c r="F569" s="16" t="s">
        <v>102</v>
      </c>
      <c r="G569" s="17">
        <v>223</v>
      </c>
      <c r="H569" s="49">
        <f>357.7-80-45</f>
        <v>232.7</v>
      </c>
    </row>
    <row r="570" spans="1:8" ht="14" x14ac:dyDescent="0.15">
      <c r="A570" s="15" t="s">
        <v>134</v>
      </c>
      <c r="B570" s="16" t="s">
        <v>79</v>
      </c>
      <c r="C570" s="16" t="s">
        <v>80</v>
      </c>
      <c r="D570" s="16" t="s">
        <v>125</v>
      </c>
      <c r="E570" s="16">
        <v>4439901</v>
      </c>
      <c r="F570" s="16" t="s">
        <v>102</v>
      </c>
      <c r="G570" s="17">
        <v>224</v>
      </c>
      <c r="H570" s="49">
        <f>71+30</f>
        <v>101</v>
      </c>
    </row>
    <row r="571" spans="1:8" ht="14" x14ac:dyDescent="0.15">
      <c r="A571" s="15" t="s">
        <v>90</v>
      </c>
      <c r="B571" s="16" t="s">
        <v>79</v>
      </c>
      <c r="C571" s="16" t="s">
        <v>80</v>
      </c>
      <c r="D571" s="16" t="s">
        <v>125</v>
      </c>
      <c r="E571" s="16">
        <v>4439901</v>
      </c>
      <c r="F571" s="16" t="s">
        <v>102</v>
      </c>
      <c r="G571" s="17">
        <v>225</v>
      </c>
      <c r="H571" s="49">
        <v>0</v>
      </c>
    </row>
    <row r="572" spans="1:8" ht="14" x14ac:dyDescent="0.15">
      <c r="A572" s="15" t="s">
        <v>91</v>
      </c>
      <c r="B572" s="16" t="s">
        <v>79</v>
      </c>
      <c r="C572" s="16" t="s">
        <v>80</v>
      </c>
      <c r="D572" s="16" t="s">
        <v>125</v>
      </c>
      <c r="E572" s="16">
        <v>4439901</v>
      </c>
      <c r="F572" s="16" t="s">
        <v>102</v>
      </c>
      <c r="G572" s="17">
        <v>226</v>
      </c>
      <c r="H572" s="441">
        <f>200+140+680.57+89+200+97.607+150+82.368</f>
        <v>1639.5450000000001</v>
      </c>
    </row>
    <row r="573" spans="1:8" ht="14" x14ac:dyDescent="0.15">
      <c r="A573" s="11" t="s">
        <v>94</v>
      </c>
      <c r="B573" s="16" t="s">
        <v>79</v>
      </c>
      <c r="C573" s="16" t="s">
        <v>80</v>
      </c>
      <c r="D573" s="16" t="s">
        <v>125</v>
      </c>
      <c r="E573" s="16">
        <v>4439901</v>
      </c>
      <c r="F573" s="16" t="s">
        <v>102</v>
      </c>
      <c r="G573" s="17">
        <v>290</v>
      </c>
      <c r="H573" s="49">
        <f>34.2+60.635+194</f>
        <v>288.83500000000004</v>
      </c>
    </row>
    <row r="574" spans="1:8" ht="14" x14ac:dyDescent="0.15">
      <c r="A574" s="11" t="s">
        <v>94</v>
      </c>
      <c r="B574" s="16" t="s">
        <v>79</v>
      </c>
      <c r="C574" s="16" t="s">
        <v>80</v>
      </c>
      <c r="D574" s="16" t="s">
        <v>125</v>
      </c>
      <c r="E574" s="16" t="s">
        <v>238</v>
      </c>
      <c r="F574" s="16" t="s">
        <v>102</v>
      </c>
      <c r="G574" s="17" t="s">
        <v>95</v>
      </c>
      <c r="H574" s="49">
        <f>483+323.8-60.635-70</f>
        <v>676.16499999999996</v>
      </c>
    </row>
    <row r="575" spans="1:8" ht="14" x14ac:dyDescent="0.15">
      <c r="A575" s="15" t="s">
        <v>96</v>
      </c>
      <c r="B575" s="16" t="s">
        <v>79</v>
      </c>
      <c r="C575" s="16" t="s">
        <v>80</v>
      </c>
      <c r="D575" s="16" t="s">
        <v>125</v>
      </c>
      <c r="E575" s="16">
        <v>4439901</v>
      </c>
      <c r="F575" s="16" t="s">
        <v>102</v>
      </c>
      <c r="G575" s="17">
        <v>310</v>
      </c>
      <c r="H575" s="49">
        <v>100</v>
      </c>
    </row>
    <row r="576" spans="1:8" ht="14" x14ac:dyDescent="0.15">
      <c r="A576" s="15" t="s">
        <v>97</v>
      </c>
      <c r="B576" s="16" t="s">
        <v>79</v>
      </c>
      <c r="C576" s="16" t="s">
        <v>80</v>
      </c>
      <c r="D576" s="16" t="s">
        <v>125</v>
      </c>
      <c r="E576" s="16">
        <v>4439901</v>
      </c>
      <c r="F576" s="16" t="s">
        <v>102</v>
      </c>
      <c r="G576" s="17">
        <v>340</v>
      </c>
      <c r="H576" s="49">
        <f>100+47</f>
        <v>147</v>
      </c>
    </row>
    <row r="577" spans="1:8" ht="14" x14ac:dyDescent="0.15">
      <c r="A577" s="48" t="s">
        <v>98</v>
      </c>
      <c r="B577" s="20" t="s">
        <v>79</v>
      </c>
      <c r="C577" s="20" t="s">
        <v>80</v>
      </c>
      <c r="D577" s="20" t="s">
        <v>125</v>
      </c>
      <c r="E577" s="20" t="s">
        <v>239</v>
      </c>
      <c r="F577" s="20" t="s">
        <v>102</v>
      </c>
      <c r="G577" s="67"/>
      <c r="H577" s="50">
        <f>SUM(H564:H576)</f>
        <v>32011.144999999997</v>
      </c>
    </row>
    <row r="578" spans="1:8" ht="14" x14ac:dyDescent="0.15">
      <c r="A578" s="18" t="s">
        <v>151</v>
      </c>
      <c r="B578" s="16"/>
      <c r="C578" s="16"/>
      <c r="D578" s="16"/>
      <c r="E578" s="16"/>
      <c r="F578" s="16"/>
      <c r="G578" s="21"/>
      <c r="H578" s="50"/>
    </row>
    <row r="579" spans="1:8" ht="14" x14ac:dyDescent="0.15">
      <c r="A579" s="15" t="s">
        <v>78</v>
      </c>
      <c r="B579" s="16" t="s">
        <v>79</v>
      </c>
      <c r="C579" s="16" t="s">
        <v>80</v>
      </c>
      <c r="D579" s="16" t="s">
        <v>125</v>
      </c>
      <c r="E579" s="16">
        <v>4439901</v>
      </c>
      <c r="F579" s="16" t="s">
        <v>102</v>
      </c>
      <c r="G579" s="17">
        <v>211</v>
      </c>
      <c r="H579" s="49">
        <f>2386+31.9</f>
        <v>2417.9</v>
      </c>
    </row>
    <row r="580" spans="1:8" ht="14" x14ac:dyDescent="0.15">
      <c r="A580" s="15" t="s">
        <v>103</v>
      </c>
      <c r="B580" s="16" t="s">
        <v>79</v>
      </c>
      <c r="C580" s="16" t="s">
        <v>80</v>
      </c>
      <c r="D580" s="16" t="s">
        <v>125</v>
      </c>
      <c r="E580" s="16">
        <v>4439901</v>
      </c>
      <c r="F580" s="16" t="s">
        <v>102</v>
      </c>
      <c r="G580" s="17">
        <v>212</v>
      </c>
      <c r="H580" s="49">
        <v>0</v>
      </c>
    </row>
    <row r="581" spans="1:8" ht="14" x14ac:dyDescent="0.15">
      <c r="A581" s="15" t="s">
        <v>84</v>
      </c>
      <c r="B581" s="16" t="s">
        <v>79</v>
      </c>
      <c r="C581" s="16" t="s">
        <v>80</v>
      </c>
      <c r="D581" s="16" t="s">
        <v>125</v>
      </c>
      <c r="E581" s="16">
        <v>4439901</v>
      </c>
      <c r="F581" s="16" t="s">
        <v>102</v>
      </c>
      <c r="G581" s="17">
        <v>213</v>
      </c>
      <c r="H581" s="49">
        <f>816+9.1</f>
        <v>825.1</v>
      </c>
    </row>
    <row r="582" spans="1:8" ht="14" x14ac:dyDescent="0.15">
      <c r="A582" s="15" t="s">
        <v>85</v>
      </c>
      <c r="B582" s="16" t="s">
        <v>79</v>
      </c>
      <c r="C582" s="16" t="s">
        <v>80</v>
      </c>
      <c r="D582" s="16" t="s">
        <v>125</v>
      </c>
      <c r="E582" s="16">
        <v>4439901</v>
      </c>
      <c r="F582" s="16" t="s">
        <v>102</v>
      </c>
      <c r="G582" s="17">
        <v>221</v>
      </c>
      <c r="H582" s="49">
        <v>0</v>
      </c>
    </row>
    <row r="583" spans="1:8" ht="14" x14ac:dyDescent="0.15">
      <c r="A583" s="15" t="s">
        <v>86</v>
      </c>
      <c r="B583" s="16" t="s">
        <v>79</v>
      </c>
      <c r="C583" s="16" t="s">
        <v>80</v>
      </c>
      <c r="D583" s="16" t="s">
        <v>125</v>
      </c>
      <c r="E583" s="16">
        <v>4439901</v>
      </c>
      <c r="F583" s="16" t="s">
        <v>102</v>
      </c>
      <c r="G583" s="17">
        <v>222</v>
      </c>
      <c r="H583" s="49">
        <v>0</v>
      </c>
    </row>
    <row r="584" spans="1:8" ht="14" x14ac:dyDescent="0.15">
      <c r="A584" s="15" t="s">
        <v>87</v>
      </c>
      <c r="B584" s="16" t="s">
        <v>79</v>
      </c>
      <c r="C584" s="16" t="s">
        <v>80</v>
      </c>
      <c r="D584" s="16" t="s">
        <v>125</v>
      </c>
      <c r="E584" s="16">
        <v>4439901</v>
      </c>
      <c r="F584" s="16" t="s">
        <v>102</v>
      </c>
      <c r="G584" s="17">
        <v>223</v>
      </c>
      <c r="H584" s="49">
        <v>0</v>
      </c>
    </row>
    <row r="585" spans="1:8" ht="14" x14ac:dyDescent="0.15">
      <c r="A585" s="15" t="s">
        <v>134</v>
      </c>
      <c r="B585" s="16" t="s">
        <v>79</v>
      </c>
      <c r="C585" s="16" t="s">
        <v>80</v>
      </c>
      <c r="D585" s="16" t="s">
        <v>125</v>
      </c>
      <c r="E585" s="16">
        <v>4439901</v>
      </c>
      <c r="F585" s="16" t="s">
        <v>102</v>
      </c>
      <c r="G585" s="17">
        <v>224</v>
      </c>
      <c r="H585" s="49">
        <v>0</v>
      </c>
    </row>
    <row r="586" spans="1:8" ht="14" x14ac:dyDescent="0.15">
      <c r="A586" s="15" t="s">
        <v>90</v>
      </c>
      <c r="B586" s="16" t="s">
        <v>79</v>
      </c>
      <c r="C586" s="16" t="s">
        <v>80</v>
      </c>
      <c r="D586" s="16" t="s">
        <v>125</v>
      </c>
      <c r="E586" s="16">
        <v>4439901</v>
      </c>
      <c r="F586" s="16" t="s">
        <v>102</v>
      </c>
      <c r="G586" s="17">
        <v>225</v>
      </c>
      <c r="H586" s="49">
        <v>0</v>
      </c>
    </row>
    <row r="587" spans="1:8" ht="14" x14ac:dyDescent="0.15">
      <c r="A587" s="15" t="s">
        <v>91</v>
      </c>
      <c r="B587" s="16" t="s">
        <v>79</v>
      </c>
      <c r="C587" s="16" t="s">
        <v>80</v>
      </c>
      <c r="D587" s="16" t="s">
        <v>125</v>
      </c>
      <c r="E587" s="16">
        <v>4439901</v>
      </c>
      <c r="F587" s="16" t="s">
        <v>102</v>
      </c>
      <c r="G587" s="17">
        <v>226</v>
      </c>
      <c r="H587" s="49">
        <v>10</v>
      </c>
    </row>
    <row r="588" spans="1:8" ht="14" x14ac:dyDescent="0.15">
      <c r="A588" s="11" t="s">
        <v>94</v>
      </c>
      <c r="B588" s="16" t="s">
        <v>79</v>
      </c>
      <c r="C588" s="16" t="s">
        <v>80</v>
      </c>
      <c r="D588" s="16" t="s">
        <v>125</v>
      </c>
      <c r="E588" s="16">
        <v>4439901</v>
      </c>
      <c r="F588" s="16" t="s">
        <v>102</v>
      </c>
      <c r="G588" s="17">
        <v>290</v>
      </c>
      <c r="H588" s="49">
        <v>5.7</v>
      </c>
    </row>
    <row r="589" spans="1:8" ht="14" x14ac:dyDescent="0.15">
      <c r="A589" s="11" t="s">
        <v>94</v>
      </c>
      <c r="B589" s="16" t="s">
        <v>79</v>
      </c>
      <c r="C589" s="16" t="s">
        <v>80</v>
      </c>
      <c r="D589" s="16" t="s">
        <v>125</v>
      </c>
      <c r="E589" s="16" t="s">
        <v>238</v>
      </c>
      <c r="F589" s="16" t="s">
        <v>102</v>
      </c>
      <c r="G589" s="17" t="s">
        <v>95</v>
      </c>
      <c r="H589" s="49">
        <v>14.2</v>
      </c>
    </row>
    <row r="590" spans="1:8" ht="14" x14ac:dyDescent="0.15">
      <c r="A590" s="15" t="s">
        <v>96</v>
      </c>
      <c r="B590" s="16" t="s">
        <v>79</v>
      </c>
      <c r="C590" s="16" t="s">
        <v>80</v>
      </c>
      <c r="D590" s="16" t="s">
        <v>125</v>
      </c>
      <c r="E590" s="16">
        <v>4439901</v>
      </c>
      <c r="F590" s="16" t="s">
        <v>102</v>
      </c>
      <c r="G590" s="17">
        <v>310</v>
      </c>
      <c r="H590" s="49">
        <v>26</v>
      </c>
    </row>
    <row r="591" spans="1:8" ht="14" x14ac:dyDescent="0.15">
      <c r="A591" s="15" t="s">
        <v>97</v>
      </c>
      <c r="B591" s="16" t="s">
        <v>79</v>
      </c>
      <c r="C591" s="16" t="s">
        <v>80</v>
      </c>
      <c r="D591" s="16" t="s">
        <v>125</v>
      </c>
      <c r="E591" s="16">
        <v>4439901</v>
      </c>
      <c r="F591" s="16" t="s">
        <v>102</v>
      </c>
      <c r="G591" s="17">
        <v>340</v>
      </c>
      <c r="H591" s="49">
        <v>74</v>
      </c>
    </row>
    <row r="592" spans="1:8" ht="14" x14ac:dyDescent="0.15">
      <c r="A592" s="48" t="s">
        <v>98</v>
      </c>
      <c r="B592" s="20" t="s">
        <v>79</v>
      </c>
      <c r="C592" s="20" t="s">
        <v>80</v>
      </c>
      <c r="D592" s="20" t="s">
        <v>125</v>
      </c>
      <c r="E592" s="20" t="s">
        <v>239</v>
      </c>
      <c r="F592" s="20" t="s">
        <v>102</v>
      </c>
      <c r="G592" s="67"/>
      <c r="H592" s="50">
        <f>SUM(H579:H591)</f>
        <v>3372.8999999999996</v>
      </c>
    </row>
    <row r="593" spans="1:8" ht="14" x14ac:dyDescent="0.15">
      <c r="A593" s="18" t="s">
        <v>152</v>
      </c>
      <c r="B593" s="16"/>
      <c r="C593" s="16"/>
      <c r="D593" s="16"/>
      <c r="E593" s="16"/>
      <c r="F593" s="16"/>
      <c r="G593" s="21"/>
      <c r="H593" s="50"/>
    </row>
    <row r="594" spans="1:8" ht="14" x14ac:dyDescent="0.15">
      <c r="A594" s="15" t="s">
        <v>78</v>
      </c>
      <c r="B594" s="16" t="s">
        <v>79</v>
      </c>
      <c r="C594" s="16" t="s">
        <v>80</v>
      </c>
      <c r="D594" s="16" t="s">
        <v>125</v>
      </c>
      <c r="E594" s="16">
        <v>4439901</v>
      </c>
      <c r="F594" s="16" t="s">
        <v>102</v>
      </c>
      <c r="G594" s="17">
        <v>211</v>
      </c>
      <c r="H594" s="49">
        <f>11992.2+160.5</f>
        <v>12152.7</v>
      </c>
    </row>
    <row r="595" spans="1:8" ht="14" x14ac:dyDescent="0.15">
      <c r="A595" s="15" t="s">
        <v>103</v>
      </c>
      <c r="B595" s="16" t="s">
        <v>79</v>
      </c>
      <c r="C595" s="16" t="s">
        <v>80</v>
      </c>
      <c r="D595" s="16" t="s">
        <v>125</v>
      </c>
      <c r="E595" s="16">
        <v>4439901</v>
      </c>
      <c r="F595" s="16" t="s">
        <v>102</v>
      </c>
      <c r="G595" s="17">
        <v>212</v>
      </c>
      <c r="H595" s="49">
        <f>6.4</f>
        <v>6.4</v>
      </c>
    </row>
    <row r="596" spans="1:8" ht="14" x14ac:dyDescent="0.15">
      <c r="A596" s="15" t="s">
        <v>84</v>
      </c>
      <c r="B596" s="16" t="s">
        <v>79</v>
      </c>
      <c r="C596" s="16" t="s">
        <v>80</v>
      </c>
      <c r="D596" s="16" t="s">
        <v>125</v>
      </c>
      <c r="E596" s="16">
        <v>4439901</v>
      </c>
      <c r="F596" s="16" t="s">
        <v>102</v>
      </c>
      <c r="G596" s="17">
        <v>213</v>
      </c>
      <c r="H596" s="441">
        <f>4101.3-70+45.7</f>
        <v>4077</v>
      </c>
    </row>
    <row r="597" spans="1:8" ht="14" x14ac:dyDescent="0.15">
      <c r="A597" s="15" t="s">
        <v>85</v>
      </c>
      <c r="B597" s="16" t="s">
        <v>79</v>
      </c>
      <c r="C597" s="16" t="s">
        <v>80</v>
      </c>
      <c r="D597" s="16" t="s">
        <v>125</v>
      </c>
      <c r="E597" s="16">
        <v>4439901</v>
      </c>
      <c r="F597" s="16" t="s">
        <v>102</v>
      </c>
      <c r="G597" s="17">
        <v>221</v>
      </c>
      <c r="H597" s="49">
        <v>0</v>
      </c>
    </row>
    <row r="598" spans="1:8" ht="14" x14ac:dyDescent="0.15">
      <c r="A598" s="15" t="s">
        <v>86</v>
      </c>
      <c r="B598" s="16" t="s">
        <v>79</v>
      </c>
      <c r="C598" s="16" t="s">
        <v>80</v>
      </c>
      <c r="D598" s="16" t="s">
        <v>125</v>
      </c>
      <c r="E598" s="16">
        <v>4439901</v>
      </c>
      <c r="F598" s="16" t="s">
        <v>102</v>
      </c>
      <c r="G598" s="17">
        <v>222</v>
      </c>
      <c r="H598" s="441">
        <f>56.4+40</f>
        <v>96.4</v>
      </c>
    </row>
    <row r="599" spans="1:8" ht="14" x14ac:dyDescent="0.15">
      <c r="A599" s="15" t="s">
        <v>87</v>
      </c>
      <c r="B599" s="16" t="s">
        <v>79</v>
      </c>
      <c r="C599" s="16" t="s">
        <v>80</v>
      </c>
      <c r="D599" s="16" t="s">
        <v>125</v>
      </c>
      <c r="E599" s="16">
        <v>4439901</v>
      </c>
      <c r="F599" s="16" t="s">
        <v>102</v>
      </c>
      <c r="G599" s="17">
        <v>223</v>
      </c>
      <c r="H599" s="49">
        <v>0</v>
      </c>
    </row>
    <row r="600" spans="1:8" ht="14" x14ac:dyDescent="0.15">
      <c r="A600" s="15" t="s">
        <v>134</v>
      </c>
      <c r="B600" s="16" t="s">
        <v>79</v>
      </c>
      <c r="C600" s="16" t="s">
        <v>80</v>
      </c>
      <c r="D600" s="16" t="s">
        <v>125</v>
      </c>
      <c r="E600" s="16">
        <v>4439901</v>
      </c>
      <c r="F600" s="16" t="s">
        <v>102</v>
      </c>
      <c r="G600" s="17">
        <v>224</v>
      </c>
      <c r="H600" s="49">
        <v>0</v>
      </c>
    </row>
    <row r="601" spans="1:8" ht="14" x14ac:dyDescent="0.15">
      <c r="A601" s="15" t="s">
        <v>90</v>
      </c>
      <c r="B601" s="16" t="s">
        <v>79</v>
      </c>
      <c r="C601" s="16" t="s">
        <v>80</v>
      </c>
      <c r="D601" s="16" t="s">
        <v>125</v>
      </c>
      <c r="E601" s="16">
        <v>4439901</v>
      </c>
      <c r="F601" s="16" t="s">
        <v>102</v>
      </c>
      <c r="G601" s="17">
        <v>225</v>
      </c>
      <c r="H601" s="49">
        <v>0</v>
      </c>
    </row>
    <row r="602" spans="1:8" ht="14" x14ac:dyDescent="0.15">
      <c r="A602" s="15" t="s">
        <v>91</v>
      </c>
      <c r="B602" s="16" t="s">
        <v>79</v>
      </c>
      <c r="C602" s="16" t="s">
        <v>80</v>
      </c>
      <c r="D602" s="16" t="s">
        <v>125</v>
      </c>
      <c r="E602" s="16">
        <v>4439901</v>
      </c>
      <c r="F602" s="16" t="s">
        <v>102</v>
      </c>
      <c r="G602" s="17">
        <v>226</v>
      </c>
      <c r="H602" s="441">
        <f>37.2+97.5</f>
        <v>134.69999999999999</v>
      </c>
    </row>
    <row r="603" spans="1:8" ht="14" x14ac:dyDescent="0.15">
      <c r="A603" s="11" t="s">
        <v>94</v>
      </c>
      <c r="B603" s="16" t="s">
        <v>79</v>
      </c>
      <c r="C603" s="16" t="s">
        <v>80</v>
      </c>
      <c r="D603" s="16" t="s">
        <v>125</v>
      </c>
      <c r="E603" s="16">
        <v>4439901</v>
      </c>
      <c r="F603" s="16" t="s">
        <v>102</v>
      </c>
      <c r="G603" s="17">
        <v>290</v>
      </c>
      <c r="H603" s="49">
        <v>18.8</v>
      </c>
    </row>
    <row r="604" spans="1:8" ht="14" x14ac:dyDescent="0.15">
      <c r="A604" s="11" t="s">
        <v>94</v>
      </c>
      <c r="B604" s="16" t="s">
        <v>79</v>
      </c>
      <c r="C604" s="16" t="s">
        <v>80</v>
      </c>
      <c r="D604" s="16" t="s">
        <v>125</v>
      </c>
      <c r="E604" s="16" t="s">
        <v>238</v>
      </c>
      <c r="F604" s="16" t="s">
        <v>102</v>
      </c>
      <c r="G604" s="17" t="s">
        <v>95</v>
      </c>
      <c r="H604" s="49">
        <f>12.3-12.3</f>
        <v>0</v>
      </c>
    </row>
    <row r="605" spans="1:8" ht="14" x14ac:dyDescent="0.15">
      <c r="A605" s="15" t="s">
        <v>96</v>
      </c>
      <c r="B605" s="16" t="s">
        <v>79</v>
      </c>
      <c r="C605" s="16" t="s">
        <v>80</v>
      </c>
      <c r="D605" s="16" t="s">
        <v>125</v>
      </c>
      <c r="E605" s="16">
        <v>4439901</v>
      </c>
      <c r="F605" s="16" t="s">
        <v>102</v>
      </c>
      <c r="G605" s="17">
        <v>310</v>
      </c>
      <c r="H605" s="49">
        <f>488.7+69.96</f>
        <v>558.66</v>
      </c>
    </row>
    <row r="606" spans="1:8" ht="14" x14ac:dyDescent="0.15">
      <c r="A606" s="15" t="s">
        <v>97</v>
      </c>
      <c r="B606" s="16" t="s">
        <v>79</v>
      </c>
      <c r="C606" s="16" t="s">
        <v>80</v>
      </c>
      <c r="D606" s="16" t="s">
        <v>125</v>
      </c>
      <c r="E606" s="16">
        <v>4439901</v>
      </c>
      <c r="F606" s="16" t="s">
        <v>102</v>
      </c>
      <c r="G606" s="17">
        <v>340</v>
      </c>
      <c r="H606" s="49">
        <v>150</v>
      </c>
    </row>
    <row r="607" spans="1:8" ht="14" x14ac:dyDescent="0.15">
      <c r="A607" s="48" t="s">
        <v>98</v>
      </c>
      <c r="B607" s="20" t="s">
        <v>79</v>
      </c>
      <c r="C607" s="20" t="s">
        <v>80</v>
      </c>
      <c r="D607" s="20" t="s">
        <v>125</v>
      </c>
      <c r="E607" s="20" t="s">
        <v>239</v>
      </c>
      <c r="F607" s="20" t="s">
        <v>102</v>
      </c>
      <c r="G607" s="67"/>
      <c r="H607" s="50">
        <f>SUM(H594:H606)</f>
        <v>17194.66</v>
      </c>
    </row>
    <row r="608" spans="1:8" ht="14" x14ac:dyDescent="0.15">
      <c r="A608" s="18" t="s">
        <v>153</v>
      </c>
      <c r="B608" s="16"/>
      <c r="C608" s="16"/>
      <c r="D608" s="16"/>
      <c r="E608" s="16"/>
      <c r="F608" s="16"/>
      <c r="G608" s="21"/>
      <c r="H608" s="50"/>
    </row>
    <row r="609" spans="1:8" ht="14" x14ac:dyDescent="0.15">
      <c r="A609" s="15" t="s">
        <v>78</v>
      </c>
      <c r="B609" s="16" t="s">
        <v>79</v>
      </c>
      <c r="C609" s="16" t="s">
        <v>80</v>
      </c>
      <c r="D609" s="16" t="s">
        <v>125</v>
      </c>
      <c r="E609" s="16">
        <v>4439901</v>
      </c>
      <c r="F609" s="16" t="s">
        <v>102</v>
      </c>
      <c r="G609" s="17">
        <v>211</v>
      </c>
      <c r="H609" s="441">
        <f>14002.6+297.5+187.4+1000.51</f>
        <v>15488.01</v>
      </c>
    </row>
    <row r="610" spans="1:8" ht="14" x14ac:dyDescent="0.15">
      <c r="A610" s="15" t="s">
        <v>103</v>
      </c>
      <c r="B610" s="16" t="s">
        <v>79</v>
      </c>
      <c r="C610" s="16" t="s">
        <v>80</v>
      </c>
      <c r="D610" s="16" t="s">
        <v>125</v>
      </c>
      <c r="E610" s="16">
        <v>4439901</v>
      </c>
      <c r="F610" s="16" t="s">
        <v>102</v>
      </c>
      <c r="G610" s="17">
        <v>212</v>
      </c>
      <c r="H610" s="49">
        <v>0</v>
      </c>
    </row>
    <row r="611" spans="1:8" ht="14" x14ac:dyDescent="0.15">
      <c r="A611" s="15" t="s">
        <v>84</v>
      </c>
      <c r="B611" s="16" t="s">
        <v>79</v>
      </c>
      <c r="C611" s="16" t="s">
        <v>80</v>
      </c>
      <c r="D611" s="16" t="s">
        <v>125</v>
      </c>
      <c r="E611" s="16">
        <v>4439901</v>
      </c>
      <c r="F611" s="16" t="s">
        <v>102</v>
      </c>
      <c r="G611" s="17">
        <v>213</v>
      </c>
      <c r="H611" s="441">
        <f>4788.9-85+101+53.4</f>
        <v>4858.2999999999993</v>
      </c>
    </row>
    <row r="612" spans="1:8" ht="14" x14ac:dyDescent="0.15">
      <c r="A612" s="15" t="s">
        <v>85</v>
      </c>
      <c r="B612" s="16" t="s">
        <v>79</v>
      </c>
      <c r="C612" s="16" t="s">
        <v>80</v>
      </c>
      <c r="D612" s="16" t="s">
        <v>125</v>
      </c>
      <c r="E612" s="16">
        <v>4439901</v>
      </c>
      <c r="F612" s="16" t="s">
        <v>102</v>
      </c>
      <c r="G612" s="17">
        <v>221</v>
      </c>
      <c r="H612" s="49">
        <v>0</v>
      </c>
    </row>
    <row r="613" spans="1:8" ht="14" x14ac:dyDescent="0.15">
      <c r="A613" s="15" t="s">
        <v>86</v>
      </c>
      <c r="B613" s="16" t="s">
        <v>79</v>
      </c>
      <c r="C613" s="16" t="s">
        <v>80</v>
      </c>
      <c r="D613" s="16" t="s">
        <v>125</v>
      </c>
      <c r="E613" s="16">
        <v>4439901</v>
      </c>
      <c r="F613" s="16" t="s">
        <v>102</v>
      </c>
      <c r="G613" s="17">
        <v>222</v>
      </c>
      <c r="H613" s="49">
        <v>0</v>
      </c>
    </row>
    <row r="614" spans="1:8" ht="14" x14ac:dyDescent="0.15">
      <c r="A614" s="15" t="s">
        <v>87</v>
      </c>
      <c r="B614" s="16" t="s">
        <v>79</v>
      </c>
      <c r="C614" s="16" t="s">
        <v>80</v>
      </c>
      <c r="D614" s="16" t="s">
        <v>125</v>
      </c>
      <c r="E614" s="16">
        <v>4439901</v>
      </c>
      <c r="F614" s="16" t="s">
        <v>102</v>
      </c>
      <c r="G614" s="17">
        <v>223</v>
      </c>
      <c r="H614" s="49">
        <f>85-31.88</f>
        <v>53.120000000000005</v>
      </c>
    </row>
    <row r="615" spans="1:8" ht="14" x14ac:dyDescent="0.15">
      <c r="A615" s="15" t="s">
        <v>134</v>
      </c>
      <c r="B615" s="16" t="s">
        <v>79</v>
      </c>
      <c r="C615" s="16" t="s">
        <v>80</v>
      </c>
      <c r="D615" s="16" t="s">
        <v>125</v>
      </c>
      <c r="E615" s="16">
        <v>4439901</v>
      </c>
      <c r="F615" s="16" t="s">
        <v>102</v>
      </c>
      <c r="G615" s="17">
        <v>224</v>
      </c>
      <c r="H615" s="49">
        <v>160</v>
      </c>
    </row>
    <row r="616" spans="1:8" ht="14" x14ac:dyDescent="0.15">
      <c r="A616" s="15" t="s">
        <v>90</v>
      </c>
      <c r="B616" s="16" t="s">
        <v>79</v>
      </c>
      <c r="C616" s="16" t="s">
        <v>80</v>
      </c>
      <c r="D616" s="16" t="s">
        <v>125</v>
      </c>
      <c r="E616" s="16">
        <v>4439901</v>
      </c>
      <c r="F616" s="16" t="s">
        <v>102</v>
      </c>
      <c r="G616" s="17">
        <v>225</v>
      </c>
      <c r="H616" s="49">
        <v>0</v>
      </c>
    </row>
    <row r="617" spans="1:8" ht="14" x14ac:dyDescent="0.15">
      <c r="A617" s="15" t="s">
        <v>91</v>
      </c>
      <c r="B617" s="16" t="s">
        <v>79</v>
      </c>
      <c r="C617" s="16" t="s">
        <v>80</v>
      </c>
      <c r="D617" s="16" t="s">
        <v>125</v>
      </c>
      <c r="E617" s="16">
        <v>4439901</v>
      </c>
      <c r="F617" s="16" t="s">
        <v>102</v>
      </c>
      <c r="G617" s="17">
        <v>226</v>
      </c>
      <c r="H617" s="49">
        <f>150</f>
        <v>150</v>
      </c>
    </row>
    <row r="618" spans="1:8" ht="14" x14ac:dyDescent="0.15">
      <c r="A618" s="11" t="s">
        <v>94</v>
      </c>
      <c r="B618" s="16" t="s">
        <v>79</v>
      </c>
      <c r="C618" s="16" t="s">
        <v>80</v>
      </c>
      <c r="D618" s="16" t="s">
        <v>125</v>
      </c>
      <c r="E618" s="16">
        <v>4439901</v>
      </c>
      <c r="F618" s="16" t="s">
        <v>102</v>
      </c>
      <c r="G618" s="17">
        <v>290</v>
      </c>
      <c r="H618" s="49">
        <f>19.9+194.93</f>
        <v>214.83</v>
      </c>
    </row>
    <row r="619" spans="1:8" ht="14" x14ac:dyDescent="0.15">
      <c r="A619" s="11" t="s">
        <v>94</v>
      </c>
      <c r="B619" s="16" t="s">
        <v>79</v>
      </c>
      <c r="C619" s="16" t="s">
        <v>80</v>
      </c>
      <c r="D619" s="16" t="s">
        <v>125</v>
      </c>
      <c r="E619" s="16" t="s">
        <v>238</v>
      </c>
      <c r="F619" s="16" t="s">
        <v>102</v>
      </c>
      <c r="G619" s="17" t="s">
        <v>95</v>
      </c>
      <c r="H619" s="49">
        <v>21.3</v>
      </c>
    </row>
    <row r="620" spans="1:8" ht="14" x14ac:dyDescent="0.15">
      <c r="A620" s="15" t="s">
        <v>96</v>
      </c>
      <c r="B620" s="16" t="s">
        <v>79</v>
      </c>
      <c r="C620" s="16" t="s">
        <v>80</v>
      </c>
      <c r="D620" s="16" t="s">
        <v>125</v>
      </c>
      <c r="E620" s="16">
        <v>4439901</v>
      </c>
      <c r="F620" s="16" t="s">
        <v>102</v>
      </c>
      <c r="G620" s="17">
        <v>310</v>
      </c>
      <c r="H620" s="49">
        <v>300</v>
      </c>
    </row>
    <row r="621" spans="1:8" ht="14" x14ac:dyDescent="0.15">
      <c r="A621" s="15" t="s">
        <v>97</v>
      </c>
      <c r="B621" s="16" t="s">
        <v>79</v>
      </c>
      <c r="C621" s="16" t="s">
        <v>80</v>
      </c>
      <c r="D621" s="16" t="s">
        <v>125</v>
      </c>
      <c r="E621" s="16">
        <v>4439901</v>
      </c>
      <c r="F621" s="16" t="s">
        <v>102</v>
      </c>
      <c r="G621" s="17">
        <v>340</v>
      </c>
      <c r="H621" s="49">
        <v>200</v>
      </c>
    </row>
    <row r="622" spans="1:8" ht="14" x14ac:dyDescent="0.15">
      <c r="A622" s="48" t="s">
        <v>98</v>
      </c>
      <c r="B622" s="20" t="s">
        <v>79</v>
      </c>
      <c r="C622" s="20" t="s">
        <v>80</v>
      </c>
      <c r="D622" s="20" t="s">
        <v>125</v>
      </c>
      <c r="E622" s="20" t="s">
        <v>239</v>
      </c>
      <c r="F622" s="20" t="s">
        <v>102</v>
      </c>
      <c r="G622" s="67"/>
      <c r="H622" s="50">
        <f>SUM(H609:H621)</f>
        <v>21445.559999999998</v>
      </c>
    </row>
    <row r="623" spans="1:8" ht="14" x14ac:dyDescent="0.15">
      <c r="A623" s="18" t="s">
        <v>154</v>
      </c>
      <c r="B623" s="16"/>
      <c r="C623" s="16"/>
      <c r="D623" s="16"/>
      <c r="E623" s="16"/>
      <c r="F623" s="16"/>
      <c r="G623" s="21"/>
      <c r="H623" s="50"/>
    </row>
    <row r="624" spans="1:8" ht="14" x14ac:dyDescent="0.15">
      <c r="A624" s="15" t="s">
        <v>78</v>
      </c>
      <c r="B624" s="16" t="s">
        <v>79</v>
      </c>
      <c r="C624" s="16" t="s">
        <v>80</v>
      </c>
      <c r="D624" s="16" t="s">
        <v>125</v>
      </c>
      <c r="E624" s="16">
        <v>4439901</v>
      </c>
      <c r="F624" s="16" t="s">
        <v>102</v>
      </c>
      <c r="G624" s="17">
        <v>211</v>
      </c>
      <c r="H624" s="49">
        <f>4140.9+55.4</f>
        <v>4196.2999999999993</v>
      </c>
    </row>
    <row r="625" spans="1:8" ht="14" x14ac:dyDescent="0.15">
      <c r="A625" s="15" t="s">
        <v>103</v>
      </c>
      <c r="B625" s="16" t="s">
        <v>79</v>
      </c>
      <c r="C625" s="16" t="s">
        <v>80</v>
      </c>
      <c r="D625" s="16" t="s">
        <v>125</v>
      </c>
      <c r="E625" s="16">
        <v>4439901</v>
      </c>
      <c r="F625" s="16" t="s">
        <v>102</v>
      </c>
      <c r="G625" s="17">
        <v>212</v>
      </c>
      <c r="H625" s="49">
        <v>0</v>
      </c>
    </row>
    <row r="626" spans="1:8" ht="14" x14ac:dyDescent="0.15">
      <c r="A626" s="15" t="s">
        <v>84</v>
      </c>
      <c r="B626" s="16" t="s">
        <v>79</v>
      </c>
      <c r="C626" s="16" t="s">
        <v>80</v>
      </c>
      <c r="D626" s="16" t="s">
        <v>125</v>
      </c>
      <c r="E626" s="16">
        <v>4439901</v>
      </c>
      <c r="F626" s="16" t="s">
        <v>102</v>
      </c>
      <c r="G626" s="17">
        <v>213</v>
      </c>
      <c r="H626" s="49">
        <f>1416.2+15.8</f>
        <v>1432</v>
      </c>
    </row>
    <row r="627" spans="1:8" ht="14" x14ac:dyDescent="0.15">
      <c r="A627" s="15" t="s">
        <v>85</v>
      </c>
      <c r="B627" s="16" t="s">
        <v>79</v>
      </c>
      <c r="C627" s="16" t="s">
        <v>80</v>
      </c>
      <c r="D627" s="16" t="s">
        <v>125</v>
      </c>
      <c r="E627" s="16">
        <v>4439901</v>
      </c>
      <c r="F627" s="16" t="s">
        <v>102</v>
      </c>
      <c r="G627" s="17">
        <v>221</v>
      </c>
      <c r="H627" s="49">
        <v>0</v>
      </c>
    </row>
    <row r="628" spans="1:8" ht="14" x14ac:dyDescent="0.15">
      <c r="A628" s="15" t="s">
        <v>86</v>
      </c>
      <c r="B628" s="16" t="s">
        <v>79</v>
      </c>
      <c r="C628" s="16" t="s">
        <v>80</v>
      </c>
      <c r="D628" s="16" t="s">
        <v>125</v>
      </c>
      <c r="E628" s="16">
        <v>4439901</v>
      </c>
      <c r="F628" s="16" t="s">
        <v>102</v>
      </c>
      <c r="G628" s="17">
        <v>222</v>
      </c>
      <c r="H628" s="49">
        <v>0</v>
      </c>
    </row>
    <row r="629" spans="1:8" ht="14" x14ac:dyDescent="0.15">
      <c r="A629" s="15" t="s">
        <v>87</v>
      </c>
      <c r="B629" s="16" t="s">
        <v>79</v>
      </c>
      <c r="C629" s="16" t="s">
        <v>80</v>
      </c>
      <c r="D629" s="16" t="s">
        <v>125</v>
      </c>
      <c r="E629" s="16">
        <v>4439901</v>
      </c>
      <c r="F629" s="16" t="s">
        <v>102</v>
      </c>
      <c r="G629" s="17">
        <v>223</v>
      </c>
      <c r="H629" s="49">
        <v>0</v>
      </c>
    </row>
    <row r="630" spans="1:8" ht="14" x14ac:dyDescent="0.15">
      <c r="A630" s="15" t="s">
        <v>134</v>
      </c>
      <c r="B630" s="16" t="s">
        <v>79</v>
      </c>
      <c r="C630" s="16" t="s">
        <v>80</v>
      </c>
      <c r="D630" s="16" t="s">
        <v>125</v>
      </c>
      <c r="E630" s="16">
        <v>4439901</v>
      </c>
      <c r="F630" s="16" t="s">
        <v>102</v>
      </c>
      <c r="G630" s="17">
        <v>224</v>
      </c>
      <c r="H630" s="49">
        <v>0</v>
      </c>
    </row>
    <row r="631" spans="1:8" ht="14" x14ac:dyDescent="0.15">
      <c r="A631" s="15" t="s">
        <v>90</v>
      </c>
      <c r="B631" s="16" t="s">
        <v>79</v>
      </c>
      <c r="C631" s="16" t="s">
        <v>80</v>
      </c>
      <c r="D631" s="16" t="s">
        <v>125</v>
      </c>
      <c r="E631" s="16">
        <v>4439901</v>
      </c>
      <c r="F631" s="16" t="s">
        <v>102</v>
      </c>
      <c r="G631" s="17">
        <v>225</v>
      </c>
      <c r="H631" s="49">
        <v>0</v>
      </c>
    </row>
    <row r="632" spans="1:8" ht="14" x14ac:dyDescent="0.15">
      <c r="A632" s="15" t="s">
        <v>91</v>
      </c>
      <c r="B632" s="16" t="s">
        <v>79</v>
      </c>
      <c r="C632" s="16" t="s">
        <v>80</v>
      </c>
      <c r="D632" s="16" t="s">
        <v>125</v>
      </c>
      <c r="E632" s="16">
        <v>4439901</v>
      </c>
      <c r="F632" s="16" t="s">
        <v>102</v>
      </c>
      <c r="G632" s="17">
        <v>226</v>
      </c>
      <c r="H632" s="49">
        <v>10</v>
      </c>
    </row>
    <row r="633" spans="1:8" ht="14" x14ac:dyDescent="0.15">
      <c r="A633" s="11" t="s">
        <v>94</v>
      </c>
      <c r="B633" s="16" t="s">
        <v>79</v>
      </c>
      <c r="C633" s="16" t="s">
        <v>80</v>
      </c>
      <c r="D633" s="16" t="s">
        <v>125</v>
      </c>
      <c r="E633" s="16">
        <v>4439901</v>
      </c>
      <c r="F633" s="16" t="s">
        <v>102</v>
      </c>
      <c r="G633" s="17">
        <v>290</v>
      </c>
      <c r="H633" s="49">
        <v>8</v>
      </c>
    </row>
    <row r="634" spans="1:8" ht="14" x14ac:dyDescent="0.15">
      <c r="A634" s="11" t="s">
        <v>94</v>
      </c>
      <c r="B634" s="16" t="s">
        <v>79</v>
      </c>
      <c r="C634" s="16" t="s">
        <v>80</v>
      </c>
      <c r="D634" s="16" t="s">
        <v>125</v>
      </c>
      <c r="E634" s="16" t="s">
        <v>238</v>
      </c>
      <c r="F634" s="16" t="s">
        <v>102</v>
      </c>
      <c r="G634" s="17" t="s">
        <v>95</v>
      </c>
      <c r="H634" s="49">
        <f>10.4+8.6</f>
        <v>19</v>
      </c>
    </row>
    <row r="635" spans="1:8" ht="14" x14ac:dyDescent="0.15">
      <c r="A635" s="15" t="s">
        <v>96</v>
      </c>
      <c r="B635" s="16" t="s">
        <v>79</v>
      </c>
      <c r="C635" s="16" t="s">
        <v>80</v>
      </c>
      <c r="D635" s="16" t="s">
        <v>125</v>
      </c>
      <c r="E635" s="16">
        <v>4439901</v>
      </c>
      <c r="F635" s="16" t="s">
        <v>102</v>
      </c>
      <c r="G635" s="17">
        <v>310</v>
      </c>
      <c r="H635" s="49">
        <v>0</v>
      </c>
    </row>
    <row r="636" spans="1:8" ht="14" x14ac:dyDescent="0.15">
      <c r="A636" s="15" t="s">
        <v>97</v>
      </c>
      <c r="B636" s="16" t="s">
        <v>79</v>
      </c>
      <c r="C636" s="16" t="s">
        <v>80</v>
      </c>
      <c r="D636" s="16" t="s">
        <v>125</v>
      </c>
      <c r="E636" s="16">
        <v>4439901</v>
      </c>
      <c r="F636" s="16" t="s">
        <v>102</v>
      </c>
      <c r="G636" s="17">
        <v>340</v>
      </c>
      <c r="H636" s="49">
        <v>40</v>
      </c>
    </row>
    <row r="637" spans="1:8" ht="14" x14ac:dyDescent="0.15">
      <c r="A637" s="48" t="s">
        <v>98</v>
      </c>
      <c r="B637" s="20" t="s">
        <v>79</v>
      </c>
      <c r="C637" s="20" t="s">
        <v>80</v>
      </c>
      <c r="D637" s="20" t="s">
        <v>125</v>
      </c>
      <c r="E637" s="20" t="s">
        <v>239</v>
      </c>
      <c r="F637" s="20" t="s">
        <v>102</v>
      </c>
      <c r="G637" s="67"/>
      <c r="H637" s="50">
        <f>SUM(H624:H636)</f>
        <v>5705.2999999999993</v>
      </c>
    </row>
    <row r="638" spans="1:8" ht="14" x14ac:dyDescent="0.15">
      <c r="A638" s="18" t="s">
        <v>155</v>
      </c>
      <c r="B638" s="16"/>
      <c r="C638" s="16"/>
      <c r="D638" s="16"/>
      <c r="E638" s="16"/>
      <c r="F638" s="16"/>
      <c r="G638" s="21"/>
      <c r="H638" s="50"/>
    </row>
    <row r="639" spans="1:8" ht="14" x14ac:dyDescent="0.15">
      <c r="A639" s="15" t="s">
        <v>78</v>
      </c>
      <c r="B639" s="16" t="s">
        <v>79</v>
      </c>
      <c r="C639" s="16" t="s">
        <v>80</v>
      </c>
      <c r="D639" s="16" t="s">
        <v>125</v>
      </c>
      <c r="E639" s="16">
        <v>4439901</v>
      </c>
      <c r="F639" s="16" t="s">
        <v>102</v>
      </c>
      <c r="G639" s="17">
        <v>211</v>
      </c>
      <c r="H639" s="49">
        <f>3340+44.7</f>
        <v>3384.7</v>
      </c>
    </row>
    <row r="640" spans="1:8" ht="14" x14ac:dyDescent="0.15">
      <c r="A640" s="15" t="s">
        <v>103</v>
      </c>
      <c r="B640" s="16" t="s">
        <v>79</v>
      </c>
      <c r="C640" s="16" t="s">
        <v>80</v>
      </c>
      <c r="D640" s="16" t="s">
        <v>125</v>
      </c>
      <c r="E640" s="16">
        <v>4439901</v>
      </c>
      <c r="F640" s="16" t="s">
        <v>102</v>
      </c>
      <c r="G640" s="17">
        <v>212</v>
      </c>
      <c r="H640" s="49">
        <v>0</v>
      </c>
    </row>
    <row r="641" spans="1:8" ht="14" x14ac:dyDescent="0.15">
      <c r="A641" s="15" t="s">
        <v>84</v>
      </c>
      <c r="B641" s="16" t="s">
        <v>79</v>
      </c>
      <c r="C641" s="16" t="s">
        <v>80</v>
      </c>
      <c r="D641" s="16" t="s">
        <v>125</v>
      </c>
      <c r="E641" s="16">
        <v>4439901</v>
      </c>
      <c r="F641" s="16" t="s">
        <v>102</v>
      </c>
      <c r="G641" s="17">
        <v>213</v>
      </c>
      <c r="H641" s="49">
        <f>1142.3+12.7</f>
        <v>1155</v>
      </c>
    </row>
    <row r="642" spans="1:8" ht="14" x14ac:dyDescent="0.15">
      <c r="A642" s="15" t="s">
        <v>85</v>
      </c>
      <c r="B642" s="16" t="s">
        <v>79</v>
      </c>
      <c r="C642" s="16" t="s">
        <v>80</v>
      </c>
      <c r="D642" s="16" t="s">
        <v>125</v>
      </c>
      <c r="E642" s="16">
        <v>4439901</v>
      </c>
      <c r="F642" s="16" t="s">
        <v>102</v>
      </c>
      <c r="G642" s="17">
        <v>221</v>
      </c>
      <c r="H642" s="49">
        <v>0</v>
      </c>
    </row>
    <row r="643" spans="1:8" ht="14" x14ac:dyDescent="0.15">
      <c r="A643" s="15" t="s">
        <v>86</v>
      </c>
      <c r="B643" s="16" t="s">
        <v>79</v>
      </c>
      <c r="C643" s="16" t="s">
        <v>80</v>
      </c>
      <c r="D643" s="16" t="s">
        <v>125</v>
      </c>
      <c r="E643" s="16">
        <v>4439901</v>
      </c>
      <c r="F643" s="16" t="s">
        <v>102</v>
      </c>
      <c r="G643" s="17">
        <v>222</v>
      </c>
      <c r="H643" s="49">
        <v>0</v>
      </c>
    </row>
    <row r="644" spans="1:8" ht="14" x14ac:dyDescent="0.15">
      <c r="A644" s="15" t="s">
        <v>87</v>
      </c>
      <c r="B644" s="16" t="s">
        <v>79</v>
      </c>
      <c r="C644" s="16" t="s">
        <v>80</v>
      </c>
      <c r="D644" s="16" t="s">
        <v>125</v>
      </c>
      <c r="E644" s="16">
        <v>4439901</v>
      </c>
      <c r="F644" s="16" t="s">
        <v>102</v>
      </c>
      <c r="G644" s="17">
        <v>223</v>
      </c>
      <c r="H644" s="49">
        <v>0</v>
      </c>
    </row>
    <row r="645" spans="1:8" ht="14" x14ac:dyDescent="0.15">
      <c r="A645" s="15" t="s">
        <v>134</v>
      </c>
      <c r="B645" s="16" t="s">
        <v>79</v>
      </c>
      <c r="C645" s="16" t="s">
        <v>80</v>
      </c>
      <c r="D645" s="16" t="s">
        <v>125</v>
      </c>
      <c r="E645" s="16">
        <v>4439901</v>
      </c>
      <c r="F645" s="16" t="s">
        <v>102</v>
      </c>
      <c r="G645" s="17">
        <v>224</v>
      </c>
      <c r="H645" s="49">
        <v>0</v>
      </c>
    </row>
    <row r="646" spans="1:8" ht="14" x14ac:dyDescent="0.15">
      <c r="A646" s="15" t="s">
        <v>90</v>
      </c>
      <c r="B646" s="16" t="s">
        <v>79</v>
      </c>
      <c r="C646" s="16" t="s">
        <v>80</v>
      </c>
      <c r="D646" s="16" t="s">
        <v>125</v>
      </c>
      <c r="E646" s="16">
        <v>4439901</v>
      </c>
      <c r="F646" s="16" t="s">
        <v>102</v>
      </c>
      <c r="G646" s="17">
        <v>225</v>
      </c>
      <c r="H646" s="49">
        <v>0</v>
      </c>
    </row>
    <row r="647" spans="1:8" ht="14" x14ac:dyDescent="0.15">
      <c r="A647" s="15" t="s">
        <v>91</v>
      </c>
      <c r="B647" s="16" t="s">
        <v>79</v>
      </c>
      <c r="C647" s="16" t="s">
        <v>80</v>
      </c>
      <c r="D647" s="16" t="s">
        <v>125</v>
      </c>
      <c r="E647" s="16">
        <v>4439901</v>
      </c>
      <c r="F647" s="16" t="s">
        <v>102</v>
      </c>
      <c r="G647" s="17">
        <v>226</v>
      </c>
      <c r="H647" s="49">
        <v>30</v>
      </c>
    </row>
    <row r="648" spans="1:8" ht="14" x14ac:dyDescent="0.15">
      <c r="A648" s="11" t="s">
        <v>94</v>
      </c>
      <c r="B648" s="16" t="s">
        <v>79</v>
      </c>
      <c r="C648" s="16" t="s">
        <v>80</v>
      </c>
      <c r="D648" s="16" t="s">
        <v>125</v>
      </c>
      <c r="E648" s="16">
        <v>4439901</v>
      </c>
      <c r="F648" s="16" t="s">
        <v>102</v>
      </c>
      <c r="G648" s="17">
        <v>290</v>
      </c>
      <c r="H648" s="49">
        <f>8+16.5</f>
        <v>24.5</v>
      </c>
    </row>
    <row r="649" spans="1:8" ht="14" x14ac:dyDescent="0.15">
      <c r="A649" s="11" t="s">
        <v>94</v>
      </c>
      <c r="B649" s="16" t="s">
        <v>79</v>
      </c>
      <c r="C649" s="16" t="s">
        <v>80</v>
      </c>
      <c r="D649" s="16" t="s">
        <v>125</v>
      </c>
      <c r="E649" s="16" t="s">
        <v>238</v>
      </c>
      <c r="F649" s="16" t="s">
        <v>102</v>
      </c>
      <c r="G649" s="17" t="s">
        <v>95</v>
      </c>
      <c r="H649" s="49">
        <f>25.5-16.5</f>
        <v>9</v>
      </c>
    </row>
    <row r="650" spans="1:8" ht="14" x14ac:dyDescent="0.15">
      <c r="A650" s="15" t="s">
        <v>96</v>
      </c>
      <c r="B650" s="16" t="s">
        <v>79</v>
      </c>
      <c r="C650" s="16" t="s">
        <v>80</v>
      </c>
      <c r="D650" s="16" t="s">
        <v>125</v>
      </c>
      <c r="E650" s="16">
        <v>4439901</v>
      </c>
      <c r="F650" s="16" t="s">
        <v>102</v>
      </c>
      <c r="G650" s="17">
        <v>310</v>
      </c>
      <c r="H650" s="49">
        <v>100</v>
      </c>
    </row>
    <row r="651" spans="1:8" ht="14" x14ac:dyDescent="0.15">
      <c r="A651" s="15" t="s">
        <v>97</v>
      </c>
      <c r="B651" s="16" t="s">
        <v>79</v>
      </c>
      <c r="C651" s="16" t="s">
        <v>80</v>
      </c>
      <c r="D651" s="16" t="s">
        <v>125</v>
      </c>
      <c r="E651" s="16">
        <v>4439901</v>
      </c>
      <c r="F651" s="16" t="s">
        <v>102</v>
      </c>
      <c r="G651" s="17">
        <v>340</v>
      </c>
      <c r="H651" s="49">
        <v>0</v>
      </c>
    </row>
    <row r="652" spans="1:8" ht="14" x14ac:dyDescent="0.15">
      <c r="A652" s="48" t="s">
        <v>98</v>
      </c>
      <c r="B652" s="20" t="s">
        <v>79</v>
      </c>
      <c r="C652" s="20" t="s">
        <v>80</v>
      </c>
      <c r="D652" s="20" t="s">
        <v>125</v>
      </c>
      <c r="E652" s="20" t="s">
        <v>239</v>
      </c>
      <c r="F652" s="20" t="s">
        <v>102</v>
      </c>
      <c r="G652" s="67"/>
      <c r="H652" s="50">
        <f>SUM(H639:H651)</f>
        <v>4703.2</v>
      </c>
    </row>
    <row r="653" spans="1:8" ht="14" x14ac:dyDescent="0.15">
      <c r="A653" s="18" t="s">
        <v>156</v>
      </c>
      <c r="B653" s="16"/>
      <c r="C653" s="16"/>
      <c r="D653" s="16"/>
      <c r="E653" s="16"/>
      <c r="F653" s="16"/>
      <c r="G653" s="21"/>
      <c r="H653" s="50"/>
    </row>
    <row r="654" spans="1:8" ht="14" x14ac:dyDescent="0.15">
      <c r="A654" s="15" t="s">
        <v>78</v>
      </c>
      <c r="B654" s="16" t="s">
        <v>79</v>
      </c>
      <c r="C654" s="16" t="s">
        <v>80</v>
      </c>
      <c r="D654" s="16" t="s">
        <v>125</v>
      </c>
      <c r="E654" s="16">
        <v>4439901</v>
      </c>
      <c r="F654" s="16" t="s">
        <v>102</v>
      </c>
      <c r="G654" s="17">
        <v>211</v>
      </c>
      <c r="H654" s="49">
        <f>4728.9+63.3</f>
        <v>4792.2</v>
      </c>
    </row>
    <row r="655" spans="1:8" ht="14" x14ac:dyDescent="0.15">
      <c r="A655" s="15" t="s">
        <v>103</v>
      </c>
      <c r="B655" s="16" t="s">
        <v>79</v>
      </c>
      <c r="C655" s="16" t="s">
        <v>80</v>
      </c>
      <c r="D655" s="16" t="s">
        <v>125</v>
      </c>
      <c r="E655" s="16">
        <v>4439901</v>
      </c>
      <c r="F655" s="16" t="s">
        <v>102</v>
      </c>
      <c r="G655" s="17">
        <v>212</v>
      </c>
      <c r="H655" s="49">
        <v>0</v>
      </c>
    </row>
    <row r="656" spans="1:8" ht="14" x14ac:dyDescent="0.15">
      <c r="A656" s="15" t="s">
        <v>84</v>
      </c>
      <c r="B656" s="16" t="s">
        <v>79</v>
      </c>
      <c r="C656" s="16" t="s">
        <v>80</v>
      </c>
      <c r="D656" s="16" t="s">
        <v>125</v>
      </c>
      <c r="E656" s="16">
        <v>4439901</v>
      </c>
      <c r="F656" s="16" t="s">
        <v>102</v>
      </c>
      <c r="G656" s="17">
        <v>213</v>
      </c>
      <c r="H656" s="441">
        <f>1616.6-25+18</f>
        <v>1609.6</v>
      </c>
    </row>
    <row r="657" spans="1:8" ht="14" x14ac:dyDescent="0.15">
      <c r="A657" s="15" t="s">
        <v>85</v>
      </c>
      <c r="B657" s="16" t="s">
        <v>79</v>
      </c>
      <c r="C657" s="16" t="s">
        <v>80</v>
      </c>
      <c r="D657" s="16" t="s">
        <v>125</v>
      </c>
      <c r="E657" s="16">
        <v>4439901</v>
      </c>
      <c r="F657" s="16" t="s">
        <v>102</v>
      </c>
      <c r="G657" s="17">
        <v>221</v>
      </c>
      <c r="H657" s="49">
        <v>0</v>
      </c>
    </row>
    <row r="658" spans="1:8" ht="14" x14ac:dyDescent="0.15">
      <c r="A658" s="15" t="s">
        <v>86</v>
      </c>
      <c r="B658" s="16" t="s">
        <v>79</v>
      </c>
      <c r="C658" s="16" t="s">
        <v>80</v>
      </c>
      <c r="D658" s="16" t="s">
        <v>125</v>
      </c>
      <c r="E658" s="16">
        <v>4439901</v>
      </c>
      <c r="F658" s="16" t="s">
        <v>102</v>
      </c>
      <c r="G658" s="17">
        <v>222</v>
      </c>
      <c r="H658" s="49">
        <v>0</v>
      </c>
    </row>
    <row r="659" spans="1:8" ht="14" x14ac:dyDescent="0.15">
      <c r="A659" s="15" t="s">
        <v>87</v>
      </c>
      <c r="B659" s="16" t="s">
        <v>79</v>
      </c>
      <c r="C659" s="16" t="s">
        <v>80</v>
      </c>
      <c r="D659" s="16" t="s">
        <v>125</v>
      </c>
      <c r="E659" s="16">
        <v>4439901</v>
      </c>
      <c r="F659" s="16" t="s">
        <v>102</v>
      </c>
      <c r="G659" s="17">
        <v>223</v>
      </c>
      <c r="H659" s="49">
        <v>0</v>
      </c>
    </row>
    <row r="660" spans="1:8" ht="14" x14ac:dyDescent="0.15">
      <c r="A660" s="15" t="s">
        <v>134</v>
      </c>
      <c r="B660" s="16" t="s">
        <v>79</v>
      </c>
      <c r="C660" s="16" t="s">
        <v>80</v>
      </c>
      <c r="D660" s="16" t="s">
        <v>125</v>
      </c>
      <c r="E660" s="16">
        <v>4439901</v>
      </c>
      <c r="F660" s="16" t="s">
        <v>102</v>
      </c>
      <c r="G660" s="17">
        <v>224</v>
      </c>
      <c r="H660" s="49">
        <v>240</v>
      </c>
    </row>
    <row r="661" spans="1:8" ht="14" x14ac:dyDescent="0.15">
      <c r="A661" s="15" t="s">
        <v>90</v>
      </c>
      <c r="B661" s="16" t="s">
        <v>79</v>
      </c>
      <c r="C661" s="16" t="s">
        <v>80</v>
      </c>
      <c r="D661" s="16" t="s">
        <v>125</v>
      </c>
      <c r="E661" s="16">
        <v>4439901</v>
      </c>
      <c r="F661" s="16" t="s">
        <v>102</v>
      </c>
      <c r="G661" s="17">
        <v>225</v>
      </c>
      <c r="H661" s="49">
        <v>0</v>
      </c>
    </row>
    <row r="662" spans="1:8" ht="14" x14ac:dyDescent="0.15">
      <c r="A662" s="15" t="s">
        <v>91</v>
      </c>
      <c r="B662" s="16" t="s">
        <v>79</v>
      </c>
      <c r="C662" s="16" t="s">
        <v>80</v>
      </c>
      <c r="D662" s="16" t="s">
        <v>125</v>
      </c>
      <c r="E662" s="16">
        <v>4439901</v>
      </c>
      <c r="F662" s="16" t="s">
        <v>102</v>
      </c>
      <c r="G662" s="17">
        <v>226</v>
      </c>
      <c r="H662" s="49">
        <v>0</v>
      </c>
    </row>
    <row r="663" spans="1:8" ht="14" x14ac:dyDescent="0.15">
      <c r="A663" s="11" t="s">
        <v>94</v>
      </c>
      <c r="B663" s="16" t="s">
        <v>79</v>
      </c>
      <c r="C663" s="16" t="s">
        <v>80</v>
      </c>
      <c r="D663" s="16" t="s">
        <v>125</v>
      </c>
      <c r="E663" s="16">
        <v>4439901</v>
      </c>
      <c r="F663" s="16" t="s">
        <v>102</v>
      </c>
      <c r="G663" s="17">
        <v>290</v>
      </c>
      <c r="H663" s="49">
        <v>8.9</v>
      </c>
    </row>
    <row r="664" spans="1:8" ht="14" x14ac:dyDescent="0.15">
      <c r="A664" s="11" t="s">
        <v>94</v>
      </c>
      <c r="B664" s="16" t="s">
        <v>79</v>
      </c>
      <c r="C664" s="16" t="s">
        <v>80</v>
      </c>
      <c r="D664" s="16" t="s">
        <v>125</v>
      </c>
      <c r="E664" s="16" t="s">
        <v>238</v>
      </c>
      <c r="F664" s="16" t="s">
        <v>102</v>
      </c>
      <c r="G664" s="17" t="s">
        <v>95</v>
      </c>
      <c r="H664" s="49">
        <v>5.6</v>
      </c>
    </row>
    <row r="665" spans="1:8" ht="14" x14ac:dyDescent="0.15">
      <c r="A665" s="15" t="s">
        <v>96</v>
      </c>
      <c r="B665" s="16" t="s">
        <v>79</v>
      </c>
      <c r="C665" s="16" t="s">
        <v>80</v>
      </c>
      <c r="D665" s="16" t="s">
        <v>125</v>
      </c>
      <c r="E665" s="16">
        <v>4439901</v>
      </c>
      <c r="F665" s="16" t="s">
        <v>102</v>
      </c>
      <c r="G665" s="17">
        <v>310</v>
      </c>
      <c r="H665" s="49">
        <v>130</v>
      </c>
    </row>
    <row r="666" spans="1:8" ht="14" x14ac:dyDescent="0.15">
      <c r="A666" s="15" t="s">
        <v>97</v>
      </c>
      <c r="B666" s="16" t="s">
        <v>79</v>
      </c>
      <c r="C666" s="16" t="s">
        <v>80</v>
      </c>
      <c r="D666" s="16" t="s">
        <v>125</v>
      </c>
      <c r="E666" s="16">
        <v>4439901</v>
      </c>
      <c r="F666" s="16" t="s">
        <v>102</v>
      </c>
      <c r="G666" s="17">
        <v>340</v>
      </c>
      <c r="H666" s="49">
        <v>0</v>
      </c>
    </row>
    <row r="667" spans="1:8" ht="14" x14ac:dyDescent="0.15">
      <c r="A667" s="48" t="s">
        <v>98</v>
      </c>
      <c r="B667" s="20" t="s">
        <v>79</v>
      </c>
      <c r="C667" s="20" t="s">
        <v>80</v>
      </c>
      <c r="D667" s="20" t="s">
        <v>125</v>
      </c>
      <c r="E667" s="20" t="s">
        <v>239</v>
      </c>
      <c r="F667" s="20" t="s">
        <v>102</v>
      </c>
      <c r="G667" s="67"/>
      <c r="H667" s="50">
        <f>SUM(H654:H666)</f>
        <v>6786.2999999999993</v>
      </c>
    </row>
    <row r="668" spans="1:8" ht="14" x14ac:dyDescent="0.15">
      <c r="A668" s="18" t="s">
        <v>157</v>
      </c>
      <c r="B668" s="16"/>
      <c r="C668" s="16"/>
      <c r="D668" s="16"/>
      <c r="E668" s="16"/>
      <c r="F668" s="16"/>
      <c r="G668" s="21"/>
      <c r="H668" s="50"/>
    </row>
    <row r="669" spans="1:8" ht="14" x14ac:dyDescent="0.15">
      <c r="A669" s="15" t="s">
        <v>78</v>
      </c>
      <c r="B669" s="16" t="s">
        <v>79</v>
      </c>
      <c r="C669" s="16" t="s">
        <v>80</v>
      </c>
      <c r="D669" s="16" t="s">
        <v>125</v>
      </c>
      <c r="E669" s="16">
        <v>4439901</v>
      </c>
      <c r="F669" s="16" t="s">
        <v>102</v>
      </c>
      <c r="G669" s="17">
        <v>211</v>
      </c>
      <c r="H669" s="49">
        <f>5449.8+72.9</f>
        <v>5522.7</v>
      </c>
    </row>
    <row r="670" spans="1:8" ht="14" x14ac:dyDescent="0.15">
      <c r="A670" s="15" t="s">
        <v>103</v>
      </c>
      <c r="B670" s="16" t="s">
        <v>79</v>
      </c>
      <c r="C670" s="16" t="s">
        <v>80</v>
      </c>
      <c r="D670" s="16" t="s">
        <v>125</v>
      </c>
      <c r="E670" s="16">
        <v>4439901</v>
      </c>
      <c r="F670" s="16" t="s">
        <v>102</v>
      </c>
      <c r="G670" s="17">
        <v>212</v>
      </c>
      <c r="H670" s="49">
        <v>0</v>
      </c>
    </row>
    <row r="671" spans="1:8" ht="14" x14ac:dyDescent="0.15">
      <c r="A671" s="15" t="s">
        <v>84</v>
      </c>
      <c r="B671" s="16" t="s">
        <v>79</v>
      </c>
      <c r="C671" s="16" t="s">
        <v>80</v>
      </c>
      <c r="D671" s="16" t="s">
        <v>125</v>
      </c>
      <c r="E671" s="16">
        <v>4439901</v>
      </c>
      <c r="F671" s="16" t="s">
        <v>102</v>
      </c>
      <c r="G671" s="17">
        <v>213</v>
      </c>
      <c r="H671" s="49">
        <f>1863.8+20.8</f>
        <v>1884.6</v>
      </c>
    </row>
    <row r="672" spans="1:8" ht="14" x14ac:dyDescent="0.15">
      <c r="A672" s="15" t="s">
        <v>85</v>
      </c>
      <c r="B672" s="16" t="s">
        <v>79</v>
      </c>
      <c r="C672" s="16" t="s">
        <v>80</v>
      </c>
      <c r="D672" s="16" t="s">
        <v>125</v>
      </c>
      <c r="E672" s="16">
        <v>4439901</v>
      </c>
      <c r="F672" s="16" t="s">
        <v>102</v>
      </c>
      <c r="G672" s="17">
        <v>221</v>
      </c>
      <c r="H672" s="49">
        <v>0</v>
      </c>
    </row>
    <row r="673" spans="1:8" ht="14" x14ac:dyDescent="0.15">
      <c r="A673" s="15" t="s">
        <v>86</v>
      </c>
      <c r="B673" s="16" t="s">
        <v>79</v>
      </c>
      <c r="C673" s="16" t="s">
        <v>80</v>
      </c>
      <c r="D673" s="16" t="s">
        <v>125</v>
      </c>
      <c r="E673" s="16">
        <v>4439901</v>
      </c>
      <c r="F673" s="16" t="s">
        <v>102</v>
      </c>
      <c r="G673" s="17">
        <v>222</v>
      </c>
      <c r="H673" s="49">
        <v>0</v>
      </c>
    </row>
    <row r="674" spans="1:8" ht="14" x14ac:dyDescent="0.15">
      <c r="A674" s="15" t="s">
        <v>87</v>
      </c>
      <c r="B674" s="16" t="s">
        <v>79</v>
      </c>
      <c r="C674" s="16" t="s">
        <v>80</v>
      </c>
      <c r="D674" s="16" t="s">
        <v>125</v>
      </c>
      <c r="E674" s="16">
        <v>4439901</v>
      </c>
      <c r="F674" s="16" t="s">
        <v>102</v>
      </c>
      <c r="G674" s="17">
        <v>223</v>
      </c>
      <c r="H674" s="49">
        <v>0</v>
      </c>
    </row>
    <row r="675" spans="1:8" ht="14" x14ac:dyDescent="0.15">
      <c r="A675" s="15" t="s">
        <v>134</v>
      </c>
      <c r="B675" s="16" t="s">
        <v>79</v>
      </c>
      <c r="C675" s="16" t="s">
        <v>80</v>
      </c>
      <c r="D675" s="16" t="s">
        <v>125</v>
      </c>
      <c r="E675" s="16">
        <v>4439901</v>
      </c>
      <c r="F675" s="16" t="s">
        <v>102</v>
      </c>
      <c r="G675" s="17">
        <v>224</v>
      </c>
      <c r="H675" s="49">
        <v>0</v>
      </c>
    </row>
    <row r="676" spans="1:8" ht="14" x14ac:dyDescent="0.15">
      <c r="A676" s="15" t="s">
        <v>90</v>
      </c>
      <c r="B676" s="16" t="s">
        <v>79</v>
      </c>
      <c r="C676" s="16" t="s">
        <v>80</v>
      </c>
      <c r="D676" s="16" t="s">
        <v>125</v>
      </c>
      <c r="E676" s="16">
        <v>4439901</v>
      </c>
      <c r="F676" s="16" t="s">
        <v>102</v>
      </c>
      <c r="G676" s="17">
        <v>225</v>
      </c>
      <c r="H676" s="49">
        <v>0</v>
      </c>
    </row>
    <row r="677" spans="1:8" ht="14" x14ac:dyDescent="0.15">
      <c r="A677" s="15" t="s">
        <v>91</v>
      </c>
      <c r="B677" s="16" t="s">
        <v>79</v>
      </c>
      <c r="C677" s="16" t="s">
        <v>80</v>
      </c>
      <c r="D677" s="16" t="s">
        <v>125</v>
      </c>
      <c r="E677" s="16">
        <v>4439901</v>
      </c>
      <c r="F677" s="16" t="s">
        <v>102</v>
      </c>
      <c r="G677" s="17">
        <v>226</v>
      </c>
      <c r="H677" s="441">
        <f>80+70</f>
        <v>150</v>
      </c>
    </row>
    <row r="678" spans="1:8" ht="14" x14ac:dyDescent="0.15">
      <c r="A678" s="11" t="s">
        <v>94</v>
      </c>
      <c r="B678" s="16" t="s">
        <v>79</v>
      </c>
      <c r="C678" s="16" t="s">
        <v>80</v>
      </c>
      <c r="D678" s="16" t="s">
        <v>125</v>
      </c>
      <c r="E678" s="16">
        <v>4439901</v>
      </c>
      <c r="F678" s="16" t="s">
        <v>102</v>
      </c>
      <c r="G678" s="17">
        <v>290</v>
      </c>
      <c r="H678" s="49">
        <v>11.4</v>
      </c>
    </row>
    <row r="679" spans="1:8" ht="14" x14ac:dyDescent="0.15">
      <c r="A679" s="11" t="s">
        <v>94</v>
      </c>
      <c r="B679" s="16" t="s">
        <v>79</v>
      </c>
      <c r="C679" s="16" t="s">
        <v>80</v>
      </c>
      <c r="D679" s="16" t="s">
        <v>125</v>
      </c>
      <c r="E679" s="16" t="s">
        <v>238</v>
      </c>
      <c r="F679" s="16" t="s">
        <v>102</v>
      </c>
      <c r="G679" s="17" t="s">
        <v>95</v>
      </c>
      <c r="H679" s="49">
        <v>12.1</v>
      </c>
    </row>
    <row r="680" spans="1:8" ht="14" x14ac:dyDescent="0.15">
      <c r="A680" s="15" t="s">
        <v>96</v>
      </c>
      <c r="B680" s="16" t="s">
        <v>79</v>
      </c>
      <c r="C680" s="16" t="s">
        <v>80</v>
      </c>
      <c r="D680" s="16" t="s">
        <v>125</v>
      </c>
      <c r="E680" s="16">
        <v>4439901</v>
      </c>
      <c r="F680" s="16" t="s">
        <v>102</v>
      </c>
      <c r="G680" s="17">
        <v>310</v>
      </c>
      <c r="H680" s="49">
        <v>50</v>
      </c>
    </row>
    <row r="681" spans="1:8" ht="14" x14ac:dyDescent="0.15">
      <c r="A681" s="15" t="s">
        <v>97</v>
      </c>
      <c r="B681" s="16" t="s">
        <v>79</v>
      </c>
      <c r="C681" s="16" t="s">
        <v>80</v>
      </c>
      <c r="D681" s="16" t="s">
        <v>125</v>
      </c>
      <c r="E681" s="16">
        <v>4439901</v>
      </c>
      <c r="F681" s="16" t="s">
        <v>102</v>
      </c>
      <c r="G681" s="17">
        <v>340</v>
      </c>
      <c r="H681" s="49">
        <v>30</v>
      </c>
    </row>
    <row r="682" spans="1:8" ht="14" x14ac:dyDescent="0.15">
      <c r="A682" s="48" t="s">
        <v>98</v>
      </c>
      <c r="B682" s="20" t="s">
        <v>79</v>
      </c>
      <c r="C682" s="20" t="s">
        <v>80</v>
      </c>
      <c r="D682" s="20" t="s">
        <v>125</v>
      </c>
      <c r="E682" s="20" t="s">
        <v>239</v>
      </c>
      <c r="F682" s="20" t="s">
        <v>102</v>
      </c>
      <c r="G682" s="67"/>
      <c r="H682" s="50">
        <f>SUM(H669:H681)</f>
        <v>7660.7999999999993</v>
      </c>
    </row>
    <row r="683" spans="1:8" ht="14" x14ac:dyDescent="0.15">
      <c r="A683" s="18" t="s">
        <v>158</v>
      </c>
      <c r="B683" s="16"/>
      <c r="C683" s="16"/>
      <c r="D683" s="16"/>
      <c r="E683" s="16"/>
      <c r="F683" s="16"/>
      <c r="G683" s="21"/>
      <c r="H683" s="50"/>
    </row>
    <row r="684" spans="1:8" ht="14" x14ac:dyDescent="0.15">
      <c r="A684" s="15" t="s">
        <v>78</v>
      </c>
      <c r="B684" s="16" t="s">
        <v>79</v>
      </c>
      <c r="C684" s="16" t="s">
        <v>80</v>
      </c>
      <c r="D684" s="16" t="s">
        <v>125</v>
      </c>
      <c r="E684" s="16">
        <v>4439901</v>
      </c>
      <c r="F684" s="16" t="s">
        <v>102</v>
      </c>
      <c r="G684" s="17">
        <v>211</v>
      </c>
      <c r="H684" s="49">
        <f>6139.9+82.2</f>
        <v>6222.0999999999995</v>
      </c>
    </row>
    <row r="685" spans="1:8" ht="14" x14ac:dyDescent="0.15">
      <c r="A685" s="15" t="s">
        <v>103</v>
      </c>
      <c r="B685" s="16" t="s">
        <v>79</v>
      </c>
      <c r="C685" s="16" t="s">
        <v>80</v>
      </c>
      <c r="D685" s="16" t="s">
        <v>125</v>
      </c>
      <c r="E685" s="16">
        <v>4439901</v>
      </c>
      <c r="F685" s="16" t="s">
        <v>102</v>
      </c>
      <c r="G685" s="17">
        <v>212</v>
      </c>
      <c r="H685" s="49">
        <v>0</v>
      </c>
    </row>
    <row r="686" spans="1:8" ht="14" x14ac:dyDescent="0.15">
      <c r="A686" s="15" t="s">
        <v>84</v>
      </c>
      <c r="B686" s="16" t="s">
        <v>79</v>
      </c>
      <c r="C686" s="16" t="s">
        <v>80</v>
      </c>
      <c r="D686" s="16" t="s">
        <v>125</v>
      </c>
      <c r="E686" s="16">
        <v>4439901</v>
      </c>
      <c r="F686" s="16" t="s">
        <v>102</v>
      </c>
      <c r="G686" s="17">
        <v>213</v>
      </c>
      <c r="H686" s="49">
        <f>2099.8+23.4</f>
        <v>2123.2000000000003</v>
      </c>
    </row>
    <row r="687" spans="1:8" ht="14" x14ac:dyDescent="0.15">
      <c r="A687" s="15" t="s">
        <v>85</v>
      </c>
      <c r="B687" s="16" t="s">
        <v>79</v>
      </c>
      <c r="C687" s="16" t="s">
        <v>80</v>
      </c>
      <c r="D687" s="16" t="s">
        <v>125</v>
      </c>
      <c r="E687" s="16">
        <v>4439901</v>
      </c>
      <c r="F687" s="16" t="s">
        <v>102</v>
      </c>
      <c r="G687" s="17">
        <v>221</v>
      </c>
      <c r="H687" s="49">
        <v>0</v>
      </c>
    </row>
    <row r="688" spans="1:8" ht="14" x14ac:dyDescent="0.15">
      <c r="A688" s="15" t="s">
        <v>86</v>
      </c>
      <c r="B688" s="16" t="s">
        <v>79</v>
      </c>
      <c r="C688" s="16" t="s">
        <v>80</v>
      </c>
      <c r="D688" s="16" t="s">
        <v>125</v>
      </c>
      <c r="E688" s="16">
        <v>4439901</v>
      </c>
      <c r="F688" s="16" t="s">
        <v>102</v>
      </c>
      <c r="G688" s="17">
        <v>222</v>
      </c>
      <c r="H688" s="49">
        <v>0</v>
      </c>
    </row>
    <row r="689" spans="1:8" ht="14" x14ac:dyDescent="0.15">
      <c r="A689" s="15" t="s">
        <v>87</v>
      </c>
      <c r="B689" s="16" t="s">
        <v>79</v>
      </c>
      <c r="C689" s="16" t="s">
        <v>80</v>
      </c>
      <c r="D689" s="16" t="s">
        <v>125</v>
      </c>
      <c r="E689" s="16">
        <v>4439901</v>
      </c>
      <c r="F689" s="16" t="s">
        <v>102</v>
      </c>
      <c r="G689" s="17">
        <v>223</v>
      </c>
      <c r="H689" s="49">
        <v>0</v>
      </c>
    </row>
    <row r="690" spans="1:8" ht="14" x14ac:dyDescent="0.15">
      <c r="A690" s="15" t="s">
        <v>134</v>
      </c>
      <c r="B690" s="16" t="s">
        <v>79</v>
      </c>
      <c r="C690" s="16" t="s">
        <v>80</v>
      </c>
      <c r="D690" s="16" t="s">
        <v>125</v>
      </c>
      <c r="E690" s="16">
        <v>4439901</v>
      </c>
      <c r="F690" s="16" t="s">
        <v>102</v>
      </c>
      <c r="G690" s="17">
        <v>224</v>
      </c>
      <c r="H690" s="49">
        <v>240</v>
      </c>
    </row>
    <row r="691" spans="1:8" ht="14" x14ac:dyDescent="0.15">
      <c r="A691" s="15" t="s">
        <v>90</v>
      </c>
      <c r="B691" s="16" t="s">
        <v>79</v>
      </c>
      <c r="C691" s="16" t="s">
        <v>80</v>
      </c>
      <c r="D691" s="16" t="s">
        <v>125</v>
      </c>
      <c r="E691" s="16">
        <v>4439901</v>
      </c>
      <c r="F691" s="16" t="s">
        <v>102</v>
      </c>
      <c r="G691" s="17">
        <v>225</v>
      </c>
      <c r="H691" s="49">
        <v>0</v>
      </c>
    </row>
    <row r="692" spans="1:8" ht="14" x14ac:dyDescent="0.15">
      <c r="A692" s="15" t="s">
        <v>91</v>
      </c>
      <c r="B692" s="16" t="s">
        <v>79</v>
      </c>
      <c r="C692" s="16" t="s">
        <v>80</v>
      </c>
      <c r="D692" s="16" t="s">
        <v>125</v>
      </c>
      <c r="E692" s="16">
        <v>4439901</v>
      </c>
      <c r="F692" s="16" t="s">
        <v>102</v>
      </c>
      <c r="G692" s="17">
        <v>226</v>
      </c>
      <c r="H692" s="441">
        <f>60+70+34.651</f>
        <v>164.65100000000001</v>
      </c>
    </row>
    <row r="693" spans="1:8" ht="14" x14ac:dyDescent="0.15">
      <c r="A693" s="11" t="s">
        <v>94</v>
      </c>
      <c r="B693" s="16" t="s">
        <v>79</v>
      </c>
      <c r="C693" s="16" t="s">
        <v>80</v>
      </c>
      <c r="D693" s="16" t="s">
        <v>125</v>
      </c>
      <c r="E693" s="16">
        <v>4439901</v>
      </c>
      <c r="F693" s="16" t="s">
        <v>102</v>
      </c>
      <c r="G693" s="17">
        <v>290</v>
      </c>
      <c r="H693" s="49">
        <v>11.8</v>
      </c>
    </row>
    <row r="694" spans="1:8" ht="14" x14ac:dyDescent="0.15">
      <c r="A694" s="11" t="s">
        <v>94</v>
      </c>
      <c r="B694" s="16" t="s">
        <v>79</v>
      </c>
      <c r="C694" s="16" t="s">
        <v>80</v>
      </c>
      <c r="D694" s="16" t="s">
        <v>125</v>
      </c>
      <c r="E694" s="16" t="s">
        <v>238</v>
      </c>
      <c r="F694" s="16" t="s">
        <v>102</v>
      </c>
      <c r="G694" s="17" t="s">
        <v>95</v>
      </c>
      <c r="H694" s="49">
        <v>4.7</v>
      </c>
    </row>
    <row r="695" spans="1:8" ht="14" x14ac:dyDescent="0.15">
      <c r="A695" s="15" t="s">
        <v>96</v>
      </c>
      <c r="B695" s="16" t="s">
        <v>79</v>
      </c>
      <c r="C695" s="16" t="s">
        <v>80</v>
      </c>
      <c r="D695" s="16" t="s">
        <v>125</v>
      </c>
      <c r="E695" s="16">
        <v>4439901</v>
      </c>
      <c r="F695" s="16" t="s">
        <v>102</v>
      </c>
      <c r="G695" s="17">
        <v>310</v>
      </c>
      <c r="H695" s="49">
        <v>70</v>
      </c>
    </row>
    <row r="696" spans="1:8" ht="14" x14ac:dyDescent="0.15">
      <c r="A696" s="15" t="s">
        <v>97</v>
      </c>
      <c r="B696" s="16" t="s">
        <v>79</v>
      </c>
      <c r="C696" s="16" t="s">
        <v>80</v>
      </c>
      <c r="D696" s="16" t="s">
        <v>125</v>
      </c>
      <c r="E696" s="16">
        <v>4439901</v>
      </c>
      <c r="F696" s="16" t="s">
        <v>102</v>
      </c>
      <c r="G696" s="17">
        <v>340</v>
      </c>
      <c r="H696" s="49">
        <v>70</v>
      </c>
    </row>
    <row r="697" spans="1:8" ht="14" x14ac:dyDescent="0.15">
      <c r="A697" s="48" t="s">
        <v>98</v>
      </c>
      <c r="B697" s="20" t="s">
        <v>79</v>
      </c>
      <c r="C697" s="20" t="s">
        <v>80</v>
      </c>
      <c r="D697" s="20" t="s">
        <v>125</v>
      </c>
      <c r="E697" s="20" t="s">
        <v>239</v>
      </c>
      <c r="F697" s="20" t="s">
        <v>102</v>
      </c>
      <c r="G697" s="67"/>
      <c r="H697" s="50">
        <f>SUM(H684:H696)</f>
        <v>8906.4509999999991</v>
      </c>
    </row>
    <row r="698" spans="1:8" ht="14" x14ac:dyDescent="0.15">
      <c r="A698" s="48" t="s">
        <v>159</v>
      </c>
      <c r="B698" s="20"/>
      <c r="C698" s="20"/>
      <c r="D698" s="20"/>
      <c r="E698" s="20"/>
      <c r="F698" s="20"/>
      <c r="G698" s="67"/>
      <c r="H698" s="50"/>
    </row>
    <row r="699" spans="1:8" ht="14" x14ac:dyDescent="0.15">
      <c r="A699" s="15" t="s">
        <v>78</v>
      </c>
      <c r="B699" s="16" t="s">
        <v>79</v>
      </c>
      <c r="C699" s="16" t="s">
        <v>80</v>
      </c>
      <c r="D699" s="16" t="s">
        <v>125</v>
      </c>
      <c r="E699" s="16">
        <v>4439901</v>
      </c>
      <c r="F699" s="16" t="s">
        <v>102</v>
      </c>
      <c r="G699" s="17">
        <v>211</v>
      </c>
      <c r="H699" s="49">
        <f>5182.8+69.3</f>
        <v>5252.1</v>
      </c>
    </row>
    <row r="700" spans="1:8" ht="14" x14ac:dyDescent="0.15">
      <c r="A700" s="15" t="s">
        <v>103</v>
      </c>
      <c r="B700" s="16" t="s">
        <v>79</v>
      </c>
      <c r="C700" s="16" t="s">
        <v>80</v>
      </c>
      <c r="D700" s="16" t="s">
        <v>125</v>
      </c>
      <c r="E700" s="16">
        <v>4439901</v>
      </c>
      <c r="F700" s="16" t="s">
        <v>102</v>
      </c>
      <c r="G700" s="17">
        <v>212</v>
      </c>
      <c r="H700" s="49">
        <v>0</v>
      </c>
    </row>
    <row r="701" spans="1:8" ht="14" x14ac:dyDescent="0.15">
      <c r="A701" s="15" t="s">
        <v>84</v>
      </c>
      <c r="B701" s="16" t="s">
        <v>79</v>
      </c>
      <c r="C701" s="16" t="s">
        <v>80</v>
      </c>
      <c r="D701" s="16" t="s">
        <v>125</v>
      </c>
      <c r="E701" s="16">
        <v>4439901</v>
      </c>
      <c r="F701" s="16" t="s">
        <v>102</v>
      </c>
      <c r="G701" s="17">
        <v>213</v>
      </c>
      <c r="H701" s="49">
        <f>1772.5+19.8</f>
        <v>1792.3</v>
      </c>
    </row>
    <row r="702" spans="1:8" ht="14" x14ac:dyDescent="0.15">
      <c r="A702" s="15" t="s">
        <v>85</v>
      </c>
      <c r="B702" s="16" t="s">
        <v>79</v>
      </c>
      <c r="C702" s="16" t="s">
        <v>80</v>
      </c>
      <c r="D702" s="16" t="s">
        <v>125</v>
      </c>
      <c r="E702" s="16">
        <v>4439901</v>
      </c>
      <c r="F702" s="16" t="s">
        <v>102</v>
      </c>
      <c r="G702" s="17">
        <v>221</v>
      </c>
      <c r="H702" s="49">
        <v>0</v>
      </c>
    </row>
    <row r="703" spans="1:8" ht="14" x14ac:dyDescent="0.15">
      <c r="A703" s="15" t="s">
        <v>86</v>
      </c>
      <c r="B703" s="16" t="s">
        <v>79</v>
      </c>
      <c r="C703" s="16" t="s">
        <v>80</v>
      </c>
      <c r="D703" s="16" t="s">
        <v>125</v>
      </c>
      <c r="E703" s="16">
        <v>4439901</v>
      </c>
      <c r="F703" s="16" t="s">
        <v>102</v>
      </c>
      <c r="G703" s="17">
        <v>222</v>
      </c>
      <c r="H703" s="49">
        <v>0</v>
      </c>
    </row>
    <row r="704" spans="1:8" ht="14" x14ac:dyDescent="0.15">
      <c r="A704" s="15" t="s">
        <v>87</v>
      </c>
      <c r="B704" s="16" t="s">
        <v>79</v>
      </c>
      <c r="C704" s="16" t="s">
        <v>80</v>
      </c>
      <c r="D704" s="16" t="s">
        <v>125</v>
      </c>
      <c r="E704" s="16">
        <v>4439901</v>
      </c>
      <c r="F704" s="16" t="s">
        <v>102</v>
      </c>
      <c r="G704" s="17">
        <v>223</v>
      </c>
      <c r="H704" s="49">
        <v>0</v>
      </c>
    </row>
    <row r="705" spans="1:8" ht="14" x14ac:dyDescent="0.15">
      <c r="A705" s="15" t="s">
        <v>134</v>
      </c>
      <c r="B705" s="16" t="s">
        <v>79</v>
      </c>
      <c r="C705" s="16" t="s">
        <v>80</v>
      </c>
      <c r="D705" s="16" t="s">
        <v>125</v>
      </c>
      <c r="E705" s="16">
        <v>4439901</v>
      </c>
      <c r="F705" s="16" t="s">
        <v>102</v>
      </c>
      <c r="G705" s="17">
        <v>224</v>
      </c>
      <c r="H705" s="49">
        <v>0</v>
      </c>
    </row>
    <row r="706" spans="1:8" ht="14" x14ac:dyDescent="0.15">
      <c r="A706" s="15" t="s">
        <v>90</v>
      </c>
      <c r="B706" s="16" t="s">
        <v>79</v>
      </c>
      <c r="C706" s="16" t="s">
        <v>80</v>
      </c>
      <c r="D706" s="16" t="s">
        <v>125</v>
      </c>
      <c r="E706" s="16">
        <v>4439901</v>
      </c>
      <c r="F706" s="16" t="s">
        <v>102</v>
      </c>
      <c r="G706" s="17">
        <v>225</v>
      </c>
      <c r="H706" s="49">
        <v>0</v>
      </c>
    </row>
    <row r="707" spans="1:8" ht="14" x14ac:dyDescent="0.15">
      <c r="A707" s="15" t="s">
        <v>91</v>
      </c>
      <c r="B707" s="16" t="s">
        <v>79</v>
      </c>
      <c r="C707" s="16" t="s">
        <v>80</v>
      </c>
      <c r="D707" s="16" t="s">
        <v>125</v>
      </c>
      <c r="E707" s="16">
        <v>4439901</v>
      </c>
      <c r="F707" s="16" t="s">
        <v>102</v>
      </c>
      <c r="G707" s="17">
        <v>226</v>
      </c>
      <c r="H707" s="49">
        <v>0</v>
      </c>
    </row>
    <row r="708" spans="1:8" ht="14" x14ac:dyDescent="0.15">
      <c r="A708" s="11" t="s">
        <v>94</v>
      </c>
      <c r="B708" s="16" t="s">
        <v>79</v>
      </c>
      <c r="C708" s="16" t="s">
        <v>80</v>
      </c>
      <c r="D708" s="16" t="s">
        <v>125</v>
      </c>
      <c r="E708" s="16">
        <v>4439901</v>
      </c>
      <c r="F708" s="16" t="s">
        <v>102</v>
      </c>
      <c r="G708" s="17">
        <v>290</v>
      </c>
      <c r="H708" s="49">
        <v>10.3</v>
      </c>
    </row>
    <row r="709" spans="1:8" ht="14" x14ac:dyDescent="0.15">
      <c r="A709" s="11" t="s">
        <v>94</v>
      </c>
      <c r="B709" s="16" t="s">
        <v>79</v>
      </c>
      <c r="C709" s="16" t="s">
        <v>80</v>
      </c>
      <c r="D709" s="16" t="s">
        <v>125</v>
      </c>
      <c r="E709" s="16" t="s">
        <v>238</v>
      </c>
      <c r="F709" s="16" t="s">
        <v>102</v>
      </c>
      <c r="G709" s="17" t="s">
        <v>95</v>
      </c>
      <c r="H709" s="49">
        <v>2</v>
      </c>
    </row>
    <row r="710" spans="1:8" ht="14" x14ac:dyDescent="0.15">
      <c r="A710" s="15" t="s">
        <v>96</v>
      </c>
      <c r="B710" s="16" t="s">
        <v>79</v>
      </c>
      <c r="C710" s="16" t="s">
        <v>80</v>
      </c>
      <c r="D710" s="16" t="s">
        <v>125</v>
      </c>
      <c r="E710" s="16">
        <v>4439901</v>
      </c>
      <c r="F710" s="16" t="s">
        <v>102</v>
      </c>
      <c r="G710" s="17">
        <v>310</v>
      </c>
      <c r="H710" s="49">
        <v>100</v>
      </c>
    </row>
    <row r="711" spans="1:8" ht="14" x14ac:dyDescent="0.15">
      <c r="A711" s="15" t="s">
        <v>97</v>
      </c>
      <c r="B711" s="16" t="s">
        <v>79</v>
      </c>
      <c r="C711" s="16" t="s">
        <v>80</v>
      </c>
      <c r="D711" s="16" t="s">
        <v>125</v>
      </c>
      <c r="E711" s="16">
        <v>4439901</v>
      </c>
      <c r="F711" s="16" t="s">
        <v>102</v>
      </c>
      <c r="G711" s="17">
        <v>340</v>
      </c>
      <c r="H711" s="49">
        <v>50</v>
      </c>
    </row>
    <row r="712" spans="1:8" ht="14" x14ac:dyDescent="0.15">
      <c r="A712" s="48" t="s">
        <v>98</v>
      </c>
      <c r="B712" s="20" t="s">
        <v>79</v>
      </c>
      <c r="C712" s="20" t="s">
        <v>80</v>
      </c>
      <c r="D712" s="20" t="s">
        <v>125</v>
      </c>
      <c r="E712" s="20" t="s">
        <v>239</v>
      </c>
      <c r="F712" s="20" t="s">
        <v>102</v>
      </c>
      <c r="G712" s="67"/>
      <c r="H712" s="50">
        <f>SUM(H699:H711)</f>
        <v>7206.7000000000007</v>
      </c>
    </row>
    <row r="713" spans="1:8" ht="14" x14ac:dyDescent="0.15">
      <c r="A713" s="48" t="s">
        <v>160</v>
      </c>
      <c r="B713" s="20"/>
      <c r="C713" s="20"/>
      <c r="D713" s="20"/>
      <c r="E713" s="20"/>
      <c r="F713" s="20"/>
      <c r="G713" s="67"/>
      <c r="H713" s="50"/>
    </row>
    <row r="714" spans="1:8" ht="14" x14ac:dyDescent="0.15">
      <c r="A714" s="15" t="s">
        <v>124</v>
      </c>
      <c r="B714" s="16" t="s">
        <v>79</v>
      </c>
      <c r="C714" s="16" t="s">
        <v>80</v>
      </c>
      <c r="D714" s="16" t="s">
        <v>125</v>
      </c>
      <c r="E714" s="16">
        <v>4439901</v>
      </c>
      <c r="F714" s="74" t="s">
        <v>102</v>
      </c>
      <c r="G714" s="17">
        <v>211</v>
      </c>
      <c r="H714" s="49">
        <f>1414+18.9</f>
        <v>1432.9</v>
      </c>
    </row>
    <row r="715" spans="1:8" ht="14" x14ac:dyDescent="0.15">
      <c r="A715" s="15" t="s">
        <v>83</v>
      </c>
      <c r="B715" s="16" t="s">
        <v>79</v>
      </c>
      <c r="C715" s="16" t="s">
        <v>80</v>
      </c>
      <c r="D715" s="16" t="s">
        <v>125</v>
      </c>
      <c r="E715" s="16">
        <v>4439901</v>
      </c>
      <c r="F715" s="74" t="s">
        <v>102</v>
      </c>
      <c r="G715" s="17">
        <v>212</v>
      </c>
      <c r="H715" s="49">
        <v>0</v>
      </c>
    </row>
    <row r="716" spans="1:8" ht="14" x14ac:dyDescent="0.15">
      <c r="A716" s="15" t="s">
        <v>84</v>
      </c>
      <c r="B716" s="16" t="s">
        <v>79</v>
      </c>
      <c r="C716" s="16" t="s">
        <v>80</v>
      </c>
      <c r="D716" s="16" t="s">
        <v>125</v>
      </c>
      <c r="E716" s="16">
        <v>4439901</v>
      </c>
      <c r="F716" s="74" t="s">
        <v>102</v>
      </c>
      <c r="G716" s="17">
        <v>213</v>
      </c>
      <c r="H716" s="49">
        <f>483.6+5.4</f>
        <v>489</v>
      </c>
    </row>
    <row r="717" spans="1:8" ht="14" x14ac:dyDescent="0.15">
      <c r="A717" s="15" t="s">
        <v>85</v>
      </c>
      <c r="B717" s="16" t="s">
        <v>79</v>
      </c>
      <c r="C717" s="16" t="s">
        <v>80</v>
      </c>
      <c r="D717" s="16" t="s">
        <v>125</v>
      </c>
      <c r="E717" s="16">
        <v>4439901</v>
      </c>
      <c r="F717" s="74" t="s">
        <v>102</v>
      </c>
      <c r="G717" s="17">
        <v>221</v>
      </c>
      <c r="H717" s="49">
        <v>0</v>
      </c>
    </row>
    <row r="718" spans="1:8" ht="14" x14ac:dyDescent="0.15">
      <c r="A718" s="15" t="s">
        <v>86</v>
      </c>
      <c r="B718" s="16" t="s">
        <v>79</v>
      </c>
      <c r="C718" s="16" t="s">
        <v>80</v>
      </c>
      <c r="D718" s="16" t="s">
        <v>125</v>
      </c>
      <c r="E718" s="16">
        <v>4439901</v>
      </c>
      <c r="F718" s="74" t="s">
        <v>102</v>
      </c>
      <c r="G718" s="17">
        <v>222</v>
      </c>
      <c r="H718" s="49">
        <v>0</v>
      </c>
    </row>
    <row r="719" spans="1:8" ht="14" x14ac:dyDescent="0.15">
      <c r="A719" s="15" t="s">
        <v>87</v>
      </c>
      <c r="B719" s="16" t="s">
        <v>79</v>
      </c>
      <c r="C719" s="16" t="s">
        <v>80</v>
      </c>
      <c r="D719" s="16" t="s">
        <v>125</v>
      </c>
      <c r="E719" s="16">
        <v>4439901</v>
      </c>
      <c r="F719" s="74" t="s">
        <v>102</v>
      </c>
      <c r="G719" s="17">
        <v>223</v>
      </c>
      <c r="H719" s="49">
        <v>0</v>
      </c>
    </row>
    <row r="720" spans="1:8" ht="14" x14ac:dyDescent="0.15">
      <c r="A720" s="15" t="s">
        <v>111</v>
      </c>
      <c r="B720" s="16" t="s">
        <v>79</v>
      </c>
      <c r="C720" s="16" t="s">
        <v>80</v>
      </c>
      <c r="D720" s="16" t="s">
        <v>125</v>
      </c>
      <c r="E720" s="16">
        <v>4439901</v>
      </c>
      <c r="F720" s="74" t="s">
        <v>102</v>
      </c>
      <c r="G720" s="17">
        <v>224</v>
      </c>
      <c r="H720" s="49">
        <f>420-24</f>
        <v>396</v>
      </c>
    </row>
    <row r="721" spans="1:8" ht="14" x14ac:dyDescent="0.15">
      <c r="A721" s="15" t="s">
        <v>90</v>
      </c>
      <c r="B721" s="16" t="s">
        <v>79</v>
      </c>
      <c r="C721" s="16" t="s">
        <v>80</v>
      </c>
      <c r="D721" s="16" t="s">
        <v>125</v>
      </c>
      <c r="E721" s="16">
        <v>4439901</v>
      </c>
      <c r="F721" s="74" t="s">
        <v>102</v>
      </c>
      <c r="G721" s="17">
        <v>225</v>
      </c>
      <c r="H721" s="49">
        <v>0</v>
      </c>
    </row>
    <row r="722" spans="1:8" ht="14" x14ac:dyDescent="0.15">
      <c r="A722" s="15" t="s">
        <v>91</v>
      </c>
      <c r="B722" s="16" t="s">
        <v>79</v>
      </c>
      <c r="C722" s="16" t="s">
        <v>80</v>
      </c>
      <c r="D722" s="16" t="s">
        <v>125</v>
      </c>
      <c r="E722" s="16">
        <v>4439901</v>
      </c>
      <c r="F722" s="74" t="s">
        <v>102</v>
      </c>
      <c r="G722" s="17">
        <v>226</v>
      </c>
      <c r="H722" s="49">
        <f>800+24+230-390.428+236.879+153.638</f>
        <v>1054.0889999999999</v>
      </c>
    </row>
    <row r="723" spans="1:8" ht="14" x14ac:dyDescent="0.15">
      <c r="A723" s="11" t="s">
        <v>94</v>
      </c>
      <c r="B723" s="16" t="s">
        <v>79</v>
      </c>
      <c r="C723" s="16" t="s">
        <v>80</v>
      </c>
      <c r="D723" s="16" t="s">
        <v>125</v>
      </c>
      <c r="E723" s="16">
        <v>4439901</v>
      </c>
      <c r="F723" s="74" t="s">
        <v>102</v>
      </c>
      <c r="G723" s="17">
        <v>290</v>
      </c>
      <c r="H723" s="49">
        <v>0</v>
      </c>
    </row>
    <row r="724" spans="1:8" ht="14" x14ac:dyDescent="0.15">
      <c r="A724" s="11" t="s">
        <v>94</v>
      </c>
      <c r="B724" s="16" t="s">
        <v>79</v>
      </c>
      <c r="C724" s="16" t="s">
        <v>80</v>
      </c>
      <c r="D724" s="16" t="s">
        <v>125</v>
      </c>
      <c r="E724" s="16" t="s">
        <v>238</v>
      </c>
      <c r="F724" s="74" t="s">
        <v>102</v>
      </c>
      <c r="G724" s="17" t="s">
        <v>95</v>
      </c>
      <c r="H724" s="49">
        <v>0</v>
      </c>
    </row>
    <row r="725" spans="1:8" ht="14" x14ac:dyDescent="0.15">
      <c r="A725" s="15" t="s">
        <v>96</v>
      </c>
      <c r="B725" s="16" t="s">
        <v>79</v>
      </c>
      <c r="C725" s="16" t="s">
        <v>80</v>
      </c>
      <c r="D725" s="16" t="s">
        <v>125</v>
      </c>
      <c r="E725" s="16" t="s">
        <v>240</v>
      </c>
      <c r="F725" s="74" t="s">
        <v>102</v>
      </c>
      <c r="G725" s="17">
        <v>310</v>
      </c>
      <c r="H725" s="441">
        <f>600-222.3</f>
        <v>377.7</v>
      </c>
    </row>
    <row r="726" spans="1:8" ht="14" x14ac:dyDescent="0.15">
      <c r="A726" s="15" t="s">
        <v>97</v>
      </c>
      <c r="B726" s="16" t="s">
        <v>79</v>
      </c>
      <c r="C726" s="16" t="s">
        <v>80</v>
      </c>
      <c r="D726" s="16" t="s">
        <v>125</v>
      </c>
      <c r="E726" s="16">
        <v>4439901</v>
      </c>
      <c r="F726" s="74" t="s">
        <v>102</v>
      </c>
      <c r="G726" s="17">
        <v>340</v>
      </c>
      <c r="H726" s="49">
        <v>66</v>
      </c>
    </row>
    <row r="727" spans="1:8" ht="14" x14ac:dyDescent="0.15">
      <c r="A727" s="48" t="s">
        <v>98</v>
      </c>
      <c r="B727" s="20" t="s">
        <v>79</v>
      </c>
      <c r="C727" s="20" t="s">
        <v>80</v>
      </c>
      <c r="D727" s="20" t="s">
        <v>125</v>
      </c>
      <c r="E727" s="20" t="s">
        <v>239</v>
      </c>
      <c r="F727" s="76" t="s">
        <v>102</v>
      </c>
      <c r="G727" s="67"/>
      <c r="H727" s="50">
        <f>SUM(H714:H726)</f>
        <v>3815.6889999999999</v>
      </c>
    </row>
    <row r="728" spans="1:8" ht="14" x14ac:dyDescent="0.15">
      <c r="A728" s="18" t="s">
        <v>161</v>
      </c>
      <c r="B728" s="16"/>
      <c r="C728" s="16"/>
      <c r="D728" s="16"/>
      <c r="E728" s="16"/>
      <c r="F728" s="16"/>
      <c r="G728" s="21"/>
      <c r="H728" s="50">
        <f>H726+H725+H722</f>
        <v>1497.789</v>
      </c>
    </row>
    <row r="729" spans="1:8" ht="14" x14ac:dyDescent="0.15">
      <c r="A729" s="15" t="s">
        <v>78</v>
      </c>
      <c r="B729" s="16" t="s">
        <v>79</v>
      </c>
      <c r="C729" s="16" t="s">
        <v>80</v>
      </c>
      <c r="D729" s="16" t="s">
        <v>125</v>
      </c>
      <c r="E729" s="16">
        <v>4439901</v>
      </c>
      <c r="F729" s="16" t="s">
        <v>102</v>
      </c>
      <c r="G729" s="17">
        <v>211</v>
      </c>
      <c r="H729" s="49">
        <f>38015.9+725+508.7</f>
        <v>39249.599999999999</v>
      </c>
    </row>
    <row r="730" spans="1:8" ht="14" x14ac:dyDescent="0.15">
      <c r="A730" s="15" t="s">
        <v>103</v>
      </c>
      <c r="B730" s="16" t="s">
        <v>79</v>
      </c>
      <c r="C730" s="16" t="s">
        <v>80</v>
      </c>
      <c r="D730" s="16" t="s">
        <v>125</v>
      </c>
      <c r="E730" s="16">
        <v>4439901</v>
      </c>
      <c r="F730" s="16" t="s">
        <v>102</v>
      </c>
      <c r="G730" s="17">
        <v>212</v>
      </c>
      <c r="H730" s="49">
        <v>500</v>
      </c>
    </row>
    <row r="731" spans="1:8" ht="14" x14ac:dyDescent="0.15">
      <c r="A731" s="15" t="s">
        <v>84</v>
      </c>
      <c r="B731" s="16" t="s">
        <v>79</v>
      </c>
      <c r="C731" s="16" t="s">
        <v>80</v>
      </c>
      <c r="D731" s="16" t="s">
        <v>125</v>
      </c>
      <c r="E731" s="16">
        <v>4439901</v>
      </c>
      <c r="F731" s="16" t="s">
        <v>102</v>
      </c>
      <c r="G731" s="17">
        <v>213</v>
      </c>
      <c r="H731" s="49">
        <f>13001.4-725+145</f>
        <v>12421.4</v>
      </c>
    </row>
    <row r="732" spans="1:8" ht="14" x14ac:dyDescent="0.15">
      <c r="A732" s="15" t="s">
        <v>85</v>
      </c>
      <c r="B732" s="16" t="s">
        <v>79</v>
      </c>
      <c r="C732" s="16" t="s">
        <v>80</v>
      </c>
      <c r="D732" s="16" t="s">
        <v>125</v>
      </c>
      <c r="E732" s="16">
        <v>4439901</v>
      </c>
      <c r="F732" s="16" t="s">
        <v>102</v>
      </c>
      <c r="G732" s="17">
        <v>221</v>
      </c>
      <c r="H732" s="49">
        <v>0</v>
      </c>
    </row>
    <row r="733" spans="1:8" ht="14" x14ac:dyDescent="0.15">
      <c r="A733" s="15" t="s">
        <v>86</v>
      </c>
      <c r="B733" s="16" t="s">
        <v>79</v>
      </c>
      <c r="C733" s="16" t="s">
        <v>80</v>
      </c>
      <c r="D733" s="16" t="s">
        <v>125</v>
      </c>
      <c r="E733" s="16">
        <v>4439901</v>
      </c>
      <c r="F733" s="16" t="s">
        <v>102</v>
      </c>
      <c r="G733" s="17">
        <v>222</v>
      </c>
      <c r="H733" s="441">
        <f>2500+456+801.6+70+253.5</f>
        <v>4081.1</v>
      </c>
    </row>
    <row r="734" spans="1:8" ht="14" x14ac:dyDescent="0.15">
      <c r="A734" s="15" t="s">
        <v>87</v>
      </c>
      <c r="B734" s="16" t="s">
        <v>79</v>
      </c>
      <c r="C734" s="16" t="s">
        <v>80</v>
      </c>
      <c r="D734" s="16" t="s">
        <v>125</v>
      </c>
      <c r="E734" s="16">
        <v>4439901</v>
      </c>
      <c r="F734" s="16" t="s">
        <v>102</v>
      </c>
      <c r="G734" s="17">
        <v>223</v>
      </c>
      <c r="H734" s="49">
        <f>347.5-50-25</f>
        <v>272.5</v>
      </c>
    </row>
    <row r="735" spans="1:8" ht="14" x14ac:dyDescent="0.15">
      <c r="A735" s="15" t="s">
        <v>134</v>
      </c>
      <c r="B735" s="16" t="s">
        <v>79</v>
      </c>
      <c r="C735" s="16" t="s">
        <v>80</v>
      </c>
      <c r="D735" s="16" t="s">
        <v>125</v>
      </c>
      <c r="E735" s="16">
        <v>4439901</v>
      </c>
      <c r="F735" s="16" t="s">
        <v>102</v>
      </c>
      <c r="G735" s="17">
        <v>224</v>
      </c>
      <c r="H735" s="49">
        <f>200</f>
        <v>200</v>
      </c>
    </row>
    <row r="736" spans="1:8" ht="14" x14ac:dyDescent="0.15">
      <c r="A736" s="15" t="s">
        <v>90</v>
      </c>
      <c r="B736" s="16" t="s">
        <v>79</v>
      </c>
      <c r="C736" s="16" t="s">
        <v>80</v>
      </c>
      <c r="D736" s="16" t="s">
        <v>125</v>
      </c>
      <c r="E736" s="16">
        <v>4439901</v>
      </c>
      <c r="F736" s="16" t="s">
        <v>102</v>
      </c>
      <c r="G736" s="17">
        <v>225</v>
      </c>
      <c r="H736" s="49">
        <v>0</v>
      </c>
    </row>
    <row r="737" spans="1:8" ht="14" x14ac:dyDescent="0.15">
      <c r="A737" s="15" t="s">
        <v>91</v>
      </c>
      <c r="B737" s="16" t="s">
        <v>79</v>
      </c>
      <c r="C737" s="16" t="s">
        <v>80</v>
      </c>
      <c r="D737" s="16" t="s">
        <v>125</v>
      </c>
      <c r="E737" s="16">
        <v>4439901</v>
      </c>
      <c r="F737" s="16" t="s">
        <v>102</v>
      </c>
      <c r="G737" s="17">
        <v>226</v>
      </c>
      <c r="H737" s="441">
        <f>2000+30+360+10800+288</f>
        <v>13478</v>
      </c>
    </row>
    <row r="738" spans="1:8" ht="14" x14ac:dyDescent="0.15">
      <c r="A738" s="11" t="s">
        <v>94</v>
      </c>
      <c r="B738" s="16" t="s">
        <v>79</v>
      </c>
      <c r="C738" s="16" t="s">
        <v>80</v>
      </c>
      <c r="D738" s="16" t="s">
        <v>125</v>
      </c>
      <c r="E738" s="16">
        <v>4439901</v>
      </c>
      <c r="F738" s="16" t="s">
        <v>102</v>
      </c>
      <c r="G738" s="17">
        <v>290</v>
      </c>
      <c r="H738" s="49">
        <v>29.6</v>
      </c>
    </row>
    <row r="739" spans="1:8" ht="14" x14ac:dyDescent="0.15">
      <c r="A739" s="11" t="s">
        <v>94</v>
      </c>
      <c r="B739" s="16" t="s">
        <v>79</v>
      </c>
      <c r="C739" s="16" t="s">
        <v>80</v>
      </c>
      <c r="D739" s="16" t="s">
        <v>125</v>
      </c>
      <c r="E739" s="16" t="s">
        <v>238</v>
      </c>
      <c r="F739" s="16" t="s">
        <v>102</v>
      </c>
      <c r="G739" s="17" t="s">
        <v>95</v>
      </c>
      <c r="H739" s="49">
        <f>301.6+22.6</f>
        <v>324.20000000000005</v>
      </c>
    </row>
    <row r="740" spans="1:8" ht="14" x14ac:dyDescent="0.15">
      <c r="A740" s="15" t="s">
        <v>96</v>
      </c>
      <c r="B740" s="16" t="s">
        <v>79</v>
      </c>
      <c r="C740" s="16" t="s">
        <v>80</v>
      </c>
      <c r="D740" s="16" t="s">
        <v>125</v>
      </c>
      <c r="E740" s="16">
        <v>4439901</v>
      </c>
      <c r="F740" s="16" t="s">
        <v>102</v>
      </c>
      <c r="G740" s="17">
        <v>310</v>
      </c>
      <c r="H740" s="49">
        <v>1500</v>
      </c>
    </row>
    <row r="741" spans="1:8" ht="14" x14ac:dyDescent="0.15">
      <c r="A741" s="15" t="s">
        <v>97</v>
      </c>
      <c r="B741" s="16" t="s">
        <v>79</v>
      </c>
      <c r="C741" s="16" t="s">
        <v>80</v>
      </c>
      <c r="D741" s="16" t="s">
        <v>125</v>
      </c>
      <c r="E741" s="16">
        <v>4439901</v>
      </c>
      <c r="F741" s="16" t="s">
        <v>102</v>
      </c>
      <c r="G741" s="17">
        <v>340</v>
      </c>
      <c r="H741" s="49">
        <v>1500</v>
      </c>
    </row>
    <row r="742" spans="1:8" ht="14" x14ac:dyDescent="0.15">
      <c r="A742" s="18" t="s">
        <v>98</v>
      </c>
      <c r="B742" s="19" t="s">
        <v>79</v>
      </c>
      <c r="C742" s="19" t="s">
        <v>80</v>
      </c>
      <c r="D742" s="19" t="s">
        <v>125</v>
      </c>
      <c r="E742" s="20" t="s">
        <v>239</v>
      </c>
      <c r="F742" s="20" t="s">
        <v>102</v>
      </c>
      <c r="G742" s="21"/>
      <c r="H742" s="32">
        <f>SUM(H729:H741)</f>
        <v>73556.400000000009</v>
      </c>
    </row>
    <row r="743" spans="1:8" ht="14" x14ac:dyDescent="0.15">
      <c r="A743" s="51" t="s">
        <v>162</v>
      </c>
      <c r="B743" s="54"/>
      <c r="C743" s="54"/>
      <c r="D743" s="54"/>
      <c r="E743" s="54"/>
      <c r="F743" s="54"/>
      <c r="G743" s="66"/>
      <c r="H743" s="50"/>
    </row>
    <row r="744" spans="1:8" ht="14" x14ac:dyDescent="0.15">
      <c r="A744" s="53" t="s">
        <v>78</v>
      </c>
      <c r="B744" s="54" t="s">
        <v>79</v>
      </c>
      <c r="C744" s="54" t="s">
        <v>80</v>
      </c>
      <c r="D744" s="54" t="s">
        <v>125</v>
      </c>
      <c r="E744" s="54" t="s">
        <v>240</v>
      </c>
      <c r="F744" s="54" t="s">
        <v>102</v>
      </c>
      <c r="G744" s="64">
        <v>211</v>
      </c>
      <c r="H744" s="52">
        <f>H399+H414+H429+H444+H459+H474+H489+H504+H519+H534+H549+H564+H579+H594+H609+H624+H639+H654+H669+H684+H699+H714+H729</f>
        <v>292074.11000000004</v>
      </c>
    </row>
    <row r="745" spans="1:8" ht="14" x14ac:dyDescent="0.15">
      <c r="A745" s="53" t="s">
        <v>103</v>
      </c>
      <c r="B745" s="54" t="s">
        <v>79</v>
      </c>
      <c r="C745" s="54" t="s">
        <v>80</v>
      </c>
      <c r="D745" s="54" t="s">
        <v>125</v>
      </c>
      <c r="E745" s="54" t="s">
        <v>240</v>
      </c>
      <c r="F745" s="54" t="s">
        <v>102</v>
      </c>
      <c r="G745" s="64">
        <v>212</v>
      </c>
      <c r="H745" s="52">
        <f t="shared" ref="H745:H756" si="6">H400+H415+H430+H445+H460+H475+H490+H505+H520+H535+H550+H565+H580+H595+H610+H625+H640+H655+H670+H685+H700+H715+H730</f>
        <v>506.4</v>
      </c>
    </row>
    <row r="746" spans="1:8" ht="14" x14ac:dyDescent="0.15">
      <c r="A746" s="53" t="s">
        <v>84</v>
      </c>
      <c r="B746" s="54" t="s">
        <v>79</v>
      </c>
      <c r="C746" s="54" t="s">
        <v>80</v>
      </c>
      <c r="D746" s="54" t="s">
        <v>125</v>
      </c>
      <c r="E746" s="54" t="s">
        <v>240</v>
      </c>
      <c r="F746" s="54" t="s">
        <v>102</v>
      </c>
      <c r="G746" s="64">
        <v>213</v>
      </c>
      <c r="H746" s="52">
        <f t="shared" si="6"/>
        <v>96703.3</v>
      </c>
    </row>
    <row r="747" spans="1:8" ht="14" x14ac:dyDescent="0.15">
      <c r="A747" s="53" t="s">
        <v>85</v>
      </c>
      <c r="B747" s="54" t="s">
        <v>79</v>
      </c>
      <c r="C747" s="54" t="s">
        <v>80</v>
      </c>
      <c r="D747" s="54" t="s">
        <v>125</v>
      </c>
      <c r="E747" s="54" t="s">
        <v>240</v>
      </c>
      <c r="F747" s="54" t="s">
        <v>102</v>
      </c>
      <c r="G747" s="64">
        <v>221</v>
      </c>
      <c r="H747" s="52">
        <f t="shared" si="6"/>
        <v>0</v>
      </c>
    </row>
    <row r="748" spans="1:8" ht="14" x14ac:dyDescent="0.15">
      <c r="A748" s="53" t="s">
        <v>86</v>
      </c>
      <c r="B748" s="54" t="s">
        <v>79</v>
      </c>
      <c r="C748" s="54" t="s">
        <v>80</v>
      </c>
      <c r="D748" s="54" t="s">
        <v>125</v>
      </c>
      <c r="E748" s="54" t="s">
        <v>240</v>
      </c>
      <c r="F748" s="54" t="s">
        <v>102</v>
      </c>
      <c r="G748" s="64">
        <v>222</v>
      </c>
      <c r="H748" s="52">
        <f t="shared" si="6"/>
        <v>4583.5</v>
      </c>
    </row>
    <row r="749" spans="1:8" ht="14" x14ac:dyDescent="0.15">
      <c r="A749" s="53" t="s">
        <v>87</v>
      </c>
      <c r="B749" s="54" t="s">
        <v>79</v>
      </c>
      <c r="C749" s="54" t="s">
        <v>80</v>
      </c>
      <c r="D749" s="54" t="s">
        <v>125</v>
      </c>
      <c r="E749" s="54" t="s">
        <v>240</v>
      </c>
      <c r="F749" s="54" t="s">
        <v>102</v>
      </c>
      <c r="G749" s="64">
        <v>223</v>
      </c>
      <c r="H749" s="52">
        <f t="shared" si="6"/>
        <v>5057.2699999999995</v>
      </c>
    </row>
    <row r="750" spans="1:8" ht="14" x14ac:dyDescent="0.15">
      <c r="A750" s="53" t="s">
        <v>134</v>
      </c>
      <c r="B750" s="54" t="s">
        <v>79</v>
      </c>
      <c r="C750" s="54" t="s">
        <v>80</v>
      </c>
      <c r="D750" s="54" t="s">
        <v>125</v>
      </c>
      <c r="E750" s="54" t="s">
        <v>240</v>
      </c>
      <c r="F750" s="54" t="s">
        <v>102</v>
      </c>
      <c r="G750" s="64">
        <v>224</v>
      </c>
      <c r="H750" s="52">
        <f t="shared" si="6"/>
        <v>1337</v>
      </c>
    </row>
    <row r="751" spans="1:8" ht="14" x14ac:dyDescent="0.15">
      <c r="A751" s="53" t="s">
        <v>90</v>
      </c>
      <c r="B751" s="54" t="s">
        <v>79</v>
      </c>
      <c r="C751" s="54" t="s">
        <v>80</v>
      </c>
      <c r="D751" s="54" t="s">
        <v>125</v>
      </c>
      <c r="E751" s="54" t="s">
        <v>240</v>
      </c>
      <c r="F751" s="54" t="s">
        <v>102</v>
      </c>
      <c r="G751" s="64">
        <v>225</v>
      </c>
      <c r="H751" s="52">
        <f t="shared" si="6"/>
        <v>9039</v>
      </c>
    </row>
    <row r="752" spans="1:8" ht="14" x14ac:dyDescent="0.15">
      <c r="A752" s="53" t="s">
        <v>91</v>
      </c>
      <c r="B752" s="54" t="s">
        <v>79</v>
      </c>
      <c r="C752" s="54" t="s">
        <v>80</v>
      </c>
      <c r="D752" s="54" t="s">
        <v>125</v>
      </c>
      <c r="E752" s="54" t="s">
        <v>240</v>
      </c>
      <c r="F752" s="54" t="s">
        <v>102</v>
      </c>
      <c r="G752" s="64">
        <v>226</v>
      </c>
      <c r="H752" s="52">
        <f t="shared" si="6"/>
        <v>19545.899999999998</v>
      </c>
    </row>
    <row r="753" spans="1:8" ht="14" x14ac:dyDescent="0.15">
      <c r="A753" s="68" t="s">
        <v>94</v>
      </c>
      <c r="B753" s="54" t="s">
        <v>79</v>
      </c>
      <c r="C753" s="54" t="s">
        <v>80</v>
      </c>
      <c r="D753" s="54" t="s">
        <v>125</v>
      </c>
      <c r="E753" s="54" t="s">
        <v>240</v>
      </c>
      <c r="F753" s="54" t="s">
        <v>102</v>
      </c>
      <c r="G753" s="64">
        <v>290</v>
      </c>
      <c r="H753" s="52">
        <f t="shared" si="6"/>
        <v>1804.595</v>
      </c>
    </row>
    <row r="754" spans="1:8" ht="14" x14ac:dyDescent="0.15">
      <c r="A754" s="68" t="s">
        <v>94</v>
      </c>
      <c r="B754" s="54" t="s">
        <v>79</v>
      </c>
      <c r="C754" s="54" t="s">
        <v>80</v>
      </c>
      <c r="D754" s="54" t="s">
        <v>125</v>
      </c>
      <c r="E754" s="54" t="s">
        <v>238</v>
      </c>
      <c r="F754" s="54" t="s">
        <v>102</v>
      </c>
      <c r="G754" s="64" t="s">
        <v>95</v>
      </c>
      <c r="H754" s="52">
        <f t="shared" si="6"/>
        <v>13208.065000000002</v>
      </c>
    </row>
    <row r="755" spans="1:8" ht="14" x14ac:dyDescent="0.15">
      <c r="A755" s="53" t="s">
        <v>96</v>
      </c>
      <c r="B755" s="54" t="s">
        <v>79</v>
      </c>
      <c r="C755" s="54" t="s">
        <v>80</v>
      </c>
      <c r="D755" s="54" t="s">
        <v>125</v>
      </c>
      <c r="E755" s="54" t="s">
        <v>240</v>
      </c>
      <c r="F755" s="54" t="s">
        <v>102</v>
      </c>
      <c r="G755" s="64">
        <v>310</v>
      </c>
      <c r="H755" s="52">
        <f t="shared" si="6"/>
        <v>5325.7</v>
      </c>
    </row>
    <row r="756" spans="1:8" ht="14" x14ac:dyDescent="0.15">
      <c r="A756" s="53" t="s">
        <v>97</v>
      </c>
      <c r="B756" s="54" t="s">
        <v>79</v>
      </c>
      <c r="C756" s="54" t="s">
        <v>80</v>
      </c>
      <c r="D756" s="54" t="s">
        <v>125</v>
      </c>
      <c r="E756" s="54" t="s">
        <v>240</v>
      </c>
      <c r="F756" s="54" t="s">
        <v>102</v>
      </c>
      <c r="G756" s="64">
        <v>340</v>
      </c>
      <c r="H756" s="52">
        <f t="shared" si="6"/>
        <v>5422</v>
      </c>
    </row>
    <row r="757" spans="1:8" ht="14" x14ac:dyDescent="0.15">
      <c r="A757" s="51" t="s">
        <v>98</v>
      </c>
      <c r="B757" s="62" t="s">
        <v>79</v>
      </c>
      <c r="C757" s="62" t="s">
        <v>80</v>
      </c>
      <c r="D757" s="62" t="s">
        <v>125</v>
      </c>
      <c r="E757" s="65" t="s">
        <v>239</v>
      </c>
      <c r="F757" s="65" t="s">
        <v>102</v>
      </c>
      <c r="G757" s="66"/>
      <c r="H757" s="56">
        <f>SUM(H744:H756)</f>
        <v>454606.84000000008</v>
      </c>
    </row>
    <row r="758" spans="1:8" ht="14" x14ac:dyDescent="0.15">
      <c r="A758" s="18"/>
      <c r="B758" s="19"/>
      <c r="C758" s="19"/>
      <c r="D758" s="19"/>
      <c r="E758" s="20"/>
      <c r="F758" s="20"/>
      <c r="G758" s="21"/>
      <c r="H758" s="50"/>
    </row>
    <row r="759" spans="1:8" ht="14" x14ac:dyDescent="0.15">
      <c r="A759" s="51"/>
      <c r="B759" s="62"/>
      <c r="C759" s="62"/>
      <c r="D759" s="62"/>
      <c r="E759" s="65"/>
      <c r="F759" s="65"/>
      <c r="G759" s="66"/>
      <c r="H759" s="56"/>
    </row>
    <row r="760" spans="1:8" ht="14" x14ac:dyDescent="0.15">
      <c r="A760" s="53" t="s">
        <v>103</v>
      </c>
      <c r="B760" s="54" t="s">
        <v>79</v>
      </c>
      <c r="C760" s="54" t="s">
        <v>80</v>
      </c>
      <c r="D760" s="54" t="s">
        <v>125</v>
      </c>
      <c r="E760" s="54">
        <v>4508501</v>
      </c>
      <c r="F760" s="54" t="s">
        <v>102</v>
      </c>
      <c r="G760" s="64" t="s">
        <v>163</v>
      </c>
      <c r="H760" s="52">
        <v>0</v>
      </c>
    </row>
    <row r="761" spans="1:8" ht="14" x14ac:dyDescent="0.15">
      <c r="A761" s="53"/>
      <c r="B761" s="54"/>
      <c r="C761" s="54"/>
      <c r="D761" s="54"/>
      <c r="E761" s="54"/>
      <c r="F761" s="54"/>
      <c r="G761" s="64"/>
      <c r="H761" s="52">
        <v>0</v>
      </c>
    </row>
    <row r="762" spans="1:8" ht="14" x14ac:dyDescent="0.15">
      <c r="A762" s="53" t="s">
        <v>85</v>
      </c>
      <c r="B762" s="54" t="s">
        <v>79</v>
      </c>
      <c r="C762" s="54" t="s">
        <v>80</v>
      </c>
      <c r="D762" s="54" t="s">
        <v>125</v>
      </c>
      <c r="E762" s="54">
        <v>4508501</v>
      </c>
      <c r="F762" s="54" t="s">
        <v>102</v>
      </c>
      <c r="G762" s="64" t="s">
        <v>164</v>
      </c>
      <c r="H762" s="52">
        <v>0</v>
      </c>
    </row>
    <row r="763" spans="1:8" ht="14" x14ac:dyDescent="0.15">
      <c r="A763" s="53" t="s">
        <v>86</v>
      </c>
      <c r="B763" s="54" t="s">
        <v>79</v>
      </c>
      <c r="C763" s="54" t="s">
        <v>80</v>
      </c>
      <c r="D763" s="54" t="s">
        <v>125</v>
      </c>
      <c r="E763" s="54">
        <v>4508501</v>
      </c>
      <c r="F763" s="54" t="s">
        <v>102</v>
      </c>
      <c r="G763" s="64" t="s">
        <v>165</v>
      </c>
      <c r="H763" s="52">
        <f>280+50-36-100</f>
        <v>194</v>
      </c>
    </row>
    <row r="764" spans="1:8" ht="14" x14ac:dyDescent="0.15">
      <c r="A764" s="53"/>
      <c r="B764" s="54"/>
      <c r="C764" s="54"/>
      <c r="D764" s="54"/>
      <c r="E764" s="54"/>
      <c r="F764" s="54"/>
      <c r="G764" s="64"/>
      <c r="H764" s="52">
        <v>0</v>
      </c>
    </row>
    <row r="765" spans="1:8" ht="14" x14ac:dyDescent="0.15">
      <c r="A765" s="53" t="s">
        <v>134</v>
      </c>
      <c r="B765" s="54" t="s">
        <v>79</v>
      </c>
      <c r="C765" s="54" t="s">
        <v>80</v>
      </c>
      <c r="D765" s="54" t="s">
        <v>125</v>
      </c>
      <c r="E765" s="54">
        <v>4508501</v>
      </c>
      <c r="F765" s="54" t="s">
        <v>102</v>
      </c>
      <c r="G765" s="64" t="s">
        <v>166</v>
      </c>
      <c r="H765" s="52">
        <f>500+85+50-200-100</f>
        <v>335</v>
      </c>
    </row>
    <row r="766" spans="1:8" ht="14" x14ac:dyDescent="0.15">
      <c r="A766" s="53"/>
      <c r="B766" s="54"/>
      <c r="C766" s="54"/>
      <c r="D766" s="54"/>
      <c r="E766" s="54"/>
      <c r="F766" s="54"/>
      <c r="G766" s="64" t="s">
        <v>167</v>
      </c>
      <c r="H766" s="52">
        <v>0</v>
      </c>
    </row>
    <row r="767" spans="1:8" ht="14" x14ac:dyDescent="0.15">
      <c r="A767" s="51" t="s">
        <v>168</v>
      </c>
      <c r="B767" s="54" t="s">
        <v>79</v>
      </c>
      <c r="C767" s="54" t="s">
        <v>80</v>
      </c>
      <c r="D767" s="54" t="s">
        <v>125</v>
      </c>
      <c r="E767" s="54" t="s">
        <v>169</v>
      </c>
      <c r="F767" s="54" t="s">
        <v>102</v>
      </c>
      <c r="G767" s="64">
        <v>226</v>
      </c>
      <c r="H767" s="441">
        <f>17000-686-1130+282.9-583.5-651.053+84-250-460-200-100-300-250-4948.6-1384.87-49.5+760-200+443.5+1000+(2418.67-560)</f>
        <v>10235.547</v>
      </c>
    </row>
    <row r="768" spans="1:8" ht="14" x14ac:dyDescent="0.15">
      <c r="A768" s="53"/>
      <c r="B768" s="54"/>
      <c r="C768" s="54"/>
      <c r="D768" s="54"/>
      <c r="E768" s="54"/>
      <c r="F768" s="54"/>
      <c r="G768" s="64"/>
      <c r="H768" s="52">
        <v>0</v>
      </c>
    </row>
    <row r="769" spans="1:8" ht="14" x14ac:dyDescent="0.15">
      <c r="A769" s="53"/>
      <c r="B769" s="54"/>
      <c r="C769" s="54"/>
      <c r="D769" s="54"/>
      <c r="E769" s="54"/>
      <c r="F769" s="54"/>
      <c r="G769" s="64" t="s">
        <v>95</v>
      </c>
      <c r="H769" s="52">
        <v>0</v>
      </c>
    </row>
    <row r="770" spans="1:8" ht="14" x14ac:dyDescent="0.15">
      <c r="A770" s="53"/>
      <c r="B770" s="54"/>
      <c r="C770" s="54"/>
      <c r="D770" s="54"/>
      <c r="E770" s="54"/>
      <c r="F770" s="54"/>
      <c r="G770" s="64" t="s">
        <v>170</v>
      </c>
      <c r="H770" s="52">
        <v>0</v>
      </c>
    </row>
    <row r="771" spans="1:8" ht="14" x14ac:dyDescent="0.15">
      <c r="A771" s="53" t="s">
        <v>97</v>
      </c>
      <c r="B771" s="54" t="s">
        <v>79</v>
      </c>
      <c r="C771" s="54" t="s">
        <v>80</v>
      </c>
      <c r="D771" s="54" t="s">
        <v>125</v>
      </c>
      <c r="E771" s="54">
        <v>4508501</v>
      </c>
      <c r="F771" s="54" t="s">
        <v>102</v>
      </c>
      <c r="G771" s="64" t="s">
        <v>171</v>
      </c>
      <c r="H771" s="52">
        <f>350-47</f>
        <v>303</v>
      </c>
    </row>
    <row r="772" spans="1:8" ht="14" x14ac:dyDescent="0.15">
      <c r="A772" s="51" t="s">
        <v>98</v>
      </c>
      <c r="B772" s="62" t="s">
        <v>79</v>
      </c>
      <c r="C772" s="62" t="s">
        <v>80</v>
      </c>
      <c r="D772" s="62" t="s">
        <v>125</v>
      </c>
      <c r="E772" s="62" t="s">
        <v>241</v>
      </c>
      <c r="F772" s="62" t="s">
        <v>102</v>
      </c>
      <c r="G772" s="66"/>
      <c r="H772" s="57">
        <f>SUM(H760:H771)</f>
        <v>11067.547</v>
      </c>
    </row>
    <row r="773" spans="1:8" ht="14" x14ac:dyDescent="0.15">
      <c r="A773" s="18" t="s">
        <v>172</v>
      </c>
      <c r="B773" s="16"/>
      <c r="C773" s="16"/>
      <c r="D773" s="16"/>
      <c r="E773" s="19"/>
      <c r="F773" s="19"/>
      <c r="G773" s="21"/>
      <c r="H773" s="32"/>
    </row>
    <row r="774" spans="1:8" ht="14" x14ac:dyDescent="0.15">
      <c r="A774" s="15" t="s">
        <v>78</v>
      </c>
      <c r="B774" s="16" t="s">
        <v>79</v>
      </c>
      <c r="C774" s="16" t="s">
        <v>80</v>
      </c>
      <c r="D774" s="16" t="s">
        <v>110</v>
      </c>
      <c r="E774" s="16" t="s">
        <v>173</v>
      </c>
      <c r="F774" s="16" t="s">
        <v>102</v>
      </c>
      <c r="G774" s="17">
        <v>211</v>
      </c>
      <c r="H774" s="49">
        <f>1094.7+14.6</f>
        <v>1109.3</v>
      </c>
    </row>
    <row r="775" spans="1:8" ht="14" x14ac:dyDescent="0.15">
      <c r="A775" s="15" t="s">
        <v>103</v>
      </c>
      <c r="B775" s="16" t="s">
        <v>79</v>
      </c>
      <c r="C775" s="16" t="s">
        <v>80</v>
      </c>
      <c r="D775" s="16" t="s">
        <v>110</v>
      </c>
      <c r="E775" s="16" t="s">
        <v>173</v>
      </c>
      <c r="F775" s="16" t="s">
        <v>102</v>
      </c>
      <c r="G775" s="17">
        <v>212</v>
      </c>
      <c r="H775" s="49">
        <v>14</v>
      </c>
    </row>
    <row r="776" spans="1:8" ht="14" x14ac:dyDescent="0.15">
      <c r="A776" s="15" t="s">
        <v>84</v>
      </c>
      <c r="B776" s="16" t="s">
        <v>79</v>
      </c>
      <c r="C776" s="16" t="s">
        <v>80</v>
      </c>
      <c r="D776" s="16" t="s">
        <v>110</v>
      </c>
      <c r="E776" s="16" t="s">
        <v>173</v>
      </c>
      <c r="F776" s="16" t="s">
        <v>102</v>
      </c>
      <c r="G776" s="17">
        <v>213</v>
      </c>
      <c r="H776" s="49">
        <f>374.4+4.2</f>
        <v>378.59999999999997</v>
      </c>
    </row>
    <row r="777" spans="1:8" ht="14" x14ac:dyDescent="0.15">
      <c r="A777" s="15" t="s">
        <v>85</v>
      </c>
      <c r="B777" s="16" t="s">
        <v>79</v>
      </c>
      <c r="C777" s="16" t="s">
        <v>80</v>
      </c>
      <c r="D777" s="16" t="s">
        <v>110</v>
      </c>
      <c r="E777" s="16" t="s">
        <v>173</v>
      </c>
      <c r="F777" s="16" t="s">
        <v>102</v>
      </c>
      <c r="G777" s="17">
        <v>221</v>
      </c>
      <c r="H777" s="49">
        <v>27</v>
      </c>
    </row>
    <row r="778" spans="1:8" ht="14" x14ac:dyDescent="0.15">
      <c r="A778" s="15" t="s">
        <v>86</v>
      </c>
      <c r="B778" s="16" t="s">
        <v>79</v>
      </c>
      <c r="C778" s="16" t="s">
        <v>80</v>
      </c>
      <c r="D778" s="16" t="s">
        <v>110</v>
      </c>
      <c r="E778" s="16" t="s">
        <v>173</v>
      </c>
      <c r="F778" s="16" t="s">
        <v>102</v>
      </c>
      <c r="G778" s="17">
        <v>222</v>
      </c>
      <c r="H778" s="49">
        <v>30</v>
      </c>
    </row>
    <row r="779" spans="1:8" ht="14" x14ac:dyDescent="0.15">
      <c r="A779" s="15" t="s">
        <v>87</v>
      </c>
      <c r="B779" s="16" t="s">
        <v>79</v>
      </c>
      <c r="C779" s="16" t="s">
        <v>80</v>
      </c>
      <c r="D779" s="16" t="s">
        <v>110</v>
      </c>
      <c r="E779" s="16" t="s">
        <v>173</v>
      </c>
      <c r="F779" s="16" t="s">
        <v>102</v>
      </c>
      <c r="G779" s="17">
        <v>223</v>
      </c>
      <c r="H779" s="49">
        <v>0</v>
      </c>
    </row>
    <row r="780" spans="1:8" ht="14" x14ac:dyDescent="0.15">
      <c r="A780" s="15" t="s">
        <v>134</v>
      </c>
      <c r="B780" s="16" t="s">
        <v>79</v>
      </c>
      <c r="C780" s="16" t="s">
        <v>80</v>
      </c>
      <c r="D780" s="16" t="s">
        <v>110</v>
      </c>
      <c r="E780" s="16" t="s">
        <v>173</v>
      </c>
      <c r="F780" s="16" t="s">
        <v>102</v>
      </c>
      <c r="G780" s="17">
        <v>224</v>
      </c>
      <c r="H780" s="49">
        <v>0</v>
      </c>
    </row>
    <row r="781" spans="1:8" ht="14" x14ac:dyDescent="0.15">
      <c r="A781" s="15" t="s">
        <v>90</v>
      </c>
      <c r="B781" s="16" t="s">
        <v>79</v>
      </c>
      <c r="C781" s="16" t="s">
        <v>80</v>
      </c>
      <c r="D781" s="16" t="s">
        <v>110</v>
      </c>
      <c r="E781" s="16" t="s">
        <v>173</v>
      </c>
      <c r="F781" s="16" t="s">
        <v>102</v>
      </c>
      <c r="G781" s="17">
        <v>225</v>
      </c>
      <c r="H781" s="49">
        <v>0</v>
      </c>
    </row>
    <row r="782" spans="1:8" ht="14" x14ac:dyDescent="0.15">
      <c r="A782" s="15" t="s">
        <v>91</v>
      </c>
      <c r="B782" s="16" t="s">
        <v>79</v>
      </c>
      <c r="C782" s="16" t="s">
        <v>80</v>
      </c>
      <c r="D782" s="16" t="s">
        <v>110</v>
      </c>
      <c r="E782" s="16" t="s">
        <v>173</v>
      </c>
      <c r="F782" s="16" t="s">
        <v>102</v>
      </c>
      <c r="G782" s="17">
        <v>226</v>
      </c>
      <c r="H782" s="49">
        <v>156</v>
      </c>
    </row>
    <row r="783" spans="1:8" ht="14" x14ac:dyDescent="0.15">
      <c r="A783" s="11" t="s">
        <v>94</v>
      </c>
      <c r="B783" s="16" t="s">
        <v>79</v>
      </c>
      <c r="C783" s="16" t="s">
        <v>80</v>
      </c>
      <c r="D783" s="16" t="s">
        <v>110</v>
      </c>
      <c r="E783" s="16" t="s">
        <v>173</v>
      </c>
      <c r="F783" s="16" t="s">
        <v>102</v>
      </c>
      <c r="G783" s="17">
        <v>290</v>
      </c>
      <c r="H783" s="49">
        <v>3.6</v>
      </c>
    </row>
    <row r="784" spans="1:8" ht="14" x14ac:dyDescent="0.15">
      <c r="A784" s="11" t="s">
        <v>94</v>
      </c>
      <c r="B784" s="16" t="s">
        <v>79</v>
      </c>
      <c r="C784" s="16" t="s">
        <v>80</v>
      </c>
      <c r="D784" s="16" t="s">
        <v>110</v>
      </c>
      <c r="E784" s="16" t="s">
        <v>242</v>
      </c>
      <c r="F784" s="16" t="s">
        <v>102</v>
      </c>
      <c r="G784" s="17" t="s">
        <v>95</v>
      </c>
      <c r="H784" s="49">
        <v>1.5</v>
      </c>
    </row>
    <row r="785" spans="1:8" ht="14" x14ac:dyDescent="0.15">
      <c r="A785" s="15" t="s">
        <v>96</v>
      </c>
      <c r="B785" s="16" t="s">
        <v>79</v>
      </c>
      <c r="C785" s="16" t="s">
        <v>80</v>
      </c>
      <c r="D785" s="16" t="s">
        <v>110</v>
      </c>
      <c r="E785" s="16" t="s">
        <v>173</v>
      </c>
      <c r="F785" s="16" t="s">
        <v>102</v>
      </c>
      <c r="G785" s="17">
        <v>310</v>
      </c>
      <c r="H785" s="49">
        <v>80</v>
      </c>
    </row>
    <row r="786" spans="1:8" ht="14" x14ac:dyDescent="0.15">
      <c r="A786" s="15" t="s">
        <v>97</v>
      </c>
      <c r="B786" s="16" t="s">
        <v>79</v>
      </c>
      <c r="C786" s="16" t="s">
        <v>80</v>
      </c>
      <c r="D786" s="16" t="s">
        <v>110</v>
      </c>
      <c r="E786" s="16" t="s">
        <v>173</v>
      </c>
      <c r="F786" s="16" t="s">
        <v>102</v>
      </c>
      <c r="G786" s="17">
        <v>340</v>
      </c>
      <c r="H786" s="49">
        <f>70+30</f>
        <v>100</v>
      </c>
    </row>
    <row r="787" spans="1:8" ht="14" x14ac:dyDescent="0.15">
      <c r="A787" s="48" t="s">
        <v>98</v>
      </c>
      <c r="B787" s="20" t="s">
        <v>79</v>
      </c>
      <c r="C787" s="20" t="s">
        <v>80</v>
      </c>
      <c r="D787" s="16" t="s">
        <v>110</v>
      </c>
      <c r="E787" s="20" t="s">
        <v>243</v>
      </c>
      <c r="F787" s="20" t="s">
        <v>102</v>
      </c>
      <c r="G787" s="67"/>
      <c r="H787" s="50">
        <f>SUM(H774:H786)</f>
        <v>1899.9999999999998</v>
      </c>
    </row>
    <row r="788" spans="1:8" ht="14" x14ac:dyDescent="0.15">
      <c r="A788" s="18" t="s">
        <v>43</v>
      </c>
      <c r="B788" s="16"/>
      <c r="C788" s="16"/>
      <c r="D788" s="16" t="s">
        <v>110</v>
      </c>
      <c r="E788" s="16"/>
      <c r="F788" s="16"/>
      <c r="G788" s="21"/>
      <c r="H788" s="50">
        <f>H775+H777+H778+H782+H785+H786</f>
        <v>407</v>
      </c>
    </row>
    <row r="789" spans="1:8" ht="14" x14ac:dyDescent="0.15">
      <c r="A789" s="15" t="s">
        <v>78</v>
      </c>
      <c r="B789" s="16" t="s">
        <v>79</v>
      </c>
      <c r="C789" s="16" t="s">
        <v>80</v>
      </c>
      <c r="D789" s="16" t="s">
        <v>110</v>
      </c>
      <c r="E789" s="16" t="s">
        <v>174</v>
      </c>
      <c r="F789" s="16" t="s">
        <v>102</v>
      </c>
      <c r="G789" s="17">
        <v>211</v>
      </c>
      <c r="H789" s="49">
        <f>771.9+137+10.3+60</f>
        <v>979.19999999999993</v>
      </c>
    </row>
    <row r="790" spans="1:8" ht="14" x14ac:dyDescent="0.15">
      <c r="A790" s="15" t="s">
        <v>103</v>
      </c>
      <c r="B790" s="16" t="s">
        <v>79</v>
      </c>
      <c r="C790" s="16" t="s">
        <v>80</v>
      </c>
      <c r="D790" s="16" t="s">
        <v>110</v>
      </c>
      <c r="E790" s="16" t="s">
        <v>174</v>
      </c>
      <c r="F790" s="16" t="s">
        <v>102</v>
      </c>
      <c r="G790" s="17">
        <v>212</v>
      </c>
      <c r="H790" s="49">
        <v>7</v>
      </c>
    </row>
    <row r="791" spans="1:8" ht="14" x14ac:dyDescent="0.15">
      <c r="A791" s="15" t="s">
        <v>84</v>
      </c>
      <c r="B791" s="16" t="s">
        <v>79</v>
      </c>
      <c r="C791" s="16" t="s">
        <v>80</v>
      </c>
      <c r="D791" s="16" t="s">
        <v>110</v>
      </c>
      <c r="E791" s="16" t="s">
        <v>174</v>
      </c>
      <c r="F791" s="16" t="s">
        <v>102</v>
      </c>
      <c r="G791" s="17">
        <v>213</v>
      </c>
      <c r="H791" s="49">
        <f>264+46+2.9</f>
        <v>312.89999999999998</v>
      </c>
    </row>
    <row r="792" spans="1:8" ht="14" x14ac:dyDescent="0.15">
      <c r="A792" s="15" t="s">
        <v>85</v>
      </c>
      <c r="B792" s="16" t="s">
        <v>79</v>
      </c>
      <c r="C792" s="16" t="s">
        <v>80</v>
      </c>
      <c r="D792" s="16" t="s">
        <v>110</v>
      </c>
      <c r="E792" s="16" t="s">
        <v>174</v>
      </c>
      <c r="F792" s="16" t="s">
        <v>102</v>
      </c>
      <c r="G792" s="17">
        <v>221</v>
      </c>
      <c r="H792" s="49">
        <v>16</v>
      </c>
    </row>
    <row r="793" spans="1:8" ht="14" x14ac:dyDescent="0.15">
      <c r="A793" s="15" t="s">
        <v>86</v>
      </c>
      <c r="B793" s="16" t="s">
        <v>79</v>
      </c>
      <c r="C793" s="16" t="s">
        <v>80</v>
      </c>
      <c r="D793" s="16" t="s">
        <v>110</v>
      </c>
      <c r="E793" s="16" t="s">
        <v>174</v>
      </c>
      <c r="F793" s="16" t="s">
        <v>102</v>
      </c>
      <c r="G793" s="17">
        <v>222</v>
      </c>
      <c r="H793" s="49">
        <v>195</v>
      </c>
    </row>
    <row r="794" spans="1:8" ht="14" x14ac:dyDescent="0.15">
      <c r="A794" s="15" t="s">
        <v>87</v>
      </c>
      <c r="B794" s="16" t="s">
        <v>79</v>
      </c>
      <c r="C794" s="16" t="s">
        <v>80</v>
      </c>
      <c r="D794" s="16" t="s">
        <v>110</v>
      </c>
      <c r="E794" s="16" t="s">
        <v>174</v>
      </c>
      <c r="F794" s="16" t="s">
        <v>102</v>
      </c>
      <c r="G794" s="17">
        <v>223</v>
      </c>
      <c r="H794" s="49">
        <v>0</v>
      </c>
    </row>
    <row r="795" spans="1:8" ht="14" x14ac:dyDescent="0.15">
      <c r="A795" s="15" t="s">
        <v>134</v>
      </c>
      <c r="B795" s="16" t="s">
        <v>79</v>
      </c>
      <c r="C795" s="16" t="s">
        <v>80</v>
      </c>
      <c r="D795" s="16" t="s">
        <v>110</v>
      </c>
      <c r="E795" s="16" t="s">
        <v>174</v>
      </c>
      <c r="F795" s="16" t="s">
        <v>102</v>
      </c>
      <c r="G795" s="17">
        <v>224</v>
      </c>
      <c r="H795" s="49">
        <v>0</v>
      </c>
    </row>
    <row r="796" spans="1:8" ht="14" x14ac:dyDescent="0.15">
      <c r="A796" s="15" t="s">
        <v>90</v>
      </c>
      <c r="B796" s="16" t="s">
        <v>79</v>
      </c>
      <c r="C796" s="16" t="s">
        <v>80</v>
      </c>
      <c r="D796" s="16" t="s">
        <v>110</v>
      </c>
      <c r="E796" s="16" t="s">
        <v>174</v>
      </c>
      <c r="F796" s="16" t="s">
        <v>102</v>
      </c>
      <c r="G796" s="17">
        <v>225</v>
      </c>
      <c r="H796" s="49">
        <v>5</v>
      </c>
    </row>
    <row r="797" spans="1:8" ht="14" x14ac:dyDescent="0.15">
      <c r="A797" s="15" t="s">
        <v>91</v>
      </c>
      <c r="B797" s="16" t="s">
        <v>79</v>
      </c>
      <c r="C797" s="16" t="s">
        <v>80</v>
      </c>
      <c r="D797" s="16" t="s">
        <v>110</v>
      </c>
      <c r="E797" s="16" t="s">
        <v>174</v>
      </c>
      <c r="F797" s="16" t="s">
        <v>102</v>
      </c>
      <c r="G797" s="17">
        <v>226</v>
      </c>
      <c r="H797" s="49">
        <v>148</v>
      </c>
    </row>
    <row r="798" spans="1:8" ht="14" x14ac:dyDescent="0.15">
      <c r="A798" s="11" t="s">
        <v>94</v>
      </c>
      <c r="B798" s="16" t="s">
        <v>79</v>
      </c>
      <c r="C798" s="16" t="s">
        <v>80</v>
      </c>
      <c r="D798" s="16" t="s">
        <v>110</v>
      </c>
      <c r="E798" s="16" t="s">
        <v>174</v>
      </c>
      <c r="F798" s="16" t="s">
        <v>102</v>
      </c>
      <c r="G798" s="17">
        <v>290</v>
      </c>
      <c r="H798" s="49">
        <f>2.5+10.2</f>
        <v>12.7</v>
      </c>
    </row>
    <row r="799" spans="1:8" ht="14" x14ac:dyDescent="0.15">
      <c r="A799" s="11" t="s">
        <v>94</v>
      </c>
      <c r="B799" s="16" t="s">
        <v>79</v>
      </c>
      <c r="C799" s="16" t="s">
        <v>80</v>
      </c>
      <c r="D799" s="16" t="s">
        <v>110</v>
      </c>
      <c r="E799" s="16" t="s">
        <v>242</v>
      </c>
      <c r="F799" s="16" t="s">
        <v>102</v>
      </c>
      <c r="G799" s="17" t="s">
        <v>95</v>
      </c>
      <c r="H799" s="49">
        <v>1.9</v>
      </c>
    </row>
    <row r="800" spans="1:8" ht="14" x14ac:dyDescent="0.15">
      <c r="A800" s="15" t="s">
        <v>96</v>
      </c>
      <c r="B800" s="16" t="s">
        <v>79</v>
      </c>
      <c r="C800" s="16" t="s">
        <v>80</v>
      </c>
      <c r="D800" s="16" t="s">
        <v>110</v>
      </c>
      <c r="E800" s="16" t="s">
        <v>174</v>
      </c>
      <c r="F800" s="16" t="s">
        <v>102</v>
      </c>
      <c r="G800" s="17">
        <v>310</v>
      </c>
      <c r="H800" s="49">
        <v>70</v>
      </c>
    </row>
    <row r="801" spans="1:8" ht="14" x14ac:dyDescent="0.15">
      <c r="A801" s="15" t="s">
        <v>97</v>
      </c>
      <c r="B801" s="16" t="s">
        <v>79</v>
      </c>
      <c r="C801" s="16" t="s">
        <v>80</v>
      </c>
      <c r="D801" s="16" t="s">
        <v>110</v>
      </c>
      <c r="E801" s="16" t="s">
        <v>174</v>
      </c>
      <c r="F801" s="16" t="s">
        <v>102</v>
      </c>
      <c r="G801" s="17">
        <v>340</v>
      </c>
      <c r="H801" s="49">
        <v>25</v>
      </c>
    </row>
    <row r="802" spans="1:8" ht="14" x14ac:dyDescent="0.15">
      <c r="A802" s="48" t="s">
        <v>98</v>
      </c>
      <c r="B802" s="20" t="s">
        <v>79</v>
      </c>
      <c r="C802" s="20" t="s">
        <v>80</v>
      </c>
      <c r="D802" s="16" t="s">
        <v>110</v>
      </c>
      <c r="E802" s="20" t="s">
        <v>243</v>
      </c>
      <c r="F802" s="20" t="s">
        <v>102</v>
      </c>
      <c r="G802" s="67"/>
      <c r="H802" s="50">
        <f>SUM(H789:H801)</f>
        <v>1772.7</v>
      </c>
    </row>
    <row r="803" spans="1:8" ht="14" x14ac:dyDescent="0.15">
      <c r="A803" s="51" t="s">
        <v>175</v>
      </c>
      <c r="B803" s="54"/>
      <c r="C803" s="54"/>
      <c r="D803" s="54" t="s">
        <v>110</v>
      </c>
      <c r="E803" s="54"/>
      <c r="F803" s="54"/>
      <c r="G803" s="66"/>
      <c r="H803" s="56"/>
    </row>
    <row r="804" spans="1:8" ht="14" x14ac:dyDescent="0.15">
      <c r="A804" s="53" t="s">
        <v>78</v>
      </c>
      <c r="B804" s="54" t="s">
        <v>79</v>
      </c>
      <c r="C804" s="54" t="s">
        <v>80</v>
      </c>
      <c r="D804" s="54" t="s">
        <v>110</v>
      </c>
      <c r="E804" s="54" t="s">
        <v>176</v>
      </c>
      <c r="F804" s="54" t="s">
        <v>102</v>
      </c>
      <c r="G804" s="64">
        <v>211</v>
      </c>
      <c r="H804" s="52">
        <f t="shared" ref="H804:H816" si="7">H789+H774</f>
        <v>2088.5</v>
      </c>
    </row>
    <row r="805" spans="1:8" ht="14" x14ac:dyDescent="0.15">
      <c r="A805" s="53" t="s">
        <v>103</v>
      </c>
      <c r="B805" s="54" t="s">
        <v>79</v>
      </c>
      <c r="C805" s="54" t="s">
        <v>80</v>
      </c>
      <c r="D805" s="54" t="s">
        <v>110</v>
      </c>
      <c r="E805" s="54" t="s">
        <v>176</v>
      </c>
      <c r="F805" s="54" t="s">
        <v>102</v>
      </c>
      <c r="G805" s="64">
        <v>212</v>
      </c>
      <c r="H805" s="52">
        <f t="shared" si="7"/>
        <v>21</v>
      </c>
    </row>
    <row r="806" spans="1:8" ht="14" x14ac:dyDescent="0.15">
      <c r="A806" s="53" t="s">
        <v>84</v>
      </c>
      <c r="B806" s="54" t="s">
        <v>79</v>
      </c>
      <c r="C806" s="54" t="s">
        <v>80</v>
      </c>
      <c r="D806" s="54" t="s">
        <v>110</v>
      </c>
      <c r="E806" s="54" t="s">
        <v>176</v>
      </c>
      <c r="F806" s="54" t="s">
        <v>102</v>
      </c>
      <c r="G806" s="64">
        <v>213</v>
      </c>
      <c r="H806" s="52">
        <f t="shared" si="7"/>
        <v>691.5</v>
      </c>
    </row>
    <row r="807" spans="1:8" ht="14" x14ac:dyDescent="0.15">
      <c r="A807" s="53" t="s">
        <v>85</v>
      </c>
      <c r="B807" s="54" t="s">
        <v>79</v>
      </c>
      <c r="C807" s="54" t="s">
        <v>80</v>
      </c>
      <c r="D807" s="54" t="s">
        <v>110</v>
      </c>
      <c r="E807" s="54" t="s">
        <v>176</v>
      </c>
      <c r="F807" s="54" t="s">
        <v>102</v>
      </c>
      <c r="G807" s="64">
        <v>221</v>
      </c>
      <c r="H807" s="52">
        <f t="shared" si="7"/>
        <v>43</v>
      </c>
    </row>
    <row r="808" spans="1:8" ht="14" x14ac:dyDescent="0.15">
      <c r="A808" s="53" t="s">
        <v>86</v>
      </c>
      <c r="B808" s="54" t="s">
        <v>79</v>
      </c>
      <c r="C808" s="54" t="s">
        <v>80</v>
      </c>
      <c r="D808" s="54" t="s">
        <v>110</v>
      </c>
      <c r="E808" s="54" t="s">
        <v>176</v>
      </c>
      <c r="F808" s="54" t="s">
        <v>102</v>
      </c>
      <c r="G808" s="64">
        <v>222</v>
      </c>
      <c r="H808" s="52">
        <f t="shared" si="7"/>
        <v>225</v>
      </c>
    </row>
    <row r="809" spans="1:8" ht="14" x14ac:dyDescent="0.15">
      <c r="A809" s="53" t="s">
        <v>87</v>
      </c>
      <c r="B809" s="54" t="s">
        <v>79</v>
      </c>
      <c r="C809" s="54" t="s">
        <v>80</v>
      </c>
      <c r="D809" s="54" t="s">
        <v>110</v>
      </c>
      <c r="E809" s="54" t="s">
        <v>176</v>
      </c>
      <c r="F809" s="54" t="s">
        <v>102</v>
      </c>
      <c r="G809" s="64">
        <v>223</v>
      </c>
      <c r="H809" s="52">
        <f t="shared" si="7"/>
        <v>0</v>
      </c>
    </row>
    <row r="810" spans="1:8" ht="14" x14ac:dyDescent="0.15">
      <c r="A810" s="53" t="s">
        <v>134</v>
      </c>
      <c r="B810" s="54" t="s">
        <v>79</v>
      </c>
      <c r="C810" s="54" t="s">
        <v>80</v>
      </c>
      <c r="D810" s="54" t="s">
        <v>110</v>
      </c>
      <c r="E810" s="54" t="s">
        <v>176</v>
      </c>
      <c r="F810" s="54" t="s">
        <v>102</v>
      </c>
      <c r="G810" s="64">
        <v>224</v>
      </c>
      <c r="H810" s="52">
        <f t="shared" si="7"/>
        <v>0</v>
      </c>
    </row>
    <row r="811" spans="1:8" ht="14" x14ac:dyDescent="0.15">
      <c r="A811" s="53" t="s">
        <v>90</v>
      </c>
      <c r="B811" s="54" t="s">
        <v>79</v>
      </c>
      <c r="C811" s="54" t="s">
        <v>80</v>
      </c>
      <c r="D811" s="54" t="s">
        <v>110</v>
      </c>
      <c r="E811" s="54" t="s">
        <v>176</v>
      </c>
      <c r="F811" s="54" t="s">
        <v>102</v>
      </c>
      <c r="G811" s="64">
        <v>225</v>
      </c>
      <c r="H811" s="52">
        <f t="shared" si="7"/>
        <v>5</v>
      </c>
    </row>
    <row r="812" spans="1:8" ht="14" x14ac:dyDescent="0.15">
      <c r="A812" s="53" t="s">
        <v>91</v>
      </c>
      <c r="B812" s="54" t="s">
        <v>79</v>
      </c>
      <c r="C812" s="54" t="s">
        <v>80</v>
      </c>
      <c r="D812" s="54" t="s">
        <v>110</v>
      </c>
      <c r="E812" s="54" t="s">
        <v>176</v>
      </c>
      <c r="F812" s="54" t="s">
        <v>102</v>
      </c>
      <c r="G812" s="64">
        <v>226</v>
      </c>
      <c r="H812" s="52">
        <f t="shared" si="7"/>
        <v>304</v>
      </c>
    </row>
    <row r="813" spans="1:8" ht="14" x14ac:dyDescent="0.15">
      <c r="A813" s="68" t="s">
        <v>94</v>
      </c>
      <c r="B813" s="54" t="s">
        <v>79</v>
      </c>
      <c r="C813" s="54" t="s">
        <v>80</v>
      </c>
      <c r="D813" s="54" t="s">
        <v>110</v>
      </c>
      <c r="E813" s="54" t="s">
        <v>176</v>
      </c>
      <c r="F813" s="54" t="s">
        <v>102</v>
      </c>
      <c r="G813" s="64">
        <v>290</v>
      </c>
      <c r="H813" s="52">
        <f t="shared" si="7"/>
        <v>16.3</v>
      </c>
    </row>
    <row r="814" spans="1:8" ht="14" x14ac:dyDescent="0.15">
      <c r="A814" s="68" t="s">
        <v>94</v>
      </c>
      <c r="B814" s="54" t="s">
        <v>79</v>
      </c>
      <c r="C814" s="54" t="s">
        <v>80</v>
      </c>
      <c r="D814" s="54" t="s">
        <v>110</v>
      </c>
      <c r="E814" s="54" t="s">
        <v>242</v>
      </c>
      <c r="F814" s="54" t="s">
        <v>102</v>
      </c>
      <c r="G814" s="64" t="s">
        <v>95</v>
      </c>
      <c r="H814" s="52">
        <f t="shared" si="7"/>
        <v>3.4</v>
      </c>
    </row>
    <row r="815" spans="1:8" ht="14" x14ac:dyDescent="0.15">
      <c r="A815" s="53" t="s">
        <v>96</v>
      </c>
      <c r="B815" s="54" t="s">
        <v>79</v>
      </c>
      <c r="C815" s="54" t="s">
        <v>80</v>
      </c>
      <c r="D815" s="54" t="s">
        <v>110</v>
      </c>
      <c r="E815" s="54" t="s">
        <v>176</v>
      </c>
      <c r="F815" s="54" t="s">
        <v>102</v>
      </c>
      <c r="G815" s="64">
        <v>310</v>
      </c>
      <c r="H815" s="52">
        <f t="shared" si="7"/>
        <v>150</v>
      </c>
    </row>
    <row r="816" spans="1:8" ht="14" x14ac:dyDescent="0.15">
      <c r="A816" s="53" t="s">
        <v>97</v>
      </c>
      <c r="B816" s="54" t="s">
        <v>79</v>
      </c>
      <c r="C816" s="54" t="s">
        <v>80</v>
      </c>
      <c r="D816" s="54" t="s">
        <v>110</v>
      </c>
      <c r="E816" s="54" t="s">
        <v>176</v>
      </c>
      <c r="F816" s="54" t="s">
        <v>102</v>
      </c>
      <c r="G816" s="64">
        <v>340</v>
      </c>
      <c r="H816" s="52">
        <f t="shared" si="7"/>
        <v>125</v>
      </c>
    </row>
    <row r="817" spans="1:8" ht="14" x14ac:dyDescent="0.15">
      <c r="A817" s="51" t="s">
        <v>98</v>
      </c>
      <c r="B817" s="62" t="s">
        <v>79</v>
      </c>
      <c r="C817" s="62" t="s">
        <v>80</v>
      </c>
      <c r="D817" s="54" t="s">
        <v>110</v>
      </c>
      <c r="E817" s="65" t="s">
        <v>243</v>
      </c>
      <c r="F817" s="65" t="s">
        <v>102</v>
      </c>
      <c r="G817" s="66"/>
      <c r="H817" s="57">
        <f>SUM(H804:H816)</f>
        <v>3672.7000000000003</v>
      </c>
    </row>
    <row r="818" spans="1:8" ht="14" x14ac:dyDescent="0.15">
      <c r="A818" s="29" t="s">
        <v>177</v>
      </c>
      <c r="B818" s="59"/>
      <c r="C818" s="59"/>
      <c r="D818" s="59"/>
      <c r="E818" s="30"/>
      <c r="F818" s="30"/>
      <c r="G818" s="31"/>
      <c r="H818" s="50"/>
    </row>
    <row r="819" spans="1:8" ht="14" x14ac:dyDescent="0.15">
      <c r="A819" s="58" t="s">
        <v>78</v>
      </c>
      <c r="B819" s="59" t="s">
        <v>79</v>
      </c>
      <c r="C819" s="59" t="s">
        <v>80</v>
      </c>
      <c r="D819" s="59" t="s">
        <v>125</v>
      </c>
      <c r="E819" s="59"/>
      <c r="F819" s="59"/>
      <c r="G819" s="71">
        <v>211</v>
      </c>
      <c r="H819" s="61">
        <f>H744+H384+H309+H219+H204+H759</f>
        <v>395608.61000000004</v>
      </c>
    </row>
    <row r="820" spans="1:8" ht="14" x14ac:dyDescent="0.15">
      <c r="A820" s="58" t="s">
        <v>83</v>
      </c>
      <c r="B820" s="59" t="s">
        <v>79</v>
      </c>
      <c r="C820" s="59" t="s">
        <v>80</v>
      </c>
      <c r="D820" s="59" t="s">
        <v>125</v>
      </c>
      <c r="E820" s="59"/>
      <c r="F820" s="59"/>
      <c r="G820" s="71">
        <v>212</v>
      </c>
      <c r="H820" s="61">
        <f t="shared" ref="H820:H831" si="8">H745+H385+H310+H220+H205+H760</f>
        <v>705.13</v>
      </c>
    </row>
    <row r="821" spans="1:8" ht="14" x14ac:dyDescent="0.15">
      <c r="A821" s="58" t="s">
        <v>84</v>
      </c>
      <c r="B821" s="59" t="s">
        <v>79</v>
      </c>
      <c r="C821" s="59" t="s">
        <v>80</v>
      </c>
      <c r="D821" s="59" t="s">
        <v>125</v>
      </c>
      <c r="E821" s="59"/>
      <c r="F821" s="59"/>
      <c r="G821" s="71">
        <v>213</v>
      </c>
      <c r="H821" s="61">
        <f t="shared" si="8"/>
        <v>131247.9</v>
      </c>
    </row>
    <row r="822" spans="1:8" ht="14" x14ac:dyDescent="0.15">
      <c r="A822" s="58" t="s">
        <v>85</v>
      </c>
      <c r="B822" s="59" t="s">
        <v>79</v>
      </c>
      <c r="C822" s="59" t="s">
        <v>80</v>
      </c>
      <c r="D822" s="59" t="s">
        <v>125</v>
      </c>
      <c r="E822" s="59"/>
      <c r="F822" s="59"/>
      <c r="G822" s="71">
        <v>221</v>
      </c>
      <c r="H822" s="61">
        <f t="shared" si="8"/>
        <v>460.8</v>
      </c>
    </row>
    <row r="823" spans="1:8" ht="14" x14ac:dyDescent="0.15">
      <c r="A823" s="58" t="s">
        <v>86</v>
      </c>
      <c r="B823" s="59" t="s">
        <v>79</v>
      </c>
      <c r="C823" s="59" t="s">
        <v>80</v>
      </c>
      <c r="D823" s="59" t="s">
        <v>125</v>
      </c>
      <c r="E823" s="59"/>
      <c r="F823" s="59"/>
      <c r="G823" s="71">
        <v>222</v>
      </c>
      <c r="H823" s="61">
        <f t="shared" si="8"/>
        <v>5460.27</v>
      </c>
    </row>
    <row r="824" spans="1:8" ht="14" x14ac:dyDescent="0.15">
      <c r="A824" s="58" t="s">
        <v>87</v>
      </c>
      <c r="B824" s="59" t="s">
        <v>79</v>
      </c>
      <c r="C824" s="59" t="s">
        <v>80</v>
      </c>
      <c r="D824" s="59" t="s">
        <v>125</v>
      </c>
      <c r="E824" s="59"/>
      <c r="F824" s="59"/>
      <c r="G824" s="71">
        <v>223</v>
      </c>
      <c r="H824" s="61">
        <f t="shared" si="8"/>
        <v>8985.2699999999986</v>
      </c>
    </row>
    <row r="825" spans="1:8" ht="14" x14ac:dyDescent="0.15">
      <c r="A825" s="58" t="s">
        <v>134</v>
      </c>
      <c r="B825" s="59" t="s">
        <v>79</v>
      </c>
      <c r="C825" s="59" t="s">
        <v>80</v>
      </c>
      <c r="D825" s="59" t="s">
        <v>125</v>
      </c>
      <c r="E825" s="59"/>
      <c r="F825" s="59"/>
      <c r="G825" s="71">
        <v>224</v>
      </c>
      <c r="H825" s="61">
        <f t="shared" si="8"/>
        <v>2212</v>
      </c>
    </row>
    <row r="826" spans="1:8" ht="14" x14ac:dyDescent="0.15">
      <c r="A826" s="58" t="s">
        <v>90</v>
      </c>
      <c r="B826" s="59" t="s">
        <v>79</v>
      </c>
      <c r="C826" s="59" t="s">
        <v>80</v>
      </c>
      <c r="D826" s="59" t="s">
        <v>125</v>
      </c>
      <c r="E826" s="59"/>
      <c r="F826" s="59"/>
      <c r="G826" s="71">
        <v>225</v>
      </c>
      <c r="H826" s="61">
        <f t="shared" si="8"/>
        <v>29636.985999999997</v>
      </c>
    </row>
    <row r="827" spans="1:8" ht="14" x14ac:dyDescent="0.15">
      <c r="A827" s="58" t="s">
        <v>91</v>
      </c>
      <c r="B827" s="59" t="s">
        <v>79</v>
      </c>
      <c r="C827" s="59" t="s">
        <v>80</v>
      </c>
      <c r="D827" s="59" t="s">
        <v>125</v>
      </c>
      <c r="E827" s="59"/>
      <c r="F827" s="59"/>
      <c r="G827" s="71">
        <v>226</v>
      </c>
      <c r="H827" s="61">
        <f>H752+H392+H317+H227+H212+H767</f>
        <v>57544.560999999994</v>
      </c>
    </row>
    <row r="828" spans="1:8" ht="14" x14ac:dyDescent="0.15">
      <c r="A828" s="72" t="s">
        <v>94</v>
      </c>
      <c r="B828" s="59" t="s">
        <v>79</v>
      </c>
      <c r="C828" s="59" t="s">
        <v>80</v>
      </c>
      <c r="D828" s="59" t="s">
        <v>125</v>
      </c>
      <c r="E828" s="59"/>
      <c r="F828" s="59"/>
      <c r="G828" s="71">
        <v>290</v>
      </c>
      <c r="H828" s="61">
        <f t="shared" si="8"/>
        <v>2029.625</v>
      </c>
    </row>
    <row r="829" spans="1:8" ht="14" x14ac:dyDescent="0.15">
      <c r="A829" s="72" t="s">
        <v>94</v>
      </c>
      <c r="B829" s="59" t="s">
        <v>79</v>
      </c>
      <c r="C829" s="59" t="s">
        <v>80</v>
      </c>
      <c r="D829" s="59" t="s">
        <v>125</v>
      </c>
      <c r="E829" s="59"/>
      <c r="F829" s="59"/>
      <c r="G829" s="71" t="s">
        <v>95</v>
      </c>
      <c r="H829" s="61">
        <f>H754+H394+H319+H229+H214+H769</f>
        <v>17627.365000000002</v>
      </c>
    </row>
    <row r="830" spans="1:8" ht="14" x14ac:dyDescent="0.15">
      <c r="A830" s="58" t="s">
        <v>96</v>
      </c>
      <c r="B830" s="59" t="s">
        <v>79</v>
      </c>
      <c r="C830" s="59" t="s">
        <v>80</v>
      </c>
      <c r="D830" s="59" t="s">
        <v>125</v>
      </c>
      <c r="E830" s="59"/>
      <c r="F830" s="59"/>
      <c r="G830" s="71">
        <v>310</v>
      </c>
      <c r="H830" s="61">
        <f t="shared" si="8"/>
        <v>11796.800000000001</v>
      </c>
    </row>
    <row r="831" spans="1:8" ht="14" x14ac:dyDescent="0.15">
      <c r="A831" s="58" t="s">
        <v>97</v>
      </c>
      <c r="B831" s="59" t="s">
        <v>79</v>
      </c>
      <c r="C831" s="59" t="s">
        <v>80</v>
      </c>
      <c r="D831" s="59" t="s">
        <v>125</v>
      </c>
      <c r="E831" s="59"/>
      <c r="F831" s="59"/>
      <c r="G831" s="71">
        <v>340</v>
      </c>
      <c r="H831" s="61">
        <f t="shared" si="8"/>
        <v>7346.2</v>
      </c>
    </row>
    <row r="832" spans="1:8" ht="14" x14ac:dyDescent="0.15">
      <c r="A832" s="29" t="s">
        <v>98</v>
      </c>
      <c r="B832" s="59" t="s">
        <v>79</v>
      </c>
      <c r="C832" s="59" t="s">
        <v>80</v>
      </c>
      <c r="D832" s="59" t="s">
        <v>125</v>
      </c>
      <c r="E832" s="30"/>
      <c r="F832" s="30"/>
      <c r="G832" s="31"/>
      <c r="H832" s="60">
        <f>SUM(H819:H831)</f>
        <v>670661.51700000011</v>
      </c>
    </row>
    <row r="833" spans="1:8" ht="14" x14ac:dyDescent="0.15">
      <c r="A833" s="24" t="s">
        <v>178</v>
      </c>
      <c r="B833" s="26" t="s">
        <v>79</v>
      </c>
      <c r="C833" s="26" t="s">
        <v>196</v>
      </c>
      <c r="D833" s="26" t="s">
        <v>110</v>
      </c>
      <c r="E833" s="26" t="s">
        <v>179</v>
      </c>
      <c r="F833" s="26" t="s">
        <v>180</v>
      </c>
      <c r="G833" s="27">
        <v>262</v>
      </c>
      <c r="H833" s="442">
        <f>221+42.889</f>
        <v>263.88900000000001</v>
      </c>
    </row>
    <row r="834" spans="1:8" ht="14" x14ac:dyDescent="0.15">
      <c r="A834" s="15" t="s">
        <v>181</v>
      </c>
      <c r="B834" s="16" t="s">
        <v>79</v>
      </c>
      <c r="C834" s="16" t="s">
        <v>80</v>
      </c>
      <c r="D834" s="16" t="s">
        <v>110</v>
      </c>
      <c r="E834" s="16" t="s">
        <v>182</v>
      </c>
      <c r="F834" s="16" t="s">
        <v>183</v>
      </c>
      <c r="G834" s="17" t="s">
        <v>184</v>
      </c>
      <c r="H834" s="93">
        <f>3874.5+31.2+8.9</f>
        <v>3914.6</v>
      </c>
    </row>
    <row r="835" spans="1:8" ht="14" x14ac:dyDescent="0.15">
      <c r="A835" s="15" t="s">
        <v>185</v>
      </c>
      <c r="B835" s="16" t="s">
        <v>79</v>
      </c>
      <c r="C835" s="16" t="s">
        <v>80</v>
      </c>
      <c r="D835" s="16" t="s">
        <v>110</v>
      </c>
      <c r="E835" s="16" t="s">
        <v>182</v>
      </c>
      <c r="F835" s="16" t="s">
        <v>183</v>
      </c>
      <c r="G835" s="17">
        <v>242</v>
      </c>
      <c r="H835" s="93">
        <f>717.4+6.8+1.9</f>
        <v>726.09999999999991</v>
      </c>
    </row>
    <row r="836" spans="1:8" ht="14" x14ac:dyDescent="0.15">
      <c r="A836" s="15" t="s">
        <v>186</v>
      </c>
      <c r="B836" s="16" t="s">
        <v>79</v>
      </c>
      <c r="C836" s="16" t="s">
        <v>80</v>
      </c>
      <c r="D836" s="16" t="s">
        <v>110</v>
      </c>
      <c r="E836" s="16" t="s">
        <v>182</v>
      </c>
      <c r="F836" s="16" t="s">
        <v>183</v>
      </c>
      <c r="G836" s="17">
        <v>242</v>
      </c>
      <c r="H836" s="93">
        <f>553.2+2.7+0.8</f>
        <v>556.70000000000005</v>
      </c>
    </row>
    <row r="837" spans="1:8" ht="14" x14ac:dyDescent="0.15">
      <c r="A837" s="15" t="s">
        <v>187</v>
      </c>
      <c r="B837" s="16" t="s">
        <v>79</v>
      </c>
      <c r="C837" s="16" t="s">
        <v>80</v>
      </c>
      <c r="D837" s="16" t="s">
        <v>110</v>
      </c>
      <c r="E837" s="16" t="s">
        <v>182</v>
      </c>
      <c r="F837" s="16" t="s">
        <v>183</v>
      </c>
      <c r="G837" s="17">
        <v>242</v>
      </c>
      <c r="H837" s="93">
        <f>550.8+4+1.1</f>
        <v>555.9</v>
      </c>
    </row>
    <row r="838" spans="1:8" ht="14" x14ac:dyDescent="0.15">
      <c r="A838" s="15" t="s">
        <v>188</v>
      </c>
      <c r="B838" s="16" t="s">
        <v>79</v>
      </c>
      <c r="C838" s="16" t="s">
        <v>80</v>
      </c>
      <c r="D838" s="16" t="s">
        <v>110</v>
      </c>
      <c r="E838" s="16" t="s">
        <v>182</v>
      </c>
      <c r="F838" s="16" t="s">
        <v>183</v>
      </c>
      <c r="G838" s="17">
        <v>242</v>
      </c>
      <c r="H838" s="93">
        <f>276.6+2.7+0.8</f>
        <v>280.10000000000002</v>
      </c>
    </row>
    <row r="839" spans="1:8" ht="14" x14ac:dyDescent="0.15">
      <c r="A839" s="15" t="s">
        <v>189</v>
      </c>
      <c r="B839" s="16" t="s">
        <v>79</v>
      </c>
      <c r="C839" s="16" t="s">
        <v>80</v>
      </c>
      <c r="D839" s="16" t="s">
        <v>110</v>
      </c>
      <c r="E839" s="16" t="s">
        <v>182</v>
      </c>
      <c r="F839" s="16" t="s">
        <v>183</v>
      </c>
      <c r="G839" s="17">
        <v>242</v>
      </c>
      <c r="H839" s="93">
        <f>259.2+2.5+0.7</f>
        <v>262.39999999999998</v>
      </c>
    </row>
    <row r="840" spans="1:8" ht="14" x14ac:dyDescent="0.15">
      <c r="A840" s="15" t="s">
        <v>190</v>
      </c>
      <c r="B840" s="16" t="s">
        <v>79</v>
      </c>
      <c r="C840" s="16" t="s">
        <v>80</v>
      </c>
      <c r="D840" s="16" t="s">
        <v>110</v>
      </c>
      <c r="E840" s="16" t="s">
        <v>182</v>
      </c>
      <c r="F840" s="16" t="s">
        <v>183</v>
      </c>
      <c r="G840" s="17">
        <v>242</v>
      </c>
      <c r="H840" s="93">
        <f>721.9+161.053+7+2</f>
        <v>891.95299999999997</v>
      </c>
    </row>
    <row r="841" spans="1:8" ht="14" x14ac:dyDescent="0.15">
      <c r="A841" s="15" t="s">
        <v>191</v>
      </c>
      <c r="B841" s="16" t="s">
        <v>79</v>
      </c>
      <c r="C841" s="16" t="s">
        <v>80</v>
      </c>
      <c r="D841" s="16" t="s">
        <v>110</v>
      </c>
      <c r="E841" s="16" t="s">
        <v>182</v>
      </c>
      <c r="F841" s="16" t="s">
        <v>183</v>
      </c>
      <c r="G841" s="17">
        <v>242</v>
      </c>
      <c r="H841" s="93">
        <f>809.8+8+2.3</f>
        <v>820.09999999999991</v>
      </c>
    </row>
    <row r="842" spans="1:8" ht="14" x14ac:dyDescent="0.15">
      <c r="A842" s="15" t="s">
        <v>192</v>
      </c>
      <c r="B842" s="16" t="s">
        <v>79</v>
      </c>
      <c r="C842" s="16" t="s">
        <v>80</v>
      </c>
      <c r="D842" s="16" t="s">
        <v>110</v>
      </c>
      <c r="E842" s="16" t="s">
        <v>182</v>
      </c>
      <c r="F842" s="16" t="s">
        <v>183</v>
      </c>
      <c r="G842" s="17">
        <v>242</v>
      </c>
      <c r="H842" s="93">
        <f>258.7+300+2.5+0.7</f>
        <v>561.90000000000009</v>
      </c>
    </row>
    <row r="843" spans="1:8" ht="14" x14ac:dyDescent="0.15">
      <c r="A843" s="15" t="s">
        <v>193</v>
      </c>
      <c r="B843" s="16" t="s">
        <v>79</v>
      </c>
      <c r="C843" s="16" t="s">
        <v>80</v>
      </c>
      <c r="D843" s="16" t="s">
        <v>110</v>
      </c>
      <c r="E843" s="16" t="s">
        <v>182</v>
      </c>
      <c r="F843" s="16" t="s">
        <v>183</v>
      </c>
      <c r="G843" s="17">
        <v>242</v>
      </c>
      <c r="H843" s="93">
        <f>290.6+2.5+0.7</f>
        <v>293.8</v>
      </c>
    </row>
    <row r="844" spans="1:8" ht="14" x14ac:dyDescent="0.15">
      <c r="A844" s="18" t="s">
        <v>194</v>
      </c>
      <c r="B844" s="19" t="s">
        <v>79</v>
      </c>
      <c r="C844" s="19" t="s">
        <v>80</v>
      </c>
      <c r="D844" s="16" t="s">
        <v>110</v>
      </c>
      <c r="E844" s="20" t="s">
        <v>182</v>
      </c>
      <c r="F844" s="20" t="s">
        <v>183</v>
      </c>
      <c r="G844" s="21">
        <v>242</v>
      </c>
      <c r="H844" s="32">
        <f>SUM(H834:H843)</f>
        <v>8863.5529999999981</v>
      </c>
    </row>
    <row r="845" spans="1:8" ht="14" x14ac:dyDescent="0.15">
      <c r="A845" s="82" t="s">
        <v>201</v>
      </c>
      <c r="B845" s="54"/>
      <c r="C845" s="54"/>
      <c r="D845" s="54"/>
      <c r="E845" s="54"/>
      <c r="F845" s="54"/>
      <c r="G845" s="64"/>
      <c r="H845" s="94"/>
    </row>
    <row r="846" spans="1:8" ht="14" x14ac:dyDescent="0.15">
      <c r="A846" s="53" t="s">
        <v>78</v>
      </c>
      <c r="B846" s="54" t="s">
        <v>79</v>
      </c>
      <c r="C846" s="54" t="s">
        <v>80</v>
      </c>
      <c r="D846" s="54" t="s">
        <v>110</v>
      </c>
      <c r="E846" s="54" t="s">
        <v>202</v>
      </c>
      <c r="F846" s="54" t="s">
        <v>82</v>
      </c>
      <c r="G846" s="64" t="s">
        <v>203</v>
      </c>
      <c r="H846" s="95">
        <v>1584</v>
      </c>
    </row>
    <row r="847" spans="1:8" ht="14" x14ac:dyDescent="0.15">
      <c r="A847" s="53" t="s">
        <v>83</v>
      </c>
      <c r="B847" s="54" t="s">
        <v>79</v>
      </c>
      <c r="C847" s="54" t="s">
        <v>80</v>
      </c>
      <c r="D847" s="54" t="s">
        <v>110</v>
      </c>
      <c r="E847" s="54" t="s">
        <v>202</v>
      </c>
      <c r="F847" s="54" t="s">
        <v>82</v>
      </c>
      <c r="G847" s="64" t="s">
        <v>163</v>
      </c>
      <c r="H847" s="95">
        <f>8-8</f>
        <v>0</v>
      </c>
    </row>
    <row r="848" spans="1:8" ht="14" x14ac:dyDescent="0.15">
      <c r="A848" s="53" t="s">
        <v>84</v>
      </c>
      <c r="B848" s="54" t="s">
        <v>79</v>
      </c>
      <c r="C848" s="54" t="s">
        <v>80</v>
      </c>
      <c r="D848" s="54" t="s">
        <v>110</v>
      </c>
      <c r="E848" s="54" t="s">
        <v>202</v>
      </c>
      <c r="F848" s="54" t="s">
        <v>82</v>
      </c>
      <c r="G848" s="64" t="s">
        <v>204</v>
      </c>
      <c r="H848" s="95">
        <v>541.70000000000005</v>
      </c>
    </row>
    <row r="849" spans="1:10" ht="14" x14ac:dyDescent="0.15">
      <c r="A849" s="53" t="s">
        <v>86</v>
      </c>
      <c r="B849" s="54" t="s">
        <v>79</v>
      </c>
      <c r="C849" s="54" t="s">
        <v>80</v>
      </c>
      <c r="D849" s="54" t="s">
        <v>110</v>
      </c>
      <c r="E849" s="54" t="s">
        <v>202</v>
      </c>
      <c r="F849" s="54" t="s">
        <v>82</v>
      </c>
      <c r="G849" s="64" t="s">
        <v>165</v>
      </c>
      <c r="H849" s="95">
        <f>200-185+8</f>
        <v>23</v>
      </c>
    </row>
    <row r="850" spans="1:10" ht="14" x14ac:dyDescent="0.15">
      <c r="A850" s="53" t="s">
        <v>91</v>
      </c>
      <c r="B850" s="54" t="s">
        <v>79</v>
      </c>
      <c r="C850" s="54" t="s">
        <v>80</v>
      </c>
      <c r="D850" s="54" t="s">
        <v>110</v>
      </c>
      <c r="E850" s="54" t="s">
        <v>202</v>
      </c>
      <c r="F850" s="54" t="s">
        <v>82</v>
      </c>
      <c r="G850" s="64" t="s">
        <v>198</v>
      </c>
      <c r="H850" s="95">
        <v>100</v>
      </c>
    </row>
    <row r="851" spans="1:10" ht="14" x14ac:dyDescent="0.15">
      <c r="A851" s="53" t="s">
        <v>96</v>
      </c>
      <c r="B851" s="54" t="s">
        <v>79</v>
      </c>
      <c r="C851" s="54" t="s">
        <v>80</v>
      </c>
      <c r="D851" s="54" t="s">
        <v>110</v>
      </c>
      <c r="E851" s="54" t="s">
        <v>202</v>
      </c>
      <c r="F851" s="54" t="s">
        <v>82</v>
      </c>
      <c r="G851" s="64" t="s">
        <v>170</v>
      </c>
      <c r="H851" s="95">
        <f>342.9+185</f>
        <v>527.9</v>
      </c>
    </row>
    <row r="852" spans="1:10" ht="14" x14ac:dyDescent="0.15">
      <c r="A852" s="53" t="s">
        <v>97</v>
      </c>
      <c r="B852" s="54" t="s">
        <v>79</v>
      </c>
      <c r="C852" s="54" t="s">
        <v>80</v>
      </c>
      <c r="D852" s="54" t="s">
        <v>110</v>
      </c>
      <c r="E852" s="54" t="s">
        <v>202</v>
      </c>
      <c r="F852" s="54" t="s">
        <v>82</v>
      </c>
      <c r="G852" s="64" t="s">
        <v>171</v>
      </c>
      <c r="H852" s="95">
        <f>64.4</f>
        <v>64.400000000000006</v>
      </c>
    </row>
    <row r="853" spans="1:10" ht="14" x14ac:dyDescent="0.15">
      <c r="A853" s="51" t="s">
        <v>98</v>
      </c>
      <c r="B853" s="62" t="s">
        <v>79</v>
      </c>
      <c r="C853" s="62" t="s">
        <v>80</v>
      </c>
      <c r="D853" s="54" t="s">
        <v>110</v>
      </c>
      <c r="E853" s="62" t="s">
        <v>202</v>
      </c>
      <c r="F853" s="62" t="s">
        <v>82</v>
      </c>
      <c r="G853" s="66"/>
      <c r="H853" s="94">
        <f>SUM(H846:H852)</f>
        <v>2841</v>
      </c>
    </row>
    <row r="854" spans="1:10" ht="14" x14ac:dyDescent="0.15">
      <c r="A854" s="24" t="s">
        <v>256</v>
      </c>
      <c r="B854" s="26" t="s">
        <v>79</v>
      </c>
      <c r="C854" s="26" t="s">
        <v>100</v>
      </c>
      <c r="D854" s="25" t="s">
        <v>100</v>
      </c>
      <c r="E854" s="26" t="s">
        <v>257</v>
      </c>
      <c r="F854" s="26" t="s">
        <v>258</v>
      </c>
      <c r="G854" s="27" t="s">
        <v>198</v>
      </c>
      <c r="H854" s="96">
        <v>150</v>
      </c>
    </row>
    <row r="855" spans="1:10" ht="14" x14ac:dyDescent="0.15">
      <c r="A855" s="24" t="s">
        <v>256</v>
      </c>
      <c r="B855" s="26" t="s">
        <v>79</v>
      </c>
      <c r="C855" s="26" t="s">
        <v>100</v>
      </c>
      <c r="D855" s="25" t="s">
        <v>100</v>
      </c>
      <c r="E855" s="26" t="s">
        <v>257</v>
      </c>
      <c r="F855" s="26" t="s">
        <v>258</v>
      </c>
      <c r="G855" s="27" t="s">
        <v>95</v>
      </c>
      <c r="H855" s="96">
        <v>70</v>
      </c>
    </row>
    <row r="856" spans="1:10" ht="14" x14ac:dyDescent="0.15">
      <c r="A856" s="24" t="s">
        <v>256</v>
      </c>
      <c r="B856" s="26" t="s">
        <v>79</v>
      </c>
      <c r="C856" s="26" t="s">
        <v>100</v>
      </c>
      <c r="D856" s="25" t="s">
        <v>100</v>
      </c>
      <c r="E856" s="26" t="s">
        <v>257</v>
      </c>
      <c r="F856" s="26" t="s">
        <v>258</v>
      </c>
      <c r="G856" s="27" t="s">
        <v>170</v>
      </c>
      <c r="H856" s="96">
        <v>50</v>
      </c>
    </row>
    <row r="857" spans="1:10" ht="14" x14ac:dyDescent="0.15">
      <c r="A857" s="24" t="s">
        <v>259</v>
      </c>
      <c r="B857" s="26" t="s">
        <v>79</v>
      </c>
      <c r="C857" s="26" t="s">
        <v>100</v>
      </c>
      <c r="D857" s="25" t="s">
        <v>100</v>
      </c>
      <c r="E857" s="26" t="s">
        <v>257</v>
      </c>
      <c r="F857" s="26" t="s">
        <v>258</v>
      </c>
      <c r="G857" s="27"/>
      <c r="H857" s="96">
        <f>SUM(H854:H856)</f>
        <v>270</v>
      </c>
    </row>
    <row r="858" spans="1:10" ht="26" x14ac:dyDescent="0.15">
      <c r="A858" s="97" t="s">
        <v>260</v>
      </c>
      <c r="B858" s="62" t="s">
        <v>79</v>
      </c>
      <c r="C858" s="62" t="s">
        <v>125</v>
      </c>
      <c r="D858" s="54" t="s">
        <v>249</v>
      </c>
      <c r="E858" s="62" t="s">
        <v>205</v>
      </c>
      <c r="F858" s="62" t="s">
        <v>82</v>
      </c>
      <c r="G858" s="66" t="s">
        <v>198</v>
      </c>
      <c r="H858" s="94">
        <f>1908</f>
        <v>1908</v>
      </c>
    </row>
    <row r="859" spans="1:10" ht="55.5" customHeight="1" x14ac:dyDescent="0.15">
      <c r="A859" s="3188" t="s">
        <v>754</v>
      </c>
      <c r="B859" s="26" t="s">
        <v>79</v>
      </c>
      <c r="C859" s="26" t="s">
        <v>120</v>
      </c>
      <c r="D859" s="25" t="s">
        <v>120</v>
      </c>
      <c r="E859" s="26" t="s">
        <v>206</v>
      </c>
      <c r="F859" s="26" t="s">
        <v>207</v>
      </c>
      <c r="G859" s="27" t="s">
        <v>198</v>
      </c>
      <c r="H859" s="96">
        <v>133</v>
      </c>
    </row>
    <row r="860" spans="1:10" ht="34.5" customHeight="1" x14ac:dyDescent="0.15">
      <c r="A860" s="3189"/>
      <c r="B860" s="26" t="s">
        <v>79</v>
      </c>
      <c r="C860" s="26" t="s">
        <v>120</v>
      </c>
      <c r="D860" s="25" t="s">
        <v>120</v>
      </c>
      <c r="E860" s="26" t="s">
        <v>206</v>
      </c>
      <c r="F860" s="26" t="s">
        <v>207</v>
      </c>
      <c r="G860" s="27" t="s">
        <v>170</v>
      </c>
      <c r="H860" s="96">
        <v>10</v>
      </c>
    </row>
    <row r="861" spans="1:10" ht="14" x14ac:dyDescent="0.15">
      <c r="A861" s="97" t="s">
        <v>261</v>
      </c>
      <c r="B861" s="62" t="s">
        <v>79</v>
      </c>
      <c r="C861" s="62" t="s">
        <v>196</v>
      </c>
      <c r="D861" s="54" t="s">
        <v>195</v>
      </c>
      <c r="E861" s="62" t="s">
        <v>200</v>
      </c>
      <c r="F861" s="62" t="s">
        <v>180</v>
      </c>
      <c r="G861" s="66" t="s">
        <v>93</v>
      </c>
      <c r="H861" s="94">
        <f>200+200+600</f>
        <v>1000</v>
      </c>
    </row>
    <row r="862" spans="1:10" ht="14" x14ac:dyDescent="0.15">
      <c r="A862" s="97" t="s">
        <v>562</v>
      </c>
      <c r="B862" s="62" t="s">
        <v>79</v>
      </c>
      <c r="C862" s="62" t="s">
        <v>110</v>
      </c>
      <c r="D862" s="54" t="s">
        <v>125</v>
      </c>
      <c r="E862" s="62" t="s">
        <v>262</v>
      </c>
      <c r="F862" s="62" t="s">
        <v>102</v>
      </c>
      <c r="G862" s="66" t="s">
        <v>170</v>
      </c>
      <c r="H862" s="94">
        <v>50</v>
      </c>
    </row>
    <row r="863" spans="1:10" ht="14" x14ac:dyDescent="0.15">
      <c r="A863" s="83" t="s">
        <v>210</v>
      </c>
      <c r="B863" s="16"/>
      <c r="C863" s="16"/>
      <c r="D863" s="16"/>
      <c r="E863" s="16"/>
      <c r="F863" s="16"/>
      <c r="G863" s="16"/>
      <c r="H863" s="32">
        <f>H844+H833+H832+H817+H202+H20+H853+H857+H858+H859+H860+H861+H862</f>
        <v>809963.73400000017</v>
      </c>
      <c r="J863" s="28">
        <f>H863-H858-H859-H860-H854-H855-H856</f>
        <v>807642.73400000017</v>
      </c>
    </row>
    <row r="864" spans="1:10" x14ac:dyDescent="0.15">
      <c r="A864" s="33"/>
      <c r="B864" s="34"/>
      <c r="C864" s="34"/>
      <c r="D864" s="34"/>
      <c r="E864" s="34"/>
      <c r="F864" s="34"/>
      <c r="G864" s="34"/>
      <c r="H864" s="98">
        <v>809993.73400000005</v>
      </c>
      <c r="J864" s="22" t="e">
        <f>'Приложение № 6'!#REF!</f>
        <v>#REF!</v>
      </c>
    </row>
    <row r="865" spans="1:10" x14ac:dyDescent="0.15">
      <c r="A865" s="33"/>
      <c r="B865" s="34"/>
      <c r="C865" s="34"/>
      <c r="D865" s="34"/>
      <c r="E865" s="34"/>
      <c r="F865" s="34"/>
      <c r="G865" s="34"/>
      <c r="H865" s="98">
        <f>H863-H864</f>
        <v>-29.999999999883585</v>
      </c>
      <c r="J865" s="28" t="e">
        <f>J863-J864</f>
        <v>#REF!</v>
      </c>
    </row>
    <row r="866" spans="1:10" ht="16" x14ac:dyDescent="0.2">
      <c r="A866" s="3190" t="s">
        <v>251</v>
      </c>
      <c r="B866" s="3190"/>
      <c r="C866" s="3190"/>
      <c r="D866" s="3190"/>
      <c r="E866" s="3190"/>
      <c r="F866" s="3190"/>
      <c r="G866" s="3190"/>
      <c r="H866" s="3190"/>
    </row>
    <row r="867" spans="1:10" x14ac:dyDescent="0.15">
      <c r="A867" s="33"/>
      <c r="B867" s="34"/>
      <c r="C867" s="34"/>
      <c r="D867" s="34"/>
      <c r="E867" s="34"/>
      <c r="F867" s="34"/>
      <c r="G867" s="34"/>
      <c r="H867" s="98"/>
    </row>
    <row r="868" spans="1:10" ht="14" x14ac:dyDescent="0.15">
      <c r="A868" s="14"/>
      <c r="B868" s="14"/>
      <c r="C868" s="35"/>
      <c r="D868" s="36"/>
      <c r="E868" s="37"/>
      <c r="F868" s="23"/>
      <c r="G868" s="23"/>
      <c r="H868" s="99"/>
    </row>
    <row r="869" spans="1:10" ht="16" x14ac:dyDescent="0.2">
      <c r="A869" s="3184" t="s">
        <v>211</v>
      </c>
      <c r="B869" s="3184"/>
      <c r="C869" s="3184"/>
      <c r="D869" s="3184"/>
      <c r="E869" s="3184"/>
      <c r="F869" s="3184"/>
      <c r="G869" s="3184"/>
      <c r="H869" s="3184"/>
    </row>
    <row r="870" spans="1:10" ht="16" x14ac:dyDescent="0.2">
      <c r="A870" s="38"/>
      <c r="B870" s="38"/>
      <c r="C870" s="38"/>
      <c r="D870" s="38"/>
      <c r="E870" s="38"/>
      <c r="F870" s="38"/>
      <c r="G870" s="38"/>
      <c r="H870" s="100"/>
    </row>
    <row r="871" spans="1:10" ht="14" x14ac:dyDescent="0.15">
      <c r="A871" s="14"/>
      <c r="B871" s="14"/>
      <c r="C871" s="35"/>
      <c r="D871" s="36"/>
      <c r="E871" s="37"/>
      <c r="F871" s="23"/>
      <c r="G871" s="23"/>
      <c r="H871" s="99"/>
    </row>
    <row r="872" spans="1:10" ht="14" x14ac:dyDescent="0.15">
      <c r="A872" s="14"/>
      <c r="B872" s="14"/>
      <c r="C872" s="35"/>
      <c r="D872" s="36"/>
      <c r="E872" s="37"/>
      <c r="F872" s="23"/>
      <c r="G872" s="23"/>
      <c r="H872" s="99">
        <f>H853+H844+H20+H817</f>
        <v>43126.897999999994</v>
      </c>
    </row>
    <row r="873" spans="1:10" ht="14" x14ac:dyDescent="0.15">
      <c r="A873" s="13"/>
      <c r="B873" s="13"/>
      <c r="C873" s="39"/>
      <c r="D873" s="4"/>
      <c r="E873" s="40"/>
      <c r="F873"/>
      <c r="G873"/>
      <c r="H873" s="443"/>
    </row>
    <row r="874" spans="1:10" ht="14" x14ac:dyDescent="0.15">
      <c r="A874" s="13"/>
      <c r="B874" s="13"/>
      <c r="C874" s="39"/>
      <c r="D874" s="4"/>
      <c r="E874" s="40"/>
      <c r="F874"/>
      <c r="G874"/>
      <c r="H874" s="443"/>
    </row>
    <row r="875" spans="1:10" ht="14" x14ac:dyDescent="0.15">
      <c r="A875" s="13"/>
      <c r="B875" s="13"/>
      <c r="C875" s="39"/>
      <c r="D875" s="4"/>
      <c r="E875" s="40"/>
      <c r="F875"/>
      <c r="G875"/>
      <c r="H875" s="443"/>
    </row>
    <row r="876" spans="1:10" ht="14" x14ac:dyDescent="0.15">
      <c r="A876" s="13"/>
      <c r="B876" s="13"/>
      <c r="C876" s="39"/>
      <c r="D876" s="4"/>
      <c r="E876" s="40"/>
      <c r="F876"/>
      <c r="G876"/>
      <c r="H876" s="443"/>
    </row>
    <row r="877" spans="1:10" ht="14" x14ac:dyDescent="0.15">
      <c r="A877" s="13"/>
      <c r="B877" s="13"/>
      <c r="C877" s="39"/>
      <c r="D877" s="4"/>
      <c r="E877" s="40"/>
      <c r="F877"/>
      <c r="G877"/>
      <c r="H877" s="443"/>
    </row>
    <row r="878" spans="1:10" ht="14" x14ac:dyDescent="0.15">
      <c r="A878" s="42"/>
      <c r="B878" s="42"/>
      <c r="C878" s="43"/>
      <c r="D878" s="44"/>
      <c r="E878" s="45"/>
      <c r="F878" s="46"/>
      <c r="G878" s="46"/>
      <c r="H878" s="443"/>
    </row>
    <row r="879" spans="1:10" ht="14" x14ac:dyDescent="0.15">
      <c r="A879" s="13"/>
      <c r="B879" s="13"/>
      <c r="C879" s="39"/>
      <c r="D879" s="4"/>
      <c r="E879" s="40"/>
      <c r="F879"/>
      <c r="G879"/>
      <c r="H879" s="443"/>
    </row>
    <row r="880" spans="1:10" ht="14" x14ac:dyDescent="0.15">
      <c r="A880" s="13"/>
      <c r="B880" s="13"/>
      <c r="C880" s="39"/>
      <c r="D880" s="4"/>
      <c r="E880" s="40"/>
      <c r="F880"/>
      <c r="G880"/>
      <c r="H880" s="443"/>
    </row>
    <row r="881" spans="1:8" ht="14" x14ac:dyDescent="0.15">
      <c r="A881" s="13"/>
      <c r="B881" s="13"/>
      <c r="C881" s="39"/>
      <c r="D881" s="4"/>
      <c r="E881" s="40"/>
      <c r="F881"/>
      <c r="G881"/>
      <c r="H881" s="443"/>
    </row>
    <row r="882" spans="1:8" ht="14" x14ac:dyDescent="0.15">
      <c r="A882" s="13"/>
      <c r="B882" s="13"/>
      <c r="C882" s="39"/>
      <c r="D882" s="4"/>
      <c r="E882" s="40"/>
      <c r="F882"/>
      <c r="G882"/>
      <c r="H882" s="443"/>
    </row>
    <row r="883" spans="1:8" ht="14" x14ac:dyDescent="0.15">
      <c r="A883" s="13"/>
      <c r="B883" s="13"/>
      <c r="C883" s="39"/>
      <c r="D883" s="4"/>
      <c r="E883" s="40"/>
      <c r="F883"/>
      <c r="G883"/>
      <c r="H883" s="443"/>
    </row>
    <row r="884" spans="1:8" ht="14" x14ac:dyDescent="0.15">
      <c r="A884" s="13"/>
      <c r="B884" s="13"/>
      <c r="C884" s="39"/>
      <c r="D884" s="4"/>
      <c r="E884" s="40"/>
      <c r="F884"/>
      <c r="G884"/>
      <c r="H884" s="443"/>
    </row>
    <row r="885" spans="1:8" ht="14" x14ac:dyDescent="0.15">
      <c r="A885" s="13"/>
      <c r="B885" s="13"/>
      <c r="C885" s="39"/>
      <c r="D885" s="4"/>
      <c r="E885" s="40"/>
      <c r="F885"/>
      <c r="G885"/>
      <c r="H885" s="443"/>
    </row>
    <row r="886" spans="1:8" ht="14" x14ac:dyDescent="0.15">
      <c r="A886" s="13"/>
      <c r="B886" s="13"/>
      <c r="C886" s="39"/>
      <c r="D886" s="4"/>
      <c r="E886" s="40"/>
      <c r="F886"/>
      <c r="G886"/>
      <c r="H886" s="443"/>
    </row>
    <row r="887" spans="1:8" ht="14" x14ac:dyDescent="0.15">
      <c r="A887" s="13"/>
      <c r="B887" s="13"/>
      <c r="C887" s="39"/>
      <c r="D887" s="4"/>
      <c r="E887" s="40"/>
      <c r="F887"/>
      <c r="G887"/>
      <c r="H887" s="443"/>
    </row>
    <row r="888" spans="1:8" ht="14" x14ac:dyDescent="0.15">
      <c r="A888" s="13"/>
      <c r="B888" s="13"/>
      <c r="C888" s="39"/>
      <c r="D888" s="4"/>
      <c r="E888" s="40"/>
      <c r="F888"/>
      <c r="G888"/>
      <c r="H888" s="443"/>
    </row>
    <row r="889" spans="1:8" ht="14" x14ac:dyDescent="0.15">
      <c r="A889" s="13"/>
      <c r="B889" s="13"/>
      <c r="C889" s="39"/>
      <c r="D889" s="4"/>
      <c r="E889" s="40"/>
      <c r="F889"/>
      <c r="G889"/>
      <c r="H889" s="443"/>
    </row>
    <row r="890" spans="1:8" ht="14" x14ac:dyDescent="0.15">
      <c r="A890" s="13"/>
      <c r="B890" s="13"/>
      <c r="C890" s="39"/>
      <c r="D890" s="4"/>
      <c r="E890" s="40"/>
      <c r="F890"/>
      <c r="G890"/>
      <c r="H890" s="443"/>
    </row>
    <row r="891" spans="1:8" ht="14" x14ac:dyDescent="0.15">
      <c r="A891" s="13"/>
      <c r="B891" s="13"/>
      <c r="C891" s="39"/>
      <c r="D891" s="4"/>
      <c r="E891" s="40"/>
      <c r="F891"/>
      <c r="G891"/>
      <c r="H891" s="443"/>
    </row>
    <row r="892" spans="1:8" ht="14" x14ac:dyDescent="0.15">
      <c r="A892" s="13"/>
      <c r="B892" s="13"/>
      <c r="C892" s="39"/>
      <c r="D892" s="4"/>
      <c r="E892" s="40"/>
      <c r="F892"/>
      <c r="G892"/>
      <c r="H892" s="443"/>
    </row>
    <row r="893" spans="1:8" ht="14" x14ac:dyDescent="0.15">
      <c r="A893" s="13"/>
      <c r="B893" s="13"/>
      <c r="C893" s="39"/>
      <c r="D893" s="4"/>
      <c r="E893" s="40"/>
      <c r="F893"/>
      <c r="G893"/>
      <c r="H893" s="443"/>
    </row>
    <row r="894" spans="1:8" ht="14" x14ac:dyDescent="0.15">
      <c r="A894" s="13"/>
      <c r="B894" s="13"/>
      <c r="C894" s="39"/>
      <c r="D894" s="4"/>
      <c r="E894" s="40"/>
      <c r="F894"/>
      <c r="G894"/>
      <c r="H894" s="443"/>
    </row>
    <row r="895" spans="1:8" ht="14" x14ac:dyDescent="0.15">
      <c r="A895" s="42"/>
      <c r="B895" s="42"/>
      <c r="C895" s="43"/>
      <c r="D895" s="44"/>
      <c r="E895" s="45"/>
      <c r="F895" s="46"/>
      <c r="G895" s="46"/>
      <c r="H895" s="443"/>
    </row>
    <row r="896" spans="1:8" ht="14" x14ac:dyDescent="0.15">
      <c r="A896" s="13"/>
      <c r="B896" s="13"/>
      <c r="C896" s="39"/>
      <c r="D896" s="4"/>
      <c r="E896" s="40"/>
      <c r="F896"/>
      <c r="G896"/>
      <c r="H896" s="443"/>
    </row>
    <row r="897" spans="1:8" ht="14" x14ac:dyDescent="0.15">
      <c r="A897" s="13"/>
      <c r="B897" s="13"/>
      <c r="C897" s="39"/>
      <c r="D897" s="4"/>
      <c r="E897" s="40"/>
      <c r="F897"/>
      <c r="G897"/>
      <c r="H897" s="443"/>
    </row>
    <row r="898" spans="1:8" ht="14" x14ac:dyDescent="0.15">
      <c r="A898" s="13"/>
      <c r="B898" s="13"/>
      <c r="C898" s="39"/>
      <c r="D898" s="4"/>
      <c r="E898" s="40"/>
      <c r="F898"/>
      <c r="G898"/>
      <c r="H898" s="443"/>
    </row>
    <row r="899" spans="1:8" ht="14" x14ac:dyDescent="0.15">
      <c r="A899" s="13"/>
      <c r="B899" s="13"/>
      <c r="C899" s="39"/>
      <c r="D899" s="4"/>
      <c r="E899" s="40"/>
      <c r="F899"/>
      <c r="G899"/>
      <c r="H899" s="443"/>
    </row>
    <row r="900" spans="1:8" ht="14" x14ac:dyDescent="0.15">
      <c r="A900" s="13"/>
      <c r="B900" s="13"/>
      <c r="C900" s="39"/>
      <c r="D900" s="4"/>
      <c r="E900" s="40"/>
      <c r="F900"/>
      <c r="G900"/>
      <c r="H900" s="443"/>
    </row>
    <row r="901" spans="1:8" ht="14" x14ac:dyDescent="0.15">
      <c r="A901" s="13"/>
      <c r="B901" s="13"/>
      <c r="C901" s="39"/>
      <c r="D901" s="4"/>
      <c r="E901" s="40"/>
      <c r="F901"/>
      <c r="G901"/>
      <c r="H901" s="443"/>
    </row>
    <row r="902" spans="1:8" ht="14" x14ac:dyDescent="0.15">
      <c r="A902" s="13"/>
      <c r="B902" s="13"/>
      <c r="C902" s="39"/>
      <c r="D902" s="4"/>
      <c r="E902" s="40"/>
      <c r="F902"/>
      <c r="G902"/>
      <c r="H902" s="443"/>
    </row>
    <row r="903" spans="1:8" ht="14" x14ac:dyDescent="0.15">
      <c r="A903" s="13"/>
      <c r="B903" s="13"/>
      <c r="C903" s="39"/>
      <c r="D903" s="4"/>
      <c r="E903" s="40"/>
      <c r="F903"/>
      <c r="G903"/>
      <c r="H903" s="443"/>
    </row>
    <row r="904" spans="1:8" ht="14" x14ac:dyDescent="0.15">
      <c r="A904" s="13"/>
      <c r="B904" s="13"/>
      <c r="C904" s="39"/>
      <c r="D904" s="4"/>
      <c r="E904" s="40"/>
      <c r="F904"/>
      <c r="G904"/>
      <c r="H904" s="443"/>
    </row>
    <row r="905" spans="1:8" ht="14" x14ac:dyDescent="0.15">
      <c r="A905" s="13"/>
      <c r="B905" s="13"/>
      <c r="C905" s="39"/>
      <c r="D905" s="4"/>
      <c r="E905" s="40"/>
      <c r="F905"/>
      <c r="G905"/>
      <c r="H905" s="443"/>
    </row>
    <row r="906" spans="1:8" ht="14" x14ac:dyDescent="0.15">
      <c r="A906" s="13"/>
      <c r="B906" s="13"/>
      <c r="C906" s="39"/>
      <c r="D906" s="4"/>
      <c r="E906" s="40"/>
      <c r="F906"/>
      <c r="G906"/>
      <c r="H906" s="443"/>
    </row>
    <row r="907" spans="1:8" ht="14" x14ac:dyDescent="0.15">
      <c r="A907" s="13"/>
      <c r="B907" s="13"/>
      <c r="C907" s="39"/>
      <c r="D907" s="4"/>
      <c r="E907" s="40"/>
      <c r="F907"/>
      <c r="G907"/>
      <c r="H907" s="443"/>
    </row>
    <row r="908" spans="1:8" ht="14" x14ac:dyDescent="0.15">
      <c r="A908" s="13"/>
      <c r="B908" s="13"/>
      <c r="C908" s="39"/>
      <c r="D908" s="4"/>
      <c r="E908" s="40"/>
      <c r="F908"/>
      <c r="G908"/>
      <c r="H908" s="443"/>
    </row>
    <row r="909" spans="1:8" ht="14" x14ac:dyDescent="0.15">
      <c r="A909" s="13"/>
      <c r="B909" s="13"/>
      <c r="C909" s="39"/>
      <c r="D909" s="4"/>
      <c r="E909" s="40"/>
      <c r="F909"/>
      <c r="G909"/>
      <c r="H909" s="443"/>
    </row>
    <row r="910" spans="1:8" ht="14" x14ac:dyDescent="0.15">
      <c r="A910" s="13"/>
      <c r="B910" s="13"/>
      <c r="C910" s="39"/>
      <c r="D910" s="4"/>
      <c r="E910" s="40"/>
      <c r="F910"/>
      <c r="G910"/>
      <c r="H910" s="443"/>
    </row>
    <row r="911" spans="1:8" ht="14" x14ac:dyDescent="0.15">
      <c r="A911" s="13"/>
      <c r="B911" s="13"/>
      <c r="C911" s="39"/>
      <c r="D911" s="4"/>
      <c r="E911" s="40"/>
      <c r="F911"/>
      <c r="G911"/>
      <c r="H911" s="443"/>
    </row>
    <row r="912" spans="1:8" ht="14" x14ac:dyDescent="0.15">
      <c r="A912" s="13"/>
      <c r="B912" s="13"/>
      <c r="C912" s="39"/>
      <c r="D912" s="4"/>
      <c r="E912" s="40"/>
      <c r="F912"/>
      <c r="G912"/>
      <c r="H912" s="443"/>
    </row>
    <row r="913" spans="1:8" ht="14" x14ac:dyDescent="0.15">
      <c r="A913" s="13"/>
      <c r="B913" s="13"/>
      <c r="C913" s="39"/>
      <c r="D913" s="4"/>
      <c r="E913" s="40"/>
      <c r="F913"/>
      <c r="G913"/>
      <c r="H913" s="443"/>
    </row>
    <row r="914" spans="1:8" ht="14" x14ac:dyDescent="0.15">
      <c r="A914" s="13"/>
      <c r="B914" s="13"/>
      <c r="C914" s="39"/>
      <c r="D914" s="4"/>
      <c r="E914" s="40"/>
      <c r="F914"/>
      <c r="G914"/>
      <c r="H914" s="443"/>
    </row>
    <row r="915" spans="1:8" ht="14" x14ac:dyDescent="0.15">
      <c r="A915" s="13"/>
      <c r="B915" s="13"/>
      <c r="C915" s="39"/>
      <c r="D915" s="4"/>
      <c r="E915" s="40"/>
      <c r="F915"/>
      <c r="G915"/>
      <c r="H915" s="443"/>
    </row>
    <row r="916" spans="1:8" ht="14" x14ac:dyDescent="0.15">
      <c r="A916" s="13"/>
      <c r="B916" s="13"/>
      <c r="C916" s="39"/>
      <c r="D916" s="4"/>
      <c r="E916" s="40"/>
      <c r="F916"/>
      <c r="G916"/>
      <c r="H916" s="443"/>
    </row>
    <row r="917" spans="1:8" ht="14" x14ac:dyDescent="0.15">
      <c r="A917" s="13"/>
      <c r="B917" s="13"/>
      <c r="C917" s="39"/>
      <c r="D917" s="4"/>
      <c r="E917" s="40"/>
      <c r="F917"/>
      <c r="G917"/>
      <c r="H917" s="443"/>
    </row>
    <row r="918" spans="1:8" ht="14" x14ac:dyDescent="0.15">
      <c r="A918" s="13"/>
      <c r="B918" s="13"/>
      <c r="C918" s="39"/>
      <c r="D918" s="4"/>
      <c r="E918" s="40"/>
      <c r="F918"/>
      <c r="G918"/>
      <c r="H918" s="443"/>
    </row>
    <row r="919" spans="1:8" ht="14" x14ac:dyDescent="0.15">
      <c r="A919" s="13"/>
      <c r="B919" s="13"/>
      <c r="C919" s="39"/>
      <c r="D919" s="4"/>
      <c r="E919" s="40"/>
      <c r="F919"/>
      <c r="G919"/>
      <c r="H919" s="443"/>
    </row>
    <row r="920" spans="1:8" ht="14" x14ac:dyDescent="0.15">
      <c r="A920" s="13"/>
      <c r="B920" s="13"/>
      <c r="C920" s="39"/>
      <c r="D920" s="4"/>
      <c r="E920" s="40"/>
      <c r="F920"/>
      <c r="G920"/>
      <c r="H920" s="443"/>
    </row>
    <row r="921" spans="1:8" ht="14" x14ac:dyDescent="0.15">
      <c r="A921" s="13"/>
      <c r="B921" s="13"/>
      <c r="C921" s="39"/>
      <c r="D921" s="4"/>
      <c r="E921" s="40"/>
      <c r="F921"/>
      <c r="G921"/>
      <c r="H921" s="443"/>
    </row>
    <row r="922" spans="1:8" ht="14" x14ac:dyDescent="0.15">
      <c r="A922" s="13"/>
      <c r="B922" s="13"/>
      <c r="C922" s="39"/>
      <c r="D922" s="4"/>
      <c r="E922" s="40"/>
      <c r="F922"/>
      <c r="G922"/>
      <c r="H922" s="443"/>
    </row>
    <row r="923" spans="1:8" ht="14" x14ac:dyDescent="0.15">
      <c r="A923" s="13"/>
      <c r="B923" s="13"/>
      <c r="C923" s="39"/>
      <c r="D923" s="4"/>
      <c r="E923" s="40"/>
      <c r="F923"/>
      <c r="G923"/>
      <c r="H923" s="443"/>
    </row>
    <row r="924" spans="1:8" ht="14" x14ac:dyDescent="0.15">
      <c r="A924" s="13"/>
      <c r="B924" s="13"/>
      <c r="C924" s="39"/>
      <c r="D924" s="4"/>
      <c r="E924" s="40"/>
      <c r="F924"/>
      <c r="G924"/>
      <c r="H924" s="443"/>
    </row>
    <row r="925" spans="1:8" ht="14" x14ac:dyDescent="0.15">
      <c r="A925" s="13"/>
      <c r="B925" s="13"/>
      <c r="C925" s="39"/>
      <c r="D925" s="4"/>
      <c r="E925" s="40"/>
      <c r="F925"/>
      <c r="G925"/>
      <c r="H925" s="443"/>
    </row>
    <row r="926" spans="1:8" ht="14" x14ac:dyDescent="0.15">
      <c r="A926" s="13"/>
      <c r="B926" s="13"/>
      <c r="C926" s="39"/>
      <c r="D926" s="4"/>
      <c r="E926" s="40"/>
      <c r="F926"/>
      <c r="G926"/>
      <c r="H926" s="443"/>
    </row>
    <row r="927" spans="1:8" ht="14" x14ac:dyDescent="0.15">
      <c r="A927" s="13"/>
      <c r="B927" s="13"/>
      <c r="C927" s="39"/>
      <c r="D927" s="4"/>
      <c r="E927" s="40"/>
      <c r="F927"/>
      <c r="G927"/>
      <c r="H927" s="443"/>
    </row>
    <row r="928" spans="1:8" ht="14" x14ac:dyDescent="0.15">
      <c r="A928" s="13"/>
      <c r="B928" s="13"/>
      <c r="C928" s="39"/>
      <c r="D928" s="4"/>
      <c r="E928" s="40"/>
      <c r="F928"/>
      <c r="G928"/>
      <c r="H928" s="443"/>
    </row>
    <row r="929" spans="1:8" ht="14" x14ac:dyDescent="0.15">
      <c r="A929" s="13"/>
      <c r="B929" s="13"/>
      <c r="C929" s="39"/>
      <c r="D929" s="4"/>
      <c r="E929" s="40"/>
      <c r="F929"/>
      <c r="G929"/>
      <c r="H929" s="443"/>
    </row>
    <row r="930" spans="1:8" ht="14" x14ac:dyDescent="0.15">
      <c r="A930" s="13"/>
      <c r="B930" s="13"/>
      <c r="C930" s="39"/>
      <c r="D930" s="4"/>
      <c r="E930" s="40"/>
      <c r="F930"/>
      <c r="G930"/>
      <c r="H930" s="443"/>
    </row>
    <row r="931" spans="1:8" ht="14" x14ac:dyDescent="0.15">
      <c r="A931" s="13"/>
      <c r="B931" s="13"/>
      <c r="C931" s="39"/>
      <c r="D931" s="4"/>
      <c r="E931" s="40"/>
      <c r="F931"/>
      <c r="G931"/>
      <c r="H931" s="443"/>
    </row>
    <row r="932" spans="1:8" ht="14" x14ac:dyDescent="0.15">
      <c r="A932" s="13"/>
      <c r="B932" s="13"/>
      <c r="C932" s="39"/>
      <c r="D932" s="4"/>
      <c r="E932" s="40"/>
      <c r="F932"/>
      <c r="G932"/>
      <c r="H932" s="443"/>
    </row>
    <row r="933" spans="1:8" ht="14" x14ac:dyDescent="0.15">
      <c r="A933" s="13"/>
      <c r="B933" s="13"/>
      <c r="C933" s="39"/>
      <c r="D933" s="4"/>
      <c r="E933" s="40"/>
      <c r="F933"/>
      <c r="G933"/>
      <c r="H933" s="443"/>
    </row>
    <row r="934" spans="1:8" ht="14" x14ac:dyDescent="0.15">
      <c r="A934" s="13"/>
      <c r="B934" s="13"/>
      <c r="C934" s="39"/>
      <c r="D934" s="4"/>
      <c r="E934" s="40"/>
      <c r="F934"/>
      <c r="G934"/>
      <c r="H934" s="443"/>
    </row>
    <row r="935" spans="1:8" ht="14" x14ac:dyDescent="0.15">
      <c r="A935" s="13"/>
      <c r="B935" s="13"/>
      <c r="C935" s="39"/>
      <c r="D935" s="4"/>
      <c r="E935" s="40"/>
      <c r="F935"/>
      <c r="G935"/>
      <c r="H935" s="443"/>
    </row>
    <row r="936" spans="1:8" ht="14" x14ac:dyDescent="0.15">
      <c r="A936" s="13"/>
      <c r="B936" s="13"/>
      <c r="C936" s="39"/>
      <c r="D936" s="4"/>
      <c r="E936" s="40"/>
      <c r="F936"/>
      <c r="G936"/>
      <c r="H936" s="443"/>
    </row>
    <row r="937" spans="1:8" ht="14" x14ac:dyDescent="0.15">
      <c r="A937" s="13"/>
      <c r="B937" s="13"/>
      <c r="C937" s="39"/>
      <c r="D937" s="4"/>
      <c r="E937" s="40"/>
      <c r="F937"/>
      <c r="G937"/>
      <c r="H937" s="443"/>
    </row>
    <row r="938" spans="1:8" ht="14" x14ac:dyDescent="0.15">
      <c r="A938" s="13"/>
      <c r="B938" s="13"/>
      <c r="C938" s="39"/>
      <c r="D938" s="4"/>
      <c r="E938" s="40"/>
      <c r="F938"/>
      <c r="G938"/>
      <c r="H938" s="443"/>
    </row>
    <row r="939" spans="1:8" ht="14" x14ac:dyDescent="0.15">
      <c r="A939" s="13"/>
      <c r="B939" s="13"/>
      <c r="C939" s="39"/>
      <c r="D939" s="4"/>
      <c r="E939" s="40"/>
      <c r="F939"/>
      <c r="G939"/>
      <c r="H939" s="443"/>
    </row>
    <row r="940" spans="1:8" ht="14" x14ac:dyDescent="0.15">
      <c r="A940" s="13"/>
      <c r="B940" s="13"/>
      <c r="C940" s="39"/>
      <c r="D940" s="4"/>
      <c r="E940" s="40"/>
      <c r="F940"/>
      <c r="G940"/>
      <c r="H940" s="443"/>
    </row>
    <row r="941" spans="1:8" ht="14" x14ac:dyDescent="0.15">
      <c r="A941" s="13"/>
      <c r="B941" s="13"/>
      <c r="C941" s="39"/>
      <c r="D941" s="4"/>
      <c r="E941" s="40"/>
      <c r="F941"/>
      <c r="G941"/>
      <c r="H941" s="443"/>
    </row>
    <row r="942" spans="1:8" ht="14" x14ac:dyDescent="0.15">
      <c r="A942" s="13"/>
      <c r="B942" s="13"/>
      <c r="C942" s="39"/>
      <c r="D942" s="4"/>
      <c r="E942" s="40"/>
      <c r="F942"/>
      <c r="G942"/>
      <c r="H942" s="443"/>
    </row>
    <row r="943" spans="1:8" ht="14" x14ac:dyDescent="0.15">
      <c r="A943" s="13"/>
      <c r="B943" s="13"/>
      <c r="C943" s="39"/>
      <c r="D943" s="4"/>
      <c r="E943" s="40"/>
      <c r="F943"/>
      <c r="G943"/>
      <c r="H943" s="443"/>
    </row>
    <row r="944" spans="1:8" ht="14" x14ac:dyDescent="0.15">
      <c r="A944" s="13"/>
      <c r="B944" s="13"/>
      <c r="C944" s="39"/>
      <c r="D944" s="4"/>
      <c r="E944" s="40"/>
      <c r="F944"/>
      <c r="G944"/>
      <c r="H944" s="443"/>
    </row>
    <row r="945" spans="1:8" ht="14" x14ac:dyDescent="0.15">
      <c r="A945" s="13"/>
      <c r="B945" s="13"/>
      <c r="C945" s="39"/>
      <c r="D945" s="4"/>
      <c r="E945" s="40"/>
      <c r="F945"/>
      <c r="G945"/>
      <c r="H945" s="443"/>
    </row>
    <row r="946" spans="1:8" ht="14" x14ac:dyDescent="0.15">
      <c r="A946" s="13"/>
      <c r="B946" s="13"/>
      <c r="C946" s="39"/>
      <c r="D946" s="4"/>
      <c r="E946" s="40"/>
      <c r="F946"/>
      <c r="G946"/>
      <c r="H946" s="443"/>
    </row>
    <row r="947" spans="1:8" ht="14" x14ac:dyDescent="0.15">
      <c r="A947" s="13"/>
      <c r="B947" s="13"/>
      <c r="C947" s="39"/>
      <c r="D947" s="4"/>
      <c r="E947" s="40"/>
      <c r="F947"/>
      <c r="G947"/>
      <c r="H947" s="443"/>
    </row>
    <row r="948" spans="1:8" ht="14" x14ac:dyDescent="0.15">
      <c r="A948" s="13"/>
      <c r="B948" s="13"/>
      <c r="C948" s="39"/>
      <c r="D948" s="4"/>
      <c r="E948" s="40"/>
      <c r="F948"/>
      <c r="G948"/>
      <c r="H948" s="443"/>
    </row>
    <row r="949" spans="1:8" ht="14" x14ac:dyDescent="0.15">
      <c r="A949" s="13"/>
      <c r="B949" s="13"/>
      <c r="C949" s="39"/>
      <c r="D949" s="4"/>
      <c r="E949" s="40"/>
      <c r="F949"/>
      <c r="G949"/>
      <c r="H949" s="443"/>
    </row>
    <row r="950" spans="1:8" ht="14" x14ac:dyDescent="0.15">
      <c r="A950" s="13"/>
      <c r="B950" s="13"/>
      <c r="C950" s="39"/>
      <c r="D950" s="4"/>
      <c r="E950" s="40"/>
      <c r="F950"/>
      <c r="G950"/>
      <c r="H950" s="443"/>
    </row>
  </sheetData>
  <mergeCells count="7">
    <mergeCell ref="A869:H869"/>
    <mergeCell ref="A1:H1"/>
    <mergeCell ref="A2:H2"/>
    <mergeCell ref="A3:H3"/>
    <mergeCell ref="A4:H4"/>
    <mergeCell ref="A859:A860"/>
    <mergeCell ref="A866:H866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31"/>
  <sheetViews>
    <sheetView topLeftCell="A811" workbookViewId="0">
      <selection activeCell="I840" sqref="I840"/>
    </sheetView>
  </sheetViews>
  <sheetFormatPr baseColWidth="10" defaultColWidth="8.83203125" defaultRowHeight="13" x14ac:dyDescent="0.15"/>
  <cols>
    <col min="1" max="1" width="25.5" style="805" customWidth="1"/>
    <col min="2" max="2" width="5.33203125" style="806" customWidth="1"/>
    <col min="3" max="3" width="4.6640625" style="806" customWidth="1"/>
    <col min="4" max="4" width="5.1640625" style="806" customWidth="1"/>
    <col min="5" max="5" width="8.83203125" style="806" bestFit="1" customWidth="1"/>
    <col min="6" max="6" width="4.5" style="806" bestFit="1" customWidth="1"/>
    <col min="7" max="7" width="6.83203125" style="806" bestFit="1" customWidth="1"/>
    <col min="8" max="8" width="11.83203125" style="807" bestFit="1" customWidth="1"/>
    <col min="9" max="9" width="10.1640625" style="805" bestFit="1" customWidth="1"/>
    <col min="10" max="10" width="16.5" style="805" customWidth="1"/>
    <col min="11" max="16384" width="8.83203125" style="805"/>
  </cols>
  <sheetData>
    <row r="1" spans="1:8" x14ac:dyDescent="0.15">
      <c r="A1" s="3191" t="s">
        <v>68</v>
      </c>
      <c r="B1" s="3191"/>
      <c r="C1" s="3191"/>
      <c r="D1" s="3191"/>
      <c r="E1" s="3191"/>
      <c r="F1" s="3191"/>
      <c r="G1" s="3191"/>
      <c r="H1" s="3191"/>
    </row>
    <row r="2" spans="1:8" x14ac:dyDescent="0.15">
      <c r="A2" s="3191" t="s">
        <v>218</v>
      </c>
      <c r="B2" s="3191"/>
      <c r="C2" s="3191"/>
      <c r="D2" s="3191"/>
      <c r="E2" s="3191"/>
      <c r="F2" s="3191"/>
      <c r="G2" s="3191"/>
      <c r="H2" s="3191"/>
    </row>
    <row r="3" spans="1:8" x14ac:dyDescent="0.15">
      <c r="A3" s="3192" t="s">
        <v>69</v>
      </c>
      <c r="B3" s="3192"/>
      <c r="C3" s="3192"/>
      <c r="D3" s="3192"/>
      <c r="E3" s="3192"/>
      <c r="F3" s="3192"/>
      <c r="G3" s="3192"/>
      <c r="H3" s="3192"/>
    </row>
    <row r="4" spans="1:8" x14ac:dyDescent="0.15">
      <c r="A4" s="3193"/>
      <c r="B4" s="3193"/>
      <c r="C4" s="3193"/>
      <c r="D4" s="3193"/>
      <c r="E4" s="3193"/>
      <c r="F4" s="3193"/>
      <c r="G4" s="3193"/>
      <c r="H4" s="3193"/>
    </row>
    <row r="5" spans="1:8" ht="14" x14ac:dyDescent="0.15">
      <c r="A5" s="20" t="s">
        <v>70</v>
      </c>
      <c r="B5" s="20" t="s">
        <v>71</v>
      </c>
      <c r="C5" s="20" t="s">
        <v>72</v>
      </c>
      <c r="D5" s="20" t="s">
        <v>73</v>
      </c>
      <c r="E5" s="20" t="s">
        <v>74</v>
      </c>
      <c r="F5" s="20" t="s">
        <v>75</v>
      </c>
      <c r="G5" s="7" t="s">
        <v>76</v>
      </c>
      <c r="H5" s="50" t="s">
        <v>5</v>
      </c>
    </row>
    <row r="6" spans="1:8" x14ac:dyDescent="0.15">
      <c r="A6" s="18" t="s">
        <v>77</v>
      </c>
      <c r="B6" s="19"/>
      <c r="C6" s="19"/>
      <c r="D6" s="19"/>
      <c r="E6" s="19"/>
      <c r="F6" s="19"/>
      <c r="G6" s="444"/>
      <c r="H6" s="445"/>
    </row>
    <row r="7" spans="1:8" ht="14" x14ac:dyDescent="0.15">
      <c r="A7" s="449" t="s">
        <v>78</v>
      </c>
      <c r="B7" s="799" t="s">
        <v>79</v>
      </c>
      <c r="C7" s="799" t="s">
        <v>80</v>
      </c>
      <c r="D7" s="799" t="s">
        <v>110</v>
      </c>
      <c r="E7" s="799" t="s">
        <v>81</v>
      </c>
      <c r="F7" s="799" t="s">
        <v>82</v>
      </c>
      <c r="G7" s="17">
        <v>211</v>
      </c>
      <c r="H7" s="49">
        <f>13343+72+95</f>
        <v>13510</v>
      </c>
    </row>
    <row r="8" spans="1:8" ht="14" x14ac:dyDescent="0.15">
      <c r="A8" s="449" t="s">
        <v>83</v>
      </c>
      <c r="B8" s="799" t="s">
        <v>79</v>
      </c>
      <c r="C8" s="799" t="s">
        <v>80</v>
      </c>
      <c r="D8" s="799" t="s">
        <v>110</v>
      </c>
      <c r="E8" s="799" t="s">
        <v>81</v>
      </c>
      <c r="F8" s="799" t="s">
        <v>82</v>
      </c>
      <c r="G8" s="17">
        <v>212</v>
      </c>
      <c r="H8" s="49">
        <f>10-10</f>
        <v>0</v>
      </c>
    </row>
    <row r="9" spans="1:8" ht="14" x14ac:dyDescent="0.15">
      <c r="A9" s="449" t="s">
        <v>84</v>
      </c>
      <c r="B9" s="799" t="s">
        <v>79</v>
      </c>
      <c r="C9" s="799" t="s">
        <v>80</v>
      </c>
      <c r="D9" s="799" t="s">
        <v>110</v>
      </c>
      <c r="E9" s="799" t="s">
        <v>81</v>
      </c>
      <c r="F9" s="799" t="s">
        <v>82</v>
      </c>
      <c r="G9" s="17">
        <v>213</v>
      </c>
      <c r="H9" s="49">
        <f>4029.6-350-95</f>
        <v>3584.6</v>
      </c>
    </row>
    <row r="10" spans="1:8" ht="14" x14ac:dyDescent="0.15">
      <c r="A10" s="449" t="s">
        <v>85</v>
      </c>
      <c r="B10" s="799" t="s">
        <v>79</v>
      </c>
      <c r="C10" s="799" t="s">
        <v>80</v>
      </c>
      <c r="D10" s="799" t="s">
        <v>110</v>
      </c>
      <c r="E10" s="799" t="s">
        <v>81</v>
      </c>
      <c r="F10" s="799" t="s">
        <v>82</v>
      </c>
      <c r="G10" s="17">
        <v>221</v>
      </c>
      <c r="H10" s="49">
        <f>650-65</f>
        <v>585</v>
      </c>
    </row>
    <row r="11" spans="1:8" ht="14" x14ac:dyDescent="0.15">
      <c r="A11" s="449" t="s">
        <v>86</v>
      </c>
      <c r="B11" s="799" t="s">
        <v>79</v>
      </c>
      <c r="C11" s="799" t="s">
        <v>80</v>
      </c>
      <c r="D11" s="799" t="s">
        <v>110</v>
      </c>
      <c r="E11" s="799" t="s">
        <v>81</v>
      </c>
      <c r="F11" s="799" t="s">
        <v>82</v>
      </c>
      <c r="G11" s="17">
        <v>222</v>
      </c>
      <c r="H11" s="49">
        <f>300+125.925</f>
        <v>425.92500000000001</v>
      </c>
    </row>
    <row r="12" spans="1:8" ht="14" x14ac:dyDescent="0.15">
      <c r="A12" s="449" t="s">
        <v>87</v>
      </c>
      <c r="B12" s="799" t="s">
        <v>79</v>
      </c>
      <c r="C12" s="799" t="s">
        <v>80</v>
      </c>
      <c r="D12" s="799" t="s">
        <v>110</v>
      </c>
      <c r="E12" s="799" t="s">
        <v>81</v>
      </c>
      <c r="F12" s="799" t="s">
        <v>82</v>
      </c>
      <c r="G12" s="17">
        <v>223</v>
      </c>
      <c r="H12" s="49">
        <f>260+40</f>
        <v>300</v>
      </c>
    </row>
    <row r="13" spans="1:8" ht="14" x14ac:dyDescent="0.15">
      <c r="A13" s="449" t="s">
        <v>89</v>
      </c>
      <c r="B13" s="799" t="s">
        <v>79</v>
      </c>
      <c r="C13" s="799" t="s">
        <v>80</v>
      </c>
      <c r="D13" s="799" t="s">
        <v>110</v>
      </c>
      <c r="E13" s="799" t="s">
        <v>81</v>
      </c>
      <c r="F13" s="799" t="s">
        <v>82</v>
      </c>
      <c r="G13" s="17">
        <v>224</v>
      </c>
      <c r="H13" s="49"/>
    </row>
    <row r="14" spans="1:8" ht="14" x14ac:dyDescent="0.15">
      <c r="A14" s="449" t="s">
        <v>90</v>
      </c>
      <c r="B14" s="799" t="s">
        <v>79</v>
      </c>
      <c r="C14" s="799" t="s">
        <v>80</v>
      </c>
      <c r="D14" s="799" t="s">
        <v>110</v>
      </c>
      <c r="E14" s="799" t="s">
        <v>81</v>
      </c>
      <c r="F14" s="799" t="s">
        <v>82</v>
      </c>
      <c r="G14" s="17">
        <v>225</v>
      </c>
      <c r="H14" s="49">
        <f>250+15000-1771.513</f>
        <v>13478.487000000001</v>
      </c>
    </row>
    <row r="15" spans="1:8" ht="14" x14ac:dyDescent="0.15">
      <c r="A15" s="449" t="s">
        <v>91</v>
      </c>
      <c r="B15" s="799" t="s">
        <v>79</v>
      </c>
      <c r="C15" s="799" t="s">
        <v>80</v>
      </c>
      <c r="D15" s="799" t="s">
        <v>110</v>
      </c>
      <c r="E15" s="799" t="s">
        <v>81</v>
      </c>
      <c r="F15" s="799" t="s">
        <v>82</v>
      </c>
      <c r="G15" s="17">
        <v>226</v>
      </c>
      <c r="H15" s="49">
        <f>1172+1771.513+75+175+529.838+73.625</f>
        <v>3796.9759999999997</v>
      </c>
    </row>
    <row r="16" spans="1:8" ht="14" x14ac:dyDescent="0.15">
      <c r="A16" s="449" t="s">
        <v>92</v>
      </c>
      <c r="B16" s="799" t="s">
        <v>79</v>
      </c>
      <c r="C16" s="799" t="s">
        <v>80</v>
      </c>
      <c r="D16" s="799" t="s">
        <v>110</v>
      </c>
      <c r="E16" s="799" t="s">
        <v>81</v>
      </c>
      <c r="F16" s="799" t="s">
        <v>82</v>
      </c>
      <c r="G16" s="17" t="s">
        <v>93</v>
      </c>
      <c r="H16" s="49"/>
    </row>
    <row r="17" spans="1:8" ht="14" x14ac:dyDescent="0.15">
      <c r="A17" s="449" t="s">
        <v>94</v>
      </c>
      <c r="B17" s="799" t="s">
        <v>79</v>
      </c>
      <c r="C17" s="799" t="s">
        <v>80</v>
      </c>
      <c r="D17" s="799" t="s">
        <v>110</v>
      </c>
      <c r="E17" s="799" t="s">
        <v>81</v>
      </c>
      <c r="F17" s="799" t="s">
        <v>82</v>
      </c>
      <c r="G17" s="17">
        <v>290</v>
      </c>
      <c r="H17" s="49">
        <f>647+103</f>
        <v>750</v>
      </c>
    </row>
    <row r="18" spans="1:8" ht="14" x14ac:dyDescent="0.15">
      <c r="A18" s="449" t="s">
        <v>96</v>
      </c>
      <c r="B18" s="799" t="s">
        <v>79</v>
      </c>
      <c r="C18" s="799" t="s">
        <v>80</v>
      </c>
      <c r="D18" s="799" t="s">
        <v>110</v>
      </c>
      <c r="E18" s="799" t="s">
        <v>81</v>
      </c>
      <c r="F18" s="799" t="s">
        <v>82</v>
      </c>
      <c r="G18" s="17">
        <v>310</v>
      </c>
      <c r="H18" s="49">
        <f>417.4+1200</f>
        <v>1617.4</v>
      </c>
    </row>
    <row r="19" spans="1:8" ht="14" x14ac:dyDescent="0.15">
      <c r="A19" s="449" t="s">
        <v>97</v>
      </c>
      <c r="B19" s="799" t="s">
        <v>79</v>
      </c>
      <c r="C19" s="799" t="s">
        <v>80</v>
      </c>
      <c r="D19" s="799" t="s">
        <v>110</v>
      </c>
      <c r="E19" s="799" t="s">
        <v>81</v>
      </c>
      <c r="F19" s="799" t="s">
        <v>82</v>
      </c>
      <c r="G19" s="17">
        <v>340</v>
      </c>
      <c r="H19" s="49">
        <v>736</v>
      </c>
    </row>
    <row r="20" spans="1:8" ht="14" x14ac:dyDescent="0.15">
      <c r="A20" s="18" t="s">
        <v>98</v>
      </c>
      <c r="B20" s="19" t="s">
        <v>79</v>
      </c>
      <c r="C20" s="19" t="s">
        <v>80</v>
      </c>
      <c r="D20" s="19" t="s">
        <v>110</v>
      </c>
      <c r="E20" s="20" t="s">
        <v>219</v>
      </c>
      <c r="F20" s="20" t="s">
        <v>82</v>
      </c>
      <c r="G20" s="21"/>
      <c r="H20" s="798">
        <f>SUM(H7:H19)</f>
        <v>38784.387999999999</v>
      </c>
    </row>
    <row r="21" spans="1:8" ht="14" x14ac:dyDescent="0.15">
      <c r="A21" s="18" t="s">
        <v>99</v>
      </c>
      <c r="B21" s="19"/>
      <c r="C21" s="19"/>
      <c r="D21" s="19"/>
      <c r="E21" s="19"/>
      <c r="F21" s="19"/>
      <c r="G21" s="21"/>
      <c r="H21" s="32"/>
    </row>
    <row r="22" spans="1:8" ht="14" x14ac:dyDescent="0.15">
      <c r="A22" s="449" t="s">
        <v>78</v>
      </c>
      <c r="B22" s="799" t="s">
        <v>79</v>
      </c>
      <c r="C22" s="799" t="s">
        <v>100</v>
      </c>
      <c r="D22" s="799" t="s">
        <v>101</v>
      </c>
      <c r="E22" s="799">
        <v>4239902</v>
      </c>
      <c r="F22" s="799" t="s">
        <v>102</v>
      </c>
      <c r="G22" s="17">
        <v>211</v>
      </c>
      <c r="H22" s="85">
        <f>3395.2-0.484</f>
        <v>3394.7159999999999</v>
      </c>
    </row>
    <row r="23" spans="1:8" ht="14" x14ac:dyDescent="0.15">
      <c r="A23" s="449" t="s">
        <v>103</v>
      </c>
      <c r="B23" s="799" t="s">
        <v>79</v>
      </c>
      <c r="C23" s="799" t="s">
        <v>100</v>
      </c>
      <c r="D23" s="799" t="s">
        <v>101</v>
      </c>
      <c r="E23" s="799">
        <v>4239902</v>
      </c>
      <c r="F23" s="799" t="s">
        <v>102</v>
      </c>
      <c r="G23" s="17">
        <v>212</v>
      </c>
      <c r="H23" s="85">
        <v>24</v>
      </c>
    </row>
    <row r="24" spans="1:8" ht="14" x14ac:dyDescent="0.15">
      <c r="A24" s="449" t="s">
        <v>84</v>
      </c>
      <c r="B24" s="799" t="s">
        <v>79</v>
      </c>
      <c r="C24" s="799" t="s">
        <v>100</v>
      </c>
      <c r="D24" s="799" t="s">
        <v>101</v>
      </c>
      <c r="E24" s="799">
        <v>4239902</v>
      </c>
      <c r="F24" s="799" t="s">
        <v>102</v>
      </c>
      <c r="G24" s="17">
        <v>213</v>
      </c>
      <c r="H24" s="85">
        <f>1025.4-20.816</f>
        <v>1004.5840000000001</v>
      </c>
    </row>
    <row r="25" spans="1:8" ht="14" x14ac:dyDescent="0.15">
      <c r="A25" s="449" t="s">
        <v>85</v>
      </c>
      <c r="B25" s="799" t="s">
        <v>79</v>
      </c>
      <c r="C25" s="799" t="s">
        <v>100</v>
      </c>
      <c r="D25" s="799" t="s">
        <v>101</v>
      </c>
      <c r="E25" s="799">
        <v>4239902</v>
      </c>
      <c r="F25" s="799" t="s">
        <v>102</v>
      </c>
      <c r="G25" s="17">
        <v>221</v>
      </c>
      <c r="H25" s="85">
        <f>10+7.5</f>
        <v>17.5</v>
      </c>
    </row>
    <row r="26" spans="1:8" ht="14" x14ac:dyDescent="0.15">
      <c r="A26" s="449" t="s">
        <v>86</v>
      </c>
      <c r="B26" s="799" t="s">
        <v>79</v>
      </c>
      <c r="C26" s="799" t="s">
        <v>100</v>
      </c>
      <c r="D26" s="799" t="s">
        <v>101</v>
      </c>
      <c r="E26" s="799">
        <v>4239902</v>
      </c>
      <c r="F26" s="799" t="s">
        <v>102</v>
      </c>
      <c r="G26" s="17">
        <v>222</v>
      </c>
      <c r="H26" s="85"/>
    </row>
    <row r="27" spans="1:8" ht="14" x14ac:dyDescent="0.15">
      <c r="A27" s="449" t="s">
        <v>87</v>
      </c>
      <c r="B27" s="799" t="s">
        <v>79</v>
      </c>
      <c r="C27" s="799" t="s">
        <v>100</v>
      </c>
      <c r="D27" s="799" t="s">
        <v>101</v>
      </c>
      <c r="E27" s="799">
        <v>4239902</v>
      </c>
      <c r="F27" s="799" t="s">
        <v>102</v>
      </c>
      <c r="G27" s="17">
        <v>223</v>
      </c>
      <c r="H27" s="85">
        <f>179-3.5</f>
        <v>175.5</v>
      </c>
    </row>
    <row r="28" spans="1:8" ht="14" x14ac:dyDescent="0.15">
      <c r="A28" s="449" t="s">
        <v>89</v>
      </c>
      <c r="B28" s="799" t="s">
        <v>79</v>
      </c>
      <c r="C28" s="799" t="s">
        <v>100</v>
      </c>
      <c r="D28" s="799" t="s">
        <v>101</v>
      </c>
      <c r="E28" s="799">
        <v>4239902</v>
      </c>
      <c r="F28" s="799" t="s">
        <v>102</v>
      </c>
      <c r="G28" s="17">
        <v>224</v>
      </c>
      <c r="H28" s="85"/>
    </row>
    <row r="29" spans="1:8" ht="14" x14ac:dyDescent="0.15">
      <c r="A29" s="449" t="s">
        <v>90</v>
      </c>
      <c r="B29" s="799" t="s">
        <v>79</v>
      </c>
      <c r="C29" s="799" t="s">
        <v>100</v>
      </c>
      <c r="D29" s="799" t="s">
        <v>101</v>
      </c>
      <c r="E29" s="799">
        <v>4239902</v>
      </c>
      <c r="F29" s="799" t="s">
        <v>102</v>
      </c>
      <c r="G29" s="17">
        <v>225</v>
      </c>
      <c r="H29" s="85"/>
    </row>
    <row r="30" spans="1:8" ht="14" x14ac:dyDescent="0.15">
      <c r="A30" s="449" t="s">
        <v>91</v>
      </c>
      <c r="B30" s="799" t="s">
        <v>79</v>
      </c>
      <c r="C30" s="799" t="s">
        <v>100</v>
      </c>
      <c r="D30" s="799" t="s">
        <v>101</v>
      </c>
      <c r="E30" s="799">
        <v>4239902</v>
      </c>
      <c r="F30" s="799" t="s">
        <v>102</v>
      </c>
      <c r="G30" s="17">
        <v>226</v>
      </c>
      <c r="H30" s="85">
        <v>114.5</v>
      </c>
    </row>
    <row r="31" spans="1:8" ht="14" x14ac:dyDescent="0.15">
      <c r="A31" s="449" t="s">
        <v>220</v>
      </c>
      <c r="B31" s="799" t="s">
        <v>79</v>
      </c>
      <c r="C31" s="799" t="s">
        <v>100</v>
      </c>
      <c r="D31" s="799" t="s">
        <v>101</v>
      </c>
      <c r="E31" s="799">
        <v>4239902</v>
      </c>
      <c r="F31" s="799" t="s">
        <v>102</v>
      </c>
      <c r="G31" s="17">
        <v>290</v>
      </c>
      <c r="H31" s="85">
        <f>10.1+1</f>
        <v>11.1</v>
      </c>
    </row>
    <row r="32" spans="1:8" ht="14" x14ac:dyDescent="0.15">
      <c r="A32" s="449" t="s">
        <v>220</v>
      </c>
      <c r="B32" s="799" t="s">
        <v>79</v>
      </c>
      <c r="C32" s="799" t="s">
        <v>100</v>
      </c>
      <c r="D32" s="799" t="s">
        <v>101</v>
      </c>
      <c r="E32" s="799" t="s">
        <v>221</v>
      </c>
      <c r="F32" s="799" t="s">
        <v>102</v>
      </c>
      <c r="G32" s="17">
        <v>290</v>
      </c>
      <c r="H32" s="85">
        <f>36.4+16.8+17.3</f>
        <v>70.5</v>
      </c>
    </row>
    <row r="33" spans="1:8" ht="14" x14ac:dyDescent="0.15">
      <c r="A33" s="449" t="s">
        <v>104</v>
      </c>
      <c r="B33" s="799" t="s">
        <v>79</v>
      </c>
      <c r="C33" s="799" t="s">
        <v>100</v>
      </c>
      <c r="D33" s="799" t="s">
        <v>101</v>
      </c>
      <c r="E33" s="799">
        <v>4239902</v>
      </c>
      <c r="F33" s="799" t="s">
        <v>102</v>
      </c>
      <c r="G33" s="17">
        <v>310</v>
      </c>
      <c r="H33" s="85">
        <v>28.5</v>
      </c>
    </row>
    <row r="34" spans="1:8" ht="14" x14ac:dyDescent="0.15">
      <c r="A34" s="449" t="s">
        <v>97</v>
      </c>
      <c r="B34" s="799" t="s">
        <v>79</v>
      </c>
      <c r="C34" s="799" t="s">
        <v>100</v>
      </c>
      <c r="D34" s="799" t="s">
        <v>101</v>
      </c>
      <c r="E34" s="799">
        <v>4239902</v>
      </c>
      <c r="F34" s="799" t="s">
        <v>102</v>
      </c>
      <c r="G34" s="17">
        <v>340</v>
      </c>
      <c r="H34" s="85">
        <v>14</v>
      </c>
    </row>
    <row r="35" spans="1:8" ht="14" x14ac:dyDescent="0.15">
      <c r="A35" s="18" t="s">
        <v>98</v>
      </c>
      <c r="B35" s="19" t="s">
        <v>79</v>
      </c>
      <c r="C35" s="19" t="s">
        <v>100</v>
      </c>
      <c r="D35" s="19" t="s">
        <v>101</v>
      </c>
      <c r="E35" s="20" t="s">
        <v>222</v>
      </c>
      <c r="F35" s="20" t="s">
        <v>102</v>
      </c>
      <c r="G35" s="21"/>
      <c r="H35" s="86">
        <f>SUM(H22:H34)</f>
        <v>4854.9000000000005</v>
      </c>
    </row>
    <row r="36" spans="1:8" ht="14" x14ac:dyDescent="0.15">
      <c r="A36" s="18" t="s">
        <v>105</v>
      </c>
      <c r="B36" s="799"/>
      <c r="C36" s="799"/>
      <c r="D36" s="799"/>
      <c r="E36" s="799"/>
      <c r="F36" s="799"/>
      <c r="G36" s="21"/>
      <c r="H36" s="85"/>
    </row>
    <row r="37" spans="1:8" ht="14" x14ac:dyDescent="0.15">
      <c r="A37" s="449" t="s">
        <v>78</v>
      </c>
      <c r="B37" s="799" t="s">
        <v>79</v>
      </c>
      <c r="C37" s="799" t="s">
        <v>100</v>
      </c>
      <c r="D37" s="799" t="s">
        <v>101</v>
      </c>
      <c r="E37" s="799">
        <v>4239902</v>
      </c>
      <c r="F37" s="799" t="s">
        <v>102</v>
      </c>
      <c r="G37" s="17">
        <v>211</v>
      </c>
      <c r="H37" s="85">
        <f>2260.1+20.434</f>
        <v>2280.5340000000001</v>
      </c>
    </row>
    <row r="38" spans="1:8" ht="14" x14ac:dyDescent="0.15">
      <c r="A38" s="449" t="s">
        <v>103</v>
      </c>
      <c r="B38" s="799" t="s">
        <v>79</v>
      </c>
      <c r="C38" s="799" t="s">
        <v>100</v>
      </c>
      <c r="D38" s="799" t="s">
        <v>101</v>
      </c>
      <c r="E38" s="799">
        <v>4239902</v>
      </c>
      <c r="F38" s="799" t="s">
        <v>102</v>
      </c>
      <c r="G38" s="17">
        <v>212</v>
      </c>
      <c r="H38" s="85">
        <v>18</v>
      </c>
    </row>
    <row r="39" spans="1:8" ht="14" x14ac:dyDescent="0.15">
      <c r="A39" s="449" t="s">
        <v>84</v>
      </c>
      <c r="B39" s="799" t="s">
        <v>79</v>
      </c>
      <c r="C39" s="799" t="s">
        <v>100</v>
      </c>
      <c r="D39" s="799" t="s">
        <v>101</v>
      </c>
      <c r="E39" s="799">
        <v>4239902</v>
      </c>
      <c r="F39" s="799" t="s">
        <v>102</v>
      </c>
      <c r="G39" s="17">
        <v>213</v>
      </c>
      <c r="H39" s="85">
        <f>682.5-19.763</f>
        <v>662.73699999999997</v>
      </c>
    </row>
    <row r="40" spans="1:8" ht="14" x14ac:dyDescent="0.15">
      <c r="A40" s="449" t="s">
        <v>85</v>
      </c>
      <c r="B40" s="799" t="s">
        <v>79</v>
      </c>
      <c r="C40" s="799" t="s">
        <v>100</v>
      </c>
      <c r="D40" s="799" t="s">
        <v>101</v>
      </c>
      <c r="E40" s="799">
        <v>4239902</v>
      </c>
      <c r="F40" s="799" t="s">
        <v>102</v>
      </c>
      <c r="G40" s="17">
        <v>221</v>
      </c>
      <c r="H40" s="85"/>
    </row>
    <row r="41" spans="1:8" ht="14" x14ac:dyDescent="0.15">
      <c r="A41" s="449" t="s">
        <v>86</v>
      </c>
      <c r="B41" s="799" t="s">
        <v>79</v>
      </c>
      <c r="C41" s="799" t="s">
        <v>100</v>
      </c>
      <c r="D41" s="799" t="s">
        <v>101</v>
      </c>
      <c r="E41" s="799">
        <v>4239902</v>
      </c>
      <c r="F41" s="799" t="s">
        <v>102</v>
      </c>
      <c r="G41" s="17">
        <v>222</v>
      </c>
      <c r="H41" s="85"/>
    </row>
    <row r="42" spans="1:8" ht="14" x14ac:dyDescent="0.15">
      <c r="A42" s="449" t="s">
        <v>87</v>
      </c>
      <c r="B42" s="799" t="s">
        <v>79</v>
      </c>
      <c r="C42" s="799" t="s">
        <v>100</v>
      </c>
      <c r="D42" s="799" t="s">
        <v>101</v>
      </c>
      <c r="E42" s="799">
        <v>4239902</v>
      </c>
      <c r="F42" s="799" t="s">
        <v>102</v>
      </c>
      <c r="G42" s="17">
        <v>223</v>
      </c>
      <c r="H42" s="85"/>
    </row>
    <row r="43" spans="1:8" ht="14" x14ac:dyDescent="0.15">
      <c r="A43" s="449" t="s">
        <v>89</v>
      </c>
      <c r="B43" s="799" t="s">
        <v>79</v>
      </c>
      <c r="C43" s="799" t="s">
        <v>100</v>
      </c>
      <c r="D43" s="799" t="s">
        <v>101</v>
      </c>
      <c r="E43" s="799">
        <v>4239902</v>
      </c>
      <c r="F43" s="799" t="s">
        <v>102</v>
      </c>
      <c r="G43" s="17">
        <v>224</v>
      </c>
      <c r="H43" s="85"/>
    </row>
    <row r="44" spans="1:8" ht="14" x14ac:dyDescent="0.15">
      <c r="A44" s="449" t="s">
        <v>90</v>
      </c>
      <c r="B44" s="799" t="s">
        <v>79</v>
      </c>
      <c r="C44" s="799" t="s">
        <v>100</v>
      </c>
      <c r="D44" s="799" t="s">
        <v>101</v>
      </c>
      <c r="E44" s="799">
        <v>4239902</v>
      </c>
      <c r="F44" s="799" t="s">
        <v>102</v>
      </c>
      <c r="G44" s="17">
        <v>225</v>
      </c>
      <c r="H44" s="85"/>
    </row>
    <row r="45" spans="1:8" ht="14" x14ac:dyDescent="0.15">
      <c r="A45" s="449" t="s">
        <v>91</v>
      </c>
      <c r="B45" s="799" t="s">
        <v>79</v>
      </c>
      <c r="C45" s="799" t="s">
        <v>100</v>
      </c>
      <c r="D45" s="799" t="s">
        <v>101</v>
      </c>
      <c r="E45" s="799">
        <v>4239902</v>
      </c>
      <c r="F45" s="799" t="s">
        <v>102</v>
      </c>
      <c r="G45" s="17">
        <v>226</v>
      </c>
      <c r="H45" s="85"/>
    </row>
    <row r="46" spans="1:8" ht="14" x14ac:dyDescent="0.15">
      <c r="A46" s="11" t="s">
        <v>94</v>
      </c>
      <c r="B46" s="799" t="s">
        <v>79</v>
      </c>
      <c r="C46" s="799" t="s">
        <v>100</v>
      </c>
      <c r="D46" s="799" t="s">
        <v>101</v>
      </c>
      <c r="E46" s="799">
        <v>4239902</v>
      </c>
      <c r="F46" s="799" t="s">
        <v>102</v>
      </c>
      <c r="G46" s="17">
        <v>290</v>
      </c>
      <c r="H46" s="85">
        <f>5.5-0.671</f>
        <v>4.8289999999999997</v>
      </c>
    </row>
    <row r="47" spans="1:8" ht="14" x14ac:dyDescent="0.15">
      <c r="A47" s="11" t="s">
        <v>94</v>
      </c>
      <c r="B47" s="799" t="s">
        <v>79</v>
      </c>
      <c r="C47" s="799" t="s">
        <v>100</v>
      </c>
      <c r="D47" s="799" t="s">
        <v>101</v>
      </c>
      <c r="E47" s="799" t="s">
        <v>221</v>
      </c>
      <c r="F47" s="799" t="s">
        <v>102</v>
      </c>
      <c r="G47" s="17" t="s">
        <v>95</v>
      </c>
      <c r="H47" s="85"/>
    </row>
    <row r="48" spans="1:8" ht="14" x14ac:dyDescent="0.15">
      <c r="A48" s="449" t="s">
        <v>104</v>
      </c>
      <c r="B48" s="799" t="s">
        <v>79</v>
      </c>
      <c r="C48" s="799" t="s">
        <v>100</v>
      </c>
      <c r="D48" s="799" t="s">
        <v>101</v>
      </c>
      <c r="E48" s="799">
        <v>4239902</v>
      </c>
      <c r="F48" s="799" t="s">
        <v>102</v>
      </c>
      <c r="G48" s="17">
        <v>310</v>
      </c>
      <c r="H48" s="85"/>
    </row>
    <row r="49" spans="1:8" ht="14" x14ac:dyDescent="0.15">
      <c r="A49" s="449" t="s">
        <v>97</v>
      </c>
      <c r="B49" s="799" t="s">
        <v>79</v>
      </c>
      <c r="C49" s="799" t="s">
        <v>100</v>
      </c>
      <c r="D49" s="799" t="s">
        <v>101</v>
      </c>
      <c r="E49" s="799">
        <v>4239902</v>
      </c>
      <c r="F49" s="799" t="s">
        <v>102</v>
      </c>
      <c r="G49" s="17">
        <v>340</v>
      </c>
      <c r="H49" s="85">
        <v>10</v>
      </c>
    </row>
    <row r="50" spans="1:8" ht="14" x14ac:dyDescent="0.15">
      <c r="A50" s="18" t="s">
        <v>98</v>
      </c>
      <c r="B50" s="19" t="s">
        <v>79</v>
      </c>
      <c r="C50" s="19" t="s">
        <v>100</v>
      </c>
      <c r="D50" s="19" t="s">
        <v>101</v>
      </c>
      <c r="E50" s="20" t="s">
        <v>222</v>
      </c>
      <c r="F50" s="20" t="s">
        <v>102</v>
      </c>
      <c r="G50" s="21"/>
      <c r="H50" s="86">
        <f>SUM(H37:H49)</f>
        <v>2976.1000000000004</v>
      </c>
    </row>
    <row r="51" spans="1:8" ht="14" x14ac:dyDescent="0.15">
      <c r="A51" s="18" t="s">
        <v>106</v>
      </c>
      <c r="B51" s="799"/>
      <c r="C51" s="799"/>
      <c r="D51" s="799"/>
      <c r="E51" s="799"/>
      <c r="F51" s="799"/>
      <c r="G51" s="21"/>
      <c r="H51" s="85"/>
    </row>
    <row r="52" spans="1:8" ht="14" x14ac:dyDescent="0.15">
      <c r="A52" s="449" t="s">
        <v>78</v>
      </c>
      <c r="B52" s="799" t="s">
        <v>79</v>
      </c>
      <c r="C52" s="799" t="s">
        <v>100</v>
      </c>
      <c r="D52" s="799" t="s">
        <v>101</v>
      </c>
      <c r="E52" s="799">
        <v>4239902</v>
      </c>
      <c r="F52" s="799" t="s">
        <v>102</v>
      </c>
      <c r="G52" s="17">
        <v>211</v>
      </c>
      <c r="H52" s="85">
        <v>2815.3</v>
      </c>
    </row>
    <row r="53" spans="1:8" ht="14" x14ac:dyDescent="0.15">
      <c r="A53" s="449" t="s">
        <v>103</v>
      </c>
      <c r="B53" s="799" t="s">
        <v>79</v>
      </c>
      <c r="C53" s="799" t="s">
        <v>100</v>
      </c>
      <c r="D53" s="799" t="s">
        <v>101</v>
      </c>
      <c r="E53" s="799">
        <v>4239902</v>
      </c>
      <c r="F53" s="799" t="s">
        <v>102</v>
      </c>
      <c r="G53" s="17">
        <v>212</v>
      </c>
      <c r="H53" s="85">
        <f>19.2+4.8</f>
        <v>24</v>
      </c>
    </row>
    <row r="54" spans="1:8" ht="14" x14ac:dyDescent="0.15">
      <c r="A54" s="449" t="s">
        <v>84</v>
      </c>
      <c r="B54" s="799" t="s">
        <v>79</v>
      </c>
      <c r="C54" s="799" t="s">
        <v>100</v>
      </c>
      <c r="D54" s="799" t="s">
        <v>101</v>
      </c>
      <c r="E54" s="799">
        <v>4239902</v>
      </c>
      <c r="F54" s="799" t="s">
        <v>102</v>
      </c>
      <c r="G54" s="17">
        <v>213</v>
      </c>
      <c r="H54" s="85">
        <v>850.2</v>
      </c>
    </row>
    <row r="55" spans="1:8" ht="14" x14ac:dyDescent="0.15">
      <c r="A55" s="449" t="s">
        <v>85</v>
      </c>
      <c r="B55" s="799" t="s">
        <v>79</v>
      </c>
      <c r="C55" s="799" t="s">
        <v>100</v>
      </c>
      <c r="D55" s="799" t="s">
        <v>101</v>
      </c>
      <c r="E55" s="799">
        <v>4239902</v>
      </c>
      <c r="F55" s="799" t="s">
        <v>102</v>
      </c>
      <c r="G55" s="17">
        <v>221</v>
      </c>
      <c r="H55" s="85"/>
    </row>
    <row r="56" spans="1:8" ht="14" x14ac:dyDescent="0.15">
      <c r="A56" s="449" t="s">
        <v>86</v>
      </c>
      <c r="B56" s="799" t="s">
        <v>79</v>
      </c>
      <c r="C56" s="799" t="s">
        <v>100</v>
      </c>
      <c r="D56" s="799" t="s">
        <v>101</v>
      </c>
      <c r="E56" s="799">
        <v>4239902</v>
      </c>
      <c r="F56" s="799" t="s">
        <v>102</v>
      </c>
      <c r="G56" s="17">
        <v>222</v>
      </c>
      <c r="H56" s="85"/>
    </row>
    <row r="57" spans="1:8" ht="14" x14ac:dyDescent="0.15">
      <c r="A57" s="449" t="s">
        <v>88</v>
      </c>
      <c r="B57" s="799" t="s">
        <v>79</v>
      </c>
      <c r="C57" s="799" t="s">
        <v>100</v>
      </c>
      <c r="D57" s="799" t="s">
        <v>101</v>
      </c>
      <c r="E57" s="799">
        <v>4239902</v>
      </c>
      <c r="F57" s="799" t="s">
        <v>102</v>
      </c>
      <c r="G57" s="17">
        <v>223</v>
      </c>
      <c r="H57" s="85"/>
    </row>
    <row r="58" spans="1:8" ht="14" x14ac:dyDescent="0.15">
      <c r="A58" s="449" t="s">
        <v>89</v>
      </c>
      <c r="B58" s="799" t="s">
        <v>79</v>
      </c>
      <c r="C58" s="799" t="s">
        <v>100</v>
      </c>
      <c r="D58" s="799" t="s">
        <v>101</v>
      </c>
      <c r="E58" s="799">
        <v>4239902</v>
      </c>
      <c r="F58" s="799" t="s">
        <v>102</v>
      </c>
      <c r="G58" s="17">
        <v>224</v>
      </c>
      <c r="H58" s="85"/>
    </row>
    <row r="59" spans="1:8" ht="14" x14ac:dyDescent="0.15">
      <c r="A59" s="449" t="s">
        <v>90</v>
      </c>
      <c r="B59" s="799" t="s">
        <v>79</v>
      </c>
      <c r="C59" s="799" t="s">
        <v>100</v>
      </c>
      <c r="D59" s="799" t="s">
        <v>101</v>
      </c>
      <c r="E59" s="799">
        <v>4239902</v>
      </c>
      <c r="F59" s="799" t="s">
        <v>102</v>
      </c>
      <c r="G59" s="17">
        <v>225</v>
      </c>
      <c r="H59" s="85"/>
    </row>
    <row r="60" spans="1:8" ht="14" x14ac:dyDescent="0.15">
      <c r="A60" s="449" t="s">
        <v>91</v>
      </c>
      <c r="B60" s="799" t="s">
        <v>79</v>
      </c>
      <c r="C60" s="799" t="s">
        <v>100</v>
      </c>
      <c r="D60" s="799" t="s">
        <v>101</v>
      </c>
      <c r="E60" s="799">
        <v>4239902</v>
      </c>
      <c r="F60" s="799" t="s">
        <v>102</v>
      </c>
      <c r="G60" s="17">
        <v>226</v>
      </c>
      <c r="H60" s="85"/>
    </row>
    <row r="61" spans="1:8" ht="14" x14ac:dyDescent="0.15">
      <c r="A61" s="11" t="s">
        <v>94</v>
      </c>
      <c r="B61" s="799" t="s">
        <v>79</v>
      </c>
      <c r="C61" s="799" t="s">
        <v>100</v>
      </c>
      <c r="D61" s="799" t="s">
        <v>101</v>
      </c>
      <c r="E61" s="799">
        <v>4239902</v>
      </c>
      <c r="F61" s="799" t="s">
        <v>102</v>
      </c>
      <c r="G61" s="17">
        <v>290</v>
      </c>
      <c r="H61" s="85">
        <f>5.5</f>
        <v>5.5</v>
      </c>
    </row>
    <row r="62" spans="1:8" ht="14" x14ac:dyDescent="0.15">
      <c r="A62" s="11" t="s">
        <v>94</v>
      </c>
      <c r="B62" s="799" t="s">
        <v>79</v>
      </c>
      <c r="C62" s="799" t="s">
        <v>100</v>
      </c>
      <c r="D62" s="799" t="s">
        <v>101</v>
      </c>
      <c r="E62" s="799" t="s">
        <v>221</v>
      </c>
      <c r="F62" s="799" t="s">
        <v>102</v>
      </c>
      <c r="G62" s="17" t="s">
        <v>95</v>
      </c>
      <c r="H62" s="85">
        <f>1.4</f>
        <v>1.4</v>
      </c>
    </row>
    <row r="63" spans="1:8" ht="14" x14ac:dyDescent="0.15">
      <c r="A63" s="449" t="s">
        <v>104</v>
      </c>
      <c r="B63" s="799" t="s">
        <v>79</v>
      </c>
      <c r="C63" s="799" t="s">
        <v>100</v>
      </c>
      <c r="D63" s="799" t="s">
        <v>101</v>
      </c>
      <c r="E63" s="799">
        <v>4239902</v>
      </c>
      <c r="F63" s="799" t="s">
        <v>102</v>
      </c>
      <c r="G63" s="17">
        <v>310</v>
      </c>
      <c r="H63" s="85"/>
    </row>
    <row r="64" spans="1:8" ht="14" x14ac:dyDescent="0.15">
      <c r="A64" s="449" t="s">
        <v>97</v>
      </c>
      <c r="B64" s="799" t="s">
        <v>79</v>
      </c>
      <c r="C64" s="799" t="s">
        <v>100</v>
      </c>
      <c r="D64" s="799" t="s">
        <v>101</v>
      </c>
      <c r="E64" s="799">
        <v>4239902</v>
      </c>
      <c r="F64" s="799" t="s">
        <v>102</v>
      </c>
      <c r="G64" s="17">
        <v>340</v>
      </c>
      <c r="H64" s="85">
        <f>15-4.8</f>
        <v>10.199999999999999</v>
      </c>
    </row>
    <row r="65" spans="1:8" ht="14" x14ac:dyDescent="0.15">
      <c r="A65" s="18" t="s">
        <v>98</v>
      </c>
      <c r="B65" s="19" t="s">
        <v>79</v>
      </c>
      <c r="C65" s="19" t="s">
        <v>100</v>
      </c>
      <c r="D65" s="19" t="s">
        <v>101</v>
      </c>
      <c r="E65" s="20" t="s">
        <v>222</v>
      </c>
      <c r="F65" s="20" t="s">
        <v>102</v>
      </c>
      <c r="G65" s="67"/>
      <c r="H65" s="86">
        <f>SUM(H52:H64)</f>
        <v>3706.6</v>
      </c>
    </row>
    <row r="66" spans="1:8" ht="14" x14ac:dyDescent="0.15">
      <c r="A66" s="18" t="s">
        <v>107</v>
      </c>
      <c r="B66" s="799"/>
      <c r="C66" s="799"/>
      <c r="D66" s="799"/>
      <c r="E66" s="799"/>
      <c r="F66" s="799"/>
      <c r="G66" s="21"/>
      <c r="H66" s="85"/>
    </row>
    <row r="67" spans="1:8" ht="14" x14ac:dyDescent="0.15">
      <c r="A67" s="449" t="s">
        <v>78</v>
      </c>
      <c r="B67" s="799" t="s">
        <v>79</v>
      </c>
      <c r="C67" s="799" t="s">
        <v>100</v>
      </c>
      <c r="D67" s="799" t="s">
        <v>101</v>
      </c>
      <c r="E67" s="799">
        <v>4239902</v>
      </c>
      <c r="F67" s="799" t="s">
        <v>102</v>
      </c>
      <c r="G67" s="17">
        <v>211</v>
      </c>
      <c r="H67" s="85">
        <f>6392.7-77.563</f>
        <v>6315.1369999999997</v>
      </c>
    </row>
    <row r="68" spans="1:8" ht="14" x14ac:dyDescent="0.15">
      <c r="A68" s="449" t="s">
        <v>103</v>
      </c>
      <c r="B68" s="799" t="s">
        <v>79</v>
      </c>
      <c r="C68" s="799" t="s">
        <v>100</v>
      </c>
      <c r="D68" s="799" t="s">
        <v>101</v>
      </c>
      <c r="E68" s="799">
        <v>4239902</v>
      </c>
      <c r="F68" s="799" t="s">
        <v>102</v>
      </c>
      <c r="G68" s="17">
        <v>212</v>
      </c>
      <c r="H68" s="85">
        <v>33.6</v>
      </c>
    </row>
    <row r="69" spans="1:8" ht="14" x14ac:dyDescent="0.15">
      <c r="A69" s="449" t="s">
        <v>84</v>
      </c>
      <c r="B69" s="799" t="s">
        <v>79</v>
      </c>
      <c r="C69" s="799" t="s">
        <v>100</v>
      </c>
      <c r="D69" s="799" t="s">
        <v>101</v>
      </c>
      <c r="E69" s="799">
        <v>4239902</v>
      </c>
      <c r="F69" s="799" t="s">
        <v>102</v>
      </c>
      <c r="G69" s="17">
        <v>213</v>
      </c>
      <c r="H69" s="85">
        <f>1930.6-216.219</f>
        <v>1714.3809999999999</v>
      </c>
    </row>
    <row r="70" spans="1:8" ht="14" x14ac:dyDescent="0.15">
      <c r="A70" s="449" t="s">
        <v>85</v>
      </c>
      <c r="B70" s="799" t="s">
        <v>79</v>
      </c>
      <c r="C70" s="799" t="s">
        <v>100</v>
      </c>
      <c r="D70" s="799" t="s">
        <v>101</v>
      </c>
      <c r="E70" s="799">
        <v>4239902</v>
      </c>
      <c r="F70" s="799" t="s">
        <v>102</v>
      </c>
      <c r="G70" s="17">
        <v>221</v>
      </c>
      <c r="H70" s="85">
        <f>16+4</f>
        <v>20</v>
      </c>
    </row>
    <row r="71" spans="1:8" ht="14" x14ac:dyDescent="0.15">
      <c r="A71" s="449" t="s">
        <v>86</v>
      </c>
      <c r="B71" s="799" t="s">
        <v>79</v>
      </c>
      <c r="C71" s="799" t="s">
        <v>100</v>
      </c>
      <c r="D71" s="799" t="s">
        <v>101</v>
      </c>
      <c r="E71" s="799">
        <v>4239902</v>
      </c>
      <c r="F71" s="799" t="s">
        <v>102</v>
      </c>
      <c r="G71" s="17">
        <v>222</v>
      </c>
      <c r="H71" s="85">
        <v>30</v>
      </c>
    </row>
    <row r="72" spans="1:8" ht="14" x14ac:dyDescent="0.15">
      <c r="A72" s="449" t="s">
        <v>87</v>
      </c>
      <c r="B72" s="799" t="s">
        <v>79</v>
      </c>
      <c r="C72" s="799" t="s">
        <v>100</v>
      </c>
      <c r="D72" s="799" t="s">
        <v>101</v>
      </c>
      <c r="E72" s="799">
        <v>4239902</v>
      </c>
      <c r="F72" s="799" t="s">
        <v>102</v>
      </c>
      <c r="G72" s="17">
        <v>223</v>
      </c>
      <c r="H72" s="85">
        <f>580-23.069</f>
        <v>556.93100000000004</v>
      </c>
    </row>
    <row r="73" spans="1:8" ht="14" x14ac:dyDescent="0.15">
      <c r="A73" s="449" t="s">
        <v>89</v>
      </c>
      <c r="B73" s="799" t="s">
        <v>79</v>
      </c>
      <c r="C73" s="799" t="s">
        <v>100</v>
      </c>
      <c r="D73" s="799" t="s">
        <v>101</v>
      </c>
      <c r="E73" s="799">
        <v>4239902</v>
      </c>
      <c r="F73" s="799" t="s">
        <v>102</v>
      </c>
      <c r="G73" s="17">
        <v>224</v>
      </c>
      <c r="H73" s="85"/>
    </row>
    <row r="74" spans="1:8" ht="14" x14ac:dyDescent="0.15">
      <c r="A74" s="449" t="s">
        <v>90</v>
      </c>
      <c r="B74" s="799" t="s">
        <v>79</v>
      </c>
      <c r="C74" s="799" t="s">
        <v>100</v>
      </c>
      <c r="D74" s="799" t="s">
        <v>101</v>
      </c>
      <c r="E74" s="799">
        <v>4239902</v>
      </c>
      <c r="F74" s="799" t="s">
        <v>102</v>
      </c>
      <c r="G74" s="17">
        <v>225</v>
      </c>
      <c r="H74" s="85">
        <v>100</v>
      </c>
    </row>
    <row r="75" spans="1:8" ht="14" x14ac:dyDescent="0.15">
      <c r="A75" s="449" t="s">
        <v>91</v>
      </c>
      <c r="B75" s="799" t="s">
        <v>79</v>
      </c>
      <c r="C75" s="799" t="s">
        <v>100</v>
      </c>
      <c r="D75" s="799" t="s">
        <v>101</v>
      </c>
      <c r="E75" s="799">
        <v>4239902</v>
      </c>
      <c r="F75" s="799" t="s">
        <v>102</v>
      </c>
      <c r="G75" s="17">
        <v>226</v>
      </c>
      <c r="H75" s="85">
        <f>617.14+312.792+291</f>
        <v>1220.932</v>
      </c>
    </row>
    <row r="76" spans="1:8" ht="14" x14ac:dyDescent="0.15">
      <c r="A76" s="11" t="s">
        <v>220</v>
      </c>
      <c r="B76" s="799" t="s">
        <v>79</v>
      </c>
      <c r="C76" s="799" t="s">
        <v>100</v>
      </c>
      <c r="D76" s="799" t="s">
        <v>101</v>
      </c>
      <c r="E76" s="799">
        <v>4239902</v>
      </c>
      <c r="F76" s="799" t="s">
        <v>102</v>
      </c>
      <c r="G76" s="17">
        <v>290</v>
      </c>
      <c r="H76" s="85">
        <f>1+5.7-6</f>
        <v>0.70000000000000018</v>
      </c>
    </row>
    <row r="77" spans="1:8" ht="14" x14ac:dyDescent="0.15">
      <c r="A77" s="11" t="s">
        <v>220</v>
      </c>
      <c r="B77" s="799" t="s">
        <v>79</v>
      </c>
      <c r="C77" s="799" t="s">
        <v>100</v>
      </c>
      <c r="D77" s="799" t="s">
        <v>101</v>
      </c>
      <c r="E77" s="799" t="s">
        <v>221</v>
      </c>
      <c r="F77" s="799" t="s">
        <v>102</v>
      </c>
      <c r="G77" s="17" t="s">
        <v>95</v>
      </c>
      <c r="H77" s="85">
        <f>1512.9</f>
        <v>1512.9</v>
      </c>
    </row>
    <row r="78" spans="1:8" ht="14" x14ac:dyDescent="0.15">
      <c r="A78" s="449" t="s">
        <v>104</v>
      </c>
      <c r="B78" s="799" t="s">
        <v>79</v>
      </c>
      <c r="C78" s="799" t="s">
        <v>100</v>
      </c>
      <c r="D78" s="799" t="s">
        <v>101</v>
      </c>
      <c r="E78" s="799">
        <v>4239902</v>
      </c>
      <c r="F78" s="799" t="s">
        <v>102</v>
      </c>
      <c r="G78" s="17">
        <v>310</v>
      </c>
      <c r="H78" s="85">
        <f>10.86+6.059</f>
        <v>16.919</v>
      </c>
    </row>
    <row r="79" spans="1:8" ht="14" x14ac:dyDescent="0.15">
      <c r="A79" s="449" t="s">
        <v>97</v>
      </c>
      <c r="B79" s="799" t="s">
        <v>79</v>
      </c>
      <c r="C79" s="799" t="s">
        <v>100</v>
      </c>
      <c r="D79" s="799" t="s">
        <v>101</v>
      </c>
      <c r="E79" s="799">
        <v>4239902</v>
      </c>
      <c r="F79" s="799" t="s">
        <v>102</v>
      </c>
      <c r="G79" s="17">
        <v>340</v>
      </c>
      <c r="H79" s="85">
        <v>60</v>
      </c>
    </row>
    <row r="80" spans="1:8" ht="14" x14ac:dyDescent="0.15">
      <c r="A80" s="18" t="s">
        <v>98</v>
      </c>
      <c r="B80" s="19" t="s">
        <v>79</v>
      </c>
      <c r="C80" s="19" t="s">
        <v>100</v>
      </c>
      <c r="D80" s="19" t="s">
        <v>101</v>
      </c>
      <c r="E80" s="20" t="s">
        <v>222</v>
      </c>
      <c r="F80" s="20" t="s">
        <v>102</v>
      </c>
      <c r="G80" s="21"/>
      <c r="H80" s="86">
        <f>SUM(H67:H79)</f>
        <v>11581.500000000002</v>
      </c>
    </row>
    <row r="81" spans="1:8" ht="14" x14ac:dyDescent="0.15">
      <c r="A81" s="18" t="s">
        <v>108</v>
      </c>
      <c r="B81" s="799"/>
      <c r="C81" s="799"/>
      <c r="D81" s="799"/>
      <c r="E81" s="799"/>
      <c r="F81" s="799"/>
      <c r="G81" s="21"/>
      <c r="H81" s="85"/>
    </row>
    <row r="82" spans="1:8" ht="14" x14ac:dyDescent="0.15">
      <c r="A82" s="449" t="s">
        <v>78</v>
      </c>
      <c r="B82" s="799" t="s">
        <v>79</v>
      </c>
      <c r="C82" s="799" t="s">
        <v>100</v>
      </c>
      <c r="D82" s="799" t="s">
        <v>101</v>
      </c>
      <c r="E82" s="799">
        <v>4239902</v>
      </c>
      <c r="F82" s="799" t="s">
        <v>102</v>
      </c>
      <c r="G82" s="17">
        <v>211</v>
      </c>
      <c r="H82" s="85">
        <f>H22+H37+H52+H67</f>
        <v>14805.686999999998</v>
      </c>
    </row>
    <row r="83" spans="1:8" ht="14" x14ac:dyDescent="0.15">
      <c r="A83" s="449" t="s">
        <v>103</v>
      </c>
      <c r="B83" s="799" t="s">
        <v>79</v>
      </c>
      <c r="C83" s="799" t="s">
        <v>100</v>
      </c>
      <c r="D83" s="799" t="s">
        <v>101</v>
      </c>
      <c r="E83" s="799">
        <v>4239902</v>
      </c>
      <c r="F83" s="799" t="s">
        <v>102</v>
      </c>
      <c r="G83" s="17">
        <v>212</v>
      </c>
      <c r="H83" s="85">
        <f>H23+H38+H53+H68</f>
        <v>99.6</v>
      </c>
    </row>
    <row r="84" spans="1:8" ht="14" x14ac:dyDescent="0.15">
      <c r="A84" s="449" t="s">
        <v>84</v>
      </c>
      <c r="B84" s="799" t="s">
        <v>79</v>
      </c>
      <c r="C84" s="799" t="s">
        <v>100</v>
      </c>
      <c r="D84" s="799" t="s">
        <v>101</v>
      </c>
      <c r="E84" s="799">
        <v>4239902</v>
      </c>
      <c r="F84" s="799" t="s">
        <v>102</v>
      </c>
      <c r="G84" s="17">
        <v>213</v>
      </c>
      <c r="H84" s="85">
        <f>H24+H39+H54+H69</f>
        <v>4231.902</v>
      </c>
    </row>
    <row r="85" spans="1:8" ht="14" x14ac:dyDescent="0.15">
      <c r="A85" s="449" t="s">
        <v>85</v>
      </c>
      <c r="B85" s="799" t="s">
        <v>79</v>
      </c>
      <c r="C85" s="799" t="s">
        <v>100</v>
      </c>
      <c r="D85" s="799" t="s">
        <v>101</v>
      </c>
      <c r="E85" s="799">
        <v>4239902</v>
      </c>
      <c r="F85" s="799" t="s">
        <v>102</v>
      </c>
      <c r="G85" s="17">
        <v>221</v>
      </c>
      <c r="H85" s="85">
        <f>H25+H40+H55+H70</f>
        <v>37.5</v>
      </c>
    </row>
    <row r="86" spans="1:8" ht="14" x14ac:dyDescent="0.15">
      <c r="A86" s="449" t="s">
        <v>86</v>
      </c>
      <c r="B86" s="799" t="s">
        <v>79</v>
      </c>
      <c r="C86" s="799" t="s">
        <v>100</v>
      </c>
      <c r="D86" s="799" t="s">
        <v>101</v>
      </c>
      <c r="E86" s="799">
        <v>4239902</v>
      </c>
      <c r="F86" s="799" t="s">
        <v>102</v>
      </c>
      <c r="G86" s="17">
        <v>222</v>
      </c>
      <c r="H86" s="85">
        <f>H26+H41+H56+H71</f>
        <v>30</v>
      </c>
    </row>
    <row r="87" spans="1:8" ht="14" x14ac:dyDescent="0.15">
      <c r="A87" s="449" t="s">
        <v>87</v>
      </c>
      <c r="B87" s="799" t="s">
        <v>79</v>
      </c>
      <c r="C87" s="799" t="s">
        <v>100</v>
      </c>
      <c r="D87" s="799" t="s">
        <v>101</v>
      </c>
      <c r="E87" s="799">
        <v>4239902</v>
      </c>
      <c r="F87" s="799" t="s">
        <v>102</v>
      </c>
      <c r="G87" s="17">
        <v>223</v>
      </c>
      <c r="H87" s="85">
        <f>H27+H42+H72</f>
        <v>732.43100000000004</v>
      </c>
    </row>
    <row r="88" spans="1:8" ht="14" x14ac:dyDescent="0.15">
      <c r="A88" s="449" t="s">
        <v>89</v>
      </c>
      <c r="B88" s="799" t="s">
        <v>79</v>
      </c>
      <c r="C88" s="799" t="s">
        <v>100</v>
      </c>
      <c r="D88" s="799" t="s">
        <v>101</v>
      </c>
      <c r="E88" s="799">
        <v>4239902</v>
      </c>
      <c r="F88" s="799" t="s">
        <v>102</v>
      </c>
      <c r="G88" s="17">
        <v>224</v>
      </c>
      <c r="H88" s="85">
        <f>H28+H43+H58+H73</f>
        <v>0</v>
      </c>
    </row>
    <row r="89" spans="1:8" ht="14" x14ac:dyDescent="0.15">
      <c r="A89" s="449" t="s">
        <v>90</v>
      </c>
      <c r="B89" s="799" t="s">
        <v>79</v>
      </c>
      <c r="C89" s="799" t="s">
        <v>100</v>
      </c>
      <c r="D89" s="799" t="s">
        <v>101</v>
      </c>
      <c r="E89" s="799">
        <v>4239902</v>
      </c>
      <c r="F89" s="799" t="s">
        <v>102</v>
      </c>
      <c r="G89" s="17">
        <v>225</v>
      </c>
      <c r="H89" s="85">
        <f>H29+H44+H59+H74</f>
        <v>100</v>
      </c>
    </row>
    <row r="90" spans="1:8" ht="14" x14ac:dyDescent="0.15">
      <c r="A90" s="449" t="s">
        <v>91</v>
      </c>
      <c r="B90" s="799" t="s">
        <v>79</v>
      </c>
      <c r="C90" s="799" t="s">
        <v>100</v>
      </c>
      <c r="D90" s="799" t="s">
        <v>101</v>
      </c>
      <c r="E90" s="799">
        <v>4239902</v>
      </c>
      <c r="F90" s="799" t="s">
        <v>102</v>
      </c>
      <c r="G90" s="17">
        <v>226</v>
      </c>
      <c r="H90" s="85">
        <f>H30+H45+H60+H75</f>
        <v>1335.432</v>
      </c>
    </row>
    <row r="91" spans="1:8" ht="14" x14ac:dyDescent="0.15">
      <c r="A91" s="449" t="s">
        <v>223</v>
      </c>
      <c r="B91" s="799" t="s">
        <v>79</v>
      </c>
      <c r="C91" s="799" t="s">
        <v>100</v>
      </c>
      <c r="D91" s="799" t="s">
        <v>101</v>
      </c>
      <c r="E91" s="799">
        <v>4239902</v>
      </c>
      <c r="F91" s="799" t="s">
        <v>102</v>
      </c>
      <c r="G91" s="17">
        <v>290</v>
      </c>
      <c r="H91" s="85">
        <f>H46+H61+H76+H31</f>
        <v>22.128999999999998</v>
      </c>
    </row>
    <row r="92" spans="1:8" ht="14" x14ac:dyDescent="0.15">
      <c r="A92" s="11" t="s">
        <v>94</v>
      </c>
      <c r="B92" s="799" t="s">
        <v>79</v>
      </c>
      <c r="C92" s="799" t="s">
        <v>100</v>
      </c>
      <c r="D92" s="799" t="s">
        <v>101</v>
      </c>
      <c r="E92" s="799" t="s">
        <v>221</v>
      </c>
      <c r="F92" s="799" t="s">
        <v>102</v>
      </c>
      <c r="G92" s="17">
        <v>290</v>
      </c>
      <c r="H92" s="85">
        <f>H47+H62+H77+H32</f>
        <v>1584.8000000000002</v>
      </c>
    </row>
    <row r="93" spans="1:8" ht="14" x14ac:dyDescent="0.15">
      <c r="A93" s="449" t="s">
        <v>104</v>
      </c>
      <c r="B93" s="799" t="s">
        <v>79</v>
      </c>
      <c r="C93" s="799" t="s">
        <v>100</v>
      </c>
      <c r="D93" s="799" t="s">
        <v>101</v>
      </c>
      <c r="E93" s="799">
        <v>4239902</v>
      </c>
      <c r="F93" s="799" t="s">
        <v>102</v>
      </c>
      <c r="G93" s="17">
        <v>310</v>
      </c>
      <c r="H93" s="85">
        <f>H33+H48+H63+H78</f>
        <v>45.418999999999997</v>
      </c>
    </row>
    <row r="94" spans="1:8" ht="14" x14ac:dyDescent="0.15">
      <c r="A94" s="449" t="s">
        <v>97</v>
      </c>
      <c r="B94" s="799" t="s">
        <v>79</v>
      </c>
      <c r="C94" s="799" t="s">
        <v>100</v>
      </c>
      <c r="D94" s="799" t="s">
        <v>101</v>
      </c>
      <c r="E94" s="799">
        <v>4239902</v>
      </c>
      <c r="F94" s="799" t="s">
        <v>102</v>
      </c>
      <c r="G94" s="17">
        <v>340</v>
      </c>
      <c r="H94" s="85">
        <f>H34+H49+H64+H79</f>
        <v>94.2</v>
      </c>
    </row>
    <row r="95" spans="1:8" ht="14" x14ac:dyDescent="0.15">
      <c r="A95" s="48" t="s">
        <v>98</v>
      </c>
      <c r="B95" s="20" t="s">
        <v>79</v>
      </c>
      <c r="C95" s="20" t="s">
        <v>100</v>
      </c>
      <c r="D95" s="20" t="s">
        <v>101</v>
      </c>
      <c r="E95" s="20" t="s">
        <v>222</v>
      </c>
      <c r="F95" s="20" t="s">
        <v>102</v>
      </c>
      <c r="G95" s="67"/>
      <c r="H95" s="798">
        <f>SUM(H82:H94)</f>
        <v>23119.100000000002</v>
      </c>
    </row>
    <row r="96" spans="1:8" ht="14" x14ac:dyDescent="0.15">
      <c r="A96" s="18" t="s">
        <v>109</v>
      </c>
      <c r="B96" s="19"/>
      <c r="C96" s="19"/>
      <c r="D96" s="19"/>
      <c r="E96" s="19"/>
      <c r="F96" s="19"/>
      <c r="G96" s="21"/>
      <c r="H96" s="85"/>
    </row>
    <row r="97" spans="1:8" ht="14" x14ac:dyDescent="0.15">
      <c r="A97" s="449" t="s">
        <v>78</v>
      </c>
      <c r="B97" s="799" t="s">
        <v>79</v>
      </c>
      <c r="C97" s="799" t="s">
        <v>100</v>
      </c>
      <c r="D97" s="799" t="s">
        <v>110</v>
      </c>
      <c r="E97" s="799" t="s">
        <v>224</v>
      </c>
      <c r="F97" s="799" t="s">
        <v>102</v>
      </c>
      <c r="G97" s="17">
        <v>211</v>
      </c>
      <c r="H97" s="85">
        <v>16155.8</v>
      </c>
    </row>
    <row r="98" spans="1:8" ht="14" x14ac:dyDescent="0.15">
      <c r="A98" s="449" t="s">
        <v>83</v>
      </c>
      <c r="B98" s="799" t="s">
        <v>79</v>
      </c>
      <c r="C98" s="799" t="s">
        <v>100</v>
      </c>
      <c r="D98" s="799" t="s">
        <v>110</v>
      </c>
      <c r="E98" s="799" t="s">
        <v>224</v>
      </c>
      <c r="F98" s="799" t="s">
        <v>102</v>
      </c>
      <c r="G98" s="17">
        <v>212</v>
      </c>
      <c r="H98" s="85">
        <f>97.2+29.16+0.6</f>
        <v>126.96</v>
      </c>
    </row>
    <row r="99" spans="1:8" ht="14" x14ac:dyDescent="0.15">
      <c r="A99" s="449" t="s">
        <v>84</v>
      </c>
      <c r="B99" s="799" t="s">
        <v>79</v>
      </c>
      <c r="C99" s="799" t="s">
        <v>100</v>
      </c>
      <c r="D99" s="799" t="s">
        <v>110</v>
      </c>
      <c r="E99" s="799" t="s">
        <v>224</v>
      </c>
      <c r="F99" s="799" t="s">
        <v>102</v>
      </c>
      <c r="G99" s="17">
        <v>213</v>
      </c>
      <c r="H99" s="85">
        <v>4879</v>
      </c>
    </row>
    <row r="100" spans="1:8" ht="14" x14ac:dyDescent="0.15">
      <c r="A100" s="449" t="s">
        <v>85</v>
      </c>
      <c r="B100" s="799" t="s">
        <v>79</v>
      </c>
      <c r="C100" s="799" t="s">
        <v>100</v>
      </c>
      <c r="D100" s="799" t="s">
        <v>110</v>
      </c>
      <c r="E100" s="799" t="s">
        <v>224</v>
      </c>
      <c r="F100" s="799" t="s">
        <v>102</v>
      </c>
      <c r="G100" s="17">
        <v>221</v>
      </c>
      <c r="H100" s="85">
        <f>19+15</f>
        <v>34</v>
      </c>
    </row>
    <row r="101" spans="1:8" ht="14" x14ac:dyDescent="0.15">
      <c r="A101" s="449" t="s">
        <v>86</v>
      </c>
      <c r="B101" s="799" t="s">
        <v>79</v>
      </c>
      <c r="C101" s="799" t="s">
        <v>100</v>
      </c>
      <c r="D101" s="799" t="s">
        <v>110</v>
      </c>
      <c r="E101" s="799" t="s">
        <v>224</v>
      </c>
      <c r="F101" s="799" t="s">
        <v>102</v>
      </c>
      <c r="G101" s="17">
        <v>222</v>
      </c>
      <c r="H101" s="85">
        <f>150+11</f>
        <v>161</v>
      </c>
    </row>
    <row r="102" spans="1:8" ht="14" x14ac:dyDescent="0.15">
      <c r="A102" s="449" t="s">
        <v>87</v>
      </c>
      <c r="B102" s="799" t="s">
        <v>79</v>
      </c>
      <c r="C102" s="799" t="s">
        <v>100</v>
      </c>
      <c r="D102" s="799" t="s">
        <v>110</v>
      </c>
      <c r="E102" s="799" t="s">
        <v>224</v>
      </c>
      <c r="F102" s="799" t="s">
        <v>102</v>
      </c>
      <c r="G102" s="17">
        <v>223</v>
      </c>
      <c r="H102" s="85">
        <f>468</f>
        <v>468</v>
      </c>
    </row>
    <row r="103" spans="1:8" ht="14" x14ac:dyDescent="0.15">
      <c r="A103" s="449" t="s">
        <v>111</v>
      </c>
      <c r="B103" s="799" t="s">
        <v>79</v>
      </c>
      <c r="C103" s="799" t="s">
        <v>100</v>
      </c>
      <c r="D103" s="799" t="s">
        <v>110</v>
      </c>
      <c r="E103" s="799" t="s">
        <v>224</v>
      </c>
      <c r="F103" s="799" t="s">
        <v>102</v>
      </c>
      <c r="G103" s="17">
        <v>224</v>
      </c>
      <c r="H103" s="85"/>
    </row>
    <row r="104" spans="1:8" ht="14" x14ac:dyDescent="0.15">
      <c r="A104" s="449" t="s">
        <v>90</v>
      </c>
      <c r="B104" s="799" t="s">
        <v>79</v>
      </c>
      <c r="C104" s="799" t="s">
        <v>100</v>
      </c>
      <c r="D104" s="799" t="s">
        <v>110</v>
      </c>
      <c r="E104" s="799" t="s">
        <v>224</v>
      </c>
      <c r="F104" s="799" t="s">
        <v>102</v>
      </c>
      <c r="G104" s="17">
        <v>225</v>
      </c>
      <c r="H104" s="85">
        <v>1470</v>
      </c>
    </row>
    <row r="105" spans="1:8" ht="14" x14ac:dyDescent="0.15">
      <c r="A105" s="449" t="s">
        <v>91</v>
      </c>
      <c r="B105" s="799" t="s">
        <v>79</v>
      </c>
      <c r="C105" s="799" t="s">
        <v>100</v>
      </c>
      <c r="D105" s="799" t="s">
        <v>110</v>
      </c>
      <c r="E105" s="799" t="s">
        <v>224</v>
      </c>
      <c r="F105" s="799" t="s">
        <v>102</v>
      </c>
      <c r="G105" s="17">
        <v>226</v>
      </c>
      <c r="H105" s="85">
        <f>354.64-50+11.2-15</f>
        <v>300.83999999999997</v>
      </c>
    </row>
    <row r="106" spans="1:8" ht="14" x14ac:dyDescent="0.15">
      <c r="A106" s="11" t="s">
        <v>94</v>
      </c>
      <c r="B106" s="799" t="s">
        <v>79</v>
      </c>
      <c r="C106" s="799" t="s">
        <v>100</v>
      </c>
      <c r="D106" s="799" t="s">
        <v>110</v>
      </c>
      <c r="E106" s="799" t="s">
        <v>224</v>
      </c>
      <c r="F106" s="799" t="s">
        <v>102</v>
      </c>
      <c r="G106" s="17">
        <v>290</v>
      </c>
      <c r="H106" s="85">
        <f>1783.41+98.1</f>
        <v>1881.51</v>
      </c>
    </row>
    <row r="107" spans="1:8" ht="14" x14ac:dyDescent="0.15">
      <c r="A107" s="11" t="s">
        <v>94</v>
      </c>
      <c r="B107" s="799" t="s">
        <v>79</v>
      </c>
      <c r="C107" s="799" t="s">
        <v>100</v>
      </c>
      <c r="D107" s="799" t="s">
        <v>110</v>
      </c>
      <c r="E107" s="799" t="s">
        <v>225</v>
      </c>
      <c r="F107" s="799" t="s">
        <v>102</v>
      </c>
      <c r="G107" s="17" t="s">
        <v>95</v>
      </c>
      <c r="H107" s="85">
        <f>660.1-29.4</f>
        <v>630.70000000000005</v>
      </c>
    </row>
    <row r="108" spans="1:8" ht="14" x14ac:dyDescent="0.15">
      <c r="A108" s="449" t="s">
        <v>96</v>
      </c>
      <c r="B108" s="799" t="s">
        <v>79</v>
      </c>
      <c r="C108" s="799" t="s">
        <v>100</v>
      </c>
      <c r="D108" s="799" t="s">
        <v>110</v>
      </c>
      <c r="E108" s="799" t="s">
        <v>224</v>
      </c>
      <c r="F108" s="799" t="s">
        <v>102</v>
      </c>
      <c r="G108" s="17">
        <v>310</v>
      </c>
      <c r="H108" s="85">
        <v>150</v>
      </c>
    </row>
    <row r="109" spans="1:8" ht="14" x14ac:dyDescent="0.15">
      <c r="A109" s="449" t="s">
        <v>97</v>
      </c>
      <c r="B109" s="799" t="s">
        <v>79</v>
      </c>
      <c r="C109" s="799" t="s">
        <v>100</v>
      </c>
      <c r="D109" s="799" t="s">
        <v>110</v>
      </c>
      <c r="E109" s="799" t="s">
        <v>224</v>
      </c>
      <c r="F109" s="799" t="s">
        <v>102</v>
      </c>
      <c r="G109" s="17">
        <v>340</v>
      </c>
      <c r="H109" s="85">
        <f>100-0.11</f>
        <v>99.89</v>
      </c>
    </row>
    <row r="110" spans="1:8" ht="14" x14ac:dyDescent="0.15">
      <c r="A110" s="18" t="s">
        <v>98</v>
      </c>
      <c r="B110" s="19" t="s">
        <v>79</v>
      </c>
      <c r="C110" s="19" t="s">
        <v>100</v>
      </c>
      <c r="D110" s="19" t="s">
        <v>110</v>
      </c>
      <c r="E110" s="20" t="s">
        <v>226</v>
      </c>
      <c r="F110" s="20" t="s">
        <v>102</v>
      </c>
      <c r="G110" s="21"/>
      <c r="H110" s="86">
        <f>SUM(H97:H109)</f>
        <v>26357.699999999997</v>
      </c>
    </row>
    <row r="111" spans="1:8" ht="14" x14ac:dyDescent="0.15">
      <c r="A111" s="18" t="s">
        <v>112</v>
      </c>
      <c r="B111" s="799"/>
      <c r="C111" s="799"/>
      <c r="D111" s="799"/>
      <c r="E111" s="799"/>
      <c r="F111" s="799"/>
      <c r="G111" s="21"/>
      <c r="H111" s="85"/>
    </row>
    <row r="112" spans="1:8" ht="14" x14ac:dyDescent="0.15">
      <c r="A112" s="449" t="s">
        <v>78</v>
      </c>
      <c r="B112" s="799" t="s">
        <v>79</v>
      </c>
      <c r="C112" s="799" t="s">
        <v>100</v>
      </c>
      <c r="D112" s="799" t="s">
        <v>110</v>
      </c>
      <c r="E112" s="799" t="s">
        <v>224</v>
      </c>
      <c r="F112" s="799" t="s">
        <v>102</v>
      </c>
      <c r="G112" s="17">
        <v>211</v>
      </c>
      <c r="H112" s="85">
        <v>8970.4</v>
      </c>
    </row>
    <row r="113" spans="1:8" ht="14" x14ac:dyDescent="0.15">
      <c r="A113" s="449" t="s">
        <v>83</v>
      </c>
      <c r="B113" s="799" t="s">
        <v>79</v>
      </c>
      <c r="C113" s="799" t="s">
        <v>100</v>
      </c>
      <c r="D113" s="799" t="s">
        <v>110</v>
      </c>
      <c r="E113" s="799" t="s">
        <v>224</v>
      </c>
      <c r="F113" s="799" t="s">
        <v>102</v>
      </c>
      <c r="G113" s="17">
        <v>212</v>
      </c>
      <c r="H113" s="85">
        <f>45.6</f>
        <v>45.6</v>
      </c>
    </row>
    <row r="114" spans="1:8" ht="14" x14ac:dyDescent="0.15">
      <c r="A114" s="449" t="s">
        <v>84</v>
      </c>
      <c r="B114" s="799" t="s">
        <v>79</v>
      </c>
      <c r="C114" s="799" t="s">
        <v>100</v>
      </c>
      <c r="D114" s="799" t="s">
        <v>110</v>
      </c>
      <c r="E114" s="799" t="s">
        <v>224</v>
      </c>
      <c r="F114" s="799" t="s">
        <v>102</v>
      </c>
      <c r="G114" s="17">
        <v>213</v>
      </c>
      <c r="H114" s="85">
        <v>2709</v>
      </c>
    </row>
    <row r="115" spans="1:8" ht="14" x14ac:dyDescent="0.15">
      <c r="A115" s="449" t="s">
        <v>85</v>
      </c>
      <c r="B115" s="799" t="s">
        <v>79</v>
      </c>
      <c r="C115" s="799" t="s">
        <v>100</v>
      </c>
      <c r="D115" s="799" t="s">
        <v>110</v>
      </c>
      <c r="E115" s="799" t="s">
        <v>224</v>
      </c>
      <c r="F115" s="799" t="s">
        <v>102</v>
      </c>
      <c r="G115" s="17">
        <v>221</v>
      </c>
      <c r="H115" s="85">
        <v>18</v>
      </c>
    </row>
    <row r="116" spans="1:8" ht="14" x14ac:dyDescent="0.15">
      <c r="A116" s="449" t="s">
        <v>86</v>
      </c>
      <c r="B116" s="799" t="s">
        <v>79</v>
      </c>
      <c r="C116" s="799" t="s">
        <v>100</v>
      </c>
      <c r="D116" s="799" t="s">
        <v>110</v>
      </c>
      <c r="E116" s="799" t="s">
        <v>224</v>
      </c>
      <c r="F116" s="799" t="s">
        <v>102</v>
      </c>
      <c r="G116" s="17">
        <v>222</v>
      </c>
      <c r="H116" s="85">
        <f>20+9.71</f>
        <v>29.71</v>
      </c>
    </row>
    <row r="117" spans="1:8" ht="14" x14ac:dyDescent="0.15">
      <c r="A117" s="449" t="s">
        <v>87</v>
      </c>
      <c r="B117" s="799" t="s">
        <v>79</v>
      </c>
      <c r="C117" s="799" t="s">
        <v>100</v>
      </c>
      <c r="D117" s="799" t="s">
        <v>110</v>
      </c>
      <c r="E117" s="799" t="s">
        <v>224</v>
      </c>
      <c r="F117" s="799" t="s">
        <v>102</v>
      </c>
      <c r="G117" s="17">
        <v>223</v>
      </c>
      <c r="H117" s="85">
        <v>414</v>
      </c>
    </row>
    <row r="118" spans="1:8" ht="14" x14ac:dyDescent="0.15">
      <c r="A118" s="449" t="s">
        <v>111</v>
      </c>
      <c r="B118" s="799" t="s">
        <v>79</v>
      </c>
      <c r="C118" s="799" t="s">
        <v>100</v>
      </c>
      <c r="D118" s="799" t="s">
        <v>110</v>
      </c>
      <c r="E118" s="799" t="s">
        <v>224</v>
      </c>
      <c r="F118" s="799" t="s">
        <v>102</v>
      </c>
      <c r="G118" s="17">
        <v>224</v>
      </c>
      <c r="H118" s="85"/>
    </row>
    <row r="119" spans="1:8" ht="14" x14ac:dyDescent="0.15">
      <c r="A119" s="449" t="s">
        <v>90</v>
      </c>
      <c r="B119" s="799" t="s">
        <v>79</v>
      </c>
      <c r="C119" s="799" t="s">
        <v>100</v>
      </c>
      <c r="D119" s="799" t="s">
        <v>110</v>
      </c>
      <c r="E119" s="799" t="s">
        <v>224</v>
      </c>
      <c r="F119" s="799" t="s">
        <v>102</v>
      </c>
      <c r="G119" s="17">
        <v>225</v>
      </c>
      <c r="H119" s="85">
        <v>900</v>
      </c>
    </row>
    <row r="120" spans="1:8" ht="14" x14ac:dyDescent="0.15">
      <c r="A120" s="449" t="s">
        <v>91</v>
      </c>
      <c r="B120" s="799" t="s">
        <v>79</v>
      </c>
      <c r="C120" s="799" t="s">
        <v>100</v>
      </c>
      <c r="D120" s="799" t="s">
        <v>110</v>
      </c>
      <c r="E120" s="799" t="s">
        <v>224</v>
      </c>
      <c r="F120" s="799" t="s">
        <v>102</v>
      </c>
      <c r="G120" s="17">
        <v>226</v>
      </c>
      <c r="H120" s="85">
        <f>164.64+4</f>
        <v>168.64</v>
      </c>
    </row>
    <row r="121" spans="1:8" ht="14" x14ac:dyDescent="0.15">
      <c r="A121" s="11" t="s">
        <v>94</v>
      </c>
      <c r="B121" s="799" t="s">
        <v>79</v>
      </c>
      <c r="C121" s="799" t="s">
        <v>100</v>
      </c>
      <c r="D121" s="799" t="s">
        <v>110</v>
      </c>
      <c r="E121" s="799" t="s">
        <v>224</v>
      </c>
      <c r="F121" s="799" t="s">
        <v>102</v>
      </c>
      <c r="G121" s="17">
        <v>290</v>
      </c>
      <c r="H121" s="85">
        <f>1996.1</f>
        <v>1996.1</v>
      </c>
    </row>
    <row r="122" spans="1:8" ht="14" x14ac:dyDescent="0.15">
      <c r="A122" s="11" t="s">
        <v>94</v>
      </c>
      <c r="B122" s="799" t="s">
        <v>79</v>
      </c>
      <c r="C122" s="799" t="s">
        <v>100</v>
      </c>
      <c r="D122" s="799" t="s">
        <v>110</v>
      </c>
      <c r="E122" s="799" t="s">
        <v>225</v>
      </c>
      <c r="F122" s="799" t="s">
        <v>102</v>
      </c>
      <c r="G122" s="17" t="s">
        <v>95</v>
      </c>
      <c r="H122" s="85">
        <f>6.8</f>
        <v>6.8</v>
      </c>
    </row>
    <row r="123" spans="1:8" ht="14" x14ac:dyDescent="0.15">
      <c r="A123" s="449" t="s">
        <v>96</v>
      </c>
      <c r="B123" s="799" t="s">
        <v>79</v>
      </c>
      <c r="C123" s="799" t="s">
        <v>100</v>
      </c>
      <c r="D123" s="799" t="s">
        <v>110</v>
      </c>
      <c r="E123" s="799" t="s">
        <v>224</v>
      </c>
      <c r="F123" s="799" t="s">
        <v>102</v>
      </c>
      <c r="G123" s="17">
        <v>310</v>
      </c>
      <c r="H123" s="85">
        <v>150</v>
      </c>
    </row>
    <row r="124" spans="1:8" ht="14" x14ac:dyDescent="0.15">
      <c r="A124" s="449" t="s">
        <v>97</v>
      </c>
      <c r="B124" s="799" t="s">
        <v>79</v>
      </c>
      <c r="C124" s="799" t="s">
        <v>100</v>
      </c>
      <c r="D124" s="799" t="s">
        <v>110</v>
      </c>
      <c r="E124" s="799" t="s">
        <v>224</v>
      </c>
      <c r="F124" s="799" t="s">
        <v>102</v>
      </c>
      <c r="G124" s="17">
        <v>340</v>
      </c>
      <c r="H124" s="85">
        <v>65.36</v>
      </c>
    </row>
    <row r="125" spans="1:8" ht="14" x14ac:dyDescent="0.15">
      <c r="A125" s="18" t="s">
        <v>98</v>
      </c>
      <c r="B125" s="19" t="s">
        <v>79</v>
      </c>
      <c r="C125" s="19" t="s">
        <v>100</v>
      </c>
      <c r="D125" s="19" t="s">
        <v>110</v>
      </c>
      <c r="E125" s="20" t="s">
        <v>226</v>
      </c>
      <c r="F125" s="20" t="s">
        <v>102</v>
      </c>
      <c r="G125" s="21"/>
      <c r="H125" s="86">
        <f>SUM(H112:H124)</f>
        <v>15473.609999999999</v>
      </c>
    </row>
    <row r="126" spans="1:8" ht="14" x14ac:dyDescent="0.15">
      <c r="A126" s="18" t="s">
        <v>113</v>
      </c>
      <c r="B126" s="799"/>
      <c r="C126" s="799"/>
      <c r="D126" s="799"/>
      <c r="E126" s="799"/>
      <c r="F126" s="799"/>
      <c r="G126" s="21"/>
      <c r="H126" s="85"/>
    </row>
    <row r="127" spans="1:8" ht="14" x14ac:dyDescent="0.15">
      <c r="A127" s="449" t="s">
        <v>78</v>
      </c>
      <c r="B127" s="799" t="s">
        <v>79</v>
      </c>
      <c r="C127" s="799" t="s">
        <v>100</v>
      </c>
      <c r="D127" s="799" t="s">
        <v>110</v>
      </c>
      <c r="E127" s="799" t="s">
        <v>224</v>
      </c>
      <c r="F127" s="799" t="s">
        <v>102</v>
      </c>
      <c r="G127" s="17">
        <v>211</v>
      </c>
      <c r="H127" s="85">
        <f>12098.1+38.2</f>
        <v>12136.300000000001</v>
      </c>
    </row>
    <row r="128" spans="1:8" ht="14" x14ac:dyDescent="0.15">
      <c r="A128" s="449" t="s">
        <v>83</v>
      </c>
      <c r="B128" s="799" t="s">
        <v>79</v>
      </c>
      <c r="C128" s="799" t="s">
        <v>100</v>
      </c>
      <c r="D128" s="799" t="s">
        <v>110</v>
      </c>
      <c r="E128" s="799" t="s">
        <v>224</v>
      </c>
      <c r="F128" s="799" t="s">
        <v>102</v>
      </c>
      <c r="G128" s="17">
        <v>212</v>
      </c>
      <c r="H128" s="85">
        <v>66</v>
      </c>
    </row>
    <row r="129" spans="1:8" ht="14" x14ac:dyDescent="0.15">
      <c r="A129" s="449" t="s">
        <v>84</v>
      </c>
      <c r="B129" s="799" t="s">
        <v>79</v>
      </c>
      <c r="C129" s="799" t="s">
        <v>100</v>
      </c>
      <c r="D129" s="799" t="s">
        <v>110</v>
      </c>
      <c r="E129" s="799" t="s">
        <v>224</v>
      </c>
      <c r="F129" s="799" t="s">
        <v>102</v>
      </c>
      <c r="G129" s="17">
        <v>213</v>
      </c>
      <c r="H129" s="85">
        <v>3653.6</v>
      </c>
    </row>
    <row r="130" spans="1:8" ht="14" x14ac:dyDescent="0.15">
      <c r="A130" s="449" t="s">
        <v>85</v>
      </c>
      <c r="B130" s="799" t="s">
        <v>79</v>
      </c>
      <c r="C130" s="799" t="s">
        <v>100</v>
      </c>
      <c r="D130" s="799" t="s">
        <v>110</v>
      </c>
      <c r="E130" s="799" t="s">
        <v>224</v>
      </c>
      <c r="F130" s="799" t="s">
        <v>102</v>
      </c>
      <c r="G130" s="17">
        <v>221</v>
      </c>
      <c r="H130" s="85">
        <v>15</v>
      </c>
    </row>
    <row r="131" spans="1:8" ht="14" x14ac:dyDescent="0.15">
      <c r="A131" s="449" t="s">
        <v>86</v>
      </c>
      <c r="B131" s="799" t="s">
        <v>79</v>
      </c>
      <c r="C131" s="799" t="s">
        <v>100</v>
      </c>
      <c r="D131" s="799" t="s">
        <v>110</v>
      </c>
      <c r="E131" s="799" t="s">
        <v>224</v>
      </c>
      <c r="F131" s="799" t="s">
        <v>102</v>
      </c>
      <c r="G131" s="17">
        <v>222</v>
      </c>
      <c r="H131" s="85"/>
    </row>
    <row r="132" spans="1:8" ht="14" x14ac:dyDescent="0.15">
      <c r="A132" s="449" t="s">
        <v>87</v>
      </c>
      <c r="B132" s="799" t="s">
        <v>79</v>
      </c>
      <c r="C132" s="799" t="s">
        <v>100</v>
      </c>
      <c r="D132" s="799" t="s">
        <v>110</v>
      </c>
      <c r="E132" s="799" t="s">
        <v>224</v>
      </c>
      <c r="F132" s="799" t="s">
        <v>102</v>
      </c>
      <c r="G132" s="17">
        <v>223</v>
      </c>
      <c r="H132" s="85">
        <f>332-45</f>
        <v>287</v>
      </c>
    </row>
    <row r="133" spans="1:8" ht="14" x14ac:dyDescent="0.15">
      <c r="A133" s="449" t="s">
        <v>111</v>
      </c>
      <c r="B133" s="799" t="s">
        <v>79</v>
      </c>
      <c r="C133" s="799" t="s">
        <v>100</v>
      </c>
      <c r="D133" s="799" t="s">
        <v>110</v>
      </c>
      <c r="E133" s="799" t="s">
        <v>224</v>
      </c>
      <c r="F133" s="799" t="s">
        <v>102</v>
      </c>
      <c r="G133" s="17">
        <v>224</v>
      </c>
      <c r="H133" s="85">
        <f>20-20</f>
        <v>0</v>
      </c>
    </row>
    <row r="134" spans="1:8" ht="14" x14ac:dyDescent="0.15">
      <c r="A134" s="449" t="s">
        <v>90</v>
      </c>
      <c r="B134" s="799" t="s">
        <v>79</v>
      </c>
      <c r="C134" s="799" t="s">
        <v>100</v>
      </c>
      <c r="D134" s="799" t="s">
        <v>110</v>
      </c>
      <c r="E134" s="799" t="s">
        <v>224</v>
      </c>
      <c r="F134" s="799" t="s">
        <v>102</v>
      </c>
      <c r="G134" s="17">
        <v>225</v>
      </c>
      <c r="H134" s="85">
        <f>30+45</f>
        <v>75</v>
      </c>
    </row>
    <row r="135" spans="1:8" ht="14" x14ac:dyDescent="0.15">
      <c r="A135" s="449" t="s">
        <v>91</v>
      </c>
      <c r="B135" s="799" t="s">
        <v>79</v>
      </c>
      <c r="C135" s="799" t="s">
        <v>100</v>
      </c>
      <c r="D135" s="799" t="s">
        <v>110</v>
      </c>
      <c r="E135" s="799" t="s">
        <v>224</v>
      </c>
      <c r="F135" s="799" t="s">
        <v>102</v>
      </c>
      <c r="G135" s="17">
        <v>226</v>
      </c>
      <c r="H135" s="85">
        <f>687-30</f>
        <v>657</v>
      </c>
    </row>
    <row r="136" spans="1:8" ht="14" x14ac:dyDescent="0.15">
      <c r="A136" s="11" t="s">
        <v>94</v>
      </c>
      <c r="B136" s="799" t="s">
        <v>79</v>
      </c>
      <c r="C136" s="799" t="s">
        <v>100</v>
      </c>
      <c r="D136" s="799" t="s">
        <v>110</v>
      </c>
      <c r="E136" s="799" t="s">
        <v>224</v>
      </c>
      <c r="F136" s="799" t="s">
        <v>102</v>
      </c>
      <c r="G136" s="17">
        <v>290</v>
      </c>
      <c r="H136" s="85">
        <f>928.4</f>
        <v>928.4</v>
      </c>
    </row>
    <row r="137" spans="1:8" ht="14" x14ac:dyDescent="0.15">
      <c r="A137" s="11" t="s">
        <v>94</v>
      </c>
      <c r="B137" s="799" t="s">
        <v>79</v>
      </c>
      <c r="C137" s="799" t="s">
        <v>100</v>
      </c>
      <c r="D137" s="799" t="s">
        <v>110</v>
      </c>
      <c r="E137" s="799" t="s">
        <v>225</v>
      </c>
      <c r="F137" s="799" t="s">
        <v>102</v>
      </c>
      <c r="G137" s="17" t="s">
        <v>95</v>
      </c>
      <c r="H137" s="85">
        <f>210.3-38.2</f>
        <v>172.10000000000002</v>
      </c>
    </row>
    <row r="138" spans="1:8" ht="14" x14ac:dyDescent="0.15">
      <c r="A138" s="449" t="s">
        <v>96</v>
      </c>
      <c r="B138" s="799" t="s">
        <v>79</v>
      </c>
      <c r="C138" s="799" t="s">
        <v>100</v>
      </c>
      <c r="D138" s="799" t="s">
        <v>110</v>
      </c>
      <c r="E138" s="799" t="s">
        <v>224</v>
      </c>
      <c r="F138" s="799" t="s">
        <v>102</v>
      </c>
      <c r="G138" s="17">
        <v>310</v>
      </c>
      <c r="H138" s="85">
        <v>120</v>
      </c>
    </row>
    <row r="139" spans="1:8" ht="14" x14ac:dyDescent="0.15">
      <c r="A139" s="449" t="s">
        <v>97</v>
      </c>
      <c r="B139" s="799" t="s">
        <v>79</v>
      </c>
      <c r="C139" s="799" t="s">
        <v>100</v>
      </c>
      <c r="D139" s="799" t="s">
        <v>110</v>
      </c>
      <c r="E139" s="799" t="s">
        <v>224</v>
      </c>
      <c r="F139" s="799" t="s">
        <v>102</v>
      </c>
      <c r="G139" s="17">
        <v>340</v>
      </c>
      <c r="H139" s="85">
        <f>70+20</f>
        <v>90</v>
      </c>
    </row>
    <row r="140" spans="1:8" ht="14" x14ac:dyDescent="0.15">
      <c r="A140" s="18" t="s">
        <v>98</v>
      </c>
      <c r="B140" s="19" t="s">
        <v>79</v>
      </c>
      <c r="C140" s="19" t="s">
        <v>100</v>
      </c>
      <c r="D140" s="19" t="s">
        <v>110</v>
      </c>
      <c r="E140" s="20" t="s">
        <v>226</v>
      </c>
      <c r="F140" s="20" t="s">
        <v>102</v>
      </c>
      <c r="G140" s="21"/>
      <c r="H140" s="86">
        <f>SUM(H127:H139)</f>
        <v>18200.400000000001</v>
      </c>
    </row>
    <row r="141" spans="1:8" ht="14" x14ac:dyDescent="0.15">
      <c r="A141" s="18" t="s">
        <v>114</v>
      </c>
      <c r="B141" s="799"/>
      <c r="C141" s="799"/>
      <c r="D141" s="799"/>
      <c r="E141" s="799"/>
      <c r="F141" s="799"/>
      <c r="G141" s="21"/>
      <c r="H141" s="85"/>
    </row>
    <row r="142" spans="1:8" ht="14" x14ac:dyDescent="0.15">
      <c r="A142" s="449" t="s">
        <v>78</v>
      </c>
      <c r="B142" s="799" t="s">
        <v>79</v>
      </c>
      <c r="C142" s="799" t="s">
        <v>100</v>
      </c>
      <c r="D142" s="799" t="s">
        <v>110</v>
      </c>
      <c r="E142" s="799" t="s">
        <v>224</v>
      </c>
      <c r="F142" s="799" t="s">
        <v>102</v>
      </c>
      <c r="G142" s="17">
        <v>211</v>
      </c>
      <c r="H142" s="85">
        <v>7258.9</v>
      </c>
    </row>
    <row r="143" spans="1:8" ht="14" x14ac:dyDescent="0.15">
      <c r="A143" s="449" t="s">
        <v>83</v>
      </c>
      <c r="B143" s="799" t="s">
        <v>79</v>
      </c>
      <c r="C143" s="799" t="s">
        <v>100</v>
      </c>
      <c r="D143" s="799" t="s">
        <v>110</v>
      </c>
      <c r="E143" s="799" t="s">
        <v>224</v>
      </c>
      <c r="F143" s="799" t="s">
        <v>102</v>
      </c>
      <c r="G143" s="17">
        <v>212</v>
      </c>
      <c r="H143" s="85">
        <f>68.4+6-15</f>
        <v>59.400000000000006</v>
      </c>
    </row>
    <row r="144" spans="1:8" ht="14" x14ac:dyDescent="0.15">
      <c r="A144" s="449" t="s">
        <v>84</v>
      </c>
      <c r="B144" s="799" t="s">
        <v>79</v>
      </c>
      <c r="C144" s="799" t="s">
        <v>100</v>
      </c>
      <c r="D144" s="799" t="s">
        <v>110</v>
      </c>
      <c r="E144" s="799" t="s">
        <v>224</v>
      </c>
      <c r="F144" s="799" t="s">
        <v>102</v>
      </c>
      <c r="G144" s="17">
        <v>213</v>
      </c>
      <c r="H144" s="85">
        <v>2192.1999999999998</v>
      </c>
    </row>
    <row r="145" spans="1:8" ht="14" x14ac:dyDescent="0.15">
      <c r="A145" s="449" t="s">
        <v>85</v>
      </c>
      <c r="B145" s="799" t="s">
        <v>79</v>
      </c>
      <c r="C145" s="799" t="s">
        <v>100</v>
      </c>
      <c r="D145" s="799" t="s">
        <v>110</v>
      </c>
      <c r="E145" s="799" t="s">
        <v>224</v>
      </c>
      <c r="F145" s="799" t="s">
        <v>102</v>
      </c>
      <c r="G145" s="17">
        <v>221</v>
      </c>
      <c r="H145" s="85">
        <v>15</v>
      </c>
    </row>
    <row r="146" spans="1:8" ht="14" x14ac:dyDescent="0.15">
      <c r="A146" s="449" t="s">
        <v>86</v>
      </c>
      <c r="B146" s="799" t="s">
        <v>79</v>
      </c>
      <c r="C146" s="799" t="s">
        <v>100</v>
      </c>
      <c r="D146" s="799" t="s">
        <v>110</v>
      </c>
      <c r="E146" s="799" t="s">
        <v>224</v>
      </c>
      <c r="F146" s="799" t="s">
        <v>102</v>
      </c>
      <c r="G146" s="17">
        <v>222</v>
      </c>
      <c r="H146" s="85">
        <f>20+5</f>
        <v>25</v>
      </c>
    </row>
    <row r="147" spans="1:8" ht="14" x14ac:dyDescent="0.15">
      <c r="A147" s="449" t="s">
        <v>87</v>
      </c>
      <c r="B147" s="799" t="s">
        <v>79</v>
      </c>
      <c r="C147" s="799" t="s">
        <v>100</v>
      </c>
      <c r="D147" s="799" t="s">
        <v>110</v>
      </c>
      <c r="E147" s="799" t="s">
        <v>224</v>
      </c>
      <c r="F147" s="799" t="s">
        <v>102</v>
      </c>
      <c r="G147" s="17">
        <v>223</v>
      </c>
      <c r="H147" s="85">
        <v>78</v>
      </c>
    </row>
    <row r="148" spans="1:8" ht="14" x14ac:dyDescent="0.15">
      <c r="A148" s="449" t="s">
        <v>111</v>
      </c>
      <c r="B148" s="799" t="s">
        <v>79</v>
      </c>
      <c r="C148" s="799" t="s">
        <v>100</v>
      </c>
      <c r="D148" s="799" t="s">
        <v>110</v>
      </c>
      <c r="E148" s="799" t="s">
        <v>224</v>
      </c>
      <c r="F148" s="799" t="s">
        <v>102</v>
      </c>
      <c r="G148" s="17">
        <v>224</v>
      </c>
      <c r="H148" s="85">
        <v>3</v>
      </c>
    </row>
    <row r="149" spans="1:8" ht="14" x14ac:dyDescent="0.15">
      <c r="A149" s="449" t="s">
        <v>90</v>
      </c>
      <c r="B149" s="799" t="s">
        <v>79</v>
      </c>
      <c r="C149" s="799" t="s">
        <v>100</v>
      </c>
      <c r="D149" s="799" t="s">
        <v>110</v>
      </c>
      <c r="E149" s="799" t="s">
        <v>224</v>
      </c>
      <c r="F149" s="799" t="s">
        <v>102</v>
      </c>
      <c r="G149" s="17">
        <v>225</v>
      </c>
      <c r="H149" s="85">
        <v>10</v>
      </c>
    </row>
    <row r="150" spans="1:8" ht="14" x14ac:dyDescent="0.15">
      <c r="A150" s="449" t="s">
        <v>91</v>
      </c>
      <c r="B150" s="799" t="s">
        <v>79</v>
      </c>
      <c r="C150" s="799" t="s">
        <v>100</v>
      </c>
      <c r="D150" s="799" t="s">
        <v>110</v>
      </c>
      <c r="E150" s="799" t="s">
        <v>224</v>
      </c>
      <c r="F150" s="799" t="s">
        <v>102</v>
      </c>
      <c r="G150" s="17">
        <v>226</v>
      </c>
      <c r="H150" s="85">
        <f>135+50+10</f>
        <v>195</v>
      </c>
    </row>
    <row r="151" spans="1:8" ht="14" x14ac:dyDescent="0.15">
      <c r="A151" s="11" t="s">
        <v>94</v>
      </c>
      <c r="B151" s="799" t="s">
        <v>79</v>
      </c>
      <c r="C151" s="799" t="s">
        <v>100</v>
      </c>
      <c r="D151" s="799" t="s">
        <v>110</v>
      </c>
      <c r="E151" s="799" t="s">
        <v>224</v>
      </c>
      <c r="F151" s="799" t="s">
        <v>102</v>
      </c>
      <c r="G151" s="17">
        <v>290</v>
      </c>
      <c r="H151" s="85">
        <f>587.9</f>
        <v>587.9</v>
      </c>
    </row>
    <row r="152" spans="1:8" ht="14" x14ac:dyDescent="0.15">
      <c r="A152" s="11" t="s">
        <v>94</v>
      </c>
      <c r="B152" s="799" t="s">
        <v>79</v>
      </c>
      <c r="C152" s="799" t="s">
        <v>100</v>
      </c>
      <c r="D152" s="799" t="s">
        <v>110</v>
      </c>
      <c r="E152" s="799" t="s">
        <v>225</v>
      </c>
      <c r="F152" s="799" t="s">
        <v>102</v>
      </c>
      <c r="G152" s="17" t="s">
        <v>95</v>
      </c>
      <c r="H152" s="85">
        <f>1.1</f>
        <v>1.1000000000000001</v>
      </c>
    </row>
    <row r="153" spans="1:8" ht="14" x14ac:dyDescent="0.15">
      <c r="A153" s="449" t="s">
        <v>96</v>
      </c>
      <c r="B153" s="799" t="s">
        <v>79</v>
      </c>
      <c r="C153" s="799" t="s">
        <v>100</v>
      </c>
      <c r="D153" s="799" t="s">
        <v>110</v>
      </c>
      <c r="E153" s="799" t="s">
        <v>224</v>
      </c>
      <c r="F153" s="799" t="s">
        <v>102</v>
      </c>
      <c r="G153" s="17">
        <v>310</v>
      </c>
      <c r="H153" s="85">
        <v>10</v>
      </c>
    </row>
    <row r="154" spans="1:8" ht="14" x14ac:dyDescent="0.15">
      <c r="A154" s="449" t="s">
        <v>97</v>
      </c>
      <c r="B154" s="799" t="s">
        <v>79</v>
      </c>
      <c r="C154" s="799" t="s">
        <v>100</v>
      </c>
      <c r="D154" s="799" t="s">
        <v>110</v>
      </c>
      <c r="E154" s="799" t="s">
        <v>224</v>
      </c>
      <c r="F154" s="799" t="s">
        <v>102</v>
      </c>
      <c r="G154" s="17">
        <v>340</v>
      </c>
      <c r="H154" s="85">
        <v>36</v>
      </c>
    </row>
    <row r="155" spans="1:8" ht="14" x14ac:dyDescent="0.15">
      <c r="A155" s="48" t="s">
        <v>98</v>
      </c>
      <c r="B155" s="20" t="s">
        <v>79</v>
      </c>
      <c r="C155" s="20" t="s">
        <v>100</v>
      </c>
      <c r="D155" s="20" t="s">
        <v>110</v>
      </c>
      <c r="E155" s="20" t="s">
        <v>226</v>
      </c>
      <c r="F155" s="20" t="s">
        <v>102</v>
      </c>
      <c r="G155" s="67"/>
      <c r="H155" s="50">
        <f>SUM(H142:H154)</f>
        <v>10471.5</v>
      </c>
    </row>
    <row r="156" spans="1:8" ht="14" x14ac:dyDescent="0.15">
      <c r="A156" s="18" t="s">
        <v>115</v>
      </c>
      <c r="B156" s="799"/>
      <c r="C156" s="799"/>
      <c r="D156" s="799"/>
      <c r="E156" s="799"/>
      <c r="F156" s="799"/>
      <c r="G156" s="21"/>
      <c r="H156" s="85"/>
    </row>
    <row r="157" spans="1:8" ht="14" x14ac:dyDescent="0.15">
      <c r="A157" s="449" t="s">
        <v>78</v>
      </c>
      <c r="B157" s="799" t="s">
        <v>79</v>
      </c>
      <c r="C157" s="799" t="s">
        <v>100</v>
      </c>
      <c r="D157" s="799" t="s">
        <v>110</v>
      </c>
      <c r="E157" s="799" t="s">
        <v>224</v>
      </c>
      <c r="F157" s="799" t="s">
        <v>102</v>
      </c>
      <c r="G157" s="17">
        <v>211</v>
      </c>
      <c r="H157" s="49">
        <f t="shared" ref="H157:H169" si="0">H97+H112+H127+H142</f>
        <v>44521.4</v>
      </c>
    </row>
    <row r="158" spans="1:8" ht="14" x14ac:dyDescent="0.15">
      <c r="A158" s="449" t="s">
        <v>83</v>
      </c>
      <c r="B158" s="799" t="s">
        <v>79</v>
      </c>
      <c r="C158" s="799" t="s">
        <v>100</v>
      </c>
      <c r="D158" s="799" t="s">
        <v>110</v>
      </c>
      <c r="E158" s="799" t="s">
        <v>224</v>
      </c>
      <c r="F158" s="799" t="s">
        <v>102</v>
      </c>
      <c r="G158" s="17">
        <v>212</v>
      </c>
      <c r="H158" s="49">
        <f t="shared" si="0"/>
        <v>297.96000000000004</v>
      </c>
    </row>
    <row r="159" spans="1:8" ht="14" x14ac:dyDescent="0.15">
      <c r="A159" s="449" t="s">
        <v>84</v>
      </c>
      <c r="B159" s="799" t="s">
        <v>79</v>
      </c>
      <c r="C159" s="799" t="s">
        <v>100</v>
      </c>
      <c r="D159" s="799" t="s">
        <v>110</v>
      </c>
      <c r="E159" s="799" t="s">
        <v>224</v>
      </c>
      <c r="F159" s="799" t="s">
        <v>102</v>
      </c>
      <c r="G159" s="17">
        <v>213</v>
      </c>
      <c r="H159" s="49">
        <f t="shared" si="0"/>
        <v>13433.8</v>
      </c>
    </row>
    <row r="160" spans="1:8" ht="14" x14ac:dyDescent="0.15">
      <c r="A160" s="449" t="s">
        <v>85</v>
      </c>
      <c r="B160" s="799" t="s">
        <v>79</v>
      </c>
      <c r="C160" s="799" t="s">
        <v>100</v>
      </c>
      <c r="D160" s="799" t="s">
        <v>110</v>
      </c>
      <c r="E160" s="799" t="s">
        <v>224</v>
      </c>
      <c r="F160" s="799" t="s">
        <v>102</v>
      </c>
      <c r="G160" s="17">
        <v>221</v>
      </c>
      <c r="H160" s="49">
        <f t="shared" si="0"/>
        <v>82</v>
      </c>
    </row>
    <row r="161" spans="1:8" ht="14" x14ac:dyDescent="0.15">
      <c r="A161" s="449" t="s">
        <v>86</v>
      </c>
      <c r="B161" s="799" t="s">
        <v>79</v>
      </c>
      <c r="C161" s="799" t="s">
        <v>100</v>
      </c>
      <c r="D161" s="799" t="s">
        <v>110</v>
      </c>
      <c r="E161" s="799" t="s">
        <v>224</v>
      </c>
      <c r="F161" s="799" t="s">
        <v>102</v>
      </c>
      <c r="G161" s="17">
        <v>222</v>
      </c>
      <c r="H161" s="49">
        <f t="shared" si="0"/>
        <v>215.71</v>
      </c>
    </row>
    <row r="162" spans="1:8" ht="14" x14ac:dyDescent="0.15">
      <c r="A162" s="449" t="s">
        <v>87</v>
      </c>
      <c r="B162" s="799" t="s">
        <v>79</v>
      </c>
      <c r="C162" s="799" t="s">
        <v>100</v>
      </c>
      <c r="D162" s="799" t="s">
        <v>110</v>
      </c>
      <c r="E162" s="799" t="s">
        <v>224</v>
      </c>
      <c r="F162" s="799" t="s">
        <v>102</v>
      </c>
      <c r="G162" s="17">
        <v>223</v>
      </c>
      <c r="H162" s="49">
        <f t="shared" si="0"/>
        <v>1247</v>
      </c>
    </row>
    <row r="163" spans="1:8" ht="14" x14ac:dyDescent="0.15">
      <c r="A163" s="449" t="s">
        <v>111</v>
      </c>
      <c r="B163" s="799" t="s">
        <v>79</v>
      </c>
      <c r="C163" s="799" t="s">
        <v>100</v>
      </c>
      <c r="D163" s="799" t="s">
        <v>110</v>
      </c>
      <c r="E163" s="799" t="s">
        <v>224</v>
      </c>
      <c r="F163" s="799" t="s">
        <v>102</v>
      </c>
      <c r="G163" s="17">
        <v>224</v>
      </c>
      <c r="H163" s="49">
        <f t="shared" si="0"/>
        <v>3</v>
      </c>
    </row>
    <row r="164" spans="1:8" ht="14" x14ac:dyDescent="0.15">
      <c r="A164" s="449" t="s">
        <v>90</v>
      </c>
      <c r="B164" s="799" t="s">
        <v>79</v>
      </c>
      <c r="C164" s="799" t="s">
        <v>100</v>
      </c>
      <c r="D164" s="799" t="s">
        <v>110</v>
      </c>
      <c r="E164" s="799" t="s">
        <v>224</v>
      </c>
      <c r="F164" s="799" t="s">
        <v>102</v>
      </c>
      <c r="G164" s="17">
        <v>225</v>
      </c>
      <c r="H164" s="49">
        <f t="shared" si="0"/>
        <v>2455</v>
      </c>
    </row>
    <row r="165" spans="1:8" ht="14" x14ac:dyDescent="0.15">
      <c r="A165" s="449" t="s">
        <v>91</v>
      </c>
      <c r="B165" s="799" t="s">
        <v>79</v>
      </c>
      <c r="C165" s="799" t="s">
        <v>100</v>
      </c>
      <c r="D165" s="799" t="s">
        <v>110</v>
      </c>
      <c r="E165" s="799" t="s">
        <v>224</v>
      </c>
      <c r="F165" s="799" t="s">
        <v>102</v>
      </c>
      <c r="G165" s="17">
        <v>226</v>
      </c>
      <c r="H165" s="49">
        <f t="shared" si="0"/>
        <v>1321.48</v>
      </c>
    </row>
    <row r="166" spans="1:8" ht="14" x14ac:dyDescent="0.15">
      <c r="A166" s="11" t="s">
        <v>94</v>
      </c>
      <c r="B166" s="799" t="s">
        <v>79</v>
      </c>
      <c r="C166" s="799" t="s">
        <v>100</v>
      </c>
      <c r="D166" s="799" t="s">
        <v>110</v>
      </c>
      <c r="E166" s="799" t="s">
        <v>224</v>
      </c>
      <c r="F166" s="799" t="s">
        <v>102</v>
      </c>
      <c r="G166" s="17">
        <v>290</v>
      </c>
      <c r="H166" s="49">
        <f t="shared" si="0"/>
        <v>5393.9099999999989</v>
      </c>
    </row>
    <row r="167" spans="1:8" ht="14" x14ac:dyDescent="0.15">
      <c r="A167" s="11" t="s">
        <v>94</v>
      </c>
      <c r="B167" s="799" t="s">
        <v>79</v>
      </c>
      <c r="C167" s="799" t="s">
        <v>100</v>
      </c>
      <c r="D167" s="799" t="s">
        <v>110</v>
      </c>
      <c r="E167" s="799" t="s">
        <v>225</v>
      </c>
      <c r="F167" s="799" t="s">
        <v>102</v>
      </c>
      <c r="G167" s="17" t="s">
        <v>95</v>
      </c>
      <c r="H167" s="49">
        <f t="shared" si="0"/>
        <v>810.7</v>
      </c>
    </row>
    <row r="168" spans="1:8" ht="14" x14ac:dyDescent="0.15">
      <c r="A168" s="449" t="s">
        <v>96</v>
      </c>
      <c r="B168" s="799" t="s">
        <v>79</v>
      </c>
      <c r="C168" s="799" t="s">
        <v>100</v>
      </c>
      <c r="D168" s="799" t="s">
        <v>110</v>
      </c>
      <c r="E168" s="799" t="s">
        <v>224</v>
      </c>
      <c r="F168" s="799" t="s">
        <v>102</v>
      </c>
      <c r="G168" s="17">
        <v>310</v>
      </c>
      <c r="H168" s="49">
        <f t="shared" si="0"/>
        <v>430</v>
      </c>
    </row>
    <row r="169" spans="1:8" ht="14" x14ac:dyDescent="0.15">
      <c r="A169" s="449" t="s">
        <v>97</v>
      </c>
      <c r="B169" s="799" t="s">
        <v>79</v>
      </c>
      <c r="C169" s="799" t="s">
        <v>100</v>
      </c>
      <c r="D169" s="799" t="s">
        <v>110</v>
      </c>
      <c r="E169" s="799" t="s">
        <v>224</v>
      </c>
      <c r="F169" s="799" t="s">
        <v>102</v>
      </c>
      <c r="G169" s="17">
        <v>340</v>
      </c>
      <c r="H169" s="49">
        <f t="shared" si="0"/>
        <v>291.25</v>
      </c>
    </row>
    <row r="170" spans="1:8" ht="14" x14ac:dyDescent="0.15">
      <c r="A170" s="18" t="s">
        <v>98</v>
      </c>
      <c r="B170" s="19" t="s">
        <v>79</v>
      </c>
      <c r="C170" s="19" t="s">
        <v>100</v>
      </c>
      <c r="D170" s="19" t="s">
        <v>110</v>
      </c>
      <c r="E170" s="20" t="s">
        <v>226</v>
      </c>
      <c r="F170" s="20" t="s">
        <v>102</v>
      </c>
      <c r="G170" s="21"/>
      <c r="H170" s="812">
        <f>SUM(H157:H169)</f>
        <v>70503.210000000006</v>
      </c>
    </row>
    <row r="171" spans="1:8" ht="14" x14ac:dyDescent="0.15">
      <c r="A171" s="18" t="s">
        <v>227</v>
      </c>
      <c r="B171" s="19"/>
      <c r="C171" s="19"/>
      <c r="D171" s="19"/>
      <c r="E171" s="19"/>
      <c r="F171" s="19"/>
      <c r="G171" s="21"/>
      <c r="H171" s="85"/>
    </row>
    <row r="172" spans="1:8" ht="14" x14ac:dyDescent="0.15">
      <c r="A172" s="449" t="s">
        <v>78</v>
      </c>
      <c r="B172" s="799" t="s">
        <v>79</v>
      </c>
      <c r="C172" s="799" t="s">
        <v>100</v>
      </c>
      <c r="D172" s="799" t="s">
        <v>117</v>
      </c>
      <c r="E172" s="799" t="s">
        <v>118</v>
      </c>
      <c r="F172" s="799" t="s">
        <v>102</v>
      </c>
      <c r="G172" s="17">
        <v>211</v>
      </c>
      <c r="H172" s="446">
        <f>2379.4-94.933+12.135</f>
        <v>2296.6020000000003</v>
      </c>
    </row>
    <row r="173" spans="1:8" ht="14" x14ac:dyDescent="0.15">
      <c r="A173" s="449" t="s">
        <v>83</v>
      </c>
      <c r="B173" s="799" t="s">
        <v>79</v>
      </c>
      <c r="C173" s="799" t="s">
        <v>100</v>
      </c>
      <c r="D173" s="799" t="s">
        <v>117</v>
      </c>
      <c r="E173" s="799" t="s">
        <v>118</v>
      </c>
      <c r="F173" s="799" t="s">
        <v>102</v>
      </c>
      <c r="G173" s="17">
        <v>212</v>
      </c>
      <c r="H173" s="446">
        <f>5-2.92</f>
        <v>2.08</v>
      </c>
    </row>
    <row r="174" spans="1:8" ht="14" x14ac:dyDescent="0.15">
      <c r="A174" s="449" t="s">
        <v>84</v>
      </c>
      <c r="B174" s="799" t="s">
        <v>79</v>
      </c>
      <c r="C174" s="799" t="s">
        <v>100</v>
      </c>
      <c r="D174" s="799" t="s">
        <v>117</v>
      </c>
      <c r="E174" s="799" t="s">
        <v>118</v>
      </c>
      <c r="F174" s="799" t="s">
        <v>102</v>
      </c>
      <c r="G174" s="17">
        <v>213</v>
      </c>
      <c r="H174" s="446">
        <f>718.5-48.74-12.135</f>
        <v>657.625</v>
      </c>
    </row>
    <row r="175" spans="1:8" ht="14" x14ac:dyDescent="0.15">
      <c r="A175" s="449" t="s">
        <v>85</v>
      </c>
      <c r="B175" s="799" t="s">
        <v>79</v>
      </c>
      <c r="C175" s="799" t="s">
        <v>100</v>
      </c>
      <c r="D175" s="799" t="s">
        <v>117</v>
      </c>
      <c r="E175" s="799" t="s">
        <v>118</v>
      </c>
      <c r="F175" s="799" t="s">
        <v>102</v>
      </c>
      <c r="G175" s="17">
        <v>221</v>
      </c>
      <c r="H175" s="446">
        <v>40</v>
      </c>
    </row>
    <row r="176" spans="1:8" ht="14" x14ac:dyDescent="0.15">
      <c r="A176" s="449" t="s">
        <v>86</v>
      </c>
      <c r="B176" s="799" t="s">
        <v>79</v>
      </c>
      <c r="C176" s="799" t="s">
        <v>100</v>
      </c>
      <c r="D176" s="799" t="s">
        <v>117</v>
      </c>
      <c r="E176" s="799" t="s">
        <v>118</v>
      </c>
      <c r="F176" s="799" t="s">
        <v>102</v>
      </c>
      <c r="G176" s="17">
        <v>222</v>
      </c>
      <c r="H176" s="446">
        <f>45-33.75</f>
        <v>11.25</v>
      </c>
    </row>
    <row r="177" spans="1:8" ht="14" x14ac:dyDescent="0.15">
      <c r="A177" s="449" t="s">
        <v>87</v>
      </c>
      <c r="B177" s="799" t="s">
        <v>79</v>
      </c>
      <c r="C177" s="799" t="s">
        <v>100</v>
      </c>
      <c r="D177" s="799" t="s">
        <v>117</v>
      </c>
      <c r="E177" s="799" t="s">
        <v>118</v>
      </c>
      <c r="F177" s="799" t="s">
        <v>102</v>
      </c>
      <c r="G177" s="17">
        <v>223</v>
      </c>
      <c r="H177" s="446">
        <v>0</v>
      </c>
    </row>
    <row r="178" spans="1:8" ht="14" x14ac:dyDescent="0.15">
      <c r="A178" s="449" t="s">
        <v>111</v>
      </c>
      <c r="B178" s="799" t="s">
        <v>79</v>
      </c>
      <c r="C178" s="799" t="s">
        <v>100</v>
      </c>
      <c r="D178" s="799" t="s">
        <v>117</v>
      </c>
      <c r="E178" s="799" t="s">
        <v>118</v>
      </c>
      <c r="F178" s="799" t="s">
        <v>102</v>
      </c>
      <c r="G178" s="17">
        <v>224</v>
      </c>
      <c r="H178" s="446">
        <v>0</v>
      </c>
    </row>
    <row r="179" spans="1:8" ht="14" x14ac:dyDescent="0.15">
      <c r="A179" s="449" t="s">
        <v>90</v>
      </c>
      <c r="B179" s="799" t="s">
        <v>79</v>
      </c>
      <c r="C179" s="799" t="s">
        <v>100</v>
      </c>
      <c r="D179" s="799" t="s">
        <v>117</v>
      </c>
      <c r="E179" s="799" t="s">
        <v>118</v>
      </c>
      <c r="F179" s="799" t="s">
        <v>102</v>
      </c>
      <c r="G179" s="17">
        <v>225</v>
      </c>
      <c r="H179" s="446">
        <v>3.1</v>
      </c>
    </row>
    <row r="180" spans="1:8" ht="14" x14ac:dyDescent="0.15">
      <c r="A180" s="449" t="s">
        <v>91</v>
      </c>
      <c r="B180" s="799" t="s">
        <v>79</v>
      </c>
      <c r="C180" s="799" t="s">
        <v>100</v>
      </c>
      <c r="D180" s="799" t="s">
        <v>117</v>
      </c>
      <c r="E180" s="799" t="s">
        <v>118</v>
      </c>
      <c r="F180" s="799" t="s">
        <v>102</v>
      </c>
      <c r="G180" s="17">
        <v>226</v>
      </c>
      <c r="H180" s="446">
        <f>72+203.683</f>
        <v>275.68299999999999</v>
      </c>
    </row>
    <row r="181" spans="1:8" ht="14" x14ac:dyDescent="0.15">
      <c r="A181" s="11" t="s">
        <v>94</v>
      </c>
      <c r="B181" s="799" t="s">
        <v>79</v>
      </c>
      <c r="C181" s="799" t="s">
        <v>100</v>
      </c>
      <c r="D181" s="799" t="s">
        <v>117</v>
      </c>
      <c r="E181" s="799" t="s">
        <v>118</v>
      </c>
      <c r="F181" s="799" t="s">
        <v>102</v>
      </c>
      <c r="G181" s="17">
        <v>290</v>
      </c>
      <c r="H181" s="446">
        <v>3.6</v>
      </c>
    </row>
    <row r="182" spans="1:8" ht="14" x14ac:dyDescent="0.15">
      <c r="A182" s="11" t="s">
        <v>94</v>
      </c>
      <c r="B182" s="799" t="s">
        <v>79</v>
      </c>
      <c r="C182" s="799" t="s">
        <v>100</v>
      </c>
      <c r="D182" s="799" t="s">
        <v>117</v>
      </c>
      <c r="E182" s="799" t="s">
        <v>228</v>
      </c>
      <c r="F182" s="799" t="s">
        <v>102</v>
      </c>
      <c r="G182" s="17" t="s">
        <v>95</v>
      </c>
      <c r="H182" s="446">
        <f>8.7-4.34</f>
        <v>4.3599999999999994</v>
      </c>
    </row>
    <row r="183" spans="1:8" ht="14" x14ac:dyDescent="0.15">
      <c r="A183" s="449" t="s">
        <v>96</v>
      </c>
      <c r="B183" s="799" t="s">
        <v>79</v>
      </c>
      <c r="C183" s="799" t="s">
        <v>100</v>
      </c>
      <c r="D183" s="799" t="s">
        <v>117</v>
      </c>
      <c r="E183" s="799" t="s">
        <v>118</v>
      </c>
      <c r="F183" s="799" t="s">
        <v>102</v>
      </c>
      <c r="G183" s="17">
        <v>310</v>
      </c>
      <c r="H183" s="446">
        <f>19-19</f>
        <v>0</v>
      </c>
    </row>
    <row r="184" spans="1:8" ht="14" x14ac:dyDescent="0.15">
      <c r="A184" s="449" t="s">
        <v>97</v>
      </c>
      <c r="B184" s="799" t="s">
        <v>79</v>
      </c>
      <c r="C184" s="799" t="s">
        <v>100</v>
      </c>
      <c r="D184" s="799" t="s">
        <v>117</v>
      </c>
      <c r="E184" s="799" t="s">
        <v>118</v>
      </c>
      <c r="F184" s="799" t="s">
        <v>102</v>
      </c>
      <c r="G184" s="17">
        <v>340</v>
      </c>
      <c r="H184" s="446">
        <v>61</v>
      </c>
    </row>
    <row r="185" spans="1:8" ht="14" x14ac:dyDescent="0.15">
      <c r="A185" s="18" t="s">
        <v>98</v>
      </c>
      <c r="B185" s="19" t="s">
        <v>79</v>
      </c>
      <c r="C185" s="19" t="s">
        <v>100</v>
      </c>
      <c r="D185" s="19" t="s">
        <v>117</v>
      </c>
      <c r="E185" s="20" t="s">
        <v>229</v>
      </c>
      <c r="F185" s="20" t="s">
        <v>102</v>
      </c>
      <c r="G185" s="21"/>
      <c r="H185" s="812">
        <f>SUM(H172:H184)</f>
        <v>3355.3</v>
      </c>
    </row>
    <row r="186" spans="1:8" ht="14" x14ac:dyDescent="0.15">
      <c r="A186" s="48" t="s">
        <v>119</v>
      </c>
      <c r="B186" s="91" t="s">
        <v>79</v>
      </c>
      <c r="C186" s="91" t="s">
        <v>100</v>
      </c>
      <c r="D186" s="91" t="s">
        <v>120</v>
      </c>
      <c r="E186" s="20" t="s">
        <v>121</v>
      </c>
      <c r="F186" s="20" t="s">
        <v>122</v>
      </c>
      <c r="G186" s="67">
        <v>290</v>
      </c>
      <c r="H186" s="798">
        <f>504+252</f>
        <v>756</v>
      </c>
    </row>
    <row r="187" spans="1:8" ht="14" x14ac:dyDescent="0.15">
      <c r="A187" s="48" t="s">
        <v>625</v>
      </c>
      <c r="B187" s="91" t="s">
        <v>79</v>
      </c>
      <c r="C187" s="91" t="s">
        <v>100</v>
      </c>
      <c r="D187" s="91" t="s">
        <v>120</v>
      </c>
      <c r="E187" s="20" t="s">
        <v>209</v>
      </c>
      <c r="F187" s="20" t="s">
        <v>269</v>
      </c>
      <c r="G187" s="67" t="s">
        <v>95</v>
      </c>
      <c r="H187" s="798">
        <f>300+850+1050</f>
        <v>2200</v>
      </c>
    </row>
    <row r="188" spans="1:8" ht="14" x14ac:dyDescent="0.15">
      <c r="A188" s="18" t="s">
        <v>123</v>
      </c>
      <c r="B188" s="19"/>
      <c r="C188" s="19"/>
      <c r="D188" s="19"/>
      <c r="E188" s="19"/>
      <c r="F188" s="19"/>
      <c r="G188" s="21"/>
      <c r="H188" s="32"/>
    </row>
    <row r="189" spans="1:8" ht="14" x14ac:dyDescent="0.15">
      <c r="A189" s="449" t="s">
        <v>78</v>
      </c>
      <c r="B189" s="799" t="s">
        <v>79</v>
      </c>
      <c r="C189" s="799" t="s">
        <v>100</v>
      </c>
      <c r="D189" s="799"/>
      <c r="E189" s="799"/>
      <c r="F189" s="799"/>
      <c r="G189" s="17">
        <v>211</v>
      </c>
      <c r="H189" s="49">
        <f>H82+H157+H172</f>
        <v>61623.688999999998</v>
      </c>
    </row>
    <row r="190" spans="1:8" ht="14" x14ac:dyDescent="0.15">
      <c r="A190" s="449" t="s">
        <v>83</v>
      </c>
      <c r="B190" s="799" t="s">
        <v>79</v>
      </c>
      <c r="C190" s="799" t="s">
        <v>100</v>
      </c>
      <c r="D190" s="799"/>
      <c r="E190" s="799"/>
      <c r="F190" s="799"/>
      <c r="G190" s="17">
        <v>212</v>
      </c>
      <c r="H190" s="49">
        <f>H83+H158+H173</f>
        <v>399.64000000000004</v>
      </c>
    </row>
    <row r="191" spans="1:8" ht="14" x14ac:dyDescent="0.15">
      <c r="A191" s="449" t="s">
        <v>84</v>
      </c>
      <c r="B191" s="799" t="s">
        <v>79</v>
      </c>
      <c r="C191" s="799" t="s">
        <v>100</v>
      </c>
      <c r="D191" s="799"/>
      <c r="E191" s="799"/>
      <c r="F191" s="799"/>
      <c r="G191" s="17">
        <v>213</v>
      </c>
      <c r="H191" s="49">
        <f t="shared" ref="H191:H201" si="1">H174+H159+H84</f>
        <v>18323.326999999997</v>
      </c>
    </row>
    <row r="192" spans="1:8" ht="14" x14ac:dyDescent="0.15">
      <c r="A192" s="449" t="s">
        <v>85</v>
      </c>
      <c r="B192" s="799" t="s">
        <v>79</v>
      </c>
      <c r="C192" s="799" t="s">
        <v>100</v>
      </c>
      <c r="D192" s="799"/>
      <c r="E192" s="799"/>
      <c r="F192" s="799"/>
      <c r="G192" s="17">
        <v>221</v>
      </c>
      <c r="H192" s="49">
        <f t="shared" si="1"/>
        <v>159.5</v>
      </c>
    </row>
    <row r="193" spans="1:8" ht="14" x14ac:dyDescent="0.15">
      <c r="A193" s="449" t="s">
        <v>86</v>
      </c>
      <c r="B193" s="799" t="s">
        <v>79</v>
      </c>
      <c r="C193" s="799" t="s">
        <v>100</v>
      </c>
      <c r="D193" s="799"/>
      <c r="E193" s="799"/>
      <c r="F193" s="799"/>
      <c r="G193" s="17">
        <v>222</v>
      </c>
      <c r="H193" s="49">
        <f t="shared" si="1"/>
        <v>256.96000000000004</v>
      </c>
    </row>
    <row r="194" spans="1:8" ht="14" x14ac:dyDescent="0.15">
      <c r="A194" s="449" t="s">
        <v>87</v>
      </c>
      <c r="B194" s="799" t="s">
        <v>79</v>
      </c>
      <c r="C194" s="799" t="s">
        <v>100</v>
      </c>
      <c r="D194" s="799"/>
      <c r="E194" s="799"/>
      <c r="F194" s="799"/>
      <c r="G194" s="17">
        <v>223</v>
      </c>
      <c r="H194" s="49">
        <f t="shared" si="1"/>
        <v>1979.431</v>
      </c>
    </row>
    <row r="195" spans="1:8" ht="14" x14ac:dyDescent="0.15">
      <c r="A195" s="449" t="s">
        <v>111</v>
      </c>
      <c r="B195" s="799" t="s">
        <v>79</v>
      </c>
      <c r="C195" s="799" t="s">
        <v>100</v>
      </c>
      <c r="D195" s="799"/>
      <c r="E195" s="799"/>
      <c r="F195" s="799"/>
      <c r="G195" s="17">
        <v>224</v>
      </c>
      <c r="H195" s="49">
        <f t="shared" si="1"/>
        <v>3</v>
      </c>
    </row>
    <row r="196" spans="1:8" ht="14" x14ac:dyDescent="0.15">
      <c r="A196" s="449" t="s">
        <v>90</v>
      </c>
      <c r="B196" s="799" t="s">
        <v>79</v>
      </c>
      <c r="C196" s="799" t="s">
        <v>100</v>
      </c>
      <c r="D196" s="799"/>
      <c r="E196" s="799"/>
      <c r="F196" s="799"/>
      <c r="G196" s="17">
        <v>225</v>
      </c>
      <c r="H196" s="49">
        <f t="shared" si="1"/>
        <v>2558.1</v>
      </c>
    </row>
    <row r="197" spans="1:8" ht="14" x14ac:dyDescent="0.15">
      <c r="A197" s="449" t="s">
        <v>91</v>
      </c>
      <c r="B197" s="799" t="s">
        <v>79</v>
      </c>
      <c r="C197" s="799" t="s">
        <v>100</v>
      </c>
      <c r="D197" s="799"/>
      <c r="E197" s="799"/>
      <c r="F197" s="799"/>
      <c r="G197" s="17">
        <v>226</v>
      </c>
      <c r="H197" s="49">
        <f t="shared" si="1"/>
        <v>2932.5950000000003</v>
      </c>
    </row>
    <row r="198" spans="1:8" ht="14" x14ac:dyDescent="0.15">
      <c r="A198" s="11" t="s">
        <v>94</v>
      </c>
      <c r="B198" s="799" t="s">
        <v>79</v>
      </c>
      <c r="C198" s="799" t="s">
        <v>100</v>
      </c>
      <c r="D198" s="799"/>
      <c r="E198" s="799"/>
      <c r="F198" s="799"/>
      <c r="G198" s="17">
        <v>290</v>
      </c>
      <c r="H198" s="49">
        <f>H181+H166+H91+H186+H187</f>
        <v>8375.6389999999992</v>
      </c>
    </row>
    <row r="199" spans="1:8" ht="14" x14ac:dyDescent="0.15">
      <c r="A199" s="11" t="s">
        <v>94</v>
      </c>
      <c r="B199" s="799" t="s">
        <v>79</v>
      </c>
      <c r="C199" s="799" t="s">
        <v>100</v>
      </c>
      <c r="D199" s="799"/>
      <c r="E199" s="799"/>
      <c r="F199" s="799"/>
      <c r="G199" s="17" t="s">
        <v>95</v>
      </c>
      <c r="H199" s="49">
        <f t="shared" si="1"/>
        <v>2399.86</v>
      </c>
    </row>
    <row r="200" spans="1:8" ht="14" x14ac:dyDescent="0.15">
      <c r="A200" s="449" t="s">
        <v>96</v>
      </c>
      <c r="B200" s="799" t="s">
        <v>79</v>
      </c>
      <c r="C200" s="799" t="s">
        <v>100</v>
      </c>
      <c r="D200" s="799"/>
      <c r="E200" s="799"/>
      <c r="F200" s="799"/>
      <c r="G200" s="17">
        <v>310</v>
      </c>
      <c r="H200" s="49">
        <f>H183+H168+H93</f>
        <v>475.41899999999998</v>
      </c>
    </row>
    <row r="201" spans="1:8" ht="14" x14ac:dyDescent="0.15">
      <c r="A201" s="449" t="s">
        <v>97</v>
      </c>
      <c r="B201" s="799" t="s">
        <v>79</v>
      </c>
      <c r="C201" s="799" t="s">
        <v>100</v>
      </c>
      <c r="D201" s="799"/>
      <c r="E201" s="799"/>
      <c r="F201" s="799"/>
      <c r="G201" s="17">
        <v>340</v>
      </c>
      <c r="H201" s="49">
        <f t="shared" si="1"/>
        <v>446.45</v>
      </c>
    </row>
    <row r="202" spans="1:8" ht="14" x14ac:dyDescent="0.15">
      <c r="A202" s="18" t="s">
        <v>98</v>
      </c>
      <c r="B202" s="19" t="s">
        <v>79</v>
      </c>
      <c r="C202" s="19" t="s">
        <v>100</v>
      </c>
      <c r="D202" s="19"/>
      <c r="E202" s="19"/>
      <c r="F202" s="19"/>
      <c r="G202" s="21"/>
      <c r="H202" s="32">
        <f>SUM(H189:H201)</f>
        <v>99933.609999999986</v>
      </c>
    </row>
    <row r="203" spans="1:8" ht="14" x14ac:dyDescent="0.15">
      <c r="A203" s="18" t="s">
        <v>38</v>
      </c>
      <c r="B203" s="799"/>
      <c r="C203" s="799"/>
      <c r="D203" s="19"/>
      <c r="E203" s="19"/>
      <c r="F203" s="19"/>
      <c r="G203" s="21"/>
      <c r="H203" s="32"/>
    </row>
    <row r="204" spans="1:8" ht="14" x14ac:dyDescent="0.15">
      <c r="A204" s="449" t="s">
        <v>124</v>
      </c>
      <c r="B204" s="799" t="s">
        <v>79</v>
      </c>
      <c r="C204" s="799" t="s">
        <v>80</v>
      </c>
      <c r="D204" s="799" t="s">
        <v>125</v>
      </c>
      <c r="E204" s="799">
        <v>4409901</v>
      </c>
      <c r="F204" s="799" t="s">
        <v>102</v>
      </c>
      <c r="G204" s="17">
        <v>211</v>
      </c>
      <c r="H204" s="49">
        <f>16834.1+311.64+0.06</f>
        <v>17145.8</v>
      </c>
    </row>
    <row r="205" spans="1:8" ht="14" x14ac:dyDescent="0.15">
      <c r="A205" s="449" t="s">
        <v>83</v>
      </c>
      <c r="B205" s="799" t="s">
        <v>79</v>
      </c>
      <c r="C205" s="799" t="s">
        <v>80</v>
      </c>
      <c r="D205" s="799" t="s">
        <v>125</v>
      </c>
      <c r="E205" s="799">
        <v>4409901</v>
      </c>
      <c r="F205" s="799" t="s">
        <v>102</v>
      </c>
      <c r="G205" s="17">
        <v>212</v>
      </c>
      <c r="H205" s="49">
        <v>180</v>
      </c>
    </row>
    <row r="206" spans="1:8" ht="14" x14ac:dyDescent="0.15">
      <c r="A206" s="449" t="s">
        <v>84</v>
      </c>
      <c r="B206" s="799" t="s">
        <v>79</v>
      </c>
      <c r="C206" s="799" t="s">
        <v>80</v>
      </c>
      <c r="D206" s="799" t="s">
        <v>125</v>
      </c>
      <c r="E206" s="799">
        <v>4409901</v>
      </c>
      <c r="F206" s="799" t="s">
        <v>102</v>
      </c>
      <c r="G206" s="17">
        <v>213</v>
      </c>
      <c r="H206" s="49">
        <f>5083.9-200</f>
        <v>4883.8999999999996</v>
      </c>
    </row>
    <row r="207" spans="1:8" ht="14" x14ac:dyDescent="0.15">
      <c r="A207" s="449" t="s">
        <v>85</v>
      </c>
      <c r="B207" s="799" t="s">
        <v>79</v>
      </c>
      <c r="C207" s="799" t="s">
        <v>80</v>
      </c>
      <c r="D207" s="799" t="s">
        <v>125</v>
      </c>
      <c r="E207" s="799">
        <v>4409901</v>
      </c>
      <c r="F207" s="799" t="s">
        <v>102</v>
      </c>
      <c r="G207" s="17">
        <v>221</v>
      </c>
      <c r="H207" s="49">
        <v>157</v>
      </c>
    </row>
    <row r="208" spans="1:8" ht="14" x14ac:dyDescent="0.15">
      <c r="A208" s="449" t="s">
        <v>86</v>
      </c>
      <c r="B208" s="799" t="s">
        <v>79</v>
      </c>
      <c r="C208" s="799" t="s">
        <v>80</v>
      </c>
      <c r="D208" s="799" t="s">
        <v>125</v>
      </c>
      <c r="E208" s="799">
        <v>4409901</v>
      </c>
      <c r="F208" s="799" t="s">
        <v>102</v>
      </c>
      <c r="G208" s="17">
        <v>222</v>
      </c>
      <c r="H208" s="49">
        <f>90+800</f>
        <v>890</v>
      </c>
    </row>
    <row r="209" spans="1:8" ht="14" x14ac:dyDescent="0.15">
      <c r="A209" s="449" t="s">
        <v>87</v>
      </c>
      <c r="B209" s="799" t="s">
        <v>79</v>
      </c>
      <c r="C209" s="799" t="s">
        <v>80</v>
      </c>
      <c r="D209" s="799" t="s">
        <v>125</v>
      </c>
      <c r="E209" s="799">
        <v>4409901</v>
      </c>
      <c r="F209" s="799" t="s">
        <v>102</v>
      </c>
      <c r="G209" s="17">
        <v>223</v>
      </c>
      <c r="H209" s="49">
        <f>179-58</f>
        <v>121</v>
      </c>
    </row>
    <row r="210" spans="1:8" ht="14" x14ac:dyDescent="0.15">
      <c r="A210" s="449" t="s">
        <v>111</v>
      </c>
      <c r="B210" s="799" t="s">
        <v>79</v>
      </c>
      <c r="C210" s="799" t="s">
        <v>80</v>
      </c>
      <c r="D210" s="799" t="s">
        <v>125</v>
      </c>
      <c r="E210" s="799">
        <v>4409901</v>
      </c>
      <c r="F210" s="799" t="s">
        <v>102</v>
      </c>
      <c r="G210" s="17">
        <v>224</v>
      </c>
      <c r="H210" s="49"/>
    </row>
    <row r="211" spans="1:8" ht="14" x14ac:dyDescent="0.15">
      <c r="A211" s="449" t="s">
        <v>90</v>
      </c>
      <c r="B211" s="799" t="s">
        <v>79</v>
      </c>
      <c r="C211" s="799" t="s">
        <v>80</v>
      </c>
      <c r="D211" s="799" t="s">
        <v>125</v>
      </c>
      <c r="E211" s="799">
        <v>4409901</v>
      </c>
      <c r="F211" s="799" t="s">
        <v>102</v>
      </c>
      <c r="G211" s="17">
        <v>225</v>
      </c>
      <c r="H211" s="49">
        <v>289</v>
      </c>
    </row>
    <row r="212" spans="1:8" ht="14" x14ac:dyDescent="0.15">
      <c r="A212" s="449" t="s">
        <v>91</v>
      </c>
      <c r="B212" s="799" t="s">
        <v>79</v>
      </c>
      <c r="C212" s="799" t="s">
        <v>80</v>
      </c>
      <c r="D212" s="799" t="s">
        <v>125</v>
      </c>
      <c r="E212" s="799">
        <v>4409901</v>
      </c>
      <c r="F212" s="799" t="s">
        <v>102</v>
      </c>
      <c r="G212" s="17">
        <v>226</v>
      </c>
      <c r="H212" s="49">
        <f>9589.6+1500+1258.73-800.06</f>
        <v>11548.27</v>
      </c>
    </row>
    <row r="213" spans="1:8" ht="14" x14ac:dyDescent="0.15">
      <c r="A213" s="11" t="s">
        <v>94</v>
      </c>
      <c r="B213" s="799" t="s">
        <v>79</v>
      </c>
      <c r="C213" s="799" t="s">
        <v>80</v>
      </c>
      <c r="D213" s="799" t="s">
        <v>125</v>
      </c>
      <c r="E213" s="799">
        <v>4409901</v>
      </c>
      <c r="F213" s="799" t="s">
        <v>102</v>
      </c>
      <c r="G213" s="17">
        <v>290</v>
      </c>
      <c r="H213" s="49">
        <f>19.4</f>
        <v>19.399999999999999</v>
      </c>
    </row>
    <row r="214" spans="1:8" ht="14" x14ac:dyDescent="0.15">
      <c r="A214" s="11" t="s">
        <v>94</v>
      </c>
      <c r="B214" s="799" t="s">
        <v>79</v>
      </c>
      <c r="C214" s="799" t="s">
        <v>80</v>
      </c>
      <c r="D214" s="799" t="s">
        <v>125</v>
      </c>
      <c r="E214" s="799" t="s">
        <v>230</v>
      </c>
      <c r="F214" s="799" t="s">
        <v>102</v>
      </c>
      <c r="G214" s="17" t="s">
        <v>95</v>
      </c>
      <c r="H214" s="49">
        <f>22.5+85.6-53.64</f>
        <v>54.459999999999994</v>
      </c>
    </row>
    <row r="215" spans="1:8" ht="14" x14ac:dyDescent="0.15">
      <c r="A215" s="449" t="s">
        <v>96</v>
      </c>
      <c r="B215" s="799" t="s">
        <v>79</v>
      </c>
      <c r="C215" s="799" t="s">
        <v>80</v>
      </c>
      <c r="D215" s="799" t="s">
        <v>125</v>
      </c>
      <c r="E215" s="799">
        <v>4409901</v>
      </c>
      <c r="F215" s="799" t="s">
        <v>102</v>
      </c>
      <c r="G215" s="17">
        <v>310</v>
      </c>
      <c r="H215" s="49">
        <v>720</v>
      </c>
    </row>
    <row r="216" spans="1:8" ht="14" x14ac:dyDescent="0.15">
      <c r="A216" s="449" t="s">
        <v>97</v>
      </c>
      <c r="B216" s="799" t="s">
        <v>79</v>
      </c>
      <c r="C216" s="799" t="s">
        <v>80</v>
      </c>
      <c r="D216" s="799" t="s">
        <v>125</v>
      </c>
      <c r="E216" s="799">
        <v>4409901</v>
      </c>
      <c r="F216" s="799" t="s">
        <v>102</v>
      </c>
      <c r="G216" s="17">
        <v>340</v>
      </c>
      <c r="H216" s="49">
        <v>730</v>
      </c>
    </row>
    <row r="217" spans="1:8" ht="14" x14ac:dyDescent="0.15">
      <c r="A217" s="48" t="s">
        <v>98</v>
      </c>
      <c r="B217" s="20" t="s">
        <v>79</v>
      </c>
      <c r="C217" s="20" t="s">
        <v>80</v>
      </c>
      <c r="D217" s="20" t="s">
        <v>125</v>
      </c>
      <c r="E217" s="20" t="s">
        <v>231</v>
      </c>
      <c r="F217" s="20" t="s">
        <v>102</v>
      </c>
      <c r="G217" s="67"/>
      <c r="H217" s="50">
        <f>SUM(H204:H216)</f>
        <v>36738.83</v>
      </c>
    </row>
    <row r="218" spans="1:8" ht="14" x14ac:dyDescent="0.15">
      <c r="A218" s="48" t="s">
        <v>126</v>
      </c>
      <c r="B218" s="20"/>
      <c r="C218" s="20"/>
      <c r="D218" s="20"/>
      <c r="E218" s="20"/>
      <c r="F218" s="20"/>
      <c r="G218" s="67"/>
      <c r="H218" s="50"/>
    </row>
    <row r="219" spans="1:8" ht="14" x14ac:dyDescent="0.15">
      <c r="A219" s="449" t="s">
        <v>124</v>
      </c>
      <c r="B219" s="799" t="s">
        <v>79</v>
      </c>
      <c r="C219" s="799" t="s">
        <v>80</v>
      </c>
      <c r="D219" s="799" t="s">
        <v>125</v>
      </c>
      <c r="E219" s="73">
        <v>4409900</v>
      </c>
      <c r="F219" s="800" t="s">
        <v>102</v>
      </c>
      <c r="G219" s="17">
        <v>211</v>
      </c>
      <c r="H219" s="49">
        <f>8569.8</f>
        <v>8569.7999999999993</v>
      </c>
    </row>
    <row r="220" spans="1:8" ht="14" x14ac:dyDescent="0.15">
      <c r="A220" s="449" t="s">
        <v>83</v>
      </c>
      <c r="B220" s="799" t="s">
        <v>79</v>
      </c>
      <c r="C220" s="799" t="s">
        <v>80</v>
      </c>
      <c r="D220" s="799" t="s">
        <v>125</v>
      </c>
      <c r="E220" s="73">
        <v>4409900</v>
      </c>
      <c r="F220" s="800" t="s">
        <v>102</v>
      </c>
      <c r="G220" s="17">
        <v>212</v>
      </c>
      <c r="H220" s="49"/>
    </row>
    <row r="221" spans="1:8" ht="14" x14ac:dyDescent="0.15">
      <c r="A221" s="449" t="s">
        <v>84</v>
      </c>
      <c r="B221" s="799" t="s">
        <v>79</v>
      </c>
      <c r="C221" s="799" t="s">
        <v>80</v>
      </c>
      <c r="D221" s="799" t="s">
        <v>125</v>
      </c>
      <c r="E221" s="73">
        <v>4409900</v>
      </c>
      <c r="F221" s="800" t="s">
        <v>102</v>
      </c>
      <c r="G221" s="17">
        <v>213</v>
      </c>
      <c r="H221" s="49">
        <f>2588.1</f>
        <v>2588.1</v>
      </c>
    </row>
    <row r="222" spans="1:8" ht="14" x14ac:dyDescent="0.15">
      <c r="A222" s="449" t="s">
        <v>85</v>
      </c>
      <c r="B222" s="799" t="s">
        <v>79</v>
      </c>
      <c r="C222" s="799" t="s">
        <v>80</v>
      </c>
      <c r="D222" s="799" t="s">
        <v>125</v>
      </c>
      <c r="E222" s="73">
        <v>4409900</v>
      </c>
      <c r="F222" s="800" t="s">
        <v>102</v>
      </c>
      <c r="G222" s="17">
        <v>221</v>
      </c>
      <c r="H222" s="49">
        <v>16</v>
      </c>
    </row>
    <row r="223" spans="1:8" ht="14" x14ac:dyDescent="0.15">
      <c r="A223" s="449" t="s">
        <v>86</v>
      </c>
      <c r="B223" s="799" t="s">
        <v>79</v>
      </c>
      <c r="C223" s="799" t="s">
        <v>80</v>
      </c>
      <c r="D223" s="799" t="s">
        <v>125</v>
      </c>
      <c r="E223" s="73">
        <v>4409900</v>
      </c>
      <c r="F223" s="800" t="s">
        <v>102</v>
      </c>
      <c r="G223" s="17">
        <v>222</v>
      </c>
      <c r="H223" s="49"/>
    </row>
    <row r="224" spans="1:8" ht="14" x14ac:dyDescent="0.15">
      <c r="A224" s="449" t="s">
        <v>87</v>
      </c>
      <c r="B224" s="799" t="s">
        <v>79</v>
      </c>
      <c r="C224" s="799" t="s">
        <v>80</v>
      </c>
      <c r="D224" s="799" t="s">
        <v>125</v>
      </c>
      <c r="E224" s="73">
        <v>4409900</v>
      </c>
      <c r="F224" s="800" t="s">
        <v>102</v>
      </c>
      <c r="G224" s="17">
        <v>223</v>
      </c>
      <c r="H224" s="49">
        <v>237</v>
      </c>
    </row>
    <row r="225" spans="1:8" ht="14" x14ac:dyDescent="0.15">
      <c r="A225" s="449" t="s">
        <v>111</v>
      </c>
      <c r="B225" s="799" t="s">
        <v>79</v>
      </c>
      <c r="C225" s="799" t="s">
        <v>80</v>
      </c>
      <c r="D225" s="799" t="s">
        <v>125</v>
      </c>
      <c r="E225" s="73">
        <v>4409900</v>
      </c>
      <c r="F225" s="800" t="s">
        <v>102</v>
      </c>
      <c r="G225" s="17">
        <v>224</v>
      </c>
      <c r="H225" s="49"/>
    </row>
    <row r="226" spans="1:8" ht="14" x14ac:dyDescent="0.15">
      <c r="A226" s="449" t="s">
        <v>90</v>
      </c>
      <c r="B226" s="799" t="s">
        <v>79</v>
      </c>
      <c r="C226" s="799" t="s">
        <v>80</v>
      </c>
      <c r="D226" s="799" t="s">
        <v>125</v>
      </c>
      <c r="E226" s="73">
        <v>4409900</v>
      </c>
      <c r="F226" s="800" t="s">
        <v>102</v>
      </c>
      <c r="G226" s="17">
        <v>225</v>
      </c>
      <c r="H226" s="49">
        <v>22304.9</v>
      </c>
    </row>
    <row r="227" spans="1:8" ht="14" x14ac:dyDescent="0.15">
      <c r="A227" s="449" t="s">
        <v>91</v>
      </c>
      <c r="B227" s="799" t="s">
        <v>79</v>
      </c>
      <c r="C227" s="799" t="s">
        <v>80</v>
      </c>
      <c r="D227" s="799" t="s">
        <v>125</v>
      </c>
      <c r="E227" s="73">
        <v>4409900</v>
      </c>
      <c r="F227" s="800" t="s">
        <v>102</v>
      </c>
      <c r="G227" s="17">
        <v>226</v>
      </c>
      <c r="H227" s="49">
        <f>405+100</f>
        <v>505</v>
      </c>
    </row>
    <row r="228" spans="1:8" ht="14" x14ac:dyDescent="0.15">
      <c r="A228" s="11" t="s">
        <v>94</v>
      </c>
      <c r="B228" s="799" t="s">
        <v>79</v>
      </c>
      <c r="C228" s="799" t="s">
        <v>80</v>
      </c>
      <c r="D228" s="799" t="s">
        <v>125</v>
      </c>
      <c r="E228" s="73">
        <v>4409900</v>
      </c>
      <c r="F228" s="800" t="s">
        <v>102</v>
      </c>
      <c r="G228" s="17">
        <v>290</v>
      </c>
      <c r="H228" s="49">
        <v>14.8</v>
      </c>
    </row>
    <row r="229" spans="1:8" ht="14" x14ac:dyDescent="0.15">
      <c r="A229" s="11" t="s">
        <v>94</v>
      </c>
      <c r="B229" s="799" t="s">
        <v>79</v>
      </c>
      <c r="C229" s="799" t="s">
        <v>80</v>
      </c>
      <c r="D229" s="799" t="s">
        <v>125</v>
      </c>
      <c r="E229" s="73">
        <v>4409500</v>
      </c>
      <c r="F229" s="800" t="s">
        <v>102</v>
      </c>
      <c r="G229" s="17" t="s">
        <v>95</v>
      </c>
      <c r="H229" s="49">
        <f>227+171.6-100</f>
        <v>298.60000000000002</v>
      </c>
    </row>
    <row r="230" spans="1:8" ht="14" x14ac:dyDescent="0.15">
      <c r="A230" s="449" t="s">
        <v>96</v>
      </c>
      <c r="B230" s="799" t="s">
        <v>79</v>
      </c>
      <c r="C230" s="799" t="s">
        <v>80</v>
      </c>
      <c r="D230" s="799" t="s">
        <v>125</v>
      </c>
      <c r="E230" s="73">
        <v>4409900</v>
      </c>
      <c r="F230" s="800" t="s">
        <v>102</v>
      </c>
      <c r="G230" s="17">
        <v>310</v>
      </c>
      <c r="H230" s="49"/>
    </row>
    <row r="231" spans="1:8" ht="14" x14ac:dyDescent="0.15">
      <c r="A231" s="449" t="s">
        <v>97</v>
      </c>
      <c r="B231" s="799" t="s">
        <v>79</v>
      </c>
      <c r="C231" s="799" t="s">
        <v>80</v>
      </c>
      <c r="D231" s="799" t="s">
        <v>125</v>
      </c>
      <c r="E231" s="73">
        <v>4409900</v>
      </c>
      <c r="F231" s="800" t="s">
        <v>102</v>
      </c>
      <c r="G231" s="17">
        <v>340</v>
      </c>
      <c r="H231" s="49"/>
    </row>
    <row r="232" spans="1:8" ht="14" x14ac:dyDescent="0.15">
      <c r="A232" s="48" t="s">
        <v>98</v>
      </c>
      <c r="B232" s="20" t="s">
        <v>79</v>
      </c>
      <c r="C232" s="20" t="s">
        <v>80</v>
      </c>
      <c r="D232" s="20" t="s">
        <v>125</v>
      </c>
      <c r="E232" s="75">
        <v>4400000</v>
      </c>
      <c r="F232" s="76" t="s">
        <v>102</v>
      </c>
      <c r="G232" s="67"/>
      <c r="H232" s="50">
        <f>SUM(H219:H231)</f>
        <v>34534.200000000004</v>
      </c>
    </row>
    <row r="233" spans="1:8" ht="14" x14ac:dyDescent="0.15">
      <c r="A233" s="48" t="s">
        <v>127</v>
      </c>
      <c r="B233" s="20"/>
      <c r="C233" s="20"/>
      <c r="D233" s="20"/>
      <c r="E233" s="447"/>
      <c r="F233" s="20"/>
      <c r="G233" s="67"/>
      <c r="H233" s="50"/>
    </row>
    <row r="234" spans="1:8" ht="14" x14ac:dyDescent="0.15">
      <c r="A234" s="449" t="s">
        <v>124</v>
      </c>
      <c r="B234" s="799" t="s">
        <v>79</v>
      </c>
      <c r="C234" s="799" t="s">
        <v>80</v>
      </c>
      <c r="D234" s="799" t="s">
        <v>125</v>
      </c>
      <c r="E234" s="799" t="s">
        <v>231</v>
      </c>
      <c r="F234" s="799" t="s">
        <v>102</v>
      </c>
      <c r="G234" s="17">
        <v>211</v>
      </c>
      <c r="H234" s="49">
        <f t="shared" ref="H234:H243" si="2">H219+H204</f>
        <v>25715.599999999999</v>
      </c>
    </row>
    <row r="235" spans="1:8" ht="14" x14ac:dyDescent="0.15">
      <c r="A235" s="449" t="s">
        <v>83</v>
      </c>
      <c r="B235" s="799" t="s">
        <v>79</v>
      </c>
      <c r="C235" s="799" t="s">
        <v>80</v>
      </c>
      <c r="D235" s="799" t="s">
        <v>125</v>
      </c>
      <c r="E235" s="799" t="s">
        <v>231</v>
      </c>
      <c r="F235" s="799" t="s">
        <v>102</v>
      </c>
      <c r="G235" s="17">
        <v>212</v>
      </c>
      <c r="H235" s="49">
        <f t="shared" si="2"/>
        <v>180</v>
      </c>
    </row>
    <row r="236" spans="1:8" ht="14" x14ac:dyDescent="0.15">
      <c r="A236" s="449" t="s">
        <v>84</v>
      </c>
      <c r="B236" s="799" t="s">
        <v>79</v>
      </c>
      <c r="C236" s="799" t="s">
        <v>80</v>
      </c>
      <c r="D236" s="799" t="s">
        <v>125</v>
      </c>
      <c r="E236" s="799" t="s">
        <v>231</v>
      </c>
      <c r="F236" s="799" t="s">
        <v>102</v>
      </c>
      <c r="G236" s="17">
        <v>213</v>
      </c>
      <c r="H236" s="49">
        <f t="shared" si="2"/>
        <v>7472</v>
      </c>
    </row>
    <row r="237" spans="1:8" ht="14" x14ac:dyDescent="0.15">
      <c r="A237" s="449" t="s">
        <v>85</v>
      </c>
      <c r="B237" s="799" t="s">
        <v>79</v>
      </c>
      <c r="C237" s="799" t="s">
        <v>80</v>
      </c>
      <c r="D237" s="799" t="s">
        <v>125</v>
      </c>
      <c r="E237" s="799" t="s">
        <v>231</v>
      </c>
      <c r="F237" s="799" t="s">
        <v>102</v>
      </c>
      <c r="G237" s="17">
        <v>221</v>
      </c>
      <c r="H237" s="49">
        <f t="shared" si="2"/>
        <v>173</v>
      </c>
    </row>
    <row r="238" spans="1:8" ht="14" x14ac:dyDescent="0.15">
      <c r="A238" s="449" t="s">
        <v>86</v>
      </c>
      <c r="B238" s="799" t="s">
        <v>79</v>
      </c>
      <c r="C238" s="799" t="s">
        <v>80</v>
      </c>
      <c r="D238" s="799" t="s">
        <v>125</v>
      </c>
      <c r="E238" s="799" t="s">
        <v>231</v>
      </c>
      <c r="F238" s="799" t="s">
        <v>102</v>
      </c>
      <c r="G238" s="17">
        <v>222</v>
      </c>
      <c r="H238" s="49">
        <f t="shared" si="2"/>
        <v>890</v>
      </c>
    </row>
    <row r="239" spans="1:8" ht="14" x14ac:dyDescent="0.15">
      <c r="A239" s="449" t="s">
        <v>87</v>
      </c>
      <c r="B239" s="799" t="s">
        <v>79</v>
      </c>
      <c r="C239" s="799" t="s">
        <v>80</v>
      </c>
      <c r="D239" s="799" t="s">
        <v>125</v>
      </c>
      <c r="E239" s="799" t="s">
        <v>231</v>
      </c>
      <c r="F239" s="799" t="s">
        <v>102</v>
      </c>
      <c r="G239" s="17">
        <v>223</v>
      </c>
      <c r="H239" s="49">
        <f t="shared" si="2"/>
        <v>358</v>
      </c>
    </row>
    <row r="240" spans="1:8" ht="14" x14ac:dyDescent="0.15">
      <c r="A240" s="449" t="s">
        <v>111</v>
      </c>
      <c r="B240" s="799" t="s">
        <v>79</v>
      </c>
      <c r="C240" s="799" t="s">
        <v>80</v>
      </c>
      <c r="D240" s="799" t="s">
        <v>125</v>
      </c>
      <c r="E240" s="799" t="s">
        <v>231</v>
      </c>
      <c r="F240" s="799" t="s">
        <v>102</v>
      </c>
      <c r="G240" s="17">
        <v>224</v>
      </c>
      <c r="H240" s="49">
        <f t="shared" si="2"/>
        <v>0</v>
      </c>
    </row>
    <row r="241" spans="1:8" ht="14" x14ac:dyDescent="0.15">
      <c r="A241" s="449" t="s">
        <v>90</v>
      </c>
      <c r="B241" s="799" t="s">
        <v>79</v>
      </c>
      <c r="C241" s="799" t="s">
        <v>80</v>
      </c>
      <c r="D241" s="799" t="s">
        <v>125</v>
      </c>
      <c r="E241" s="799" t="s">
        <v>231</v>
      </c>
      <c r="F241" s="799" t="s">
        <v>102</v>
      </c>
      <c r="G241" s="17">
        <v>225</v>
      </c>
      <c r="H241" s="49">
        <f t="shared" si="2"/>
        <v>22593.9</v>
      </c>
    </row>
    <row r="242" spans="1:8" ht="14" x14ac:dyDescent="0.15">
      <c r="A242" s="449" t="s">
        <v>91</v>
      </c>
      <c r="B242" s="799" t="s">
        <v>79</v>
      </c>
      <c r="C242" s="799" t="s">
        <v>80</v>
      </c>
      <c r="D242" s="799" t="s">
        <v>125</v>
      </c>
      <c r="E242" s="799" t="s">
        <v>231</v>
      </c>
      <c r="F242" s="799" t="s">
        <v>102</v>
      </c>
      <c r="G242" s="17">
        <v>226</v>
      </c>
      <c r="H242" s="49">
        <f t="shared" si="2"/>
        <v>12053.27</v>
      </c>
    </row>
    <row r="243" spans="1:8" ht="14" x14ac:dyDescent="0.15">
      <c r="A243" s="11" t="s">
        <v>94</v>
      </c>
      <c r="B243" s="799" t="s">
        <v>79</v>
      </c>
      <c r="C243" s="799" t="s">
        <v>80</v>
      </c>
      <c r="D243" s="799" t="s">
        <v>125</v>
      </c>
      <c r="E243" s="799" t="s">
        <v>231</v>
      </c>
      <c r="F243" s="799" t="s">
        <v>102</v>
      </c>
      <c r="G243" s="17">
        <v>290</v>
      </c>
      <c r="H243" s="49">
        <f t="shared" si="2"/>
        <v>34.200000000000003</v>
      </c>
    </row>
    <row r="244" spans="1:8" ht="14" x14ac:dyDescent="0.15">
      <c r="A244" s="11" t="s">
        <v>94</v>
      </c>
      <c r="B244" s="799" t="s">
        <v>79</v>
      </c>
      <c r="C244" s="799" t="s">
        <v>80</v>
      </c>
      <c r="D244" s="799" t="s">
        <v>125</v>
      </c>
      <c r="E244" s="799" t="s">
        <v>230</v>
      </c>
      <c r="F244" s="799" t="s">
        <v>102</v>
      </c>
      <c r="G244" s="17" t="s">
        <v>95</v>
      </c>
      <c r="H244" s="49">
        <f>H214+H229</f>
        <v>353.06</v>
      </c>
    </row>
    <row r="245" spans="1:8" ht="14" x14ac:dyDescent="0.15">
      <c r="A245" s="449" t="s">
        <v>96</v>
      </c>
      <c r="B245" s="799" t="s">
        <v>79</v>
      </c>
      <c r="C245" s="799" t="s">
        <v>80</v>
      </c>
      <c r="D245" s="799" t="s">
        <v>125</v>
      </c>
      <c r="E245" s="799" t="s">
        <v>231</v>
      </c>
      <c r="F245" s="799" t="s">
        <v>102</v>
      </c>
      <c r="G245" s="17">
        <v>310</v>
      </c>
      <c r="H245" s="49">
        <f>H230+H215</f>
        <v>720</v>
      </c>
    </row>
    <row r="246" spans="1:8" ht="14" x14ac:dyDescent="0.15">
      <c r="A246" s="449" t="s">
        <v>97</v>
      </c>
      <c r="B246" s="799" t="s">
        <v>79</v>
      </c>
      <c r="C246" s="799" t="s">
        <v>80</v>
      </c>
      <c r="D246" s="799" t="s">
        <v>125</v>
      </c>
      <c r="E246" s="799" t="s">
        <v>231</v>
      </c>
      <c r="F246" s="799" t="s">
        <v>102</v>
      </c>
      <c r="G246" s="17">
        <v>340</v>
      </c>
      <c r="H246" s="49">
        <f>H231+H216</f>
        <v>730</v>
      </c>
    </row>
    <row r="247" spans="1:8" ht="14" x14ac:dyDescent="0.15">
      <c r="A247" s="48" t="s">
        <v>98</v>
      </c>
      <c r="B247" s="20" t="s">
        <v>79</v>
      </c>
      <c r="C247" s="20" t="s">
        <v>80</v>
      </c>
      <c r="D247" s="20" t="s">
        <v>125</v>
      </c>
      <c r="E247" s="20" t="s">
        <v>231</v>
      </c>
      <c r="F247" s="20" t="s">
        <v>102</v>
      </c>
      <c r="G247" s="67"/>
      <c r="H247" s="798">
        <f>SUM(H234:H246)</f>
        <v>71273.03</v>
      </c>
    </row>
    <row r="248" spans="1:8" ht="14" x14ac:dyDescent="0.15">
      <c r="A248" s="18" t="s">
        <v>128</v>
      </c>
      <c r="B248" s="799"/>
      <c r="C248" s="799"/>
      <c r="D248" s="799"/>
      <c r="E248" s="19"/>
      <c r="F248" s="19"/>
      <c r="G248" s="21"/>
      <c r="H248" s="50"/>
    </row>
    <row r="249" spans="1:8" ht="14" x14ac:dyDescent="0.15">
      <c r="A249" s="449" t="s">
        <v>124</v>
      </c>
      <c r="B249" s="799" t="s">
        <v>79</v>
      </c>
      <c r="C249" s="799" t="s">
        <v>80</v>
      </c>
      <c r="D249" s="799" t="s">
        <v>125</v>
      </c>
      <c r="E249" s="799">
        <v>4419901</v>
      </c>
      <c r="F249" s="799" t="s">
        <v>102</v>
      </c>
      <c r="G249" s="17">
        <v>211</v>
      </c>
      <c r="H249" s="49">
        <f>31935.1</f>
        <v>31935.1</v>
      </c>
    </row>
    <row r="250" spans="1:8" ht="14" x14ac:dyDescent="0.15">
      <c r="A250" s="449" t="s">
        <v>83</v>
      </c>
      <c r="B250" s="799" t="s">
        <v>79</v>
      </c>
      <c r="C250" s="799" t="s">
        <v>80</v>
      </c>
      <c r="D250" s="799" t="s">
        <v>125</v>
      </c>
      <c r="E250" s="799">
        <v>4419901</v>
      </c>
      <c r="F250" s="799" t="s">
        <v>102</v>
      </c>
      <c r="G250" s="17">
        <v>212</v>
      </c>
      <c r="H250" s="49">
        <v>5</v>
      </c>
    </row>
    <row r="251" spans="1:8" ht="14" x14ac:dyDescent="0.15">
      <c r="A251" s="449" t="s">
        <v>84</v>
      </c>
      <c r="B251" s="799" t="s">
        <v>79</v>
      </c>
      <c r="C251" s="799" t="s">
        <v>80</v>
      </c>
      <c r="D251" s="799" t="s">
        <v>125</v>
      </c>
      <c r="E251" s="799">
        <v>4419901</v>
      </c>
      <c r="F251" s="799" t="s">
        <v>102</v>
      </c>
      <c r="G251" s="17">
        <v>213</v>
      </c>
      <c r="H251" s="49">
        <f>9644.5</f>
        <v>9644.5</v>
      </c>
    </row>
    <row r="252" spans="1:8" ht="14" x14ac:dyDescent="0.15">
      <c r="A252" s="449" t="s">
        <v>85</v>
      </c>
      <c r="B252" s="799" t="s">
        <v>79</v>
      </c>
      <c r="C252" s="799" t="s">
        <v>80</v>
      </c>
      <c r="D252" s="799" t="s">
        <v>125</v>
      </c>
      <c r="E252" s="799">
        <v>4419901</v>
      </c>
      <c r="F252" s="799" t="s">
        <v>102</v>
      </c>
      <c r="G252" s="17">
        <v>221</v>
      </c>
      <c r="H252" s="49">
        <v>50</v>
      </c>
    </row>
    <row r="253" spans="1:8" ht="14" x14ac:dyDescent="0.15">
      <c r="A253" s="449" t="s">
        <v>86</v>
      </c>
      <c r="B253" s="799" t="s">
        <v>79</v>
      </c>
      <c r="C253" s="799" t="s">
        <v>80</v>
      </c>
      <c r="D253" s="799" t="s">
        <v>125</v>
      </c>
      <c r="E253" s="799">
        <v>4419901</v>
      </c>
      <c r="F253" s="799" t="s">
        <v>102</v>
      </c>
      <c r="G253" s="17">
        <v>222</v>
      </c>
      <c r="H253" s="49">
        <v>10</v>
      </c>
    </row>
    <row r="254" spans="1:8" ht="14" x14ac:dyDescent="0.15">
      <c r="A254" s="449" t="s">
        <v>87</v>
      </c>
      <c r="B254" s="799" t="s">
        <v>79</v>
      </c>
      <c r="C254" s="799" t="s">
        <v>80</v>
      </c>
      <c r="D254" s="799" t="s">
        <v>125</v>
      </c>
      <c r="E254" s="799">
        <v>4419901</v>
      </c>
      <c r="F254" s="799" t="s">
        <v>102</v>
      </c>
      <c r="G254" s="17">
        <v>223</v>
      </c>
      <c r="H254" s="49">
        <f>1285-150</f>
        <v>1135</v>
      </c>
    </row>
    <row r="255" spans="1:8" ht="14" x14ac:dyDescent="0.15">
      <c r="A255" s="449" t="s">
        <v>111</v>
      </c>
      <c r="B255" s="799" t="s">
        <v>79</v>
      </c>
      <c r="C255" s="799" t="s">
        <v>80</v>
      </c>
      <c r="D255" s="799" t="s">
        <v>125</v>
      </c>
      <c r="E255" s="799">
        <v>4419901</v>
      </c>
      <c r="F255" s="799" t="s">
        <v>102</v>
      </c>
      <c r="G255" s="17">
        <v>224</v>
      </c>
      <c r="H255" s="49"/>
    </row>
    <row r="256" spans="1:8" ht="14" x14ac:dyDescent="0.15">
      <c r="A256" s="449" t="s">
        <v>90</v>
      </c>
      <c r="B256" s="799" t="s">
        <v>79</v>
      </c>
      <c r="C256" s="799" t="s">
        <v>80</v>
      </c>
      <c r="D256" s="799" t="s">
        <v>125</v>
      </c>
      <c r="E256" s="799">
        <v>4419901</v>
      </c>
      <c r="F256" s="799" t="s">
        <v>102</v>
      </c>
      <c r="G256" s="17">
        <v>225</v>
      </c>
      <c r="H256" s="49">
        <v>1515</v>
      </c>
    </row>
    <row r="257" spans="1:8" ht="14" x14ac:dyDescent="0.15">
      <c r="A257" s="449" t="s">
        <v>91</v>
      </c>
      <c r="B257" s="799" t="s">
        <v>79</v>
      </c>
      <c r="C257" s="799" t="s">
        <v>80</v>
      </c>
      <c r="D257" s="799" t="s">
        <v>125</v>
      </c>
      <c r="E257" s="799">
        <v>4419901</v>
      </c>
      <c r="F257" s="799" t="s">
        <v>102</v>
      </c>
      <c r="G257" s="17">
        <v>226</v>
      </c>
      <c r="H257" s="49">
        <f>1187+350+350</f>
        <v>1887</v>
      </c>
    </row>
    <row r="258" spans="1:8" ht="14" x14ac:dyDescent="0.15">
      <c r="A258" s="11" t="s">
        <v>94</v>
      </c>
      <c r="B258" s="799" t="s">
        <v>79</v>
      </c>
      <c r="C258" s="799" t="s">
        <v>80</v>
      </c>
      <c r="D258" s="799" t="s">
        <v>125</v>
      </c>
      <c r="E258" s="799">
        <v>4419901</v>
      </c>
      <c r="F258" s="799" t="s">
        <v>102</v>
      </c>
      <c r="G258" s="17">
        <v>290</v>
      </c>
      <c r="H258" s="49">
        <f>67.2+50</f>
        <v>117.2</v>
      </c>
    </row>
    <row r="259" spans="1:8" ht="14" x14ac:dyDescent="0.15">
      <c r="A259" s="11" t="s">
        <v>94</v>
      </c>
      <c r="B259" s="799" t="s">
        <v>79</v>
      </c>
      <c r="C259" s="799" t="s">
        <v>80</v>
      </c>
      <c r="D259" s="799" t="s">
        <v>125</v>
      </c>
      <c r="E259" s="799" t="s">
        <v>232</v>
      </c>
      <c r="F259" s="799" t="s">
        <v>102</v>
      </c>
      <c r="G259" s="17" t="s">
        <v>95</v>
      </c>
      <c r="H259" s="49">
        <f>152.3+906.6-394</f>
        <v>664.90000000000009</v>
      </c>
    </row>
    <row r="260" spans="1:8" ht="14" x14ac:dyDescent="0.15">
      <c r="A260" s="449" t="s">
        <v>96</v>
      </c>
      <c r="B260" s="799" t="s">
        <v>79</v>
      </c>
      <c r="C260" s="799" t="s">
        <v>80</v>
      </c>
      <c r="D260" s="799" t="s">
        <v>125</v>
      </c>
      <c r="E260" s="799">
        <v>4419901</v>
      </c>
      <c r="F260" s="799" t="s">
        <v>102</v>
      </c>
      <c r="G260" s="17">
        <v>310</v>
      </c>
      <c r="H260" s="49">
        <v>250</v>
      </c>
    </row>
    <row r="261" spans="1:8" ht="14" x14ac:dyDescent="0.15">
      <c r="A261" s="449" t="s">
        <v>97</v>
      </c>
      <c r="B261" s="799" t="s">
        <v>79</v>
      </c>
      <c r="C261" s="799" t="s">
        <v>80</v>
      </c>
      <c r="D261" s="799" t="s">
        <v>125</v>
      </c>
      <c r="E261" s="799">
        <v>4419901</v>
      </c>
      <c r="F261" s="799" t="s">
        <v>102</v>
      </c>
      <c r="G261" s="17">
        <v>340</v>
      </c>
      <c r="H261" s="49">
        <v>230</v>
      </c>
    </row>
    <row r="262" spans="1:8" ht="14" x14ac:dyDescent="0.15">
      <c r="A262" s="48" t="s">
        <v>98</v>
      </c>
      <c r="B262" s="20" t="s">
        <v>79</v>
      </c>
      <c r="C262" s="20" t="s">
        <v>80</v>
      </c>
      <c r="D262" s="20" t="s">
        <v>125</v>
      </c>
      <c r="E262" s="20" t="s">
        <v>233</v>
      </c>
      <c r="F262" s="20" t="s">
        <v>102</v>
      </c>
      <c r="G262" s="67"/>
      <c r="H262" s="50">
        <f>SUM(H249:H261)</f>
        <v>47443.7</v>
      </c>
    </row>
    <row r="263" spans="1:8" ht="14" x14ac:dyDescent="0.15">
      <c r="A263" s="18" t="s">
        <v>129</v>
      </c>
      <c r="B263" s="799"/>
      <c r="C263" s="799"/>
      <c r="D263" s="799"/>
      <c r="E263" s="799"/>
      <c r="F263" s="799"/>
      <c r="G263" s="21"/>
      <c r="H263" s="50"/>
    </row>
    <row r="264" spans="1:8" ht="14" x14ac:dyDescent="0.15">
      <c r="A264" s="449" t="s">
        <v>124</v>
      </c>
      <c r="B264" s="799" t="s">
        <v>79</v>
      </c>
      <c r="C264" s="799" t="s">
        <v>80</v>
      </c>
      <c r="D264" s="799" t="s">
        <v>125</v>
      </c>
      <c r="E264" s="799">
        <v>4419901</v>
      </c>
      <c r="F264" s="799" t="s">
        <v>102</v>
      </c>
      <c r="G264" s="17">
        <v>211</v>
      </c>
      <c r="H264" s="49">
        <v>7072.9</v>
      </c>
    </row>
    <row r="265" spans="1:8" ht="14" x14ac:dyDescent="0.15">
      <c r="A265" s="449" t="s">
        <v>83</v>
      </c>
      <c r="B265" s="799" t="s">
        <v>79</v>
      </c>
      <c r="C265" s="799" t="s">
        <v>80</v>
      </c>
      <c r="D265" s="799" t="s">
        <v>125</v>
      </c>
      <c r="E265" s="799">
        <v>4419901</v>
      </c>
      <c r="F265" s="799" t="s">
        <v>102</v>
      </c>
      <c r="G265" s="17">
        <v>212</v>
      </c>
      <c r="H265" s="49">
        <f>4.1+1.8</f>
        <v>5.8999999999999995</v>
      </c>
    </row>
    <row r="266" spans="1:8" ht="14" x14ac:dyDescent="0.15">
      <c r="A266" s="449" t="s">
        <v>84</v>
      </c>
      <c r="B266" s="799" t="s">
        <v>79</v>
      </c>
      <c r="C266" s="799" t="s">
        <v>80</v>
      </c>
      <c r="D266" s="799" t="s">
        <v>125</v>
      </c>
      <c r="E266" s="799">
        <v>4419901</v>
      </c>
      <c r="F266" s="799" t="s">
        <v>102</v>
      </c>
      <c r="G266" s="17">
        <v>213</v>
      </c>
      <c r="H266" s="49">
        <v>2136</v>
      </c>
    </row>
    <row r="267" spans="1:8" ht="14" x14ac:dyDescent="0.15">
      <c r="A267" s="449" t="s">
        <v>85</v>
      </c>
      <c r="B267" s="799" t="s">
        <v>79</v>
      </c>
      <c r="C267" s="799" t="s">
        <v>80</v>
      </c>
      <c r="D267" s="799" t="s">
        <v>125</v>
      </c>
      <c r="E267" s="799">
        <v>4419901</v>
      </c>
      <c r="F267" s="799" t="s">
        <v>102</v>
      </c>
      <c r="G267" s="17">
        <v>221</v>
      </c>
      <c r="H267" s="49">
        <v>16</v>
      </c>
    </row>
    <row r="268" spans="1:8" ht="14" x14ac:dyDescent="0.15">
      <c r="A268" s="449" t="s">
        <v>86</v>
      </c>
      <c r="B268" s="799" t="s">
        <v>79</v>
      </c>
      <c r="C268" s="799" t="s">
        <v>80</v>
      </c>
      <c r="D268" s="799" t="s">
        <v>125</v>
      </c>
      <c r="E268" s="799">
        <v>4419901</v>
      </c>
      <c r="F268" s="799" t="s">
        <v>102</v>
      </c>
      <c r="G268" s="17">
        <v>222</v>
      </c>
      <c r="H268" s="49">
        <f>40+136.25+8.54</f>
        <v>184.79</v>
      </c>
    </row>
    <row r="269" spans="1:8" ht="14" x14ac:dyDescent="0.15">
      <c r="A269" s="449" t="s">
        <v>87</v>
      </c>
      <c r="B269" s="799" t="s">
        <v>79</v>
      </c>
      <c r="C269" s="799" t="s">
        <v>80</v>
      </c>
      <c r="D269" s="799" t="s">
        <v>125</v>
      </c>
      <c r="E269" s="799">
        <v>4419901</v>
      </c>
      <c r="F269" s="799" t="s">
        <v>102</v>
      </c>
      <c r="G269" s="17">
        <v>223</v>
      </c>
      <c r="H269" s="49">
        <f>367+39</f>
        <v>406</v>
      </c>
    </row>
    <row r="270" spans="1:8" ht="14" x14ac:dyDescent="0.15">
      <c r="A270" s="449" t="s">
        <v>111</v>
      </c>
      <c r="B270" s="799" t="s">
        <v>79</v>
      </c>
      <c r="C270" s="799" t="s">
        <v>80</v>
      </c>
      <c r="D270" s="799" t="s">
        <v>125</v>
      </c>
      <c r="E270" s="799">
        <v>4419901</v>
      </c>
      <c r="F270" s="799" t="s">
        <v>102</v>
      </c>
      <c r="G270" s="17">
        <v>224</v>
      </c>
      <c r="H270" s="49"/>
    </row>
    <row r="271" spans="1:8" ht="14" x14ac:dyDescent="0.15">
      <c r="A271" s="449" t="s">
        <v>90</v>
      </c>
      <c r="B271" s="799" t="s">
        <v>79</v>
      </c>
      <c r="C271" s="799" t="s">
        <v>80</v>
      </c>
      <c r="D271" s="799" t="s">
        <v>125</v>
      </c>
      <c r="E271" s="799">
        <v>4419901</v>
      </c>
      <c r="F271" s="799" t="s">
        <v>102</v>
      </c>
      <c r="G271" s="17">
        <v>225</v>
      </c>
      <c r="H271" s="49">
        <v>855</v>
      </c>
    </row>
    <row r="272" spans="1:8" ht="14" x14ac:dyDescent="0.15">
      <c r="A272" s="449" t="s">
        <v>91</v>
      </c>
      <c r="B272" s="799" t="s">
        <v>79</v>
      </c>
      <c r="C272" s="799" t="s">
        <v>80</v>
      </c>
      <c r="D272" s="799" t="s">
        <v>125</v>
      </c>
      <c r="E272" s="799">
        <v>4419901</v>
      </c>
      <c r="F272" s="799" t="s">
        <v>102</v>
      </c>
      <c r="G272" s="17">
        <v>226</v>
      </c>
      <c r="H272" s="49">
        <f>965+339.22-31.315+3750-10.34-10.27</f>
        <v>5002.2949999999992</v>
      </c>
    </row>
    <row r="273" spans="1:8" ht="14" x14ac:dyDescent="0.15">
      <c r="A273" s="11" t="s">
        <v>94</v>
      </c>
      <c r="B273" s="799" t="s">
        <v>79</v>
      </c>
      <c r="C273" s="799" t="s">
        <v>80</v>
      </c>
      <c r="D273" s="799" t="s">
        <v>125</v>
      </c>
      <c r="E273" s="799">
        <v>4419901</v>
      </c>
      <c r="F273" s="799" t="s">
        <v>102</v>
      </c>
      <c r="G273" s="17">
        <v>290</v>
      </c>
      <c r="H273" s="49">
        <v>14.8</v>
      </c>
    </row>
    <row r="274" spans="1:8" ht="14" x14ac:dyDescent="0.15">
      <c r="A274" s="11" t="s">
        <v>94</v>
      </c>
      <c r="B274" s="799" t="s">
        <v>79</v>
      </c>
      <c r="C274" s="799" t="s">
        <v>80</v>
      </c>
      <c r="D274" s="799" t="s">
        <v>125</v>
      </c>
      <c r="E274" s="799" t="s">
        <v>232</v>
      </c>
      <c r="F274" s="799" t="s">
        <v>102</v>
      </c>
      <c r="G274" s="17" t="s">
        <v>95</v>
      </c>
      <c r="H274" s="49">
        <f>125.3+74+31</f>
        <v>230.3</v>
      </c>
    </row>
    <row r="275" spans="1:8" ht="14" x14ac:dyDescent="0.15">
      <c r="A275" s="449" t="s">
        <v>96</v>
      </c>
      <c r="B275" s="799" t="s">
        <v>79</v>
      </c>
      <c r="C275" s="799" t="s">
        <v>80</v>
      </c>
      <c r="D275" s="799" t="s">
        <v>125</v>
      </c>
      <c r="E275" s="799">
        <v>4419901</v>
      </c>
      <c r="F275" s="799" t="s">
        <v>102</v>
      </c>
      <c r="G275" s="17">
        <v>310</v>
      </c>
      <c r="H275" s="49">
        <f>40+31.315+10.27</f>
        <v>81.584999999999994</v>
      </c>
    </row>
    <row r="276" spans="1:8" ht="14" x14ac:dyDescent="0.15">
      <c r="A276" s="449" t="s">
        <v>97</v>
      </c>
      <c r="B276" s="799" t="s">
        <v>79</v>
      </c>
      <c r="C276" s="799" t="s">
        <v>80</v>
      </c>
      <c r="D276" s="799" t="s">
        <v>125</v>
      </c>
      <c r="E276" s="799">
        <v>4419901</v>
      </c>
      <c r="F276" s="799" t="s">
        <v>102</v>
      </c>
      <c r="G276" s="17">
        <v>340</v>
      </c>
      <c r="H276" s="49">
        <f>100+92.9</f>
        <v>192.9</v>
      </c>
    </row>
    <row r="277" spans="1:8" ht="14" x14ac:dyDescent="0.15">
      <c r="A277" s="48" t="s">
        <v>98</v>
      </c>
      <c r="B277" s="20" t="s">
        <v>79</v>
      </c>
      <c r="C277" s="20" t="s">
        <v>80</v>
      </c>
      <c r="D277" s="20" t="s">
        <v>125</v>
      </c>
      <c r="E277" s="20" t="s">
        <v>233</v>
      </c>
      <c r="F277" s="20" t="s">
        <v>102</v>
      </c>
      <c r="G277" s="67"/>
      <c r="H277" s="50">
        <f>SUM(H264:H276)</f>
        <v>16198.469999999996</v>
      </c>
    </row>
    <row r="278" spans="1:8" ht="14" x14ac:dyDescent="0.15">
      <c r="A278" s="18" t="s">
        <v>130</v>
      </c>
      <c r="B278" s="799"/>
      <c r="C278" s="799"/>
      <c r="D278" s="799"/>
      <c r="E278" s="799"/>
      <c r="F278" s="799"/>
      <c r="G278" s="21"/>
      <c r="H278" s="50"/>
    </row>
    <row r="279" spans="1:8" ht="14" x14ac:dyDescent="0.15">
      <c r="A279" s="449" t="s">
        <v>124</v>
      </c>
      <c r="B279" s="799" t="s">
        <v>79</v>
      </c>
      <c r="C279" s="799" t="s">
        <v>80</v>
      </c>
      <c r="D279" s="799" t="s">
        <v>125</v>
      </c>
      <c r="E279" s="799">
        <v>4419901</v>
      </c>
      <c r="F279" s="799" t="s">
        <v>102</v>
      </c>
      <c r="G279" s="17">
        <v>211</v>
      </c>
      <c r="H279" s="448">
        <v>12038.5</v>
      </c>
    </row>
    <row r="280" spans="1:8" ht="14" x14ac:dyDescent="0.15">
      <c r="A280" s="449" t="s">
        <v>83</v>
      </c>
      <c r="B280" s="799" t="s">
        <v>79</v>
      </c>
      <c r="C280" s="799" t="s">
        <v>80</v>
      </c>
      <c r="D280" s="799" t="s">
        <v>125</v>
      </c>
      <c r="E280" s="799">
        <v>4419901</v>
      </c>
      <c r="F280" s="799" t="s">
        <v>102</v>
      </c>
      <c r="G280" s="17">
        <v>212</v>
      </c>
      <c r="H280" s="448"/>
    </row>
    <row r="281" spans="1:8" ht="14" x14ac:dyDescent="0.15">
      <c r="A281" s="449" t="s">
        <v>84</v>
      </c>
      <c r="B281" s="799" t="s">
        <v>79</v>
      </c>
      <c r="C281" s="799" t="s">
        <v>80</v>
      </c>
      <c r="D281" s="799" t="s">
        <v>125</v>
      </c>
      <c r="E281" s="799">
        <v>4419901</v>
      </c>
      <c r="F281" s="799" t="s">
        <v>102</v>
      </c>
      <c r="G281" s="17">
        <v>213</v>
      </c>
      <c r="H281" s="448">
        <v>3635.6</v>
      </c>
    </row>
    <row r="282" spans="1:8" ht="14" x14ac:dyDescent="0.15">
      <c r="A282" s="449" t="s">
        <v>85</v>
      </c>
      <c r="B282" s="799" t="s">
        <v>79</v>
      </c>
      <c r="C282" s="799" t="s">
        <v>80</v>
      </c>
      <c r="D282" s="799" t="s">
        <v>125</v>
      </c>
      <c r="E282" s="799">
        <v>4419901</v>
      </c>
      <c r="F282" s="799" t="s">
        <v>102</v>
      </c>
      <c r="G282" s="17">
        <v>221</v>
      </c>
      <c r="H282" s="49">
        <f>48+20-44.638</f>
        <v>23.362000000000002</v>
      </c>
    </row>
    <row r="283" spans="1:8" ht="14" x14ac:dyDescent="0.15">
      <c r="A283" s="449" t="s">
        <v>86</v>
      </c>
      <c r="B283" s="799" t="s">
        <v>79</v>
      </c>
      <c r="C283" s="799" t="s">
        <v>80</v>
      </c>
      <c r="D283" s="799" t="s">
        <v>125</v>
      </c>
      <c r="E283" s="799">
        <v>4419901</v>
      </c>
      <c r="F283" s="799" t="s">
        <v>102</v>
      </c>
      <c r="G283" s="17">
        <v>222</v>
      </c>
      <c r="H283" s="49"/>
    </row>
    <row r="284" spans="1:8" ht="14" x14ac:dyDescent="0.15">
      <c r="A284" s="449" t="s">
        <v>87</v>
      </c>
      <c r="B284" s="799" t="s">
        <v>79</v>
      </c>
      <c r="C284" s="799" t="s">
        <v>80</v>
      </c>
      <c r="D284" s="799" t="s">
        <v>125</v>
      </c>
      <c r="E284" s="799">
        <v>4419901</v>
      </c>
      <c r="F284" s="799" t="s">
        <v>102</v>
      </c>
      <c r="G284" s="17">
        <v>223</v>
      </c>
      <c r="H284" s="49">
        <f>497-250-75.795</f>
        <v>171.20499999999998</v>
      </c>
    </row>
    <row r="285" spans="1:8" ht="14" x14ac:dyDescent="0.15">
      <c r="A285" s="449" t="s">
        <v>111</v>
      </c>
      <c r="B285" s="799" t="s">
        <v>79</v>
      </c>
      <c r="C285" s="799" t="s">
        <v>80</v>
      </c>
      <c r="D285" s="799" t="s">
        <v>125</v>
      </c>
      <c r="E285" s="799">
        <v>4419901</v>
      </c>
      <c r="F285" s="799" t="s">
        <v>102</v>
      </c>
      <c r="G285" s="17">
        <v>224</v>
      </c>
      <c r="H285" s="49"/>
    </row>
    <row r="286" spans="1:8" ht="14" x14ac:dyDescent="0.15">
      <c r="A286" s="449" t="s">
        <v>90</v>
      </c>
      <c r="B286" s="799" t="s">
        <v>79</v>
      </c>
      <c r="C286" s="799" t="s">
        <v>80</v>
      </c>
      <c r="D286" s="799" t="s">
        <v>125</v>
      </c>
      <c r="E286" s="799">
        <v>4419901</v>
      </c>
      <c r="F286" s="799" t="s">
        <v>102</v>
      </c>
      <c r="G286" s="17">
        <v>225</v>
      </c>
      <c r="H286" s="49">
        <f>7.6+178.752</f>
        <v>186.352</v>
      </c>
    </row>
    <row r="287" spans="1:8" ht="14" x14ac:dyDescent="0.15">
      <c r="A287" s="449" t="s">
        <v>91</v>
      </c>
      <c r="B287" s="799" t="s">
        <v>79</v>
      </c>
      <c r="C287" s="799" t="s">
        <v>80</v>
      </c>
      <c r="D287" s="799" t="s">
        <v>125</v>
      </c>
      <c r="E287" s="799">
        <v>4419901</v>
      </c>
      <c r="F287" s="799" t="s">
        <v>102</v>
      </c>
      <c r="G287" s="17">
        <v>226</v>
      </c>
      <c r="H287" s="49">
        <f>190.6-0.319</f>
        <v>190.28100000000001</v>
      </c>
    </row>
    <row r="288" spans="1:8" ht="14" x14ac:dyDescent="0.15">
      <c r="A288" s="11" t="s">
        <v>94</v>
      </c>
      <c r="B288" s="799" t="s">
        <v>79</v>
      </c>
      <c r="C288" s="799" t="s">
        <v>80</v>
      </c>
      <c r="D288" s="799" t="s">
        <v>125</v>
      </c>
      <c r="E288" s="799">
        <v>4419901</v>
      </c>
      <c r="F288" s="799" t="s">
        <v>102</v>
      </c>
      <c r="G288" s="17">
        <v>290</v>
      </c>
      <c r="H288" s="49">
        <f>24.7+31.8-56</f>
        <v>0.5</v>
      </c>
    </row>
    <row r="289" spans="1:8" ht="14" x14ac:dyDescent="0.15">
      <c r="A289" s="11" t="s">
        <v>94</v>
      </c>
      <c r="B289" s="799" t="s">
        <v>79</v>
      </c>
      <c r="C289" s="799" t="s">
        <v>80</v>
      </c>
      <c r="D289" s="799" t="s">
        <v>125</v>
      </c>
      <c r="E289" s="799" t="s">
        <v>232</v>
      </c>
      <c r="F289" s="799" t="s">
        <v>102</v>
      </c>
      <c r="G289" s="17" t="s">
        <v>95</v>
      </c>
      <c r="H289" s="49">
        <f>63.5-2</f>
        <v>61.5</v>
      </c>
    </row>
    <row r="290" spans="1:8" ht="14" x14ac:dyDescent="0.15">
      <c r="A290" s="449" t="s">
        <v>96</v>
      </c>
      <c r="B290" s="799" t="s">
        <v>79</v>
      </c>
      <c r="C290" s="799" t="s">
        <v>80</v>
      </c>
      <c r="D290" s="799" t="s">
        <v>125</v>
      </c>
      <c r="E290" s="799">
        <v>4419901</v>
      </c>
      <c r="F290" s="799" t="s">
        <v>102</v>
      </c>
      <c r="G290" s="17">
        <v>310</v>
      </c>
      <c r="H290" s="49"/>
    </row>
    <row r="291" spans="1:8" ht="14" x14ac:dyDescent="0.15">
      <c r="A291" s="449" t="s">
        <v>97</v>
      </c>
      <c r="B291" s="799" t="s">
        <v>79</v>
      </c>
      <c r="C291" s="799" t="s">
        <v>80</v>
      </c>
      <c r="D291" s="799" t="s">
        <v>125</v>
      </c>
      <c r="E291" s="799">
        <v>4419901</v>
      </c>
      <c r="F291" s="799" t="s">
        <v>102</v>
      </c>
      <c r="G291" s="17">
        <v>340</v>
      </c>
      <c r="H291" s="49"/>
    </row>
    <row r="292" spans="1:8" ht="14" x14ac:dyDescent="0.15">
      <c r="A292" s="18" t="s">
        <v>98</v>
      </c>
      <c r="B292" s="19" t="s">
        <v>79</v>
      </c>
      <c r="C292" s="19" t="s">
        <v>80</v>
      </c>
      <c r="D292" s="19" t="s">
        <v>125</v>
      </c>
      <c r="E292" s="20" t="s">
        <v>233</v>
      </c>
      <c r="F292" s="20" t="s">
        <v>102</v>
      </c>
      <c r="G292" s="21"/>
      <c r="H292" s="32">
        <v>16307.3</v>
      </c>
    </row>
    <row r="293" spans="1:8" ht="14" x14ac:dyDescent="0.15">
      <c r="A293" s="18" t="s">
        <v>131</v>
      </c>
      <c r="B293" s="19"/>
      <c r="C293" s="19"/>
      <c r="D293" s="19"/>
      <c r="E293" s="20"/>
      <c r="F293" s="20"/>
      <c r="G293" s="21"/>
      <c r="H293" s="50"/>
    </row>
    <row r="294" spans="1:8" ht="14" x14ac:dyDescent="0.15">
      <c r="A294" s="449" t="s">
        <v>124</v>
      </c>
      <c r="B294" s="799" t="s">
        <v>79</v>
      </c>
      <c r="C294" s="799" t="s">
        <v>80</v>
      </c>
      <c r="D294" s="799" t="s">
        <v>125</v>
      </c>
      <c r="E294" s="799">
        <v>4419901</v>
      </c>
      <c r="F294" s="799" t="s">
        <v>102</v>
      </c>
      <c r="G294" s="17">
        <v>211</v>
      </c>
      <c r="H294" s="49">
        <f>2751.4+219+230+308.586+10.583</f>
        <v>3519.569</v>
      </c>
    </row>
    <row r="295" spans="1:8" ht="14" x14ac:dyDescent="0.15">
      <c r="A295" s="449" t="s">
        <v>83</v>
      </c>
      <c r="B295" s="799" t="s">
        <v>79</v>
      </c>
      <c r="C295" s="799" t="s">
        <v>80</v>
      </c>
      <c r="D295" s="799" t="s">
        <v>125</v>
      </c>
      <c r="E295" s="799">
        <v>4419901</v>
      </c>
      <c r="F295" s="799" t="s">
        <v>102</v>
      </c>
      <c r="G295" s="17">
        <v>212</v>
      </c>
      <c r="H295" s="49">
        <f>4.2</f>
        <v>4.2</v>
      </c>
    </row>
    <row r="296" spans="1:8" ht="14" x14ac:dyDescent="0.15">
      <c r="A296" s="449" t="s">
        <v>84</v>
      </c>
      <c r="B296" s="799" t="s">
        <v>79</v>
      </c>
      <c r="C296" s="799" t="s">
        <v>80</v>
      </c>
      <c r="D296" s="799" t="s">
        <v>125</v>
      </c>
      <c r="E296" s="799">
        <v>4419901</v>
      </c>
      <c r="F296" s="799" t="s">
        <v>102</v>
      </c>
      <c r="G296" s="17">
        <v>213</v>
      </c>
      <c r="H296" s="49">
        <f>830.9+66.1+70+76.875+0.693</f>
        <v>1044.568</v>
      </c>
    </row>
    <row r="297" spans="1:8" ht="14" x14ac:dyDescent="0.15">
      <c r="A297" s="449" t="s">
        <v>85</v>
      </c>
      <c r="B297" s="799" t="s">
        <v>79</v>
      </c>
      <c r="C297" s="799" t="s">
        <v>80</v>
      </c>
      <c r="D297" s="799" t="s">
        <v>125</v>
      </c>
      <c r="E297" s="799">
        <v>4419901</v>
      </c>
      <c r="F297" s="799" t="s">
        <v>102</v>
      </c>
      <c r="G297" s="17">
        <v>221</v>
      </c>
      <c r="H297" s="49">
        <f>57+19.001</f>
        <v>76.001000000000005</v>
      </c>
    </row>
    <row r="298" spans="1:8" ht="14" x14ac:dyDescent="0.15">
      <c r="A298" s="449" t="s">
        <v>86</v>
      </c>
      <c r="B298" s="799" t="s">
        <v>79</v>
      </c>
      <c r="C298" s="799" t="s">
        <v>80</v>
      </c>
      <c r="D298" s="799" t="s">
        <v>125</v>
      </c>
      <c r="E298" s="799">
        <v>4419901</v>
      </c>
      <c r="F298" s="799" t="s">
        <v>102</v>
      </c>
      <c r="G298" s="17">
        <v>222</v>
      </c>
      <c r="H298" s="49">
        <f>300+148.4+20.815-67.745+10.583</f>
        <v>412.053</v>
      </c>
    </row>
    <row r="299" spans="1:8" ht="14" x14ac:dyDescent="0.15">
      <c r="A299" s="449" t="s">
        <v>87</v>
      </c>
      <c r="B299" s="799" t="s">
        <v>79</v>
      </c>
      <c r="C299" s="799" t="s">
        <v>80</v>
      </c>
      <c r="D299" s="799" t="s">
        <v>125</v>
      </c>
      <c r="E299" s="799">
        <v>4419901</v>
      </c>
      <c r="F299" s="799" t="s">
        <v>102</v>
      </c>
      <c r="G299" s="17">
        <v>223</v>
      </c>
      <c r="H299" s="49">
        <f>155+24-19.117+10.693</f>
        <v>170.57600000000002</v>
      </c>
    </row>
    <row r="300" spans="1:8" ht="14" x14ac:dyDescent="0.15">
      <c r="A300" s="449" t="s">
        <v>111</v>
      </c>
      <c r="B300" s="799" t="s">
        <v>79</v>
      </c>
      <c r="C300" s="799" t="s">
        <v>80</v>
      </c>
      <c r="D300" s="799" t="s">
        <v>125</v>
      </c>
      <c r="E300" s="799">
        <v>4419901</v>
      </c>
      <c r="F300" s="799" t="s">
        <v>102</v>
      </c>
      <c r="G300" s="17">
        <v>224</v>
      </c>
      <c r="H300" s="49"/>
    </row>
    <row r="301" spans="1:8" ht="14" x14ac:dyDescent="0.15">
      <c r="A301" s="449" t="s">
        <v>90</v>
      </c>
      <c r="B301" s="799" t="s">
        <v>79</v>
      </c>
      <c r="C301" s="799" t="s">
        <v>80</v>
      </c>
      <c r="D301" s="799" t="s">
        <v>125</v>
      </c>
      <c r="E301" s="799">
        <v>4419901</v>
      </c>
      <c r="F301" s="799" t="s">
        <v>102</v>
      </c>
      <c r="G301" s="17">
        <v>225</v>
      </c>
      <c r="H301" s="49">
        <f>350+54.549+48.8</f>
        <v>453.34899999999999</v>
      </c>
    </row>
    <row r="302" spans="1:8" ht="14" x14ac:dyDescent="0.15">
      <c r="A302" s="449" t="s">
        <v>91</v>
      </c>
      <c r="B302" s="799" t="s">
        <v>79</v>
      </c>
      <c r="C302" s="799" t="s">
        <v>80</v>
      </c>
      <c r="D302" s="799" t="s">
        <v>125</v>
      </c>
      <c r="E302" s="799">
        <v>4419901</v>
      </c>
      <c r="F302" s="799" t="s">
        <v>102</v>
      </c>
      <c r="G302" s="17">
        <v>226</v>
      </c>
      <c r="H302" s="49">
        <f>2488+(627.7-63.5)+242.03+18.72+700+172.574-23.453+89.307</f>
        <v>4251.3779999999988</v>
      </c>
    </row>
    <row r="303" spans="1:8" ht="14" x14ac:dyDescent="0.15">
      <c r="A303" s="11" t="s">
        <v>94</v>
      </c>
      <c r="B303" s="799" t="s">
        <v>79</v>
      </c>
      <c r="C303" s="799" t="s">
        <v>80</v>
      </c>
      <c r="D303" s="799" t="s">
        <v>125</v>
      </c>
      <c r="E303" s="799">
        <v>4419901</v>
      </c>
      <c r="F303" s="799" t="s">
        <v>102</v>
      </c>
      <c r="G303" s="17">
        <v>290</v>
      </c>
      <c r="H303" s="49">
        <v>4.5999999999999996</v>
      </c>
    </row>
    <row r="304" spans="1:8" ht="14" x14ac:dyDescent="0.15">
      <c r="A304" s="11" t="s">
        <v>94</v>
      </c>
      <c r="B304" s="799" t="s">
        <v>79</v>
      </c>
      <c r="C304" s="799" t="s">
        <v>80</v>
      </c>
      <c r="D304" s="799" t="s">
        <v>125</v>
      </c>
      <c r="E304" s="799" t="s">
        <v>232</v>
      </c>
      <c r="F304" s="799" t="s">
        <v>102</v>
      </c>
      <c r="G304" s="17" t="s">
        <v>95</v>
      </c>
      <c r="H304" s="49">
        <f>4.1+54.7+63.5+195.2-96.594-44.118</f>
        <v>176.78800000000001</v>
      </c>
    </row>
    <row r="305" spans="1:8" ht="14" x14ac:dyDescent="0.15">
      <c r="A305" s="449" t="s">
        <v>96</v>
      </c>
      <c r="B305" s="799" t="s">
        <v>79</v>
      </c>
      <c r="C305" s="799" t="s">
        <v>80</v>
      </c>
      <c r="D305" s="799" t="s">
        <v>125</v>
      </c>
      <c r="E305" s="799">
        <v>4419901</v>
      </c>
      <c r="F305" s="799" t="s">
        <v>102</v>
      </c>
      <c r="G305" s="17">
        <v>310</v>
      </c>
      <c r="H305" s="49">
        <f>1150+800+150-546.871</f>
        <v>1553.1289999999999</v>
      </c>
    </row>
    <row r="306" spans="1:8" ht="14" x14ac:dyDescent="0.15">
      <c r="A306" s="449" t="s">
        <v>97</v>
      </c>
      <c r="B306" s="799" t="s">
        <v>79</v>
      </c>
      <c r="C306" s="799" t="s">
        <v>80</v>
      </c>
      <c r="D306" s="799" t="s">
        <v>125</v>
      </c>
      <c r="E306" s="799">
        <v>4419901</v>
      </c>
      <c r="F306" s="799" t="s">
        <v>102</v>
      </c>
      <c r="G306" s="17">
        <v>340</v>
      </c>
      <c r="H306" s="49">
        <f>430+98.742+8.188-11.276-100</f>
        <v>425.654</v>
      </c>
    </row>
    <row r="307" spans="1:8" ht="14" x14ac:dyDescent="0.15">
      <c r="A307" s="18" t="s">
        <v>98</v>
      </c>
      <c r="B307" s="19" t="s">
        <v>79</v>
      </c>
      <c r="C307" s="19" t="s">
        <v>80</v>
      </c>
      <c r="D307" s="19" t="s">
        <v>125</v>
      </c>
      <c r="E307" s="20" t="s">
        <v>233</v>
      </c>
      <c r="F307" s="20" t="s">
        <v>102</v>
      </c>
      <c r="G307" s="17"/>
      <c r="H307" s="32">
        <f>SUM(H294:H306)</f>
        <v>12091.865</v>
      </c>
    </row>
    <row r="308" spans="1:8" ht="14" x14ac:dyDescent="0.15">
      <c r="A308" s="18" t="s">
        <v>132</v>
      </c>
      <c r="B308" s="799"/>
      <c r="C308" s="799"/>
      <c r="D308" s="799"/>
      <c r="E308" s="799"/>
      <c r="F308" s="799"/>
      <c r="G308" s="21"/>
      <c r="H308" s="50"/>
    </row>
    <row r="309" spans="1:8" ht="14" x14ac:dyDescent="0.15">
      <c r="A309" s="449" t="s">
        <v>124</v>
      </c>
      <c r="B309" s="799" t="s">
        <v>79</v>
      </c>
      <c r="C309" s="799" t="s">
        <v>80</v>
      </c>
      <c r="D309" s="799" t="s">
        <v>125</v>
      </c>
      <c r="E309" s="799" t="s">
        <v>234</v>
      </c>
      <c r="F309" s="799" t="s">
        <v>102</v>
      </c>
      <c r="G309" s="17">
        <v>211</v>
      </c>
      <c r="H309" s="49">
        <f>H249+H264+H294+H279</f>
        <v>54566.069000000003</v>
      </c>
    </row>
    <row r="310" spans="1:8" ht="14" x14ac:dyDescent="0.15">
      <c r="A310" s="449" t="s">
        <v>83</v>
      </c>
      <c r="B310" s="799" t="s">
        <v>79</v>
      </c>
      <c r="C310" s="799" t="s">
        <v>80</v>
      </c>
      <c r="D310" s="799" t="s">
        <v>125</v>
      </c>
      <c r="E310" s="799" t="s">
        <v>234</v>
      </c>
      <c r="F310" s="799" t="s">
        <v>102</v>
      </c>
      <c r="G310" s="17">
        <v>212</v>
      </c>
      <c r="H310" s="49">
        <f t="shared" ref="H310:H321" si="3">H250+H265+H295+H280</f>
        <v>15.099999999999998</v>
      </c>
    </row>
    <row r="311" spans="1:8" ht="14" x14ac:dyDescent="0.15">
      <c r="A311" s="449" t="s">
        <v>84</v>
      </c>
      <c r="B311" s="799" t="s">
        <v>79</v>
      </c>
      <c r="C311" s="799" t="s">
        <v>80</v>
      </c>
      <c r="D311" s="799" t="s">
        <v>125</v>
      </c>
      <c r="E311" s="799" t="s">
        <v>234</v>
      </c>
      <c r="F311" s="799" t="s">
        <v>102</v>
      </c>
      <c r="G311" s="17">
        <v>213</v>
      </c>
      <c r="H311" s="49">
        <f t="shared" si="3"/>
        <v>16460.667999999998</v>
      </c>
    </row>
    <row r="312" spans="1:8" ht="14" x14ac:dyDescent="0.15">
      <c r="A312" s="449" t="s">
        <v>85</v>
      </c>
      <c r="B312" s="799" t="s">
        <v>79</v>
      </c>
      <c r="C312" s="799" t="s">
        <v>80</v>
      </c>
      <c r="D312" s="799" t="s">
        <v>125</v>
      </c>
      <c r="E312" s="799" t="s">
        <v>234</v>
      </c>
      <c r="F312" s="799" t="s">
        <v>102</v>
      </c>
      <c r="G312" s="17">
        <v>221</v>
      </c>
      <c r="H312" s="49">
        <f t="shared" si="3"/>
        <v>165.363</v>
      </c>
    </row>
    <row r="313" spans="1:8" ht="14" x14ac:dyDescent="0.15">
      <c r="A313" s="449" t="s">
        <v>86</v>
      </c>
      <c r="B313" s="799" t="s">
        <v>79</v>
      </c>
      <c r="C313" s="799" t="s">
        <v>80</v>
      </c>
      <c r="D313" s="799" t="s">
        <v>125</v>
      </c>
      <c r="E313" s="799" t="s">
        <v>234</v>
      </c>
      <c r="F313" s="799" t="s">
        <v>102</v>
      </c>
      <c r="G313" s="17">
        <v>222</v>
      </c>
      <c r="H313" s="49">
        <f t="shared" si="3"/>
        <v>606.84299999999996</v>
      </c>
    </row>
    <row r="314" spans="1:8" ht="14" x14ac:dyDescent="0.15">
      <c r="A314" s="449" t="s">
        <v>87</v>
      </c>
      <c r="B314" s="799" t="s">
        <v>79</v>
      </c>
      <c r="C314" s="799" t="s">
        <v>80</v>
      </c>
      <c r="D314" s="799" t="s">
        <v>125</v>
      </c>
      <c r="E314" s="799" t="s">
        <v>234</v>
      </c>
      <c r="F314" s="799" t="s">
        <v>102</v>
      </c>
      <c r="G314" s="17">
        <v>223</v>
      </c>
      <c r="H314" s="49">
        <f t="shared" si="3"/>
        <v>1882.7809999999999</v>
      </c>
    </row>
    <row r="315" spans="1:8" ht="14" x14ac:dyDescent="0.15">
      <c r="A315" s="449" t="s">
        <v>111</v>
      </c>
      <c r="B315" s="799" t="s">
        <v>79</v>
      </c>
      <c r="C315" s="799" t="s">
        <v>80</v>
      </c>
      <c r="D315" s="799" t="s">
        <v>125</v>
      </c>
      <c r="E315" s="799" t="s">
        <v>234</v>
      </c>
      <c r="F315" s="799" t="s">
        <v>102</v>
      </c>
      <c r="G315" s="17">
        <v>224</v>
      </c>
      <c r="H315" s="49">
        <f t="shared" si="3"/>
        <v>0</v>
      </c>
    </row>
    <row r="316" spans="1:8" ht="14" x14ac:dyDescent="0.15">
      <c r="A316" s="449" t="s">
        <v>90</v>
      </c>
      <c r="B316" s="799" t="s">
        <v>79</v>
      </c>
      <c r="C316" s="799" t="s">
        <v>80</v>
      </c>
      <c r="D316" s="799" t="s">
        <v>125</v>
      </c>
      <c r="E316" s="799" t="s">
        <v>234</v>
      </c>
      <c r="F316" s="799" t="s">
        <v>102</v>
      </c>
      <c r="G316" s="17">
        <v>225</v>
      </c>
      <c r="H316" s="49">
        <f t="shared" si="3"/>
        <v>3009.701</v>
      </c>
    </row>
    <row r="317" spans="1:8" ht="14" x14ac:dyDescent="0.15">
      <c r="A317" s="449" t="s">
        <v>91</v>
      </c>
      <c r="B317" s="799" t="s">
        <v>79</v>
      </c>
      <c r="C317" s="799" t="s">
        <v>80</v>
      </c>
      <c r="D317" s="799" t="s">
        <v>125</v>
      </c>
      <c r="E317" s="799" t="s">
        <v>234</v>
      </c>
      <c r="F317" s="799" t="s">
        <v>102</v>
      </c>
      <c r="G317" s="17">
        <v>226</v>
      </c>
      <c r="H317" s="49">
        <f t="shared" si="3"/>
        <v>11330.954</v>
      </c>
    </row>
    <row r="318" spans="1:8" ht="14" x14ac:dyDescent="0.15">
      <c r="A318" s="11" t="s">
        <v>94</v>
      </c>
      <c r="B318" s="799" t="s">
        <v>79</v>
      </c>
      <c r="C318" s="799" t="s">
        <v>80</v>
      </c>
      <c r="D318" s="799" t="s">
        <v>125</v>
      </c>
      <c r="E318" s="799" t="s">
        <v>234</v>
      </c>
      <c r="F318" s="799" t="s">
        <v>102</v>
      </c>
      <c r="G318" s="17">
        <v>290</v>
      </c>
      <c r="H318" s="49">
        <f t="shared" si="3"/>
        <v>137.1</v>
      </c>
    </row>
    <row r="319" spans="1:8" ht="14" x14ac:dyDescent="0.15">
      <c r="A319" s="11" t="s">
        <v>94</v>
      </c>
      <c r="B319" s="799" t="s">
        <v>79</v>
      </c>
      <c r="C319" s="799" t="s">
        <v>80</v>
      </c>
      <c r="D319" s="799" t="s">
        <v>125</v>
      </c>
      <c r="E319" s="799" t="s">
        <v>232</v>
      </c>
      <c r="F319" s="799" t="s">
        <v>102</v>
      </c>
      <c r="G319" s="17" t="s">
        <v>95</v>
      </c>
      <c r="H319" s="49">
        <f t="shared" si="3"/>
        <v>1133.4880000000001</v>
      </c>
    </row>
    <row r="320" spans="1:8" ht="14" x14ac:dyDescent="0.15">
      <c r="A320" s="449" t="s">
        <v>96</v>
      </c>
      <c r="B320" s="799" t="s">
        <v>79</v>
      </c>
      <c r="C320" s="799" t="s">
        <v>80</v>
      </c>
      <c r="D320" s="799" t="s">
        <v>125</v>
      </c>
      <c r="E320" s="799" t="s">
        <v>234</v>
      </c>
      <c r="F320" s="799" t="s">
        <v>102</v>
      </c>
      <c r="G320" s="17">
        <v>310</v>
      </c>
      <c r="H320" s="49">
        <f t="shared" si="3"/>
        <v>1884.7139999999999</v>
      </c>
    </row>
    <row r="321" spans="1:8" ht="14" x14ac:dyDescent="0.15">
      <c r="A321" s="449" t="s">
        <v>97</v>
      </c>
      <c r="B321" s="799" t="s">
        <v>79</v>
      </c>
      <c r="C321" s="799" t="s">
        <v>80</v>
      </c>
      <c r="D321" s="799" t="s">
        <v>125</v>
      </c>
      <c r="E321" s="799" t="s">
        <v>234</v>
      </c>
      <c r="F321" s="799" t="s">
        <v>102</v>
      </c>
      <c r="G321" s="17">
        <v>340</v>
      </c>
      <c r="H321" s="49">
        <f t="shared" si="3"/>
        <v>848.55399999999997</v>
      </c>
    </row>
    <row r="322" spans="1:8" ht="14" x14ac:dyDescent="0.15">
      <c r="A322" s="18" t="s">
        <v>98</v>
      </c>
      <c r="B322" s="19" t="s">
        <v>79</v>
      </c>
      <c r="C322" s="19" t="s">
        <v>80</v>
      </c>
      <c r="D322" s="19" t="s">
        <v>125</v>
      </c>
      <c r="E322" s="20" t="s">
        <v>233</v>
      </c>
      <c r="F322" s="20" t="s">
        <v>102</v>
      </c>
      <c r="G322" s="21"/>
      <c r="H322" s="798">
        <f>SUM(H309:H321)</f>
        <v>92041.334999999992</v>
      </c>
    </row>
    <row r="323" spans="1:8" ht="14" x14ac:dyDescent="0.15">
      <c r="A323" s="18" t="s">
        <v>133</v>
      </c>
      <c r="B323" s="799"/>
      <c r="C323" s="799"/>
      <c r="D323" s="799"/>
      <c r="E323" s="19"/>
      <c r="F323" s="19"/>
      <c r="G323" s="21"/>
      <c r="H323" s="50"/>
    </row>
    <row r="324" spans="1:8" ht="14" x14ac:dyDescent="0.15">
      <c r="A324" s="449" t="s">
        <v>78</v>
      </c>
      <c r="B324" s="799" t="s">
        <v>79</v>
      </c>
      <c r="C324" s="799" t="s">
        <v>80</v>
      </c>
      <c r="D324" s="799" t="s">
        <v>125</v>
      </c>
      <c r="E324" s="799">
        <v>4429901</v>
      </c>
      <c r="F324" s="799" t="s">
        <v>102</v>
      </c>
      <c r="G324" s="17">
        <v>211</v>
      </c>
      <c r="H324" s="49">
        <v>21446.1</v>
      </c>
    </row>
    <row r="325" spans="1:8" ht="14" x14ac:dyDescent="0.15">
      <c r="A325" s="449" t="s">
        <v>103</v>
      </c>
      <c r="B325" s="799" t="s">
        <v>79</v>
      </c>
      <c r="C325" s="799" t="s">
        <v>80</v>
      </c>
      <c r="D325" s="799" t="s">
        <v>125</v>
      </c>
      <c r="E325" s="799">
        <v>4429901</v>
      </c>
      <c r="F325" s="799" t="s">
        <v>102</v>
      </c>
      <c r="G325" s="17">
        <v>212</v>
      </c>
      <c r="H325" s="49"/>
    </row>
    <row r="326" spans="1:8" ht="14" x14ac:dyDescent="0.15">
      <c r="A326" s="449" t="s">
        <v>84</v>
      </c>
      <c r="B326" s="799" t="s">
        <v>79</v>
      </c>
      <c r="C326" s="799" t="s">
        <v>80</v>
      </c>
      <c r="D326" s="799" t="s">
        <v>125</v>
      </c>
      <c r="E326" s="799">
        <v>4429901</v>
      </c>
      <c r="F326" s="799" t="s">
        <v>102</v>
      </c>
      <c r="G326" s="17">
        <v>213</v>
      </c>
      <c r="H326" s="49">
        <v>6476.7</v>
      </c>
    </row>
    <row r="327" spans="1:8" ht="14" x14ac:dyDescent="0.15">
      <c r="A327" s="449" t="s">
        <v>85</v>
      </c>
      <c r="B327" s="799" t="s">
        <v>79</v>
      </c>
      <c r="C327" s="799" t="s">
        <v>80</v>
      </c>
      <c r="D327" s="799" t="s">
        <v>125</v>
      </c>
      <c r="E327" s="799">
        <v>4429901</v>
      </c>
      <c r="F327" s="799" t="s">
        <v>102</v>
      </c>
      <c r="G327" s="17">
        <v>221</v>
      </c>
      <c r="H327" s="49">
        <v>51</v>
      </c>
    </row>
    <row r="328" spans="1:8" ht="14" x14ac:dyDescent="0.15">
      <c r="A328" s="449" t="s">
        <v>86</v>
      </c>
      <c r="B328" s="799" t="s">
        <v>79</v>
      </c>
      <c r="C328" s="799" t="s">
        <v>80</v>
      </c>
      <c r="D328" s="799" t="s">
        <v>125</v>
      </c>
      <c r="E328" s="799">
        <v>4429901</v>
      </c>
      <c r="F328" s="799" t="s">
        <v>102</v>
      </c>
      <c r="G328" s="17">
        <v>222</v>
      </c>
      <c r="H328" s="49"/>
    </row>
    <row r="329" spans="1:8" ht="14" x14ac:dyDescent="0.15">
      <c r="A329" s="449" t="s">
        <v>87</v>
      </c>
      <c r="B329" s="799" t="s">
        <v>79</v>
      </c>
      <c r="C329" s="799" t="s">
        <v>80</v>
      </c>
      <c r="D329" s="799" t="s">
        <v>125</v>
      </c>
      <c r="E329" s="799">
        <v>4429901</v>
      </c>
      <c r="F329" s="799" t="s">
        <v>102</v>
      </c>
      <c r="G329" s="17">
        <v>223</v>
      </c>
      <c r="H329" s="49">
        <f>1940-100</f>
        <v>1840</v>
      </c>
    </row>
    <row r="330" spans="1:8" ht="14" x14ac:dyDescent="0.15">
      <c r="A330" s="449" t="s">
        <v>134</v>
      </c>
      <c r="B330" s="799" t="s">
        <v>79</v>
      </c>
      <c r="C330" s="799" t="s">
        <v>80</v>
      </c>
      <c r="D330" s="799" t="s">
        <v>125</v>
      </c>
      <c r="E330" s="799">
        <v>4429901</v>
      </c>
      <c r="F330" s="799" t="s">
        <v>102</v>
      </c>
      <c r="G330" s="17">
        <v>224</v>
      </c>
      <c r="H330" s="49"/>
    </row>
    <row r="331" spans="1:8" ht="14" x14ac:dyDescent="0.15">
      <c r="A331" s="449" t="s">
        <v>90</v>
      </c>
      <c r="B331" s="799" t="s">
        <v>79</v>
      </c>
      <c r="C331" s="799" t="s">
        <v>80</v>
      </c>
      <c r="D331" s="799" t="s">
        <v>125</v>
      </c>
      <c r="E331" s="799">
        <v>4429901</v>
      </c>
      <c r="F331" s="799" t="s">
        <v>102</v>
      </c>
      <c r="G331" s="17">
        <v>225</v>
      </c>
      <c r="H331" s="49">
        <v>1680</v>
      </c>
    </row>
    <row r="332" spans="1:8" ht="14" x14ac:dyDescent="0.15">
      <c r="A332" s="449" t="s">
        <v>91</v>
      </c>
      <c r="B332" s="799" t="s">
        <v>79</v>
      </c>
      <c r="C332" s="799" t="s">
        <v>80</v>
      </c>
      <c r="D332" s="799" t="s">
        <v>125</v>
      </c>
      <c r="E332" s="799">
        <v>4429901</v>
      </c>
      <c r="F332" s="799" t="s">
        <v>102</v>
      </c>
      <c r="G332" s="17">
        <v>226</v>
      </c>
      <c r="H332" s="49">
        <f>1169+2-50</f>
        <v>1121</v>
      </c>
    </row>
    <row r="333" spans="1:8" ht="14" x14ac:dyDescent="0.15">
      <c r="A333" s="11" t="s">
        <v>94</v>
      </c>
      <c r="B333" s="799" t="s">
        <v>79</v>
      </c>
      <c r="C333" s="799" t="s">
        <v>80</v>
      </c>
      <c r="D333" s="799" t="s">
        <v>125</v>
      </c>
      <c r="E333" s="799">
        <v>4429901</v>
      </c>
      <c r="F333" s="799" t="s">
        <v>102</v>
      </c>
      <c r="G333" s="17">
        <v>290</v>
      </c>
      <c r="H333" s="49">
        <v>44.6</v>
      </c>
    </row>
    <row r="334" spans="1:8" ht="14" x14ac:dyDescent="0.15">
      <c r="A334" s="11" t="s">
        <v>94</v>
      </c>
      <c r="B334" s="799" t="s">
        <v>79</v>
      </c>
      <c r="C334" s="799" t="s">
        <v>80</v>
      </c>
      <c r="D334" s="799" t="s">
        <v>125</v>
      </c>
      <c r="E334" s="799" t="s">
        <v>235</v>
      </c>
      <c r="F334" s="799" t="s">
        <v>102</v>
      </c>
      <c r="G334" s="17" t="s">
        <v>95</v>
      </c>
      <c r="H334" s="49">
        <f>573.4+1666.2</f>
        <v>2239.6</v>
      </c>
    </row>
    <row r="335" spans="1:8" ht="14" x14ac:dyDescent="0.15">
      <c r="A335" s="449" t="s">
        <v>96</v>
      </c>
      <c r="B335" s="799" t="s">
        <v>79</v>
      </c>
      <c r="C335" s="799" t="s">
        <v>80</v>
      </c>
      <c r="D335" s="799" t="s">
        <v>125</v>
      </c>
      <c r="E335" s="799">
        <v>4429901</v>
      </c>
      <c r="F335" s="799" t="s">
        <v>102</v>
      </c>
      <c r="G335" s="17">
        <v>310</v>
      </c>
      <c r="H335" s="49">
        <v>50</v>
      </c>
    </row>
    <row r="336" spans="1:8" ht="14" x14ac:dyDescent="0.15">
      <c r="A336" s="449" t="s">
        <v>97</v>
      </c>
      <c r="B336" s="799" t="s">
        <v>79</v>
      </c>
      <c r="C336" s="799" t="s">
        <v>80</v>
      </c>
      <c r="D336" s="799" t="s">
        <v>125</v>
      </c>
      <c r="E336" s="799">
        <v>4429901</v>
      </c>
      <c r="F336" s="799" t="s">
        <v>102</v>
      </c>
      <c r="G336" s="17">
        <v>340</v>
      </c>
      <c r="H336" s="49">
        <v>218</v>
      </c>
    </row>
    <row r="337" spans="1:8" ht="14" x14ac:dyDescent="0.15">
      <c r="A337" s="48" t="s">
        <v>98</v>
      </c>
      <c r="B337" s="20" t="s">
        <v>79</v>
      </c>
      <c r="C337" s="20" t="s">
        <v>80</v>
      </c>
      <c r="D337" s="20" t="s">
        <v>125</v>
      </c>
      <c r="E337" s="20" t="s">
        <v>236</v>
      </c>
      <c r="F337" s="20" t="s">
        <v>102</v>
      </c>
      <c r="G337" s="67"/>
      <c r="H337" s="50">
        <f>SUM(H324:H336)</f>
        <v>35167</v>
      </c>
    </row>
    <row r="338" spans="1:8" ht="14" x14ac:dyDescent="0.15">
      <c r="A338" s="18" t="s">
        <v>135</v>
      </c>
      <c r="B338" s="799"/>
      <c r="C338" s="799"/>
      <c r="D338" s="799"/>
      <c r="E338" s="799"/>
      <c r="F338" s="799"/>
      <c r="G338" s="21"/>
      <c r="H338" s="50">
        <v>729</v>
      </c>
    </row>
    <row r="339" spans="1:8" ht="14" x14ac:dyDescent="0.15">
      <c r="A339" s="449" t="s">
        <v>78</v>
      </c>
      <c r="B339" s="799" t="s">
        <v>79</v>
      </c>
      <c r="C339" s="799" t="s">
        <v>80</v>
      </c>
      <c r="D339" s="799" t="s">
        <v>125</v>
      </c>
      <c r="E339" s="799">
        <v>4429901</v>
      </c>
      <c r="F339" s="799" t="s">
        <v>102</v>
      </c>
      <c r="G339" s="17">
        <v>211</v>
      </c>
      <c r="H339" s="49">
        <f>5998.5-219</f>
        <v>5779.5</v>
      </c>
    </row>
    <row r="340" spans="1:8" ht="14" x14ac:dyDescent="0.15">
      <c r="A340" s="449" t="s">
        <v>103</v>
      </c>
      <c r="B340" s="799" t="s">
        <v>79</v>
      </c>
      <c r="C340" s="799" t="s">
        <v>80</v>
      </c>
      <c r="D340" s="799" t="s">
        <v>125</v>
      </c>
      <c r="E340" s="799">
        <v>4429901</v>
      </c>
      <c r="F340" s="799" t="s">
        <v>102</v>
      </c>
      <c r="G340" s="17">
        <v>212</v>
      </c>
      <c r="H340" s="49">
        <v>3</v>
      </c>
    </row>
    <row r="341" spans="1:8" ht="14" x14ac:dyDescent="0.15">
      <c r="A341" s="449" t="s">
        <v>84</v>
      </c>
      <c r="B341" s="799" t="s">
        <v>79</v>
      </c>
      <c r="C341" s="799" t="s">
        <v>80</v>
      </c>
      <c r="D341" s="799" t="s">
        <v>125</v>
      </c>
      <c r="E341" s="799">
        <v>4429901</v>
      </c>
      <c r="F341" s="799" t="s">
        <v>102</v>
      </c>
      <c r="G341" s="17">
        <v>213</v>
      </c>
      <c r="H341" s="49">
        <f>1811.6-66.1</f>
        <v>1745.5</v>
      </c>
    </row>
    <row r="342" spans="1:8" ht="14" x14ac:dyDescent="0.15">
      <c r="A342" s="449" t="s">
        <v>85</v>
      </c>
      <c r="B342" s="799" t="s">
        <v>79</v>
      </c>
      <c r="C342" s="799" t="s">
        <v>80</v>
      </c>
      <c r="D342" s="799" t="s">
        <v>125</v>
      </c>
      <c r="E342" s="799">
        <v>4429901</v>
      </c>
      <c r="F342" s="799" t="s">
        <v>102</v>
      </c>
      <c r="G342" s="17">
        <v>221</v>
      </c>
      <c r="H342" s="49">
        <v>33</v>
      </c>
    </row>
    <row r="343" spans="1:8" ht="14" x14ac:dyDescent="0.15">
      <c r="A343" s="449" t="s">
        <v>86</v>
      </c>
      <c r="B343" s="799" t="s">
        <v>79</v>
      </c>
      <c r="C343" s="799" t="s">
        <v>80</v>
      </c>
      <c r="D343" s="799" t="s">
        <v>125</v>
      </c>
      <c r="E343" s="799">
        <v>4429901</v>
      </c>
      <c r="F343" s="799" t="s">
        <v>102</v>
      </c>
      <c r="G343" s="17">
        <v>222</v>
      </c>
      <c r="H343" s="49">
        <v>5</v>
      </c>
    </row>
    <row r="344" spans="1:8" ht="14" x14ac:dyDescent="0.15">
      <c r="A344" s="449" t="s">
        <v>87</v>
      </c>
      <c r="B344" s="799" t="s">
        <v>79</v>
      </c>
      <c r="C344" s="799" t="s">
        <v>80</v>
      </c>
      <c r="D344" s="799" t="s">
        <v>125</v>
      </c>
      <c r="E344" s="799">
        <v>4429901</v>
      </c>
      <c r="F344" s="799" t="s">
        <v>102</v>
      </c>
      <c r="G344" s="17">
        <v>223</v>
      </c>
      <c r="H344" s="49">
        <f>255-155+100</f>
        <v>200</v>
      </c>
    </row>
    <row r="345" spans="1:8" ht="14" x14ac:dyDescent="0.15">
      <c r="A345" s="449" t="s">
        <v>134</v>
      </c>
      <c r="B345" s="799" t="s">
        <v>79</v>
      </c>
      <c r="C345" s="799" t="s">
        <v>80</v>
      </c>
      <c r="D345" s="799" t="s">
        <v>125</v>
      </c>
      <c r="E345" s="799">
        <v>4429901</v>
      </c>
      <c r="F345" s="799" t="s">
        <v>102</v>
      </c>
      <c r="G345" s="17">
        <v>224</v>
      </c>
      <c r="H345" s="49"/>
    </row>
    <row r="346" spans="1:8" ht="14" x14ac:dyDescent="0.15">
      <c r="A346" s="449" t="s">
        <v>90</v>
      </c>
      <c r="B346" s="799" t="s">
        <v>79</v>
      </c>
      <c r="C346" s="799" t="s">
        <v>80</v>
      </c>
      <c r="D346" s="799" t="s">
        <v>125</v>
      </c>
      <c r="E346" s="799">
        <v>4429901</v>
      </c>
      <c r="F346" s="799" t="s">
        <v>102</v>
      </c>
      <c r="G346" s="17">
        <v>225</v>
      </c>
      <c r="H346" s="49">
        <v>420</v>
      </c>
    </row>
    <row r="347" spans="1:8" ht="14" x14ac:dyDescent="0.15">
      <c r="A347" s="449" t="s">
        <v>91</v>
      </c>
      <c r="B347" s="799" t="s">
        <v>79</v>
      </c>
      <c r="C347" s="799" t="s">
        <v>80</v>
      </c>
      <c r="D347" s="799" t="s">
        <v>125</v>
      </c>
      <c r="E347" s="799">
        <v>4429901</v>
      </c>
      <c r="F347" s="799" t="s">
        <v>102</v>
      </c>
      <c r="G347" s="17">
        <v>226</v>
      </c>
      <c r="H347" s="49">
        <f>1002-50</f>
        <v>952</v>
      </c>
    </row>
    <row r="348" spans="1:8" ht="14" x14ac:dyDescent="0.15">
      <c r="A348" s="11" t="s">
        <v>94</v>
      </c>
      <c r="B348" s="799" t="s">
        <v>79</v>
      </c>
      <c r="C348" s="799" t="s">
        <v>80</v>
      </c>
      <c r="D348" s="799" t="s">
        <v>125</v>
      </c>
      <c r="E348" s="799">
        <v>4429901</v>
      </c>
      <c r="F348" s="799" t="s">
        <v>102</v>
      </c>
      <c r="G348" s="17">
        <v>290</v>
      </c>
      <c r="H348" s="49">
        <v>12.5</v>
      </c>
    </row>
    <row r="349" spans="1:8" ht="14" x14ac:dyDescent="0.15">
      <c r="A349" s="11" t="s">
        <v>94</v>
      </c>
      <c r="B349" s="799" t="s">
        <v>79</v>
      </c>
      <c r="C349" s="799" t="s">
        <v>80</v>
      </c>
      <c r="D349" s="799" t="s">
        <v>125</v>
      </c>
      <c r="E349" s="799" t="s">
        <v>235</v>
      </c>
      <c r="F349" s="799" t="s">
        <v>102</v>
      </c>
      <c r="G349" s="17" t="s">
        <v>95</v>
      </c>
      <c r="H349" s="49">
        <f>280.7+78.6-195.2-41</f>
        <v>123.09999999999997</v>
      </c>
    </row>
    <row r="350" spans="1:8" ht="14" x14ac:dyDescent="0.15">
      <c r="A350" s="449" t="s">
        <v>96</v>
      </c>
      <c r="B350" s="799" t="s">
        <v>79</v>
      </c>
      <c r="C350" s="799" t="s">
        <v>80</v>
      </c>
      <c r="D350" s="799" t="s">
        <v>125</v>
      </c>
      <c r="E350" s="799">
        <v>4429901</v>
      </c>
      <c r="F350" s="799" t="s">
        <v>102</v>
      </c>
      <c r="G350" s="17">
        <v>310</v>
      </c>
      <c r="H350" s="49">
        <v>255</v>
      </c>
    </row>
    <row r="351" spans="1:8" ht="14" x14ac:dyDescent="0.15">
      <c r="A351" s="449" t="s">
        <v>97</v>
      </c>
      <c r="B351" s="799" t="s">
        <v>79</v>
      </c>
      <c r="C351" s="799" t="s">
        <v>80</v>
      </c>
      <c r="D351" s="799" t="s">
        <v>125</v>
      </c>
      <c r="E351" s="799">
        <v>4429901</v>
      </c>
      <c r="F351" s="799" t="s">
        <v>102</v>
      </c>
      <c r="G351" s="17">
        <v>340</v>
      </c>
      <c r="H351" s="49">
        <v>17</v>
      </c>
    </row>
    <row r="352" spans="1:8" ht="14" x14ac:dyDescent="0.15">
      <c r="A352" s="48" t="s">
        <v>98</v>
      </c>
      <c r="B352" s="20" t="s">
        <v>79</v>
      </c>
      <c r="C352" s="20" t="s">
        <v>80</v>
      </c>
      <c r="D352" s="20" t="s">
        <v>125</v>
      </c>
      <c r="E352" s="20" t="s">
        <v>236</v>
      </c>
      <c r="F352" s="20" t="s">
        <v>102</v>
      </c>
      <c r="G352" s="67"/>
      <c r="H352" s="50">
        <f>SUM(H339:H351)</f>
        <v>9545.6</v>
      </c>
    </row>
    <row r="353" spans="1:8" ht="14" x14ac:dyDescent="0.15">
      <c r="A353" s="18" t="s">
        <v>136</v>
      </c>
      <c r="B353" s="799"/>
      <c r="C353" s="799"/>
      <c r="D353" s="799"/>
      <c r="E353" s="799"/>
      <c r="F353" s="799"/>
      <c r="G353" s="21"/>
      <c r="H353" s="50"/>
    </row>
    <row r="354" spans="1:8" ht="14" x14ac:dyDescent="0.15">
      <c r="A354" s="449" t="s">
        <v>78</v>
      </c>
      <c r="B354" s="799" t="s">
        <v>79</v>
      </c>
      <c r="C354" s="799" t="s">
        <v>80</v>
      </c>
      <c r="D354" s="799" t="s">
        <v>125</v>
      </c>
      <c r="E354" s="799">
        <v>4429901</v>
      </c>
      <c r="F354" s="799" t="s">
        <v>102</v>
      </c>
      <c r="G354" s="17">
        <v>211</v>
      </c>
      <c r="H354" s="49">
        <v>4908.2</v>
      </c>
    </row>
    <row r="355" spans="1:8" ht="14" x14ac:dyDescent="0.15">
      <c r="A355" s="449" t="s">
        <v>103</v>
      </c>
      <c r="B355" s="799" t="s">
        <v>79</v>
      </c>
      <c r="C355" s="799" t="s">
        <v>80</v>
      </c>
      <c r="D355" s="799" t="s">
        <v>125</v>
      </c>
      <c r="E355" s="799">
        <v>4429901</v>
      </c>
      <c r="F355" s="799" t="s">
        <v>102</v>
      </c>
      <c r="G355" s="17">
        <v>212</v>
      </c>
      <c r="H355" s="49"/>
    </row>
    <row r="356" spans="1:8" ht="14" x14ac:dyDescent="0.15">
      <c r="A356" s="449" t="s">
        <v>84</v>
      </c>
      <c r="B356" s="799" t="s">
        <v>79</v>
      </c>
      <c r="C356" s="799" t="s">
        <v>80</v>
      </c>
      <c r="D356" s="799" t="s">
        <v>125</v>
      </c>
      <c r="E356" s="799">
        <v>4429901</v>
      </c>
      <c r="F356" s="799" t="s">
        <v>102</v>
      </c>
      <c r="G356" s="17">
        <v>213</v>
      </c>
      <c r="H356" s="49">
        <f>1482.3+0.32</f>
        <v>1482.62</v>
      </c>
    </row>
    <row r="357" spans="1:8" ht="14" x14ac:dyDescent="0.15">
      <c r="A357" s="449" t="s">
        <v>85</v>
      </c>
      <c r="B357" s="799" t="s">
        <v>79</v>
      </c>
      <c r="C357" s="799" t="s">
        <v>80</v>
      </c>
      <c r="D357" s="799" t="s">
        <v>125</v>
      </c>
      <c r="E357" s="799">
        <v>4429901</v>
      </c>
      <c r="F357" s="799" t="s">
        <v>102</v>
      </c>
      <c r="G357" s="17">
        <v>221</v>
      </c>
      <c r="H357" s="49">
        <v>14</v>
      </c>
    </row>
    <row r="358" spans="1:8" ht="14" x14ac:dyDescent="0.15">
      <c r="A358" s="449" t="s">
        <v>86</v>
      </c>
      <c r="B358" s="799" t="s">
        <v>79</v>
      </c>
      <c r="C358" s="799" t="s">
        <v>80</v>
      </c>
      <c r="D358" s="799" t="s">
        <v>125</v>
      </c>
      <c r="E358" s="799">
        <v>4429901</v>
      </c>
      <c r="F358" s="799" t="s">
        <v>102</v>
      </c>
      <c r="G358" s="17">
        <v>222</v>
      </c>
      <c r="H358" s="49"/>
    </row>
    <row r="359" spans="1:8" ht="14" x14ac:dyDescent="0.15">
      <c r="A359" s="449" t="s">
        <v>87</v>
      </c>
      <c r="B359" s="799" t="s">
        <v>79</v>
      </c>
      <c r="C359" s="799" t="s">
        <v>80</v>
      </c>
      <c r="D359" s="799" t="s">
        <v>125</v>
      </c>
      <c r="E359" s="799">
        <v>4429901</v>
      </c>
      <c r="F359" s="799" t="s">
        <v>102</v>
      </c>
      <c r="G359" s="17">
        <v>223</v>
      </c>
      <c r="H359" s="49">
        <f>131-31</f>
        <v>100</v>
      </c>
    </row>
    <row r="360" spans="1:8" ht="14" x14ac:dyDescent="0.15">
      <c r="A360" s="449" t="s">
        <v>134</v>
      </c>
      <c r="B360" s="799" t="s">
        <v>79</v>
      </c>
      <c r="C360" s="799" t="s">
        <v>80</v>
      </c>
      <c r="D360" s="799" t="s">
        <v>125</v>
      </c>
      <c r="E360" s="799">
        <v>4429901</v>
      </c>
      <c r="F360" s="799" t="s">
        <v>102</v>
      </c>
      <c r="G360" s="17">
        <v>224</v>
      </c>
      <c r="H360" s="49">
        <v>600</v>
      </c>
    </row>
    <row r="361" spans="1:8" ht="14" x14ac:dyDescent="0.15">
      <c r="A361" s="449" t="s">
        <v>90</v>
      </c>
      <c r="B361" s="799" t="s">
        <v>79</v>
      </c>
      <c r="C361" s="799" t="s">
        <v>80</v>
      </c>
      <c r="D361" s="799" t="s">
        <v>125</v>
      </c>
      <c r="E361" s="799">
        <v>4429901</v>
      </c>
      <c r="F361" s="799" t="s">
        <v>102</v>
      </c>
      <c r="G361" s="17">
        <v>225</v>
      </c>
      <c r="H361" s="49">
        <v>20</v>
      </c>
    </row>
    <row r="362" spans="1:8" ht="14" x14ac:dyDescent="0.15">
      <c r="A362" s="449" t="s">
        <v>91</v>
      </c>
      <c r="B362" s="799" t="s">
        <v>79</v>
      </c>
      <c r="C362" s="799" t="s">
        <v>80</v>
      </c>
      <c r="D362" s="799" t="s">
        <v>125</v>
      </c>
      <c r="E362" s="799">
        <v>4429901</v>
      </c>
      <c r="F362" s="799" t="s">
        <v>102</v>
      </c>
      <c r="G362" s="17">
        <v>226</v>
      </c>
      <c r="H362" s="49">
        <f>254.6+50</f>
        <v>304.60000000000002</v>
      </c>
    </row>
    <row r="363" spans="1:8" ht="14" x14ac:dyDescent="0.15">
      <c r="A363" s="11" t="s">
        <v>94</v>
      </c>
      <c r="B363" s="799" t="s">
        <v>79</v>
      </c>
      <c r="C363" s="799" t="s">
        <v>80</v>
      </c>
      <c r="D363" s="799" t="s">
        <v>125</v>
      </c>
      <c r="E363" s="799">
        <v>4429901</v>
      </c>
      <c r="F363" s="799" t="s">
        <v>102</v>
      </c>
      <c r="G363" s="17">
        <v>290</v>
      </c>
      <c r="H363" s="49">
        <v>9.6999999999999993</v>
      </c>
    </row>
    <row r="364" spans="1:8" ht="14" x14ac:dyDescent="0.15">
      <c r="A364" s="11" t="s">
        <v>94</v>
      </c>
      <c r="B364" s="799" t="s">
        <v>79</v>
      </c>
      <c r="C364" s="799" t="s">
        <v>80</v>
      </c>
      <c r="D364" s="799" t="s">
        <v>125</v>
      </c>
      <c r="E364" s="799" t="s">
        <v>235</v>
      </c>
      <c r="F364" s="799" t="s">
        <v>102</v>
      </c>
      <c r="G364" s="17" t="s">
        <v>95</v>
      </c>
      <c r="H364" s="49">
        <f>20.3-10.1</f>
        <v>10.200000000000001</v>
      </c>
    </row>
    <row r="365" spans="1:8" ht="14" x14ac:dyDescent="0.15">
      <c r="A365" s="449" t="s">
        <v>96</v>
      </c>
      <c r="B365" s="799" t="s">
        <v>79</v>
      </c>
      <c r="C365" s="799" t="s">
        <v>80</v>
      </c>
      <c r="D365" s="799" t="s">
        <v>125</v>
      </c>
      <c r="E365" s="799">
        <v>4429901</v>
      </c>
      <c r="F365" s="799" t="s">
        <v>102</v>
      </c>
      <c r="G365" s="17">
        <v>310</v>
      </c>
      <c r="H365" s="49">
        <f>80.4-0.32</f>
        <v>80.080000000000013</v>
      </c>
    </row>
    <row r="366" spans="1:8" ht="14" x14ac:dyDescent="0.15">
      <c r="A366" s="449" t="s">
        <v>97</v>
      </c>
      <c r="B366" s="799" t="s">
        <v>79</v>
      </c>
      <c r="C366" s="799" t="s">
        <v>80</v>
      </c>
      <c r="D366" s="799" t="s">
        <v>125</v>
      </c>
      <c r="E366" s="799">
        <v>4429901</v>
      </c>
      <c r="F366" s="799" t="s">
        <v>102</v>
      </c>
      <c r="G366" s="17">
        <v>340</v>
      </c>
      <c r="H366" s="49">
        <f>20+82.1</f>
        <v>102.1</v>
      </c>
    </row>
    <row r="367" spans="1:8" ht="14" x14ac:dyDescent="0.15">
      <c r="A367" s="48" t="s">
        <v>98</v>
      </c>
      <c r="B367" s="20" t="s">
        <v>79</v>
      </c>
      <c r="C367" s="20" t="s">
        <v>80</v>
      </c>
      <c r="D367" s="20" t="s">
        <v>125</v>
      </c>
      <c r="E367" s="20" t="s">
        <v>236</v>
      </c>
      <c r="F367" s="20" t="s">
        <v>102</v>
      </c>
      <c r="G367" s="67"/>
      <c r="H367" s="50">
        <f>SUM(H354:H366)</f>
        <v>7631.5</v>
      </c>
    </row>
    <row r="368" spans="1:8" ht="14" x14ac:dyDescent="0.15">
      <c r="A368" s="18" t="s">
        <v>137</v>
      </c>
      <c r="B368" s="799"/>
      <c r="C368" s="799"/>
      <c r="D368" s="799"/>
      <c r="E368" s="799"/>
      <c r="F368" s="799"/>
      <c r="G368" s="21"/>
      <c r="H368" s="50"/>
    </row>
    <row r="369" spans="1:8" ht="14" x14ac:dyDescent="0.15">
      <c r="A369" s="449" t="s">
        <v>78</v>
      </c>
      <c r="B369" s="799" t="s">
        <v>79</v>
      </c>
      <c r="C369" s="799" t="s">
        <v>80</v>
      </c>
      <c r="D369" s="799" t="s">
        <v>125</v>
      </c>
      <c r="E369" s="799">
        <v>4429901</v>
      </c>
      <c r="F369" s="799" t="s">
        <v>102</v>
      </c>
      <c r="G369" s="17">
        <v>211</v>
      </c>
      <c r="H369" s="49">
        <f>2052.3+26.427</f>
        <v>2078.7270000000003</v>
      </c>
    </row>
    <row r="370" spans="1:8" ht="14" x14ac:dyDescent="0.15">
      <c r="A370" s="449" t="s">
        <v>103</v>
      </c>
      <c r="B370" s="799" t="s">
        <v>79</v>
      </c>
      <c r="C370" s="799" t="s">
        <v>80</v>
      </c>
      <c r="D370" s="799" t="s">
        <v>125</v>
      </c>
      <c r="E370" s="799">
        <v>4429901</v>
      </c>
      <c r="F370" s="799" t="s">
        <v>102</v>
      </c>
      <c r="G370" s="17">
        <v>212</v>
      </c>
      <c r="H370" s="49">
        <v>3</v>
      </c>
    </row>
    <row r="371" spans="1:8" ht="14" x14ac:dyDescent="0.15">
      <c r="A371" s="449" t="s">
        <v>84</v>
      </c>
      <c r="B371" s="799" t="s">
        <v>79</v>
      </c>
      <c r="C371" s="799" t="s">
        <v>80</v>
      </c>
      <c r="D371" s="799" t="s">
        <v>125</v>
      </c>
      <c r="E371" s="799">
        <v>4429901</v>
      </c>
      <c r="F371" s="799" t="s">
        <v>102</v>
      </c>
      <c r="G371" s="17">
        <v>213</v>
      </c>
      <c r="H371" s="49">
        <v>619.79999999999995</v>
      </c>
    </row>
    <row r="372" spans="1:8" ht="14" x14ac:dyDescent="0.15">
      <c r="A372" s="449" t="s">
        <v>85</v>
      </c>
      <c r="B372" s="799" t="s">
        <v>79</v>
      </c>
      <c r="C372" s="799" t="s">
        <v>80</v>
      </c>
      <c r="D372" s="799" t="s">
        <v>125</v>
      </c>
      <c r="E372" s="799">
        <v>4429901</v>
      </c>
      <c r="F372" s="799" t="s">
        <v>102</v>
      </c>
      <c r="G372" s="17">
        <v>221</v>
      </c>
      <c r="H372" s="49">
        <v>9</v>
      </c>
    </row>
    <row r="373" spans="1:8" ht="14" x14ac:dyDescent="0.15">
      <c r="A373" s="449" t="s">
        <v>86</v>
      </c>
      <c r="B373" s="799" t="s">
        <v>79</v>
      </c>
      <c r="C373" s="799" t="s">
        <v>80</v>
      </c>
      <c r="D373" s="799" t="s">
        <v>125</v>
      </c>
      <c r="E373" s="799">
        <v>4429901</v>
      </c>
      <c r="F373" s="799" t="s">
        <v>102</v>
      </c>
      <c r="G373" s="17">
        <v>222</v>
      </c>
      <c r="H373" s="49">
        <v>3</v>
      </c>
    </row>
    <row r="374" spans="1:8" ht="14" x14ac:dyDescent="0.15">
      <c r="A374" s="449" t="s">
        <v>87</v>
      </c>
      <c r="B374" s="799" t="s">
        <v>79</v>
      </c>
      <c r="C374" s="799" t="s">
        <v>80</v>
      </c>
      <c r="D374" s="799" t="s">
        <v>125</v>
      </c>
      <c r="E374" s="799">
        <v>4429901</v>
      </c>
      <c r="F374" s="799" t="s">
        <v>102</v>
      </c>
      <c r="G374" s="17">
        <v>223</v>
      </c>
      <c r="H374" s="49">
        <v>52</v>
      </c>
    </row>
    <row r="375" spans="1:8" ht="14" x14ac:dyDescent="0.15">
      <c r="A375" s="449" t="s">
        <v>134</v>
      </c>
      <c r="B375" s="799" t="s">
        <v>79</v>
      </c>
      <c r="C375" s="799" t="s">
        <v>80</v>
      </c>
      <c r="D375" s="799" t="s">
        <v>125</v>
      </c>
      <c r="E375" s="799">
        <v>4429901</v>
      </c>
      <c r="F375" s="799" t="s">
        <v>102</v>
      </c>
      <c r="G375" s="17">
        <v>224</v>
      </c>
      <c r="H375" s="49">
        <v>20</v>
      </c>
    </row>
    <row r="376" spans="1:8" ht="14" x14ac:dyDescent="0.15">
      <c r="A376" s="449" t="s">
        <v>90</v>
      </c>
      <c r="B376" s="799" t="s">
        <v>79</v>
      </c>
      <c r="C376" s="799" t="s">
        <v>80</v>
      </c>
      <c r="D376" s="799" t="s">
        <v>125</v>
      </c>
      <c r="E376" s="799">
        <v>4429901</v>
      </c>
      <c r="F376" s="799" t="s">
        <v>102</v>
      </c>
      <c r="G376" s="17">
        <v>225</v>
      </c>
      <c r="H376" s="49">
        <v>24</v>
      </c>
    </row>
    <row r="377" spans="1:8" ht="14" x14ac:dyDescent="0.15">
      <c r="A377" s="449" t="s">
        <v>91</v>
      </c>
      <c r="B377" s="799" t="s">
        <v>79</v>
      </c>
      <c r="C377" s="799" t="s">
        <v>80</v>
      </c>
      <c r="D377" s="799" t="s">
        <v>125</v>
      </c>
      <c r="E377" s="799">
        <v>4429901</v>
      </c>
      <c r="F377" s="799" t="s">
        <v>102</v>
      </c>
      <c r="G377" s="17">
        <v>226</v>
      </c>
      <c r="H377" s="49">
        <f>70+50-26.427</f>
        <v>93.573000000000008</v>
      </c>
    </row>
    <row r="378" spans="1:8" ht="14" x14ac:dyDescent="0.15">
      <c r="A378" s="11" t="s">
        <v>94</v>
      </c>
      <c r="B378" s="799" t="s">
        <v>79</v>
      </c>
      <c r="C378" s="799" t="s">
        <v>80</v>
      </c>
      <c r="D378" s="799" t="s">
        <v>125</v>
      </c>
      <c r="E378" s="799">
        <v>4429901</v>
      </c>
      <c r="F378" s="799" t="s">
        <v>102</v>
      </c>
      <c r="G378" s="17">
        <v>290</v>
      </c>
      <c r="H378" s="49">
        <v>4</v>
      </c>
    </row>
    <row r="379" spans="1:8" ht="14" x14ac:dyDescent="0.15">
      <c r="A379" s="11" t="s">
        <v>94</v>
      </c>
      <c r="B379" s="799" t="s">
        <v>79</v>
      </c>
      <c r="C379" s="799" t="s">
        <v>80</v>
      </c>
      <c r="D379" s="799" t="s">
        <v>125</v>
      </c>
      <c r="E379" s="799" t="s">
        <v>235</v>
      </c>
      <c r="F379" s="799" t="s">
        <v>102</v>
      </c>
      <c r="G379" s="17" t="s">
        <v>95</v>
      </c>
      <c r="H379" s="49">
        <v>5.4</v>
      </c>
    </row>
    <row r="380" spans="1:8" ht="14" x14ac:dyDescent="0.15">
      <c r="A380" s="449" t="s">
        <v>96</v>
      </c>
      <c r="B380" s="799" t="s">
        <v>79</v>
      </c>
      <c r="C380" s="799" t="s">
        <v>80</v>
      </c>
      <c r="D380" s="799" t="s">
        <v>125</v>
      </c>
      <c r="E380" s="799">
        <v>4429901</v>
      </c>
      <c r="F380" s="799" t="s">
        <v>102</v>
      </c>
      <c r="G380" s="17">
        <v>310</v>
      </c>
      <c r="H380" s="49">
        <v>60</v>
      </c>
    </row>
    <row r="381" spans="1:8" ht="14" x14ac:dyDescent="0.15">
      <c r="A381" s="449" t="s">
        <v>97</v>
      </c>
      <c r="B381" s="799" t="s">
        <v>79</v>
      </c>
      <c r="C381" s="799" t="s">
        <v>80</v>
      </c>
      <c r="D381" s="799" t="s">
        <v>125</v>
      </c>
      <c r="E381" s="799">
        <v>4429901</v>
      </c>
      <c r="F381" s="799" t="s">
        <v>102</v>
      </c>
      <c r="G381" s="17">
        <v>340</v>
      </c>
      <c r="H381" s="49">
        <v>20</v>
      </c>
    </row>
    <row r="382" spans="1:8" ht="14" x14ac:dyDescent="0.15">
      <c r="A382" s="18" t="s">
        <v>98</v>
      </c>
      <c r="B382" s="19" t="s">
        <v>79</v>
      </c>
      <c r="C382" s="19" t="s">
        <v>80</v>
      </c>
      <c r="D382" s="19" t="s">
        <v>125</v>
      </c>
      <c r="E382" s="20" t="s">
        <v>236</v>
      </c>
      <c r="F382" s="20" t="s">
        <v>102</v>
      </c>
      <c r="G382" s="21"/>
      <c r="H382" s="32">
        <f>SUM(H369:H381)</f>
        <v>2992.5</v>
      </c>
    </row>
    <row r="383" spans="1:8" ht="14" x14ac:dyDescent="0.15">
      <c r="A383" s="18" t="s">
        <v>138</v>
      </c>
      <c r="B383" s="799"/>
      <c r="C383" s="799"/>
      <c r="D383" s="799"/>
      <c r="E383" s="799"/>
      <c r="F383" s="799"/>
      <c r="G383" s="21"/>
      <c r="H383" s="50"/>
    </row>
    <row r="384" spans="1:8" ht="14" x14ac:dyDescent="0.15">
      <c r="A384" s="449" t="s">
        <v>78</v>
      </c>
      <c r="B384" s="799" t="s">
        <v>79</v>
      </c>
      <c r="C384" s="799" t="s">
        <v>80</v>
      </c>
      <c r="D384" s="799" t="s">
        <v>125</v>
      </c>
      <c r="E384" s="799" t="s">
        <v>237</v>
      </c>
      <c r="F384" s="799" t="s">
        <v>102</v>
      </c>
      <c r="G384" s="17">
        <v>211</v>
      </c>
      <c r="H384" s="49">
        <f t="shared" ref="H384:H396" si="4">H369+H354+H339+H324</f>
        <v>34212.527000000002</v>
      </c>
    </row>
    <row r="385" spans="1:8" ht="14" x14ac:dyDescent="0.15">
      <c r="A385" s="449" t="s">
        <v>103</v>
      </c>
      <c r="B385" s="799" t="s">
        <v>79</v>
      </c>
      <c r="C385" s="799" t="s">
        <v>80</v>
      </c>
      <c r="D385" s="799" t="s">
        <v>125</v>
      </c>
      <c r="E385" s="799" t="s">
        <v>237</v>
      </c>
      <c r="F385" s="799" t="s">
        <v>102</v>
      </c>
      <c r="G385" s="17">
        <v>212</v>
      </c>
      <c r="H385" s="49">
        <f t="shared" si="4"/>
        <v>6</v>
      </c>
    </row>
    <row r="386" spans="1:8" ht="14" x14ac:dyDescent="0.15">
      <c r="A386" s="449" t="s">
        <v>84</v>
      </c>
      <c r="B386" s="799" t="s">
        <v>79</v>
      </c>
      <c r="C386" s="799" t="s">
        <v>80</v>
      </c>
      <c r="D386" s="799" t="s">
        <v>125</v>
      </c>
      <c r="E386" s="799" t="s">
        <v>237</v>
      </c>
      <c r="F386" s="799" t="s">
        <v>102</v>
      </c>
      <c r="G386" s="17">
        <v>213</v>
      </c>
      <c r="H386" s="49">
        <f t="shared" si="4"/>
        <v>10324.619999999999</v>
      </c>
    </row>
    <row r="387" spans="1:8" ht="14" x14ac:dyDescent="0.15">
      <c r="A387" s="449" t="s">
        <v>85</v>
      </c>
      <c r="B387" s="799" t="s">
        <v>79</v>
      </c>
      <c r="C387" s="799" t="s">
        <v>80</v>
      </c>
      <c r="D387" s="799" t="s">
        <v>125</v>
      </c>
      <c r="E387" s="799" t="s">
        <v>237</v>
      </c>
      <c r="F387" s="799" t="s">
        <v>102</v>
      </c>
      <c r="G387" s="17">
        <v>221</v>
      </c>
      <c r="H387" s="49">
        <f t="shared" si="4"/>
        <v>107</v>
      </c>
    </row>
    <row r="388" spans="1:8" ht="14" x14ac:dyDescent="0.15">
      <c r="A388" s="449" t="s">
        <v>86</v>
      </c>
      <c r="B388" s="799" t="s">
        <v>79</v>
      </c>
      <c r="C388" s="799" t="s">
        <v>80</v>
      </c>
      <c r="D388" s="799" t="s">
        <v>125</v>
      </c>
      <c r="E388" s="799" t="s">
        <v>237</v>
      </c>
      <c r="F388" s="799" t="s">
        <v>102</v>
      </c>
      <c r="G388" s="17">
        <v>222</v>
      </c>
      <c r="H388" s="49">
        <f t="shared" si="4"/>
        <v>8</v>
      </c>
    </row>
    <row r="389" spans="1:8" ht="14" x14ac:dyDescent="0.15">
      <c r="A389" s="449" t="s">
        <v>87</v>
      </c>
      <c r="B389" s="799" t="s">
        <v>79</v>
      </c>
      <c r="C389" s="799" t="s">
        <v>80</v>
      </c>
      <c r="D389" s="799" t="s">
        <v>125</v>
      </c>
      <c r="E389" s="799" t="s">
        <v>237</v>
      </c>
      <c r="F389" s="799" t="s">
        <v>102</v>
      </c>
      <c r="G389" s="17">
        <v>223</v>
      </c>
      <c r="H389" s="49">
        <f t="shared" si="4"/>
        <v>2192</v>
      </c>
    </row>
    <row r="390" spans="1:8" ht="14" x14ac:dyDescent="0.15">
      <c r="A390" s="449" t="s">
        <v>134</v>
      </c>
      <c r="B390" s="799" t="s">
        <v>79</v>
      </c>
      <c r="C390" s="799" t="s">
        <v>80</v>
      </c>
      <c r="D390" s="799" t="s">
        <v>125</v>
      </c>
      <c r="E390" s="799" t="s">
        <v>237</v>
      </c>
      <c r="F390" s="799" t="s">
        <v>102</v>
      </c>
      <c r="G390" s="17">
        <v>224</v>
      </c>
      <c r="H390" s="49">
        <f t="shared" si="4"/>
        <v>620</v>
      </c>
    </row>
    <row r="391" spans="1:8" ht="14" x14ac:dyDescent="0.15">
      <c r="A391" s="449" t="s">
        <v>90</v>
      </c>
      <c r="B391" s="799" t="s">
        <v>79</v>
      </c>
      <c r="C391" s="799" t="s">
        <v>80</v>
      </c>
      <c r="D391" s="799" t="s">
        <v>125</v>
      </c>
      <c r="E391" s="799" t="s">
        <v>237</v>
      </c>
      <c r="F391" s="799" t="s">
        <v>102</v>
      </c>
      <c r="G391" s="17">
        <v>225</v>
      </c>
      <c r="H391" s="49">
        <f t="shared" si="4"/>
        <v>2144</v>
      </c>
    </row>
    <row r="392" spans="1:8" ht="14" x14ac:dyDescent="0.15">
      <c r="A392" s="449" t="s">
        <v>91</v>
      </c>
      <c r="B392" s="799" t="s">
        <v>79</v>
      </c>
      <c r="C392" s="799" t="s">
        <v>80</v>
      </c>
      <c r="D392" s="799" t="s">
        <v>125</v>
      </c>
      <c r="E392" s="799" t="s">
        <v>237</v>
      </c>
      <c r="F392" s="799" t="s">
        <v>102</v>
      </c>
      <c r="G392" s="17">
        <v>226</v>
      </c>
      <c r="H392" s="49">
        <f t="shared" si="4"/>
        <v>2471.1729999999998</v>
      </c>
    </row>
    <row r="393" spans="1:8" ht="14" x14ac:dyDescent="0.15">
      <c r="A393" s="11" t="s">
        <v>94</v>
      </c>
      <c r="B393" s="799" t="s">
        <v>79</v>
      </c>
      <c r="C393" s="799" t="s">
        <v>80</v>
      </c>
      <c r="D393" s="799" t="s">
        <v>125</v>
      </c>
      <c r="E393" s="799" t="s">
        <v>237</v>
      </c>
      <c r="F393" s="799" t="s">
        <v>102</v>
      </c>
      <c r="G393" s="17">
        <v>290</v>
      </c>
      <c r="H393" s="49">
        <f t="shared" si="4"/>
        <v>70.8</v>
      </c>
    </row>
    <row r="394" spans="1:8" ht="14" x14ac:dyDescent="0.15">
      <c r="A394" s="11" t="s">
        <v>94</v>
      </c>
      <c r="B394" s="799" t="s">
        <v>79</v>
      </c>
      <c r="C394" s="799" t="s">
        <v>80</v>
      </c>
      <c r="D394" s="799" t="s">
        <v>125</v>
      </c>
      <c r="E394" s="799" t="s">
        <v>235</v>
      </c>
      <c r="F394" s="799" t="s">
        <v>102</v>
      </c>
      <c r="G394" s="17" t="s">
        <v>95</v>
      </c>
      <c r="H394" s="49">
        <f t="shared" si="4"/>
        <v>2378.2999999999997</v>
      </c>
    </row>
    <row r="395" spans="1:8" ht="14" x14ac:dyDescent="0.15">
      <c r="A395" s="449" t="s">
        <v>96</v>
      </c>
      <c r="B395" s="799" t="s">
        <v>79</v>
      </c>
      <c r="C395" s="799" t="s">
        <v>80</v>
      </c>
      <c r="D395" s="799" t="s">
        <v>125</v>
      </c>
      <c r="E395" s="799" t="s">
        <v>237</v>
      </c>
      <c r="F395" s="799" t="s">
        <v>102</v>
      </c>
      <c r="G395" s="17">
        <v>310</v>
      </c>
      <c r="H395" s="49">
        <f t="shared" si="4"/>
        <v>445.08000000000004</v>
      </c>
    </row>
    <row r="396" spans="1:8" ht="14" x14ac:dyDescent="0.15">
      <c r="A396" s="449" t="s">
        <v>97</v>
      </c>
      <c r="B396" s="799" t="s">
        <v>79</v>
      </c>
      <c r="C396" s="799" t="s">
        <v>80</v>
      </c>
      <c r="D396" s="799" t="s">
        <v>125</v>
      </c>
      <c r="E396" s="799" t="s">
        <v>237</v>
      </c>
      <c r="F396" s="799" t="s">
        <v>102</v>
      </c>
      <c r="G396" s="17">
        <v>340</v>
      </c>
      <c r="H396" s="49">
        <f t="shared" si="4"/>
        <v>357.1</v>
      </c>
    </row>
    <row r="397" spans="1:8" ht="14" x14ac:dyDescent="0.15">
      <c r="A397" s="18" t="s">
        <v>98</v>
      </c>
      <c r="B397" s="19" t="s">
        <v>79</v>
      </c>
      <c r="C397" s="19" t="s">
        <v>80</v>
      </c>
      <c r="D397" s="19" t="s">
        <v>125</v>
      </c>
      <c r="E397" s="20" t="s">
        <v>236</v>
      </c>
      <c r="F397" s="20" t="s">
        <v>102</v>
      </c>
      <c r="G397" s="21"/>
      <c r="H397" s="812">
        <f>SUM(H384:H396)</f>
        <v>55336.600000000006</v>
      </c>
    </row>
    <row r="398" spans="1:8" ht="14" x14ac:dyDescent="0.15">
      <c r="A398" s="18" t="s">
        <v>139</v>
      </c>
      <c r="B398" s="799"/>
      <c r="C398" s="799"/>
      <c r="D398" s="799"/>
      <c r="E398" s="19"/>
      <c r="F398" s="19"/>
      <c r="G398" s="21"/>
      <c r="H398" s="50"/>
    </row>
    <row r="399" spans="1:8" ht="14" x14ac:dyDescent="0.15">
      <c r="A399" s="449" t="s">
        <v>78</v>
      </c>
      <c r="B399" s="799" t="s">
        <v>79</v>
      </c>
      <c r="C399" s="799" t="s">
        <v>80</v>
      </c>
      <c r="D399" s="799" t="s">
        <v>125</v>
      </c>
      <c r="E399" s="799">
        <v>4439901</v>
      </c>
      <c r="F399" s="799" t="s">
        <v>102</v>
      </c>
      <c r="G399" s="17">
        <v>211</v>
      </c>
      <c r="H399" s="49">
        <f>22266.8+1.166</f>
        <v>22267.966</v>
      </c>
    </row>
    <row r="400" spans="1:8" ht="14" x14ac:dyDescent="0.15">
      <c r="A400" s="449" t="s">
        <v>103</v>
      </c>
      <c r="B400" s="799" t="s">
        <v>79</v>
      </c>
      <c r="C400" s="799" t="s">
        <v>80</v>
      </c>
      <c r="D400" s="799" t="s">
        <v>125</v>
      </c>
      <c r="E400" s="799">
        <v>4439901</v>
      </c>
      <c r="F400" s="799" t="s">
        <v>102</v>
      </c>
      <c r="G400" s="17">
        <v>212</v>
      </c>
      <c r="H400" s="49"/>
    </row>
    <row r="401" spans="1:8" ht="14" x14ac:dyDescent="0.15">
      <c r="A401" s="449" t="s">
        <v>84</v>
      </c>
      <c r="B401" s="799" t="s">
        <v>79</v>
      </c>
      <c r="C401" s="799" t="s">
        <v>80</v>
      </c>
      <c r="D401" s="799" t="s">
        <v>125</v>
      </c>
      <c r="E401" s="799">
        <v>4439901</v>
      </c>
      <c r="F401" s="799" t="s">
        <v>102</v>
      </c>
      <c r="G401" s="17">
        <v>213</v>
      </c>
      <c r="H401" s="49">
        <v>6724.6</v>
      </c>
    </row>
    <row r="402" spans="1:8" ht="14" x14ac:dyDescent="0.15">
      <c r="A402" s="449" t="s">
        <v>85</v>
      </c>
      <c r="B402" s="799" t="s">
        <v>79</v>
      </c>
      <c r="C402" s="799" t="s">
        <v>80</v>
      </c>
      <c r="D402" s="799" t="s">
        <v>125</v>
      </c>
      <c r="E402" s="799">
        <v>4439901</v>
      </c>
      <c r="F402" s="799" t="s">
        <v>102</v>
      </c>
      <c r="G402" s="17">
        <v>221</v>
      </c>
      <c r="H402" s="49"/>
    </row>
    <row r="403" spans="1:8" ht="14" x14ac:dyDescent="0.15">
      <c r="A403" s="449" t="s">
        <v>86</v>
      </c>
      <c r="B403" s="799" t="s">
        <v>79</v>
      </c>
      <c r="C403" s="799" t="s">
        <v>80</v>
      </c>
      <c r="D403" s="799" t="s">
        <v>125</v>
      </c>
      <c r="E403" s="799">
        <v>4439901</v>
      </c>
      <c r="F403" s="799" t="s">
        <v>102</v>
      </c>
      <c r="G403" s="17">
        <v>222</v>
      </c>
      <c r="H403" s="49">
        <f>75+9.71</f>
        <v>84.710000000000008</v>
      </c>
    </row>
    <row r="404" spans="1:8" ht="14" x14ac:dyDescent="0.15">
      <c r="A404" s="449" t="s">
        <v>87</v>
      </c>
      <c r="B404" s="799" t="s">
        <v>79</v>
      </c>
      <c r="C404" s="799" t="s">
        <v>80</v>
      </c>
      <c r="D404" s="799" t="s">
        <v>125</v>
      </c>
      <c r="E404" s="799">
        <v>4439901</v>
      </c>
      <c r="F404" s="799" t="s">
        <v>102</v>
      </c>
      <c r="G404" s="17">
        <v>223</v>
      </c>
      <c r="H404" s="49">
        <v>2055</v>
      </c>
    </row>
    <row r="405" spans="1:8" ht="14" x14ac:dyDescent="0.15">
      <c r="A405" s="449" t="s">
        <v>134</v>
      </c>
      <c r="B405" s="799" t="s">
        <v>79</v>
      </c>
      <c r="C405" s="799" t="s">
        <v>80</v>
      </c>
      <c r="D405" s="799" t="s">
        <v>125</v>
      </c>
      <c r="E405" s="799">
        <v>4439901</v>
      </c>
      <c r="F405" s="799" t="s">
        <v>102</v>
      </c>
      <c r="G405" s="17">
        <v>224</v>
      </c>
      <c r="H405" s="49"/>
    </row>
    <row r="406" spans="1:8" ht="14" x14ac:dyDescent="0.15">
      <c r="A406" s="449" t="s">
        <v>90</v>
      </c>
      <c r="B406" s="799" t="s">
        <v>79</v>
      </c>
      <c r="C406" s="799" t="s">
        <v>80</v>
      </c>
      <c r="D406" s="799" t="s">
        <v>125</v>
      </c>
      <c r="E406" s="799">
        <v>4439901</v>
      </c>
      <c r="F406" s="799" t="s">
        <v>102</v>
      </c>
      <c r="G406" s="17">
        <v>225</v>
      </c>
      <c r="H406" s="49">
        <v>231</v>
      </c>
    </row>
    <row r="407" spans="1:8" ht="14" x14ac:dyDescent="0.15">
      <c r="A407" s="449" t="s">
        <v>91</v>
      </c>
      <c r="B407" s="799" t="s">
        <v>79</v>
      </c>
      <c r="C407" s="799" t="s">
        <v>80</v>
      </c>
      <c r="D407" s="799" t="s">
        <v>125</v>
      </c>
      <c r="E407" s="799">
        <v>4439901</v>
      </c>
      <c r="F407" s="799" t="s">
        <v>102</v>
      </c>
      <c r="G407" s="17">
        <v>226</v>
      </c>
      <c r="H407" s="49">
        <f>350-50+250+581.221</f>
        <v>1131.221</v>
      </c>
    </row>
    <row r="408" spans="1:8" ht="14" x14ac:dyDescent="0.15">
      <c r="A408" s="11" t="s">
        <v>94</v>
      </c>
      <c r="B408" s="799" t="s">
        <v>79</v>
      </c>
      <c r="C408" s="799" t="s">
        <v>80</v>
      </c>
      <c r="D408" s="799" t="s">
        <v>125</v>
      </c>
      <c r="E408" s="799">
        <v>4439901</v>
      </c>
      <c r="F408" s="799" t="s">
        <v>102</v>
      </c>
      <c r="G408" s="17">
        <v>290</v>
      </c>
      <c r="H408" s="49">
        <v>47.5</v>
      </c>
    </row>
    <row r="409" spans="1:8" ht="14" x14ac:dyDescent="0.15">
      <c r="A409" s="11" t="s">
        <v>94</v>
      </c>
      <c r="B409" s="799" t="s">
        <v>79</v>
      </c>
      <c r="C409" s="799" t="s">
        <v>80</v>
      </c>
      <c r="D409" s="799" t="s">
        <v>125</v>
      </c>
      <c r="E409" s="799" t="s">
        <v>238</v>
      </c>
      <c r="F409" s="799" t="s">
        <v>102</v>
      </c>
      <c r="G409" s="17" t="s">
        <v>95</v>
      </c>
      <c r="H409" s="49">
        <f>1615.3+2565.8-390</f>
        <v>3791.1000000000004</v>
      </c>
    </row>
    <row r="410" spans="1:8" ht="14" x14ac:dyDescent="0.15">
      <c r="A410" s="449" t="s">
        <v>96</v>
      </c>
      <c r="B410" s="799" t="s">
        <v>79</v>
      </c>
      <c r="C410" s="799" t="s">
        <v>80</v>
      </c>
      <c r="D410" s="799" t="s">
        <v>125</v>
      </c>
      <c r="E410" s="799">
        <v>4439901</v>
      </c>
      <c r="F410" s="799" t="s">
        <v>102</v>
      </c>
      <c r="G410" s="17">
        <v>310</v>
      </c>
      <c r="H410" s="49">
        <f>2200-2000</f>
        <v>200</v>
      </c>
    </row>
    <row r="411" spans="1:8" ht="14" x14ac:dyDescent="0.15">
      <c r="A411" s="449" t="s">
        <v>97</v>
      </c>
      <c r="B411" s="799" t="s">
        <v>79</v>
      </c>
      <c r="C411" s="799" t="s">
        <v>80</v>
      </c>
      <c r="D411" s="799" t="s">
        <v>125</v>
      </c>
      <c r="E411" s="799">
        <v>4439901</v>
      </c>
      <c r="F411" s="799" t="s">
        <v>102</v>
      </c>
      <c r="G411" s="17">
        <v>340</v>
      </c>
      <c r="H411" s="49">
        <f>250-1.166</f>
        <v>248.834</v>
      </c>
    </row>
    <row r="412" spans="1:8" ht="14" x14ac:dyDescent="0.15">
      <c r="A412" s="48" t="s">
        <v>98</v>
      </c>
      <c r="B412" s="20" t="s">
        <v>79</v>
      </c>
      <c r="C412" s="20" t="s">
        <v>80</v>
      </c>
      <c r="D412" s="20" t="s">
        <v>125</v>
      </c>
      <c r="E412" s="20" t="s">
        <v>239</v>
      </c>
      <c r="F412" s="20" t="s">
        <v>102</v>
      </c>
      <c r="G412" s="67"/>
      <c r="H412" s="50">
        <f>SUM(H399:H411)</f>
        <v>36781.931000000004</v>
      </c>
    </row>
    <row r="413" spans="1:8" ht="14" x14ac:dyDescent="0.15">
      <c r="A413" s="18" t="s">
        <v>140</v>
      </c>
      <c r="B413" s="799"/>
      <c r="C413" s="799"/>
      <c r="D413" s="799"/>
      <c r="E413" s="799"/>
      <c r="F413" s="799"/>
      <c r="G413" s="21"/>
      <c r="H413" s="50"/>
    </row>
    <row r="414" spans="1:8" ht="14" x14ac:dyDescent="0.15">
      <c r="A414" s="449" t="s">
        <v>78</v>
      </c>
      <c r="B414" s="799" t="s">
        <v>79</v>
      </c>
      <c r="C414" s="799" t="s">
        <v>80</v>
      </c>
      <c r="D414" s="799" t="s">
        <v>125</v>
      </c>
      <c r="E414" s="799">
        <v>4439901</v>
      </c>
      <c r="F414" s="799" t="s">
        <v>102</v>
      </c>
      <c r="G414" s="17">
        <v>211</v>
      </c>
      <c r="H414" s="49">
        <f>23078.4+140.609-0.609</f>
        <v>23218.400000000001</v>
      </c>
    </row>
    <row r="415" spans="1:8" ht="14" x14ac:dyDescent="0.15">
      <c r="A415" s="449" t="s">
        <v>103</v>
      </c>
      <c r="B415" s="799" t="s">
        <v>79</v>
      </c>
      <c r="C415" s="799" t="s">
        <v>80</v>
      </c>
      <c r="D415" s="799" t="s">
        <v>125</v>
      </c>
      <c r="E415" s="799">
        <v>4439901</v>
      </c>
      <c r="F415" s="799" t="s">
        <v>102</v>
      </c>
      <c r="G415" s="17">
        <v>212</v>
      </c>
      <c r="H415" s="49"/>
    </row>
    <row r="416" spans="1:8" ht="14" x14ac:dyDescent="0.15">
      <c r="A416" s="449" t="s">
        <v>84</v>
      </c>
      <c r="B416" s="799" t="s">
        <v>79</v>
      </c>
      <c r="C416" s="799" t="s">
        <v>80</v>
      </c>
      <c r="D416" s="799" t="s">
        <v>125</v>
      </c>
      <c r="E416" s="799">
        <v>4439901</v>
      </c>
      <c r="F416" s="799" t="s">
        <v>102</v>
      </c>
      <c r="G416" s="17">
        <v>213</v>
      </c>
      <c r="H416" s="49">
        <f>6969.7-140.609+0.609</f>
        <v>6829.7</v>
      </c>
    </row>
    <row r="417" spans="1:8" ht="14" x14ac:dyDescent="0.15">
      <c r="A417" s="449" t="s">
        <v>85</v>
      </c>
      <c r="B417" s="799" t="s">
        <v>79</v>
      </c>
      <c r="C417" s="799" t="s">
        <v>80</v>
      </c>
      <c r="D417" s="799" t="s">
        <v>125</v>
      </c>
      <c r="E417" s="799">
        <v>4439901</v>
      </c>
      <c r="F417" s="799" t="s">
        <v>102</v>
      </c>
      <c r="G417" s="17">
        <v>221</v>
      </c>
      <c r="H417" s="49"/>
    </row>
    <row r="418" spans="1:8" ht="14" x14ac:dyDescent="0.15">
      <c r="A418" s="449" t="s">
        <v>86</v>
      </c>
      <c r="B418" s="799" t="s">
        <v>79</v>
      </c>
      <c r="C418" s="799" t="s">
        <v>80</v>
      </c>
      <c r="D418" s="799" t="s">
        <v>125</v>
      </c>
      <c r="E418" s="799">
        <v>4439901</v>
      </c>
      <c r="F418" s="799" t="s">
        <v>102</v>
      </c>
      <c r="G418" s="17">
        <v>222</v>
      </c>
      <c r="H418" s="49"/>
    </row>
    <row r="419" spans="1:8" ht="14" x14ac:dyDescent="0.15">
      <c r="A419" s="449" t="s">
        <v>87</v>
      </c>
      <c r="B419" s="799" t="s">
        <v>79</v>
      </c>
      <c r="C419" s="799" t="s">
        <v>80</v>
      </c>
      <c r="D419" s="799" t="s">
        <v>125</v>
      </c>
      <c r="E419" s="799">
        <v>4439901</v>
      </c>
      <c r="F419" s="799" t="s">
        <v>102</v>
      </c>
      <c r="G419" s="17">
        <v>223</v>
      </c>
      <c r="H419" s="49">
        <f>790+30</f>
        <v>820</v>
      </c>
    </row>
    <row r="420" spans="1:8" ht="14" x14ac:dyDescent="0.15">
      <c r="A420" s="449" t="s">
        <v>134</v>
      </c>
      <c r="B420" s="799" t="s">
        <v>79</v>
      </c>
      <c r="C420" s="799" t="s">
        <v>80</v>
      </c>
      <c r="D420" s="799" t="s">
        <v>125</v>
      </c>
      <c r="E420" s="799">
        <v>4439901</v>
      </c>
      <c r="F420" s="799" t="s">
        <v>102</v>
      </c>
      <c r="G420" s="17">
        <v>224</v>
      </c>
      <c r="H420" s="49"/>
    </row>
    <row r="421" spans="1:8" ht="14" x14ac:dyDescent="0.15">
      <c r="A421" s="449" t="s">
        <v>90</v>
      </c>
      <c r="B421" s="799" t="s">
        <v>79</v>
      </c>
      <c r="C421" s="799" t="s">
        <v>80</v>
      </c>
      <c r="D421" s="799" t="s">
        <v>125</v>
      </c>
      <c r="E421" s="799">
        <v>4439901</v>
      </c>
      <c r="F421" s="799" t="s">
        <v>102</v>
      </c>
      <c r="G421" s="17">
        <v>225</v>
      </c>
      <c r="H421" s="49">
        <f>250+100</f>
        <v>350</v>
      </c>
    </row>
    <row r="422" spans="1:8" ht="14" x14ac:dyDescent="0.15">
      <c r="A422" s="449" t="s">
        <v>91</v>
      </c>
      <c r="B422" s="799" t="s">
        <v>79</v>
      </c>
      <c r="C422" s="799" t="s">
        <v>80</v>
      </c>
      <c r="D422" s="799" t="s">
        <v>125</v>
      </c>
      <c r="E422" s="799">
        <v>4439901</v>
      </c>
      <c r="F422" s="799" t="s">
        <v>102</v>
      </c>
      <c r="G422" s="17">
        <v>226</v>
      </c>
      <c r="H422" s="49">
        <f>130+50</f>
        <v>180</v>
      </c>
    </row>
    <row r="423" spans="1:8" ht="14" x14ac:dyDescent="0.15">
      <c r="A423" s="11" t="s">
        <v>94</v>
      </c>
      <c r="B423" s="799" t="s">
        <v>79</v>
      </c>
      <c r="C423" s="799" t="s">
        <v>80</v>
      </c>
      <c r="D423" s="799" t="s">
        <v>125</v>
      </c>
      <c r="E423" s="799">
        <v>4439901</v>
      </c>
      <c r="F423" s="799" t="s">
        <v>102</v>
      </c>
      <c r="G423" s="17">
        <v>290</v>
      </c>
      <c r="H423" s="49">
        <v>40.1</v>
      </c>
    </row>
    <row r="424" spans="1:8" ht="14" x14ac:dyDescent="0.15">
      <c r="A424" s="11" t="s">
        <v>94</v>
      </c>
      <c r="B424" s="799" t="s">
        <v>79</v>
      </c>
      <c r="C424" s="799" t="s">
        <v>80</v>
      </c>
      <c r="D424" s="799" t="s">
        <v>125</v>
      </c>
      <c r="E424" s="799" t="s">
        <v>238</v>
      </c>
      <c r="F424" s="799" t="s">
        <v>102</v>
      </c>
      <c r="G424" s="17" t="s">
        <v>95</v>
      </c>
      <c r="H424" s="49">
        <f>864.4+830.3</f>
        <v>1694.6999999999998</v>
      </c>
    </row>
    <row r="425" spans="1:8" ht="14" x14ac:dyDescent="0.15">
      <c r="A425" s="449" t="s">
        <v>96</v>
      </c>
      <c r="B425" s="799" t="s">
        <v>79</v>
      </c>
      <c r="C425" s="799" t="s">
        <v>80</v>
      </c>
      <c r="D425" s="799" t="s">
        <v>125</v>
      </c>
      <c r="E425" s="799">
        <v>4439901</v>
      </c>
      <c r="F425" s="799" t="s">
        <v>102</v>
      </c>
      <c r="G425" s="17">
        <v>310</v>
      </c>
      <c r="H425" s="49">
        <v>50</v>
      </c>
    </row>
    <row r="426" spans="1:8" ht="14" x14ac:dyDescent="0.15">
      <c r="A426" s="449" t="s">
        <v>97</v>
      </c>
      <c r="B426" s="799" t="s">
        <v>79</v>
      </c>
      <c r="C426" s="799" t="s">
        <v>80</v>
      </c>
      <c r="D426" s="799" t="s">
        <v>125</v>
      </c>
      <c r="E426" s="799">
        <v>4439901</v>
      </c>
      <c r="F426" s="799" t="s">
        <v>102</v>
      </c>
      <c r="G426" s="17">
        <v>340</v>
      </c>
      <c r="H426" s="49">
        <f>170-100</f>
        <v>70</v>
      </c>
    </row>
    <row r="427" spans="1:8" ht="14" x14ac:dyDescent="0.15">
      <c r="A427" s="48" t="s">
        <v>98</v>
      </c>
      <c r="B427" s="20" t="s">
        <v>79</v>
      </c>
      <c r="C427" s="20" t="s">
        <v>80</v>
      </c>
      <c r="D427" s="20" t="s">
        <v>125</v>
      </c>
      <c r="E427" s="20" t="s">
        <v>239</v>
      </c>
      <c r="F427" s="20" t="s">
        <v>102</v>
      </c>
      <c r="G427" s="67"/>
      <c r="H427" s="50">
        <f>SUM(H414:H426)</f>
        <v>33252.9</v>
      </c>
    </row>
    <row r="428" spans="1:8" ht="14" x14ac:dyDescent="0.15">
      <c r="A428" s="18" t="s">
        <v>141</v>
      </c>
      <c r="B428" s="799"/>
      <c r="C428" s="799"/>
      <c r="D428" s="799"/>
      <c r="E428" s="799"/>
      <c r="F428" s="799"/>
      <c r="G428" s="21"/>
      <c r="H428" s="50"/>
    </row>
    <row r="429" spans="1:8" ht="14" x14ac:dyDescent="0.15">
      <c r="A429" s="449" t="s">
        <v>78</v>
      </c>
      <c r="B429" s="799" t="s">
        <v>79</v>
      </c>
      <c r="C429" s="799" t="s">
        <v>80</v>
      </c>
      <c r="D429" s="799" t="s">
        <v>125</v>
      </c>
      <c r="E429" s="799">
        <v>4439901</v>
      </c>
      <c r="F429" s="799" t="s">
        <v>102</v>
      </c>
      <c r="G429" s="17">
        <v>211</v>
      </c>
      <c r="H429" s="49">
        <f>19687.7+200+2.1</f>
        <v>19889.8</v>
      </c>
    </row>
    <row r="430" spans="1:8" ht="14" x14ac:dyDescent="0.15">
      <c r="A430" s="449" t="s">
        <v>103</v>
      </c>
      <c r="B430" s="799" t="s">
        <v>79</v>
      </c>
      <c r="C430" s="799" t="s">
        <v>80</v>
      </c>
      <c r="D430" s="799" t="s">
        <v>125</v>
      </c>
      <c r="E430" s="799">
        <v>4439901</v>
      </c>
      <c r="F430" s="799" t="s">
        <v>102</v>
      </c>
      <c r="G430" s="17">
        <v>212</v>
      </c>
      <c r="H430" s="49"/>
    </row>
    <row r="431" spans="1:8" ht="14" x14ac:dyDescent="0.15">
      <c r="A431" s="449" t="s">
        <v>84</v>
      </c>
      <c r="B431" s="799" t="s">
        <v>79</v>
      </c>
      <c r="C431" s="799" t="s">
        <v>80</v>
      </c>
      <c r="D431" s="799" t="s">
        <v>125</v>
      </c>
      <c r="E431" s="799">
        <v>4439901</v>
      </c>
      <c r="F431" s="799" t="s">
        <v>102</v>
      </c>
      <c r="G431" s="17">
        <v>213</v>
      </c>
      <c r="H431" s="49">
        <f>5945.7-2.1</f>
        <v>5943.5999999999995</v>
      </c>
    </row>
    <row r="432" spans="1:8" ht="14" x14ac:dyDescent="0.15">
      <c r="A432" s="449" t="s">
        <v>85</v>
      </c>
      <c r="B432" s="799" t="s">
        <v>79</v>
      </c>
      <c r="C432" s="799" t="s">
        <v>80</v>
      </c>
      <c r="D432" s="799" t="s">
        <v>125</v>
      </c>
      <c r="E432" s="799">
        <v>4439901</v>
      </c>
      <c r="F432" s="799" t="s">
        <v>102</v>
      </c>
      <c r="G432" s="17">
        <v>221</v>
      </c>
      <c r="H432" s="49"/>
    </row>
    <row r="433" spans="1:8" ht="14" x14ac:dyDescent="0.15">
      <c r="A433" s="449" t="s">
        <v>86</v>
      </c>
      <c r="B433" s="799" t="s">
        <v>79</v>
      </c>
      <c r="C433" s="799" t="s">
        <v>80</v>
      </c>
      <c r="D433" s="799" t="s">
        <v>125</v>
      </c>
      <c r="E433" s="799">
        <v>4439901</v>
      </c>
      <c r="F433" s="799" t="s">
        <v>102</v>
      </c>
      <c r="G433" s="17">
        <v>222</v>
      </c>
      <c r="H433" s="49"/>
    </row>
    <row r="434" spans="1:8" ht="14" x14ac:dyDescent="0.15">
      <c r="A434" s="449" t="s">
        <v>87</v>
      </c>
      <c r="B434" s="799" t="s">
        <v>79</v>
      </c>
      <c r="C434" s="799" t="s">
        <v>80</v>
      </c>
      <c r="D434" s="799" t="s">
        <v>125</v>
      </c>
      <c r="E434" s="799">
        <v>4439901</v>
      </c>
      <c r="F434" s="799" t="s">
        <v>102</v>
      </c>
      <c r="G434" s="17">
        <v>223</v>
      </c>
      <c r="H434" s="49">
        <f>1290-40-200</f>
        <v>1050</v>
      </c>
    </row>
    <row r="435" spans="1:8" ht="14" x14ac:dyDescent="0.15">
      <c r="A435" s="449" t="s">
        <v>134</v>
      </c>
      <c r="B435" s="799" t="s">
        <v>79</v>
      </c>
      <c r="C435" s="799" t="s">
        <v>80</v>
      </c>
      <c r="D435" s="799" t="s">
        <v>125</v>
      </c>
      <c r="E435" s="799">
        <v>4439901</v>
      </c>
      <c r="F435" s="799" t="s">
        <v>102</v>
      </c>
      <c r="G435" s="17">
        <v>224</v>
      </c>
      <c r="H435" s="49"/>
    </row>
    <row r="436" spans="1:8" ht="14" x14ac:dyDescent="0.15">
      <c r="A436" s="449" t="s">
        <v>90</v>
      </c>
      <c r="B436" s="799" t="s">
        <v>79</v>
      </c>
      <c r="C436" s="799" t="s">
        <v>80</v>
      </c>
      <c r="D436" s="799" t="s">
        <v>125</v>
      </c>
      <c r="E436" s="799">
        <v>4439901</v>
      </c>
      <c r="F436" s="799" t="s">
        <v>102</v>
      </c>
      <c r="G436" s="17">
        <v>225</v>
      </c>
      <c r="H436" s="49"/>
    </row>
    <row r="437" spans="1:8" ht="14" x14ac:dyDescent="0.15">
      <c r="A437" s="449" t="s">
        <v>91</v>
      </c>
      <c r="B437" s="799" t="s">
        <v>79</v>
      </c>
      <c r="C437" s="799" t="s">
        <v>80</v>
      </c>
      <c r="D437" s="799" t="s">
        <v>125</v>
      </c>
      <c r="E437" s="799">
        <v>4439901</v>
      </c>
      <c r="F437" s="799" t="s">
        <v>102</v>
      </c>
      <c r="G437" s="17">
        <v>226</v>
      </c>
      <c r="H437" s="49">
        <f>204.64-50</f>
        <v>154.63999999999999</v>
      </c>
    </row>
    <row r="438" spans="1:8" ht="14" x14ac:dyDescent="0.15">
      <c r="A438" s="11" t="s">
        <v>94</v>
      </c>
      <c r="B438" s="799" t="s">
        <v>79</v>
      </c>
      <c r="C438" s="799" t="s">
        <v>80</v>
      </c>
      <c r="D438" s="799" t="s">
        <v>125</v>
      </c>
      <c r="E438" s="799">
        <v>4439901</v>
      </c>
      <c r="F438" s="799" t="s">
        <v>102</v>
      </c>
      <c r="G438" s="17">
        <v>290</v>
      </c>
      <c r="H438" s="49">
        <v>40.299999999999997</v>
      </c>
    </row>
    <row r="439" spans="1:8" ht="14" x14ac:dyDescent="0.15">
      <c r="A439" s="11" t="s">
        <v>94</v>
      </c>
      <c r="B439" s="799" t="s">
        <v>79</v>
      </c>
      <c r="C439" s="799" t="s">
        <v>80</v>
      </c>
      <c r="D439" s="799" t="s">
        <v>125</v>
      </c>
      <c r="E439" s="799" t="s">
        <v>238</v>
      </c>
      <c r="F439" s="799" t="s">
        <v>102</v>
      </c>
      <c r="G439" s="17" t="s">
        <v>95</v>
      </c>
      <c r="H439" s="49">
        <f>455.1+2521+123</f>
        <v>3099.1</v>
      </c>
    </row>
    <row r="440" spans="1:8" ht="14" x14ac:dyDescent="0.15">
      <c r="A440" s="449" t="s">
        <v>96</v>
      </c>
      <c r="B440" s="799" t="s">
        <v>79</v>
      </c>
      <c r="C440" s="799" t="s">
        <v>80</v>
      </c>
      <c r="D440" s="799" t="s">
        <v>125</v>
      </c>
      <c r="E440" s="799">
        <v>4439901</v>
      </c>
      <c r="F440" s="799" t="s">
        <v>102</v>
      </c>
      <c r="G440" s="17">
        <v>310</v>
      </c>
      <c r="H440" s="49">
        <v>200.36</v>
      </c>
    </row>
    <row r="441" spans="1:8" ht="14" x14ac:dyDescent="0.15">
      <c r="A441" s="449" t="s">
        <v>97</v>
      </c>
      <c r="B441" s="799" t="s">
        <v>79</v>
      </c>
      <c r="C441" s="799" t="s">
        <v>80</v>
      </c>
      <c r="D441" s="799" t="s">
        <v>125</v>
      </c>
      <c r="E441" s="799">
        <v>4439901</v>
      </c>
      <c r="F441" s="799" t="s">
        <v>102</v>
      </c>
      <c r="G441" s="17">
        <v>340</v>
      </c>
      <c r="H441" s="49">
        <v>200</v>
      </c>
    </row>
    <row r="442" spans="1:8" ht="14" x14ac:dyDescent="0.15">
      <c r="A442" s="48" t="s">
        <v>98</v>
      </c>
      <c r="B442" s="20" t="s">
        <v>79</v>
      </c>
      <c r="C442" s="20" t="s">
        <v>80</v>
      </c>
      <c r="D442" s="20" t="s">
        <v>125</v>
      </c>
      <c r="E442" s="20" t="s">
        <v>239</v>
      </c>
      <c r="F442" s="20" t="s">
        <v>102</v>
      </c>
      <c r="G442" s="67"/>
      <c r="H442" s="50">
        <f>SUM(H429:H441)</f>
        <v>30577.799999999996</v>
      </c>
    </row>
    <row r="443" spans="1:8" ht="14" x14ac:dyDescent="0.15">
      <c r="A443" s="18" t="s">
        <v>142</v>
      </c>
      <c r="B443" s="799"/>
      <c r="C443" s="799"/>
      <c r="D443" s="799"/>
      <c r="E443" s="799"/>
      <c r="F443" s="799"/>
      <c r="G443" s="21"/>
      <c r="H443" s="50"/>
    </row>
    <row r="444" spans="1:8" ht="14" x14ac:dyDescent="0.15">
      <c r="A444" s="449" t="s">
        <v>78</v>
      </c>
      <c r="B444" s="799" t="s">
        <v>79</v>
      </c>
      <c r="C444" s="799" t="s">
        <v>80</v>
      </c>
      <c r="D444" s="799" t="s">
        <v>125</v>
      </c>
      <c r="E444" s="799">
        <v>4439901</v>
      </c>
      <c r="F444" s="799" t="s">
        <v>102</v>
      </c>
      <c r="G444" s="17">
        <v>211</v>
      </c>
      <c r="H444" s="49">
        <v>17181.900000000001</v>
      </c>
    </row>
    <row r="445" spans="1:8" ht="14" x14ac:dyDescent="0.15">
      <c r="A445" s="449" t="s">
        <v>103</v>
      </c>
      <c r="B445" s="799" t="s">
        <v>79</v>
      </c>
      <c r="C445" s="799" t="s">
        <v>80</v>
      </c>
      <c r="D445" s="799" t="s">
        <v>125</v>
      </c>
      <c r="E445" s="799">
        <v>4439901</v>
      </c>
      <c r="F445" s="799" t="s">
        <v>102</v>
      </c>
      <c r="G445" s="17">
        <v>212</v>
      </c>
      <c r="H445" s="49"/>
    </row>
    <row r="446" spans="1:8" ht="14" x14ac:dyDescent="0.15">
      <c r="A446" s="449" t="s">
        <v>84</v>
      </c>
      <c r="B446" s="799" t="s">
        <v>79</v>
      </c>
      <c r="C446" s="799" t="s">
        <v>80</v>
      </c>
      <c r="D446" s="799" t="s">
        <v>125</v>
      </c>
      <c r="E446" s="799">
        <v>4439901</v>
      </c>
      <c r="F446" s="799" t="s">
        <v>102</v>
      </c>
      <c r="G446" s="17">
        <v>213</v>
      </c>
      <c r="H446" s="49">
        <v>5188.8999999999996</v>
      </c>
    </row>
    <row r="447" spans="1:8" ht="14" x14ac:dyDescent="0.15">
      <c r="A447" s="449" t="s">
        <v>85</v>
      </c>
      <c r="B447" s="799" t="s">
        <v>79</v>
      </c>
      <c r="C447" s="799" t="s">
        <v>80</v>
      </c>
      <c r="D447" s="799" t="s">
        <v>125</v>
      </c>
      <c r="E447" s="799">
        <v>4439901</v>
      </c>
      <c r="F447" s="799" t="s">
        <v>102</v>
      </c>
      <c r="G447" s="17">
        <v>221</v>
      </c>
      <c r="H447" s="49"/>
    </row>
    <row r="448" spans="1:8" ht="14" x14ac:dyDescent="0.15">
      <c r="A448" s="449" t="s">
        <v>86</v>
      </c>
      <c r="B448" s="799" t="s">
        <v>79</v>
      </c>
      <c r="C448" s="799" t="s">
        <v>80</v>
      </c>
      <c r="D448" s="799" t="s">
        <v>125</v>
      </c>
      <c r="E448" s="799">
        <v>4439901</v>
      </c>
      <c r="F448" s="799" t="s">
        <v>102</v>
      </c>
      <c r="G448" s="17">
        <v>222</v>
      </c>
      <c r="H448" s="49"/>
    </row>
    <row r="449" spans="1:8" ht="14" x14ac:dyDescent="0.15">
      <c r="A449" s="449" t="s">
        <v>87</v>
      </c>
      <c r="B449" s="799" t="s">
        <v>79</v>
      </c>
      <c r="C449" s="799" t="s">
        <v>80</v>
      </c>
      <c r="D449" s="799" t="s">
        <v>125</v>
      </c>
      <c r="E449" s="799">
        <v>4439901</v>
      </c>
      <c r="F449" s="799" t="s">
        <v>102</v>
      </c>
      <c r="G449" s="17">
        <v>223</v>
      </c>
      <c r="H449" s="49">
        <v>507</v>
      </c>
    </row>
    <row r="450" spans="1:8" ht="14" x14ac:dyDescent="0.15">
      <c r="A450" s="449" t="s">
        <v>134</v>
      </c>
      <c r="B450" s="799" t="s">
        <v>79</v>
      </c>
      <c r="C450" s="799" t="s">
        <v>80</v>
      </c>
      <c r="D450" s="799" t="s">
        <v>125</v>
      </c>
      <c r="E450" s="799">
        <v>4439901</v>
      </c>
      <c r="F450" s="799" t="s">
        <v>102</v>
      </c>
      <c r="G450" s="17">
        <v>224</v>
      </c>
      <c r="H450" s="49"/>
    </row>
    <row r="451" spans="1:8" ht="14" x14ac:dyDescent="0.15">
      <c r="A451" s="449" t="s">
        <v>90</v>
      </c>
      <c r="B451" s="799" t="s">
        <v>79</v>
      </c>
      <c r="C451" s="799" t="s">
        <v>80</v>
      </c>
      <c r="D451" s="799" t="s">
        <v>125</v>
      </c>
      <c r="E451" s="799">
        <v>4439901</v>
      </c>
      <c r="F451" s="799" t="s">
        <v>102</v>
      </c>
      <c r="G451" s="17">
        <v>225</v>
      </c>
      <c r="H451" s="49"/>
    </row>
    <row r="452" spans="1:8" ht="14" x14ac:dyDescent="0.15">
      <c r="A452" s="449" t="s">
        <v>91</v>
      </c>
      <c r="B452" s="799" t="s">
        <v>79</v>
      </c>
      <c r="C452" s="799" t="s">
        <v>80</v>
      </c>
      <c r="D452" s="799" t="s">
        <v>125</v>
      </c>
      <c r="E452" s="799">
        <v>4439901</v>
      </c>
      <c r="F452" s="799" t="s">
        <v>102</v>
      </c>
      <c r="G452" s="17">
        <v>226</v>
      </c>
      <c r="H452" s="49">
        <f>385-50</f>
        <v>335</v>
      </c>
    </row>
    <row r="453" spans="1:8" ht="14" x14ac:dyDescent="0.15">
      <c r="A453" s="11" t="s">
        <v>94</v>
      </c>
      <c r="B453" s="799" t="s">
        <v>79</v>
      </c>
      <c r="C453" s="799" t="s">
        <v>80</v>
      </c>
      <c r="D453" s="799" t="s">
        <v>125</v>
      </c>
      <c r="E453" s="799">
        <v>4439901</v>
      </c>
      <c r="F453" s="799" t="s">
        <v>102</v>
      </c>
      <c r="G453" s="17">
        <v>290</v>
      </c>
      <c r="H453" s="49">
        <v>33.200000000000003</v>
      </c>
    </row>
    <row r="454" spans="1:8" ht="14" x14ac:dyDescent="0.15">
      <c r="A454" s="11" t="s">
        <v>94</v>
      </c>
      <c r="B454" s="799" t="s">
        <v>79</v>
      </c>
      <c r="C454" s="799" t="s">
        <v>80</v>
      </c>
      <c r="D454" s="799" t="s">
        <v>125</v>
      </c>
      <c r="E454" s="799" t="s">
        <v>238</v>
      </c>
      <c r="F454" s="799" t="s">
        <v>102</v>
      </c>
      <c r="G454" s="17" t="s">
        <v>95</v>
      </c>
      <c r="H454" s="49">
        <f>108.9+1382.3</f>
        <v>1491.2</v>
      </c>
    </row>
    <row r="455" spans="1:8" ht="14" x14ac:dyDescent="0.15">
      <c r="A455" s="449" t="s">
        <v>96</v>
      </c>
      <c r="B455" s="799" t="s">
        <v>79</v>
      </c>
      <c r="C455" s="799" t="s">
        <v>80</v>
      </c>
      <c r="D455" s="799" t="s">
        <v>125</v>
      </c>
      <c r="E455" s="799">
        <v>4439901</v>
      </c>
      <c r="F455" s="799" t="s">
        <v>102</v>
      </c>
      <c r="G455" s="17">
        <v>310</v>
      </c>
      <c r="H455" s="49">
        <v>150</v>
      </c>
    </row>
    <row r="456" spans="1:8" ht="14" x14ac:dyDescent="0.15">
      <c r="A456" s="449" t="s">
        <v>97</v>
      </c>
      <c r="B456" s="799" t="s">
        <v>79</v>
      </c>
      <c r="C456" s="799" t="s">
        <v>80</v>
      </c>
      <c r="D456" s="799" t="s">
        <v>125</v>
      </c>
      <c r="E456" s="799">
        <v>4439901</v>
      </c>
      <c r="F456" s="799" t="s">
        <v>102</v>
      </c>
      <c r="G456" s="17">
        <v>340</v>
      </c>
      <c r="H456" s="49">
        <v>170</v>
      </c>
    </row>
    <row r="457" spans="1:8" ht="14" x14ac:dyDescent="0.15">
      <c r="A457" s="48" t="s">
        <v>98</v>
      </c>
      <c r="B457" s="20" t="s">
        <v>79</v>
      </c>
      <c r="C457" s="20" t="s">
        <v>80</v>
      </c>
      <c r="D457" s="20" t="s">
        <v>125</v>
      </c>
      <c r="E457" s="20" t="s">
        <v>239</v>
      </c>
      <c r="F457" s="20" t="s">
        <v>102</v>
      </c>
      <c r="G457" s="67"/>
      <c r="H457" s="50">
        <f>SUM(H444:H456)</f>
        <v>25057.200000000004</v>
      </c>
    </row>
    <row r="458" spans="1:8" ht="14" x14ac:dyDescent="0.15">
      <c r="A458" s="18" t="s">
        <v>143</v>
      </c>
      <c r="B458" s="799"/>
      <c r="C458" s="799"/>
      <c r="D458" s="799"/>
      <c r="E458" s="799"/>
      <c r="F458" s="799"/>
      <c r="G458" s="21"/>
      <c r="H458" s="50">
        <v>825</v>
      </c>
    </row>
    <row r="459" spans="1:8" ht="14" x14ac:dyDescent="0.15">
      <c r="A459" s="449" t="s">
        <v>78</v>
      </c>
      <c r="B459" s="799" t="s">
        <v>79</v>
      </c>
      <c r="C459" s="799" t="s">
        <v>80</v>
      </c>
      <c r="D459" s="799" t="s">
        <v>125</v>
      </c>
      <c r="E459" s="799">
        <v>4439901</v>
      </c>
      <c r="F459" s="799" t="s">
        <v>102</v>
      </c>
      <c r="G459" s="17">
        <v>211</v>
      </c>
      <c r="H459" s="49">
        <v>10513</v>
      </c>
    </row>
    <row r="460" spans="1:8" ht="14" x14ac:dyDescent="0.15">
      <c r="A460" s="449" t="s">
        <v>103</v>
      </c>
      <c r="B460" s="799" t="s">
        <v>79</v>
      </c>
      <c r="C460" s="799" t="s">
        <v>80</v>
      </c>
      <c r="D460" s="799" t="s">
        <v>125</v>
      </c>
      <c r="E460" s="799">
        <v>4439901</v>
      </c>
      <c r="F460" s="799" t="s">
        <v>102</v>
      </c>
      <c r="G460" s="17">
        <v>212</v>
      </c>
      <c r="H460" s="49"/>
    </row>
    <row r="461" spans="1:8" ht="14" x14ac:dyDescent="0.15">
      <c r="A461" s="449" t="s">
        <v>84</v>
      </c>
      <c r="B461" s="799" t="s">
        <v>79</v>
      </c>
      <c r="C461" s="799" t="s">
        <v>80</v>
      </c>
      <c r="D461" s="799" t="s">
        <v>125</v>
      </c>
      <c r="E461" s="799">
        <v>4439901</v>
      </c>
      <c r="F461" s="799" t="s">
        <v>102</v>
      </c>
      <c r="G461" s="17">
        <v>213</v>
      </c>
      <c r="H461" s="49">
        <v>3174.9</v>
      </c>
    </row>
    <row r="462" spans="1:8" ht="14" x14ac:dyDescent="0.15">
      <c r="A462" s="449" t="s">
        <v>85</v>
      </c>
      <c r="B462" s="799" t="s">
        <v>79</v>
      </c>
      <c r="C462" s="799" t="s">
        <v>80</v>
      </c>
      <c r="D462" s="799" t="s">
        <v>125</v>
      </c>
      <c r="E462" s="799">
        <v>4439901</v>
      </c>
      <c r="F462" s="799" t="s">
        <v>102</v>
      </c>
      <c r="G462" s="17">
        <v>221</v>
      </c>
      <c r="H462" s="49"/>
    </row>
    <row r="463" spans="1:8" ht="14" x14ac:dyDescent="0.15">
      <c r="A463" s="449" t="s">
        <v>86</v>
      </c>
      <c r="B463" s="799" t="s">
        <v>79</v>
      </c>
      <c r="C463" s="799" t="s">
        <v>80</v>
      </c>
      <c r="D463" s="799" t="s">
        <v>125</v>
      </c>
      <c r="E463" s="799">
        <v>4439901</v>
      </c>
      <c r="F463" s="799" t="s">
        <v>102</v>
      </c>
      <c r="G463" s="17">
        <v>222</v>
      </c>
      <c r="H463" s="49"/>
    </row>
    <row r="464" spans="1:8" ht="14" x14ac:dyDescent="0.15">
      <c r="A464" s="449" t="s">
        <v>87</v>
      </c>
      <c r="B464" s="799" t="s">
        <v>79</v>
      </c>
      <c r="C464" s="799" t="s">
        <v>80</v>
      </c>
      <c r="D464" s="799" t="s">
        <v>125</v>
      </c>
      <c r="E464" s="799">
        <v>4439901</v>
      </c>
      <c r="F464" s="799" t="s">
        <v>102</v>
      </c>
      <c r="G464" s="17">
        <v>223</v>
      </c>
      <c r="H464" s="49">
        <v>830</v>
      </c>
    </row>
    <row r="465" spans="1:8" ht="14" x14ac:dyDescent="0.15">
      <c r="A465" s="449" t="s">
        <v>134</v>
      </c>
      <c r="B465" s="799" t="s">
        <v>79</v>
      </c>
      <c r="C465" s="799" t="s">
        <v>80</v>
      </c>
      <c r="D465" s="799" t="s">
        <v>125</v>
      </c>
      <c r="E465" s="799">
        <v>4439901</v>
      </c>
      <c r="F465" s="799" t="s">
        <v>102</v>
      </c>
      <c r="G465" s="17">
        <v>224</v>
      </c>
      <c r="H465" s="49"/>
    </row>
    <row r="466" spans="1:8" ht="14" x14ac:dyDescent="0.15">
      <c r="A466" s="449" t="s">
        <v>90</v>
      </c>
      <c r="B466" s="799" t="s">
        <v>79</v>
      </c>
      <c r="C466" s="799" t="s">
        <v>80</v>
      </c>
      <c r="D466" s="799" t="s">
        <v>125</v>
      </c>
      <c r="E466" s="799">
        <v>4439901</v>
      </c>
      <c r="F466" s="799" t="s">
        <v>102</v>
      </c>
      <c r="G466" s="17">
        <v>225</v>
      </c>
      <c r="H466" s="49"/>
    </row>
    <row r="467" spans="1:8" ht="14" x14ac:dyDescent="0.15">
      <c r="A467" s="449" t="s">
        <v>91</v>
      </c>
      <c r="B467" s="799" t="s">
        <v>79</v>
      </c>
      <c r="C467" s="799" t="s">
        <v>80</v>
      </c>
      <c r="D467" s="799" t="s">
        <v>125</v>
      </c>
      <c r="E467" s="799">
        <v>4439901</v>
      </c>
      <c r="F467" s="799" t="s">
        <v>102</v>
      </c>
      <c r="G467" s="17">
        <v>226</v>
      </c>
      <c r="H467" s="49">
        <v>225</v>
      </c>
    </row>
    <row r="468" spans="1:8" ht="14" x14ac:dyDescent="0.15">
      <c r="A468" s="11" t="s">
        <v>94</v>
      </c>
      <c r="B468" s="799" t="s">
        <v>79</v>
      </c>
      <c r="C468" s="799" t="s">
        <v>80</v>
      </c>
      <c r="D468" s="799" t="s">
        <v>125</v>
      </c>
      <c r="E468" s="799">
        <v>4439901</v>
      </c>
      <c r="F468" s="799" t="s">
        <v>102</v>
      </c>
      <c r="G468" s="17">
        <v>290</v>
      </c>
      <c r="H468" s="49">
        <v>19</v>
      </c>
    </row>
    <row r="469" spans="1:8" ht="14" x14ac:dyDescent="0.15">
      <c r="A469" s="11" t="s">
        <v>94</v>
      </c>
      <c r="B469" s="799" t="s">
        <v>79</v>
      </c>
      <c r="C469" s="799" t="s">
        <v>80</v>
      </c>
      <c r="D469" s="799" t="s">
        <v>125</v>
      </c>
      <c r="E469" s="799" t="s">
        <v>238</v>
      </c>
      <c r="F469" s="799" t="s">
        <v>102</v>
      </c>
      <c r="G469" s="17" t="s">
        <v>95</v>
      </c>
      <c r="H469" s="49">
        <f>378.1+15.4-98.4</f>
        <v>295.10000000000002</v>
      </c>
    </row>
    <row r="470" spans="1:8" ht="14" x14ac:dyDescent="0.15">
      <c r="A470" s="449" t="s">
        <v>96</v>
      </c>
      <c r="B470" s="799" t="s">
        <v>79</v>
      </c>
      <c r="C470" s="799" t="s">
        <v>80</v>
      </c>
      <c r="D470" s="799" t="s">
        <v>125</v>
      </c>
      <c r="E470" s="799">
        <v>4439901</v>
      </c>
      <c r="F470" s="799" t="s">
        <v>102</v>
      </c>
      <c r="G470" s="17">
        <v>310</v>
      </c>
      <c r="H470" s="49">
        <v>500</v>
      </c>
    </row>
    <row r="471" spans="1:8" ht="14" x14ac:dyDescent="0.15">
      <c r="A471" s="449" t="s">
        <v>97</v>
      </c>
      <c r="B471" s="799" t="s">
        <v>79</v>
      </c>
      <c r="C471" s="799" t="s">
        <v>80</v>
      </c>
      <c r="D471" s="799" t="s">
        <v>125</v>
      </c>
      <c r="E471" s="799">
        <v>4439901</v>
      </c>
      <c r="F471" s="799" t="s">
        <v>102</v>
      </c>
      <c r="G471" s="17">
        <v>340</v>
      </c>
      <c r="H471" s="49">
        <v>80</v>
      </c>
    </row>
    <row r="472" spans="1:8" ht="14" x14ac:dyDescent="0.15">
      <c r="A472" s="48" t="s">
        <v>98</v>
      </c>
      <c r="B472" s="20" t="s">
        <v>79</v>
      </c>
      <c r="C472" s="20" t="s">
        <v>80</v>
      </c>
      <c r="D472" s="20" t="s">
        <v>125</v>
      </c>
      <c r="E472" s="20" t="s">
        <v>239</v>
      </c>
      <c r="F472" s="20" t="s">
        <v>102</v>
      </c>
      <c r="G472" s="67"/>
      <c r="H472" s="50">
        <f>SUM(H459:H471)</f>
        <v>15637</v>
      </c>
    </row>
    <row r="473" spans="1:8" ht="14" x14ac:dyDescent="0.15">
      <c r="A473" s="18" t="s">
        <v>144</v>
      </c>
      <c r="B473" s="799"/>
      <c r="C473" s="799"/>
      <c r="D473" s="799"/>
      <c r="E473" s="799"/>
      <c r="F473" s="799"/>
      <c r="G473" s="21"/>
      <c r="H473" s="50"/>
    </row>
    <row r="474" spans="1:8" ht="14" x14ac:dyDescent="0.15">
      <c r="A474" s="449" t="s">
        <v>78</v>
      </c>
      <c r="B474" s="799" t="s">
        <v>79</v>
      </c>
      <c r="C474" s="799" t="s">
        <v>80</v>
      </c>
      <c r="D474" s="799" t="s">
        <v>125</v>
      </c>
      <c r="E474" s="799">
        <v>4439901</v>
      </c>
      <c r="F474" s="799" t="s">
        <v>102</v>
      </c>
      <c r="G474" s="17">
        <v>211</v>
      </c>
      <c r="H474" s="49">
        <v>14441</v>
      </c>
    </row>
    <row r="475" spans="1:8" ht="14" x14ac:dyDescent="0.15">
      <c r="A475" s="449" t="s">
        <v>103</v>
      </c>
      <c r="B475" s="799" t="s">
        <v>79</v>
      </c>
      <c r="C475" s="799" t="s">
        <v>80</v>
      </c>
      <c r="D475" s="799" t="s">
        <v>125</v>
      </c>
      <c r="E475" s="799">
        <v>4439901</v>
      </c>
      <c r="F475" s="799" t="s">
        <v>102</v>
      </c>
      <c r="G475" s="17">
        <v>212</v>
      </c>
      <c r="H475" s="49"/>
    </row>
    <row r="476" spans="1:8" ht="14" x14ac:dyDescent="0.15">
      <c r="A476" s="449" t="s">
        <v>84</v>
      </c>
      <c r="B476" s="799" t="s">
        <v>79</v>
      </c>
      <c r="C476" s="799" t="s">
        <v>80</v>
      </c>
      <c r="D476" s="799" t="s">
        <v>125</v>
      </c>
      <c r="E476" s="799">
        <v>4439901</v>
      </c>
      <c r="F476" s="799" t="s">
        <v>102</v>
      </c>
      <c r="G476" s="17">
        <v>213</v>
      </c>
      <c r="H476" s="49">
        <v>4361.2</v>
      </c>
    </row>
    <row r="477" spans="1:8" ht="14" x14ac:dyDescent="0.15">
      <c r="A477" s="449" t="s">
        <v>85</v>
      </c>
      <c r="B477" s="799" t="s">
        <v>79</v>
      </c>
      <c r="C477" s="799" t="s">
        <v>80</v>
      </c>
      <c r="D477" s="799" t="s">
        <v>125</v>
      </c>
      <c r="E477" s="799">
        <v>4439901</v>
      </c>
      <c r="F477" s="799" t="s">
        <v>102</v>
      </c>
      <c r="G477" s="17">
        <v>221</v>
      </c>
      <c r="H477" s="49"/>
    </row>
    <row r="478" spans="1:8" ht="14" x14ac:dyDescent="0.15">
      <c r="A478" s="449" t="s">
        <v>86</v>
      </c>
      <c r="B478" s="799" t="s">
        <v>79</v>
      </c>
      <c r="C478" s="799" t="s">
        <v>80</v>
      </c>
      <c r="D478" s="799" t="s">
        <v>125</v>
      </c>
      <c r="E478" s="799">
        <v>4439901</v>
      </c>
      <c r="F478" s="799" t="s">
        <v>102</v>
      </c>
      <c r="G478" s="17">
        <v>222</v>
      </c>
      <c r="H478" s="49"/>
    </row>
    <row r="479" spans="1:8" ht="14" x14ac:dyDescent="0.15">
      <c r="A479" s="449" t="s">
        <v>87</v>
      </c>
      <c r="B479" s="799" t="s">
        <v>79</v>
      </c>
      <c r="C479" s="799" t="s">
        <v>80</v>
      </c>
      <c r="D479" s="799" t="s">
        <v>125</v>
      </c>
      <c r="E479" s="799">
        <v>4439901</v>
      </c>
      <c r="F479" s="799" t="s">
        <v>102</v>
      </c>
      <c r="G479" s="17">
        <v>223</v>
      </c>
      <c r="H479" s="49"/>
    </row>
    <row r="480" spans="1:8" ht="14" x14ac:dyDescent="0.15">
      <c r="A480" s="449" t="s">
        <v>134</v>
      </c>
      <c r="B480" s="799" t="s">
        <v>79</v>
      </c>
      <c r="C480" s="799" t="s">
        <v>80</v>
      </c>
      <c r="D480" s="799" t="s">
        <v>125</v>
      </c>
      <c r="E480" s="799">
        <v>4439901</v>
      </c>
      <c r="F480" s="799" t="s">
        <v>102</v>
      </c>
      <c r="G480" s="17">
        <v>224</v>
      </c>
      <c r="H480" s="49"/>
    </row>
    <row r="481" spans="1:8" ht="14" x14ac:dyDescent="0.15">
      <c r="A481" s="449" t="s">
        <v>90</v>
      </c>
      <c r="B481" s="799" t="s">
        <v>79</v>
      </c>
      <c r="C481" s="799" t="s">
        <v>80</v>
      </c>
      <c r="D481" s="799" t="s">
        <v>125</v>
      </c>
      <c r="E481" s="799">
        <v>4439901</v>
      </c>
      <c r="F481" s="799" t="s">
        <v>102</v>
      </c>
      <c r="G481" s="17">
        <v>225</v>
      </c>
      <c r="H481" s="49"/>
    </row>
    <row r="482" spans="1:8" ht="14" x14ac:dyDescent="0.15">
      <c r="A482" s="449" t="s">
        <v>91</v>
      </c>
      <c r="B482" s="799" t="s">
        <v>79</v>
      </c>
      <c r="C482" s="799" t="s">
        <v>80</v>
      </c>
      <c r="D482" s="799" t="s">
        <v>125</v>
      </c>
      <c r="E482" s="799">
        <v>4439901</v>
      </c>
      <c r="F482" s="799" t="s">
        <v>102</v>
      </c>
      <c r="G482" s="17">
        <v>226</v>
      </c>
      <c r="H482" s="49">
        <v>234.64</v>
      </c>
    </row>
    <row r="483" spans="1:8" ht="14" x14ac:dyDescent="0.15">
      <c r="A483" s="11" t="s">
        <v>94</v>
      </c>
      <c r="B483" s="799" t="s">
        <v>79</v>
      </c>
      <c r="C483" s="799" t="s">
        <v>80</v>
      </c>
      <c r="D483" s="799" t="s">
        <v>125</v>
      </c>
      <c r="E483" s="799">
        <v>4439901</v>
      </c>
      <c r="F483" s="799" t="s">
        <v>102</v>
      </c>
      <c r="G483" s="17">
        <v>290</v>
      </c>
      <c r="H483" s="49">
        <v>21.8</v>
      </c>
    </row>
    <row r="484" spans="1:8" ht="14" x14ac:dyDescent="0.15">
      <c r="A484" s="11" t="s">
        <v>94</v>
      </c>
      <c r="B484" s="799" t="s">
        <v>79</v>
      </c>
      <c r="C484" s="799" t="s">
        <v>80</v>
      </c>
      <c r="D484" s="799" t="s">
        <v>125</v>
      </c>
      <c r="E484" s="799" t="s">
        <v>238</v>
      </c>
      <c r="F484" s="799" t="s">
        <v>102</v>
      </c>
      <c r="G484" s="17" t="s">
        <v>95</v>
      </c>
      <c r="H484" s="49">
        <v>39</v>
      </c>
    </row>
    <row r="485" spans="1:8" ht="14" x14ac:dyDescent="0.15">
      <c r="A485" s="449" t="s">
        <v>96</v>
      </c>
      <c r="B485" s="799" t="s">
        <v>79</v>
      </c>
      <c r="C485" s="799" t="s">
        <v>80</v>
      </c>
      <c r="D485" s="799" t="s">
        <v>125</v>
      </c>
      <c r="E485" s="799">
        <v>4439901</v>
      </c>
      <c r="F485" s="799" t="s">
        <v>102</v>
      </c>
      <c r="G485" s="17">
        <v>310</v>
      </c>
      <c r="H485" s="49">
        <v>70.36</v>
      </c>
    </row>
    <row r="486" spans="1:8" ht="14" x14ac:dyDescent="0.15">
      <c r="A486" s="449" t="s">
        <v>97</v>
      </c>
      <c r="B486" s="799" t="s">
        <v>79</v>
      </c>
      <c r="C486" s="799" t="s">
        <v>80</v>
      </c>
      <c r="D486" s="799" t="s">
        <v>125</v>
      </c>
      <c r="E486" s="799">
        <v>4439901</v>
      </c>
      <c r="F486" s="799" t="s">
        <v>102</v>
      </c>
      <c r="G486" s="17">
        <v>340</v>
      </c>
      <c r="H486" s="49">
        <v>450</v>
      </c>
    </row>
    <row r="487" spans="1:8" ht="14" x14ac:dyDescent="0.15">
      <c r="A487" s="48" t="s">
        <v>98</v>
      </c>
      <c r="B487" s="20" t="s">
        <v>79</v>
      </c>
      <c r="C487" s="20" t="s">
        <v>80</v>
      </c>
      <c r="D487" s="20" t="s">
        <v>125</v>
      </c>
      <c r="E487" s="20" t="s">
        <v>239</v>
      </c>
      <c r="F487" s="20" t="s">
        <v>102</v>
      </c>
      <c r="G487" s="67"/>
      <c r="H487" s="50">
        <f>SUM(H474:H486)</f>
        <v>19618</v>
      </c>
    </row>
    <row r="488" spans="1:8" ht="14" x14ac:dyDescent="0.15">
      <c r="A488" s="18" t="s">
        <v>145</v>
      </c>
      <c r="B488" s="799"/>
      <c r="C488" s="799"/>
      <c r="D488" s="799"/>
      <c r="E488" s="799"/>
      <c r="F488" s="799"/>
      <c r="G488" s="21"/>
      <c r="H488" s="50"/>
    </row>
    <row r="489" spans="1:8" ht="14" x14ac:dyDescent="0.15">
      <c r="A489" s="449" t="s">
        <v>78</v>
      </c>
      <c r="B489" s="799" t="s">
        <v>79</v>
      </c>
      <c r="C489" s="799" t="s">
        <v>80</v>
      </c>
      <c r="D489" s="799" t="s">
        <v>125</v>
      </c>
      <c r="E489" s="799">
        <v>4439901</v>
      </c>
      <c r="F489" s="799" t="s">
        <v>102</v>
      </c>
      <c r="G489" s="17">
        <v>211</v>
      </c>
      <c r="H489" s="49">
        <f>13797+141</f>
        <v>13938</v>
      </c>
    </row>
    <row r="490" spans="1:8" ht="14" x14ac:dyDescent="0.15">
      <c r="A490" s="449" t="s">
        <v>103</v>
      </c>
      <c r="B490" s="799" t="s">
        <v>79</v>
      </c>
      <c r="C490" s="799" t="s">
        <v>80</v>
      </c>
      <c r="D490" s="799" t="s">
        <v>125</v>
      </c>
      <c r="E490" s="799">
        <v>4439901</v>
      </c>
      <c r="F490" s="799" t="s">
        <v>102</v>
      </c>
      <c r="G490" s="17">
        <v>212</v>
      </c>
      <c r="H490" s="49"/>
    </row>
    <row r="491" spans="1:8" ht="14" x14ac:dyDescent="0.15">
      <c r="A491" s="449" t="s">
        <v>84</v>
      </c>
      <c r="B491" s="799" t="s">
        <v>79</v>
      </c>
      <c r="C491" s="799" t="s">
        <v>80</v>
      </c>
      <c r="D491" s="799" t="s">
        <v>125</v>
      </c>
      <c r="E491" s="799">
        <v>4439901</v>
      </c>
      <c r="F491" s="799" t="s">
        <v>102</v>
      </c>
      <c r="G491" s="17">
        <v>213</v>
      </c>
      <c r="H491" s="49">
        <f>4166.7+156-140.9</f>
        <v>4181.8</v>
      </c>
    </row>
    <row r="492" spans="1:8" ht="14" x14ac:dyDescent="0.15">
      <c r="A492" s="449" t="s">
        <v>85</v>
      </c>
      <c r="B492" s="799" t="s">
        <v>79</v>
      </c>
      <c r="C492" s="799" t="s">
        <v>80</v>
      </c>
      <c r="D492" s="799" t="s">
        <v>125</v>
      </c>
      <c r="E492" s="799">
        <v>4439901</v>
      </c>
      <c r="F492" s="799" t="s">
        <v>102</v>
      </c>
      <c r="G492" s="17">
        <v>221</v>
      </c>
      <c r="H492" s="49"/>
    </row>
    <row r="493" spans="1:8" ht="14" x14ac:dyDescent="0.15">
      <c r="A493" s="449" t="s">
        <v>86</v>
      </c>
      <c r="B493" s="799" t="s">
        <v>79</v>
      </c>
      <c r="C493" s="799" t="s">
        <v>80</v>
      </c>
      <c r="D493" s="799" t="s">
        <v>125</v>
      </c>
      <c r="E493" s="799">
        <v>4439901</v>
      </c>
      <c r="F493" s="799" t="s">
        <v>102</v>
      </c>
      <c r="G493" s="17">
        <v>222</v>
      </c>
      <c r="H493" s="49"/>
    </row>
    <row r="494" spans="1:8" ht="14" x14ac:dyDescent="0.15">
      <c r="A494" s="449" t="s">
        <v>87</v>
      </c>
      <c r="B494" s="799" t="s">
        <v>79</v>
      </c>
      <c r="C494" s="799" t="s">
        <v>80</v>
      </c>
      <c r="D494" s="799" t="s">
        <v>125</v>
      </c>
      <c r="E494" s="799">
        <v>4439901</v>
      </c>
      <c r="F494" s="799" t="s">
        <v>102</v>
      </c>
      <c r="G494" s="17">
        <v>223</v>
      </c>
      <c r="H494" s="49">
        <f>531.7-156</f>
        <v>375.70000000000005</v>
      </c>
    </row>
    <row r="495" spans="1:8" ht="14" x14ac:dyDescent="0.15">
      <c r="A495" s="449" t="s">
        <v>134</v>
      </c>
      <c r="B495" s="799" t="s">
        <v>79</v>
      </c>
      <c r="C495" s="799" t="s">
        <v>80</v>
      </c>
      <c r="D495" s="799" t="s">
        <v>125</v>
      </c>
      <c r="E495" s="799">
        <v>4439901</v>
      </c>
      <c r="F495" s="799" t="s">
        <v>102</v>
      </c>
      <c r="G495" s="17">
        <v>224</v>
      </c>
      <c r="H495" s="49"/>
    </row>
    <row r="496" spans="1:8" ht="14" x14ac:dyDescent="0.15">
      <c r="A496" s="449" t="s">
        <v>90</v>
      </c>
      <c r="B496" s="799" t="s">
        <v>79</v>
      </c>
      <c r="C496" s="799" t="s">
        <v>80</v>
      </c>
      <c r="D496" s="799" t="s">
        <v>125</v>
      </c>
      <c r="E496" s="799">
        <v>4439901</v>
      </c>
      <c r="F496" s="799" t="s">
        <v>102</v>
      </c>
      <c r="G496" s="17">
        <v>225</v>
      </c>
      <c r="H496" s="49">
        <v>50</v>
      </c>
    </row>
    <row r="497" spans="1:8" ht="14" x14ac:dyDescent="0.15">
      <c r="A497" s="449" t="s">
        <v>91</v>
      </c>
      <c r="B497" s="799" t="s">
        <v>79</v>
      </c>
      <c r="C497" s="799" t="s">
        <v>80</v>
      </c>
      <c r="D497" s="799" t="s">
        <v>125</v>
      </c>
      <c r="E497" s="799">
        <v>4439901</v>
      </c>
      <c r="F497" s="799" t="s">
        <v>102</v>
      </c>
      <c r="G497" s="17">
        <v>226</v>
      </c>
      <c r="H497" s="49">
        <v>330</v>
      </c>
    </row>
    <row r="498" spans="1:8" ht="14" x14ac:dyDescent="0.15">
      <c r="A498" s="11" t="s">
        <v>94</v>
      </c>
      <c r="B498" s="799" t="s">
        <v>79</v>
      </c>
      <c r="C498" s="799" t="s">
        <v>80</v>
      </c>
      <c r="D498" s="799" t="s">
        <v>125</v>
      </c>
      <c r="E498" s="799">
        <v>4439901</v>
      </c>
      <c r="F498" s="799" t="s">
        <v>102</v>
      </c>
      <c r="G498" s="17">
        <v>290</v>
      </c>
      <c r="H498" s="49">
        <v>27.5</v>
      </c>
    </row>
    <row r="499" spans="1:8" ht="14" x14ac:dyDescent="0.15">
      <c r="A499" s="11" t="s">
        <v>94</v>
      </c>
      <c r="B499" s="799" t="s">
        <v>79</v>
      </c>
      <c r="C499" s="799" t="s">
        <v>80</v>
      </c>
      <c r="D499" s="799" t="s">
        <v>125</v>
      </c>
      <c r="E499" s="799" t="s">
        <v>238</v>
      </c>
      <c r="F499" s="799" t="s">
        <v>102</v>
      </c>
      <c r="G499" s="17" t="s">
        <v>95</v>
      </c>
      <c r="H499" s="49">
        <f>414.8+1076.9-0.1</f>
        <v>1491.6000000000001</v>
      </c>
    </row>
    <row r="500" spans="1:8" ht="14" x14ac:dyDescent="0.15">
      <c r="A500" s="449" t="s">
        <v>96</v>
      </c>
      <c r="B500" s="799" t="s">
        <v>79</v>
      </c>
      <c r="C500" s="799" t="s">
        <v>80</v>
      </c>
      <c r="D500" s="799" t="s">
        <v>125</v>
      </c>
      <c r="E500" s="799">
        <v>4439901</v>
      </c>
      <c r="F500" s="799" t="s">
        <v>102</v>
      </c>
      <c r="G500" s="17">
        <v>310</v>
      </c>
      <c r="H500" s="49">
        <v>175</v>
      </c>
    </row>
    <row r="501" spans="1:8" ht="14" x14ac:dyDescent="0.15">
      <c r="A501" s="449" t="s">
        <v>97</v>
      </c>
      <c r="B501" s="799" t="s">
        <v>79</v>
      </c>
      <c r="C501" s="799" t="s">
        <v>80</v>
      </c>
      <c r="D501" s="799" t="s">
        <v>125</v>
      </c>
      <c r="E501" s="799">
        <v>4439901</v>
      </c>
      <c r="F501" s="799" t="s">
        <v>102</v>
      </c>
      <c r="G501" s="17">
        <v>340</v>
      </c>
      <c r="H501" s="49">
        <v>350</v>
      </c>
    </row>
    <row r="502" spans="1:8" ht="14" x14ac:dyDescent="0.15">
      <c r="A502" s="48" t="s">
        <v>98</v>
      </c>
      <c r="B502" s="20" t="s">
        <v>79</v>
      </c>
      <c r="C502" s="20" t="s">
        <v>80</v>
      </c>
      <c r="D502" s="20" t="s">
        <v>125</v>
      </c>
      <c r="E502" s="20" t="s">
        <v>239</v>
      </c>
      <c r="F502" s="20" t="s">
        <v>102</v>
      </c>
      <c r="G502" s="67"/>
      <c r="H502" s="50">
        <f>SUM(H489:H501)</f>
        <v>20919.599999999999</v>
      </c>
    </row>
    <row r="503" spans="1:8" ht="14" x14ac:dyDescent="0.15">
      <c r="A503" s="18" t="s">
        <v>146</v>
      </c>
      <c r="B503" s="799"/>
      <c r="C503" s="799"/>
      <c r="D503" s="799"/>
      <c r="E503" s="799"/>
      <c r="F503" s="799"/>
      <c r="G503" s="21"/>
      <c r="H503" s="50"/>
    </row>
    <row r="504" spans="1:8" ht="14" x14ac:dyDescent="0.15">
      <c r="A504" s="449" t="s">
        <v>78</v>
      </c>
      <c r="B504" s="799" t="s">
        <v>79</v>
      </c>
      <c r="C504" s="799" t="s">
        <v>80</v>
      </c>
      <c r="D504" s="799" t="s">
        <v>125</v>
      </c>
      <c r="E504" s="799">
        <v>4439901</v>
      </c>
      <c r="F504" s="799" t="s">
        <v>102</v>
      </c>
      <c r="G504" s="17">
        <v>211</v>
      </c>
      <c r="H504" s="49">
        <f>38693.5+550</f>
        <v>39243.5</v>
      </c>
    </row>
    <row r="505" spans="1:8" ht="14" x14ac:dyDescent="0.15">
      <c r="A505" s="449" t="s">
        <v>103</v>
      </c>
      <c r="B505" s="799" t="s">
        <v>79</v>
      </c>
      <c r="C505" s="799" t="s">
        <v>80</v>
      </c>
      <c r="D505" s="799" t="s">
        <v>125</v>
      </c>
      <c r="E505" s="799">
        <v>4439901</v>
      </c>
      <c r="F505" s="799" t="s">
        <v>102</v>
      </c>
      <c r="G505" s="17">
        <v>212</v>
      </c>
      <c r="H505" s="49"/>
    </row>
    <row r="506" spans="1:8" ht="14" x14ac:dyDescent="0.15">
      <c r="A506" s="449" t="s">
        <v>84</v>
      </c>
      <c r="B506" s="799" t="s">
        <v>79</v>
      </c>
      <c r="C506" s="799" t="s">
        <v>80</v>
      </c>
      <c r="D506" s="799" t="s">
        <v>125</v>
      </c>
      <c r="E506" s="799">
        <v>4439901</v>
      </c>
      <c r="F506" s="799" t="s">
        <v>102</v>
      </c>
      <c r="G506" s="17">
        <v>213</v>
      </c>
      <c r="H506" s="49">
        <f>11685.4-550</f>
        <v>11135.4</v>
      </c>
    </row>
    <row r="507" spans="1:8" ht="14" x14ac:dyDescent="0.15">
      <c r="A507" s="449" t="s">
        <v>85</v>
      </c>
      <c r="B507" s="799" t="s">
        <v>79</v>
      </c>
      <c r="C507" s="799" t="s">
        <v>80</v>
      </c>
      <c r="D507" s="799" t="s">
        <v>125</v>
      </c>
      <c r="E507" s="799">
        <v>4439901</v>
      </c>
      <c r="F507" s="799" t="s">
        <v>102</v>
      </c>
      <c r="G507" s="17">
        <v>221</v>
      </c>
      <c r="H507" s="49"/>
    </row>
    <row r="508" spans="1:8" ht="14" x14ac:dyDescent="0.15">
      <c r="A508" s="449" t="s">
        <v>86</v>
      </c>
      <c r="B508" s="799" t="s">
        <v>79</v>
      </c>
      <c r="C508" s="799" t="s">
        <v>80</v>
      </c>
      <c r="D508" s="799" t="s">
        <v>125</v>
      </c>
      <c r="E508" s="799">
        <v>4439901</v>
      </c>
      <c r="F508" s="799" t="s">
        <v>102</v>
      </c>
      <c r="G508" s="17">
        <v>222</v>
      </c>
      <c r="H508" s="49">
        <f>19.715</f>
        <v>19.715</v>
      </c>
    </row>
    <row r="509" spans="1:8" ht="14" x14ac:dyDescent="0.15">
      <c r="A509" s="449" t="s">
        <v>87</v>
      </c>
      <c r="B509" s="799" t="s">
        <v>79</v>
      </c>
      <c r="C509" s="799" t="s">
        <v>80</v>
      </c>
      <c r="D509" s="799" t="s">
        <v>125</v>
      </c>
      <c r="E509" s="799">
        <v>4439901</v>
      </c>
      <c r="F509" s="799" t="s">
        <v>102</v>
      </c>
      <c r="G509" s="17">
        <v>223</v>
      </c>
      <c r="H509" s="49"/>
    </row>
    <row r="510" spans="1:8" ht="14" x14ac:dyDescent="0.15">
      <c r="A510" s="449" t="s">
        <v>134</v>
      </c>
      <c r="B510" s="799" t="s">
        <v>79</v>
      </c>
      <c r="C510" s="799" t="s">
        <v>80</v>
      </c>
      <c r="D510" s="799" t="s">
        <v>125</v>
      </c>
      <c r="E510" s="799">
        <v>4439901</v>
      </c>
      <c r="F510" s="799" t="s">
        <v>102</v>
      </c>
      <c r="G510" s="17">
        <v>224</v>
      </c>
      <c r="H510" s="49"/>
    </row>
    <row r="511" spans="1:8" ht="14" x14ac:dyDescent="0.15">
      <c r="A511" s="449" t="s">
        <v>90</v>
      </c>
      <c r="B511" s="799" t="s">
        <v>79</v>
      </c>
      <c r="C511" s="799" t="s">
        <v>80</v>
      </c>
      <c r="D511" s="799" t="s">
        <v>125</v>
      </c>
      <c r="E511" s="799">
        <v>4439901</v>
      </c>
      <c r="F511" s="799" t="s">
        <v>102</v>
      </c>
      <c r="G511" s="17">
        <v>225</v>
      </c>
      <c r="H511" s="49"/>
    </row>
    <row r="512" spans="1:8" ht="14" x14ac:dyDescent="0.15">
      <c r="A512" s="449" t="s">
        <v>91</v>
      </c>
      <c r="B512" s="799" t="s">
        <v>79</v>
      </c>
      <c r="C512" s="799" t="s">
        <v>80</v>
      </c>
      <c r="D512" s="799" t="s">
        <v>125</v>
      </c>
      <c r="E512" s="799">
        <v>4439901</v>
      </c>
      <c r="F512" s="799" t="s">
        <v>102</v>
      </c>
      <c r="G512" s="17">
        <v>226</v>
      </c>
      <c r="H512" s="49">
        <f>104.64+300+83.816</f>
        <v>488.45600000000002</v>
      </c>
    </row>
    <row r="513" spans="1:8" ht="14" x14ac:dyDescent="0.15">
      <c r="A513" s="11" t="s">
        <v>94</v>
      </c>
      <c r="B513" s="799" t="s">
        <v>79</v>
      </c>
      <c r="C513" s="799" t="s">
        <v>80</v>
      </c>
      <c r="D513" s="799" t="s">
        <v>125</v>
      </c>
      <c r="E513" s="799">
        <v>4439901</v>
      </c>
      <c r="F513" s="799" t="s">
        <v>102</v>
      </c>
      <c r="G513" s="17">
        <v>290</v>
      </c>
      <c r="H513" s="49">
        <v>65.900000000000006</v>
      </c>
    </row>
    <row r="514" spans="1:8" ht="14" x14ac:dyDescent="0.15">
      <c r="A514" s="11" t="s">
        <v>94</v>
      </c>
      <c r="B514" s="799" t="s">
        <v>79</v>
      </c>
      <c r="C514" s="799" t="s">
        <v>80</v>
      </c>
      <c r="D514" s="799" t="s">
        <v>125</v>
      </c>
      <c r="E514" s="799" t="s">
        <v>238</v>
      </c>
      <c r="F514" s="799" t="s">
        <v>102</v>
      </c>
      <c r="G514" s="17" t="s">
        <v>95</v>
      </c>
      <c r="H514" s="49">
        <f>64.8-16.2</f>
        <v>48.599999999999994</v>
      </c>
    </row>
    <row r="515" spans="1:8" ht="14" x14ac:dyDescent="0.15">
      <c r="A515" s="449" t="s">
        <v>96</v>
      </c>
      <c r="B515" s="799" t="s">
        <v>79</v>
      </c>
      <c r="C515" s="799" t="s">
        <v>80</v>
      </c>
      <c r="D515" s="799" t="s">
        <v>125</v>
      </c>
      <c r="E515" s="799">
        <v>4439901</v>
      </c>
      <c r="F515" s="799" t="s">
        <v>102</v>
      </c>
      <c r="G515" s="17">
        <v>310</v>
      </c>
      <c r="H515" s="49">
        <v>200.36</v>
      </c>
    </row>
    <row r="516" spans="1:8" ht="14" x14ac:dyDescent="0.15">
      <c r="A516" s="449" t="s">
        <v>97</v>
      </c>
      <c r="B516" s="799" t="s">
        <v>79</v>
      </c>
      <c r="C516" s="799" t="s">
        <v>80</v>
      </c>
      <c r="D516" s="799" t="s">
        <v>125</v>
      </c>
      <c r="E516" s="799">
        <v>4439901</v>
      </c>
      <c r="F516" s="799" t="s">
        <v>102</v>
      </c>
      <c r="G516" s="17">
        <v>340</v>
      </c>
      <c r="H516" s="49">
        <v>300</v>
      </c>
    </row>
    <row r="517" spans="1:8" ht="14" x14ac:dyDescent="0.15">
      <c r="A517" s="48" t="s">
        <v>98</v>
      </c>
      <c r="B517" s="20" t="s">
        <v>79</v>
      </c>
      <c r="C517" s="20" t="s">
        <v>80</v>
      </c>
      <c r="D517" s="20" t="s">
        <v>125</v>
      </c>
      <c r="E517" s="20" t="s">
        <v>239</v>
      </c>
      <c r="F517" s="20" t="s">
        <v>102</v>
      </c>
      <c r="G517" s="67"/>
      <c r="H517" s="50">
        <f>SUM(H504:H516)</f>
        <v>51501.930999999997</v>
      </c>
    </row>
    <row r="518" spans="1:8" ht="14" x14ac:dyDescent="0.15">
      <c r="A518" s="18" t="s">
        <v>147</v>
      </c>
      <c r="B518" s="799"/>
      <c r="C518" s="799"/>
      <c r="D518" s="799"/>
      <c r="E518" s="799"/>
      <c r="F518" s="799"/>
      <c r="G518" s="21"/>
      <c r="H518" s="50"/>
    </row>
    <row r="519" spans="1:8" ht="14" x14ac:dyDescent="0.15">
      <c r="A519" s="449" t="s">
        <v>78</v>
      </c>
      <c r="B519" s="799" t="s">
        <v>79</v>
      </c>
      <c r="C519" s="799" t="s">
        <v>80</v>
      </c>
      <c r="D519" s="799" t="s">
        <v>125</v>
      </c>
      <c r="E519" s="799">
        <v>4439901</v>
      </c>
      <c r="F519" s="799" t="s">
        <v>102</v>
      </c>
      <c r="G519" s="17">
        <v>211</v>
      </c>
      <c r="H519" s="49">
        <v>13156.5</v>
      </c>
    </row>
    <row r="520" spans="1:8" ht="14" x14ac:dyDescent="0.15">
      <c r="A520" s="449" t="s">
        <v>103</v>
      </c>
      <c r="B520" s="799" t="s">
        <v>79</v>
      </c>
      <c r="C520" s="799" t="s">
        <v>80</v>
      </c>
      <c r="D520" s="799" t="s">
        <v>125</v>
      </c>
      <c r="E520" s="799">
        <v>4439901</v>
      </c>
      <c r="F520" s="799" t="s">
        <v>102</v>
      </c>
      <c r="G520" s="17">
        <v>212</v>
      </c>
      <c r="H520" s="49"/>
    </row>
    <row r="521" spans="1:8" ht="14" x14ac:dyDescent="0.15">
      <c r="A521" s="449" t="s">
        <v>84</v>
      </c>
      <c r="B521" s="799" t="s">
        <v>79</v>
      </c>
      <c r="C521" s="799" t="s">
        <v>80</v>
      </c>
      <c r="D521" s="799" t="s">
        <v>125</v>
      </c>
      <c r="E521" s="799">
        <v>4439901</v>
      </c>
      <c r="F521" s="799" t="s">
        <v>102</v>
      </c>
      <c r="G521" s="17">
        <v>213</v>
      </c>
      <c r="H521" s="49">
        <v>3973.3</v>
      </c>
    </row>
    <row r="522" spans="1:8" ht="14" x14ac:dyDescent="0.15">
      <c r="A522" s="449" t="s">
        <v>85</v>
      </c>
      <c r="B522" s="799" t="s">
        <v>79</v>
      </c>
      <c r="C522" s="799" t="s">
        <v>80</v>
      </c>
      <c r="D522" s="799" t="s">
        <v>125</v>
      </c>
      <c r="E522" s="799">
        <v>4439901</v>
      </c>
      <c r="F522" s="799" t="s">
        <v>102</v>
      </c>
      <c r="G522" s="17">
        <v>221</v>
      </c>
      <c r="H522" s="49"/>
    </row>
    <row r="523" spans="1:8" ht="14" x14ac:dyDescent="0.15">
      <c r="A523" s="449" t="s">
        <v>86</v>
      </c>
      <c r="B523" s="799" t="s">
        <v>79</v>
      </c>
      <c r="C523" s="799" t="s">
        <v>80</v>
      </c>
      <c r="D523" s="799" t="s">
        <v>125</v>
      </c>
      <c r="E523" s="799">
        <v>4439901</v>
      </c>
      <c r="F523" s="799" t="s">
        <v>102</v>
      </c>
      <c r="G523" s="17">
        <v>222</v>
      </c>
      <c r="H523" s="49"/>
    </row>
    <row r="524" spans="1:8" ht="14" x14ac:dyDescent="0.15">
      <c r="A524" s="449" t="s">
        <v>87</v>
      </c>
      <c r="B524" s="799" t="s">
        <v>79</v>
      </c>
      <c r="C524" s="799" t="s">
        <v>80</v>
      </c>
      <c r="D524" s="799" t="s">
        <v>125</v>
      </c>
      <c r="E524" s="799">
        <v>4439901</v>
      </c>
      <c r="F524" s="799" t="s">
        <v>102</v>
      </c>
      <c r="G524" s="17">
        <v>223</v>
      </c>
      <c r="H524" s="49">
        <f>203-67.6</f>
        <v>135.4</v>
      </c>
    </row>
    <row r="525" spans="1:8" ht="14" x14ac:dyDescent="0.15">
      <c r="A525" s="449" t="s">
        <v>134</v>
      </c>
      <c r="B525" s="799" t="s">
        <v>79</v>
      </c>
      <c r="C525" s="799" t="s">
        <v>80</v>
      </c>
      <c r="D525" s="799" t="s">
        <v>125</v>
      </c>
      <c r="E525" s="799">
        <v>4439901</v>
      </c>
      <c r="F525" s="799" t="s">
        <v>102</v>
      </c>
      <c r="G525" s="17">
        <v>224</v>
      </c>
      <c r="H525" s="49"/>
    </row>
    <row r="526" spans="1:8" ht="14" x14ac:dyDescent="0.15">
      <c r="A526" s="449" t="s">
        <v>90</v>
      </c>
      <c r="B526" s="799" t="s">
        <v>79</v>
      </c>
      <c r="C526" s="799" t="s">
        <v>80</v>
      </c>
      <c r="D526" s="799" t="s">
        <v>125</v>
      </c>
      <c r="E526" s="799">
        <v>4439901</v>
      </c>
      <c r="F526" s="799" t="s">
        <v>102</v>
      </c>
      <c r="G526" s="17">
        <v>225</v>
      </c>
      <c r="H526" s="49"/>
    </row>
    <row r="527" spans="1:8" ht="14" x14ac:dyDescent="0.15">
      <c r="A527" s="449" t="s">
        <v>91</v>
      </c>
      <c r="B527" s="799" t="s">
        <v>79</v>
      </c>
      <c r="C527" s="799" t="s">
        <v>80</v>
      </c>
      <c r="D527" s="799" t="s">
        <v>125</v>
      </c>
      <c r="E527" s="799">
        <v>4439901</v>
      </c>
      <c r="F527" s="799" t="s">
        <v>102</v>
      </c>
      <c r="G527" s="17">
        <v>226</v>
      </c>
      <c r="H527" s="49">
        <f>215+50</f>
        <v>265</v>
      </c>
    </row>
    <row r="528" spans="1:8" ht="14" x14ac:dyDescent="0.15">
      <c r="A528" s="11" t="s">
        <v>94</v>
      </c>
      <c r="B528" s="799" t="s">
        <v>79</v>
      </c>
      <c r="C528" s="799" t="s">
        <v>80</v>
      </c>
      <c r="D528" s="799" t="s">
        <v>125</v>
      </c>
      <c r="E528" s="799">
        <v>4439901</v>
      </c>
      <c r="F528" s="799" t="s">
        <v>102</v>
      </c>
      <c r="G528" s="17">
        <v>290</v>
      </c>
      <c r="H528" s="49">
        <v>18.600000000000001</v>
      </c>
    </row>
    <row r="529" spans="1:8" ht="14" x14ac:dyDescent="0.15">
      <c r="A529" s="11" t="s">
        <v>94</v>
      </c>
      <c r="B529" s="799" t="s">
        <v>79</v>
      </c>
      <c r="C529" s="799" t="s">
        <v>80</v>
      </c>
      <c r="D529" s="799" t="s">
        <v>125</v>
      </c>
      <c r="E529" s="799" t="s">
        <v>238</v>
      </c>
      <c r="F529" s="799" t="s">
        <v>102</v>
      </c>
      <c r="G529" s="17" t="s">
        <v>95</v>
      </c>
      <c r="H529" s="49">
        <f>107.3+40.5-37</f>
        <v>110.80000000000001</v>
      </c>
    </row>
    <row r="530" spans="1:8" ht="14" x14ac:dyDescent="0.15">
      <c r="A530" s="449" t="s">
        <v>96</v>
      </c>
      <c r="B530" s="799" t="s">
        <v>79</v>
      </c>
      <c r="C530" s="799" t="s">
        <v>80</v>
      </c>
      <c r="D530" s="799" t="s">
        <v>125</v>
      </c>
      <c r="E530" s="799">
        <v>4439901</v>
      </c>
      <c r="F530" s="799" t="s">
        <v>102</v>
      </c>
      <c r="G530" s="17">
        <v>310</v>
      </c>
      <c r="H530" s="49">
        <v>350</v>
      </c>
    </row>
    <row r="531" spans="1:8" ht="14" x14ac:dyDescent="0.15">
      <c r="A531" s="449" t="s">
        <v>97</v>
      </c>
      <c r="B531" s="799" t="s">
        <v>79</v>
      </c>
      <c r="C531" s="799" t="s">
        <v>80</v>
      </c>
      <c r="D531" s="799" t="s">
        <v>125</v>
      </c>
      <c r="E531" s="799">
        <v>4439901</v>
      </c>
      <c r="F531" s="799" t="s">
        <v>102</v>
      </c>
      <c r="G531" s="17">
        <v>340</v>
      </c>
      <c r="H531" s="49">
        <f>40+67.6</f>
        <v>107.6</v>
      </c>
    </row>
    <row r="532" spans="1:8" ht="14" x14ac:dyDescent="0.15">
      <c r="A532" s="48" t="s">
        <v>98</v>
      </c>
      <c r="B532" s="20" t="s">
        <v>79</v>
      </c>
      <c r="C532" s="20" t="s">
        <v>80</v>
      </c>
      <c r="D532" s="20" t="s">
        <v>125</v>
      </c>
      <c r="E532" s="20" t="s">
        <v>239</v>
      </c>
      <c r="F532" s="20" t="s">
        <v>102</v>
      </c>
      <c r="G532" s="67"/>
      <c r="H532" s="50">
        <f>SUM(H519:H531)</f>
        <v>18117.199999999997</v>
      </c>
    </row>
    <row r="533" spans="1:8" ht="14" x14ac:dyDescent="0.15">
      <c r="A533" s="18" t="s">
        <v>148</v>
      </c>
      <c r="B533" s="799"/>
      <c r="C533" s="799"/>
      <c r="D533" s="799"/>
      <c r="E533" s="799"/>
      <c r="F533" s="799"/>
      <c r="G533" s="21"/>
      <c r="H533" s="50"/>
    </row>
    <row r="534" spans="1:8" ht="14" x14ac:dyDescent="0.15">
      <c r="A534" s="449" t="s">
        <v>78</v>
      </c>
      <c r="B534" s="799" t="s">
        <v>79</v>
      </c>
      <c r="C534" s="799" t="s">
        <v>80</v>
      </c>
      <c r="D534" s="799" t="s">
        <v>125</v>
      </c>
      <c r="E534" s="799">
        <v>4439901</v>
      </c>
      <c r="F534" s="799" t="s">
        <v>102</v>
      </c>
      <c r="G534" s="17">
        <v>211</v>
      </c>
      <c r="H534" s="49">
        <v>6764.2</v>
      </c>
    </row>
    <row r="535" spans="1:8" ht="14" x14ac:dyDescent="0.15">
      <c r="A535" s="449" t="s">
        <v>103</v>
      </c>
      <c r="B535" s="799" t="s">
        <v>79</v>
      </c>
      <c r="C535" s="799" t="s">
        <v>80</v>
      </c>
      <c r="D535" s="799" t="s">
        <v>125</v>
      </c>
      <c r="E535" s="799">
        <v>4439901</v>
      </c>
      <c r="F535" s="799" t="s">
        <v>102</v>
      </c>
      <c r="G535" s="17">
        <v>212</v>
      </c>
      <c r="H535" s="49"/>
    </row>
    <row r="536" spans="1:8" ht="14" x14ac:dyDescent="0.15">
      <c r="A536" s="449" t="s">
        <v>84</v>
      </c>
      <c r="B536" s="799" t="s">
        <v>79</v>
      </c>
      <c r="C536" s="799" t="s">
        <v>80</v>
      </c>
      <c r="D536" s="799" t="s">
        <v>125</v>
      </c>
      <c r="E536" s="799">
        <v>4439901</v>
      </c>
      <c r="F536" s="799" t="s">
        <v>102</v>
      </c>
      <c r="G536" s="17">
        <v>213</v>
      </c>
      <c r="H536" s="49">
        <v>2042.8</v>
      </c>
    </row>
    <row r="537" spans="1:8" ht="14" x14ac:dyDescent="0.15">
      <c r="A537" s="449" t="s">
        <v>85</v>
      </c>
      <c r="B537" s="799" t="s">
        <v>79</v>
      </c>
      <c r="C537" s="799" t="s">
        <v>80</v>
      </c>
      <c r="D537" s="799" t="s">
        <v>125</v>
      </c>
      <c r="E537" s="799">
        <v>4439901</v>
      </c>
      <c r="F537" s="799" t="s">
        <v>102</v>
      </c>
      <c r="G537" s="17">
        <v>221</v>
      </c>
      <c r="H537" s="49"/>
    </row>
    <row r="538" spans="1:8" ht="14" x14ac:dyDescent="0.15">
      <c r="A538" s="449" t="s">
        <v>86</v>
      </c>
      <c r="B538" s="799" t="s">
        <v>79</v>
      </c>
      <c r="C538" s="799" t="s">
        <v>80</v>
      </c>
      <c r="D538" s="799" t="s">
        <v>125</v>
      </c>
      <c r="E538" s="799">
        <v>4439901</v>
      </c>
      <c r="F538" s="799" t="s">
        <v>102</v>
      </c>
      <c r="G538" s="17">
        <v>222</v>
      </c>
      <c r="H538" s="49"/>
    </row>
    <row r="539" spans="1:8" ht="14" x14ac:dyDescent="0.15">
      <c r="A539" s="449" t="s">
        <v>87</v>
      </c>
      <c r="B539" s="799" t="s">
        <v>79</v>
      </c>
      <c r="C539" s="799" t="s">
        <v>80</v>
      </c>
      <c r="D539" s="799" t="s">
        <v>125</v>
      </c>
      <c r="E539" s="799">
        <v>4439901</v>
      </c>
      <c r="F539" s="799" t="s">
        <v>102</v>
      </c>
      <c r="G539" s="17">
        <v>223</v>
      </c>
      <c r="H539" s="49"/>
    </row>
    <row r="540" spans="1:8" ht="14" x14ac:dyDescent="0.15">
      <c r="A540" s="449" t="s">
        <v>134</v>
      </c>
      <c r="B540" s="799" t="s">
        <v>79</v>
      </c>
      <c r="C540" s="799" t="s">
        <v>80</v>
      </c>
      <c r="D540" s="799" t="s">
        <v>125</v>
      </c>
      <c r="E540" s="799">
        <v>4439901</v>
      </c>
      <c r="F540" s="799" t="s">
        <v>102</v>
      </c>
      <c r="G540" s="17">
        <v>224</v>
      </c>
      <c r="H540" s="49"/>
    </row>
    <row r="541" spans="1:8" ht="14" x14ac:dyDescent="0.15">
      <c r="A541" s="449" t="s">
        <v>90</v>
      </c>
      <c r="B541" s="799" t="s">
        <v>79</v>
      </c>
      <c r="C541" s="799" t="s">
        <v>80</v>
      </c>
      <c r="D541" s="799" t="s">
        <v>125</v>
      </c>
      <c r="E541" s="799">
        <v>4439901</v>
      </c>
      <c r="F541" s="799" t="s">
        <v>102</v>
      </c>
      <c r="G541" s="17">
        <v>225</v>
      </c>
      <c r="H541" s="49"/>
    </row>
    <row r="542" spans="1:8" ht="14" x14ac:dyDescent="0.15">
      <c r="A542" s="449" t="s">
        <v>91</v>
      </c>
      <c r="B542" s="799" t="s">
        <v>79</v>
      </c>
      <c r="C542" s="799" t="s">
        <v>80</v>
      </c>
      <c r="D542" s="799" t="s">
        <v>125</v>
      </c>
      <c r="E542" s="799">
        <v>4439901</v>
      </c>
      <c r="F542" s="799" t="s">
        <v>102</v>
      </c>
      <c r="G542" s="17">
        <v>226</v>
      </c>
      <c r="H542" s="49">
        <v>125</v>
      </c>
    </row>
    <row r="543" spans="1:8" ht="14" x14ac:dyDescent="0.15">
      <c r="A543" s="11" t="s">
        <v>94</v>
      </c>
      <c r="B543" s="799" t="s">
        <v>79</v>
      </c>
      <c r="C543" s="799" t="s">
        <v>80</v>
      </c>
      <c r="D543" s="799" t="s">
        <v>125</v>
      </c>
      <c r="E543" s="799">
        <v>4439901</v>
      </c>
      <c r="F543" s="799" t="s">
        <v>102</v>
      </c>
      <c r="G543" s="17">
        <v>290</v>
      </c>
      <c r="H543" s="49">
        <v>10.6</v>
      </c>
    </row>
    <row r="544" spans="1:8" ht="14" x14ac:dyDescent="0.15">
      <c r="A544" s="11" t="s">
        <v>94</v>
      </c>
      <c r="B544" s="799" t="s">
        <v>79</v>
      </c>
      <c r="C544" s="799" t="s">
        <v>80</v>
      </c>
      <c r="D544" s="799" t="s">
        <v>125</v>
      </c>
      <c r="E544" s="799" t="s">
        <v>238</v>
      </c>
      <c r="F544" s="799" t="s">
        <v>102</v>
      </c>
      <c r="G544" s="17" t="s">
        <v>95</v>
      </c>
      <c r="H544" s="49">
        <f>12.2-3.1</f>
        <v>9.1</v>
      </c>
    </row>
    <row r="545" spans="1:8" ht="14" x14ac:dyDescent="0.15">
      <c r="A545" s="449" t="s">
        <v>96</v>
      </c>
      <c r="B545" s="799" t="s">
        <v>79</v>
      </c>
      <c r="C545" s="799" t="s">
        <v>80</v>
      </c>
      <c r="D545" s="799" t="s">
        <v>125</v>
      </c>
      <c r="E545" s="799">
        <v>4439901</v>
      </c>
      <c r="F545" s="799" t="s">
        <v>102</v>
      </c>
      <c r="G545" s="17">
        <v>310</v>
      </c>
      <c r="H545" s="49">
        <v>50</v>
      </c>
    </row>
    <row r="546" spans="1:8" ht="14" x14ac:dyDescent="0.15">
      <c r="A546" s="449" t="s">
        <v>97</v>
      </c>
      <c r="B546" s="799" t="s">
        <v>79</v>
      </c>
      <c r="C546" s="799" t="s">
        <v>80</v>
      </c>
      <c r="D546" s="799" t="s">
        <v>125</v>
      </c>
      <c r="E546" s="799">
        <v>4439901</v>
      </c>
      <c r="F546" s="799" t="s">
        <v>102</v>
      </c>
      <c r="G546" s="17">
        <v>340</v>
      </c>
      <c r="H546" s="49">
        <v>60</v>
      </c>
    </row>
    <row r="547" spans="1:8" ht="14" x14ac:dyDescent="0.15">
      <c r="A547" s="48" t="s">
        <v>98</v>
      </c>
      <c r="B547" s="20" t="s">
        <v>79</v>
      </c>
      <c r="C547" s="20" t="s">
        <v>80</v>
      </c>
      <c r="D547" s="20" t="s">
        <v>125</v>
      </c>
      <c r="E547" s="20" t="s">
        <v>239</v>
      </c>
      <c r="F547" s="20" t="s">
        <v>102</v>
      </c>
      <c r="G547" s="67"/>
      <c r="H547" s="50">
        <f>SUM(H534:H546)</f>
        <v>9061.7000000000007</v>
      </c>
    </row>
    <row r="548" spans="1:8" ht="14" x14ac:dyDescent="0.15">
      <c r="A548" s="18" t="s">
        <v>149</v>
      </c>
      <c r="B548" s="799"/>
      <c r="C548" s="799"/>
      <c r="D548" s="799"/>
      <c r="E548" s="799"/>
      <c r="F548" s="799"/>
      <c r="G548" s="21"/>
      <c r="H548" s="50"/>
    </row>
    <row r="549" spans="1:8" ht="14" x14ac:dyDescent="0.15">
      <c r="A549" s="449" t="s">
        <v>78</v>
      </c>
      <c r="B549" s="799" t="s">
        <v>79</v>
      </c>
      <c r="C549" s="799" t="s">
        <v>80</v>
      </c>
      <c r="D549" s="799" t="s">
        <v>125</v>
      </c>
      <c r="E549" s="799">
        <v>4439901</v>
      </c>
      <c r="F549" s="799" t="s">
        <v>102</v>
      </c>
      <c r="G549" s="17">
        <v>211</v>
      </c>
      <c r="H549" s="49">
        <v>6738.9</v>
      </c>
    </row>
    <row r="550" spans="1:8" ht="14" x14ac:dyDescent="0.15">
      <c r="A550" s="449" t="s">
        <v>103</v>
      </c>
      <c r="B550" s="799" t="s">
        <v>79</v>
      </c>
      <c r="C550" s="799" t="s">
        <v>80</v>
      </c>
      <c r="D550" s="799" t="s">
        <v>125</v>
      </c>
      <c r="E550" s="799">
        <v>4439901</v>
      </c>
      <c r="F550" s="799" t="s">
        <v>102</v>
      </c>
      <c r="G550" s="17">
        <v>212</v>
      </c>
      <c r="H550" s="49"/>
    </row>
    <row r="551" spans="1:8" ht="14" x14ac:dyDescent="0.15">
      <c r="A551" s="449" t="s">
        <v>84</v>
      </c>
      <c r="B551" s="799" t="s">
        <v>79</v>
      </c>
      <c r="C551" s="799" t="s">
        <v>80</v>
      </c>
      <c r="D551" s="799" t="s">
        <v>125</v>
      </c>
      <c r="E551" s="799">
        <v>4439901</v>
      </c>
      <c r="F551" s="799" t="s">
        <v>102</v>
      </c>
      <c r="G551" s="17">
        <v>213</v>
      </c>
      <c r="H551" s="49">
        <v>2035.2</v>
      </c>
    </row>
    <row r="552" spans="1:8" ht="14" x14ac:dyDescent="0.15">
      <c r="A552" s="449" t="s">
        <v>85</v>
      </c>
      <c r="B552" s="799" t="s">
        <v>79</v>
      </c>
      <c r="C552" s="799" t="s">
        <v>80</v>
      </c>
      <c r="D552" s="799" t="s">
        <v>125</v>
      </c>
      <c r="E552" s="799">
        <v>4439901</v>
      </c>
      <c r="F552" s="799" t="s">
        <v>102</v>
      </c>
      <c r="G552" s="17">
        <v>221</v>
      </c>
      <c r="H552" s="49"/>
    </row>
    <row r="553" spans="1:8" ht="14" x14ac:dyDescent="0.15">
      <c r="A553" s="449" t="s">
        <v>86</v>
      </c>
      <c r="B553" s="799" t="s">
        <v>79</v>
      </c>
      <c r="C553" s="799" t="s">
        <v>80</v>
      </c>
      <c r="D553" s="799" t="s">
        <v>125</v>
      </c>
      <c r="E553" s="799">
        <v>4439901</v>
      </c>
      <c r="F553" s="799" t="s">
        <v>102</v>
      </c>
      <c r="G553" s="17">
        <v>222</v>
      </c>
      <c r="H553" s="49"/>
    </row>
    <row r="554" spans="1:8" ht="14" x14ac:dyDescent="0.15">
      <c r="A554" s="449" t="s">
        <v>87</v>
      </c>
      <c r="B554" s="799" t="s">
        <v>79</v>
      </c>
      <c r="C554" s="799" t="s">
        <v>80</v>
      </c>
      <c r="D554" s="799" t="s">
        <v>125</v>
      </c>
      <c r="E554" s="799">
        <v>4439901</v>
      </c>
      <c r="F554" s="799" t="s">
        <v>102</v>
      </c>
      <c r="G554" s="17">
        <v>223</v>
      </c>
      <c r="H554" s="49">
        <v>172.2</v>
      </c>
    </row>
    <row r="555" spans="1:8" ht="14" x14ac:dyDescent="0.15">
      <c r="A555" s="449" t="s">
        <v>134</v>
      </c>
      <c r="B555" s="799" t="s">
        <v>79</v>
      </c>
      <c r="C555" s="799" t="s">
        <v>80</v>
      </c>
      <c r="D555" s="799" t="s">
        <v>125</v>
      </c>
      <c r="E555" s="799">
        <v>4439901</v>
      </c>
      <c r="F555" s="799" t="s">
        <v>102</v>
      </c>
      <c r="G555" s="17">
        <v>224</v>
      </c>
      <c r="H555" s="49"/>
    </row>
    <row r="556" spans="1:8" ht="14" x14ac:dyDescent="0.15">
      <c r="A556" s="449" t="s">
        <v>90</v>
      </c>
      <c r="B556" s="799" t="s">
        <v>79</v>
      </c>
      <c r="C556" s="799" t="s">
        <v>80</v>
      </c>
      <c r="D556" s="799" t="s">
        <v>125</v>
      </c>
      <c r="E556" s="799">
        <v>4439901</v>
      </c>
      <c r="F556" s="799" t="s">
        <v>102</v>
      </c>
      <c r="G556" s="17">
        <v>225</v>
      </c>
      <c r="H556" s="49">
        <v>80</v>
      </c>
    </row>
    <row r="557" spans="1:8" ht="14" x14ac:dyDescent="0.15">
      <c r="A557" s="449" t="s">
        <v>91</v>
      </c>
      <c r="B557" s="799" t="s">
        <v>79</v>
      </c>
      <c r="C557" s="799" t="s">
        <v>80</v>
      </c>
      <c r="D557" s="799" t="s">
        <v>125</v>
      </c>
      <c r="E557" s="799">
        <v>4439901</v>
      </c>
      <c r="F557" s="799" t="s">
        <v>102</v>
      </c>
      <c r="G557" s="17">
        <v>226</v>
      </c>
      <c r="H557" s="49">
        <v>175</v>
      </c>
    </row>
    <row r="558" spans="1:8" ht="14" x14ac:dyDescent="0.15">
      <c r="A558" s="11" t="s">
        <v>94</v>
      </c>
      <c r="B558" s="799" t="s">
        <v>79</v>
      </c>
      <c r="C558" s="799" t="s">
        <v>80</v>
      </c>
      <c r="D558" s="799" t="s">
        <v>125</v>
      </c>
      <c r="E558" s="799">
        <v>4439901</v>
      </c>
      <c r="F558" s="799" t="s">
        <v>102</v>
      </c>
      <c r="G558" s="17">
        <v>290</v>
      </c>
      <c r="H558" s="49">
        <v>11</v>
      </c>
    </row>
    <row r="559" spans="1:8" ht="14" x14ac:dyDescent="0.15">
      <c r="A559" s="11" t="s">
        <v>94</v>
      </c>
      <c r="B559" s="799" t="s">
        <v>79</v>
      </c>
      <c r="C559" s="799" t="s">
        <v>80</v>
      </c>
      <c r="D559" s="799" t="s">
        <v>125</v>
      </c>
      <c r="E559" s="799" t="s">
        <v>238</v>
      </c>
      <c r="F559" s="799" t="s">
        <v>102</v>
      </c>
      <c r="G559" s="17" t="s">
        <v>95</v>
      </c>
      <c r="H559" s="49">
        <f>86.7+13-24.9</f>
        <v>74.800000000000011</v>
      </c>
    </row>
    <row r="560" spans="1:8" ht="14" x14ac:dyDescent="0.15">
      <c r="A560" s="449" t="s">
        <v>96</v>
      </c>
      <c r="B560" s="799" t="s">
        <v>79</v>
      </c>
      <c r="C560" s="799" t="s">
        <v>80</v>
      </c>
      <c r="D560" s="799" t="s">
        <v>125</v>
      </c>
      <c r="E560" s="799">
        <v>4439901</v>
      </c>
      <c r="F560" s="799" t="s">
        <v>102</v>
      </c>
      <c r="G560" s="17">
        <v>310</v>
      </c>
      <c r="H560" s="49">
        <f>100-50</f>
        <v>50</v>
      </c>
    </row>
    <row r="561" spans="1:8" ht="14" x14ac:dyDescent="0.15">
      <c r="A561" s="449" t="s">
        <v>97</v>
      </c>
      <c r="B561" s="799" t="s">
        <v>79</v>
      </c>
      <c r="C561" s="799" t="s">
        <v>80</v>
      </c>
      <c r="D561" s="799" t="s">
        <v>125</v>
      </c>
      <c r="E561" s="799">
        <v>4439901</v>
      </c>
      <c r="F561" s="799" t="s">
        <v>102</v>
      </c>
      <c r="G561" s="17">
        <v>340</v>
      </c>
      <c r="H561" s="49">
        <f>150+50</f>
        <v>200</v>
      </c>
    </row>
    <row r="562" spans="1:8" ht="14" x14ac:dyDescent="0.15">
      <c r="A562" s="48" t="s">
        <v>98</v>
      </c>
      <c r="B562" s="20" t="s">
        <v>79</v>
      </c>
      <c r="C562" s="20" t="s">
        <v>80</v>
      </c>
      <c r="D562" s="20" t="s">
        <v>125</v>
      </c>
      <c r="E562" s="20" t="s">
        <v>239</v>
      </c>
      <c r="F562" s="20" t="s">
        <v>102</v>
      </c>
      <c r="G562" s="67"/>
      <c r="H562" s="50">
        <f>SUM(H549:H561)</f>
        <v>9537.1</v>
      </c>
    </row>
    <row r="563" spans="1:8" ht="14" x14ac:dyDescent="0.15">
      <c r="A563" s="18" t="s">
        <v>150</v>
      </c>
      <c r="B563" s="799"/>
      <c r="C563" s="799"/>
      <c r="D563" s="799"/>
      <c r="E563" s="799"/>
      <c r="F563" s="799"/>
      <c r="G563" s="21"/>
      <c r="H563" s="50"/>
    </row>
    <row r="564" spans="1:8" ht="14" x14ac:dyDescent="0.15">
      <c r="A564" s="449" t="s">
        <v>78</v>
      </c>
      <c r="B564" s="799" t="s">
        <v>79</v>
      </c>
      <c r="C564" s="799" t="s">
        <v>80</v>
      </c>
      <c r="D564" s="799" t="s">
        <v>125</v>
      </c>
      <c r="E564" s="799">
        <v>4439901</v>
      </c>
      <c r="F564" s="799" t="s">
        <v>102</v>
      </c>
      <c r="G564" s="17">
        <v>211</v>
      </c>
      <c r="H564" s="450">
        <f>22948.7-0.357</f>
        <v>22948.343000000001</v>
      </c>
    </row>
    <row r="565" spans="1:8" ht="14" x14ac:dyDescent="0.15">
      <c r="A565" s="449" t="s">
        <v>103</v>
      </c>
      <c r="B565" s="799" t="s">
        <v>79</v>
      </c>
      <c r="C565" s="799" t="s">
        <v>80</v>
      </c>
      <c r="D565" s="799" t="s">
        <v>125</v>
      </c>
      <c r="E565" s="799">
        <v>4439901</v>
      </c>
      <c r="F565" s="799" t="s">
        <v>102</v>
      </c>
      <c r="G565" s="17">
        <v>212</v>
      </c>
      <c r="H565" s="450">
        <f>6.6</f>
        <v>6.6</v>
      </c>
    </row>
    <row r="566" spans="1:8" ht="14" x14ac:dyDescent="0.15">
      <c r="A566" s="449" t="s">
        <v>84</v>
      </c>
      <c r="B566" s="799" t="s">
        <v>79</v>
      </c>
      <c r="C566" s="799" t="s">
        <v>80</v>
      </c>
      <c r="D566" s="799" t="s">
        <v>125</v>
      </c>
      <c r="E566" s="799">
        <v>4439901</v>
      </c>
      <c r="F566" s="799" t="s">
        <v>102</v>
      </c>
      <c r="G566" s="17">
        <v>213</v>
      </c>
      <c r="H566" s="450">
        <f>6930.5+0.357</f>
        <v>6930.857</v>
      </c>
    </row>
    <row r="567" spans="1:8" ht="14" x14ac:dyDescent="0.15">
      <c r="A567" s="449" t="s">
        <v>85</v>
      </c>
      <c r="B567" s="799" t="s">
        <v>79</v>
      </c>
      <c r="C567" s="799" t="s">
        <v>80</v>
      </c>
      <c r="D567" s="799" t="s">
        <v>125</v>
      </c>
      <c r="E567" s="799">
        <v>4439901</v>
      </c>
      <c r="F567" s="799" t="s">
        <v>102</v>
      </c>
      <c r="G567" s="17">
        <v>221</v>
      </c>
      <c r="H567" s="450"/>
    </row>
    <row r="568" spans="1:8" ht="14" x14ac:dyDescent="0.15">
      <c r="A568" s="449" t="s">
        <v>86</v>
      </c>
      <c r="B568" s="799" t="s">
        <v>79</v>
      </c>
      <c r="C568" s="799" t="s">
        <v>80</v>
      </c>
      <c r="D568" s="799" t="s">
        <v>125</v>
      </c>
      <c r="E568" s="799">
        <v>4439901</v>
      </c>
      <c r="F568" s="799" t="s">
        <v>102</v>
      </c>
      <c r="G568" s="17">
        <v>222</v>
      </c>
      <c r="H568" s="450">
        <f>283.534+10.085</f>
        <v>293.61899999999997</v>
      </c>
    </row>
    <row r="569" spans="1:8" ht="14" x14ac:dyDescent="0.15">
      <c r="A569" s="449" t="s">
        <v>87</v>
      </c>
      <c r="B569" s="799" t="s">
        <v>79</v>
      </c>
      <c r="C569" s="799" t="s">
        <v>80</v>
      </c>
      <c r="D569" s="799" t="s">
        <v>125</v>
      </c>
      <c r="E569" s="799">
        <v>4439901</v>
      </c>
      <c r="F569" s="799" t="s">
        <v>102</v>
      </c>
      <c r="G569" s="17">
        <v>223</v>
      </c>
      <c r="H569" s="450">
        <v>367</v>
      </c>
    </row>
    <row r="570" spans="1:8" ht="14" x14ac:dyDescent="0.15">
      <c r="A570" s="449" t="s">
        <v>134</v>
      </c>
      <c r="B570" s="799" t="s">
        <v>79</v>
      </c>
      <c r="C570" s="799" t="s">
        <v>80</v>
      </c>
      <c r="D570" s="799" t="s">
        <v>125</v>
      </c>
      <c r="E570" s="799">
        <v>4439901</v>
      </c>
      <c r="F570" s="799" t="s">
        <v>102</v>
      </c>
      <c r="G570" s="17">
        <v>224</v>
      </c>
      <c r="H570" s="450"/>
    </row>
    <row r="571" spans="1:8" ht="14" x14ac:dyDescent="0.15">
      <c r="A571" s="449" t="s">
        <v>90</v>
      </c>
      <c r="B571" s="799" t="s">
        <v>79</v>
      </c>
      <c r="C571" s="799" t="s">
        <v>80</v>
      </c>
      <c r="D571" s="799" t="s">
        <v>125</v>
      </c>
      <c r="E571" s="799">
        <v>4439901</v>
      </c>
      <c r="F571" s="799" t="s">
        <v>102</v>
      </c>
      <c r="G571" s="17">
        <v>225</v>
      </c>
      <c r="H571" s="450">
        <v>10</v>
      </c>
    </row>
    <row r="572" spans="1:8" ht="14" x14ac:dyDescent="0.15">
      <c r="A572" s="449" t="s">
        <v>91</v>
      </c>
      <c r="B572" s="799" t="s">
        <v>79</v>
      </c>
      <c r="C572" s="799" t="s">
        <v>80</v>
      </c>
      <c r="D572" s="799" t="s">
        <v>125</v>
      </c>
      <c r="E572" s="799">
        <v>4439901</v>
      </c>
      <c r="F572" s="799" t="s">
        <v>102</v>
      </c>
      <c r="G572" s="17">
        <v>226</v>
      </c>
      <c r="H572" s="450">
        <f>415+2000+149.55+331.8+370.71-44.321+216.8+47.521</f>
        <v>3487.0600000000009</v>
      </c>
    </row>
    <row r="573" spans="1:8" ht="14" x14ac:dyDescent="0.15">
      <c r="A573" s="11" t="s">
        <v>94</v>
      </c>
      <c r="B573" s="799" t="s">
        <v>79</v>
      </c>
      <c r="C573" s="799" t="s">
        <v>80</v>
      </c>
      <c r="D573" s="799" t="s">
        <v>125</v>
      </c>
      <c r="E573" s="799">
        <v>4439901</v>
      </c>
      <c r="F573" s="799" t="s">
        <v>102</v>
      </c>
      <c r="G573" s="17">
        <v>290</v>
      </c>
      <c r="H573" s="450">
        <v>34.200000000000003</v>
      </c>
    </row>
    <row r="574" spans="1:8" ht="14" x14ac:dyDescent="0.15">
      <c r="A574" s="11" t="s">
        <v>94</v>
      </c>
      <c r="B574" s="799" t="s">
        <v>79</v>
      </c>
      <c r="C574" s="799" t="s">
        <v>80</v>
      </c>
      <c r="D574" s="799" t="s">
        <v>125</v>
      </c>
      <c r="E574" s="799" t="s">
        <v>238</v>
      </c>
      <c r="F574" s="799" t="s">
        <v>102</v>
      </c>
      <c r="G574" s="17" t="s">
        <v>95</v>
      </c>
      <c r="H574" s="450">
        <f>323.8+483-331.8+44.321</f>
        <v>519.32099999999991</v>
      </c>
    </row>
    <row r="575" spans="1:8" ht="14" x14ac:dyDescent="0.15">
      <c r="A575" s="449" t="s">
        <v>96</v>
      </c>
      <c r="B575" s="799" t="s">
        <v>79</v>
      </c>
      <c r="C575" s="799" t="s">
        <v>80</v>
      </c>
      <c r="D575" s="799" t="s">
        <v>125</v>
      </c>
      <c r="E575" s="799">
        <v>4439901</v>
      </c>
      <c r="F575" s="799" t="s">
        <v>102</v>
      </c>
      <c r="G575" s="17">
        <v>310</v>
      </c>
      <c r="H575" s="450">
        <f>90+9000-4000+4000-47.521</f>
        <v>9042.4789999999994</v>
      </c>
    </row>
    <row r="576" spans="1:8" ht="14" x14ac:dyDescent="0.15">
      <c r="A576" s="449" t="s">
        <v>97</v>
      </c>
      <c r="B576" s="799" t="s">
        <v>79</v>
      </c>
      <c r="C576" s="799" t="s">
        <v>80</v>
      </c>
      <c r="D576" s="799" t="s">
        <v>125</v>
      </c>
      <c r="E576" s="799">
        <v>4439901</v>
      </c>
      <c r="F576" s="799" t="s">
        <v>102</v>
      </c>
      <c r="G576" s="17">
        <v>340</v>
      </c>
      <c r="H576" s="450">
        <v>90</v>
      </c>
    </row>
    <row r="577" spans="1:8" ht="14" x14ac:dyDescent="0.15">
      <c r="A577" s="48" t="s">
        <v>98</v>
      </c>
      <c r="B577" s="20" t="s">
        <v>79</v>
      </c>
      <c r="C577" s="20" t="s">
        <v>80</v>
      </c>
      <c r="D577" s="20" t="s">
        <v>125</v>
      </c>
      <c r="E577" s="20" t="s">
        <v>239</v>
      </c>
      <c r="F577" s="20" t="s">
        <v>102</v>
      </c>
      <c r="G577" s="67"/>
      <c r="H577" s="50">
        <f>SUM(H564:H576)</f>
        <v>43729.478999999999</v>
      </c>
    </row>
    <row r="578" spans="1:8" ht="14" x14ac:dyDescent="0.15">
      <c r="A578" s="18" t="s">
        <v>151</v>
      </c>
      <c r="B578" s="799"/>
      <c r="C578" s="799"/>
      <c r="D578" s="799"/>
      <c r="E578" s="799"/>
      <c r="F578" s="799"/>
      <c r="G578" s="21"/>
      <c r="H578" s="50"/>
    </row>
    <row r="579" spans="1:8" ht="14" x14ac:dyDescent="0.15">
      <c r="A579" s="449" t="s">
        <v>78</v>
      </c>
      <c r="B579" s="799" t="s">
        <v>79</v>
      </c>
      <c r="C579" s="799" t="s">
        <v>80</v>
      </c>
      <c r="D579" s="799" t="s">
        <v>125</v>
      </c>
      <c r="E579" s="799">
        <v>4439901</v>
      </c>
      <c r="F579" s="799" t="s">
        <v>102</v>
      </c>
      <c r="G579" s="17">
        <v>211</v>
      </c>
      <c r="H579" s="49">
        <v>2646.9</v>
      </c>
    </row>
    <row r="580" spans="1:8" ht="14" x14ac:dyDescent="0.15">
      <c r="A580" s="449" t="s">
        <v>103</v>
      </c>
      <c r="B580" s="799" t="s">
        <v>79</v>
      </c>
      <c r="C580" s="799" t="s">
        <v>80</v>
      </c>
      <c r="D580" s="799" t="s">
        <v>125</v>
      </c>
      <c r="E580" s="799">
        <v>4439901</v>
      </c>
      <c r="F580" s="799" t="s">
        <v>102</v>
      </c>
      <c r="G580" s="17">
        <v>212</v>
      </c>
      <c r="H580" s="49"/>
    </row>
    <row r="581" spans="1:8" ht="14" x14ac:dyDescent="0.15">
      <c r="A581" s="449" t="s">
        <v>84</v>
      </c>
      <c r="B581" s="799" t="s">
        <v>79</v>
      </c>
      <c r="C581" s="799" t="s">
        <v>80</v>
      </c>
      <c r="D581" s="799" t="s">
        <v>125</v>
      </c>
      <c r="E581" s="799">
        <v>4439901</v>
      </c>
      <c r="F581" s="799" t="s">
        <v>102</v>
      </c>
      <c r="G581" s="17">
        <v>213</v>
      </c>
      <c r="H581" s="49">
        <f>799.4+13.55</f>
        <v>812.94999999999993</v>
      </c>
    </row>
    <row r="582" spans="1:8" ht="14" x14ac:dyDescent="0.15">
      <c r="A582" s="449" t="s">
        <v>85</v>
      </c>
      <c r="B582" s="799" t="s">
        <v>79</v>
      </c>
      <c r="C582" s="799" t="s">
        <v>80</v>
      </c>
      <c r="D582" s="799" t="s">
        <v>125</v>
      </c>
      <c r="E582" s="799">
        <v>4439901</v>
      </c>
      <c r="F582" s="799" t="s">
        <v>102</v>
      </c>
      <c r="G582" s="17">
        <v>221</v>
      </c>
      <c r="H582" s="49"/>
    </row>
    <row r="583" spans="1:8" ht="14" x14ac:dyDescent="0.15">
      <c r="A583" s="449" t="s">
        <v>86</v>
      </c>
      <c r="B583" s="799" t="s">
        <v>79</v>
      </c>
      <c r="C583" s="799" t="s">
        <v>80</v>
      </c>
      <c r="D583" s="799" t="s">
        <v>125</v>
      </c>
      <c r="E583" s="799">
        <v>4439901</v>
      </c>
      <c r="F583" s="799" t="s">
        <v>102</v>
      </c>
      <c r="G583" s="17">
        <v>222</v>
      </c>
      <c r="H583" s="49"/>
    </row>
    <row r="584" spans="1:8" ht="14" x14ac:dyDescent="0.15">
      <c r="A584" s="449" t="s">
        <v>87</v>
      </c>
      <c r="B584" s="799" t="s">
        <v>79</v>
      </c>
      <c r="C584" s="799" t="s">
        <v>80</v>
      </c>
      <c r="D584" s="799" t="s">
        <v>125</v>
      </c>
      <c r="E584" s="799">
        <v>4439901</v>
      </c>
      <c r="F584" s="799" t="s">
        <v>102</v>
      </c>
      <c r="G584" s="17">
        <v>223</v>
      </c>
      <c r="H584" s="49"/>
    </row>
    <row r="585" spans="1:8" ht="14" x14ac:dyDescent="0.15">
      <c r="A585" s="449" t="s">
        <v>134</v>
      </c>
      <c r="B585" s="799" t="s">
        <v>79</v>
      </c>
      <c r="C585" s="799" t="s">
        <v>80</v>
      </c>
      <c r="D585" s="799" t="s">
        <v>125</v>
      </c>
      <c r="E585" s="799">
        <v>4439901</v>
      </c>
      <c r="F585" s="799" t="s">
        <v>102</v>
      </c>
      <c r="G585" s="17">
        <v>224</v>
      </c>
      <c r="H585" s="49"/>
    </row>
    <row r="586" spans="1:8" ht="14" x14ac:dyDescent="0.15">
      <c r="A586" s="449" t="s">
        <v>90</v>
      </c>
      <c r="B586" s="799" t="s">
        <v>79</v>
      </c>
      <c r="C586" s="799" t="s">
        <v>80</v>
      </c>
      <c r="D586" s="799" t="s">
        <v>125</v>
      </c>
      <c r="E586" s="799">
        <v>4439901</v>
      </c>
      <c r="F586" s="799" t="s">
        <v>102</v>
      </c>
      <c r="G586" s="17">
        <v>225</v>
      </c>
      <c r="H586" s="49">
        <f>10-1.97</f>
        <v>8.0299999999999994</v>
      </c>
    </row>
    <row r="587" spans="1:8" ht="14" x14ac:dyDescent="0.15">
      <c r="A587" s="449" t="s">
        <v>91</v>
      </c>
      <c r="B587" s="799" t="s">
        <v>79</v>
      </c>
      <c r="C587" s="799" t="s">
        <v>80</v>
      </c>
      <c r="D587" s="799" t="s">
        <v>125</v>
      </c>
      <c r="E587" s="799">
        <v>4439901</v>
      </c>
      <c r="F587" s="799" t="s">
        <v>102</v>
      </c>
      <c r="G587" s="17">
        <v>226</v>
      </c>
      <c r="H587" s="49">
        <v>50</v>
      </c>
    </row>
    <row r="588" spans="1:8" ht="14" x14ac:dyDescent="0.15">
      <c r="A588" s="11" t="s">
        <v>94</v>
      </c>
      <c r="B588" s="799" t="s">
        <v>79</v>
      </c>
      <c r="C588" s="799" t="s">
        <v>80</v>
      </c>
      <c r="D588" s="799" t="s">
        <v>125</v>
      </c>
      <c r="E588" s="799">
        <v>4439901</v>
      </c>
      <c r="F588" s="799" t="s">
        <v>102</v>
      </c>
      <c r="G588" s="17">
        <v>290</v>
      </c>
      <c r="H588" s="49">
        <v>5.7</v>
      </c>
    </row>
    <row r="589" spans="1:8" ht="14" x14ac:dyDescent="0.15">
      <c r="A589" s="11" t="s">
        <v>94</v>
      </c>
      <c r="B589" s="799" t="s">
        <v>79</v>
      </c>
      <c r="C589" s="799" t="s">
        <v>80</v>
      </c>
      <c r="D589" s="799" t="s">
        <v>125</v>
      </c>
      <c r="E589" s="799" t="s">
        <v>238</v>
      </c>
      <c r="F589" s="799" t="s">
        <v>102</v>
      </c>
      <c r="G589" s="17" t="s">
        <v>95</v>
      </c>
      <c r="H589" s="49">
        <f>14.2-3.6+1.97</f>
        <v>12.57</v>
      </c>
    </row>
    <row r="590" spans="1:8" ht="14" x14ac:dyDescent="0.15">
      <c r="A590" s="449" t="s">
        <v>96</v>
      </c>
      <c r="B590" s="799" t="s">
        <v>79</v>
      </c>
      <c r="C590" s="799" t="s">
        <v>80</v>
      </c>
      <c r="D590" s="799" t="s">
        <v>125</v>
      </c>
      <c r="E590" s="799">
        <v>4439901</v>
      </c>
      <c r="F590" s="799" t="s">
        <v>102</v>
      </c>
      <c r="G590" s="17">
        <v>310</v>
      </c>
      <c r="H590" s="49">
        <f>31-13.55</f>
        <v>17.45</v>
      </c>
    </row>
    <row r="591" spans="1:8" ht="14" x14ac:dyDescent="0.15">
      <c r="A591" s="449" t="s">
        <v>97</v>
      </c>
      <c r="B591" s="799" t="s">
        <v>79</v>
      </c>
      <c r="C591" s="799" t="s">
        <v>80</v>
      </c>
      <c r="D591" s="799" t="s">
        <v>125</v>
      </c>
      <c r="E591" s="799">
        <v>4439901</v>
      </c>
      <c r="F591" s="799" t="s">
        <v>102</v>
      </c>
      <c r="G591" s="17">
        <v>340</v>
      </c>
      <c r="H591" s="49">
        <v>65</v>
      </c>
    </row>
    <row r="592" spans="1:8" ht="14" x14ac:dyDescent="0.15">
      <c r="A592" s="48" t="s">
        <v>98</v>
      </c>
      <c r="B592" s="20" t="s">
        <v>79</v>
      </c>
      <c r="C592" s="20" t="s">
        <v>80</v>
      </c>
      <c r="D592" s="20" t="s">
        <v>125</v>
      </c>
      <c r="E592" s="20" t="s">
        <v>239</v>
      </c>
      <c r="F592" s="20" t="s">
        <v>102</v>
      </c>
      <c r="G592" s="67"/>
      <c r="H592" s="50">
        <f>SUM(H579:H591)</f>
        <v>3618.6</v>
      </c>
    </row>
    <row r="593" spans="1:8" ht="14" x14ac:dyDescent="0.15">
      <c r="A593" s="18" t="s">
        <v>152</v>
      </c>
      <c r="B593" s="799"/>
      <c r="C593" s="799"/>
      <c r="D593" s="799"/>
      <c r="E593" s="799"/>
      <c r="F593" s="799"/>
      <c r="G593" s="21"/>
      <c r="H593" s="50"/>
    </row>
    <row r="594" spans="1:8" ht="14" x14ac:dyDescent="0.15">
      <c r="A594" s="449" t="s">
        <v>78</v>
      </c>
      <c r="B594" s="799" t="s">
        <v>79</v>
      </c>
      <c r="C594" s="799" t="s">
        <v>80</v>
      </c>
      <c r="D594" s="799" t="s">
        <v>125</v>
      </c>
      <c r="E594" s="799">
        <v>4439901</v>
      </c>
      <c r="F594" s="799" t="s">
        <v>102</v>
      </c>
      <c r="G594" s="17">
        <v>211</v>
      </c>
      <c r="H594" s="49">
        <v>13303.4</v>
      </c>
    </row>
    <row r="595" spans="1:8" ht="14" x14ac:dyDescent="0.15">
      <c r="A595" s="449" t="s">
        <v>103</v>
      </c>
      <c r="B595" s="799" t="s">
        <v>79</v>
      </c>
      <c r="C595" s="799" t="s">
        <v>80</v>
      </c>
      <c r="D595" s="799" t="s">
        <v>125</v>
      </c>
      <c r="E595" s="799">
        <v>4439901</v>
      </c>
      <c r="F595" s="799" t="s">
        <v>102</v>
      </c>
      <c r="G595" s="17">
        <v>212</v>
      </c>
      <c r="H595" s="49">
        <f>16.7</f>
        <v>16.7</v>
      </c>
    </row>
    <row r="596" spans="1:8" ht="14" x14ac:dyDescent="0.15">
      <c r="A596" s="449" t="s">
        <v>84</v>
      </c>
      <c r="B596" s="799" t="s">
        <v>79</v>
      </c>
      <c r="C596" s="799" t="s">
        <v>80</v>
      </c>
      <c r="D596" s="799" t="s">
        <v>125</v>
      </c>
      <c r="E596" s="799">
        <v>4439901</v>
      </c>
      <c r="F596" s="799" t="s">
        <v>102</v>
      </c>
      <c r="G596" s="17">
        <v>213</v>
      </c>
      <c r="H596" s="49">
        <v>4017.6</v>
      </c>
    </row>
    <row r="597" spans="1:8" ht="14" x14ac:dyDescent="0.15">
      <c r="A597" s="449" t="s">
        <v>85</v>
      </c>
      <c r="B597" s="799" t="s">
        <v>79</v>
      </c>
      <c r="C597" s="799" t="s">
        <v>80</v>
      </c>
      <c r="D597" s="799" t="s">
        <v>125</v>
      </c>
      <c r="E597" s="799">
        <v>4439901</v>
      </c>
      <c r="F597" s="799" t="s">
        <v>102</v>
      </c>
      <c r="G597" s="17">
        <v>221</v>
      </c>
      <c r="H597" s="49"/>
    </row>
    <row r="598" spans="1:8" ht="14" x14ac:dyDescent="0.15">
      <c r="A598" s="449" t="s">
        <v>86</v>
      </c>
      <c r="B598" s="799" t="s">
        <v>79</v>
      </c>
      <c r="C598" s="799" t="s">
        <v>80</v>
      </c>
      <c r="D598" s="799" t="s">
        <v>125</v>
      </c>
      <c r="E598" s="799">
        <v>4439901</v>
      </c>
      <c r="F598" s="799" t="s">
        <v>102</v>
      </c>
      <c r="G598" s="17">
        <v>222</v>
      </c>
      <c r="H598" s="49">
        <f>354+110+145.872+29.505</f>
        <v>639.37700000000007</v>
      </c>
    </row>
    <row r="599" spans="1:8" ht="14" x14ac:dyDescent="0.15">
      <c r="A599" s="449" t="s">
        <v>87</v>
      </c>
      <c r="B599" s="799" t="s">
        <v>79</v>
      </c>
      <c r="C599" s="799" t="s">
        <v>80</v>
      </c>
      <c r="D599" s="799" t="s">
        <v>125</v>
      </c>
      <c r="E599" s="799">
        <v>4439901</v>
      </c>
      <c r="F599" s="799" t="s">
        <v>102</v>
      </c>
      <c r="G599" s="17">
        <v>223</v>
      </c>
      <c r="H599" s="49"/>
    </row>
    <row r="600" spans="1:8" ht="14" x14ac:dyDescent="0.15">
      <c r="A600" s="449" t="s">
        <v>134</v>
      </c>
      <c r="B600" s="799" t="s">
        <v>79</v>
      </c>
      <c r="C600" s="799" t="s">
        <v>80</v>
      </c>
      <c r="D600" s="799" t="s">
        <v>125</v>
      </c>
      <c r="E600" s="799">
        <v>4439901</v>
      </c>
      <c r="F600" s="799" t="s">
        <v>102</v>
      </c>
      <c r="G600" s="17">
        <v>224</v>
      </c>
      <c r="H600" s="49"/>
    </row>
    <row r="601" spans="1:8" ht="14" x14ac:dyDescent="0.15">
      <c r="A601" s="449" t="s">
        <v>90</v>
      </c>
      <c r="B601" s="799" t="s">
        <v>79</v>
      </c>
      <c r="C601" s="799" t="s">
        <v>80</v>
      </c>
      <c r="D601" s="799" t="s">
        <v>125</v>
      </c>
      <c r="E601" s="799">
        <v>4439901</v>
      </c>
      <c r="F601" s="799" t="s">
        <v>102</v>
      </c>
      <c r="G601" s="17">
        <v>225</v>
      </c>
      <c r="H601" s="49"/>
    </row>
    <row r="602" spans="1:8" ht="14" x14ac:dyDescent="0.15">
      <c r="A602" s="449" t="s">
        <v>91</v>
      </c>
      <c r="B602" s="799" t="s">
        <v>79</v>
      </c>
      <c r="C602" s="799" t="s">
        <v>80</v>
      </c>
      <c r="D602" s="799" t="s">
        <v>125</v>
      </c>
      <c r="E602" s="799">
        <v>4439901</v>
      </c>
      <c r="F602" s="799" t="s">
        <v>102</v>
      </c>
      <c r="G602" s="17">
        <v>226</v>
      </c>
      <c r="H602" s="49">
        <f>137.4+162+166.7+8.82+100</f>
        <v>574.91999999999996</v>
      </c>
    </row>
    <row r="603" spans="1:8" ht="14" x14ac:dyDescent="0.15">
      <c r="A603" s="11" t="s">
        <v>94</v>
      </c>
      <c r="B603" s="799" t="s">
        <v>79</v>
      </c>
      <c r="C603" s="799" t="s">
        <v>80</v>
      </c>
      <c r="D603" s="799" t="s">
        <v>125</v>
      </c>
      <c r="E603" s="799">
        <v>4439901</v>
      </c>
      <c r="F603" s="799" t="s">
        <v>102</v>
      </c>
      <c r="G603" s="17">
        <v>290</v>
      </c>
      <c r="H603" s="49">
        <v>18.8</v>
      </c>
    </row>
    <row r="604" spans="1:8" ht="14" x14ac:dyDescent="0.15">
      <c r="A604" s="11" t="s">
        <v>94</v>
      </c>
      <c r="B604" s="799" t="s">
        <v>79</v>
      </c>
      <c r="C604" s="799" t="s">
        <v>80</v>
      </c>
      <c r="D604" s="799" t="s">
        <v>125</v>
      </c>
      <c r="E604" s="799" t="s">
        <v>238</v>
      </c>
      <c r="F604" s="799" t="s">
        <v>102</v>
      </c>
      <c r="G604" s="17" t="s">
        <v>95</v>
      </c>
      <c r="H604" s="49">
        <f>12.3-6.1</f>
        <v>6.2000000000000011</v>
      </c>
    </row>
    <row r="605" spans="1:8" ht="14" x14ac:dyDescent="0.15">
      <c r="A605" s="449" t="s">
        <v>96</v>
      </c>
      <c r="B605" s="799" t="s">
        <v>79</v>
      </c>
      <c r="C605" s="799" t="s">
        <v>80</v>
      </c>
      <c r="D605" s="799" t="s">
        <v>125</v>
      </c>
      <c r="E605" s="799">
        <v>4439901</v>
      </c>
      <c r="F605" s="799" t="s">
        <v>102</v>
      </c>
      <c r="G605" s="17">
        <v>310</v>
      </c>
      <c r="H605" s="49">
        <v>1000</v>
      </c>
    </row>
    <row r="606" spans="1:8" ht="14" x14ac:dyDescent="0.15">
      <c r="A606" s="449" t="s">
        <v>97</v>
      </c>
      <c r="B606" s="799" t="s">
        <v>79</v>
      </c>
      <c r="C606" s="799" t="s">
        <v>80</v>
      </c>
      <c r="D606" s="799" t="s">
        <v>125</v>
      </c>
      <c r="E606" s="799">
        <v>4439901</v>
      </c>
      <c r="F606" s="799" t="s">
        <v>102</v>
      </c>
      <c r="G606" s="17">
        <v>340</v>
      </c>
      <c r="H606" s="49">
        <f>17.6+200</f>
        <v>217.6</v>
      </c>
    </row>
    <row r="607" spans="1:8" ht="14" x14ac:dyDescent="0.15">
      <c r="A607" s="48" t="s">
        <v>98</v>
      </c>
      <c r="B607" s="20" t="s">
        <v>79</v>
      </c>
      <c r="C607" s="20" t="s">
        <v>80</v>
      </c>
      <c r="D607" s="20" t="s">
        <v>125</v>
      </c>
      <c r="E607" s="20" t="s">
        <v>239</v>
      </c>
      <c r="F607" s="20" t="s">
        <v>102</v>
      </c>
      <c r="G607" s="67"/>
      <c r="H607" s="50">
        <f>SUM(H594:H606)</f>
        <v>19794.596999999998</v>
      </c>
    </row>
    <row r="608" spans="1:8" ht="14" x14ac:dyDescent="0.15">
      <c r="A608" s="18" t="s">
        <v>153</v>
      </c>
      <c r="B608" s="799"/>
      <c r="C608" s="799"/>
      <c r="D608" s="799"/>
      <c r="E608" s="799"/>
      <c r="F608" s="799"/>
      <c r="G608" s="21"/>
      <c r="H608" s="50"/>
    </row>
    <row r="609" spans="1:8" ht="14" x14ac:dyDescent="0.15">
      <c r="A609" s="449" t="s">
        <v>78</v>
      </c>
      <c r="B609" s="799" t="s">
        <v>79</v>
      </c>
      <c r="C609" s="799" t="s">
        <v>80</v>
      </c>
      <c r="D609" s="799" t="s">
        <v>125</v>
      </c>
      <c r="E609" s="799">
        <v>4439901</v>
      </c>
      <c r="F609" s="799" t="s">
        <v>102</v>
      </c>
      <c r="G609" s="17">
        <v>211</v>
      </c>
      <c r="H609" s="49">
        <f>0.06+15533.7</f>
        <v>15533.76</v>
      </c>
    </row>
    <row r="610" spans="1:8" ht="14" x14ac:dyDescent="0.15">
      <c r="A610" s="449" t="s">
        <v>103</v>
      </c>
      <c r="B610" s="799" t="s">
        <v>79</v>
      </c>
      <c r="C610" s="799" t="s">
        <v>80</v>
      </c>
      <c r="D610" s="799" t="s">
        <v>125</v>
      </c>
      <c r="E610" s="799">
        <v>4439901</v>
      </c>
      <c r="F610" s="799" t="s">
        <v>102</v>
      </c>
      <c r="G610" s="17">
        <v>212</v>
      </c>
      <c r="H610" s="49">
        <f>23.1</f>
        <v>23.1</v>
      </c>
    </row>
    <row r="611" spans="1:8" ht="14" x14ac:dyDescent="0.15">
      <c r="A611" s="449" t="s">
        <v>84</v>
      </c>
      <c r="B611" s="799" t="s">
        <v>79</v>
      </c>
      <c r="C611" s="799" t="s">
        <v>80</v>
      </c>
      <c r="D611" s="799" t="s">
        <v>125</v>
      </c>
      <c r="E611" s="799">
        <v>4439901</v>
      </c>
      <c r="F611" s="799" t="s">
        <v>102</v>
      </c>
      <c r="G611" s="17">
        <v>213</v>
      </c>
      <c r="H611" s="49">
        <v>4691.2</v>
      </c>
    </row>
    <row r="612" spans="1:8" ht="14" x14ac:dyDescent="0.15">
      <c r="A612" s="449" t="s">
        <v>85</v>
      </c>
      <c r="B612" s="799" t="s">
        <v>79</v>
      </c>
      <c r="C612" s="799" t="s">
        <v>80</v>
      </c>
      <c r="D612" s="799" t="s">
        <v>125</v>
      </c>
      <c r="E612" s="799">
        <v>4439901</v>
      </c>
      <c r="F612" s="799" t="s">
        <v>102</v>
      </c>
      <c r="G612" s="17">
        <v>221</v>
      </c>
      <c r="H612" s="49"/>
    </row>
    <row r="613" spans="1:8" ht="14" x14ac:dyDescent="0.15">
      <c r="A613" s="449" t="s">
        <v>86</v>
      </c>
      <c r="B613" s="799" t="s">
        <v>79</v>
      </c>
      <c r="C613" s="799" t="s">
        <v>80</v>
      </c>
      <c r="D613" s="799" t="s">
        <v>125</v>
      </c>
      <c r="E613" s="799">
        <v>4439901</v>
      </c>
      <c r="F613" s="799" t="s">
        <v>102</v>
      </c>
      <c r="G613" s="17">
        <v>222</v>
      </c>
      <c r="H613" s="49">
        <f>195.162</f>
        <v>195.16200000000001</v>
      </c>
    </row>
    <row r="614" spans="1:8" ht="14" x14ac:dyDescent="0.15">
      <c r="A614" s="449" t="s">
        <v>87</v>
      </c>
      <c r="B614" s="799" t="s">
        <v>79</v>
      </c>
      <c r="C614" s="799" t="s">
        <v>80</v>
      </c>
      <c r="D614" s="799" t="s">
        <v>125</v>
      </c>
      <c r="E614" s="799">
        <v>4439901</v>
      </c>
      <c r="F614" s="799" t="s">
        <v>102</v>
      </c>
      <c r="G614" s="17">
        <v>223</v>
      </c>
      <c r="H614" s="49">
        <f>84-0.06</f>
        <v>83.94</v>
      </c>
    </row>
    <row r="615" spans="1:8" ht="14" x14ac:dyDescent="0.15">
      <c r="A615" s="449" t="s">
        <v>134</v>
      </c>
      <c r="B615" s="799" t="s">
        <v>79</v>
      </c>
      <c r="C615" s="799" t="s">
        <v>80</v>
      </c>
      <c r="D615" s="799" t="s">
        <v>125</v>
      </c>
      <c r="E615" s="799">
        <v>4439901</v>
      </c>
      <c r="F615" s="799" t="s">
        <v>102</v>
      </c>
      <c r="G615" s="17">
        <v>224</v>
      </c>
      <c r="H615" s="49">
        <v>160</v>
      </c>
    </row>
    <row r="616" spans="1:8" ht="14" x14ac:dyDescent="0.15">
      <c r="A616" s="449" t="s">
        <v>90</v>
      </c>
      <c r="B616" s="799" t="s">
        <v>79</v>
      </c>
      <c r="C616" s="799" t="s">
        <v>80</v>
      </c>
      <c r="D616" s="799" t="s">
        <v>125</v>
      </c>
      <c r="E616" s="799">
        <v>4439901</v>
      </c>
      <c r="F616" s="799" t="s">
        <v>102</v>
      </c>
      <c r="G616" s="17">
        <v>225</v>
      </c>
      <c r="H616" s="49"/>
    </row>
    <row r="617" spans="1:8" ht="14" x14ac:dyDescent="0.15">
      <c r="A617" s="449" t="s">
        <v>91</v>
      </c>
      <c r="B617" s="799" t="s">
        <v>79</v>
      </c>
      <c r="C617" s="799" t="s">
        <v>80</v>
      </c>
      <c r="D617" s="799" t="s">
        <v>125</v>
      </c>
      <c r="E617" s="799">
        <v>4439901</v>
      </c>
      <c r="F617" s="799" t="s">
        <v>102</v>
      </c>
      <c r="G617" s="17">
        <v>226</v>
      </c>
      <c r="H617" s="49">
        <f>156.8+50+195.99</f>
        <v>402.79</v>
      </c>
    </row>
    <row r="618" spans="1:8" ht="14" x14ac:dyDescent="0.15">
      <c r="A618" s="11" t="s">
        <v>94</v>
      </c>
      <c r="B618" s="799" t="s">
        <v>79</v>
      </c>
      <c r="C618" s="799" t="s">
        <v>80</v>
      </c>
      <c r="D618" s="799" t="s">
        <v>125</v>
      </c>
      <c r="E618" s="799">
        <v>4439901</v>
      </c>
      <c r="F618" s="799" t="s">
        <v>102</v>
      </c>
      <c r="G618" s="17">
        <v>290</v>
      </c>
      <c r="H618" s="49">
        <v>19.899999999999999</v>
      </c>
    </row>
    <row r="619" spans="1:8" ht="14" x14ac:dyDescent="0.15">
      <c r="A619" s="11" t="s">
        <v>94</v>
      </c>
      <c r="B619" s="799" t="s">
        <v>79</v>
      </c>
      <c r="C619" s="799" t="s">
        <v>80</v>
      </c>
      <c r="D619" s="799" t="s">
        <v>125</v>
      </c>
      <c r="E619" s="799" t="s">
        <v>238</v>
      </c>
      <c r="F619" s="799" t="s">
        <v>102</v>
      </c>
      <c r="G619" s="17" t="s">
        <v>95</v>
      </c>
      <c r="H619" s="49">
        <f>21.3</f>
        <v>21.3</v>
      </c>
    </row>
    <row r="620" spans="1:8" ht="14" x14ac:dyDescent="0.15">
      <c r="A620" s="449" t="s">
        <v>96</v>
      </c>
      <c r="B620" s="799" t="s">
        <v>79</v>
      </c>
      <c r="C620" s="799" t="s">
        <v>80</v>
      </c>
      <c r="D620" s="799" t="s">
        <v>125</v>
      </c>
      <c r="E620" s="799">
        <v>4439901</v>
      </c>
      <c r="F620" s="799" t="s">
        <v>102</v>
      </c>
      <c r="G620" s="17">
        <v>310</v>
      </c>
      <c r="H620" s="49">
        <v>300</v>
      </c>
    </row>
    <row r="621" spans="1:8" ht="14" x14ac:dyDescent="0.15">
      <c r="A621" s="449" t="s">
        <v>97</v>
      </c>
      <c r="B621" s="799" t="s">
        <v>79</v>
      </c>
      <c r="C621" s="799" t="s">
        <v>80</v>
      </c>
      <c r="D621" s="799" t="s">
        <v>125</v>
      </c>
      <c r="E621" s="799">
        <v>4439901</v>
      </c>
      <c r="F621" s="799" t="s">
        <v>102</v>
      </c>
      <c r="G621" s="17">
        <v>340</v>
      </c>
      <c r="H621" s="49">
        <v>200</v>
      </c>
    </row>
    <row r="622" spans="1:8" ht="14" x14ac:dyDescent="0.15">
      <c r="A622" s="48" t="s">
        <v>98</v>
      </c>
      <c r="B622" s="20" t="s">
        <v>79</v>
      </c>
      <c r="C622" s="20" t="s">
        <v>80</v>
      </c>
      <c r="D622" s="20" t="s">
        <v>125</v>
      </c>
      <c r="E622" s="20" t="s">
        <v>239</v>
      </c>
      <c r="F622" s="20" t="s">
        <v>102</v>
      </c>
      <c r="G622" s="67"/>
      <c r="H622" s="50">
        <f>SUM(H609:H621)</f>
        <v>21631.152000000002</v>
      </c>
    </row>
    <row r="623" spans="1:8" ht="14" x14ac:dyDescent="0.15">
      <c r="A623" s="18" t="s">
        <v>154</v>
      </c>
      <c r="B623" s="799"/>
      <c r="C623" s="799"/>
      <c r="D623" s="799"/>
      <c r="E623" s="799"/>
      <c r="F623" s="799"/>
      <c r="G623" s="21"/>
      <c r="H623" s="50">
        <v>750</v>
      </c>
    </row>
    <row r="624" spans="1:8" ht="14" x14ac:dyDescent="0.15">
      <c r="A624" s="449" t="s">
        <v>78</v>
      </c>
      <c r="B624" s="799" t="s">
        <v>79</v>
      </c>
      <c r="C624" s="799" t="s">
        <v>80</v>
      </c>
      <c r="D624" s="799" t="s">
        <v>125</v>
      </c>
      <c r="E624" s="799">
        <v>4439901</v>
      </c>
      <c r="F624" s="799" t="s">
        <v>102</v>
      </c>
      <c r="G624" s="17">
        <v>211</v>
      </c>
      <c r="H624" s="49">
        <v>4593.7</v>
      </c>
    </row>
    <row r="625" spans="1:8" ht="14" x14ac:dyDescent="0.15">
      <c r="A625" s="449" t="s">
        <v>103</v>
      </c>
      <c r="B625" s="799" t="s">
        <v>79</v>
      </c>
      <c r="C625" s="799" t="s">
        <v>80</v>
      </c>
      <c r="D625" s="799" t="s">
        <v>125</v>
      </c>
      <c r="E625" s="799">
        <v>4439901</v>
      </c>
      <c r="F625" s="799" t="s">
        <v>102</v>
      </c>
      <c r="G625" s="17">
        <v>212</v>
      </c>
      <c r="H625" s="49"/>
    </row>
    <row r="626" spans="1:8" ht="14" x14ac:dyDescent="0.15">
      <c r="A626" s="449" t="s">
        <v>84</v>
      </c>
      <c r="B626" s="799" t="s">
        <v>79</v>
      </c>
      <c r="C626" s="799" t="s">
        <v>80</v>
      </c>
      <c r="D626" s="799" t="s">
        <v>125</v>
      </c>
      <c r="E626" s="799">
        <v>4439901</v>
      </c>
      <c r="F626" s="799" t="s">
        <v>102</v>
      </c>
      <c r="G626" s="17">
        <v>213</v>
      </c>
      <c r="H626" s="49">
        <v>1387.3</v>
      </c>
    </row>
    <row r="627" spans="1:8" ht="14" x14ac:dyDescent="0.15">
      <c r="A627" s="449" t="s">
        <v>85</v>
      </c>
      <c r="B627" s="799" t="s">
        <v>79</v>
      </c>
      <c r="C627" s="799" t="s">
        <v>80</v>
      </c>
      <c r="D627" s="799" t="s">
        <v>125</v>
      </c>
      <c r="E627" s="799">
        <v>4439901</v>
      </c>
      <c r="F627" s="799" t="s">
        <v>102</v>
      </c>
      <c r="G627" s="17">
        <v>221</v>
      </c>
      <c r="H627" s="49"/>
    </row>
    <row r="628" spans="1:8" ht="14" x14ac:dyDescent="0.15">
      <c r="A628" s="449" t="s">
        <v>86</v>
      </c>
      <c r="B628" s="799" t="s">
        <v>79</v>
      </c>
      <c r="C628" s="799" t="s">
        <v>80</v>
      </c>
      <c r="D628" s="799" t="s">
        <v>125</v>
      </c>
      <c r="E628" s="799">
        <v>4439901</v>
      </c>
      <c r="F628" s="799" t="s">
        <v>102</v>
      </c>
      <c r="G628" s="17">
        <v>222</v>
      </c>
      <c r="H628" s="49"/>
    </row>
    <row r="629" spans="1:8" ht="14" x14ac:dyDescent="0.15">
      <c r="A629" s="449" t="s">
        <v>87</v>
      </c>
      <c r="B629" s="799" t="s">
        <v>79</v>
      </c>
      <c r="C629" s="799" t="s">
        <v>80</v>
      </c>
      <c r="D629" s="799" t="s">
        <v>125</v>
      </c>
      <c r="E629" s="799">
        <v>4439901</v>
      </c>
      <c r="F629" s="799" t="s">
        <v>102</v>
      </c>
      <c r="G629" s="17">
        <v>223</v>
      </c>
      <c r="H629" s="49">
        <v>24.8</v>
      </c>
    </row>
    <row r="630" spans="1:8" ht="14" x14ac:dyDescent="0.15">
      <c r="A630" s="449" t="s">
        <v>134</v>
      </c>
      <c r="B630" s="799" t="s">
        <v>79</v>
      </c>
      <c r="C630" s="799" t="s">
        <v>80</v>
      </c>
      <c r="D630" s="799" t="s">
        <v>125</v>
      </c>
      <c r="E630" s="799">
        <v>4439901</v>
      </c>
      <c r="F630" s="799" t="s">
        <v>102</v>
      </c>
      <c r="G630" s="17">
        <v>224</v>
      </c>
      <c r="H630" s="49"/>
    </row>
    <row r="631" spans="1:8" ht="14" x14ac:dyDescent="0.15">
      <c r="A631" s="449" t="s">
        <v>90</v>
      </c>
      <c r="B631" s="799" t="s">
        <v>79</v>
      </c>
      <c r="C631" s="799" t="s">
        <v>80</v>
      </c>
      <c r="D631" s="799" t="s">
        <v>125</v>
      </c>
      <c r="E631" s="799">
        <v>4439901</v>
      </c>
      <c r="F631" s="799" t="s">
        <v>102</v>
      </c>
      <c r="G631" s="17">
        <v>225</v>
      </c>
      <c r="H631" s="49"/>
    </row>
    <row r="632" spans="1:8" ht="14" x14ac:dyDescent="0.15">
      <c r="A632" s="449" t="s">
        <v>91</v>
      </c>
      <c r="B632" s="799" t="s">
        <v>79</v>
      </c>
      <c r="C632" s="799" t="s">
        <v>80</v>
      </c>
      <c r="D632" s="799" t="s">
        <v>125</v>
      </c>
      <c r="E632" s="799">
        <v>4439901</v>
      </c>
      <c r="F632" s="799" t="s">
        <v>102</v>
      </c>
      <c r="G632" s="17">
        <v>226</v>
      </c>
      <c r="H632" s="49">
        <v>104.64</v>
      </c>
    </row>
    <row r="633" spans="1:8" ht="14" x14ac:dyDescent="0.15">
      <c r="A633" s="11" t="s">
        <v>94</v>
      </c>
      <c r="B633" s="799" t="s">
        <v>79</v>
      </c>
      <c r="C633" s="799" t="s">
        <v>80</v>
      </c>
      <c r="D633" s="799" t="s">
        <v>125</v>
      </c>
      <c r="E633" s="799">
        <v>4439901</v>
      </c>
      <c r="F633" s="799" t="s">
        <v>102</v>
      </c>
      <c r="G633" s="17">
        <v>290</v>
      </c>
      <c r="H633" s="49">
        <v>8</v>
      </c>
    </row>
    <row r="634" spans="1:8" ht="14" x14ac:dyDescent="0.15">
      <c r="A634" s="11" t="s">
        <v>94</v>
      </c>
      <c r="B634" s="799" t="s">
        <v>79</v>
      </c>
      <c r="C634" s="799" t="s">
        <v>80</v>
      </c>
      <c r="D634" s="799" t="s">
        <v>125</v>
      </c>
      <c r="E634" s="799" t="s">
        <v>238</v>
      </c>
      <c r="F634" s="799" t="s">
        <v>102</v>
      </c>
      <c r="G634" s="17" t="s">
        <v>95</v>
      </c>
      <c r="H634" s="49">
        <f>10.4+8.6</f>
        <v>19</v>
      </c>
    </row>
    <row r="635" spans="1:8" ht="14" x14ac:dyDescent="0.15">
      <c r="A635" s="449" t="s">
        <v>96</v>
      </c>
      <c r="B635" s="799" t="s">
        <v>79</v>
      </c>
      <c r="C635" s="799" t="s">
        <v>80</v>
      </c>
      <c r="D635" s="799" t="s">
        <v>125</v>
      </c>
      <c r="E635" s="799">
        <v>4439901</v>
      </c>
      <c r="F635" s="799" t="s">
        <v>102</v>
      </c>
      <c r="G635" s="17">
        <v>310</v>
      </c>
      <c r="H635" s="49">
        <v>50.36</v>
      </c>
    </row>
    <row r="636" spans="1:8" ht="14" x14ac:dyDescent="0.15">
      <c r="A636" s="449" t="s">
        <v>97</v>
      </c>
      <c r="B636" s="799" t="s">
        <v>79</v>
      </c>
      <c r="C636" s="799" t="s">
        <v>80</v>
      </c>
      <c r="D636" s="799" t="s">
        <v>125</v>
      </c>
      <c r="E636" s="799">
        <v>4439901</v>
      </c>
      <c r="F636" s="799" t="s">
        <v>102</v>
      </c>
      <c r="G636" s="17">
        <v>340</v>
      </c>
      <c r="H636" s="49"/>
    </row>
    <row r="637" spans="1:8" ht="14" x14ac:dyDescent="0.15">
      <c r="A637" s="48" t="s">
        <v>98</v>
      </c>
      <c r="B637" s="20" t="s">
        <v>79</v>
      </c>
      <c r="C637" s="20" t="s">
        <v>80</v>
      </c>
      <c r="D637" s="20" t="s">
        <v>125</v>
      </c>
      <c r="E637" s="20" t="s">
        <v>239</v>
      </c>
      <c r="F637" s="20" t="s">
        <v>102</v>
      </c>
      <c r="G637" s="67"/>
      <c r="H637" s="50">
        <f>SUM(H624:H636)</f>
        <v>6187.8</v>
      </c>
    </row>
    <row r="638" spans="1:8" ht="14" x14ac:dyDescent="0.15">
      <c r="A638" s="18" t="s">
        <v>155</v>
      </c>
      <c r="B638" s="799"/>
      <c r="C638" s="799"/>
      <c r="D638" s="799"/>
      <c r="E638" s="799"/>
      <c r="F638" s="799"/>
      <c r="G638" s="21"/>
      <c r="H638" s="50"/>
    </row>
    <row r="639" spans="1:8" ht="14" x14ac:dyDescent="0.15">
      <c r="A639" s="449" t="s">
        <v>78</v>
      </c>
      <c r="B639" s="799" t="s">
        <v>79</v>
      </c>
      <c r="C639" s="799" t="s">
        <v>80</v>
      </c>
      <c r="D639" s="799" t="s">
        <v>125</v>
      </c>
      <c r="E639" s="799">
        <v>4439901</v>
      </c>
      <c r="F639" s="799" t="s">
        <v>102</v>
      </c>
      <c r="G639" s="17">
        <v>211</v>
      </c>
      <c r="H639" s="49">
        <v>3705.2</v>
      </c>
    </row>
    <row r="640" spans="1:8" ht="14" x14ac:dyDescent="0.15">
      <c r="A640" s="449" t="s">
        <v>103</v>
      </c>
      <c r="B640" s="799" t="s">
        <v>79</v>
      </c>
      <c r="C640" s="799" t="s">
        <v>80</v>
      </c>
      <c r="D640" s="799" t="s">
        <v>125</v>
      </c>
      <c r="E640" s="799">
        <v>4439901</v>
      </c>
      <c r="F640" s="799" t="s">
        <v>102</v>
      </c>
      <c r="G640" s="17">
        <v>212</v>
      </c>
      <c r="H640" s="49"/>
    </row>
    <row r="641" spans="1:8" ht="14" x14ac:dyDescent="0.15">
      <c r="A641" s="449" t="s">
        <v>84</v>
      </c>
      <c r="B641" s="799" t="s">
        <v>79</v>
      </c>
      <c r="C641" s="799" t="s">
        <v>80</v>
      </c>
      <c r="D641" s="799" t="s">
        <v>125</v>
      </c>
      <c r="E641" s="799">
        <v>4439901</v>
      </c>
      <c r="F641" s="799" t="s">
        <v>102</v>
      </c>
      <c r="G641" s="17">
        <v>213</v>
      </c>
      <c r="H641" s="49">
        <v>1119</v>
      </c>
    </row>
    <row r="642" spans="1:8" ht="14" x14ac:dyDescent="0.15">
      <c r="A642" s="449" t="s">
        <v>85</v>
      </c>
      <c r="B642" s="799" t="s">
        <v>79</v>
      </c>
      <c r="C642" s="799" t="s">
        <v>80</v>
      </c>
      <c r="D642" s="799" t="s">
        <v>125</v>
      </c>
      <c r="E642" s="799">
        <v>4439901</v>
      </c>
      <c r="F642" s="799" t="s">
        <v>102</v>
      </c>
      <c r="G642" s="17">
        <v>221</v>
      </c>
      <c r="H642" s="49"/>
    </row>
    <row r="643" spans="1:8" ht="14" x14ac:dyDescent="0.15">
      <c r="A643" s="449" t="s">
        <v>86</v>
      </c>
      <c r="B643" s="799" t="s">
        <v>79</v>
      </c>
      <c r="C643" s="799" t="s">
        <v>80</v>
      </c>
      <c r="D643" s="799" t="s">
        <v>125</v>
      </c>
      <c r="E643" s="799">
        <v>4439901</v>
      </c>
      <c r="F643" s="799" t="s">
        <v>102</v>
      </c>
      <c r="G643" s="17">
        <v>222</v>
      </c>
      <c r="H643" s="49"/>
    </row>
    <row r="644" spans="1:8" ht="14" x14ac:dyDescent="0.15">
      <c r="A644" s="449" t="s">
        <v>87</v>
      </c>
      <c r="B644" s="799" t="s">
        <v>79</v>
      </c>
      <c r="C644" s="799" t="s">
        <v>80</v>
      </c>
      <c r="D644" s="799" t="s">
        <v>125</v>
      </c>
      <c r="E644" s="799">
        <v>4439901</v>
      </c>
      <c r="F644" s="799" t="s">
        <v>102</v>
      </c>
      <c r="G644" s="17">
        <v>223</v>
      </c>
      <c r="H644" s="49"/>
    </row>
    <row r="645" spans="1:8" ht="14" x14ac:dyDescent="0.15">
      <c r="A645" s="449" t="s">
        <v>134</v>
      </c>
      <c r="B645" s="799" t="s">
        <v>79</v>
      </c>
      <c r="C645" s="799" t="s">
        <v>80</v>
      </c>
      <c r="D645" s="799" t="s">
        <v>125</v>
      </c>
      <c r="E645" s="799">
        <v>4439901</v>
      </c>
      <c r="F645" s="799" t="s">
        <v>102</v>
      </c>
      <c r="G645" s="17">
        <v>224</v>
      </c>
      <c r="H645" s="49"/>
    </row>
    <row r="646" spans="1:8" ht="14" x14ac:dyDescent="0.15">
      <c r="A646" s="449" t="s">
        <v>90</v>
      </c>
      <c r="B646" s="799" t="s">
        <v>79</v>
      </c>
      <c r="C646" s="799" t="s">
        <v>80</v>
      </c>
      <c r="D646" s="799" t="s">
        <v>125</v>
      </c>
      <c r="E646" s="799">
        <v>4439901</v>
      </c>
      <c r="F646" s="799" t="s">
        <v>102</v>
      </c>
      <c r="G646" s="17">
        <v>225</v>
      </c>
      <c r="H646" s="49"/>
    </row>
    <row r="647" spans="1:8" ht="14" x14ac:dyDescent="0.15">
      <c r="A647" s="449" t="s">
        <v>91</v>
      </c>
      <c r="B647" s="799" t="s">
        <v>79</v>
      </c>
      <c r="C647" s="799" t="s">
        <v>80</v>
      </c>
      <c r="D647" s="799" t="s">
        <v>125</v>
      </c>
      <c r="E647" s="799">
        <v>4439901</v>
      </c>
      <c r="F647" s="799" t="s">
        <v>102</v>
      </c>
      <c r="G647" s="17">
        <v>226</v>
      </c>
      <c r="H647" s="49">
        <f>115+50</f>
        <v>165</v>
      </c>
    </row>
    <row r="648" spans="1:8" ht="14" x14ac:dyDescent="0.15">
      <c r="A648" s="11" t="s">
        <v>94</v>
      </c>
      <c r="B648" s="799" t="s">
        <v>79</v>
      </c>
      <c r="C648" s="799" t="s">
        <v>80</v>
      </c>
      <c r="D648" s="799" t="s">
        <v>125</v>
      </c>
      <c r="E648" s="799">
        <v>4439901</v>
      </c>
      <c r="F648" s="799" t="s">
        <v>102</v>
      </c>
      <c r="G648" s="17">
        <v>290</v>
      </c>
      <c r="H648" s="49">
        <v>8</v>
      </c>
    </row>
    <row r="649" spans="1:8" ht="14" x14ac:dyDescent="0.15">
      <c r="A649" s="11" t="s">
        <v>94</v>
      </c>
      <c r="B649" s="799" t="s">
        <v>79</v>
      </c>
      <c r="C649" s="799" t="s">
        <v>80</v>
      </c>
      <c r="D649" s="799" t="s">
        <v>125</v>
      </c>
      <c r="E649" s="799" t="s">
        <v>238</v>
      </c>
      <c r="F649" s="799" t="s">
        <v>102</v>
      </c>
      <c r="G649" s="17" t="s">
        <v>95</v>
      </c>
      <c r="H649" s="49">
        <f>25.5-6.4</f>
        <v>19.100000000000001</v>
      </c>
    </row>
    <row r="650" spans="1:8" ht="14" x14ac:dyDescent="0.15">
      <c r="A650" s="449" t="s">
        <v>96</v>
      </c>
      <c r="B650" s="799" t="s">
        <v>79</v>
      </c>
      <c r="C650" s="799" t="s">
        <v>80</v>
      </c>
      <c r="D650" s="799" t="s">
        <v>125</v>
      </c>
      <c r="E650" s="799">
        <v>4439901</v>
      </c>
      <c r="F650" s="799" t="s">
        <v>102</v>
      </c>
      <c r="G650" s="17">
        <v>310</v>
      </c>
      <c r="H650" s="49">
        <v>90</v>
      </c>
    </row>
    <row r="651" spans="1:8" ht="14" x14ac:dyDescent="0.15">
      <c r="A651" s="449" t="s">
        <v>97</v>
      </c>
      <c r="B651" s="799" t="s">
        <v>79</v>
      </c>
      <c r="C651" s="799" t="s">
        <v>80</v>
      </c>
      <c r="D651" s="799" t="s">
        <v>125</v>
      </c>
      <c r="E651" s="799">
        <v>4439901</v>
      </c>
      <c r="F651" s="799" t="s">
        <v>102</v>
      </c>
      <c r="G651" s="17">
        <v>340</v>
      </c>
      <c r="H651" s="49">
        <v>30</v>
      </c>
    </row>
    <row r="652" spans="1:8" ht="14" x14ac:dyDescent="0.15">
      <c r="A652" s="48" t="s">
        <v>98</v>
      </c>
      <c r="B652" s="20" t="s">
        <v>79</v>
      </c>
      <c r="C652" s="20" t="s">
        <v>80</v>
      </c>
      <c r="D652" s="20" t="s">
        <v>125</v>
      </c>
      <c r="E652" s="20" t="s">
        <v>239</v>
      </c>
      <c r="F652" s="20" t="s">
        <v>102</v>
      </c>
      <c r="G652" s="67"/>
      <c r="H652" s="50">
        <f>SUM(H639:H651)</f>
        <v>5136.3</v>
      </c>
    </row>
    <row r="653" spans="1:8" ht="14" x14ac:dyDescent="0.15">
      <c r="A653" s="18" t="s">
        <v>156</v>
      </c>
      <c r="B653" s="799"/>
      <c r="C653" s="799"/>
      <c r="D653" s="799"/>
      <c r="E653" s="799"/>
      <c r="F653" s="799"/>
      <c r="G653" s="21"/>
      <c r="H653" s="50"/>
    </row>
    <row r="654" spans="1:8" ht="14" x14ac:dyDescent="0.15">
      <c r="A654" s="449" t="s">
        <v>78</v>
      </c>
      <c r="B654" s="799" t="s">
        <v>79</v>
      </c>
      <c r="C654" s="799" t="s">
        <v>80</v>
      </c>
      <c r="D654" s="799" t="s">
        <v>125</v>
      </c>
      <c r="E654" s="799">
        <v>4439901</v>
      </c>
      <c r="F654" s="799" t="s">
        <v>102</v>
      </c>
      <c r="G654" s="17">
        <v>211</v>
      </c>
      <c r="H654" s="49">
        <v>5246</v>
      </c>
    </row>
    <row r="655" spans="1:8" ht="14" x14ac:dyDescent="0.15">
      <c r="A655" s="449" t="s">
        <v>103</v>
      </c>
      <c r="B655" s="799" t="s">
        <v>79</v>
      </c>
      <c r="C655" s="799" t="s">
        <v>80</v>
      </c>
      <c r="D655" s="799" t="s">
        <v>125</v>
      </c>
      <c r="E655" s="799">
        <v>4439901</v>
      </c>
      <c r="F655" s="799" t="s">
        <v>102</v>
      </c>
      <c r="G655" s="17">
        <v>212</v>
      </c>
      <c r="H655" s="49"/>
    </row>
    <row r="656" spans="1:8" ht="14" x14ac:dyDescent="0.15">
      <c r="A656" s="449" t="s">
        <v>84</v>
      </c>
      <c r="B656" s="799" t="s">
        <v>79</v>
      </c>
      <c r="C656" s="799" t="s">
        <v>80</v>
      </c>
      <c r="D656" s="799" t="s">
        <v>125</v>
      </c>
      <c r="E656" s="799">
        <v>4439901</v>
      </c>
      <c r="F656" s="799" t="s">
        <v>102</v>
      </c>
      <c r="G656" s="17">
        <v>213</v>
      </c>
      <c r="H656" s="49">
        <v>1584.3</v>
      </c>
    </row>
    <row r="657" spans="1:8" ht="14" x14ac:dyDescent="0.15">
      <c r="A657" s="449" t="s">
        <v>85</v>
      </c>
      <c r="B657" s="799" t="s">
        <v>79</v>
      </c>
      <c r="C657" s="799" t="s">
        <v>80</v>
      </c>
      <c r="D657" s="799" t="s">
        <v>125</v>
      </c>
      <c r="E657" s="799">
        <v>4439901</v>
      </c>
      <c r="F657" s="799" t="s">
        <v>102</v>
      </c>
      <c r="G657" s="17">
        <v>221</v>
      </c>
      <c r="H657" s="49"/>
    </row>
    <row r="658" spans="1:8" ht="14" x14ac:dyDescent="0.15">
      <c r="A658" s="449" t="s">
        <v>86</v>
      </c>
      <c r="B658" s="799" t="s">
        <v>79</v>
      </c>
      <c r="C658" s="799" t="s">
        <v>80</v>
      </c>
      <c r="D658" s="799" t="s">
        <v>125</v>
      </c>
      <c r="E658" s="799">
        <v>4439901</v>
      </c>
      <c r="F658" s="799" t="s">
        <v>102</v>
      </c>
      <c r="G658" s="17">
        <v>222</v>
      </c>
      <c r="H658" s="49"/>
    </row>
    <row r="659" spans="1:8" ht="14" x14ac:dyDescent="0.15">
      <c r="A659" s="449" t="s">
        <v>87</v>
      </c>
      <c r="B659" s="799" t="s">
        <v>79</v>
      </c>
      <c r="C659" s="799" t="s">
        <v>80</v>
      </c>
      <c r="D659" s="799" t="s">
        <v>125</v>
      </c>
      <c r="E659" s="799">
        <v>4439901</v>
      </c>
      <c r="F659" s="799" t="s">
        <v>102</v>
      </c>
      <c r="G659" s="17">
        <v>223</v>
      </c>
      <c r="H659" s="49"/>
    </row>
    <row r="660" spans="1:8" ht="14" x14ac:dyDescent="0.15">
      <c r="A660" s="449" t="s">
        <v>134</v>
      </c>
      <c r="B660" s="799" t="s">
        <v>79</v>
      </c>
      <c r="C660" s="799" t="s">
        <v>80</v>
      </c>
      <c r="D660" s="799" t="s">
        <v>125</v>
      </c>
      <c r="E660" s="799">
        <v>4439901</v>
      </c>
      <c r="F660" s="799" t="s">
        <v>102</v>
      </c>
      <c r="G660" s="17">
        <v>224</v>
      </c>
      <c r="H660" s="49"/>
    </row>
    <row r="661" spans="1:8" ht="14" x14ac:dyDescent="0.15">
      <c r="A661" s="449" t="s">
        <v>90</v>
      </c>
      <c r="B661" s="799" t="s">
        <v>79</v>
      </c>
      <c r="C661" s="799" t="s">
        <v>80</v>
      </c>
      <c r="D661" s="799" t="s">
        <v>125</v>
      </c>
      <c r="E661" s="799">
        <v>4439901</v>
      </c>
      <c r="F661" s="799" t="s">
        <v>102</v>
      </c>
      <c r="G661" s="17">
        <v>225</v>
      </c>
      <c r="H661" s="49"/>
    </row>
    <row r="662" spans="1:8" ht="14" x14ac:dyDescent="0.15">
      <c r="A662" s="449" t="s">
        <v>91</v>
      </c>
      <c r="B662" s="799" t="s">
        <v>79</v>
      </c>
      <c r="C662" s="799" t="s">
        <v>80</v>
      </c>
      <c r="D662" s="799" t="s">
        <v>125</v>
      </c>
      <c r="E662" s="799">
        <v>4439901</v>
      </c>
      <c r="F662" s="799" t="s">
        <v>102</v>
      </c>
      <c r="G662" s="17">
        <v>226</v>
      </c>
      <c r="H662" s="49">
        <v>45.14</v>
      </c>
    </row>
    <row r="663" spans="1:8" ht="14" x14ac:dyDescent="0.15">
      <c r="A663" s="11" t="s">
        <v>94</v>
      </c>
      <c r="B663" s="799" t="s">
        <v>79</v>
      </c>
      <c r="C663" s="799" t="s">
        <v>80</v>
      </c>
      <c r="D663" s="799" t="s">
        <v>125</v>
      </c>
      <c r="E663" s="799">
        <v>4439901</v>
      </c>
      <c r="F663" s="799" t="s">
        <v>102</v>
      </c>
      <c r="G663" s="17">
        <v>290</v>
      </c>
      <c r="H663" s="49">
        <v>8.9</v>
      </c>
    </row>
    <row r="664" spans="1:8" ht="14" x14ac:dyDescent="0.15">
      <c r="A664" s="11" t="s">
        <v>94</v>
      </c>
      <c r="B664" s="799" t="s">
        <v>79</v>
      </c>
      <c r="C664" s="799" t="s">
        <v>80</v>
      </c>
      <c r="D664" s="799" t="s">
        <v>125</v>
      </c>
      <c r="E664" s="799" t="s">
        <v>238</v>
      </c>
      <c r="F664" s="799" t="s">
        <v>102</v>
      </c>
      <c r="G664" s="17" t="s">
        <v>95</v>
      </c>
      <c r="H664" s="49">
        <v>5.6</v>
      </c>
    </row>
    <row r="665" spans="1:8" ht="14" x14ac:dyDescent="0.15">
      <c r="A665" s="449" t="s">
        <v>96</v>
      </c>
      <c r="B665" s="799" t="s">
        <v>79</v>
      </c>
      <c r="C665" s="799" t="s">
        <v>80</v>
      </c>
      <c r="D665" s="799" t="s">
        <v>125</v>
      </c>
      <c r="E665" s="799">
        <v>4439901</v>
      </c>
      <c r="F665" s="799" t="s">
        <v>102</v>
      </c>
      <c r="G665" s="17">
        <v>310</v>
      </c>
      <c r="H665" s="49">
        <v>150</v>
      </c>
    </row>
    <row r="666" spans="1:8" ht="14" x14ac:dyDescent="0.15">
      <c r="A666" s="449" t="s">
        <v>97</v>
      </c>
      <c r="B666" s="799" t="s">
        <v>79</v>
      </c>
      <c r="C666" s="799" t="s">
        <v>80</v>
      </c>
      <c r="D666" s="799" t="s">
        <v>125</v>
      </c>
      <c r="E666" s="799">
        <v>4439901</v>
      </c>
      <c r="F666" s="799" t="s">
        <v>102</v>
      </c>
      <c r="G666" s="17">
        <v>340</v>
      </c>
      <c r="H666" s="49">
        <v>0.86</v>
      </c>
    </row>
    <row r="667" spans="1:8" ht="14" x14ac:dyDescent="0.15">
      <c r="A667" s="48" t="s">
        <v>98</v>
      </c>
      <c r="B667" s="20" t="s">
        <v>79</v>
      </c>
      <c r="C667" s="20" t="s">
        <v>80</v>
      </c>
      <c r="D667" s="20" t="s">
        <v>125</v>
      </c>
      <c r="E667" s="20" t="s">
        <v>239</v>
      </c>
      <c r="F667" s="20" t="s">
        <v>102</v>
      </c>
      <c r="G667" s="67"/>
      <c r="H667" s="50">
        <f>SUM(H654:H666)</f>
        <v>7040.8</v>
      </c>
    </row>
    <row r="668" spans="1:8" ht="14" x14ac:dyDescent="0.15">
      <c r="A668" s="18" t="s">
        <v>157</v>
      </c>
      <c r="B668" s="799"/>
      <c r="C668" s="799"/>
      <c r="D668" s="799"/>
      <c r="E668" s="799"/>
      <c r="F668" s="799"/>
      <c r="G668" s="21"/>
      <c r="H668" s="50">
        <v>60</v>
      </c>
    </row>
    <row r="669" spans="1:8" ht="14" x14ac:dyDescent="0.15">
      <c r="A669" s="449" t="s">
        <v>78</v>
      </c>
      <c r="B669" s="799" t="s">
        <v>79</v>
      </c>
      <c r="C669" s="799" t="s">
        <v>80</v>
      </c>
      <c r="D669" s="799" t="s">
        <v>125</v>
      </c>
      <c r="E669" s="799">
        <v>4439901</v>
      </c>
      <c r="F669" s="799" t="s">
        <v>102</v>
      </c>
      <c r="G669" s="17">
        <v>211</v>
      </c>
      <c r="H669" s="49">
        <f>6045.7+0.02</f>
        <v>6045.72</v>
      </c>
    </row>
    <row r="670" spans="1:8" ht="14" x14ac:dyDescent="0.15">
      <c r="A670" s="449" t="s">
        <v>103</v>
      </c>
      <c r="B670" s="799" t="s">
        <v>79</v>
      </c>
      <c r="C670" s="799" t="s">
        <v>80</v>
      </c>
      <c r="D670" s="799" t="s">
        <v>125</v>
      </c>
      <c r="E670" s="799">
        <v>4439901</v>
      </c>
      <c r="F670" s="799" t="s">
        <v>102</v>
      </c>
      <c r="G670" s="17">
        <v>212</v>
      </c>
      <c r="H670" s="49">
        <f>32.9</f>
        <v>32.9</v>
      </c>
    </row>
    <row r="671" spans="1:8" ht="14" x14ac:dyDescent="0.15">
      <c r="A671" s="449" t="s">
        <v>84</v>
      </c>
      <c r="B671" s="799" t="s">
        <v>79</v>
      </c>
      <c r="C671" s="799" t="s">
        <v>80</v>
      </c>
      <c r="D671" s="799" t="s">
        <v>125</v>
      </c>
      <c r="E671" s="799">
        <v>4439901</v>
      </c>
      <c r="F671" s="799" t="s">
        <v>102</v>
      </c>
      <c r="G671" s="17">
        <v>213</v>
      </c>
      <c r="H671" s="49">
        <f>1825.8-0.02</f>
        <v>1825.78</v>
      </c>
    </row>
    <row r="672" spans="1:8" ht="14" x14ac:dyDescent="0.15">
      <c r="A672" s="449" t="s">
        <v>85</v>
      </c>
      <c r="B672" s="799" t="s">
        <v>79</v>
      </c>
      <c r="C672" s="799" t="s">
        <v>80</v>
      </c>
      <c r="D672" s="799" t="s">
        <v>125</v>
      </c>
      <c r="E672" s="799">
        <v>4439901</v>
      </c>
      <c r="F672" s="799" t="s">
        <v>102</v>
      </c>
      <c r="G672" s="17">
        <v>221</v>
      </c>
      <c r="H672" s="49"/>
    </row>
    <row r="673" spans="1:8" ht="14" x14ac:dyDescent="0.15">
      <c r="A673" s="449" t="s">
        <v>86</v>
      </c>
      <c r="B673" s="799" t="s">
        <v>79</v>
      </c>
      <c r="C673" s="799" t="s">
        <v>80</v>
      </c>
      <c r="D673" s="799" t="s">
        <v>125</v>
      </c>
      <c r="E673" s="799">
        <v>4439901</v>
      </c>
      <c r="F673" s="799" t="s">
        <v>102</v>
      </c>
      <c r="G673" s="17">
        <v>222</v>
      </c>
      <c r="H673" s="49">
        <f>253.149</f>
        <v>253.149</v>
      </c>
    </row>
    <row r="674" spans="1:8" ht="14" x14ac:dyDescent="0.15">
      <c r="A674" s="449" t="s">
        <v>87</v>
      </c>
      <c r="B674" s="799" t="s">
        <v>79</v>
      </c>
      <c r="C674" s="799" t="s">
        <v>80</v>
      </c>
      <c r="D674" s="799" t="s">
        <v>125</v>
      </c>
      <c r="E674" s="799">
        <v>4439901</v>
      </c>
      <c r="F674" s="799" t="s">
        <v>102</v>
      </c>
      <c r="G674" s="17">
        <v>223</v>
      </c>
      <c r="H674" s="49"/>
    </row>
    <row r="675" spans="1:8" ht="14" x14ac:dyDescent="0.15">
      <c r="A675" s="449" t="s">
        <v>134</v>
      </c>
      <c r="B675" s="799" t="s">
        <v>79</v>
      </c>
      <c r="C675" s="799" t="s">
        <v>80</v>
      </c>
      <c r="D675" s="799" t="s">
        <v>125</v>
      </c>
      <c r="E675" s="799">
        <v>4439901</v>
      </c>
      <c r="F675" s="799" t="s">
        <v>102</v>
      </c>
      <c r="G675" s="17">
        <v>224</v>
      </c>
      <c r="H675" s="49"/>
    </row>
    <row r="676" spans="1:8" ht="14" x14ac:dyDescent="0.15">
      <c r="A676" s="449" t="s">
        <v>90</v>
      </c>
      <c r="B676" s="799" t="s">
        <v>79</v>
      </c>
      <c r="C676" s="799" t="s">
        <v>80</v>
      </c>
      <c r="D676" s="799" t="s">
        <v>125</v>
      </c>
      <c r="E676" s="799">
        <v>4439901</v>
      </c>
      <c r="F676" s="799" t="s">
        <v>102</v>
      </c>
      <c r="G676" s="17">
        <v>225</v>
      </c>
      <c r="H676" s="49"/>
    </row>
    <row r="677" spans="1:8" ht="14" x14ac:dyDescent="0.15">
      <c r="A677" s="449" t="s">
        <v>91</v>
      </c>
      <c r="B677" s="799" t="s">
        <v>79</v>
      </c>
      <c r="C677" s="799" t="s">
        <v>80</v>
      </c>
      <c r="D677" s="799" t="s">
        <v>125</v>
      </c>
      <c r="E677" s="799">
        <v>4439901</v>
      </c>
      <c r="F677" s="799" t="s">
        <v>102</v>
      </c>
      <c r="G677" s="17">
        <v>226</v>
      </c>
      <c r="H677" s="49">
        <f>125.14+278.73</f>
        <v>403.87</v>
      </c>
    </row>
    <row r="678" spans="1:8" ht="14" x14ac:dyDescent="0.15">
      <c r="A678" s="11" t="s">
        <v>94</v>
      </c>
      <c r="B678" s="799" t="s">
        <v>79</v>
      </c>
      <c r="C678" s="799" t="s">
        <v>80</v>
      </c>
      <c r="D678" s="799" t="s">
        <v>125</v>
      </c>
      <c r="E678" s="799">
        <v>4439901</v>
      </c>
      <c r="F678" s="799" t="s">
        <v>102</v>
      </c>
      <c r="G678" s="17">
        <v>290</v>
      </c>
      <c r="H678" s="49">
        <v>11.4</v>
      </c>
    </row>
    <row r="679" spans="1:8" ht="14" x14ac:dyDescent="0.15">
      <c r="A679" s="11" t="s">
        <v>94</v>
      </c>
      <c r="B679" s="799" t="s">
        <v>79</v>
      </c>
      <c r="C679" s="799" t="s">
        <v>80</v>
      </c>
      <c r="D679" s="799" t="s">
        <v>125</v>
      </c>
      <c r="E679" s="799" t="s">
        <v>238</v>
      </c>
      <c r="F679" s="799" t="s">
        <v>102</v>
      </c>
      <c r="G679" s="17" t="s">
        <v>95</v>
      </c>
      <c r="H679" s="49">
        <f>12.1-3</f>
        <v>9.1</v>
      </c>
    </row>
    <row r="680" spans="1:8" ht="14" x14ac:dyDescent="0.15">
      <c r="A680" s="449" t="s">
        <v>96</v>
      </c>
      <c r="B680" s="799" t="s">
        <v>79</v>
      </c>
      <c r="C680" s="799" t="s">
        <v>80</v>
      </c>
      <c r="D680" s="799" t="s">
        <v>125</v>
      </c>
      <c r="E680" s="799">
        <v>4439901</v>
      </c>
      <c r="F680" s="799" t="s">
        <v>102</v>
      </c>
      <c r="G680" s="17">
        <v>310</v>
      </c>
      <c r="H680" s="49">
        <v>55.86</v>
      </c>
    </row>
    <row r="681" spans="1:8" ht="14" x14ac:dyDescent="0.15">
      <c r="A681" s="449" t="s">
        <v>97</v>
      </c>
      <c r="B681" s="799" t="s">
        <v>79</v>
      </c>
      <c r="C681" s="799" t="s">
        <v>80</v>
      </c>
      <c r="D681" s="799" t="s">
        <v>125</v>
      </c>
      <c r="E681" s="799">
        <v>4439901</v>
      </c>
      <c r="F681" s="799" t="s">
        <v>102</v>
      </c>
      <c r="G681" s="17">
        <v>340</v>
      </c>
      <c r="H681" s="49">
        <v>25</v>
      </c>
    </row>
    <row r="682" spans="1:8" ht="14" x14ac:dyDescent="0.15">
      <c r="A682" s="48" t="s">
        <v>98</v>
      </c>
      <c r="B682" s="20" t="s">
        <v>79</v>
      </c>
      <c r="C682" s="20" t="s">
        <v>80</v>
      </c>
      <c r="D682" s="20" t="s">
        <v>125</v>
      </c>
      <c r="E682" s="20" t="s">
        <v>239</v>
      </c>
      <c r="F682" s="20" t="s">
        <v>102</v>
      </c>
      <c r="G682" s="67"/>
      <c r="H682" s="50">
        <f>SUM(H669:H681)</f>
        <v>8662.7790000000005</v>
      </c>
    </row>
    <row r="683" spans="1:8" ht="14" x14ac:dyDescent="0.15">
      <c r="A683" s="18" t="s">
        <v>158</v>
      </c>
      <c r="B683" s="799"/>
      <c r="C683" s="799"/>
      <c r="D683" s="799"/>
      <c r="E683" s="799"/>
      <c r="F683" s="799"/>
      <c r="G683" s="21"/>
      <c r="H683" s="50"/>
    </row>
    <row r="684" spans="1:8" ht="14" x14ac:dyDescent="0.15">
      <c r="A684" s="449" t="s">
        <v>78</v>
      </c>
      <c r="B684" s="799" t="s">
        <v>79</v>
      </c>
      <c r="C684" s="799" t="s">
        <v>80</v>
      </c>
      <c r="D684" s="799" t="s">
        <v>125</v>
      </c>
      <c r="E684" s="799">
        <v>4439901</v>
      </c>
      <c r="F684" s="799" t="s">
        <v>102</v>
      </c>
      <c r="G684" s="17">
        <v>211</v>
      </c>
      <c r="H684" s="49">
        <v>6811.2</v>
      </c>
    </row>
    <row r="685" spans="1:8" ht="14" x14ac:dyDescent="0.15">
      <c r="A685" s="449" t="s">
        <v>103</v>
      </c>
      <c r="B685" s="799" t="s">
        <v>79</v>
      </c>
      <c r="C685" s="799" t="s">
        <v>80</v>
      </c>
      <c r="D685" s="799" t="s">
        <v>125</v>
      </c>
      <c r="E685" s="799">
        <v>4439901</v>
      </c>
      <c r="F685" s="799" t="s">
        <v>102</v>
      </c>
      <c r="G685" s="17">
        <v>212</v>
      </c>
      <c r="H685" s="49"/>
    </row>
    <row r="686" spans="1:8" ht="14" x14ac:dyDescent="0.15">
      <c r="A686" s="449" t="s">
        <v>84</v>
      </c>
      <c r="B686" s="799" t="s">
        <v>79</v>
      </c>
      <c r="C686" s="799" t="s">
        <v>80</v>
      </c>
      <c r="D686" s="799" t="s">
        <v>125</v>
      </c>
      <c r="E686" s="799">
        <v>4439901</v>
      </c>
      <c r="F686" s="799" t="s">
        <v>102</v>
      </c>
      <c r="G686" s="17">
        <v>213</v>
      </c>
      <c r="H686" s="49">
        <v>2057</v>
      </c>
    </row>
    <row r="687" spans="1:8" ht="14" x14ac:dyDescent="0.15">
      <c r="A687" s="449" t="s">
        <v>85</v>
      </c>
      <c r="B687" s="799" t="s">
        <v>79</v>
      </c>
      <c r="C687" s="799" t="s">
        <v>80</v>
      </c>
      <c r="D687" s="799" t="s">
        <v>125</v>
      </c>
      <c r="E687" s="799">
        <v>4439901</v>
      </c>
      <c r="F687" s="799" t="s">
        <v>102</v>
      </c>
      <c r="G687" s="17">
        <v>221</v>
      </c>
      <c r="H687" s="49"/>
    </row>
    <row r="688" spans="1:8" ht="14" x14ac:dyDescent="0.15">
      <c r="A688" s="449" t="s">
        <v>86</v>
      </c>
      <c r="B688" s="799" t="s">
        <v>79</v>
      </c>
      <c r="C688" s="799" t="s">
        <v>80</v>
      </c>
      <c r="D688" s="799" t="s">
        <v>125</v>
      </c>
      <c r="E688" s="799">
        <v>4439901</v>
      </c>
      <c r="F688" s="799" t="s">
        <v>102</v>
      </c>
      <c r="G688" s="17">
        <v>222</v>
      </c>
      <c r="H688" s="49"/>
    </row>
    <row r="689" spans="1:8" ht="14" x14ac:dyDescent="0.15">
      <c r="A689" s="449" t="s">
        <v>87</v>
      </c>
      <c r="B689" s="799" t="s">
        <v>79</v>
      </c>
      <c r="C689" s="799" t="s">
        <v>80</v>
      </c>
      <c r="D689" s="799" t="s">
        <v>125</v>
      </c>
      <c r="E689" s="799">
        <v>4439901</v>
      </c>
      <c r="F689" s="799" t="s">
        <v>102</v>
      </c>
      <c r="G689" s="17">
        <v>223</v>
      </c>
      <c r="H689" s="49"/>
    </row>
    <row r="690" spans="1:8" ht="14" x14ac:dyDescent="0.15">
      <c r="A690" s="449" t="s">
        <v>134</v>
      </c>
      <c r="B690" s="799" t="s">
        <v>79</v>
      </c>
      <c r="C690" s="799" t="s">
        <v>80</v>
      </c>
      <c r="D690" s="799" t="s">
        <v>125</v>
      </c>
      <c r="E690" s="799">
        <v>4439901</v>
      </c>
      <c r="F690" s="799" t="s">
        <v>102</v>
      </c>
      <c r="G690" s="17">
        <v>224</v>
      </c>
      <c r="H690" s="49"/>
    </row>
    <row r="691" spans="1:8" ht="14" x14ac:dyDescent="0.15">
      <c r="A691" s="449" t="s">
        <v>90</v>
      </c>
      <c r="B691" s="799" t="s">
        <v>79</v>
      </c>
      <c r="C691" s="799" t="s">
        <v>80</v>
      </c>
      <c r="D691" s="799" t="s">
        <v>125</v>
      </c>
      <c r="E691" s="799">
        <v>4439901</v>
      </c>
      <c r="F691" s="799" t="s">
        <v>102</v>
      </c>
      <c r="G691" s="17">
        <v>225</v>
      </c>
      <c r="H691" s="49"/>
    </row>
    <row r="692" spans="1:8" ht="14" x14ac:dyDescent="0.15">
      <c r="A692" s="449" t="s">
        <v>91</v>
      </c>
      <c r="B692" s="799" t="s">
        <v>79</v>
      </c>
      <c r="C692" s="799" t="s">
        <v>80</v>
      </c>
      <c r="D692" s="799" t="s">
        <v>125</v>
      </c>
      <c r="E692" s="799">
        <v>4439901</v>
      </c>
      <c r="F692" s="799" t="s">
        <v>102</v>
      </c>
      <c r="G692" s="17">
        <v>226</v>
      </c>
      <c r="H692" s="49">
        <v>115.14</v>
      </c>
    </row>
    <row r="693" spans="1:8" ht="14" x14ac:dyDescent="0.15">
      <c r="A693" s="11" t="s">
        <v>94</v>
      </c>
      <c r="B693" s="799" t="s">
        <v>79</v>
      </c>
      <c r="C693" s="799" t="s">
        <v>80</v>
      </c>
      <c r="D693" s="799" t="s">
        <v>125</v>
      </c>
      <c r="E693" s="799">
        <v>4439901</v>
      </c>
      <c r="F693" s="799" t="s">
        <v>102</v>
      </c>
      <c r="G693" s="17">
        <v>290</v>
      </c>
      <c r="H693" s="49">
        <v>11.8</v>
      </c>
    </row>
    <row r="694" spans="1:8" ht="14" x14ac:dyDescent="0.15">
      <c r="A694" s="11" t="s">
        <v>94</v>
      </c>
      <c r="B694" s="799" t="s">
        <v>79</v>
      </c>
      <c r="C694" s="799" t="s">
        <v>80</v>
      </c>
      <c r="D694" s="799" t="s">
        <v>125</v>
      </c>
      <c r="E694" s="799" t="s">
        <v>238</v>
      </c>
      <c r="F694" s="799" t="s">
        <v>102</v>
      </c>
      <c r="G694" s="17" t="s">
        <v>95</v>
      </c>
      <c r="H694" s="49">
        <v>4.7</v>
      </c>
    </row>
    <row r="695" spans="1:8" ht="14" x14ac:dyDescent="0.15">
      <c r="A695" s="449" t="s">
        <v>96</v>
      </c>
      <c r="B695" s="799" t="s">
        <v>79</v>
      </c>
      <c r="C695" s="799" t="s">
        <v>80</v>
      </c>
      <c r="D695" s="799" t="s">
        <v>125</v>
      </c>
      <c r="E695" s="799">
        <v>4439901</v>
      </c>
      <c r="F695" s="799" t="s">
        <v>102</v>
      </c>
      <c r="G695" s="17">
        <v>310</v>
      </c>
      <c r="H695" s="49">
        <v>180</v>
      </c>
    </row>
    <row r="696" spans="1:8" ht="14" x14ac:dyDescent="0.15">
      <c r="A696" s="449" t="s">
        <v>97</v>
      </c>
      <c r="B696" s="799" t="s">
        <v>79</v>
      </c>
      <c r="C696" s="799" t="s">
        <v>80</v>
      </c>
      <c r="D696" s="799" t="s">
        <v>125</v>
      </c>
      <c r="E696" s="799">
        <v>4439901</v>
      </c>
      <c r="F696" s="799" t="s">
        <v>102</v>
      </c>
      <c r="G696" s="17">
        <v>340</v>
      </c>
      <c r="H696" s="49">
        <v>50.86</v>
      </c>
    </row>
    <row r="697" spans="1:8" ht="14" x14ac:dyDescent="0.15">
      <c r="A697" s="48" t="s">
        <v>98</v>
      </c>
      <c r="B697" s="20" t="s">
        <v>79</v>
      </c>
      <c r="C697" s="20" t="s">
        <v>80</v>
      </c>
      <c r="D697" s="20" t="s">
        <v>125</v>
      </c>
      <c r="E697" s="20" t="s">
        <v>239</v>
      </c>
      <c r="F697" s="20" t="s">
        <v>102</v>
      </c>
      <c r="G697" s="67"/>
      <c r="H697" s="50">
        <f>SUM(H684:H696)</f>
        <v>9230.7000000000007</v>
      </c>
    </row>
    <row r="698" spans="1:8" ht="14" x14ac:dyDescent="0.15">
      <c r="A698" s="48" t="s">
        <v>159</v>
      </c>
      <c r="B698" s="20"/>
      <c r="C698" s="20"/>
      <c r="D698" s="20"/>
      <c r="E698" s="20"/>
      <c r="F698" s="20"/>
      <c r="G698" s="67"/>
      <c r="H698" s="50"/>
    </row>
    <row r="699" spans="1:8" ht="14" x14ac:dyDescent="0.15">
      <c r="A699" s="449" t="s">
        <v>78</v>
      </c>
      <c r="B699" s="799" t="s">
        <v>79</v>
      </c>
      <c r="C699" s="799" t="s">
        <v>80</v>
      </c>
      <c r="D699" s="799" t="s">
        <v>125</v>
      </c>
      <c r="E699" s="799">
        <v>4439901</v>
      </c>
      <c r="F699" s="799" t="s">
        <v>102</v>
      </c>
      <c r="G699" s="17">
        <v>211</v>
      </c>
      <c r="H699" s="49">
        <f>5749.5</f>
        <v>5749.5</v>
      </c>
    </row>
    <row r="700" spans="1:8" ht="14" x14ac:dyDescent="0.15">
      <c r="A700" s="449" t="s">
        <v>103</v>
      </c>
      <c r="B700" s="799" t="s">
        <v>79</v>
      </c>
      <c r="C700" s="799" t="s">
        <v>80</v>
      </c>
      <c r="D700" s="799" t="s">
        <v>125</v>
      </c>
      <c r="E700" s="799">
        <v>4439901</v>
      </c>
      <c r="F700" s="799" t="s">
        <v>102</v>
      </c>
      <c r="G700" s="17">
        <v>212</v>
      </c>
      <c r="H700" s="49"/>
    </row>
    <row r="701" spans="1:8" ht="14" x14ac:dyDescent="0.15">
      <c r="A701" s="449" t="s">
        <v>84</v>
      </c>
      <c r="B701" s="799" t="s">
        <v>79</v>
      </c>
      <c r="C701" s="799" t="s">
        <v>80</v>
      </c>
      <c r="D701" s="799" t="s">
        <v>125</v>
      </c>
      <c r="E701" s="799">
        <v>4439901</v>
      </c>
      <c r="F701" s="799" t="s">
        <v>102</v>
      </c>
      <c r="G701" s="17">
        <v>213</v>
      </c>
      <c r="H701" s="49">
        <f>1736.3</f>
        <v>1736.3</v>
      </c>
    </row>
    <row r="702" spans="1:8" ht="14" x14ac:dyDescent="0.15">
      <c r="A702" s="449" t="s">
        <v>85</v>
      </c>
      <c r="B702" s="799" t="s">
        <v>79</v>
      </c>
      <c r="C702" s="799" t="s">
        <v>80</v>
      </c>
      <c r="D702" s="799" t="s">
        <v>125</v>
      </c>
      <c r="E702" s="799">
        <v>4439901</v>
      </c>
      <c r="F702" s="799" t="s">
        <v>102</v>
      </c>
      <c r="G702" s="17">
        <v>221</v>
      </c>
      <c r="H702" s="49"/>
    </row>
    <row r="703" spans="1:8" ht="14" x14ac:dyDescent="0.15">
      <c r="A703" s="449" t="s">
        <v>86</v>
      </c>
      <c r="B703" s="799" t="s">
        <v>79</v>
      </c>
      <c r="C703" s="799" t="s">
        <v>80</v>
      </c>
      <c r="D703" s="799" t="s">
        <v>125</v>
      </c>
      <c r="E703" s="799">
        <v>4439901</v>
      </c>
      <c r="F703" s="799" t="s">
        <v>102</v>
      </c>
      <c r="G703" s="17">
        <v>222</v>
      </c>
      <c r="H703" s="49"/>
    </row>
    <row r="704" spans="1:8" ht="14" x14ac:dyDescent="0.15">
      <c r="A704" s="449" t="s">
        <v>87</v>
      </c>
      <c r="B704" s="799" t="s">
        <v>79</v>
      </c>
      <c r="C704" s="799" t="s">
        <v>80</v>
      </c>
      <c r="D704" s="799" t="s">
        <v>125</v>
      </c>
      <c r="E704" s="799">
        <v>4439901</v>
      </c>
      <c r="F704" s="799" t="s">
        <v>102</v>
      </c>
      <c r="G704" s="17">
        <v>223</v>
      </c>
      <c r="H704" s="49"/>
    </row>
    <row r="705" spans="1:8" ht="14" x14ac:dyDescent="0.15">
      <c r="A705" s="449" t="s">
        <v>134</v>
      </c>
      <c r="B705" s="799" t="s">
        <v>79</v>
      </c>
      <c r="C705" s="799" t="s">
        <v>80</v>
      </c>
      <c r="D705" s="799" t="s">
        <v>125</v>
      </c>
      <c r="E705" s="799">
        <v>4439901</v>
      </c>
      <c r="F705" s="799" t="s">
        <v>102</v>
      </c>
      <c r="G705" s="17">
        <v>224</v>
      </c>
      <c r="H705" s="49"/>
    </row>
    <row r="706" spans="1:8" ht="14" x14ac:dyDescent="0.15">
      <c r="A706" s="449" t="s">
        <v>90</v>
      </c>
      <c r="B706" s="799" t="s">
        <v>79</v>
      </c>
      <c r="C706" s="799" t="s">
        <v>80</v>
      </c>
      <c r="D706" s="799" t="s">
        <v>125</v>
      </c>
      <c r="E706" s="799">
        <v>4439901</v>
      </c>
      <c r="F706" s="799" t="s">
        <v>102</v>
      </c>
      <c r="G706" s="17">
        <v>225</v>
      </c>
      <c r="H706" s="49"/>
    </row>
    <row r="707" spans="1:8" ht="14" x14ac:dyDescent="0.15">
      <c r="A707" s="449" t="s">
        <v>91</v>
      </c>
      <c r="B707" s="799" t="s">
        <v>79</v>
      </c>
      <c r="C707" s="799" t="s">
        <v>80</v>
      </c>
      <c r="D707" s="799" t="s">
        <v>125</v>
      </c>
      <c r="E707" s="799">
        <v>4439901</v>
      </c>
      <c r="F707" s="799" t="s">
        <v>102</v>
      </c>
      <c r="G707" s="17">
        <v>226</v>
      </c>
      <c r="H707" s="49">
        <v>104.64</v>
      </c>
    </row>
    <row r="708" spans="1:8" ht="14" x14ac:dyDescent="0.15">
      <c r="A708" s="11" t="s">
        <v>94</v>
      </c>
      <c r="B708" s="799" t="s">
        <v>79</v>
      </c>
      <c r="C708" s="799" t="s">
        <v>80</v>
      </c>
      <c r="D708" s="799" t="s">
        <v>125</v>
      </c>
      <c r="E708" s="799">
        <v>4439901</v>
      </c>
      <c r="F708" s="799" t="s">
        <v>102</v>
      </c>
      <c r="G708" s="17">
        <v>290</v>
      </c>
      <c r="H708" s="49">
        <v>10.3</v>
      </c>
    </row>
    <row r="709" spans="1:8" ht="14" x14ac:dyDescent="0.15">
      <c r="A709" s="11" t="s">
        <v>94</v>
      </c>
      <c r="B709" s="799" t="s">
        <v>79</v>
      </c>
      <c r="C709" s="799" t="s">
        <v>80</v>
      </c>
      <c r="D709" s="799" t="s">
        <v>125</v>
      </c>
      <c r="E709" s="799" t="s">
        <v>238</v>
      </c>
      <c r="F709" s="799" t="s">
        <v>102</v>
      </c>
      <c r="G709" s="17" t="s">
        <v>95</v>
      </c>
      <c r="H709" s="49">
        <v>5.8</v>
      </c>
    </row>
    <row r="710" spans="1:8" ht="14" x14ac:dyDescent="0.15">
      <c r="A710" s="449" t="s">
        <v>96</v>
      </c>
      <c r="B710" s="799" t="s">
        <v>79</v>
      </c>
      <c r="C710" s="799" t="s">
        <v>80</v>
      </c>
      <c r="D710" s="799" t="s">
        <v>125</v>
      </c>
      <c r="E710" s="799">
        <v>4439901</v>
      </c>
      <c r="F710" s="799" t="s">
        <v>102</v>
      </c>
      <c r="G710" s="17">
        <v>310</v>
      </c>
      <c r="H710" s="49">
        <v>135.36000000000001</v>
      </c>
    </row>
    <row r="711" spans="1:8" ht="14" x14ac:dyDescent="0.15">
      <c r="A711" s="449" t="s">
        <v>97</v>
      </c>
      <c r="B711" s="799" t="s">
        <v>79</v>
      </c>
      <c r="C711" s="799" t="s">
        <v>80</v>
      </c>
      <c r="D711" s="799" t="s">
        <v>125</v>
      </c>
      <c r="E711" s="799">
        <v>4439901</v>
      </c>
      <c r="F711" s="799" t="s">
        <v>102</v>
      </c>
      <c r="G711" s="17">
        <v>340</v>
      </c>
      <c r="H711" s="49">
        <v>15</v>
      </c>
    </row>
    <row r="712" spans="1:8" ht="14" x14ac:dyDescent="0.15">
      <c r="A712" s="48" t="s">
        <v>98</v>
      </c>
      <c r="B712" s="20" t="s">
        <v>79</v>
      </c>
      <c r="C712" s="20" t="s">
        <v>80</v>
      </c>
      <c r="D712" s="20" t="s">
        <v>125</v>
      </c>
      <c r="E712" s="20" t="s">
        <v>239</v>
      </c>
      <c r="F712" s="20" t="s">
        <v>102</v>
      </c>
      <c r="G712" s="67"/>
      <c r="H712" s="50">
        <f>SUM(H699:H711)</f>
        <v>7756.9000000000005</v>
      </c>
    </row>
    <row r="713" spans="1:8" ht="14" x14ac:dyDescent="0.15">
      <c r="A713" s="48" t="s">
        <v>160</v>
      </c>
      <c r="B713" s="20"/>
      <c r="C713" s="20"/>
      <c r="D713" s="20"/>
      <c r="E713" s="20"/>
      <c r="F713" s="20"/>
      <c r="G713" s="67"/>
      <c r="H713" s="50"/>
    </row>
    <row r="714" spans="1:8" ht="14" x14ac:dyDescent="0.15">
      <c r="A714" s="449" t="s">
        <v>124</v>
      </c>
      <c r="B714" s="799" t="s">
        <v>79</v>
      </c>
      <c r="C714" s="799" t="s">
        <v>80</v>
      </c>
      <c r="D714" s="799" t="s">
        <v>125</v>
      </c>
      <c r="E714" s="799">
        <v>4439901</v>
      </c>
      <c r="F714" s="800" t="s">
        <v>102</v>
      </c>
      <c r="G714" s="17">
        <v>211</v>
      </c>
      <c r="H714" s="49">
        <v>1568.6</v>
      </c>
    </row>
    <row r="715" spans="1:8" ht="14" x14ac:dyDescent="0.15">
      <c r="A715" s="449" t="s">
        <v>83</v>
      </c>
      <c r="B715" s="799" t="s">
        <v>79</v>
      </c>
      <c r="C715" s="799" t="s">
        <v>80</v>
      </c>
      <c r="D715" s="799" t="s">
        <v>125</v>
      </c>
      <c r="E715" s="799">
        <v>4439901</v>
      </c>
      <c r="F715" s="800" t="s">
        <v>102</v>
      </c>
      <c r="G715" s="17">
        <v>212</v>
      </c>
      <c r="H715" s="49"/>
    </row>
    <row r="716" spans="1:8" ht="14" x14ac:dyDescent="0.15">
      <c r="A716" s="449" t="s">
        <v>84</v>
      </c>
      <c r="B716" s="799" t="s">
        <v>79</v>
      </c>
      <c r="C716" s="799" t="s">
        <v>80</v>
      </c>
      <c r="D716" s="799" t="s">
        <v>125</v>
      </c>
      <c r="E716" s="799">
        <v>4439901</v>
      </c>
      <c r="F716" s="800" t="s">
        <v>102</v>
      </c>
      <c r="G716" s="17">
        <v>213</v>
      </c>
      <c r="H716" s="49">
        <v>473.7</v>
      </c>
    </row>
    <row r="717" spans="1:8" ht="14" x14ac:dyDescent="0.15">
      <c r="A717" s="449" t="s">
        <v>85</v>
      </c>
      <c r="B717" s="799" t="s">
        <v>79</v>
      </c>
      <c r="C717" s="799" t="s">
        <v>80</v>
      </c>
      <c r="D717" s="799" t="s">
        <v>125</v>
      </c>
      <c r="E717" s="799">
        <v>4439901</v>
      </c>
      <c r="F717" s="800" t="s">
        <v>102</v>
      </c>
      <c r="G717" s="17">
        <v>221</v>
      </c>
      <c r="H717" s="49"/>
    </row>
    <row r="718" spans="1:8" ht="14" x14ac:dyDescent="0.15">
      <c r="A718" s="449" t="s">
        <v>86</v>
      </c>
      <c r="B718" s="799" t="s">
        <v>79</v>
      </c>
      <c r="C718" s="799" t="s">
        <v>80</v>
      </c>
      <c r="D718" s="799" t="s">
        <v>125</v>
      </c>
      <c r="E718" s="799">
        <v>4439901</v>
      </c>
      <c r="F718" s="800" t="s">
        <v>102</v>
      </c>
      <c r="G718" s="17">
        <v>222</v>
      </c>
      <c r="H718" s="49"/>
    </row>
    <row r="719" spans="1:8" ht="14" x14ac:dyDescent="0.15">
      <c r="A719" s="449" t="s">
        <v>87</v>
      </c>
      <c r="B719" s="799" t="s">
        <v>79</v>
      </c>
      <c r="C719" s="799" t="s">
        <v>80</v>
      </c>
      <c r="D719" s="799" t="s">
        <v>125</v>
      </c>
      <c r="E719" s="799">
        <v>4439901</v>
      </c>
      <c r="F719" s="800" t="s">
        <v>102</v>
      </c>
      <c r="G719" s="17">
        <v>223</v>
      </c>
      <c r="H719" s="49"/>
    </row>
    <row r="720" spans="1:8" ht="14" x14ac:dyDescent="0.15">
      <c r="A720" s="449" t="s">
        <v>111</v>
      </c>
      <c r="B720" s="799" t="s">
        <v>79</v>
      </c>
      <c r="C720" s="799" t="s">
        <v>80</v>
      </c>
      <c r="D720" s="799" t="s">
        <v>125</v>
      </c>
      <c r="E720" s="799">
        <v>4439901</v>
      </c>
      <c r="F720" s="800" t="s">
        <v>102</v>
      </c>
      <c r="G720" s="17">
        <v>224</v>
      </c>
      <c r="H720" s="49">
        <v>420</v>
      </c>
    </row>
    <row r="721" spans="1:8" ht="14" x14ac:dyDescent="0.15">
      <c r="A721" s="449" t="s">
        <v>90</v>
      </c>
      <c r="B721" s="799" t="s">
        <v>79</v>
      </c>
      <c r="C721" s="799" t="s">
        <v>80</v>
      </c>
      <c r="D721" s="799" t="s">
        <v>125</v>
      </c>
      <c r="E721" s="799">
        <v>4439901</v>
      </c>
      <c r="F721" s="800" t="s">
        <v>102</v>
      </c>
      <c r="G721" s="17">
        <v>225</v>
      </c>
      <c r="H721" s="49"/>
    </row>
    <row r="722" spans="1:8" ht="14" x14ac:dyDescent="0.15">
      <c r="A722" s="449" t="s">
        <v>91</v>
      </c>
      <c r="B722" s="799" t="s">
        <v>79</v>
      </c>
      <c r="C722" s="799" t="s">
        <v>80</v>
      </c>
      <c r="D722" s="799" t="s">
        <v>125</v>
      </c>
      <c r="E722" s="799">
        <v>4439901</v>
      </c>
      <c r="F722" s="800" t="s">
        <v>102</v>
      </c>
      <c r="G722" s="17">
        <v>226</v>
      </c>
      <c r="H722" s="49">
        <f>104.64</f>
        <v>104.64</v>
      </c>
    </row>
    <row r="723" spans="1:8" ht="14" x14ac:dyDescent="0.15">
      <c r="A723" s="11" t="s">
        <v>94</v>
      </c>
      <c r="B723" s="799" t="s">
        <v>79</v>
      </c>
      <c r="C723" s="799" t="s">
        <v>80</v>
      </c>
      <c r="D723" s="799" t="s">
        <v>125</v>
      </c>
      <c r="E723" s="799">
        <v>4439901</v>
      </c>
      <c r="F723" s="800" t="s">
        <v>102</v>
      </c>
      <c r="G723" s="17">
        <v>290</v>
      </c>
      <c r="H723" s="49"/>
    </row>
    <row r="724" spans="1:8" ht="14" x14ac:dyDescent="0.15">
      <c r="A724" s="11" t="s">
        <v>94</v>
      </c>
      <c r="B724" s="799" t="s">
        <v>79</v>
      </c>
      <c r="C724" s="799" t="s">
        <v>80</v>
      </c>
      <c r="D724" s="799" t="s">
        <v>125</v>
      </c>
      <c r="E724" s="799" t="s">
        <v>238</v>
      </c>
      <c r="F724" s="800" t="s">
        <v>102</v>
      </c>
      <c r="G724" s="17" t="s">
        <v>95</v>
      </c>
      <c r="H724" s="49"/>
    </row>
    <row r="725" spans="1:8" ht="14" x14ac:dyDescent="0.15">
      <c r="A725" s="449" t="s">
        <v>96</v>
      </c>
      <c r="B725" s="799" t="s">
        <v>79</v>
      </c>
      <c r="C725" s="799" t="s">
        <v>80</v>
      </c>
      <c r="D725" s="799" t="s">
        <v>125</v>
      </c>
      <c r="E725" s="799">
        <v>4439901</v>
      </c>
      <c r="F725" s="800" t="s">
        <v>102</v>
      </c>
      <c r="G725" s="17">
        <v>310</v>
      </c>
      <c r="H725" s="49">
        <f>250.36</f>
        <v>250.36</v>
      </c>
    </row>
    <row r="726" spans="1:8" ht="14" x14ac:dyDescent="0.15">
      <c r="A726" s="449" t="s">
        <v>97</v>
      </c>
      <c r="B726" s="799" t="s">
        <v>79</v>
      </c>
      <c r="C726" s="799" t="s">
        <v>80</v>
      </c>
      <c r="D726" s="799" t="s">
        <v>125</v>
      </c>
      <c r="E726" s="799">
        <v>4439901</v>
      </c>
      <c r="F726" s="800" t="s">
        <v>102</v>
      </c>
      <c r="G726" s="17">
        <v>340</v>
      </c>
      <c r="H726" s="49">
        <v>50</v>
      </c>
    </row>
    <row r="727" spans="1:8" ht="14" x14ac:dyDescent="0.15">
      <c r="A727" s="48" t="s">
        <v>98</v>
      </c>
      <c r="B727" s="20" t="s">
        <v>79</v>
      </c>
      <c r="C727" s="20" t="s">
        <v>80</v>
      </c>
      <c r="D727" s="20" t="s">
        <v>125</v>
      </c>
      <c r="E727" s="20" t="s">
        <v>239</v>
      </c>
      <c r="F727" s="76" t="s">
        <v>102</v>
      </c>
      <c r="G727" s="67"/>
      <c r="H727" s="50">
        <f>SUM(H714:H726)</f>
        <v>2867.3</v>
      </c>
    </row>
    <row r="728" spans="1:8" ht="14" x14ac:dyDescent="0.15">
      <c r="A728" s="18" t="s">
        <v>161</v>
      </c>
      <c r="B728" s="799"/>
      <c r="C728" s="799"/>
      <c r="D728" s="799"/>
      <c r="E728" s="799"/>
      <c r="F728" s="799"/>
      <c r="G728" s="21"/>
      <c r="H728" s="50">
        <v>400</v>
      </c>
    </row>
    <row r="729" spans="1:8" ht="14" x14ac:dyDescent="0.15">
      <c r="A729" s="449" t="s">
        <v>78</v>
      </c>
      <c r="B729" s="799" t="s">
        <v>79</v>
      </c>
      <c r="C729" s="799" t="s">
        <v>80</v>
      </c>
      <c r="D729" s="799" t="s">
        <v>125</v>
      </c>
      <c r="E729" s="799">
        <v>4439901</v>
      </c>
      <c r="F729" s="799" t="s">
        <v>102</v>
      </c>
      <c r="G729" s="17">
        <v>211</v>
      </c>
      <c r="H729" s="49">
        <f>42172.6+9.87</f>
        <v>42182.47</v>
      </c>
    </row>
    <row r="730" spans="1:8" ht="14" x14ac:dyDescent="0.15">
      <c r="A730" s="449" t="s">
        <v>103</v>
      </c>
      <c r="B730" s="799" t="s">
        <v>79</v>
      </c>
      <c r="C730" s="799" t="s">
        <v>80</v>
      </c>
      <c r="D730" s="799" t="s">
        <v>125</v>
      </c>
      <c r="E730" s="799">
        <v>4439901</v>
      </c>
      <c r="F730" s="799" t="s">
        <v>102</v>
      </c>
      <c r="G730" s="17">
        <v>212</v>
      </c>
      <c r="H730" s="49">
        <f>200+54.3+35.7</f>
        <v>290</v>
      </c>
    </row>
    <row r="731" spans="1:8" ht="14" x14ac:dyDescent="0.15">
      <c r="A731" s="449" t="s">
        <v>84</v>
      </c>
      <c r="B731" s="799" t="s">
        <v>79</v>
      </c>
      <c r="C731" s="799" t="s">
        <v>80</v>
      </c>
      <c r="D731" s="799" t="s">
        <v>125</v>
      </c>
      <c r="E731" s="799">
        <v>4439901</v>
      </c>
      <c r="F731" s="799" t="s">
        <v>102</v>
      </c>
      <c r="G731" s="17">
        <v>213</v>
      </c>
      <c r="H731" s="49">
        <f>12736</f>
        <v>12736</v>
      </c>
    </row>
    <row r="732" spans="1:8" ht="14" x14ac:dyDescent="0.15">
      <c r="A732" s="449" t="s">
        <v>85</v>
      </c>
      <c r="B732" s="799" t="s">
        <v>79</v>
      </c>
      <c r="C732" s="799" t="s">
        <v>80</v>
      </c>
      <c r="D732" s="799" t="s">
        <v>125</v>
      </c>
      <c r="E732" s="799">
        <v>4439901</v>
      </c>
      <c r="F732" s="799" t="s">
        <v>102</v>
      </c>
      <c r="G732" s="17">
        <v>221</v>
      </c>
      <c r="H732" s="49"/>
    </row>
    <row r="733" spans="1:8" ht="14" x14ac:dyDescent="0.15">
      <c r="A733" s="449" t="s">
        <v>86</v>
      </c>
      <c r="B733" s="799" t="s">
        <v>79</v>
      </c>
      <c r="C733" s="799" t="s">
        <v>80</v>
      </c>
      <c r="D733" s="799" t="s">
        <v>125</v>
      </c>
      <c r="E733" s="799">
        <v>4439901</v>
      </c>
      <c r="F733" s="799" t="s">
        <v>102</v>
      </c>
      <c r="G733" s="17">
        <v>222</v>
      </c>
      <c r="H733" s="49">
        <f>1800+277.803+373.254+321.85+1000</f>
        <v>3772.9069999999997</v>
      </c>
    </row>
    <row r="734" spans="1:8" ht="14" x14ac:dyDescent="0.15">
      <c r="A734" s="449" t="s">
        <v>87</v>
      </c>
      <c r="B734" s="799" t="s">
        <v>79</v>
      </c>
      <c r="C734" s="799" t="s">
        <v>80</v>
      </c>
      <c r="D734" s="799" t="s">
        <v>125</v>
      </c>
      <c r="E734" s="799">
        <v>4439901</v>
      </c>
      <c r="F734" s="799" t="s">
        <v>102</v>
      </c>
      <c r="G734" s="17">
        <v>223</v>
      </c>
      <c r="H734" s="49">
        <v>349</v>
      </c>
    </row>
    <row r="735" spans="1:8" ht="14" x14ac:dyDescent="0.15">
      <c r="A735" s="449" t="s">
        <v>134</v>
      </c>
      <c r="B735" s="799" t="s">
        <v>79</v>
      </c>
      <c r="C735" s="799" t="s">
        <v>80</v>
      </c>
      <c r="D735" s="799" t="s">
        <v>125</v>
      </c>
      <c r="E735" s="799">
        <v>4439901</v>
      </c>
      <c r="F735" s="799" t="s">
        <v>102</v>
      </c>
      <c r="G735" s="17">
        <v>224</v>
      </c>
      <c r="H735" s="49"/>
    </row>
    <row r="736" spans="1:8" ht="14" x14ac:dyDescent="0.15">
      <c r="A736" s="449" t="s">
        <v>90</v>
      </c>
      <c r="B736" s="799" t="s">
        <v>79</v>
      </c>
      <c r="C736" s="799" t="s">
        <v>80</v>
      </c>
      <c r="D736" s="799" t="s">
        <v>125</v>
      </c>
      <c r="E736" s="799">
        <v>4439901</v>
      </c>
      <c r="F736" s="799" t="s">
        <v>102</v>
      </c>
      <c r="G736" s="17">
        <v>225</v>
      </c>
      <c r="H736" s="49">
        <f>4000+8000</f>
        <v>12000</v>
      </c>
    </row>
    <row r="737" spans="1:8" ht="14" x14ac:dyDescent="0.15">
      <c r="A737" s="449" t="s">
        <v>91</v>
      </c>
      <c r="B737" s="799" t="s">
        <v>79</v>
      </c>
      <c r="C737" s="799" t="s">
        <v>80</v>
      </c>
      <c r="D737" s="799" t="s">
        <v>125</v>
      </c>
      <c r="E737" s="799">
        <v>4439901</v>
      </c>
      <c r="F737" s="799" t="s">
        <v>102</v>
      </c>
      <c r="G737" s="17">
        <v>226</v>
      </c>
      <c r="H737" s="49">
        <f>705-50+391.85+35.1+89.96</f>
        <v>1171.9099999999999</v>
      </c>
    </row>
    <row r="738" spans="1:8" ht="14" x14ac:dyDescent="0.15">
      <c r="A738" s="11" t="s">
        <v>94</v>
      </c>
      <c r="B738" s="799" t="s">
        <v>79</v>
      </c>
      <c r="C738" s="799" t="s">
        <v>80</v>
      </c>
      <c r="D738" s="799" t="s">
        <v>125</v>
      </c>
      <c r="E738" s="799">
        <v>4439901</v>
      </c>
      <c r="F738" s="799" t="s">
        <v>102</v>
      </c>
      <c r="G738" s="17">
        <v>290</v>
      </c>
      <c r="H738" s="49">
        <v>29.6</v>
      </c>
    </row>
    <row r="739" spans="1:8" ht="14" x14ac:dyDescent="0.15">
      <c r="A739" s="11" t="s">
        <v>94</v>
      </c>
      <c r="B739" s="799" t="s">
        <v>79</v>
      </c>
      <c r="C739" s="799" t="s">
        <v>80</v>
      </c>
      <c r="D739" s="799" t="s">
        <v>125</v>
      </c>
      <c r="E739" s="799" t="s">
        <v>238</v>
      </c>
      <c r="F739" s="799" t="s">
        <v>102</v>
      </c>
      <c r="G739" s="17" t="s">
        <v>95</v>
      </c>
      <c r="H739" s="49">
        <f>22.6+301.6-81.1</f>
        <v>243.10000000000005</v>
      </c>
    </row>
    <row r="740" spans="1:8" ht="14" x14ac:dyDescent="0.15">
      <c r="A740" s="449" t="s">
        <v>96</v>
      </c>
      <c r="B740" s="799" t="s">
        <v>79</v>
      </c>
      <c r="C740" s="799" t="s">
        <v>80</v>
      </c>
      <c r="D740" s="799" t="s">
        <v>125</v>
      </c>
      <c r="E740" s="799">
        <v>4439901</v>
      </c>
      <c r="F740" s="799" t="s">
        <v>102</v>
      </c>
      <c r="G740" s="17">
        <v>310</v>
      </c>
      <c r="H740" s="49">
        <f>1000-1000+200-9.87</f>
        <v>190.13</v>
      </c>
    </row>
    <row r="741" spans="1:8" ht="14" x14ac:dyDescent="0.15">
      <c r="A741" s="449" t="s">
        <v>97</v>
      </c>
      <c r="B741" s="799" t="s">
        <v>79</v>
      </c>
      <c r="C741" s="799" t="s">
        <v>80</v>
      </c>
      <c r="D741" s="799" t="s">
        <v>125</v>
      </c>
      <c r="E741" s="799">
        <v>4439901</v>
      </c>
      <c r="F741" s="799" t="s">
        <v>102</v>
      </c>
      <c r="G741" s="17">
        <v>340</v>
      </c>
      <c r="H741" s="49">
        <f>500-200</f>
        <v>300</v>
      </c>
    </row>
    <row r="742" spans="1:8" ht="14" x14ac:dyDescent="0.15">
      <c r="A742" s="18" t="s">
        <v>98</v>
      </c>
      <c r="B742" s="19" t="s">
        <v>79</v>
      </c>
      <c r="C742" s="19" t="s">
        <v>80</v>
      </c>
      <c r="D742" s="19" t="s">
        <v>125</v>
      </c>
      <c r="E742" s="20" t="s">
        <v>239</v>
      </c>
      <c r="F742" s="20" t="s">
        <v>102</v>
      </c>
      <c r="G742" s="21"/>
      <c r="H742" s="32">
        <f>SUM(H729:H741)</f>
        <v>73265.117000000027</v>
      </c>
    </row>
    <row r="743" spans="1:8" ht="14" x14ac:dyDescent="0.15">
      <c r="A743" s="18" t="s">
        <v>162</v>
      </c>
      <c r="B743" s="799"/>
      <c r="C743" s="799"/>
      <c r="D743" s="799"/>
      <c r="E743" s="799"/>
      <c r="F743" s="799"/>
      <c r="G743" s="21"/>
      <c r="H743" s="50"/>
    </row>
    <row r="744" spans="1:8" ht="14" x14ac:dyDescent="0.15">
      <c r="A744" s="449" t="s">
        <v>78</v>
      </c>
      <c r="B744" s="799" t="s">
        <v>79</v>
      </c>
      <c r="C744" s="799" t="s">
        <v>80</v>
      </c>
      <c r="D744" s="799" t="s">
        <v>125</v>
      </c>
      <c r="E744" s="799" t="s">
        <v>240</v>
      </c>
      <c r="F744" s="799" t="s">
        <v>102</v>
      </c>
      <c r="G744" s="17">
        <v>211</v>
      </c>
      <c r="H744" s="49">
        <f>H399+H414+H429+H444+H459+H474+H489+H504+H519+H534+H549+H564+H579+H594+H609+H624+H639+H654+H669+H684+H699+H714+H729</f>
        <v>317687.95900000003</v>
      </c>
    </row>
    <row r="745" spans="1:8" ht="14" x14ac:dyDescent="0.15">
      <c r="A745" s="449" t="s">
        <v>103</v>
      </c>
      <c r="B745" s="799" t="s">
        <v>79</v>
      </c>
      <c r="C745" s="799" t="s">
        <v>80</v>
      </c>
      <c r="D745" s="799" t="s">
        <v>125</v>
      </c>
      <c r="E745" s="799" t="s">
        <v>240</v>
      </c>
      <c r="F745" s="799" t="s">
        <v>102</v>
      </c>
      <c r="G745" s="17">
        <v>212</v>
      </c>
      <c r="H745" s="49">
        <f t="shared" ref="H745:H756" si="5">H400+H415+H430+H445+H460+H475+H490+H505+H520+H535+H550+H565+H580+H595+H610+H625+H640+H655+H670+H685+H700+H715+H730</f>
        <v>369.3</v>
      </c>
    </row>
    <row r="746" spans="1:8" ht="14" x14ac:dyDescent="0.15">
      <c r="A746" s="449" t="s">
        <v>84</v>
      </c>
      <c r="B746" s="799" t="s">
        <v>79</v>
      </c>
      <c r="C746" s="799" t="s">
        <v>80</v>
      </c>
      <c r="D746" s="799" t="s">
        <v>125</v>
      </c>
      <c r="E746" s="799" t="s">
        <v>240</v>
      </c>
      <c r="F746" s="799" t="s">
        <v>102</v>
      </c>
      <c r="G746" s="17">
        <v>213</v>
      </c>
      <c r="H746" s="49">
        <f t="shared" si="5"/>
        <v>94963.387000000002</v>
      </c>
    </row>
    <row r="747" spans="1:8" ht="14" x14ac:dyDescent="0.15">
      <c r="A747" s="449" t="s">
        <v>85</v>
      </c>
      <c r="B747" s="799" t="s">
        <v>79</v>
      </c>
      <c r="C747" s="799" t="s">
        <v>80</v>
      </c>
      <c r="D747" s="799" t="s">
        <v>125</v>
      </c>
      <c r="E747" s="799" t="s">
        <v>240</v>
      </c>
      <c r="F747" s="799" t="s">
        <v>102</v>
      </c>
      <c r="G747" s="17">
        <v>221</v>
      </c>
      <c r="H747" s="49">
        <f t="shared" si="5"/>
        <v>0</v>
      </c>
    </row>
    <row r="748" spans="1:8" ht="14" x14ac:dyDescent="0.15">
      <c r="A748" s="449" t="s">
        <v>86</v>
      </c>
      <c r="B748" s="799" t="s">
        <v>79</v>
      </c>
      <c r="C748" s="799" t="s">
        <v>80</v>
      </c>
      <c r="D748" s="799" t="s">
        <v>125</v>
      </c>
      <c r="E748" s="799" t="s">
        <v>240</v>
      </c>
      <c r="F748" s="799" t="s">
        <v>102</v>
      </c>
      <c r="G748" s="17">
        <v>222</v>
      </c>
      <c r="H748" s="49">
        <f t="shared" si="5"/>
        <v>5258.6389999999992</v>
      </c>
    </row>
    <row r="749" spans="1:8" ht="14" x14ac:dyDescent="0.15">
      <c r="A749" s="449" t="s">
        <v>87</v>
      </c>
      <c r="B749" s="799" t="s">
        <v>79</v>
      </c>
      <c r="C749" s="799" t="s">
        <v>80</v>
      </c>
      <c r="D749" s="799" t="s">
        <v>125</v>
      </c>
      <c r="E749" s="799" t="s">
        <v>240</v>
      </c>
      <c r="F749" s="799" t="s">
        <v>102</v>
      </c>
      <c r="G749" s="17">
        <v>223</v>
      </c>
      <c r="H749" s="49">
        <f t="shared" si="5"/>
        <v>6770.0399999999991</v>
      </c>
    </row>
    <row r="750" spans="1:8" ht="14" x14ac:dyDescent="0.15">
      <c r="A750" s="449" t="s">
        <v>134</v>
      </c>
      <c r="B750" s="799" t="s">
        <v>79</v>
      </c>
      <c r="C750" s="799" t="s">
        <v>80</v>
      </c>
      <c r="D750" s="799" t="s">
        <v>125</v>
      </c>
      <c r="E750" s="799" t="s">
        <v>240</v>
      </c>
      <c r="F750" s="799" t="s">
        <v>102</v>
      </c>
      <c r="G750" s="17">
        <v>224</v>
      </c>
      <c r="H750" s="49">
        <f t="shared" si="5"/>
        <v>580</v>
      </c>
    </row>
    <row r="751" spans="1:8" ht="14" x14ac:dyDescent="0.15">
      <c r="A751" s="449" t="s">
        <v>90</v>
      </c>
      <c r="B751" s="799" t="s">
        <v>79</v>
      </c>
      <c r="C751" s="799" t="s">
        <v>80</v>
      </c>
      <c r="D751" s="799" t="s">
        <v>125</v>
      </c>
      <c r="E751" s="799" t="s">
        <v>240</v>
      </c>
      <c r="F751" s="799" t="s">
        <v>102</v>
      </c>
      <c r="G751" s="17">
        <v>225</v>
      </c>
      <c r="H751" s="49">
        <f t="shared" si="5"/>
        <v>12729.03</v>
      </c>
    </row>
    <row r="752" spans="1:8" ht="14" x14ac:dyDescent="0.15">
      <c r="A752" s="449" t="s">
        <v>91</v>
      </c>
      <c r="B752" s="799" t="s">
        <v>79</v>
      </c>
      <c r="C752" s="799" t="s">
        <v>80</v>
      </c>
      <c r="D752" s="799" t="s">
        <v>125</v>
      </c>
      <c r="E752" s="799" t="s">
        <v>240</v>
      </c>
      <c r="F752" s="799" t="s">
        <v>102</v>
      </c>
      <c r="G752" s="17">
        <v>226</v>
      </c>
      <c r="H752" s="49">
        <f t="shared" si="5"/>
        <v>10373.706999999999</v>
      </c>
    </row>
    <row r="753" spans="1:8" ht="14" x14ac:dyDescent="0.15">
      <c r="A753" s="11" t="s">
        <v>94</v>
      </c>
      <c r="B753" s="799" t="s">
        <v>79</v>
      </c>
      <c r="C753" s="799" t="s">
        <v>80</v>
      </c>
      <c r="D753" s="799" t="s">
        <v>125</v>
      </c>
      <c r="E753" s="799" t="s">
        <v>240</v>
      </c>
      <c r="F753" s="799" t="s">
        <v>102</v>
      </c>
      <c r="G753" s="17">
        <v>290</v>
      </c>
      <c r="H753" s="49">
        <f t="shared" si="5"/>
        <v>502.1</v>
      </c>
    </row>
    <row r="754" spans="1:8" ht="14" x14ac:dyDescent="0.15">
      <c r="A754" s="11" t="s">
        <v>94</v>
      </c>
      <c r="B754" s="799" t="s">
        <v>79</v>
      </c>
      <c r="C754" s="799" t="s">
        <v>80</v>
      </c>
      <c r="D754" s="799" t="s">
        <v>125</v>
      </c>
      <c r="E754" s="799" t="s">
        <v>238</v>
      </c>
      <c r="F754" s="799" t="s">
        <v>102</v>
      </c>
      <c r="G754" s="17" t="s">
        <v>95</v>
      </c>
      <c r="H754" s="49">
        <f t="shared" si="5"/>
        <v>13010.891000000001</v>
      </c>
    </row>
    <row r="755" spans="1:8" ht="14" x14ac:dyDescent="0.15">
      <c r="A755" s="449" t="s">
        <v>96</v>
      </c>
      <c r="B755" s="799" t="s">
        <v>79</v>
      </c>
      <c r="C755" s="799" t="s">
        <v>80</v>
      </c>
      <c r="D755" s="799" t="s">
        <v>125</v>
      </c>
      <c r="E755" s="799" t="s">
        <v>240</v>
      </c>
      <c r="F755" s="799" t="s">
        <v>102</v>
      </c>
      <c r="G755" s="17">
        <v>310</v>
      </c>
      <c r="H755" s="49">
        <f t="shared" si="5"/>
        <v>13458.079000000002</v>
      </c>
    </row>
    <row r="756" spans="1:8" ht="14" x14ac:dyDescent="0.15">
      <c r="A756" s="449" t="s">
        <v>97</v>
      </c>
      <c r="B756" s="799" t="s">
        <v>79</v>
      </c>
      <c r="C756" s="799" t="s">
        <v>80</v>
      </c>
      <c r="D756" s="799" t="s">
        <v>125</v>
      </c>
      <c r="E756" s="799" t="s">
        <v>240</v>
      </c>
      <c r="F756" s="799" t="s">
        <v>102</v>
      </c>
      <c r="G756" s="17">
        <v>340</v>
      </c>
      <c r="H756" s="49">
        <f t="shared" si="5"/>
        <v>3280.7540000000004</v>
      </c>
    </row>
    <row r="757" spans="1:8" ht="14" x14ac:dyDescent="0.15">
      <c r="A757" s="18" t="s">
        <v>98</v>
      </c>
      <c r="B757" s="19" t="s">
        <v>79</v>
      </c>
      <c r="C757" s="19" t="s">
        <v>80</v>
      </c>
      <c r="D757" s="19" t="s">
        <v>125</v>
      </c>
      <c r="E757" s="20" t="s">
        <v>239</v>
      </c>
      <c r="F757" s="20" t="s">
        <v>102</v>
      </c>
      <c r="G757" s="21"/>
      <c r="H757" s="798">
        <f>SUM(H744:H756)</f>
        <v>478983.88600000006</v>
      </c>
    </row>
    <row r="758" spans="1:8" ht="14" x14ac:dyDescent="0.15">
      <c r="A758" s="18"/>
      <c r="B758" s="19"/>
      <c r="C758" s="19"/>
      <c r="D758" s="19"/>
      <c r="E758" s="20"/>
      <c r="F758" s="20"/>
      <c r="G758" s="21"/>
      <c r="H758" s="50"/>
    </row>
    <row r="759" spans="1:8" ht="14" x14ac:dyDescent="0.15">
      <c r="A759" s="18"/>
      <c r="B759" s="19"/>
      <c r="C759" s="19"/>
      <c r="D759" s="19"/>
      <c r="E759" s="20"/>
      <c r="F759" s="20"/>
      <c r="G759" s="21"/>
      <c r="H759" s="50"/>
    </row>
    <row r="760" spans="1:8" ht="14" x14ac:dyDescent="0.15">
      <c r="A760" s="449" t="s">
        <v>103</v>
      </c>
      <c r="B760" s="799" t="s">
        <v>79</v>
      </c>
      <c r="C760" s="799" t="s">
        <v>80</v>
      </c>
      <c r="D760" s="799" t="s">
        <v>125</v>
      </c>
      <c r="E760" s="799">
        <v>4508501</v>
      </c>
      <c r="F760" s="799" t="s">
        <v>102</v>
      </c>
      <c r="G760" s="17" t="s">
        <v>163</v>
      </c>
      <c r="H760" s="49">
        <f>5.4</f>
        <v>5.4</v>
      </c>
    </row>
    <row r="761" spans="1:8" ht="14" x14ac:dyDescent="0.15">
      <c r="A761" s="449"/>
      <c r="B761" s="799"/>
      <c r="C761" s="799"/>
      <c r="D761" s="799"/>
      <c r="E761" s="799"/>
      <c r="F761" s="799"/>
      <c r="G761" s="17"/>
      <c r="H761" s="49"/>
    </row>
    <row r="762" spans="1:8" ht="14" x14ac:dyDescent="0.15">
      <c r="A762" s="449" t="s">
        <v>85</v>
      </c>
      <c r="B762" s="799" t="s">
        <v>79</v>
      </c>
      <c r="C762" s="799" t="s">
        <v>80</v>
      </c>
      <c r="D762" s="799" t="s">
        <v>125</v>
      </c>
      <c r="E762" s="799">
        <v>4508501</v>
      </c>
      <c r="F762" s="799" t="s">
        <v>102</v>
      </c>
      <c r="G762" s="17" t="s">
        <v>164</v>
      </c>
      <c r="H762" s="49"/>
    </row>
    <row r="763" spans="1:8" ht="14" x14ac:dyDescent="0.15">
      <c r="A763" s="449" t="s">
        <v>86</v>
      </c>
      <c r="B763" s="799" t="s">
        <v>79</v>
      </c>
      <c r="C763" s="799" t="s">
        <v>80</v>
      </c>
      <c r="D763" s="799" t="s">
        <v>125</v>
      </c>
      <c r="E763" s="799">
        <v>4508501</v>
      </c>
      <c r="F763" s="799" t="s">
        <v>102</v>
      </c>
      <c r="G763" s="17" t="s">
        <v>165</v>
      </c>
      <c r="H763" s="49">
        <f>113.36</f>
        <v>113.36</v>
      </c>
    </row>
    <row r="764" spans="1:8" ht="14" x14ac:dyDescent="0.15">
      <c r="A764" s="449"/>
      <c r="B764" s="799"/>
      <c r="C764" s="799"/>
      <c r="D764" s="799"/>
      <c r="E764" s="799"/>
      <c r="F764" s="799"/>
      <c r="G764" s="17"/>
      <c r="H764" s="49"/>
    </row>
    <row r="765" spans="1:8" ht="14" x14ac:dyDescent="0.15">
      <c r="A765" s="449" t="s">
        <v>134</v>
      </c>
      <c r="B765" s="799" t="s">
        <v>79</v>
      </c>
      <c r="C765" s="799" t="s">
        <v>80</v>
      </c>
      <c r="D765" s="799" t="s">
        <v>125</v>
      </c>
      <c r="E765" s="799">
        <v>4508501</v>
      </c>
      <c r="F765" s="799" t="s">
        <v>102</v>
      </c>
      <c r="G765" s="17" t="s">
        <v>166</v>
      </c>
      <c r="H765" s="49"/>
    </row>
    <row r="766" spans="1:8" ht="14" x14ac:dyDescent="0.15">
      <c r="A766" s="449"/>
      <c r="B766" s="799"/>
      <c r="C766" s="799"/>
      <c r="D766" s="799"/>
      <c r="E766" s="799"/>
      <c r="F766" s="799"/>
      <c r="G766" s="17" t="s">
        <v>167</v>
      </c>
      <c r="H766" s="49"/>
    </row>
    <row r="767" spans="1:8" ht="14" x14ac:dyDescent="0.15">
      <c r="A767" s="18" t="s">
        <v>168</v>
      </c>
      <c r="B767" s="799" t="s">
        <v>79</v>
      </c>
      <c r="C767" s="799" t="s">
        <v>80</v>
      </c>
      <c r="D767" s="799" t="s">
        <v>125</v>
      </c>
      <c r="E767" s="799" t="s">
        <v>169</v>
      </c>
      <c r="F767" s="799" t="s">
        <v>102</v>
      </c>
      <c r="G767" s="17">
        <v>226</v>
      </c>
      <c r="H767" s="49">
        <f>16250-162-464-110-110-200-1500+225+(58+364.4)-250-300-100</f>
        <v>13701.4</v>
      </c>
    </row>
    <row r="768" spans="1:8" ht="14" x14ac:dyDescent="0.15">
      <c r="A768" s="449"/>
      <c r="B768" s="799"/>
      <c r="C768" s="799"/>
      <c r="D768" s="799"/>
      <c r="E768" s="799"/>
      <c r="F768" s="799"/>
      <c r="G768" s="17"/>
      <c r="H768" s="49"/>
    </row>
    <row r="769" spans="1:8" ht="14" x14ac:dyDescent="0.15">
      <c r="A769" s="449"/>
      <c r="B769" s="799"/>
      <c r="C769" s="799"/>
      <c r="D769" s="799"/>
      <c r="E769" s="799"/>
      <c r="F769" s="799"/>
      <c r="G769" s="17" t="s">
        <v>95</v>
      </c>
      <c r="H769" s="49"/>
    </row>
    <row r="770" spans="1:8" ht="14" x14ac:dyDescent="0.15">
      <c r="A770" s="449"/>
      <c r="B770" s="799"/>
      <c r="C770" s="799"/>
      <c r="D770" s="799"/>
      <c r="E770" s="799"/>
      <c r="F770" s="799"/>
      <c r="G770" s="17" t="s">
        <v>170</v>
      </c>
      <c r="H770" s="49"/>
    </row>
    <row r="771" spans="1:8" ht="14" x14ac:dyDescent="0.15">
      <c r="A771" s="449" t="s">
        <v>97</v>
      </c>
      <c r="B771" s="799" t="s">
        <v>79</v>
      </c>
      <c r="C771" s="799" t="s">
        <v>80</v>
      </c>
      <c r="D771" s="799" t="s">
        <v>125</v>
      </c>
      <c r="E771" s="799">
        <v>4508501</v>
      </c>
      <c r="F771" s="799" t="s">
        <v>102</v>
      </c>
      <c r="G771" s="17" t="s">
        <v>171</v>
      </c>
      <c r="H771" s="49">
        <f>200</f>
        <v>200</v>
      </c>
    </row>
    <row r="772" spans="1:8" ht="14" x14ac:dyDescent="0.15">
      <c r="A772" s="18" t="s">
        <v>98</v>
      </c>
      <c r="B772" s="19" t="s">
        <v>79</v>
      </c>
      <c r="C772" s="19" t="s">
        <v>80</v>
      </c>
      <c r="D772" s="19" t="s">
        <v>125</v>
      </c>
      <c r="E772" s="19" t="s">
        <v>241</v>
      </c>
      <c r="F772" s="19" t="s">
        <v>102</v>
      </c>
      <c r="G772" s="21"/>
      <c r="H772" s="812">
        <f>SUM(H760:H771)</f>
        <v>14020.16</v>
      </c>
    </row>
    <row r="773" spans="1:8" ht="14" x14ac:dyDescent="0.15">
      <c r="A773" s="18" t="s">
        <v>43</v>
      </c>
      <c r="B773" s="799"/>
      <c r="C773" s="799"/>
      <c r="D773" s="799" t="s">
        <v>110</v>
      </c>
      <c r="E773" s="799"/>
      <c r="F773" s="799"/>
      <c r="G773" s="21"/>
      <c r="H773" s="50"/>
    </row>
    <row r="774" spans="1:8" ht="14" x14ac:dyDescent="0.15">
      <c r="A774" s="449" t="s">
        <v>78</v>
      </c>
      <c r="B774" s="799" t="s">
        <v>79</v>
      </c>
      <c r="C774" s="799" t="s">
        <v>80</v>
      </c>
      <c r="D774" s="799" t="s">
        <v>110</v>
      </c>
      <c r="E774" s="799" t="s">
        <v>174</v>
      </c>
      <c r="F774" s="799" t="s">
        <v>102</v>
      </c>
      <c r="G774" s="17">
        <v>211</v>
      </c>
      <c r="H774" s="264">
        <v>1008.3</v>
      </c>
    </row>
    <row r="775" spans="1:8" ht="14" x14ac:dyDescent="0.15">
      <c r="A775" s="449" t="s">
        <v>103</v>
      </c>
      <c r="B775" s="799" t="s">
        <v>79</v>
      </c>
      <c r="C775" s="799" t="s">
        <v>80</v>
      </c>
      <c r="D775" s="799" t="s">
        <v>110</v>
      </c>
      <c r="E775" s="799" t="s">
        <v>174</v>
      </c>
      <c r="F775" s="799" t="s">
        <v>102</v>
      </c>
      <c r="G775" s="17">
        <v>212</v>
      </c>
      <c r="H775" s="264"/>
    </row>
    <row r="776" spans="1:8" ht="14" x14ac:dyDescent="0.15">
      <c r="A776" s="449" t="s">
        <v>84</v>
      </c>
      <c r="B776" s="799" t="s">
        <v>79</v>
      </c>
      <c r="C776" s="799" t="s">
        <v>80</v>
      </c>
      <c r="D776" s="799" t="s">
        <v>110</v>
      </c>
      <c r="E776" s="799" t="s">
        <v>174</v>
      </c>
      <c r="F776" s="799" t="s">
        <v>102</v>
      </c>
      <c r="G776" s="17">
        <v>213</v>
      </c>
      <c r="H776" s="264">
        <f>304.5+3.31834</f>
        <v>307.81833999999998</v>
      </c>
    </row>
    <row r="777" spans="1:8" ht="14" x14ac:dyDescent="0.15">
      <c r="A777" s="449" t="s">
        <v>85</v>
      </c>
      <c r="B777" s="799" t="s">
        <v>79</v>
      </c>
      <c r="C777" s="799" t="s">
        <v>80</v>
      </c>
      <c r="D777" s="799" t="s">
        <v>110</v>
      </c>
      <c r="E777" s="799" t="s">
        <v>174</v>
      </c>
      <c r="F777" s="799" t="s">
        <v>102</v>
      </c>
      <c r="G777" s="17">
        <v>221</v>
      </c>
      <c r="H777" s="264">
        <f>16-3.31834</f>
        <v>12.681660000000001</v>
      </c>
    </row>
    <row r="778" spans="1:8" ht="14" x14ac:dyDescent="0.15">
      <c r="A778" s="449" t="s">
        <v>86</v>
      </c>
      <c r="B778" s="799" t="s">
        <v>79</v>
      </c>
      <c r="C778" s="799" t="s">
        <v>80</v>
      </c>
      <c r="D778" s="799" t="s">
        <v>110</v>
      </c>
      <c r="E778" s="799" t="s">
        <v>174</v>
      </c>
      <c r="F778" s="799" t="s">
        <v>102</v>
      </c>
      <c r="G778" s="17">
        <v>222</v>
      </c>
      <c r="H778" s="264">
        <f>90.6-65.23</f>
        <v>25.36999999999999</v>
      </c>
    </row>
    <row r="779" spans="1:8" ht="14" x14ac:dyDescent="0.15">
      <c r="A779" s="449" t="s">
        <v>87</v>
      </c>
      <c r="B779" s="799" t="s">
        <v>79</v>
      </c>
      <c r="C779" s="799" t="s">
        <v>80</v>
      </c>
      <c r="D779" s="799" t="s">
        <v>110</v>
      </c>
      <c r="E779" s="799" t="s">
        <v>174</v>
      </c>
      <c r="F779" s="799" t="s">
        <v>102</v>
      </c>
      <c r="G779" s="17">
        <v>223</v>
      </c>
      <c r="H779" s="264"/>
    </row>
    <row r="780" spans="1:8" ht="14" x14ac:dyDescent="0.15">
      <c r="A780" s="449" t="s">
        <v>134</v>
      </c>
      <c r="B780" s="799" t="s">
        <v>79</v>
      </c>
      <c r="C780" s="799" t="s">
        <v>80</v>
      </c>
      <c r="D780" s="799" t="s">
        <v>110</v>
      </c>
      <c r="E780" s="799" t="s">
        <v>174</v>
      </c>
      <c r="F780" s="799" t="s">
        <v>102</v>
      </c>
      <c r="G780" s="17">
        <v>224</v>
      </c>
      <c r="H780" s="264"/>
    </row>
    <row r="781" spans="1:8" ht="14" x14ac:dyDescent="0.15">
      <c r="A781" s="449" t="s">
        <v>90</v>
      </c>
      <c r="B781" s="799" t="s">
        <v>79</v>
      </c>
      <c r="C781" s="799" t="s">
        <v>80</v>
      </c>
      <c r="D781" s="799" t="s">
        <v>110</v>
      </c>
      <c r="E781" s="799" t="s">
        <v>174</v>
      </c>
      <c r="F781" s="799" t="s">
        <v>102</v>
      </c>
      <c r="G781" s="17">
        <v>225</v>
      </c>
      <c r="H781" s="264">
        <v>9502.5</v>
      </c>
    </row>
    <row r="782" spans="1:8" ht="14" x14ac:dyDescent="0.15">
      <c r="A782" s="449" t="s">
        <v>91</v>
      </c>
      <c r="B782" s="799" t="s">
        <v>79</v>
      </c>
      <c r="C782" s="799" t="s">
        <v>80</v>
      </c>
      <c r="D782" s="799" t="s">
        <v>110</v>
      </c>
      <c r="E782" s="799" t="s">
        <v>174</v>
      </c>
      <c r="F782" s="799" t="s">
        <v>102</v>
      </c>
      <c r="G782" s="17">
        <v>226</v>
      </c>
      <c r="H782" s="264">
        <v>473</v>
      </c>
    </row>
    <row r="783" spans="1:8" ht="14" x14ac:dyDescent="0.15">
      <c r="A783" s="11" t="s">
        <v>94</v>
      </c>
      <c r="B783" s="799" t="s">
        <v>79</v>
      </c>
      <c r="C783" s="799" t="s">
        <v>80</v>
      </c>
      <c r="D783" s="799" t="s">
        <v>110</v>
      </c>
      <c r="E783" s="799" t="s">
        <v>174</v>
      </c>
      <c r="F783" s="799" t="s">
        <v>102</v>
      </c>
      <c r="G783" s="17">
        <v>290</v>
      </c>
      <c r="H783" s="264">
        <v>2.5</v>
      </c>
    </row>
    <row r="784" spans="1:8" ht="14" x14ac:dyDescent="0.15">
      <c r="A784" s="11" t="s">
        <v>94</v>
      </c>
      <c r="B784" s="799" t="s">
        <v>79</v>
      </c>
      <c r="C784" s="799" t="s">
        <v>80</v>
      </c>
      <c r="D784" s="799" t="s">
        <v>110</v>
      </c>
      <c r="E784" s="799" t="s">
        <v>242</v>
      </c>
      <c r="F784" s="799" t="s">
        <v>102</v>
      </c>
      <c r="G784" s="17" t="s">
        <v>95</v>
      </c>
      <c r="H784" s="264">
        <v>1.9</v>
      </c>
    </row>
    <row r="785" spans="1:8" ht="14" x14ac:dyDescent="0.15">
      <c r="A785" s="449" t="s">
        <v>96</v>
      </c>
      <c r="B785" s="799" t="s">
        <v>79</v>
      </c>
      <c r="C785" s="799" t="s">
        <v>80</v>
      </c>
      <c r="D785" s="799" t="s">
        <v>110</v>
      </c>
      <c r="E785" s="799" t="s">
        <v>174</v>
      </c>
      <c r="F785" s="799" t="s">
        <v>102</v>
      </c>
      <c r="G785" s="17">
        <v>310</v>
      </c>
      <c r="H785" s="264"/>
    </row>
    <row r="786" spans="1:8" ht="14" x14ac:dyDescent="0.15">
      <c r="A786" s="449" t="s">
        <v>97</v>
      </c>
      <c r="B786" s="799" t="s">
        <v>79</v>
      </c>
      <c r="C786" s="799" t="s">
        <v>80</v>
      </c>
      <c r="D786" s="799" t="s">
        <v>110</v>
      </c>
      <c r="E786" s="799" t="s">
        <v>174</v>
      </c>
      <c r="F786" s="799" t="s">
        <v>102</v>
      </c>
      <c r="G786" s="17">
        <v>340</v>
      </c>
      <c r="H786" s="264">
        <f>50+65.23</f>
        <v>115.23</v>
      </c>
    </row>
    <row r="787" spans="1:8" ht="14" x14ac:dyDescent="0.15">
      <c r="A787" s="48" t="s">
        <v>98</v>
      </c>
      <c r="B787" s="20" t="s">
        <v>79</v>
      </c>
      <c r="C787" s="20" t="s">
        <v>80</v>
      </c>
      <c r="D787" s="799" t="s">
        <v>110</v>
      </c>
      <c r="E787" s="20" t="s">
        <v>243</v>
      </c>
      <c r="F787" s="20" t="s">
        <v>102</v>
      </c>
      <c r="G787" s="67"/>
      <c r="H787" s="798">
        <f>SUM(H774:H786)</f>
        <v>11449.3</v>
      </c>
    </row>
    <row r="788" spans="1:8" ht="14" x14ac:dyDescent="0.15">
      <c r="A788" s="18" t="s">
        <v>177</v>
      </c>
      <c r="B788" s="799"/>
      <c r="C788" s="799"/>
      <c r="D788" s="799"/>
      <c r="E788" s="19"/>
      <c r="F788" s="19"/>
      <c r="G788" s="21"/>
      <c r="H788" s="50">
        <f>H786+H785+H781+H782+H778</f>
        <v>10116.1</v>
      </c>
    </row>
    <row r="789" spans="1:8" ht="14" x14ac:dyDescent="0.15">
      <c r="A789" s="449" t="s">
        <v>78</v>
      </c>
      <c r="B789" s="799" t="s">
        <v>79</v>
      </c>
      <c r="C789" s="799" t="s">
        <v>80</v>
      </c>
      <c r="D789" s="799" t="s">
        <v>125</v>
      </c>
      <c r="E789" s="799"/>
      <c r="F789" s="799"/>
      <c r="G789" s="17">
        <v>211</v>
      </c>
      <c r="H789" s="264">
        <f>H744+H384+H309+H219+H204+H759</f>
        <v>432182.15500000003</v>
      </c>
    </row>
    <row r="790" spans="1:8" ht="14" x14ac:dyDescent="0.15">
      <c r="A790" s="449" t="s">
        <v>83</v>
      </c>
      <c r="B790" s="799" t="s">
        <v>79</v>
      </c>
      <c r="C790" s="799" t="s">
        <v>80</v>
      </c>
      <c r="D790" s="799" t="s">
        <v>125</v>
      </c>
      <c r="E790" s="799"/>
      <c r="F790" s="799"/>
      <c r="G790" s="17">
        <v>212</v>
      </c>
      <c r="H790" s="264">
        <f t="shared" ref="H790:H800" si="6">H745+H385+H310+H220+H205+H760</f>
        <v>575.80000000000007</v>
      </c>
    </row>
    <row r="791" spans="1:8" ht="14" x14ac:dyDescent="0.15">
      <c r="A791" s="449" t="s">
        <v>84</v>
      </c>
      <c r="B791" s="799" t="s">
        <v>79</v>
      </c>
      <c r="C791" s="799" t="s">
        <v>80</v>
      </c>
      <c r="D791" s="799" t="s">
        <v>125</v>
      </c>
      <c r="E791" s="799"/>
      <c r="F791" s="799"/>
      <c r="G791" s="17">
        <v>213</v>
      </c>
      <c r="H791" s="264">
        <f t="shared" si="6"/>
        <v>129220.67499999999</v>
      </c>
    </row>
    <row r="792" spans="1:8" ht="14" x14ac:dyDescent="0.15">
      <c r="A792" s="449" t="s">
        <v>85</v>
      </c>
      <c r="B792" s="799" t="s">
        <v>79</v>
      </c>
      <c r="C792" s="799" t="s">
        <v>80</v>
      </c>
      <c r="D792" s="799" t="s">
        <v>125</v>
      </c>
      <c r="E792" s="799"/>
      <c r="F792" s="799"/>
      <c r="G792" s="17">
        <v>221</v>
      </c>
      <c r="H792" s="264">
        <f t="shared" si="6"/>
        <v>445.363</v>
      </c>
    </row>
    <row r="793" spans="1:8" ht="14" x14ac:dyDescent="0.15">
      <c r="A793" s="449" t="s">
        <v>86</v>
      </c>
      <c r="B793" s="799" t="s">
        <v>79</v>
      </c>
      <c r="C793" s="799" t="s">
        <v>80</v>
      </c>
      <c r="D793" s="799" t="s">
        <v>125</v>
      </c>
      <c r="E793" s="799"/>
      <c r="F793" s="799"/>
      <c r="G793" s="17">
        <v>222</v>
      </c>
      <c r="H793" s="264">
        <f t="shared" si="6"/>
        <v>6876.8419999999987</v>
      </c>
    </row>
    <row r="794" spans="1:8" ht="14" x14ac:dyDescent="0.15">
      <c r="A794" s="449" t="s">
        <v>87</v>
      </c>
      <c r="B794" s="799" t="s">
        <v>79</v>
      </c>
      <c r="C794" s="799" t="s">
        <v>80</v>
      </c>
      <c r="D794" s="799" t="s">
        <v>125</v>
      </c>
      <c r="E794" s="799"/>
      <c r="F794" s="799"/>
      <c r="G794" s="17">
        <v>223</v>
      </c>
      <c r="H794" s="264">
        <f t="shared" si="6"/>
        <v>11202.821</v>
      </c>
    </row>
    <row r="795" spans="1:8" ht="14" x14ac:dyDescent="0.15">
      <c r="A795" s="449" t="s">
        <v>134</v>
      </c>
      <c r="B795" s="799" t="s">
        <v>79</v>
      </c>
      <c r="C795" s="799" t="s">
        <v>80</v>
      </c>
      <c r="D795" s="799" t="s">
        <v>125</v>
      </c>
      <c r="E795" s="799"/>
      <c r="F795" s="799"/>
      <c r="G795" s="17">
        <v>224</v>
      </c>
      <c r="H795" s="264">
        <f t="shared" si="6"/>
        <v>1200</v>
      </c>
    </row>
    <row r="796" spans="1:8" ht="14" x14ac:dyDescent="0.15">
      <c r="A796" s="449" t="s">
        <v>90</v>
      </c>
      <c r="B796" s="799" t="s">
        <v>79</v>
      </c>
      <c r="C796" s="799" t="s">
        <v>80</v>
      </c>
      <c r="D796" s="799" t="s">
        <v>125</v>
      </c>
      <c r="E796" s="799"/>
      <c r="F796" s="799"/>
      <c r="G796" s="17">
        <v>225</v>
      </c>
      <c r="H796" s="264">
        <f t="shared" si="6"/>
        <v>40476.631000000001</v>
      </c>
    </row>
    <row r="797" spans="1:8" ht="14" x14ac:dyDescent="0.15">
      <c r="A797" s="449" t="s">
        <v>91</v>
      </c>
      <c r="B797" s="799" t="s">
        <v>79</v>
      </c>
      <c r="C797" s="799" t="s">
        <v>80</v>
      </c>
      <c r="D797" s="799" t="s">
        <v>125</v>
      </c>
      <c r="E797" s="799"/>
      <c r="F797" s="799"/>
      <c r="G797" s="17">
        <v>226</v>
      </c>
      <c r="H797" s="264">
        <f>H752+H392+H317+H227+H212+H767</f>
        <v>49930.503999999994</v>
      </c>
    </row>
    <row r="798" spans="1:8" ht="14" x14ac:dyDescent="0.15">
      <c r="A798" s="11" t="s">
        <v>94</v>
      </c>
      <c r="B798" s="799" t="s">
        <v>79</v>
      </c>
      <c r="C798" s="799" t="s">
        <v>80</v>
      </c>
      <c r="D798" s="799" t="s">
        <v>125</v>
      </c>
      <c r="E798" s="799"/>
      <c r="F798" s="799"/>
      <c r="G798" s="17">
        <v>290</v>
      </c>
      <c r="H798" s="264">
        <f>H753+H393+H318+H228+H213+H768</f>
        <v>744.19999999999993</v>
      </c>
    </row>
    <row r="799" spans="1:8" ht="14" x14ac:dyDescent="0.15">
      <c r="A799" s="11" t="s">
        <v>94</v>
      </c>
      <c r="B799" s="799" t="s">
        <v>79</v>
      </c>
      <c r="C799" s="799" t="s">
        <v>80</v>
      </c>
      <c r="D799" s="799" t="s">
        <v>125</v>
      </c>
      <c r="E799" s="799"/>
      <c r="F799" s="799"/>
      <c r="G799" s="17" t="s">
        <v>95</v>
      </c>
      <c r="H799" s="264">
        <f>H754+H394+H319+H229+H214+H769</f>
        <v>16875.738999999998</v>
      </c>
    </row>
    <row r="800" spans="1:8" ht="14" x14ac:dyDescent="0.15">
      <c r="A800" s="449" t="s">
        <v>96</v>
      </c>
      <c r="B800" s="799" t="s">
        <v>79</v>
      </c>
      <c r="C800" s="799" t="s">
        <v>80</v>
      </c>
      <c r="D800" s="799" t="s">
        <v>125</v>
      </c>
      <c r="E800" s="799"/>
      <c r="F800" s="799"/>
      <c r="G800" s="17">
        <v>310</v>
      </c>
      <c r="H800" s="264">
        <f t="shared" si="6"/>
        <v>16507.873</v>
      </c>
    </row>
    <row r="801" spans="1:8" ht="14" x14ac:dyDescent="0.15">
      <c r="A801" s="449" t="s">
        <v>97</v>
      </c>
      <c r="B801" s="799" t="s">
        <v>79</v>
      </c>
      <c r="C801" s="799" t="s">
        <v>80</v>
      </c>
      <c r="D801" s="799" t="s">
        <v>125</v>
      </c>
      <c r="E801" s="799"/>
      <c r="F801" s="799"/>
      <c r="G801" s="17">
        <v>340</v>
      </c>
      <c r="H801" s="264">
        <f>H756+H396+H321+H231+H216+H771</f>
        <v>5416.4080000000004</v>
      </c>
    </row>
    <row r="802" spans="1:8" ht="14" x14ac:dyDescent="0.15">
      <c r="A802" s="18" t="s">
        <v>98</v>
      </c>
      <c r="B802" s="799" t="s">
        <v>79</v>
      </c>
      <c r="C802" s="799" t="s">
        <v>80</v>
      </c>
      <c r="D802" s="799" t="s">
        <v>125</v>
      </c>
      <c r="E802" s="19"/>
      <c r="F802" s="19"/>
      <c r="G802" s="21"/>
      <c r="H802" s="32">
        <f>SUM(H789:H801)</f>
        <v>711655.01099999994</v>
      </c>
    </row>
    <row r="803" spans="1:8" ht="14" x14ac:dyDescent="0.15">
      <c r="A803" s="3075" t="s">
        <v>244</v>
      </c>
      <c r="B803" s="801" t="s">
        <v>79</v>
      </c>
      <c r="C803" s="801" t="s">
        <v>80</v>
      </c>
      <c r="D803" s="801" t="s">
        <v>125</v>
      </c>
      <c r="E803" s="79" t="s">
        <v>245</v>
      </c>
      <c r="F803" s="80" t="s">
        <v>102</v>
      </c>
      <c r="G803" s="80" t="s">
        <v>198</v>
      </c>
      <c r="H803" s="813">
        <v>8810.7999999999993</v>
      </c>
    </row>
    <row r="804" spans="1:8" ht="14" x14ac:dyDescent="0.15">
      <c r="A804" s="3085"/>
      <c r="B804" s="801" t="s">
        <v>79</v>
      </c>
      <c r="C804" s="801" t="s">
        <v>80</v>
      </c>
      <c r="D804" s="801" t="s">
        <v>125</v>
      </c>
      <c r="E804" s="79" t="s">
        <v>245</v>
      </c>
      <c r="F804" s="80" t="s">
        <v>102</v>
      </c>
      <c r="G804" s="80" t="s">
        <v>167</v>
      </c>
      <c r="H804" s="813">
        <v>800</v>
      </c>
    </row>
    <row r="805" spans="1:8" ht="14" x14ac:dyDescent="0.15">
      <c r="A805" s="3076"/>
      <c r="B805" s="801" t="s">
        <v>79</v>
      </c>
      <c r="C805" s="801" t="s">
        <v>80</v>
      </c>
      <c r="D805" s="801" t="s">
        <v>125</v>
      </c>
      <c r="E805" s="79" t="s">
        <v>245</v>
      </c>
      <c r="F805" s="80" t="s">
        <v>102</v>
      </c>
      <c r="G805" s="80" t="s">
        <v>170</v>
      </c>
      <c r="H805" s="813">
        <v>200</v>
      </c>
    </row>
    <row r="806" spans="1:8" ht="33" customHeight="1" x14ac:dyDescent="0.15">
      <c r="A806" s="3075" t="s">
        <v>246</v>
      </c>
      <c r="B806" s="801" t="s">
        <v>79</v>
      </c>
      <c r="C806" s="801" t="s">
        <v>80</v>
      </c>
      <c r="D806" s="801" t="s">
        <v>110</v>
      </c>
      <c r="E806" s="79" t="s">
        <v>247</v>
      </c>
      <c r="F806" s="80" t="s">
        <v>82</v>
      </c>
      <c r="G806" s="80" t="s">
        <v>198</v>
      </c>
      <c r="H806" s="813">
        <f>6280-1500</f>
        <v>4780</v>
      </c>
    </row>
    <row r="807" spans="1:8" ht="33" customHeight="1" x14ac:dyDescent="0.15">
      <c r="A807" s="3076"/>
      <c r="B807" s="801" t="s">
        <v>79</v>
      </c>
      <c r="C807" s="801" t="s">
        <v>80</v>
      </c>
      <c r="D807" s="801" t="s">
        <v>110</v>
      </c>
      <c r="E807" s="79" t="s">
        <v>247</v>
      </c>
      <c r="F807" s="80" t="s">
        <v>82</v>
      </c>
      <c r="G807" s="80" t="s">
        <v>167</v>
      </c>
      <c r="H807" s="813">
        <v>1500</v>
      </c>
    </row>
    <row r="808" spans="1:8" ht="52" x14ac:dyDescent="0.15">
      <c r="A808" s="78" t="s">
        <v>248</v>
      </c>
      <c r="B808" s="801" t="s">
        <v>79</v>
      </c>
      <c r="C808" s="801" t="s">
        <v>125</v>
      </c>
      <c r="D808" s="801" t="s">
        <v>249</v>
      </c>
      <c r="E808" s="79" t="s">
        <v>205</v>
      </c>
      <c r="F808" s="80" t="s">
        <v>82</v>
      </c>
      <c r="G808" s="80"/>
      <c r="H808" s="813">
        <v>3908</v>
      </c>
    </row>
    <row r="809" spans="1:8" ht="14" x14ac:dyDescent="0.15">
      <c r="A809" s="451"/>
      <c r="B809" s="801" t="s">
        <v>79</v>
      </c>
      <c r="C809" s="801" t="s">
        <v>195</v>
      </c>
      <c r="D809" s="801" t="s">
        <v>196</v>
      </c>
      <c r="E809" s="802" t="s">
        <v>197</v>
      </c>
      <c r="F809" s="802" t="s">
        <v>82</v>
      </c>
      <c r="G809" s="80" t="s">
        <v>167</v>
      </c>
      <c r="H809" s="813">
        <f>3770+1330</f>
        <v>5100</v>
      </c>
    </row>
    <row r="810" spans="1:8" ht="14" x14ac:dyDescent="0.15">
      <c r="A810" s="3075" t="s">
        <v>250</v>
      </c>
      <c r="B810" s="801" t="s">
        <v>79</v>
      </c>
      <c r="C810" s="801" t="s">
        <v>195</v>
      </c>
      <c r="D810" s="801" t="s">
        <v>196</v>
      </c>
      <c r="E810" s="802" t="s">
        <v>197</v>
      </c>
      <c r="F810" s="802" t="s">
        <v>82</v>
      </c>
      <c r="G810" s="80" t="s">
        <v>198</v>
      </c>
      <c r="H810" s="813">
        <f>22086-5705-1330</f>
        <v>15051</v>
      </c>
    </row>
    <row r="811" spans="1:8" ht="14" x14ac:dyDescent="0.15">
      <c r="A811" s="3076"/>
      <c r="B811" s="801" t="s">
        <v>79</v>
      </c>
      <c r="C811" s="801" t="s">
        <v>195</v>
      </c>
      <c r="D811" s="801" t="s">
        <v>196</v>
      </c>
      <c r="E811" s="802" t="s">
        <v>197</v>
      </c>
      <c r="F811" s="802" t="s">
        <v>82</v>
      </c>
      <c r="G811" s="80" t="s">
        <v>170</v>
      </c>
      <c r="H811" s="813">
        <v>1935</v>
      </c>
    </row>
    <row r="812" spans="1:8" ht="39" x14ac:dyDescent="0.15">
      <c r="A812" s="78" t="s">
        <v>622</v>
      </c>
      <c r="B812" s="801" t="s">
        <v>79</v>
      </c>
      <c r="C812" s="801" t="s">
        <v>125</v>
      </c>
      <c r="D812" s="801" t="s">
        <v>249</v>
      </c>
      <c r="E812" s="802" t="s">
        <v>266</v>
      </c>
      <c r="F812" s="803" t="s">
        <v>82</v>
      </c>
      <c r="G812" s="80" t="s">
        <v>170</v>
      </c>
      <c r="H812" s="813">
        <v>150</v>
      </c>
    </row>
    <row r="813" spans="1:8" ht="14" x14ac:dyDescent="0.15">
      <c r="A813" s="18" t="s">
        <v>178</v>
      </c>
      <c r="B813" s="19" t="s">
        <v>79</v>
      </c>
      <c r="C813" s="19" t="s">
        <v>196</v>
      </c>
      <c r="D813" s="19" t="s">
        <v>110</v>
      </c>
      <c r="E813" s="19" t="s">
        <v>179</v>
      </c>
      <c r="F813" s="21" t="s">
        <v>268</v>
      </c>
      <c r="G813" s="21">
        <v>262</v>
      </c>
      <c r="H813" s="814">
        <f>443</f>
        <v>443</v>
      </c>
    </row>
    <row r="814" spans="1:8" ht="14" x14ac:dyDescent="0.15">
      <c r="A814" s="449" t="s">
        <v>181</v>
      </c>
      <c r="B814" s="799" t="s">
        <v>79</v>
      </c>
      <c r="C814" s="799" t="s">
        <v>80</v>
      </c>
      <c r="D814" s="799" t="s">
        <v>110</v>
      </c>
      <c r="E814" s="799" t="s">
        <v>182</v>
      </c>
      <c r="F814" s="799" t="s">
        <v>183</v>
      </c>
      <c r="G814" s="17" t="s">
        <v>184</v>
      </c>
      <c r="H814" s="446">
        <v>3963</v>
      </c>
    </row>
    <row r="815" spans="1:8" ht="14" x14ac:dyDescent="0.15">
      <c r="A815" s="449" t="s">
        <v>185</v>
      </c>
      <c r="B815" s="799" t="s">
        <v>79</v>
      </c>
      <c r="C815" s="799" t="s">
        <v>80</v>
      </c>
      <c r="D815" s="799" t="s">
        <v>110</v>
      </c>
      <c r="E815" s="799" t="s">
        <v>182</v>
      </c>
      <c r="F815" s="799" t="s">
        <v>183</v>
      </c>
      <c r="G815" s="17">
        <v>242</v>
      </c>
      <c r="H815" s="446">
        <v>769.1</v>
      </c>
    </row>
    <row r="816" spans="1:8" ht="14" x14ac:dyDescent="0.15">
      <c r="A816" s="449" t="s">
        <v>186</v>
      </c>
      <c r="B816" s="799" t="s">
        <v>79</v>
      </c>
      <c r="C816" s="799" t="s">
        <v>80</v>
      </c>
      <c r="D816" s="799" t="s">
        <v>110</v>
      </c>
      <c r="E816" s="799" t="s">
        <v>182</v>
      </c>
      <c r="F816" s="799" t="s">
        <v>183</v>
      </c>
      <c r="G816" s="17">
        <v>242</v>
      </c>
      <c r="H816" s="446">
        <v>723.9</v>
      </c>
    </row>
    <row r="817" spans="1:8" ht="14" x14ac:dyDescent="0.15">
      <c r="A817" s="449" t="s">
        <v>187</v>
      </c>
      <c r="B817" s="799" t="s">
        <v>79</v>
      </c>
      <c r="C817" s="799" t="s">
        <v>80</v>
      </c>
      <c r="D817" s="799" t="s">
        <v>110</v>
      </c>
      <c r="E817" s="799" t="s">
        <v>182</v>
      </c>
      <c r="F817" s="799" t="s">
        <v>183</v>
      </c>
      <c r="G817" s="17">
        <v>242</v>
      </c>
      <c r="H817" s="446">
        <v>580.9</v>
      </c>
    </row>
    <row r="818" spans="1:8" ht="14" x14ac:dyDescent="0.15">
      <c r="A818" s="449" t="s">
        <v>188</v>
      </c>
      <c r="B818" s="799" t="s">
        <v>79</v>
      </c>
      <c r="C818" s="799" t="s">
        <v>80</v>
      </c>
      <c r="D818" s="799" t="s">
        <v>110</v>
      </c>
      <c r="E818" s="799" t="s">
        <v>182</v>
      </c>
      <c r="F818" s="799" t="s">
        <v>183</v>
      </c>
      <c r="G818" s="17">
        <v>242</v>
      </c>
      <c r="H818" s="446">
        <f>297.3+100</f>
        <v>397.3</v>
      </c>
    </row>
    <row r="819" spans="1:8" ht="14" x14ac:dyDescent="0.15">
      <c r="A819" s="449" t="s">
        <v>189</v>
      </c>
      <c r="B819" s="799" t="s">
        <v>79</v>
      </c>
      <c r="C819" s="799" t="s">
        <v>80</v>
      </c>
      <c r="D819" s="799" t="s">
        <v>110</v>
      </c>
      <c r="E819" s="799" t="s">
        <v>182</v>
      </c>
      <c r="F819" s="799" t="s">
        <v>183</v>
      </c>
      <c r="G819" s="17">
        <v>242</v>
      </c>
      <c r="H819" s="446">
        <v>278.60000000000002</v>
      </c>
    </row>
    <row r="820" spans="1:8" ht="14" x14ac:dyDescent="0.15">
      <c r="A820" s="449" t="s">
        <v>190</v>
      </c>
      <c r="B820" s="799" t="s">
        <v>79</v>
      </c>
      <c r="C820" s="799" t="s">
        <v>80</v>
      </c>
      <c r="D820" s="799" t="s">
        <v>110</v>
      </c>
      <c r="E820" s="799" t="s">
        <v>182</v>
      </c>
      <c r="F820" s="799" t="s">
        <v>183</v>
      </c>
      <c r="G820" s="17">
        <v>242</v>
      </c>
      <c r="H820" s="446">
        <f>775.5+2000+162</f>
        <v>2937.5</v>
      </c>
    </row>
    <row r="821" spans="1:8" ht="14" x14ac:dyDescent="0.15">
      <c r="A821" s="449" t="s">
        <v>191</v>
      </c>
      <c r="B821" s="799" t="s">
        <v>79</v>
      </c>
      <c r="C821" s="799" t="s">
        <v>80</v>
      </c>
      <c r="D821" s="799" t="s">
        <v>110</v>
      </c>
      <c r="E821" s="799" t="s">
        <v>182</v>
      </c>
      <c r="F821" s="799" t="s">
        <v>183</v>
      </c>
      <c r="G821" s="17">
        <v>242</v>
      </c>
      <c r="H821" s="446">
        <v>871</v>
      </c>
    </row>
    <row r="822" spans="1:8" ht="14" x14ac:dyDescent="0.15">
      <c r="A822" s="449" t="s">
        <v>192</v>
      </c>
      <c r="B822" s="799" t="s">
        <v>79</v>
      </c>
      <c r="C822" s="799" t="s">
        <v>80</v>
      </c>
      <c r="D822" s="799" t="s">
        <v>110</v>
      </c>
      <c r="E822" s="799" t="s">
        <v>182</v>
      </c>
      <c r="F822" s="799" t="s">
        <v>183</v>
      </c>
      <c r="G822" s="17">
        <v>242</v>
      </c>
      <c r="H822" s="446">
        <v>278.10000000000002</v>
      </c>
    </row>
    <row r="823" spans="1:8" ht="14" x14ac:dyDescent="0.15">
      <c r="A823" s="449" t="s">
        <v>193</v>
      </c>
      <c r="B823" s="799" t="s">
        <v>79</v>
      </c>
      <c r="C823" s="799" t="s">
        <v>80</v>
      </c>
      <c r="D823" s="799" t="s">
        <v>110</v>
      </c>
      <c r="E823" s="799" t="s">
        <v>182</v>
      </c>
      <c r="F823" s="799" t="s">
        <v>183</v>
      </c>
      <c r="G823" s="17">
        <v>242</v>
      </c>
      <c r="H823" s="446">
        <v>310</v>
      </c>
    </row>
    <row r="824" spans="1:8" ht="14" x14ac:dyDescent="0.15">
      <c r="A824" s="18" t="s">
        <v>194</v>
      </c>
      <c r="B824" s="19" t="s">
        <v>79</v>
      </c>
      <c r="C824" s="19" t="s">
        <v>80</v>
      </c>
      <c r="D824" s="799" t="s">
        <v>110</v>
      </c>
      <c r="E824" s="20" t="s">
        <v>182</v>
      </c>
      <c r="F824" s="20" t="s">
        <v>183</v>
      </c>
      <c r="G824" s="21">
        <v>242</v>
      </c>
      <c r="H824" s="815">
        <f>SUM(H814:H823)</f>
        <v>11109.4</v>
      </c>
    </row>
    <row r="825" spans="1:8" ht="14" x14ac:dyDescent="0.15">
      <c r="A825" s="452" t="s">
        <v>755</v>
      </c>
      <c r="B825" s="799"/>
      <c r="C825" s="799"/>
      <c r="D825" s="799"/>
      <c r="E825" s="799"/>
      <c r="F825" s="799" t="s">
        <v>756</v>
      </c>
      <c r="G825" s="17"/>
      <c r="H825" s="453"/>
    </row>
    <row r="826" spans="1:8" ht="14" x14ac:dyDescent="0.15">
      <c r="A826" s="449" t="s">
        <v>78</v>
      </c>
      <c r="B826" s="799" t="s">
        <v>79</v>
      </c>
      <c r="C826" s="799" t="s">
        <v>80</v>
      </c>
      <c r="D826" s="799" t="s">
        <v>125</v>
      </c>
      <c r="E826" s="799" t="s">
        <v>202</v>
      </c>
      <c r="F826" s="799" t="s">
        <v>82</v>
      </c>
      <c r="G826" s="17" t="s">
        <v>203</v>
      </c>
      <c r="H826" s="93">
        <v>1604.6</v>
      </c>
    </row>
    <row r="827" spans="1:8" ht="14" x14ac:dyDescent="0.15">
      <c r="A827" s="449" t="s">
        <v>83</v>
      </c>
      <c r="B827" s="799" t="s">
        <v>79</v>
      </c>
      <c r="C827" s="799" t="s">
        <v>80</v>
      </c>
      <c r="D827" s="799" t="s">
        <v>125</v>
      </c>
      <c r="E827" s="799" t="s">
        <v>202</v>
      </c>
      <c r="F827" s="799" t="s">
        <v>82</v>
      </c>
      <c r="G827" s="17" t="s">
        <v>163</v>
      </c>
      <c r="H827" s="93">
        <f>10+2.8</f>
        <v>12.8</v>
      </c>
    </row>
    <row r="828" spans="1:8" ht="14" x14ac:dyDescent="0.15">
      <c r="A828" s="449" t="s">
        <v>84</v>
      </c>
      <c r="B828" s="799" t="s">
        <v>79</v>
      </c>
      <c r="C828" s="799" t="s">
        <v>80</v>
      </c>
      <c r="D828" s="799" t="s">
        <v>125</v>
      </c>
      <c r="E828" s="799" t="s">
        <v>202</v>
      </c>
      <c r="F828" s="799" t="s">
        <v>82</v>
      </c>
      <c r="G828" s="17" t="s">
        <v>204</v>
      </c>
      <c r="H828" s="93">
        <v>484.6</v>
      </c>
    </row>
    <row r="829" spans="1:8" ht="14" x14ac:dyDescent="0.15">
      <c r="A829" s="449" t="s">
        <v>86</v>
      </c>
      <c r="B829" s="799" t="s">
        <v>79</v>
      </c>
      <c r="C829" s="799" t="s">
        <v>80</v>
      </c>
      <c r="D829" s="799" t="s">
        <v>125</v>
      </c>
      <c r="E829" s="799" t="s">
        <v>202</v>
      </c>
      <c r="F829" s="799" t="s">
        <v>82</v>
      </c>
      <c r="G829" s="17" t="s">
        <v>165</v>
      </c>
      <c r="H829" s="93">
        <f>100-79.609</f>
        <v>20.391000000000005</v>
      </c>
    </row>
    <row r="830" spans="1:8" ht="14" x14ac:dyDescent="0.15">
      <c r="A830" s="449" t="s">
        <v>90</v>
      </c>
      <c r="B830" s="799" t="s">
        <v>79</v>
      </c>
      <c r="C830" s="799" t="s">
        <v>80</v>
      </c>
      <c r="D830" s="799" t="s">
        <v>125</v>
      </c>
      <c r="E830" s="799" t="s">
        <v>202</v>
      </c>
      <c r="F830" s="799" t="s">
        <v>82</v>
      </c>
      <c r="G830" s="17" t="s">
        <v>167</v>
      </c>
      <c r="H830" s="93">
        <v>50</v>
      </c>
    </row>
    <row r="831" spans="1:8" ht="14" x14ac:dyDescent="0.15">
      <c r="A831" s="449" t="s">
        <v>91</v>
      </c>
      <c r="B831" s="799" t="s">
        <v>79</v>
      </c>
      <c r="C831" s="799" t="s">
        <v>80</v>
      </c>
      <c r="D831" s="799" t="s">
        <v>125</v>
      </c>
      <c r="E831" s="799" t="s">
        <v>202</v>
      </c>
      <c r="F831" s="799" t="s">
        <v>82</v>
      </c>
      <c r="G831" s="17" t="s">
        <v>198</v>
      </c>
      <c r="H831" s="93">
        <v>635</v>
      </c>
    </row>
    <row r="832" spans="1:8" ht="14" x14ac:dyDescent="0.15">
      <c r="A832" s="449" t="s">
        <v>96</v>
      </c>
      <c r="B832" s="799" t="s">
        <v>79</v>
      </c>
      <c r="C832" s="799" t="s">
        <v>80</v>
      </c>
      <c r="D832" s="799" t="s">
        <v>125</v>
      </c>
      <c r="E832" s="799" t="s">
        <v>202</v>
      </c>
      <c r="F832" s="799" t="s">
        <v>82</v>
      </c>
      <c r="G832" s="17" t="s">
        <v>170</v>
      </c>
      <c r="H832" s="93">
        <v>224.5</v>
      </c>
    </row>
    <row r="833" spans="1:10" ht="14" x14ac:dyDescent="0.15">
      <c r="A833" s="449" t="s">
        <v>97</v>
      </c>
      <c r="B833" s="799" t="s">
        <v>79</v>
      </c>
      <c r="C833" s="799" t="s">
        <v>80</v>
      </c>
      <c r="D833" s="799" t="s">
        <v>125</v>
      </c>
      <c r="E833" s="799" t="s">
        <v>202</v>
      </c>
      <c r="F833" s="799" t="s">
        <v>82</v>
      </c>
      <c r="G833" s="17" t="s">
        <v>171</v>
      </c>
      <c r="H833" s="93">
        <f>140+76.809</f>
        <v>216.809</v>
      </c>
    </row>
    <row r="834" spans="1:10" ht="14" x14ac:dyDescent="0.15">
      <c r="A834" s="18" t="s">
        <v>98</v>
      </c>
      <c r="B834" s="19" t="s">
        <v>79</v>
      </c>
      <c r="C834" s="19" t="s">
        <v>80</v>
      </c>
      <c r="D834" s="799" t="s">
        <v>125</v>
      </c>
      <c r="E834" s="19" t="s">
        <v>202</v>
      </c>
      <c r="F834" s="19" t="s">
        <v>82</v>
      </c>
      <c r="G834" s="21"/>
      <c r="H834" s="453">
        <f>SUM(H826:H833)</f>
        <v>3248.7000000000003</v>
      </c>
    </row>
    <row r="835" spans="1:10" ht="28.5" customHeight="1" x14ac:dyDescent="0.15">
      <c r="A835" s="3194" t="s">
        <v>623</v>
      </c>
      <c r="B835" s="799" t="s">
        <v>79</v>
      </c>
      <c r="C835" s="799" t="s">
        <v>120</v>
      </c>
      <c r="D835" s="799" t="s">
        <v>120</v>
      </c>
      <c r="E835" s="799" t="s">
        <v>206</v>
      </c>
      <c r="F835" s="799" t="s">
        <v>207</v>
      </c>
      <c r="G835" s="17" t="s">
        <v>198</v>
      </c>
      <c r="H835" s="454">
        <v>266.8</v>
      </c>
    </row>
    <row r="836" spans="1:10" ht="28.5" customHeight="1" x14ac:dyDescent="0.15">
      <c r="A836" s="3195"/>
      <c r="B836" s="799" t="s">
        <v>79</v>
      </c>
      <c r="C836" s="799" t="s">
        <v>120</v>
      </c>
      <c r="D836" s="799" t="s">
        <v>120</v>
      </c>
      <c r="E836" s="799" t="s">
        <v>206</v>
      </c>
      <c r="F836" s="799" t="s">
        <v>207</v>
      </c>
      <c r="G836" s="21" t="s">
        <v>170</v>
      </c>
      <c r="H836" s="454">
        <v>20</v>
      </c>
    </row>
    <row r="837" spans="1:10" ht="14" x14ac:dyDescent="0.15">
      <c r="A837" s="449" t="s">
        <v>199</v>
      </c>
      <c r="B837" s="799" t="s">
        <v>79</v>
      </c>
      <c r="C837" s="799" t="s">
        <v>196</v>
      </c>
      <c r="D837" s="799" t="s">
        <v>195</v>
      </c>
      <c r="E837" s="799" t="s">
        <v>200</v>
      </c>
      <c r="F837" s="799" t="s">
        <v>180</v>
      </c>
      <c r="G837" s="17" t="s">
        <v>93</v>
      </c>
      <c r="H837" s="816">
        <f>250+150+900</f>
        <v>1300</v>
      </c>
    </row>
    <row r="838" spans="1:10" ht="14" x14ac:dyDescent="0.15">
      <c r="A838" s="3194" t="s">
        <v>624</v>
      </c>
      <c r="B838" s="799" t="s">
        <v>79</v>
      </c>
      <c r="C838" s="799" t="s">
        <v>100</v>
      </c>
      <c r="D838" s="799" t="s">
        <v>100</v>
      </c>
      <c r="E838" s="799" t="s">
        <v>257</v>
      </c>
      <c r="F838" s="799" t="s">
        <v>258</v>
      </c>
      <c r="G838" s="17" t="s">
        <v>165</v>
      </c>
      <c r="H838" s="93">
        <v>100</v>
      </c>
    </row>
    <row r="839" spans="1:10" ht="14" x14ac:dyDescent="0.15">
      <c r="A839" s="3196"/>
      <c r="B839" s="799" t="s">
        <v>79</v>
      </c>
      <c r="C839" s="799" t="s">
        <v>100</v>
      </c>
      <c r="D839" s="799" t="s">
        <v>100</v>
      </c>
      <c r="E839" s="799" t="s">
        <v>257</v>
      </c>
      <c r="F839" s="799" t="s">
        <v>258</v>
      </c>
      <c r="G839" s="17" t="s">
        <v>198</v>
      </c>
      <c r="H839" s="93">
        <v>70</v>
      </c>
    </row>
    <row r="840" spans="1:10" ht="14" x14ac:dyDescent="0.15">
      <c r="A840" s="3195"/>
      <c r="B840" s="799" t="s">
        <v>79</v>
      </c>
      <c r="C840" s="799" t="s">
        <v>100</v>
      </c>
      <c r="D840" s="799" t="s">
        <v>100</v>
      </c>
      <c r="E840" s="799" t="s">
        <v>257</v>
      </c>
      <c r="F840" s="799" t="s">
        <v>258</v>
      </c>
      <c r="G840" s="17" t="s">
        <v>171</v>
      </c>
      <c r="H840" s="93">
        <v>100</v>
      </c>
    </row>
    <row r="841" spans="1:10" ht="52" x14ac:dyDescent="0.15">
      <c r="A841" s="804" t="s">
        <v>757</v>
      </c>
      <c r="B841" s="799" t="s">
        <v>79</v>
      </c>
      <c r="C841" s="799" t="s">
        <v>125</v>
      </c>
      <c r="D841" s="799" t="s">
        <v>249</v>
      </c>
      <c r="E841" s="799" t="s">
        <v>758</v>
      </c>
      <c r="F841" s="799" t="s">
        <v>82</v>
      </c>
      <c r="G841" s="17" t="s">
        <v>198</v>
      </c>
      <c r="H841" s="93">
        <v>3455</v>
      </c>
    </row>
    <row r="842" spans="1:10" ht="16" x14ac:dyDescent="0.15">
      <c r="A842" s="804"/>
      <c r="B842" s="801" t="s">
        <v>79</v>
      </c>
      <c r="C842" s="801" t="s">
        <v>80</v>
      </c>
      <c r="D842" s="801" t="s">
        <v>125</v>
      </c>
      <c r="E842" s="456">
        <v>4400800</v>
      </c>
      <c r="F842" s="457" t="s">
        <v>82</v>
      </c>
      <c r="G842" s="457" t="s">
        <v>170</v>
      </c>
      <c r="H842" s="458">
        <v>14788.4</v>
      </c>
    </row>
    <row r="843" spans="1:10" ht="14" x14ac:dyDescent="0.15">
      <c r="A843" s="83" t="s">
        <v>210</v>
      </c>
      <c r="B843" s="799"/>
      <c r="C843" s="799"/>
      <c r="D843" s="799"/>
      <c r="E843" s="799"/>
      <c r="F843" s="799"/>
      <c r="G843" s="799"/>
      <c r="H843" s="32">
        <f>H837+H834+H824+H813+H812+H811+H810+H809+H808+H807+H806+H805+H804+H803+H802+H787+H202+H20+H835+H836+H838+H839+H840+H841+H842</f>
        <v>938958.4090000001</v>
      </c>
      <c r="J843" s="809">
        <f>H843-H842</f>
        <v>924170.00900000008</v>
      </c>
    </row>
    <row r="844" spans="1:10" ht="14" x14ac:dyDescent="0.15">
      <c r="H844" s="32"/>
      <c r="J844" s="809">
        <f>H837+H834+H824+H813+H807+H806+H805+H804+H803+H787+H772+H757+H397+H322+H232+H217+H187+H186+H185+H170+H95+H20</f>
        <v>894014.20899999992</v>
      </c>
    </row>
    <row r="845" spans="1:10" x14ac:dyDescent="0.15">
      <c r="H845" s="807">
        <f>'[9]Плюс,минус'!G70</f>
        <v>938667.40899999999</v>
      </c>
    </row>
    <row r="846" spans="1:10" x14ac:dyDescent="0.15">
      <c r="A846" s="805" t="s">
        <v>759</v>
      </c>
      <c r="H846" s="807">
        <f>H845-H843</f>
        <v>-291.00000000011642</v>
      </c>
      <c r="I846" s="810">
        <f>H843-H841-H840-H839-H838-H836-H835-H812-H811-H810-H809-H808-H842</f>
        <v>894014.20900000003</v>
      </c>
      <c r="J846" s="811">
        <f>I846-J844</f>
        <v>0</v>
      </c>
    </row>
    <row r="847" spans="1:10" ht="16" x14ac:dyDescent="0.2">
      <c r="A847" s="3190" t="s">
        <v>251</v>
      </c>
      <c r="B847" s="3190"/>
      <c r="C847" s="3190"/>
      <c r="D847" s="3190"/>
      <c r="E847" s="3190"/>
      <c r="F847" s="3190"/>
      <c r="G847" s="3190"/>
      <c r="H847" s="3190"/>
    </row>
    <row r="849" spans="1:8" ht="14" x14ac:dyDescent="0.15">
      <c r="A849" s="808"/>
      <c r="B849" s="808"/>
      <c r="C849" s="35"/>
      <c r="D849" s="36"/>
      <c r="E849" s="37"/>
      <c r="F849" s="805"/>
      <c r="G849" s="805"/>
    </row>
    <row r="850" spans="1:8" ht="16" x14ac:dyDescent="0.2">
      <c r="A850" s="3184" t="s">
        <v>211</v>
      </c>
      <c r="B850" s="3184"/>
      <c r="C850" s="3184"/>
      <c r="D850" s="3184"/>
      <c r="E850" s="3184"/>
      <c r="F850" s="3184"/>
      <c r="G850" s="3184"/>
      <c r="H850" s="3184"/>
    </row>
    <row r="851" spans="1:8" ht="16" x14ac:dyDescent="0.2">
      <c r="A851" s="38"/>
      <c r="B851" s="38"/>
      <c r="C851" s="38"/>
      <c r="D851" s="38"/>
      <c r="E851" s="38"/>
      <c r="F851" s="38"/>
      <c r="G851" s="38"/>
      <c r="H851" s="100"/>
    </row>
    <row r="852" spans="1:8" ht="14" x14ac:dyDescent="0.15">
      <c r="A852" s="808"/>
      <c r="B852" s="808"/>
      <c r="C852" s="35"/>
      <c r="D852" s="36"/>
      <c r="E852" s="37"/>
      <c r="F852" s="805"/>
      <c r="G852" s="805"/>
    </row>
    <row r="853" spans="1:8" ht="14" x14ac:dyDescent="0.15">
      <c r="A853" s="808"/>
      <c r="B853" s="808"/>
      <c r="C853" s="35"/>
      <c r="D853" s="36"/>
      <c r="E853" s="37"/>
      <c r="F853" s="805"/>
      <c r="G853" s="805"/>
    </row>
    <row r="854" spans="1:8" ht="14" x14ac:dyDescent="0.15">
      <c r="A854" s="808"/>
      <c r="B854" s="808"/>
      <c r="C854" s="35"/>
      <c r="D854" s="36"/>
      <c r="E854" s="37"/>
      <c r="F854" s="805"/>
      <c r="G854" s="805"/>
    </row>
    <row r="855" spans="1:8" ht="14" x14ac:dyDescent="0.15">
      <c r="A855" s="808"/>
      <c r="B855" s="808"/>
      <c r="C855" s="35"/>
      <c r="D855" s="36"/>
      <c r="E855" s="37"/>
      <c r="F855" s="805"/>
      <c r="G855" s="805"/>
    </row>
    <row r="856" spans="1:8" ht="14" x14ac:dyDescent="0.15">
      <c r="A856" s="808"/>
      <c r="B856" s="808"/>
      <c r="C856" s="35"/>
      <c r="D856" s="36"/>
      <c r="E856" s="37"/>
      <c r="F856" s="805"/>
      <c r="G856" s="805"/>
    </row>
    <row r="857" spans="1:8" ht="14" x14ac:dyDescent="0.15">
      <c r="A857" s="808"/>
      <c r="B857" s="808"/>
      <c r="C857" s="35"/>
      <c r="D857" s="36"/>
      <c r="E857" s="37"/>
      <c r="F857" s="805"/>
      <c r="G857" s="805"/>
    </row>
    <row r="858" spans="1:8" ht="14" x14ac:dyDescent="0.15">
      <c r="A858" s="808"/>
      <c r="B858" s="808"/>
      <c r="C858" s="35"/>
      <c r="D858" s="36"/>
      <c r="E858" s="37"/>
      <c r="F858" s="805"/>
      <c r="G858" s="805"/>
    </row>
    <row r="859" spans="1:8" ht="14" x14ac:dyDescent="0.15">
      <c r="A859" s="808"/>
      <c r="B859" s="808"/>
      <c r="C859" s="35"/>
      <c r="D859" s="36"/>
      <c r="E859" s="37"/>
      <c r="F859" s="805"/>
      <c r="G859" s="805"/>
    </row>
    <row r="860" spans="1:8" ht="14" x14ac:dyDescent="0.15">
      <c r="A860" s="808"/>
      <c r="B860" s="808"/>
      <c r="C860" s="35"/>
      <c r="D860" s="36"/>
      <c r="E860" s="37"/>
      <c r="F860" s="805"/>
      <c r="G860" s="805"/>
    </row>
    <row r="861" spans="1:8" ht="14" x14ac:dyDescent="0.15">
      <c r="A861" s="808"/>
      <c r="B861" s="808"/>
      <c r="C861" s="35"/>
      <c r="D861" s="36"/>
      <c r="E861" s="37"/>
      <c r="F861" s="805"/>
      <c r="G861" s="805"/>
    </row>
    <row r="862" spans="1:8" ht="14" x14ac:dyDescent="0.15">
      <c r="A862" s="808"/>
      <c r="B862" s="808"/>
      <c r="C862" s="35"/>
      <c r="D862" s="36"/>
      <c r="E862" s="37"/>
      <c r="F862" s="805"/>
      <c r="G862" s="805"/>
    </row>
    <row r="863" spans="1:8" ht="14" x14ac:dyDescent="0.15">
      <c r="A863" s="808"/>
      <c r="B863" s="808"/>
      <c r="C863" s="35"/>
      <c r="D863" s="36"/>
      <c r="E863" s="37"/>
      <c r="F863" s="805"/>
      <c r="G863" s="805"/>
    </row>
    <row r="864" spans="1:8" ht="14" x14ac:dyDescent="0.15">
      <c r="A864" s="808"/>
      <c r="B864" s="808"/>
      <c r="C864" s="35"/>
      <c r="D864" s="36"/>
      <c r="E864" s="37"/>
      <c r="F864" s="805"/>
      <c r="G864" s="805"/>
    </row>
    <row r="865" spans="1:7" ht="14" x14ac:dyDescent="0.15">
      <c r="A865" s="808"/>
      <c r="B865" s="808"/>
      <c r="C865" s="35"/>
      <c r="D865" s="36"/>
      <c r="E865" s="37"/>
      <c r="F865" s="805"/>
      <c r="G865" s="805"/>
    </row>
    <row r="866" spans="1:7" ht="14" x14ac:dyDescent="0.15">
      <c r="A866" s="808"/>
      <c r="B866" s="808"/>
      <c r="C866" s="35"/>
      <c r="D866" s="36"/>
      <c r="E866" s="37"/>
      <c r="F866" s="805"/>
      <c r="G866" s="805"/>
    </row>
    <row r="867" spans="1:7" ht="14" x14ac:dyDescent="0.15">
      <c r="A867" s="808"/>
      <c r="B867" s="808"/>
      <c r="C867" s="35"/>
      <c r="D867" s="36"/>
      <c r="E867" s="37"/>
      <c r="F867" s="805"/>
      <c r="G867" s="805"/>
    </row>
    <row r="868" spans="1:7" ht="14" x14ac:dyDescent="0.15">
      <c r="A868" s="808"/>
      <c r="B868" s="808"/>
      <c r="C868" s="35"/>
      <c r="D868" s="36"/>
      <c r="E868" s="37"/>
      <c r="F868" s="805"/>
      <c r="G868" s="805"/>
    </row>
    <row r="869" spans="1:7" ht="14" x14ac:dyDescent="0.15">
      <c r="A869" s="808"/>
      <c r="B869" s="808"/>
      <c r="C869" s="35"/>
      <c r="D869" s="36"/>
      <c r="E869" s="37"/>
      <c r="F869" s="805"/>
      <c r="G869" s="805"/>
    </row>
    <row r="870" spans="1:7" ht="14" x14ac:dyDescent="0.15">
      <c r="A870" s="808"/>
      <c r="B870" s="808"/>
      <c r="C870" s="35"/>
      <c r="D870" s="36"/>
      <c r="E870" s="37"/>
      <c r="F870" s="805"/>
      <c r="G870" s="805"/>
    </row>
    <row r="871" spans="1:7" ht="14" x14ac:dyDescent="0.15">
      <c r="A871" s="808"/>
      <c r="B871" s="808"/>
      <c r="C871" s="35"/>
      <c r="D871" s="36"/>
      <c r="E871" s="37"/>
      <c r="F871" s="805"/>
      <c r="G871" s="805"/>
    </row>
    <row r="872" spans="1:7" ht="14" x14ac:dyDescent="0.15">
      <c r="A872" s="808"/>
      <c r="B872" s="808"/>
      <c r="C872" s="35"/>
      <c r="D872" s="36"/>
      <c r="E872" s="37"/>
      <c r="F872" s="805"/>
      <c r="G872" s="805"/>
    </row>
    <row r="873" spans="1:7" ht="14" x14ac:dyDescent="0.15">
      <c r="A873" s="808"/>
      <c r="B873" s="808"/>
      <c r="C873" s="35"/>
      <c r="D873" s="36"/>
      <c r="E873" s="37"/>
      <c r="F873" s="805"/>
      <c r="G873" s="805"/>
    </row>
    <row r="874" spans="1:7" ht="14" x14ac:dyDescent="0.15">
      <c r="A874" s="808"/>
      <c r="B874" s="808"/>
      <c r="C874" s="35"/>
      <c r="D874" s="36"/>
      <c r="E874" s="37"/>
      <c r="F874" s="805"/>
      <c r="G874" s="805"/>
    </row>
    <row r="875" spans="1:7" ht="14" x14ac:dyDescent="0.15">
      <c r="A875" s="808"/>
      <c r="B875" s="808"/>
      <c r="C875" s="35"/>
      <c r="D875" s="36"/>
      <c r="E875" s="37"/>
      <c r="F875" s="805"/>
      <c r="G875" s="805"/>
    </row>
    <row r="876" spans="1:7" ht="14" x14ac:dyDescent="0.15">
      <c r="A876" s="808"/>
      <c r="B876" s="808"/>
      <c r="C876" s="35"/>
      <c r="D876" s="36"/>
      <c r="E876" s="37"/>
      <c r="F876" s="805"/>
      <c r="G876" s="805"/>
    </row>
    <row r="877" spans="1:7" ht="14" x14ac:dyDescent="0.15">
      <c r="A877" s="808"/>
      <c r="B877" s="808"/>
      <c r="C877" s="35"/>
      <c r="D877" s="36"/>
      <c r="E877" s="37"/>
      <c r="F877" s="805"/>
      <c r="G877" s="805"/>
    </row>
    <row r="878" spans="1:7" ht="14" x14ac:dyDescent="0.15">
      <c r="A878" s="808"/>
      <c r="B878" s="808"/>
      <c r="C878" s="35"/>
      <c r="D878" s="36"/>
      <c r="E878" s="37"/>
      <c r="F878" s="805"/>
      <c r="G878" s="805"/>
    </row>
    <row r="879" spans="1:7" ht="14" x14ac:dyDescent="0.15">
      <c r="A879" s="808"/>
      <c r="B879" s="808"/>
      <c r="C879" s="35"/>
      <c r="D879" s="36"/>
      <c r="E879" s="37"/>
      <c r="F879" s="805"/>
      <c r="G879" s="805"/>
    </row>
    <row r="880" spans="1:7" ht="14" x14ac:dyDescent="0.15">
      <c r="A880" s="808"/>
      <c r="B880" s="808"/>
      <c r="C880" s="35"/>
      <c r="D880" s="36"/>
      <c r="E880" s="37"/>
      <c r="F880" s="805"/>
      <c r="G880" s="805"/>
    </row>
    <row r="881" spans="1:7" ht="14" x14ac:dyDescent="0.15">
      <c r="A881" s="808"/>
      <c r="B881" s="808"/>
      <c r="C881" s="35"/>
      <c r="D881" s="36"/>
      <c r="E881" s="37"/>
      <c r="F881" s="805"/>
      <c r="G881" s="805"/>
    </row>
    <row r="882" spans="1:7" ht="14" x14ac:dyDescent="0.15">
      <c r="A882" s="808"/>
      <c r="B882" s="808"/>
      <c r="C882" s="35"/>
      <c r="D882" s="36"/>
      <c r="E882" s="37"/>
      <c r="F882" s="805"/>
      <c r="G882" s="805"/>
    </row>
    <row r="883" spans="1:7" ht="14" x14ac:dyDescent="0.15">
      <c r="A883" s="808"/>
      <c r="B883" s="808"/>
      <c r="C883" s="35"/>
      <c r="D883" s="36"/>
      <c r="E883" s="37"/>
      <c r="F883" s="805"/>
      <c r="G883" s="805"/>
    </row>
    <row r="884" spans="1:7" ht="14" x14ac:dyDescent="0.15">
      <c r="A884" s="808"/>
      <c r="B884" s="808"/>
      <c r="C884" s="35"/>
      <c r="D884" s="36"/>
      <c r="E884" s="37"/>
      <c r="F884" s="805"/>
      <c r="G884" s="805"/>
    </row>
    <row r="885" spans="1:7" ht="14" x14ac:dyDescent="0.15">
      <c r="A885" s="808"/>
      <c r="B885" s="808"/>
      <c r="C885" s="35"/>
      <c r="D885" s="36"/>
      <c r="E885" s="37"/>
      <c r="F885" s="805"/>
      <c r="G885" s="805"/>
    </row>
    <row r="886" spans="1:7" ht="14" x14ac:dyDescent="0.15">
      <c r="A886" s="808"/>
      <c r="B886" s="808"/>
      <c r="C886" s="35"/>
      <c r="D886" s="36"/>
      <c r="E886" s="37"/>
      <c r="F886" s="805"/>
      <c r="G886" s="805"/>
    </row>
    <row r="887" spans="1:7" ht="14" x14ac:dyDescent="0.15">
      <c r="A887" s="808"/>
      <c r="B887" s="808"/>
      <c r="C887" s="35"/>
      <c r="D887" s="36"/>
      <c r="E887" s="37"/>
      <c r="F887" s="805"/>
      <c r="G887" s="805"/>
    </row>
    <row r="888" spans="1:7" ht="14" x14ac:dyDescent="0.15">
      <c r="A888" s="808"/>
      <c r="B888" s="808"/>
      <c r="C888" s="35"/>
      <c r="D888" s="36"/>
      <c r="E888" s="37"/>
      <c r="F888" s="805"/>
      <c r="G888" s="805"/>
    </row>
    <row r="889" spans="1:7" ht="14" x14ac:dyDescent="0.15">
      <c r="A889" s="808"/>
      <c r="B889" s="808"/>
      <c r="C889" s="35"/>
      <c r="D889" s="36"/>
      <c r="E889" s="37"/>
      <c r="F889" s="805"/>
      <c r="G889" s="805"/>
    </row>
    <row r="890" spans="1:7" ht="14" x14ac:dyDescent="0.15">
      <c r="A890" s="808"/>
      <c r="B890" s="808"/>
      <c r="C890" s="35"/>
      <c r="D890" s="36"/>
      <c r="E890" s="37"/>
      <c r="F890" s="805"/>
      <c r="G890" s="805"/>
    </row>
    <row r="891" spans="1:7" ht="14" x14ac:dyDescent="0.15">
      <c r="A891" s="808"/>
      <c r="B891" s="808"/>
      <c r="C891" s="35"/>
      <c r="D891" s="36"/>
      <c r="E891" s="37"/>
      <c r="F891" s="805"/>
      <c r="G891" s="805"/>
    </row>
    <row r="892" spans="1:7" ht="14" x14ac:dyDescent="0.15">
      <c r="A892" s="808"/>
      <c r="B892" s="808"/>
      <c r="C892" s="35"/>
      <c r="D892" s="36"/>
      <c r="E892" s="37"/>
      <c r="F892" s="805"/>
      <c r="G892" s="805"/>
    </row>
    <row r="893" spans="1:7" ht="14" x14ac:dyDescent="0.15">
      <c r="A893" s="808"/>
      <c r="B893" s="808"/>
      <c r="C893" s="35"/>
      <c r="D893" s="36"/>
      <c r="E893" s="37"/>
      <c r="F893" s="805"/>
      <c r="G893" s="805"/>
    </row>
    <row r="894" spans="1:7" ht="14" x14ac:dyDescent="0.15">
      <c r="A894" s="808"/>
      <c r="B894" s="808"/>
      <c r="C894" s="35"/>
      <c r="D894" s="36"/>
      <c r="E894" s="37"/>
      <c r="F894" s="805"/>
      <c r="G894" s="805"/>
    </row>
    <row r="895" spans="1:7" ht="14" x14ac:dyDescent="0.15">
      <c r="A895" s="808"/>
      <c r="B895" s="808"/>
      <c r="C895" s="35"/>
      <c r="D895" s="36"/>
      <c r="E895" s="37"/>
      <c r="F895" s="805"/>
      <c r="G895" s="805"/>
    </row>
    <row r="896" spans="1:7" ht="14" x14ac:dyDescent="0.15">
      <c r="A896" s="808"/>
      <c r="B896" s="808"/>
      <c r="C896" s="35"/>
      <c r="D896" s="36"/>
      <c r="E896" s="37"/>
      <c r="F896" s="805"/>
      <c r="G896" s="805"/>
    </row>
    <row r="897" spans="1:7" ht="14" x14ac:dyDescent="0.15">
      <c r="A897" s="808"/>
      <c r="B897" s="808"/>
      <c r="C897" s="35"/>
      <c r="D897" s="36"/>
      <c r="E897" s="37"/>
      <c r="F897" s="805"/>
      <c r="G897" s="805"/>
    </row>
    <row r="898" spans="1:7" ht="14" x14ac:dyDescent="0.15">
      <c r="A898" s="808"/>
      <c r="B898" s="808"/>
      <c r="C898" s="35"/>
      <c r="D898" s="36"/>
      <c r="E898" s="37"/>
      <c r="F898" s="805"/>
      <c r="G898" s="805"/>
    </row>
    <row r="899" spans="1:7" ht="14" x14ac:dyDescent="0.15">
      <c r="A899" s="808"/>
      <c r="B899" s="808"/>
      <c r="C899" s="35"/>
      <c r="D899" s="36"/>
      <c r="E899" s="37"/>
      <c r="F899" s="805"/>
      <c r="G899" s="805"/>
    </row>
    <row r="900" spans="1:7" ht="14" x14ac:dyDescent="0.15">
      <c r="A900" s="808"/>
      <c r="B900" s="808"/>
      <c r="C900" s="35"/>
      <c r="D900" s="36"/>
      <c r="E900" s="37"/>
      <c r="F900" s="805"/>
      <c r="G900" s="805"/>
    </row>
    <row r="901" spans="1:7" ht="14" x14ac:dyDescent="0.15">
      <c r="A901" s="808"/>
      <c r="B901" s="808"/>
      <c r="C901" s="35"/>
      <c r="D901" s="36"/>
      <c r="E901" s="37"/>
      <c r="F901" s="805"/>
      <c r="G901" s="805"/>
    </row>
    <row r="902" spans="1:7" ht="14" x14ac:dyDescent="0.15">
      <c r="A902" s="808"/>
      <c r="B902" s="808"/>
      <c r="C902" s="35"/>
      <c r="D902" s="36"/>
      <c r="E902" s="37"/>
      <c r="F902" s="805"/>
      <c r="G902" s="805"/>
    </row>
    <row r="903" spans="1:7" ht="14" x14ac:dyDescent="0.15">
      <c r="A903" s="808"/>
      <c r="B903" s="808"/>
      <c r="C903" s="35"/>
      <c r="D903" s="36"/>
      <c r="E903" s="37"/>
      <c r="F903" s="805"/>
      <c r="G903" s="805"/>
    </row>
    <row r="904" spans="1:7" ht="14" x14ac:dyDescent="0.15">
      <c r="A904" s="808"/>
      <c r="B904" s="808"/>
      <c r="C904" s="35"/>
      <c r="D904" s="36"/>
      <c r="E904" s="37"/>
      <c r="F904" s="805"/>
      <c r="G904" s="805"/>
    </row>
    <row r="905" spans="1:7" ht="14" x14ac:dyDescent="0.15">
      <c r="A905" s="808"/>
      <c r="B905" s="808"/>
      <c r="C905" s="35"/>
      <c r="D905" s="36"/>
      <c r="E905" s="37"/>
      <c r="F905" s="805"/>
      <c r="G905" s="805"/>
    </row>
    <row r="906" spans="1:7" ht="14" x14ac:dyDescent="0.15">
      <c r="A906" s="808"/>
      <c r="B906" s="808"/>
      <c r="C906" s="35"/>
      <c r="D906" s="36"/>
      <c r="E906" s="37"/>
      <c r="F906" s="805"/>
      <c r="G906" s="805"/>
    </row>
    <row r="907" spans="1:7" ht="14" x14ac:dyDescent="0.15">
      <c r="A907" s="808"/>
      <c r="B907" s="808"/>
      <c r="C907" s="35"/>
      <c r="D907" s="36"/>
      <c r="E907" s="37"/>
      <c r="F907" s="805"/>
      <c r="G907" s="805"/>
    </row>
    <row r="908" spans="1:7" ht="14" x14ac:dyDescent="0.15">
      <c r="A908" s="808"/>
      <c r="B908" s="808"/>
      <c r="C908" s="35"/>
      <c r="D908" s="36"/>
      <c r="E908" s="37"/>
      <c r="F908" s="805"/>
      <c r="G908" s="805"/>
    </row>
    <row r="909" spans="1:7" ht="14" x14ac:dyDescent="0.15">
      <c r="A909" s="808"/>
      <c r="B909" s="808"/>
      <c r="C909" s="35"/>
      <c r="D909" s="36"/>
      <c r="E909" s="37"/>
      <c r="F909" s="805"/>
      <c r="G909" s="805"/>
    </row>
    <row r="910" spans="1:7" ht="14" x14ac:dyDescent="0.15">
      <c r="A910" s="808"/>
      <c r="B910" s="808"/>
      <c r="C910" s="35"/>
      <c r="D910" s="36"/>
      <c r="E910" s="37"/>
      <c r="F910" s="805"/>
      <c r="G910" s="805"/>
    </row>
    <row r="911" spans="1:7" ht="14" x14ac:dyDescent="0.15">
      <c r="A911" s="808"/>
      <c r="B911" s="808"/>
      <c r="C911" s="35"/>
      <c r="D911" s="36"/>
      <c r="E911" s="37"/>
      <c r="F911" s="805"/>
      <c r="G911" s="805"/>
    </row>
    <row r="912" spans="1:7" ht="14" x14ac:dyDescent="0.15">
      <c r="A912" s="808"/>
      <c r="B912" s="808"/>
      <c r="C912" s="35"/>
      <c r="D912" s="36"/>
      <c r="E912" s="37"/>
      <c r="F912" s="805"/>
      <c r="G912" s="805"/>
    </row>
    <row r="913" spans="1:7" ht="14" x14ac:dyDescent="0.15">
      <c r="A913" s="808"/>
      <c r="B913" s="808"/>
      <c r="C913" s="35"/>
      <c r="D913" s="36"/>
      <c r="E913" s="37"/>
      <c r="F913" s="805"/>
      <c r="G913" s="805"/>
    </row>
    <row r="914" spans="1:7" ht="14" x14ac:dyDescent="0.15">
      <c r="A914" s="808"/>
      <c r="B914" s="808"/>
      <c r="C914" s="35"/>
      <c r="D914" s="36"/>
      <c r="E914" s="37"/>
      <c r="F914" s="805"/>
      <c r="G914" s="805"/>
    </row>
    <row r="915" spans="1:7" ht="14" x14ac:dyDescent="0.15">
      <c r="A915" s="808"/>
      <c r="B915" s="808"/>
      <c r="C915" s="35"/>
      <c r="D915" s="36"/>
      <c r="E915" s="37"/>
      <c r="F915" s="805"/>
      <c r="G915" s="805"/>
    </row>
    <row r="916" spans="1:7" ht="14" x14ac:dyDescent="0.15">
      <c r="A916" s="808"/>
      <c r="B916" s="808"/>
      <c r="C916" s="35"/>
      <c r="D916" s="36"/>
      <c r="E916" s="37"/>
      <c r="F916" s="805"/>
      <c r="G916" s="805"/>
    </row>
    <row r="917" spans="1:7" ht="14" x14ac:dyDescent="0.15">
      <c r="A917" s="808"/>
      <c r="B917" s="808"/>
      <c r="C917" s="35"/>
      <c r="D917" s="36"/>
      <c r="E917" s="37"/>
      <c r="F917" s="805"/>
      <c r="G917" s="805"/>
    </row>
    <row r="918" spans="1:7" ht="14" x14ac:dyDescent="0.15">
      <c r="A918" s="808"/>
      <c r="B918" s="808"/>
      <c r="C918" s="35"/>
      <c r="D918" s="36"/>
      <c r="E918" s="37"/>
      <c r="F918" s="805"/>
      <c r="G918" s="805"/>
    </row>
    <row r="919" spans="1:7" ht="14" x14ac:dyDescent="0.15">
      <c r="A919" s="808"/>
      <c r="B919" s="808"/>
      <c r="C919" s="35"/>
      <c r="D919" s="36"/>
      <c r="E919" s="37"/>
      <c r="F919" s="805"/>
      <c r="G919" s="805"/>
    </row>
    <row r="920" spans="1:7" ht="14" x14ac:dyDescent="0.15">
      <c r="A920" s="808"/>
      <c r="B920" s="808"/>
      <c r="C920" s="35"/>
      <c r="D920" s="36"/>
      <c r="E920" s="37"/>
      <c r="F920" s="805"/>
      <c r="G920" s="805"/>
    </row>
    <row r="921" spans="1:7" ht="14" x14ac:dyDescent="0.15">
      <c r="A921" s="808"/>
      <c r="B921" s="808"/>
      <c r="C921" s="35"/>
      <c r="D921" s="36"/>
      <c r="E921" s="37"/>
      <c r="F921" s="805"/>
      <c r="G921" s="805"/>
    </row>
    <row r="922" spans="1:7" ht="14" x14ac:dyDescent="0.15">
      <c r="A922" s="808"/>
      <c r="B922" s="808"/>
      <c r="C922" s="35"/>
      <c r="D922" s="36"/>
      <c r="E922" s="37"/>
      <c r="F922" s="805"/>
      <c r="G922" s="805"/>
    </row>
    <row r="923" spans="1:7" ht="14" x14ac:dyDescent="0.15">
      <c r="A923" s="808"/>
      <c r="B923" s="808"/>
      <c r="C923" s="35"/>
      <c r="D923" s="36"/>
      <c r="E923" s="37"/>
      <c r="F923" s="805"/>
      <c r="G923" s="805"/>
    </row>
    <row r="924" spans="1:7" ht="14" x14ac:dyDescent="0.15">
      <c r="A924" s="808"/>
      <c r="B924" s="808"/>
      <c r="C924" s="35"/>
      <c r="D924" s="36"/>
      <c r="E924" s="37"/>
      <c r="F924" s="805"/>
      <c r="G924" s="805"/>
    </row>
    <row r="925" spans="1:7" ht="14" x14ac:dyDescent="0.15">
      <c r="A925" s="808"/>
      <c r="B925" s="808"/>
      <c r="C925" s="35"/>
      <c r="D925" s="36"/>
      <c r="E925" s="37"/>
      <c r="F925" s="805"/>
      <c r="G925" s="805"/>
    </row>
    <row r="926" spans="1:7" ht="14" x14ac:dyDescent="0.15">
      <c r="A926" s="808"/>
      <c r="B926" s="808"/>
      <c r="C926" s="35"/>
      <c r="D926" s="36"/>
      <c r="E926" s="37"/>
      <c r="F926" s="805"/>
      <c r="G926" s="805"/>
    </row>
    <row r="927" spans="1:7" ht="14" x14ac:dyDescent="0.15">
      <c r="A927" s="808"/>
      <c r="B927" s="808"/>
      <c r="C927" s="35"/>
      <c r="D927" s="36"/>
      <c r="E927" s="37"/>
      <c r="F927" s="805"/>
      <c r="G927" s="805"/>
    </row>
    <row r="928" spans="1:7" ht="14" x14ac:dyDescent="0.15">
      <c r="A928" s="808"/>
      <c r="B928" s="808"/>
      <c r="C928" s="35"/>
      <c r="D928" s="36"/>
      <c r="E928" s="37"/>
      <c r="F928" s="805"/>
      <c r="G928" s="805"/>
    </row>
    <row r="929" spans="1:7" ht="14" x14ac:dyDescent="0.15">
      <c r="A929" s="808"/>
      <c r="B929" s="808"/>
      <c r="C929" s="35"/>
      <c r="D929" s="36"/>
      <c r="E929" s="37"/>
      <c r="F929" s="805"/>
      <c r="G929" s="805"/>
    </row>
    <row r="930" spans="1:7" ht="14" x14ac:dyDescent="0.15">
      <c r="A930" s="808"/>
      <c r="B930" s="808"/>
      <c r="C930" s="35"/>
      <c r="D930" s="36"/>
      <c r="E930" s="37"/>
      <c r="F930" s="805"/>
      <c r="G930" s="805"/>
    </row>
    <row r="931" spans="1:7" ht="14" x14ac:dyDescent="0.15">
      <c r="A931" s="808"/>
      <c r="B931" s="808"/>
      <c r="C931" s="35"/>
      <c r="D931" s="36"/>
      <c r="E931" s="37"/>
      <c r="F931" s="805"/>
      <c r="G931" s="805"/>
    </row>
  </sheetData>
  <mergeCells count="11">
    <mergeCell ref="A850:H850"/>
    <mergeCell ref="A806:A807"/>
    <mergeCell ref="A810:A811"/>
    <mergeCell ref="A835:A836"/>
    <mergeCell ref="A838:A840"/>
    <mergeCell ref="A847:H847"/>
    <mergeCell ref="A1:H1"/>
    <mergeCell ref="A2:H2"/>
    <mergeCell ref="A3:H3"/>
    <mergeCell ref="A4:H4"/>
    <mergeCell ref="A803:A805"/>
  </mergeCells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view="pageBreakPreview" zoomScale="30" zoomScaleNormal="40" zoomScaleSheetLayoutView="30" zoomScalePageLayoutView="40" workbookViewId="0">
      <pane ySplit="10" topLeftCell="A11" activePane="bottomLeft" state="frozen"/>
      <selection pane="bottomLeft" activeCell="C16" sqref="C16"/>
    </sheetView>
  </sheetViews>
  <sheetFormatPr baseColWidth="10" defaultColWidth="8.83203125" defaultRowHeight="30" x14ac:dyDescent="0.3"/>
  <cols>
    <col min="1" max="1" width="12" style="219" customWidth="1"/>
    <col min="2" max="2" width="64" style="220" customWidth="1"/>
    <col min="3" max="3" width="88.6640625" style="221" customWidth="1"/>
    <col min="4" max="4" width="25.5" style="221" customWidth="1"/>
    <col min="5" max="5" width="25.5" style="222" customWidth="1"/>
    <col min="6" max="6" width="26.1640625" style="222" customWidth="1"/>
    <col min="7" max="7" width="26.5" style="222" customWidth="1"/>
    <col min="8" max="8" width="24.6640625" style="222" customWidth="1"/>
    <col min="9" max="9" width="26.83203125" style="222" customWidth="1"/>
    <col min="10" max="10" width="32.33203125" style="222" customWidth="1"/>
    <col min="11" max="11" width="32.6640625" style="222" customWidth="1"/>
    <col min="12" max="12" width="33.33203125" style="222" customWidth="1"/>
    <col min="13" max="13" width="23" style="175" customWidth="1"/>
    <col min="14" max="14" width="28.5" style="175" customWidth="1"/>
    <col min="15" max="15" width="56.33203125" style="175" customWidth="1"/>
    <col min="16" max="16" width="77.6640625" style="175" customWidth="1"/>
    <col min="17" max="16384" width="8.83203125" style="175"/>
  </cols>
  <sheetData>
    <row r="1" spans="1:16" x14ac:dyDescent="0.3">
      <c r="A1" s="170"/>
      <c r="B1" s="171"/>
      <c r="C1" s="172"/>
      <c r="D1" s="172"/>
      <c r="E1" s="173"/>
      <c r="F1" s="173"/>
      <c r="G1" s="173"/>
      <c r="H1" s="173"/>
      <c r="I1" s="173"/>
      <c r="J1" s="173"/>
      <c r="K1" s="173"/>
      <c r="L1" s="173"/>
      <c r="M1" s="174" t="s">
        <v>441</v>
      </c>
    </row>
    <row r="2" spans="1:16" x14ac:dyDescent="0.3">
      <c r="A2" s="170"/>
      <c r="B2" s="171"/>
      <c r="C2" s="172"/>
      <c r="D2" s="172"/>
      <c r="E2" s="173"/>
      <c r="F2" s="173"/>
      <c r="G2" s="173"/>
      <c r="H2" s="173"/>
      <c r="I2" s="173"/>
      <c r="J2" s="173"/>
      <c r="K2" s="173"/>
      <c r="L2" s="173"/>
      <c r="M2" s="174" t="s">
        <v>627</v>
      </c>
    </row>
    <row r="3" spans="1:16" x14ac:dyDescent="0.3">
      <c r="A3" s="170"/>
      <c r="B3" s="171"/>
      <c r="C3" s="172"/>
      <c r="D3" s="172"/>
      <c r="E3" s="173"/>
      <c r="F3" s="173"/>
      <c r="G3" s="173"/>
      <c r="H3" s="173"/>
      <c r="I3" s="173"/>
      <c r="J3" s="173"/>
      <c r="K3" s="173"/>
      <c r="L3" s="173"/>
      <c r="M3" s="174" t="s">
        <v>629</v>
      </c>
    </row>
    <row r="4" spans="1:16" ht="17.25" customHeight="1" x14ac:dyDescent="0.3">
      <c r="A4" s="176"/>
      <c r="B4" s="177"/>
      <c r="C4" s="172"/>
      <c r="D4" s="172"/>
      <c r="E4" s="173"/>
      <c r="F4" s="173"/>
      <c r="G4" s="173"/>
      <c r="H4" s="173"/>
      <c r="I4" s="173"/>
      <c r="J4" s="173"/>
      <c r="K4" s="173"/>
      <c r="L4" s="173"/>
      <c r="M4" s="178"/>
    </row>
    <row r="5" spans="1:16" ht="27.75" customHeight="1" x14ac:dyDescent="0.3">
      <c r="A5" s="3234" t="s">
        <v>442</v>
      </c>
      <c r="B5" s="3234"/>
      <c r="C5" s="3234"/>
      <c r="D5" s="3234"/>
      <c r="E5" s="3234"/>
      <c r="F5" s="3234"/>
      <c r="G5" s="3234"/>
      <c r="H5" s="3234"/>
      <c r="I5" s="3234"/>
      <c r="J5" s="3234"/>
      <c r="K5" s="3234"/>
      <c r="L5" s="3234"/>
      <c r="M5" s="3234"/>
    </row>
    <row r="6" spans="1:16" ht="39" customHeight="1" x14ac:dyDescent="0.3">
      <c r="A6" s="3235" t="s">
        <v>443</v>
      </c>
      <c r="B6" s="3235"/>
      <c r="C6" s="3235"/>
      <c r="D6" s="3235"/>
      <c r="E6" s="3235"/>
      <c r="F6" s="3235"/>
      <c r="G6" s="3235"/>
      <c r="H6" s="3235"/>
      <c r="I6" s="3235"/>
      <c r="J6" s="3235"/>
      <c r="K6" s="3235"/>
      <c r="L6" s="3235"/>
      <c r="M6" s="3235"/>
    </row>
    <row r="7" spans="1:16" ht="18" customHeight="1" x14ac:dyDescent="0.3">
      <c r="A7" s="179"/>
      <c r="B7" s="171"/>
      <c r="C7" s="179"/>
      <c r="D7" s="179"/>
      <c r="E7" s="180"/>
      <c r="F7" s="180"/>
      <c r="G7" s="180"/>
      <c r="H7" s="180"/>
      <c r="I7" s="180"/>
      <c r="J7" s="180"/>
      <c r="K7" s="180"/>
      <c r="L7" s="180"/>
      <c r="M7" s="179"/>
    </row>
    <row r="8" spans="1:16" ht="48.75" customHeight="1" x14ac:dyDescent="0.3">
      <c r="A8" s="3210" t="s">
        <v>444</v>
      </c>
      <c r="B8" s="3210"/>
      <c r="C8" s="3210" t="s">
        <v>445</v>
      </c>
      <c r="D8" s="3210" t="s">
        <v>446</v>
      </c>
      <c r="E8" s="3236" t="s">
        <v>447</v>
      </c>
      <c r="F8" s="3237"/>
      <c r="G8" s="3237"/>
      <c r="H8" s="3237"/>
      <c r="I8" s="3237"/>
      <c r="J8" s="3237"/>
      <c r="K8" s="3237"/>
      <c r="L8" s="3238"/>
      <c r="M8" s="3210" t="s">
        <v>448</v>
      </c>
    </row>
    <row r="9" spans="1:16" ht="39.75" customHeight="1" x14ac:dyDescent="0.3">
      <c r="A9" s="3210"/>
      <c r="B9" s="3210"/>
      <c r="C9" s="3210"/>
      <c r="D9" s="3210"/>
      <c r="E9" s="3239">
        <v>2010</v>
      </c>
      <c r="F9" s="3239"/>
      <c r="G9" s="3210">
        <v>2011</v>
      </c>
      <c r="H9" s="3210"/>
      <c r="I9" s="3236" t="s">
        <v>449</v>
      </c>
      <c r="J9" s="3237"/>
      <c r="K9" s="3237"/>
      <c r="L9" s="3238"/>
      <c r="M9" s="3210"/>
    </row>
    <row r="10" spans="1:16" ht="110.25" customHeight="1" x14ac:dyDescent="0.3">
      <c r="A10" s="3210"/>
      <c r="B10" s="3210"/>
      <c r="C10" s="3210"/>
      <c r="D10" s="3210"/>
      <c r="E10" s="181" t="s">
        <v>357</v>
      </c>
      <c r="F10" s="181" t="s">
        <v>358</v>
      </c>
      <c r="G10" s="181" t="s">
        <v>357</v>
      </c>
      <c r="H10" s="181" t="s">
        <v>358</v>
      </c>
      <c r="I10" s="181">
        <v>2012</v>
      </c>
      <c r="J10" s="181">
        <v>2013</v>
      </c>
      <c r="K10" s="181">
        <v>2014</v>
      </c>
      <c r="L10" s="181">
        <v>2015</v>
      </c>
      <c r="M10" s="3210"/>
      <c r="N10" s="175">
        <v>2012</v>
      </c>
      <c r="O10" s="175">
        <v>2011</v>
      </c>
    </row>
    <row r="11" spans="1:16" ht="44.25" customHeight="1" x14ac:dyDescent="0.3">
      <c r="A11" s="182"/>
      <c r="B11" s="3233" t="s">
        <v>450</v>
      </c>
      <c r="C11" s="3233"/>
      <c r="D11" s="3233"/>
      <c r="E11" s="3233"/>
      <c r="F11" s="3233"/>
      <c r="G11" s="3233"/>
      <c r="H11" s="3233"/>
      <c r="I11" s="3233"/>
      <c r="J11" s="3233"/>
      <c r="K11" s="3233"/>
      <c r="L11" s="3233"/>
      <c r="M11" s="3233"/>
      <c r="N11" s="183"/>
    </row>
    <row r="12" spans="1:16" s="188" customFormat="1" ht="333" customHeight="1" x14ac:dyDescent="0.3">
      <c r="A12" s="181" t="s">
        <v>7</v>
      </c>
      <c r="B12" s="184" t="s">
        <v>451</v>
      </c>
      <c r="C12" s="206" t="s">
        <v>452</v>
      </c>
      <c r="D12" s="185" t="s">
        <v>453</v>
      </c>
      <c r="E12" s="186" t="e">
        <f>#REF!</f>
        <v>#REF!</v>
      </c>
      <c r="F12" s="186" t="e">
        <f>#REF!</f>
        <v>#REF!</v>
      </c>
      <c r="G12" s="186" t="e">
        <f>#REF!</f>
        <v>#REF!</v>
      </c>
      <c r="H12" s="187" t="e">
        <f>#REF!</f>
        <v>#REF!</v>
      </c>
      <c r="I12" s="186">
        <v>36815</v>
      </c>
      <c r="J12" s="186">
        <f>'[11]Смета Ведомственая'!$G$45</f>
        <v>26450</v>
      </c>
      <c r="K12" s="186">
        <f>J12</f>
        <v>26450</v>
      </c>
      <c r="L12" s="186">
        <f>K12</f>
        <v>26450</v>
      </c>
      <c r="M12" s="185" t="s">
        <v>454</v>
      </c>
      <c r="N12" s="277">
        <v>36815</v>
      </c>
      <c r="O12" s="273">
        <v>27680.2</v>
      </c>
      <c r="P12" s="273"/>
    </row>
    <row r="13" spans="1:16" s="192" customFormat="1" ht="201" customHeight="1" x14ac:dyDescent="0.3">
      <c r="A13" s="3199" t="s">
        <v>8</v>
      </c>
      <c r="B13" s="3201" t="s">
        <v>455</v>
      </c>
      <c r="C13" s="189" t="s">
        <v>456</v>
      </c>
      <c r="D13" s="190" t="s">
        <v>457</v>
      </c>
      <c r="E13" s="3203" t="e">
        <f>#REF!</f>
        <v>#REF!</v>
      </c>
      <c r="F13" s="3203" t="e">
        <f>#REF!</f>
        <v>#REF!</v>
      </c>
      <c r="G13" s="3203" t="e">
        <f>#REF!</f>
        <v>#REF!</v>
      </c>
      <c r="H13" s="3205" t="e">
        <f>#REF!</f>
        <v>#REF!</v>
      </c>
      <c r="I13" s="3203">
        <v>22828.1</v>
      </c>
      <c r="J13" s="3203">
        <f>'[11]Смета Ведомственая'!$G$7+'[11]Смета Ведомственая'!$G$6</f>
        <v>39779.358203128984</v>
      </c>
      <c r="K13" s="3203">
        <f>J13</f>
        <v>39779.358203128984</v>
      </c>
      <c r="L13" s="3203">
        <f>K13</f>
        <v>39779.358203128984</v>
      </c>
      <c r="M13" s="3212" t="s">
        <v>454</v>
      </c>
      <c r="N13" s="278">
        <f>I13</f>
        <v>22828.1</v>
      </c>
      <c r="O13" s="209"/>
      <c r="P13" s="209"/>
    </row>
    <row r="14" spans="1:16" s="192" customFormat="1" ht="109.5" customHeight="1" x14ac:dyDescent="0.3">
      <c r="A14" s="3229"/>
      <c r="B14" s="3217"/>
      <c r="C14" s="193" t="s">
        <v>458</v>
      </c>
      <c r="D14" s="194"/>
      <c r="E14" s="3209"/>
      <c r="F14" s="3209"/>
      <c r="G14" s="3209"/>
      <c r="H14" s="3218"/>
      <c r="I14" s="3209"/>
      <c r="J14" s="3209"/>
      <c r="K14" s="3209"/>
      <c r="L14" s="3209"/>
      <c r="M14" s="3213"/>
      <c r="N14" s="278"/>
      <c r="O14" s="209"/>
      <c r="P14" s="209"/>
    </row>
    <row r="15" spans="1:16" s="192" customFormat="1" ht="219.75" customHeight="1" x14ac:dyDescent="0.3">
      <c r="A15" s="3200"/>
      <c r="B15" s="3202"/>
      <c r="C15" s="193" t="s">
        <v>459</v>
      </c>
      <c r="D15" s="194"/>
      <c r="E15" s="3204"/>
      <c r="F15" s="3204"/>
      <c r="G15" s="3204"/>
      <c r="H15" s="3206"/>
      <c r="I15" s="3204"/>
      <c r="J15" s="3204"/>
      <c r="K15" s="3204"/>
      <c r="L15" s="3204"/>
      <c r="M15" s="3214"/>
      <c r="N15" s="278"/>
      <c r="O15" s="209"/>
      <c r="P15" s="209"/>
    </row>
    <row r="16" spans="1:16" s="192" customFormat="1" ht="192.75" customHeight="1" x14ac:dyDescent="0.3">
      <c r="A16" s="3199" t="s">
        <v>460</v>
      </c>
      <c r="B16" s="3230" t="s">
        <v>461</v>
      </c>
      <c r="C16" s="196" t="s">
        <v>462</v>
      </c>
      <c r="D16" s="191" t="s">
        <v>620</v>
      </c>
      <c r="E16" s="3203" t="e">
        <f>#REF!</f>
        <v>#REF!</v>
      </c>
      <c r="F16" s="3203" t="e">
        <f>#REF!</f>
        <v>#REF!</v>
      </c>
      <c r="G16" s="3203" t="e">
        <f>#REF!</f>
        <v>#REF!</v>
      </c>
      <c r="H16" s="3205" t="e">
        <f>#REF!</f>
        <v>#REF!</v>
      </c>
      <c r="I16" s="3203">
        <v>70466.7</v>
      </c>
      <c r="J16" s="3203">
        <f>'[11]Смета Ведомственая'!$G$11+'[11]Смета Ведомственая'!$G$10</f>
        <v>98946.66232555914</v>
      </c>
      <c r="K16" s="3203">
        <f>J16</f>
        <v>98946.66232555914</v>
      </c>
      <c r="L16" s="3203">
        <f>K16</f>
        <v>98946.66232555914</v>
      </c>
      <c r="M16" s="3203" t="s">
        <v>454</v>
      </c>
      <c r="N16" s="283">
        <v>70466.7</v>
      </c>
      <c r="O16" s="209"/>
      <c r="P16" s="209"/>
    </row>
    <row r="17" spans="1:16" s="192" customFormat="1" ht="91.5" customHeight="1" x14ac:dyDescent="0.3">
      <c r="A17" s="3229"/>
      <c r="B17" s="3231"/>
      <c r="C17" s="197" t="s">
        <v>463</v>
      </c>
      <c r="D17" s="195"/>
      <c r="E17" s="3209"/>
      <c r="F17" s="3209"/>
      <c r="G17" s="3209"/>
      <c r="H17" s="3218"/>
      <c r="I17" s="3209"/>
      <c r="J17" s="3209"/>
      <c r="K17" s="3209"/>
      <c r="L17" s="3209"/>
      <c r="M17" s="3209"/>
      <c r="N17" s="278"/>
      <c r="O17" s="209"/>
      <c r="P17" s="209"/>
    </row>
    <row r="18" spans="1:16" s="192" customFormat="1" ht="210.75" customHeight="1" x14ac:dyDescent="0.3">
      <c r="A18" s="3200"/>
      <c r="B18" s="3232"/>
      <c r="C18" s="197" t="s">
        <v>464</v>
      </c>
      <c r="D18" s="195"/>
      <c r="E18" s="3204"/>
      <c r="F18" s="3204"/>
      <c r="G18" s="3204"/>
      <c r="H18" s="3206"/>
      <c r="I18" s="3204"/>
      <c r="J18" s="3204"/>
      <c r="K18" s="3204"/>
      <c r="L18" s="3204"/>
      <c r="M18" s="3204"/>
      <c r="N18" s="278"/>
      <c r="O18" s="209"/>
      <c r="P18" s="209"/>
    </row>
    <row r="19" spans="1:16" s="192" customFormat="1" ht="249.75" customHeight="1" x14ac:dyDescent="0.3">
      <c r="A19" s="3199" t="s">
        <v>465</v>
      </c>
      <c r="B19" s="3201" t="s">
        <v>461</v>
      </c>
      <c r="C19" s="196" t="s">
        <v>466</v>
      </c>
      <c r="D19" s="191" t="s">
        <v>457</v>
      </c>
      <c r="E19" s="3203" t="e">
        <f>#REF!</f>
        <v>#REF!</v>
      </c>
      <c r="F19" s="3203" t="e">
        <f>#REF!</f>
        <v>#REF!</v>
      </c>
      <c r="G19" s="3203" t="e">
        <f>#REF!</f>
        <v>#REF!</v>
      </c>
      <c r="H19" s="3205">
        <f>[12]Лист1!M45</f>
        <v>1502.7</v>
      </c>
      <c r="I19" s="3203" t="e">
        <f>#REF!</f>
        <v>#REF!</v>
      </c>
      <c r="J19" s="3203">
        <f>'[11]Смета Ведомственая'!$G$15+'[11]Смета Ведомственая'!$G$14+'[11]Смета Ведомственая'!$G$54+'[11]Смета Ведомственая'!$G$52</f>
        <v>6662.4822235492175</v>
      </c>
      <c r="K19" s="3203">
        <f>J19</f>
        <v>6662.4822235492175</v>
      </c>
      <c r="L19" s="3203">
        <f>K19</f>
        <v>6662.4822235492175</v>
      </c>
      <c r="M19" s="3212" t="s">
        <v>454</v>
      </c>
      <c r="N19" s="283" t="e">
        <f>I19</f>
        <v>#REF!</v>
      </c>
      <c r="O19" s="209"/>
      <c r="P19" s="209"/>
    </row>
    <row r="20" spans="1:16" s="192" customFormat="1" ht="258" customHeight="1" x14ac:dyDescent="0.3">
      <c r="A20" s="3200"/>
      <c r="B20" s="3202"/>
      <c r="C20" s="197" t="s">
        <v>467</v>
      </c>
      <c r="D20" s="195"/>
      <c r="E20" s="3204"/>
      <c r="F20" s="3204"/>
      <c r="G20" s="3204"/>
      <c r="H20" s="3206"/>
      <c r="I20" s="3204"/>
      <c r="J20" s="3204"/>
      <c r="K20" s="3204"/>
      <c r="L20" s="3204"/>
      <c r="M20" s="3214"/>
      <c r="N20" s="278"/>
      <c r="O20" s="209"/>
      <c r="P20" s="209"/>
    </row>
    <row r="21" spans="1:16" s="192" customFormat="1" ht="184.5" customHeight="1" x14ac:dyDescent="0.3">
      <c r="A21" s="3199" t="s">
        <v>468</v>
      </c>
      <c r="B21" s="3230" t="s">
        <v>469</v>
      </c>
      <c r="C21" s="189" t="s">
        <v>470</v>
      </c>
      <c r="D21" s="3212" t="s">
        <v>471</v>
      </c>
      <c r="E21" s="3244" t="e">
        <f>#REF!</f>
        <v>#REF!</v>
      </c>
      <c r="F21" s="3203" t="e">
        <f>#REF!</f>
        <v>#REF!</v>
      </c>
      <c r="G21" s="3203" t="e">
        <f>#REF!</f>
        <v>#REF!</v>
      </c>
      <c r="H21" s="3205" t="e">
        <f>#REF!</f>
        <v>#REF!</v>
      </c>
      <c r="I21" s="3203" t="e">
        <f>#REF!</f>
        <v>#REF!</v>
      </c>
      <c r="J21" s="3203">
        <f>'[11]Смета Ведомственая'!$G$55</f>
        <v>13319.86628060216</v>
      </c>
      <c r="K21" s="3203">
        <f>J21</f>
        <v>13319.86628060216</v>
      </c>
      <c r="L21" s="3203">
        <f>K21</f>
        <v>13319.86628060216</v>
      </c>
      <c r="M21" s="3212" t="s">
        <v>454</v>
      </c>
      <c r="N21" s="283" t="e">
        <f>I21</f>
        <v>#REF!</v>
      </c>
      <c r="O21" s="209">
        <v>1770.8</v>
      </c>
      <c r="P21" s="209"/>
    </row>
    <row r="22" spans="1:16" s="192" customFormat="1" ht="175.5" customHeight="1" x14ac:dyDescent="0.3">
      <c r="A22" s="3229"/>
      <c r="B22" s="3231"/>
      <c r="C22" s="193" t="s">
        <v>472</v>
      </c>
      <c r="D22" s="3213"/>
      <c r="E22" s="3245"/>
      <c r="F22" s="3209"/>
      <c r="G22" s="3209"/>
      <c r="H22" s="3218"/>
      <c r="I22" s="3209"/>
      <c r="J22" s="3209"/>
      <c r="K22" s="3209"/>
      <c r="L22" s="3209"/>
      <c r="M22" s="3213"/>
      <c r="N22" s="279"/>
      <c r="O22" s="209"/>
      <c r="P22" s="209"/>
    </row>
    <row r="23" spans="1:16" s="192" customFormat="1" ht="108" customHeight="1" x14ac:dyDescent="0.3">
      <c r="A23" s="3229"/>
      <c r="B23" s="3231"/>
      <c r="C23" s="193" t="s">
        <v>473</v>
      </c>
      <c r="D23" s="3213"/>
      <c r="E23" s="3245"/>
      <c r="F23" s="3209"/>
      <c r="G23" s="3209"/>
      <c r="H23" s="3218"/>
      <c r="I23" s="3209"/>
      <c r="J23" s="3209"/>
      <c r="K23" s="3209"/>
      <c r="L23" s="3209"/>
      <c r="M23" s="3213"/>
      <c r="N23" s="279"/>
      <c r="O23" s="209"/>
      <c r="P23" s="209"/>
    </row>
    <row r="24" spans="1:16" s="192" customFormat="1" ht="140.25" customHeight="1" x14ac:dyDescent="0.3">
      <c r="A24" s="3200"/>
      <c r="B24" s="3232"/>
      <c r="C24" s="193" t="s">
        <v>474</v>
      </c>
      <c r="D24" s="3214"/>
      <c r="E24" s="3246"/>
      <c r="F24" s="3204"/>
      <c r="G24" s="3204"/>
      <c r="H24" s="3206"/>
      <c r="I24" s="3204"/>
      <c r="J24" s="3204"/>
      <c r="K24" s="3204"/>
      <c r="L24" s="3204"/>
      <c r="M24" s="3214"/>
      <c r="N24" s="279"/>
      <c r="O24" s="209"/>
      <c r="P24" s="209"/>
    </row>
    <row r="25" spans="1:16" s="199" customFormat="1" ht="273.75" customHeight="1" x14ac:dyDescent="0.3">
      <c r="A25" s="3223" t="s">
        <v>475</v>
      </c>
      <c r="B25" s="3201" t="s">
        <v>476</v>
      </c>
      <c r="C25" s="198" t="s">
        <v>477</v>
      </c>
      <c r="D25" s="3226" t="s">
        <v>478</v>
      </c>
      <c r="E25" s="3203" t="e">
        <f>#REF!</f>
        <v>#REF!</v>
      </c>
      <c r="F25" s="3203" t="e">
        <f>#REF!</f>
        <v>#REF!</v>
      </c>
      <c r="G25" s="3203" t="e">
        <f>#REF!</f>
        <v>#REF!</v>
      </c>
      <c r="H25" s="3205" t="e">
        <f>#REF!</f>
        <v>#REF!</v>
      </c>
      <c r="I25" s="3203">
        <v>55336.6</v>
      </c>
      <c r="J25" s="3203">
        <f>'[11]Смета Ведомственая'!$G$31+'[11]Смета Ведомственая'!$G$30</f>
        <v>135223.35161928844</v>
      </c>
      <c r="K25" s="3203">
        <f>J25</f>
        <v>135223.35161928844</v>
      </c>
      <c r="L25" s="3203">
        <f>K25</f>
        <v>135223.35161928844</v>
      </c>
      <c r="M25" s="3220" t="s">
        <v>454</v>
      </c>
      <c r="N25" s="284">
        <v>55336.6</v>
      </c>
      <c r="O25" s="175"/>
      <c r="P25" s="175"/>
    </row>
    <row r="26" spans="1:16" s="199" customFormat="1" ht="148.5" customHeight="1" x14ac:dyDescent="0.3">
      <c r="A26" s="3224"/>
      <c r="B26" s="3217"/>
      <c r="C26" s="200" t="s">
        <v>479</v>
      </c>
      <c r="D26" s="3227"/>
      <c r="E26" s="3209"/>
      <c r="F26" s="3209"/>
      <c r="G26" s="3209"/>
      <c r="H26" s="3218"/>
      <c r="I26" s="3209"/>
      <c r="J26" s="3209"/>
      <c r="K26" s="3209"/>
      <c r="L26" s="3209"/>
      <c r="M26" s="3221"/>
      <c r="N26" s="280"/>
      <c r="O26" s="175"/>
      <c r="P26" s="175"/>
    </row>
    <row r="27" spans="1:16" s="199" customFormat="1" ht="137.25" customHeight="1" x14ac:dyDescent="0.3">
      <c r="A27" s="3224"/>
      <c r="B27" s="3217"/>
      <c r="C27" s="198" t="s">
        <v>480</v>
      </c>
      <c r="D27" s="3227"/>
      <c r="E27" s="3209"/>
      <c r="F27" s="3209"/>
      <c r="G27" s="3209"/>
      <c r="H27" s="3218"/>
      <c r="I27" s="3209"/>
      <c r="J27" s="3209"/>
      <c r="K27" s="3209"/>
      <c r="L27" s="3209"/>
      <c r="M27" s="3221"/>
      <c r="N27" s="280"/>
      <c r="O27" s="175"/>
      <c r="P27" s="175"/>
    </row>
    <row r="28" spans="1:16" s="199" customFormat="1" ht="102" customHeight="1" x14ac:dyDescent="0.3">
      <c r="A28" s="3225"/>
      <c r="B28" s="3202"/>
      <c r="C28" s="200" t="s">
        <v>481</v>
      </c>
      <c r="D28" s="3228"/>
      <c r="E28" s="3204"/>
      <c r="F28" s="3204"/>
      <c r="G28" s="3204"/>
      <c r="H28" s="3206"/>
      <c r="I28" s="3204"/>
      <c r="J28" s="3204"/>
      <c r="K28" s="3204"/>
      <c r="L28" s="3204"/>
      <c r="M28" s="3222"/>
      <c r="N28" s="280"/>
      <c r="O28" s="175"/>
      <c r="P28" s="175"/>
    </row>
    <row r="29" spans="1:16" s="199" customFormat="1" ht="68.25" customHeight="1" x14ac:dyDescent="0.3">
      <c r="A29" s="3223" t="s">
        <v>482</v>
      </c>
      <c r="B29" s="3201" t="s">
        <v>483</v>
      </c>
      <c r="C29" s="189" t="s">
        <v>484</v>
      </c>
      <c r="D29" s="3212" t="s">
        <v>478</v>
      </c>
      <c r="E29" s="3203" t="e">
        <f>#REF!</f>
        <v>#REF!</v>
      </c>
      <c r="F29" s="3203" t="e">
        <f>#REF!</f>
        <v>#REF!</v>
      </c>
      <c r="G29" s="3203" t="e">
        <f>#REF!</f>
        <v>#REF!</v>
      </c>
      <c r="H29" s="3205" t="e">
        <f>#REF!</f>
        <v>#REF!</v>
      </c>
      <c r="I29" s="3203">
        <v>68724.399999999994</v>
      </c>
      <c r="J29" s="3203">
        <f>'[11]Смета Ведомственая'!$G$27+'[11]Смета Ведомственая'!$G$26</f>
        <v>229100.54557836679</v>
      </c>
      <c r="K29" s="3203">
        <f>J29</f>
        <v>229100.54557836679</v>
      </c>
      <c r="L29" s="3203">
        <f>K29</f>
        <v>229100.54557836679</v>
      </c>
      <c r="M29" s="3220" t="s">
        <v>454</v>
      </c>
      <c r="N29" s="284">
        <v>68724.399999999994</v>
      </c>
      <c r="O29" s="175"/>
      <c r="P29" s="175"/>
    </row>
    <row r="30" spans="1:16" s="199" customFormat="1" ht="114" customHeight="1" x14ac:dyDescent="0.3">
      <c r="A30" s="3224"/>
      <c r="B30" s="3217"/>
      <c r="C30" s="193" t="s">
        <v>485</v>
      </c>
      <c r="D30" s="3213"/>
      <c r="E30" s="3209"/>
      <c r="F30" s="3209"/>
      <c r="G30" s="3209"/>
      <c r="H30" s="3218"/>
      <c r="I30" s="3209"/>
      <c r="J30" s="3209"/>
      <c r="K30" s="3209"/>
      <c r="L30" s="3209"/>
      <c r="M30" s="3221"/>
      <c r="N30" s="280"/>
      <c r="O30" s="175"/>
      <c r="P30" s="175"/>
    </row>
    <row r="31" spans="1:16" s="199" customFormat="1" ht="211.5" customHeight="1" x14ac:dyDescent="0.3">
      <c r="A31" s="3224"/>
      <c r="B31" s="3217"/>
      <c r="C31" s="201" t="s">
        <v>486</v>
      </c>
      <c r="D31" s="3213"/>
      <c r="E31" s="3209"/>
      <c r="F31" s="3209"/>
      <c r="G31" s="3209"/>
      <c r="H31" s="3218"/>
      <c r="I31" s="3209"/>
      <c r="J31" s="3209"/>
      <c r="K31" s="3209"/>
      <c r="L31" s="3209"/>
      <c r="M31" s="3221"/>
      <c r="N31" s="280"/>
      <c r="O31" s="274"/>
      <c r="P31" s="175"/>
    </row>
    <row r="32" spans="1:16" s="199" customFormat="1" ht="96.75" customHeight="1" x14ac:dyDescent="0.3">
      <c r="A32" s="3224"/>
      <c r="B32" s="3217"/>
      <c r="C32" s="189" t="s">
        <v>487</v>
      </c>
      <c r="D32" s="3213"/>
      <c r="E32" s="3209"/>
      <c r="F32" s="3209"/>
      <c r="G32" s="3209"/>
      <c r="H32" s="3218"/>
      <c r="I32" s="3209"/>
      <c r="J32" s="3209"/>
      <c r="K32" s="3209"/>
      <c r="L32" s="3209"/>
      <c r="M32" s="3221"/>
      <c r="N32" s="280"/>
      <c r="O32" s="274">
        <f>N31*0.3</f>
        <v>0</v>
      </c>
      <c r="P32" s="175"/>
    </row>
    <row r="33" spans="1:16" s="199" customFormat="1" ht="103.5" customHeight="1" x14ac:dyDescent="0.3">
      <c r="A33" s="3225"/>
      <c r="B33" s="3202"/>
      <c r="C33" s="193" t="s">
        <v>488</v>
      </c>
      <c r="D33" s="3214"/>
      <c r="E33" s="3204"/>
      <c r="F33" s="3204"/>
      <c r="G33" s="3204"/>
      <c r="H33" s="3206"/>
      <c r="I33" s="3204"/>
      <c r="J33" s="3204"/>
      <c r="K33" s="3204"/>
      <c r="L33" s="3204"/>
      <c r="M33" s="3222"/>
      <c r="N33" s="280"/>
      <c r="O33" s="175"/>
      <c r="P33" s="175"/>
    </row>
    <row r="34" spans="1:16" s="199" customFormat="1" ht="57.75" customHeight="1" x14ac:dyDescent="0.3">
      <c r="A34" s="3210" t="s">
        <v>489</v>
      </c>
      <c r="B34" s="3211" t="s">
        <v>490</v>
      </c>
      <c r="C34" s="189" t="s">
        <v>484</v>
      </c>
      <c r="D34" s="3212" t="s">
        <v>471</v>
      </c>
      <c r="E34" s="3203" t="e">
        <f>#REF!</f>
        <v>#REF!</v>
      </c>
      <c r="F34" s="3203" t="e">
        <f>#REF!</f>
        <v>#REF!</v>
      </c>
      <c r="G34" s="3203" t="e">
        <f>#REF!</f>
        <v>#REF!</v>
      </c>
      <c r="H34" s="3205" t="e">
        <f>#REF!</f>
        <v>#REF!</v>
      </c>
      <c r="I34" s="3203">
        <v>463331.5</v>
      </c>
      <c r="J34" s="3203">
        <f>'[11]Смета Ведомственая'!$G$35+'[11]Смета Ведомственая'!$G$34</f>
        <v>677893.52040892886</v>
      </c>
      <c r="K34" s="3203">
        <f>J34</f>
        <v>677893.52040892886</v>
      </c>
      <c r="L34" s="3203">
        <f>K34</f>
        <v>677893.52040892886</v>
      </c>
      <c r="M34" s="3215" t="s">
        <v>454</v>
      </c>
      <c r="N34" s="284">
        <v>463331.5</v>
      </c>
      <c r="O34" s="175"/>
      <c r="P34" s="175"/>
    </row>
    <row r="35" spans="1:16" s="199" customFormat="1" ht="205.5" customHeight="1" x14ac:dyDescent="0.3">
      <c r="A35" s="3210"/>
      <c r="B35" s="3211"/>
      <c r="C35" s="201" t="s">
        <v>491</v>
      </c>
      <c r="D35" s="3213"/>
      <c r="E35" s="3209"/>
      <c r="F35" s="3209"/>
      <c r="G35" s="3209"/>
      <c r="H35" s="3218"/>
      <c r="I35" s="3209"/>
      <c r="J35" s="3209"/>
      <c r="K35" s="3209"/>
      <c r="L35" s="3209"/>
      <c r="M35" s="3215"/>
      <c r="N35" s="280"/>
      <c r="O35" s="175"/>
      <c r="P35" s="175"/>
    </row>
    <row r="36" spans="1:16" s="199" customFormat="1" ht="90.75" customHeight="1" x14ac:dyDescent="0.3">
      <c r="A36" s="3210"/>
      <c r="B36" s="3208"/>
      <c r="C36" s="203" t="s">
        <v>492</v>
      </c>
      <c r="D36" s="3214"/>
      <c r="E36" s="3204"/>
      <c r="F36" s="3204"/>
      <c r="G36" s="3204"/>
      <c r="H36" s="3206"/>
      <c r="I36" s="3204"/>
      <c r="J36" s="3204"/>
      <c r="K36" s="3204"/>
      <c r="L36" s="3204"/>
      <c r="M36" s="3215"/>
      <c r="N36" s="280"/>
      <c r="O36" s="175"/>
      <c r="P36" s="175"/>
    </row>
    <row r="37" spans="1:16" s="192" customFormat="1" ht="96" customHeight="1" x14ac:dyDescent="0.3">
      <c r="A37" s="3216" t="s">
        <v>493</v>
      </c>
      <c r="B37" s="3201" t="s">
        <v>494</v>
      </c>
      <c r="C37" s="189" t="s">
        <v>484</v>
      </c>
      <c r="D37" s="3212" t="s">
        <v>495</v>
      </c>
      <c r="E37" s="3203" t="e">
        <f>#REF!</f>
        <v>#REF!</v>
      </c>
      <c r="F37" s="3203" t="e">
        <f>#REF!</f>
        <v>#REF!</v>
      </c>
      <c r="G37" s="3203" t="e">
        <f>#REF!</f>
        <v>#REF!</v>
      </c>
      <c r="H37" s="3205" t="e">
        <f>#REF!</f>
        <v>#REF!</v>
      </c>
      <c r="I37" s="3219">
        <v>68514.3</v>
      </c>
      <c r="J37" s="3219">
        <f>'[11]Смета Ведомственая'!$G$23+'[11]Смета Ведомственая'!$G$22+'[11]Смета Ведомственая'!$G$21-11022.8</f>
        <v>91363.535697566549</v>
      </c>
      <c r="K37" s="3219">
        <f>J37</f>
        <v>91363.535697566549</v>
      </c>
      <c r="L37" s="3203">
        <f>K37</f>
        <v>91363.535697566549</v>
      </c>
      <c r="M37" s="3207" t="s">
        <v>454</v>
      </c>
      <c r="N37" s="283">
        <v>68514.3</v>
      </c>
      <c r="O37" s="209"/>
      <c r="P37" s="209"/>
    </row>
    <row r="38" spans="1:16" s="192" customFormat="1" ht="224.25" customHeight="1" x14ac:dyDescent="0.3">
      <c r="A38" s="3216"/>
      <c r="B38" s="3217"/>
      <c r="C38" s="225" t="s">
        <v>491</v>
      </c>
      <c r="D38" s="3213"/>
      <c r="E38" s="3209"/>
      <c r="F38" s="3209"/>
      <c r="G38" s="3209"/>
      <c r="H38" s="3218"/>
      <c r="I38" s="3219"/>
      <c r="J38" s="3219"/>
      <c r="K38" s="3219"/>
      <c r="L38" s="3209"/>
      <c r="M38" s="3207"/>
      <c r="N38" s="279"/>
      <c r="O38" s="209"/>
      <c r="P38" s="209"/>
    </row>
    <row r="39" spans="1:16" s="192" customFormat="1" ht="104.25" customHeight="1" x14ac:dyDescent="0.3">
      <c r="A39" s="3216"/>
      <c r="B39" s="3202"/>
      <c r="C39" s="226" t="s">
        <v>496</v>
      </c>
      <c r="D39" s="3214"/>
      <c r="E39" s="3204"/>
      <c r="F39" s="3204"/>
      <c r="G39" s="3204"/>
      <c r="H39" s="3206"/>
      <c r="I39" s="3219"/>
      <c r="J39" s="3219"/>
      <c r="K39" s="3219"/>
      <c r="L39" s="3204"/>
      <c r="M39" s="3207"/>
      <c r="N39" s="279"/>
      <c r="O39" s="209"/>
      <c r="P39" s="209"/>
    </row>
    <row r="40" spans="1:16" s="192" customFormat="1" ht="260.25" customHeight="1" x14ac:dyDescent="0.3">
      <c r="A40" s="3197" t="s">
        <v>497</v>
      </c>
      <c r="B40" s="3208" t="s">
        <v>498</v>
      </c>
      <c r="C40" s="226" t="s">
        <v>499</v>
      </c>
      <c r="D40" s="3212" t="s">
        <v>495</v>
      </c>
      <c r="E40" s="3203" t="e">
        <f>#REF!</f>
        <v>#REF!</v>
      </c>
      <c r="F40" s="3203" t="e">
        <f>#REF!</f>
        <v>#REF!</v>
      </c>
      <c r="G40" s="3203" t="e">
        <f>#REF!</f>
        <v>#REF!</v>
      </c>
      <c r="H40" s="3205" t="e">
        <f>#REF!</f>
        <v>#REF!</v>
      </c>
      <c r="I40" s="3203">
        <v>16088</v>
      </c>
      <c r="J40" s="3203">
        <f>'[11]Смета Ведомственая'!$G$38</f>
        <v>37237.369100000004</v>
      </c>
      <c r="K40" s="3203">
        <f>J40</f>
        <v>37237.369100000004</v>
      </c>
      <c r="L40" s="3203">
        <f>K40</f>
        <v>37237.369100000004</v>
      </c>
      <c r="M40" s="3207" t="s">
        <v>454</v>
      </c>
      <c r="N40" s="283">
        <v>16088</v>
      </c>
      <c r="O40" s="209"/>
      <c r="P40" s="209"/>
    </row>
    <row r="41" spans="1:16" s="192" customFormat="1" ht="93" customHeight="1" x14ac:dyDescent="0.3">
      <c r="A41" s="3197"/>
      <c r="B41" s="3208"/>
      <c r="C41" s="226" t="s">
        <v>496</v>
      </c>
      <c r="D41" s="3214"/>
      <c r="E41" s="3204"/>
      <c r="F41" s="3204"/>
      <c r="G41" s="3204"/>
      <c r="H41" s="3206"/>
      <c r="I41" s="3204"/>
      <c r="J41" s="3204"/>
      <c r="K41" s="3204"/>
      <c r="L41" s="3204"/>
      <c r="M41" s="3207"/>
      <c r="N41" s="279"/>
      <c r="O41" s="209"/>
      <c r="P41" s="209"/>
    </row>
    <row r="42" spans="1:16" s="192" customFormat="1" ht="279.75" customHeight="1" x14ac:dyDescent="0.3">
      <c r="A42" s="3199" t="s">
        <v>590</v>
      </c>
      <c r="B42" s="3201" t="s">
        <v>461</v>
      </c>
      <c r="C42" s="196" t="s">
        <v>466</v>
      </c>
      <c r="D42" s="191" t="s">
        <v>457</v>
      </c>
      <c r="E42" s="3203" t="e">
        <f>#REF!</f>
        <v>#REF!</v>
      </c>
      <c r="F42" s="3203" t="e">
        <f>#REF!</f>
        <v>#REF!</v>
      </c>
      <c r="G42" s="3203" t="e">
        <f>#REF!</f>
        <v>#REF!</v>
      </c>
      <c r="H42" s="3205">
        <v>1898.5</v>
      </c>
      <c r="I42" s="3203">
        <v>0</v>
      </c>
      <c r="J42" s="3203">
        <v>0</v>
      </c>
      <c r="K42" s="3203">
        <v>0</v>
      </c>
      <c r="L42" s="3203">
        <f>K42</f>
        <v>0</v>
      </c>
      <c r="M42" s="3212" t="s">
        <v>454</v>
      </c>
      <c r="N42" s="279">
        <f>I42</f>
        <v>0</v>
      </c>
      <c r="O42" s="209">
        <v>1497.8</v>
      </c>
      <c r="P42" s="209"/>
    </row>
    <row r="43" spans="1:16" s="192" customFormat="1" ht="252.75" customHeight="1" x14ac:dyDescent="0.3">
      <c r="A43" s="3200"/>
      <c r="B43" s="3202"/>
      <c r="C43" s="197" t="s">
        <v>467</v>
      </c>
      <c r="D43" s="185" t="s">
        <v>478</v>
      </c>
      <c r="E43" s="3204"/>
      <c r="F43" s="3204"/>
      <c r="G43" s="3204"/>
      <c r="H43" s="3206"/>
      <c r="I43" s="3204"/>
      <c r="J43" s="3204"/>
      <c r="K43" s="3204"/>
      <c r="L43" s="3204"/>
      <c r="M43" s="3214"/>
      <c r="N43" s="279"/>
      <c r="O43" s="209"/>
      <c r="P43" s="209"/>
    </row>
    <row r="44" spans="1:16" s="192" customFormat="1" ht="161.25" customHeight="1" x14ac:dyDescent="0.3">
      <c r="A44" s="205" t="s">
        <v>589</v>
      </c>
      <c r="B44" s="184" t="s">
        <v>500</v>
      </c>
      <c r="C44" s="227" t="s">
        <v>501</v>
      </c>
      <c r="D44" s="185" t="s">
        <v>478</v>
      </c>
      <c r="E44" s="186" t="e">
        <f>#REF!</f>
        <v>#REF!</v>
      </c>
      <c r="F44" s="186" t="e">
        <f>#REF!</f>
        <v>#REF!</v>
      </c>
      <c r="G44" s="186" t="e">
        <f>#REF!</f>
        <v>#REF!</v>
      </c>
      <c r="H44" s="187" t="e">
        <f>#REF!</f>
        <v>#REF!</v>
      </c>
      <c r="I44" s="186">
        <v>11009.4</v>
      </c>
      <c r="J44" s="206">
        <f>'[11]Смета Ведомственая'!$G$49</f>
        <v>10506.296366727167</v>
      </c>
      <c r="K44" s="206">
        <f>J44</f>
        <v>10506.296366727167</v>
      </c>
      <c r="L44" s="206">
        <f>K44</f>
        <v>10506.296366727167</v>
      </c>
      <c r="M44" s="185" t="s">
        <v>454</v>
      </c>
      <c r="N44" s="282">
        <v>11009.4</v>
      </c>
      <c r="O44" s="209"/>
      <c r="P44" s="209"/>
    </row>
    <row r="45" spans="1:16" s="192" customFormat="1" ht="137.25" customHeight="1" x14ac:dyDescent="0.3">
      <c r="A45" s="3197" t="s">
        <v>591</v>
      </c>
      <c r="B45" s="3198" t="s">
        <v>502</v>
      </c>
      <c r="C45" s="227" t="s">
        <v>503</v>
      </c>
      <c r="D45" s="185" t="s">
        <v>478</v>
      </c>
      <c r="E45" s="186" t="e">
        <f>#REF!</f>
        <v>#REF!</v>
      </c>
      <c r="F45" s="186">
        <v>2350</v>
      </c>
      <c r="G45" s="186" t="e">
        <f>#REF!</f>
        <v>#REF!</v>
      </c>
      <c r="H45" s="187">
        <v>2450</v>
      </c>
      <c r="I45" s="186">
        <v>0</v>
      </c>
      <c r="J45" s="186" t="e">
        <f>#REF!</f>
        <v>#REF!</v>
      </c>
      <c r="K45" s="186" t="e">
        <f>#REF!</f>
        <v>#REF!</v>
      </c>
      <c r="L45" s="186" t="e">
        <f>K45</f>
        <v>#REF!</v>
      </c>
      <c r="M45" s="185"/>
      <c r="N45" s="275"/>
      <c r="O45" s="209"/>
      <c r="P45" s="209"/>
    </row>
    <row r="46" spans="1:16" s="192" customFormat="1" ht="90" x14ac:dyDescent="0.3">
      <c r="A46" s="3197"/>
      <c r="B46" s="3198"/>
      <c r="C46" s="184" t="s">
        <v>504</v>
      </c>
      <c r="D46" s="185" t="s">
        <v>478</v>
      </c>
      <c r="E46" s="207" t="e">
        <f>#REF!</f>
        <v>#REF!</v>
      </c>
      <c r="F46" s="207">
        <v>710.4</v>
      </c>
      <c r="G46" s="207" t="e">
        <f>#REF!</f>
        <v>#REF!</v>
      </c>
      <c r="H46" s="207">
        <v>750</v>
      </c>
      <c r="I46" s="207">
        <v>0</v>
      </c>
      <c r="J46" s="207">
        <v>0</v>
      </c>
      <c r="K46" s="207">
        <v>0</v>
      </c>
      <c r="L46" s="207">
        <f>K46</f>
        <v>0</v>
      </c>
      <c r="M46" s="185" t="s">
        <v>454</v>
      </c>
      <c r="N46" s="275"/>
      <c r="O46" s="209"/>
      <c r="P46" s="209"/>
    </row>
    <row r="47" spans="1:16" s="192" customFormat="1" ht="293.25" customHeight="1" x14ac:dyDescent="0.3">
      <c r="A47" s="205" t="s">
        <v>592</v>
      </c>
      <c r="B47" s="184" t="s">
        <v>505</v>
      </c>
      <c r="C47" s="227" t="s">
        <v>506</v>
      </c>
      <c r="D47" s="185" t="s">
        <v>478</v>
      </c>
      <c r="E47" s="207" t="e">
        <f>#REF!+#REF!+#REF!</f>
        <v>#REF!</v>
      </c>
      <c r="F47" s="207" t="e">
        <f>491+#REF!</f>
        <v>#REF!</v>
      </c>
      <c r="G47" s="207" t="e">
        <f>#REF!+#REF!+#REF!</f>
        <v>#REF!</v>
      </c>
      <c r="H47" s="207" t="e">
        <f>#REF!+#REF!</f>
        <v>#REF!</v>
      </c>
      <c r="I47" s="207">
        <v>443</v>
      </c>
      <c r="J47" s="207">
        <f>'[11]Смета Ведомственая'!$G$56</f>
        <v>443</v>
      </c>
      <c r="K47" s="207" t="e">
        <f>#REF!+#REF!+#REF!</f>
        <v>#REF!</v>
      </c>
      <c r="L47" s="207" t="e">
        <f>K47</f>
        <v>#REF!</v>
      </c>
      <c r="M47" s="185" t="s">
        <v>454</v>
      </c>
      <c r="N47" s="282">
        <v>443</v>
      </c>
      <c r="O47" s="209"/>
      <c r="P47" s="209"/>
    </row>
    <row r="48" spans="1:16" s="192" customFormat="1" ht="191.25" customHeight="1" x14ac:dyDescent="0.3">
      <c r="A48" s="205" t="s">
        <v>593</v>
      </c>
      <c r="B48" s="184"/>
      <c r="C48" s="227" t="s">
        <v>560</v>
      </c>
      <c r="D48" s="185" t="s">
        <v>478</v>
      </c>
      <c r="E48" s="207">
        <v>0</v>
      </c>
      <c r="F48" s="207">
        <v>0</v>
      </c>
      <c r="G48" s="207">
        <v>0</v>
      </c>
      <c r="H48" s="207">
        <v>0</v>
      </c>
      <c r="I48" s="207" t="e">
        <f>#REF!</f>
        <v>#REF!</v>
      </c>
      <c r="J48" s="207">
        <f>'[11]Смета Ведомственая'!$G$58</f>
        <v>46500</v>
      </c>
      <c r="K48" s="207">
        <v>37500</v>
      </c>
      <c r="L48" s="207">
        <v>41100</v>
      </c>
      <c r="M48" s="185" t="s">
        <v>454</v>
      </c>
      <c r="N48" s="282" t="e">
        <f>I48</f>
        <v>#REF!</v>
      </c>
      <c r="O48" s="209"/>
      <c r="P48" s="209"/>
    </row>
    <row r="49" spans="1:16" s="192" customFormat="1" ht="281.25" customHeight="1" x14ac:dyDescent="0.3">
      <c r="A49" s="205" t="s">
        <v>594</v>
      </c>
      <c r="B49" s="184"/>
      <c r="C49" s="227" t="s">
        <v>561</v>
      </c>
      <c r="D49" s="185" t="s">
        <v>478</v>
      </c>
      <c r="E49" s="207">
        <v>0</v>
      </c>
      <c r="F49" s="207">
        <v>0</v>
      </c>
      <c r="G49" s="207">
        <v>0</v>
      </c>
      <c r="H49" s="207">
        <v>0</v>
      </c>
      <c r="I49" s="207" t="e">
        <f>#REF!</f>
        <v>#REF!</v>
      </c>
      <c r="J49" s="207">
        <f>'[11]Смета Ведомственая'!$G$59</f>
        <v>32885</v>
      </c>
      <c r="K49" s="207">
        <v>32720</v>
      </c>
      <c r="L49" s="207">
        <v>33555</v>
      </c>
      <c r="M49" s="185" t="s">
        <v>454</v>
      </c>
      <c r="N49" s="282" t="e">
        <f>I49</f>
        <v>#REF!</v>
      </c>
      <c r="O49" s="209"/>
      <c r="P49" s="209"/>
    </row>
    <row r="50" spans="1:16" s="209" customFormat="1" x14ac:dyDescent="0.3">
      <c r="A50" s="204"/>
      <c r="B50" s="184" t="s">
        <v>507</v>
      </c>
      <c r="C50" s="185"/>
      <c r="D50" s="185"/>
      <c r="E50" s="208" t="e">
        <f>SUM(E12:E49)</f>
        <v>#REF!</v>
      </c>
      <c r="F50" s="208" t="e">
        <f>SUM(F12:F49)</f>
        <v>#REF!</v>
      </c>
      <c r="G50" s="208" t="e">
        <f t="shared" ref="G50:L50" si="0">SUM(G12:G49)</f>
        <v>#REF!</v>
      </c>
      <c r="H50" s="208" t="e">
        <f t="shared" si="0"/>
        <v>#REF!</v>
      </c>
      <c r="I50" s="208" t="e">
        <f>SUM(I12:I49)</f>
        <v>#REF!</v>
      </c>
      <c r="J50" s="208" t="e">
        <f>SUM(J12:J49)</f>
        <v>#REF!</v>
      </c>
      <c r="K50" s="208" t="e">
        <f>SUM(K12:K49)</f>
        <v>#REF!</v>
      </c>
      <c r="L50" s="208" t="e">
        <f t="shared" si="0"/>
        <v>#REF!</v>
      </c>
      <c r="M50" s="186"/>
      <c r="N50" s="282"/>
    </row>
    <row r="51" spans="1:16" x14ac:dyDescent="0.3">
      <c r="A51" s="3243" t="s">
        <v>508</v>
      </c>
      <c r="B51" s="3243"/>
      <c r="C51" s="3243"/>
      <c r="D51" s="3243"/>
      <c r="E51" s="3243"/>
      <c r="F51" s="3243"/>
      <c r="G51" s="3243"/>
      <c r="H51" s="3243"/>
      <c r="I51" s="3243"/>
      <c r="J51" s="3243"/>
      <c r="K51" s="3243"/>
      <c r="L51" s="3243"/>
      <c r="M51" s="3243"/>
      <c r="N51" s="281"/>
    </row>
    <row r="52" spans="1:16" s="199" customFormat="1" ht="180" x14ac:dyDescent="0.3">
      <c r="A52" s="210" t="s">
        <v>10</v>
      </c>
      <c r="B52" s="228" t="s">
        <v>509</v>
      </c>
      <c r="C52" s="228" t="s">
        <v>510</v>
      </c>
      <c r="D52" s="212" t="s">
        <v>478</v>
      </c>
      <c r="E52" s="202" t="e">
        <f>#REF!</f>
        <v>#REF!</v>
      </c>
      <c r="F52" s="202" t="e">
        <f>#REF!</f>
        <v>#REF!</v>
      </c>
      <c r="G52" s="202" t="e">
        <f>#REF!</f>
        <v>#REF!</v>
      </c>
      <c r="H52" s="202">
        <v>2841</v>
      </c>
      <c r="I52" s="202" t="e">
        <f>#REF!</f>
        <v>#REF!</v>
      </c>
      <c r="J52" s="202">
        <f>'[11]Смета Ведомственая'!$G$41</f>
        <v>3248.7</v>
      </c>
      <c r="K52" s="202">
        <f>J52</f>
        <v>3248.7</v>
      </c>
      <c r="L52" s="202">
        <f>K52</f>
        <v>3248.7</v>
      </c>
      <c r="M52" s="185" t="s">
        <v>454</v>
      </c>
      <c r="N52" s="281" t="e">
        <f>I52</f>
        <v>#REF!</v>
      </c>
      <c r="O52" s="175"/>
      <c r="P52" s="175"/>
    </row>
    <row r="53" spans="1:16" s="199" customFormat="1" ht="52.5" customHeight="1" x14ac:dyDescent="0.3">
      <c r="A53" s="213"/>
      <c r="B53" s="211"/>
      <c r="C53" s="3242" t="s">
        <v>577</v>
      </c>
      <c r="D53" s="3242"/>
      <c r="E53" s="224" t="e">
        <f t="shared" ref="E53:L53" si="1">E52+E50</f>
        <v>#REF!</v>
      </c>
      <c r="F53" s="224" t="e">
        <f t="shared" si="1"/>
        <v>#REF!</v>
      </c>
      <c r="G53" s="224" t="e">
        <f t="shared" si="1"/>
        <v>#REF!</v>
      </c>
      <c r="H53" s="224" t="e">
        <f>H52+H50</f>
        <v>#REF!</v>
      </c>
      <c r="I53" s="224" t="e">
        <f>I52+I50</f>
        <v>#REF!</v>
      </c>
      <c r="J53" s="224" t="e">
        <f>J52+J50</f>
        <v>#REF!</v>
      </c>
      <c r="K53" s="224" t="e">
        <f t="shared" si="1"/>
        <v>#REF!</v>
      </c>
      <c r="L53" s="224" t="e">
        <f t="shared" si="1"/>
        <v>#REF!</v>
      </c>
      <c r="M53" s="185"/>
      <c r="N53" s="183"/>
      <c r="O53" s="175"/>
      <c r="P53" s="183" t="e">
        <f>N19+N16+N13</f>
        <v>#REF!</v>
      </c>
    </row>
    <row r="54" spans="1:16" s="199" customFormat="1" x14ac:dyDescent="0.3">
      <c r="A54" s="213"/>
      <c r="B54" s="214"/>
      <c r="C54" s="215"/>
      <c r="D54" s="216"/>
      <c r="E54" s="217"/>
      <c r="F54" s="217"/>
      <c r="G54" s="217"/>
      <c r="H54" s="217"/>
      <c r="I54" s="217"/>
      <c r="J54" s="217"/>
      <c r="K54" s="217"/>
      <c r="L54" s="217"/>
      <c r="M54" s="218"/>
      <c r="N54" s="175"/>
      <c r="O54" s="175"/>
      <c r="P54" s="276"/>
    </row>
    <row r="55" spans="1:16" ht="42.75" customHeight="1" x14ac:dyDescent="0.3">
      <c r="B55" s="229" t="s">
        <v>66</v>
      </c>
      <c r="C55" s="230"/>
      <c r="D55" s="230"/>
      <c r="E55" s="231"/>
      <c r="F55" s="231"/>
      <c r="G55" s="232"/>
      <c r="H55" s="232"/>
      <c r="I55" s="231"/>
      <c r="J55" s="231"/>
      <c r="M55" s="218"/>
      <c r="P55" s="281" t="e">
        <f>N52+N49+N48+N47+N44+N40+N37+N34+N29+N25+N21+N12</f>
        <v>#REF!</v>
      </c>
    </row>
    <row r="56" spans="1:16" s="223" customFormat="1" ht="147" customHeight="1" x14ac:dyDescent="0.3">
      <c r="B56" s="3241" t="s">
        <v>574</v>
      </c>
      <c r="C56" s="3241"/>
      <c r="D56" s="3241"/>
      <c r="E56" s="3241"/>
      <c r="F56" s="3241"/>
      <c r="G56" s="3241"/>
      <c r="H56" s="3241"/>
      <c r="I56" s="3241"/>
      <c r="J56" s="3241"/>
      <c r="P56" s="285" t="e">
        <f>I53+3908+22086</f>
        <v>#REF!</v>
      </c>
    </row>
    <row r="57" spans="1:16" s="223" customFormat="1" ht="74.25" customHeight="1" x14ac:dyDescent="0.3">
      <c r="B57" s="3241" t="s">
        <v>631</v>
      </c>
      <c r="C57" s="3241"/>
      <c r="D57" s="3241"/>
      <c r="E57" s="3241"/>
      <c r="F57" s="3241"/>
      <c r="G57" s="3241"/>
      <c r="H57" s="3241"/>
      <c r="I57" s="3241"/>
      <c r="J57" s="3241"/>
    </row>
    <row r="58" spans="1:16" s="125" customFormat="1" ht="80.25" customHeight="1" x14ac:dyDescent="0.2">
      <c r="B58" s="3240" t="s">
        <v>626</v>
      </c>
      <c r="C58" s="3240"/>
      <c r="D58" s="3240"/>
      <c r="E58" s="3240"/>
      <c r="F58" s="3240"/>
      <c r="G58" s="3240"/>
      <c r="H58" s="3240"/>
      <c r="I58" s="3240"/>
    </row>
    <row r="59" spans="1:16" ht="21.75" customHeight="1" x14ac:dyDescent="0.3"/>
    <row r="60" spans="1:16" ht="12" customHeight="1" x14ac:dyDescent="0.3"/>
  </sheetData>
  <mergeCells count="134">
    <mergeCell ref="B58:I58"/>
    <mergeCell ref="B57:J57"/>
    <mergeCell ref="B56:J56"/>
    <mergeCell ref="C53:D53"/>
    <mergeCell ref="D21:D24"/>
    <mergeCell ref="D40:D41"/>
    <mergeCell ref="I21:I24"/>
    <mergeCell ref="J21:J24"/>
    <mergeCell ref="I25:I28"/>
    <mergeCell ref="J25:J28"/>
    <mergeCell ref="I42:I43"/>
    <mergeCell ref="J42:J43"/>
    <mergeCell ref="J40:J41"/>
    <mergeCell ref="A51:M51"/>
    <mergeCell ref="L40:L41"/>
    <mergeCell ref="M40:M41"/>
    <mergeCell ref="L42:L43"/>
    <mergeCell ref="M42:M43"/>
    <mergeCell ref="A21:A24"/>
    <mergeCell ref="B21:B24"/>
    <mergeCell ref="E21:E24"/>
    <mergeCell ref="F21:F24"/>
    <mergeCell ref="G21:G24"/>
    <mergeCell ref="H21:H24"/>
    <mergeCell ref="A5:M5"/>
    <mergeCell ref="A6:M6"/>
    <mergeCell ref="A8:B10"/>
    <mergeCell ref="C8:C10"/>
    <mergeCell ref="D8:D10"/>
    <mergeCell ref="E8:L8"/>
    <mergeCell ref="M8:M10"/>
    <mergeCell ref="E9:F9"/>
    <mergeCell ref="G9:H9"/>
    <mergeCell ref="I9:L9"/>
    <mergeCell ref="B11:M11"/>
    <mergeCell ref="A13:A15"/>
    <mergeCell ref="B13:B15"/>
    <mergeCell ref="E13:E15"/>
    <mergeCell ref="F13:F15"/>
    <mergeCell ref="G13:G15"/>
    <mergeCell ref="H13:H15"/>
    <mergeCell ref="I13:I15"/>
    <mergeCell ref="J13:J15"/>
    <mergeCell ref="K13:K15"/>
    <mergeCell ref="L13:L15"/>
    <mergeCell ref="M13:M15"/>
    <mergeCell ref="L16:L18"/>
    <mergeCell ref="M16:M18"/>
    <mergeCell ref="A19:A20"/>
    <mergeCell ref="B19:B20"/>
    <mergeCell ref="E19:E20"/>
    <mergeCell ref="F19:F20"/>
    <mergeCell ref="G19:G20"/>
    <mergeCell ref="H19:H20"/>
    <mergeCell ref="I19:I20"/>
    <mergeCell ref="J19:J20"/>
    <mergeCell ref="K19:K20"/>
    <mergeCell ref="L19:L20"/>
    <mergeCell ref="M19:M20"/>
    <mergeCell ref="A16:A18"/>
    <mergeCell ref="B16:B18"/>
    <mergeCell ref="E16:E18"/>
    <mergeCell ref="F16:F18"/>
    <mergeCell ref="G16:G18"/>
    <mergeCell ref="H16:H18"/>
    <mergeCell ref="I16:I18"/>
    <mergeCell ref="J16:J18"/>
    <mergeCell ref="K16:K18"/>
    <mergeCell ref="K21:K24"/>
    <mergeCell ref="L21:L24"/>
    <mergeCell ref="M21:M24"/>
    <mergeCell ref="M25:M28"/>
    <mergeCell ref="A29:A33"/>
    <mergeCell ref="B29:B33"/>
    <mergeCell ref="D29:D33"/>
    <mergeCell ref="E29:E33"/>
    <mergeCell ref="F29:F33"/>
    <mergeCell ref="G29:G33"/>
    <mergeCell ref="H29:H33"/>
    <mergeCell ref="I29:I33"/>
    <mergeCell ref="J29:J33"/>
    <mergeCell ref="K29:K33"/>
    <mergeCell ref="L29:L33"/>
    <mergeCell ref="M29:M33"/>
    <mergeCell ref="A25:A28"/>
    <mergeCell ref="B25:B28"/>
    <mergeCell ref="D25:D28"/>
    <mergeCell ref="E25:E28"/>
    <mergeCell ref="F25:F28"/>
    <mergeCell ref="G25:G28"/>
    <mergeCell ref="H25:H28"/>
    <mergeCell ref="K25:K28"/>
    <mergeCell ref="L25:L28"/>
    <mergeCell ref="A34:A36"/>
    <mergeCell ref="B34:B36"/>
    <mergeCell ref="D34:D36"/>
    <mergeCell ref="L34:L36"/>
    <mergeCell ref="K34:K36"/>
    <mergeCell ref="M34:M36"/>
    <mergeCell ref="A37:A39"/>
    <mergeCell ref="B37:B39"/>
    <mergeCell ref="D37:D39"/>
    <mergeCell ref="E37:E39"/>
    <mergeCell ref="F37:F39"/>
    <mergeCell ref="G37:G39"/>
    <mergeCell ref="H37:H39"/>
    <mergeCell ref="I37:I39"/>
    <mergeCell ref="J37:J39"/>
    <mergeCell ref="J34:J36"/>
    <mergeCell ref="I34:I36"/>
    <mergeCell ref="H34:H36"/>
    <mergeCell ref="G34:G36"/>
    <mergeCell ref="F34:F36"/>
    <mergeCell ref="E34:E36"/>
    <mergeCell ref="K37:K39"/>
    <mergeCell ref="L37:L39"/>
    <mergeCell ref="M37:M39"/>
    <mergeCell ref="A40:A41"/>
    <mergeCell ref="B40:B41"/>
    <mergeCell ref="E40:E41"/>
    <mergeCell ref="F40:F41"/>
    <mergeCell ref="G40:G41"/>
    <mergeCell ref="H40:H41"/>
    <mergeCell ref="I40:I41"/>
    <mergeCell ref="K40:K41"/>
    <mergeCell ref="A45:A46"/>
    <mergeCell ref="B45:B46"/>
    <mergeCell ref="A42:A43"/>
    <mergeCell ref="B42:B43"/>
    <mergeCell ref="E42:E43"/>
    <mergeCell ref="F42:F43"/>
    <mergeCell ref="G42:G43"/>
    <mergeCell ref="K42:K43"/>
    <mergeCell ref="H42:H43"/>
  </mergeCells>
  <dataValidations xWindow="1054" yWindow="758" count="1">
    <dataValidation type="decimal" operator="greaterThan" allowBlank="1" showInputMessage="1" showErrorMessage="1" errorTitle="Введите число!" error="Введите число!" promptTitle="Проверка корректности" prompt="Введите число" sqref="F21:F26 E42:K50 L44:L50 J37:K38 L42 I40:L40 L21 L13 L19 L16 G21:G25 E40:G40 F16:F20 G37 F37:F38 J16:J25 I37:I39 L37 F12:L12 E29:L29 H37:H40 K25:L25 E34:L34 H21:H28 E37 I21:I25 K16:K21 K13 J13 I16:I20 I13 H16:H20 H13 G16:G20 G13 F13 E12:E13 E16:E25">
      <formula1>-100000000000</formula1>
    </dataValidation>
  </dataValidations>
  <pageMargins left="0.70866141732283472" right="0.70866141732283472" top="0.74803149606299213" bottom="0.74803149606299213" header="0.31496062992125984" footer="0.31496062992125984"/>
  <pageSetup paperSize="9" scale="30" orientation="landscape" r:id="rId1"/>
  <rowBreaks count="4" manualBreakCount="4">
    <brk id="17" max="12" man="1"/>
    <brk id="25" max="12" man="1"/>
    <brk id="38" max="12" man="1"/>
    <brk id="47" max="12" man="1"/>
  </rowBreaks>
  <colBreaks count="1" manualBreakCount="1">
    <brk id="13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:V90"/>
  <sheetViews>
    <sheetView view="pageBreakPreview" zoomScale="30" zoomScaleNormal="30" zoomScaleSheetLayoutView="30" zoomScalePageLayoutView="30" workbookViewId="0">
      <selection activeCell="C10" sqref="C10:O66"/>
    </sheetView>
  </sheetViews>
  <sheetFormatPr baseColWidth="10" defaultColWidth="8.83203125" defaultRowHeight="40" x14ac:dyDescent="0.4"/>
  <cols>
    <col min="1" max="1" width="8.83203125" style="512"/>
    <col min="2" max="2" width="2" style="512" customWidth="1"/>
    <col min="3" max="3" width="16.5" style="507" customWidth="1"/>
    <col min="4" max="4" width="108.5" style="501" customWidth="1"/>
    <col min="5" max="5" width="135" style="531" customWidth="1"/>
    <col min="6" max="6" width="30.33203125" style="531" customWidth="1"/>
    <col min="7" max="7" width="35.5" style="528" customWidth="1"/>
    <col min="8" max="8" width="48.1640625" style="528" customWidth="1"/>
    <col min="9" max="9" width="38.5" style="2171" customWidth="1"/>
    <col min="10" max="10" width="37" style="2367" customWidth="1"/>
    <col min="11" max="11" width="36.6640625" style="528" customWidth="1"/>
    <col min="12" max="14" width="30.83203125" style="528" customWidth="1"/>
    <col min="15" max="15" width="29.33203125" style="512" customWidth="1"/>
    <col min="16" max="16" width="1.5" style="512" customWidth="1"/>
    <col min="17" max="18" width="29.33203125" style="2345" customWidth="1"/>
    <col min="19" max="19" width="28.5" style="512" customWidth="1"/>
    <col min="20" max="20" width="56.33203125" style="512" customWidth="1"/>
    <col min="21" max="21" width="77.6640625" style="512" customWidth="1"/>
    <col min="22" max="22" width="87.33203125" style="512" customWidth="1"/>
    <col min="23" max="16384" width="8.83203125" style="512"/>
  </cols>
  <sheetData>
    <row r="2" spans="3:20" x14ac:dyDescent="0.4">
      <c r="C2" s="502"/>
      <c r="D2" s="497"/>
      <c r="E2" s="509"/>
      <c r="F2" s="509"/>
      <c r="G2" s="510"/>
      <c r="H2" s="510"/>
      <c r="I2" s="2167"/>
      <c r="J2" s="2365"/>
      <c r="K2" s="510"/>
      <c r="L2" s="510"/>
      <c r="M2" s="510"/>
      <c r="N2" s="510"/>
      <c r="O2" s="511" t="s">
        <v>441</v>
      </c>
      <c r="P2" s="511"/>
      <c r="Q2" s="2342"/>
      <c r="R2" s="2342"/>
    </row>
    <row r="3" spans="3:20" x14ac:dyDescent="0.4">
      <c r="C3" s="502"/>
      <c r="D3" s="497"/>
      <c r="E3" s="509"/>
      <c r="F3" s="509"/>
      <c r="G3" s="510"/>
      <c r="H3" s="510"/>
      <c r="I3" s="2167"/>
      <c r="J3" s="2365"/>
      <c r="K3" s="510"/>
      <c r="L3" s="510"/>
      <c r="M3" s="510"/>
      <c r="N3" s="510"/>
      <c r="O3" s="511" t="s">
        <v>1640</v>
      </c>
      <c r="P3" s="511"/>
      <c r="Q3" s="2342"/>
      <c r="R3" s="2342"/>
    </row>
    <row r="4" spans="3:20" x14ac:dyDescent="0.4">
      <c r="C4" s="502"/>
      <c r="D4" s="497"/>
      <c r="E4" s="509"/>
      <c r="F4" s="509"/>
      <c r="G4" s="510"/>
      <c r="H4" s="510"/>
      <c r="I4" s="2167"/>
      <c r="J4" s="2365"/>
      <c r="K4" s="510"/>
      <c r="L4" s="510"/>
      <c r="M4" s="510"/>
      <c r="N4" s="510"/>
      <c r="O4" s="511" t="s">
        <v>1822</v>
      </c>
      <c r="P4" s="511"/>
      <c r="Q4" s="2342"/>
      <c r="R4" s="2342"/>
    </row>
    <row r="5" spans="3:20" ht="17.25" customHeight="1" x14ac:dyDescent="0.4">
      <c r="C5" s="503"/>
      <c r="D5" s="498"/>
      <c r="E5" s="509"/>
      <c r="F5" s="509"/>
      <c r="G5" s="510"/>
      <c r="H5" s="510"/>
      <c r="I5" s="2167"/>
      <c r="J5" s="2365"/>
      <c r="K5" s="510"/>
      <c r="L5" s="510"/>
      <c r="M5" s="510"/>
      <c r="N5" s="510"/>
      <c r="O5" s="513"/>
      <c r="P5" s="513"/>
      <c r="Q5" s="513"/>
      <c r="R5" s="513"/>
    </row>
    <row r="6" spans="3:20" ht="17.25" customHeight="1" x14ac:dyDescent="0.4">
      <c r="C6" s="503"/>
      <c r="D6" s="498"/>
      <c r="E6" s="509"/>
      <c r="F6" s="509"/>
      <c r="G6" s="510"/>
      <c r="H6" s="510"/>
      <c r="I6" s="2167"/>
      <c r="J6" s="2365"/>
      <c r="K6" s="510"/>
      <c r="L6" s="510"/>
      <c r="M6" s="510"/>
      <c r="N6" s="510"/>
      <c r="O6" s="513"/>
      <c r="P6" s="513"/>
      <c r="Q6" s="513"/>
      <c r="R6" s="513"/>
    </row>
    <row r="7" spans="3:20" x14ac:dyDescent="0.4">
      <c r="C7" s="2857" t="s">
        <v>442</v>
      </c>
      <c r="D7" s="2857"/>
      <c r="E7" s="2857"/>
      <c r="F7" s="2857"/>
      <c r="G7" s="2857"/>
      <c r="H7" s="2857"/>
      <c r="I7" s="2857"/>
      <c r="J7" s="2857"/>
      <c r="K7" s="2857"/>
      <c r="L7" s="2857"/>
      <c r="M7" s="2857"/>
      <c r="N7" s="2857"/>
      <c r="O7" s="2857"/>
      <c r="P7" s="2650"/>
      <c r="Q7" s="2650"/>
      <c r="R7" s="2650"/>
    </row>
    <row r="8" spans="3:20" ht="39" customHeight="1" x14ac:dyDescent="0.4">
      <c r="C8" s="2857" t="s">
        <v>443</v>
      </c>
      <c r="D8" s="2857"/>
      <c r="E8" s="2857"/>
      <c r="F8" s="2857"/>
      <c r="G8" s="2857"/>
      <c r="H8" s="2857"/>
      <c r="I8" s="2857"/>
      <c r="J8" s="2857"/>
      <c r="K8" s="2857"/>
      <c r="L8" s="2857"/>
      <c r="M8" s="2857"/>
      <c r="N8" s="2857"/>
      <c r="O8" s="2857"/>
      <c r="P8" s="2650"/>
      <c r="Q8" s="2650"/>
      <c r="R8" s="2650"/>
    </row>
    <row r="9" spans="3:20" ht="18" customHeight="1" x14ac:dyDescent="0.4">
      <c r="C9" s="504"/>
      <c r="D9" s="497"/>
      <c r="E9" s="514"/>
      <c r="F9" s="514"/>
      <c r="G9" s="515"/>
      <c r="H9" s="515"/>
      <c r="I9" s="2168"/>
      <c r="J9" s="2334"/>
      <c r="K9" s="515"/>
      <c r="L9" s="515"/>
      <c r="M9" s="515"/>
      <c r="N9" s="515"/>
      <c r="O9" s="514"/>
      <c r="P9" s="514"/>
      <c r="Q9" s="514"/>
      <c r="R9" s="514"/>
    </row>
    <row r="10" spans="3:20" ht="48.75" customHeight="1" x14ac:dyDescent="0.4">
      <c r="C10" s="2858" t="s">
        <v>444</v>
      </c>
      <c r="D10" s="2858"/>
      <c r="E10" s="2858" t="s">
        <v>445</v>
      </c>
      <c r="F10" s="2858" t="s">
        <v>910</v>
      </c>
      <c r="G10" s="2858" t="s">
        <v>447</v>
      </c>
      <c r="H10" s="2858"/>
      <c r="I10" s="2858"/>
      <c r="J10" s="2858"/>
      <c r="K10" s="2858"/>
      <c r="L10" s="2858"/>
      <c r="M10" s="2858"/>
      <c r="N10" s="2858"/>
      <c r="O10" s="2858" t="s">
        <v>448</v>
      </c>
      <c r="P10" s="2334"/>
      <c r="Q10" s="2334"/>
      <c r="R10" s="2334"/>
    </row>
    <row r="11" spans="3:20" ht="39.75" customHeight="1" x14ac:dyDescent="0.4">
      <c r="C11" s="2858"/>
      <c r="D11" s="2858"/>
      <c r="E11" s="2858"/>
      <c r="F11" s="2858"/>
      <c r="G11" s="2859">
        <v>2014</v>
      </c>
      <c r="H11" s="2859"/>
      <c r="I11" s="2858">
        <v>2015</v>
      </c>
      <c r="J11" s="2858"/>
      <c r="K11" s="2858" t="s">
        <v>449</v>
      </c>
      <c r="L11" s="2858"/>
      <c r="M11" s="2858"/>
      <c r="N11" s="2858"/>
      <c r="O11" s="2858"/>
      <c r="P11" s="2334"/>
      <c r="Q11" s="2334"/>
      <c r="R11" s="2334"/>
    </row>
    <row r="12" spans="3:20" ht="82.5" customHeight="1" x14ac:dyDescent="0.4">
      <c r="C12" s="2858"/>
      <c r="D12" s="2858"/>
      <c r="E12" s="2858"/>
      <c r="F12" s="2858"/>
      <c r="G12" s="2705" t="s">
        <v>357</v>
      </c>
      <c r="H12" s="2705" t="s">
        <v>358</v>
      </c>
      <c r="I12" s="2690" t="s">
        <v>357</v>
      </c>
      <c r="J12" s="2705" t="s">
        <v>358</v>
      </c>
      <c r="K12" s="2705">
        <v>2016</v>
      </c>
      <c r="L12" s="2705">
        <v>2017</v>
      </c>
      <c r="M12" s="2705">
        <v>2018</v>
      </c>
      <c r="N12" s="2705">
        <v>2019</v>
      </c>
      <c r="O12" s="2858"/>
      <c r="P12" s="2334"/>
      <c r="Q12" s="2334"/>
      <c r="R12" s="2334"/>
      <c r="S12" s="512">
        <v>2012</v>
      </c>
      <c r="T12" s="512">
        <v>2011</v>
      </c>
    </row>
    <row r="13" spans="3:20" ht="44.25" customHeight="1" x14ac:dyDescent="0.4">
      <c r="C13" s="2701"/>
      <c r="D13" s="2860" t="s">
        <v>450</v>
      </c>
      <c r="E13" s="2860"/>
      <c r="F13" s="2860"/>
      <c r="G13" s="2860"/>
      <c r="H13" s="2860"/>
      <c r="I13" s="2860"/>
      <c r="J13" s="2860"/>
      <c r="K13" s="2860"/>
      <c r="L13" s="2860"/>
      <c r="M13" s="2860"/>
      <c r="N13" s="2860"/>
      <c r="O13" s="2860"/>
      <c r="P13" s="2335"/>
      <c r="Q13" s="2335"/>
      <c r="R13" s="2335"/>
      <c r="S13" s="516"/>
    </row>
    <row r="14" spans="3:20" s="517" customFormat="1" ht="225" customHeight="1" x14ac:dyDescent="0.4">
      <c r="C14" s="2862" t="s">
        <v>7</v>
      </c>
      <c r="D14" s="2845" t="s">
        <v>455</v>
      </c>
      <c r="E14" s="2363" t="s">
        <v>837</v>
      </c>
      <c r="F14" s="2737" t="s">
        <v>457</v>
      </c>
      <c r="G14" s="2844">
        <f>'Роспись 2014'!H35</f>
        <v>45598.799999999996</v>
      </c>
      <c r="H14" s="2844">
        <f>G14</f>
        <v>45598.799999999996</v>
      </c>
      <c r="I14" s="2844">
        <f>J14</f>
        <v>40464.6</v>
      </c>
      <c r="J14" s="2844">
        <f>'2015'!J11</f>
        <v>40464.6</v>
      </c>
      <c r="K14" s="2843">
        <f>'2016'!I9</f>
        <v>42621.7</v>
      </c>
      <c r="L14" s="2843">
        <f>K14</f>
        <v>42621.7</v>
      </c>
      <c r="M14" s="2843">
        <f>L14</f>
        <v>42621.7</v>
      </c>
      <c r="N14" s="2844">
        <f>M14</f>
        <v>42621.7</v>
      </c>
      <c r="O14" s="2850" t="s">
        <v>454</v>
      </c>
      <c r="P14" s="2651"/>
      <c r="Q14" s="2649"/>
      <c r="R14" s="2649"/>
      <c r="S14" s="2340" t="e">
        <f>#REF!</f>
        <v>#REF!</v>
      </c>
    </row>
    <row r="15" spans="3:20" s="517" customFormat="1" ht="132" customHeight="1" x14ac:dyDescent="0.4">
      <c r="C15" s="2862"/>
      <c r="D15" s="2845"/>
      <c r="E15" s="2363" t="s">
        <v>1655</v>
      </c>
      <c r="F15" s="2737"/>
      <c r="G15" s="2844"/>
      <c r="H15" s="2844"/>
      <c r="I15" s="2847"/>
      <c r="J15" s="2844"/>
      <c r="K15" s="2843"/>
      <c r="L15" s="2843"/>
      <c r="M15" s="2843"/>
      <c r="N15" s="2844"/>
      <c r="O15" s="2850"/>
      <c r="P15" s="2651"/>
      <c r="Q15" s="2649"/>
      <c r="R15" s="2649"/>
      <c r="S15" s="2340"/>
    </row>
    <row r="16" spans="3:20" s="517" customFormat="1" ht="291.75" customHeight="1" x14ac:dyDescent="0.4">
      <c r="C16" s="2862"/>
      <c r="D16" s="2845"/>
      <c r="E16" s="2363" t="s">
        <v>971</v>
      </c>
      <c r="F16" s="2737"/>
      <c r="G16" s="2844"/>
      <c r="H16" s="2844"/>
      <c r="I16" s="2847"/>
      <c r="J16" s="2844"/>
      <c r="K16" s="2843"/>
      <c r="L16" s="2843"/>
      <c r="M16" s="2843"/>
      <c r="N16" s="2844"/>
      <c r="O16" s="2850"/>
      <c r="P16" s="2651"/>
      <c r="Q16" s="2649"/>
      <c r="R16" s="2649"/>
      <c r="S16" s="2340"/>
    </row>
    <row r="17" spans="3:20" s="517" customFormat="1" ht="298.5" customHeight="1" x14ac:dyDescent="0.4">
      <c r="C17" s="2862" t="s">
        <v>8</v>
      </c>
      <c r="D17" s="2845" t="s">
        <v>461</v>
      </c>
      <c r="E17" s="2363" t="s">
        <v>837</v>
      </c>
      <c r="F17" s="2704" t="s">
        <v>620</v>
      </c>
      <c r="G17" s="2844">
        <f>'Роспись 2014'!H118</f>
        <v>137500.52000000002</v>
      </c>
      <c r="H17" s="2844">
        <f>G17</f>
        <v>137500.52000000002</v>
      </c>
      <c r="I17" s="2844">
        <f>J17</f>
        <v>126910</v>
      </c>
      <c r="J17" s="2844">
        <f>'2015'!J12</f>
        <v>126910</v>
      </c>
      <c r="K17" s="2843">
        <f>'2016'!I14</f>
        <v>130280.4</v>
      </c>
      <c r="L17" s="2843">
        <f>K17</f>
        <v>130280.4</v>
      </c>
      <c r="M17" s="2843">
        <f>L17</f>
        <v>130280.4</v>
      </c>
      <c r="N17" s="2844">
        <f>M17</f>
        <v>130280.4</v>
      </c>
      <c r="O17" s="2861" t="s">
        <v>454</v>
      </c>
      <c r="P17" s="2336"/>
      <c r="Q17" s="2338"/>
      <c r="R17" s="2338"/>
      <c r="S17" s="2340">
        <v>70466.7</v>
      </c>
    </row>
    <row r="18" spans="3:20" s="517" customFormat="1" ht="165" customHeight="1" x14ac:dyDescent="0.4">
      <c r="C18" s="2862"/>
      <c r="D18" s="2845"/>
      <c r="E18" s="2363" t="s">
        <v>1654</v>
      </c>
      <c r="F18" s="2704"/>
      <c r="G18" s="2844"/>
      <c r="H18" s="2844"/>
      <c r="I18" s="2847"/>
      <c r="J18" s="2844"/>
      <c r="K18" s="2843"/>
      <c r="L18" s="2843"/>
      <c r="M18" s="2843"/>
      <c r="N18" s="2844"/>
      <c r="O18" s="2861"/>
      <c r="P18" s="2336"/>
      <c r="Q18" s="2338"/>
      <c r="R18" s="2338"/>
      <c r="S18" s="2340"/>
    </row>
    <row r="19" spans="3:20" s="517" customFormat="1" ht="333" customHeight="1" x14ac:dyDescent="0.4">
      <c r="C19" s="2862"/>
      <c r="D19" s="2845"/>
      <c r="E19" s="2363" t="s">
        <v>1652</v>
      </c>
      <c r="F19" s="2704"/>
      <c r="G19" s="2844"/>
      <c r="H19" s="2844"/>
      <c r="I19" s="2847"/>
      <c r="J19" s="2844"/>
      <c r="K19" s="2843"/>
      <c r="L19" s="2843"/>
      <c r="M19" s="2843"/>
      <c r="N19" s="2844"/>
      <c r="O19" s="2861"/>
      <c r="P19" s="2336"/>
      <c r="Q19" s="2338"/>
      <c r="R19" s="2338"/>
      <c r="S19" s="2340"/>
    </row>
    <row r="20" spans="3:20" s="517" customFormat="1" ht="289.5" customHeight="1" x14ac:dyDescent="0.4">
      <c r="C20" s="2862" t="s">
        <v>460</v>
      </c>
      <c r="D20" s="2845" t="s">
        <v>461</v>
      </c>
      <c r="E20" s="2363" t="s">
        <v>837</v>
      </c>
      <c r="F20" s="2704" t="s">
        <v>457</v>
      </c>
      <c r="G20" s="2844">
        <f>'Роспись 2014'!H201</f>
        <v>6747.9</v>
      </c>
      <c r="H20" s="2844">
        <f>G20</f>
        <v>6747.9</v>
      </c>
      <c r="I20" s="2844">
        <f>J20</f>
        <v>6503.5</v>
      </c>
      <c r="J20" s="2844">
        <f>'2015'!J13</f>
        <v>6503.5</v>
      </c>
      <c r="K20" s="2843">
        <f>'2016'!I17</f>
        <v>5187.8999999999996</v>
      </c>
      <c r="L20" s="2843">
        <f>K20</f>
        <v>5187.8999999999996</v>
      </c>
      <c r="M20" s="2843">
        <f>L20</f>
        <v>5187.8999999999996</v>
      </c>
      <c r="N20" s="2844">
        <f>M20</f>
        <v>5187.8999999999996</v>
      </c>
      <c r="O20" s="2850" t="s">
        <v>454</v>
      </c>
      <c r="P20" s="2651"/>
      <c r="Q20" s="2649"/>
      <c r="R20" s="2649"/>
      <c r="S20" s="2340" t="e">
        <f>#REF!</f>
        <v>#REF!</v>
      </c>
    </row>
    <row r="21" spans="3:20" s="517" customFormat="1" ht="156.75" customHeight="1" x14ac:dyDescent="0.4">
      <c r="C21" s="2862"/>
      <c r="D21" s="2845"/>
      <c r="E21" s="2363" t="s">
        <v>1653</v>
      </c>
      <c r="F21" s="2704"/>
      <c r="G21" s="2844"/>
      <c r="H21" s="2844"/>
      <c r="I21" s="2847"/>
      <c r="J21" s="2844"/>
      <c r="K21" s="2843"/>
      <c r="L21" s="2843"/>
      <c r="M21" s="2843"/>
      <c r="N21" s="2844"/>
      <c r="O21" s="2850"/>
      <c r="P21" s="2651"/>
      <c r="Q21" s="2649"/>
      <c r="R21" s="2649"/>
      <c r="S21" s="2340"/>
    </row>
    <row r="22" spans="3:20" s="517" customFormat="1" ht="372" customHeight="1" x14ac:dyDescent="0.4">
      <c r="C22" s="2862"/>
      <c r="D22" s="2845"/>
      <c r="E22" s="2363" t="s">
        <v>1651</v>
      </c>
      <c r="F22" s="2704"/>
      <c r="G22" s="2844"/>
      <c r="H22" s="2844"/>
      <c r="I22" s="2847"/>
      <c r="J22" s="2844"/>
      <c r="K22" s="2843"/>
      <c r="L22" s="2843"/>
      <c r="M22" s="2843"/>
      <c r="N22" s="2844"/>
      <c r="O22" s="2850"/>
      <c r="P22" s="2651"/>
      <c r="Q22" s="2649"/>
      <c r="R22" s="2649"/>
      <c r="S22" s="2340"/>
    </row>
    <row r="23" spans="3:20" s="517" customFormat="1" ht="291" customHeight="1" x14ac:dyDescent="0.4">
      <c r="C23" s="2862" t="s">
        <v>465</v>
      </c>
      <c r="D23" s="2845" t="s">
        <v>713</v>
      </c>
      <c r="E23" s="2363" t="s">
        <v>852</v>
      </c>
      <c r="F23" s="2737" t="s">
        <v>725</v>
      </c>
      <c r="G23" s="2844">
        <f>'Роспись 2014'!H320</f>
        <v>33460.1</v>
      </c>
      <c r="H23" s="2844">
        <f>G23</f>
        <v>33460.1</v>
      </c>
      <c r="I23" s="2844">
        <f>J23</f>
        <v>22152.7</v>
      </c>
      <c r="J23" s="2844">
        <f>'2015'!J23</f>
        <v>22152.7</v>
      </c>
      <c r="K23" s="2843">
        <f>'2016'!I30</f>
        <v>1826.4</v>
      </c>
      <c r="L23" s="2844">
        <f>K23</f>
        <v>1826.4</v>
      </c>
      <c r="M23" s="2843">
        <f>L23</f>
        <v>1826.4</v>
      </c>
      <c r="N23" s="2844">
        <f>M23</f>
        <v>1826.4</v>
      </c>
      <c r="O23" s="2850" t="s">
        <v>454</v>
      </c>
      <c r="P23" s="2651"/>
      <c r="Q23" s="2649"/>
      <c r="R23" s="2649"/>
      <c r="S23" s="2340" t="e">
        <f>#REF!</f>
        <v>#REF!</v>
      </c>
      <c r="T23" s="517">
        <v>1770.8</v>
      </c>
    </row>
    <row r="24" spans="3:20" s="517" customFormat="1" ht="207" customHeight="1" x14ac:dyDescent="0.4">
      <c r="C24" s="2862"/>
      <c r="D24" s="2845"/>
      <c r="E24" s="2363" t="s">
        <v>472</v>
      </c>
      <c r="F24" s="2850" t="s">
        <v>478</v>
      </c>
      <c r="G24" s="2844"/>
      <c r="H24" s="2844"/>
      <c r="I24" s="2847"/>
      <c r="J24" s="2844"/>
      <c r="K24" s="2843"/>
      <c r="L24" s="2847"/>
      <c r="M24" s="2843"/>
      <c r="N24" s="2844"/>
      <c r="O24" s="2850"/>
      <c r="P24" s="2651"/>
      <c r="Q24" s="2649"/>
      <c r="R24" s="2649"/>
      <c r="S24" s="2340"/>
    </row>
    <row r="25" spans="3:20" s="517" customFormat="1" ht="224.25" customHeight="1" x14ac:dyDescent="0.4">
      <c r="C25" s="2862"/>
      <c r="D25" s="2845"/>
      <c r="E25" s="2363" t="s">
        <v>1388</v>
      </c>
      <c r="F25" s="2850"/>
      <c r="G25" s="2844"/>
      <c r="H25" s="2844"/>
      <c r="I25" s="2847"/>
      <c r="J25" s="2844"/>
      <c r="K25" s="2843"/>
      <c r="L25" s="2847"/>
      <c r="M25" s="2843"/>
      <c r="N25" s="2844"/>
      <c r="O25" s="2850"/>
      <c r="P25" s="2651"/>
      <c r="Q25" s="2649"/>
      <c r="R25" s="2649"/>
      <c r="S25" s="2340"/>
    </row>
    <row r="26" spans="3:20" s="517" customFormat="1" ht="189" customHeight="1" x14ac:dyDescent="0.4">
      <c r="C26" s="2862"/>
      <c r="D26" s="2845"/>
      <c r="E26" s="2363" t="s">
        <v>474</v>
      </c>
      <c r="F26" s="2850"/>
      <c r="G26" s="2844"/>
      <c r="H26" s="2844"/>
      <c r="I26" s="2847"/>
      <c r="J26" s="2844"/>
      <c r="K26" s="2843"/>
      <c r="L26" s="2847"/>
      <c r="M26" s="2843"/>
      <c r="N26" s="2844"/>
      <c r="O26" s="2850"/>
      <c r="P26" s="2651"/>
      <c r="Q26" s="2649"/>
      <c r="R26" s="2649"/>
      <c r="S26" s="2340"/>
    </row>
    <row r="27" spans="3:20" s="517" customFormat="1" ht="257.25" customHeight="1" x14ac:dyDescent="0.4">
      <c r="C27" s="2851" t="s">
        <v>468</v>
      </c>
      <c r="D27" s="2702"/>
      <c r="E27" s="2363" t="s">
        <v>1388</v>
      </c>
      <c r="F27" s="2738" t="s">
        <v>478</v>
      </c>
      <c r="G27" s="2844">
        <f>'Роспись 2014'!H436</f>
        <v>80776.28</v>
      </c>
      <c r="H27" s="2844">
        <f>G27</f>
        <v>80776.28</v>
      </c>
      <c r="I27" s="2844">
        <f>J27</f>
        <v>55329</v>
      </c>
      <c r="J27" s="2844">
        <f>'2015'!J25</f>
        <v>55329</v>
      </c>
      <c r="K27" s="2843">
        <f>'2016'!I37</f>
        <v>60404.1</v>
      </c>
      <c r="L27" s="2843">
        <f>K27-3605</f>
        <v>56799.1</v>
      </c>
      <c r="M27" s="2843">
        <f>L27</f>
        <v>56799.1</v>
      </c>
      <c r="N27" s="2844">
        <f>M27</f>
        <v>56799.1</v>
      </c>
      <c r="O27" s="2871" t="s">
        <v>454</v>
      </c>
      <c r="P27" s="2337"/>
      <c r="Q27" s="2343"/>
      <c r="R27" s="2343"/>
      <c r="S27" s="2340"/>
    </row>
    <row r="28" spans="3:20" ht="253.5" customHeight="1" x14ac:dyDescent="0.4">
      <c r="C28" s="2851"/>
      <c r="D28" s="2845" t="s">
        <v>714</v>
      </c>
      <c r="E28" s="499" t="s">
        <v>853</v>
      </c>
      <c r="F28" s="2737" t="s">
        <v>726</v>
      </c>
      <c r="G28" s="2844"/>
      <c r="H28" s="2844"/>
      <c r="I28" s="2847"/>
      <c r="J28" s="2844"/>
      <c r="K28" s="2843"/>
      <c r="L28" s="2843"/>
      <c r="M28" s="2843"/>
      <c r="N28" s="2844"/>
      <c r="O28" s="2871"/>
      <c r="P28" s="2337"/>
      <c r="Q28" s="2343"/>
      <c r="R28" s="2343"/>
      <c r="S28" s="2341">
        <v>55336.6</v>
      </c>
    </row>
    <row r="29" spans="3:20" ht="162" customHeight="1" x14ac:dyDescent="0.4">
      <c r="C29" s="2851"/>
      <c r="D29" s="2845"/>
      <c r="E29" s="499" t="s">
        <v>854</v>
      </c>
      <c r="F29" s="2852" t="s">
        <v>478</v>
      </c>
      <c r="G29" s="2844"/>
      <c r="H29" s="2844"/>
      <c r="I29" s="2847"/>
      <c r="J29" s="2844"/>
      <c r="K29" s="2843"/>
      <c r="L29" s="2843"/>
      <c r="M29" s="2843"/>
      <c r="N29" s="2844"/>
      <c r="O29" s="2871"/>
      <c r="P29" s="2337"/>
      <c r="Q29" s="2343"/>
      <c r="R29" s="2343"/>
      <c r="S29" s="2341"/>
    </row>
    <row r="30" spans="3:20" ht="250.5" customHeight="1" x14ac:dyDescent="0.4">
      <c r="C30" s="2851"/>
      <c r="D30" s="2845"/>
      <c r="E30" s="499" t="s">
        <v>1650</v>
      </c>
      <c r="F30" s="2852"/>
      <c r="G30" s="2844"/>
      <c r="H30" s="2844"/>
      <c r="I30" s="2847"/>
      <c r="J30" s="2844"/>
      <c r="K30" s="2843"/>
      <c r="L30" s="2843"/>
      <c r="M30" s="2843"/>
      <c r="N30" s="2844"/>
      <c r="O30" s="2871"/>
      <c r="P30" s="2337"/>
      <c r="Q30" s="2343"/>
      <c r="R30" s="2343"/>
      <c r="S30" s="2341"/>
    </row>
    <row r="31" spans="3:20" ht="183.75" customHeight="1" x14ac:dyDescent="0.4">
      <c r="C31" s="2851"/>
      <c r="D31" s="2845"/>
      <c r="E31" s="499" t="s">
        <v>1649</v>
      </c>
      <c r="F31" s="2852"/>
      <c r="G31" s="2844"/>
      <c r="H31" s="2844"/>
      <c r="I31" s="2847"/>
      <c r="J31" s="2844"/>
      <c r="K31" s="2843"/>
      <c r="L31" s="2843"/>
      <c r="M31" s="2843"/>
      <c r="N31" s="2844"/>
      <c r="O31" s="2871"/>
      <c r="P31" s="2337"/>
      <c r="Q31" s="2343"/>
      <c r="R31" s="2343"/>
      <c r="S31" s="2341"/>
    </row>
    <row r="32" spans="3:20" ht="197.25" customHeight="1" x14ac:dyDescent="0.4">
      <c r="C32" s="2851" t="s">
        <v>475</v>
      </c>
      <c r="D32" s="2845" t="s">
        <v>715</v>
      </c>
      <c r="E32" s="2363" t="s">
        <v>1388</v>
      </c>
      <c r="F32" s="2850" t="s">
        <v>728</v>
      </c>
      <c r="G32" s="2848">
        <f>'Роспись 2014'!H338</f>
        <v>213372.69999999998</v>
      </c>
      <c r="H32" s="2848">
        <f>G32</f>
        <v>213372.69999999998</v>
      </c>
      <c r="I32" s="2848">
        <f>J32</f>
        <v>193022.3</v>
      </c>
      <c r="J32" s="2848">
        <f>'2015'!J24</f>
        <v>193022.3</v>
      </c>
      <c r="K32" s="2843">
        <f>'2016'!I33</f>
        <v>182998.6</v>
      </c>
      <c r="L32" s="2843">
        <f>K32-69500</f>
        <v>113498.6</v>
      </c>
      <c r="M32" s="2843">
        <f>L32</f>
        <v>113498.6</v>
      </c>
      <c r="N32" s="2848">
        <f>M32</f>
        <v>113498.6</v>
      </c>
      <c r="O32" s="2871" t="s">
        <v>454</v>
      </c>
      <c r="P32" s="2337"/>
      <c r="Q32" s="2343"/>
      <c r="R32" s="2343"/>
      <c r="S32" s="2341">
        <v>68724.399999999994</v>
      </c>
    </row>
    <row r="33" spans="3:22" ht="270" customHeight="1" x14ac:dyDescent="0.4">
      <c r="C33" s="2851"/>
      <c r="D33" s="2845"/>
      <c r="E33" s="2363" t="s">
        <v>1648</v>
      </c>
      <c r="F33" s="2850"/>
      <c r="G33" s="2848"/>
      <c r="H33" s="2848"/>
      <c r="I33" s="2848"/>
      <c r="J33" s="2848"/>
      <c r="K33" s="2843"/>
      <c r="L33" s="2843"/>
      <c r="M33" s="2843"/>
      <c r="N33" s="2848"/>
      <c r="O33" s="2871"/>
      <c r="P33" s="2337"/>
      <c r="Q33" s="2343"/>
      <c r="R33" s="2343"/>
      <c r="S33" s="2341"/>
    </row>
    <row r="34" spans="3:22" ht="288" customHeight="1" x14ac:dyDescent="0.4">
      <c r="C34" s="2851"/>
      <c r="D34" s="2845"/>
      <c r="E34" s="2363" t="s">
        <v>855</v>
      </c>
      <c r="F34" s="2737" t="s">
        <v>727</v>
      </c>
      <c r="G34" s="2848"/>
      <c r="H34" s="2848"/>
      <c r="I34" s="2848"/>
      <c r="J34" s="2848"/>
      <c r="K34" s="2843"/>
      <c r="L34" s="2843"/>
      <c r="M34" s="2843"/>
      <c r="N34" s="2848"/>
      <c r="O34" s="2871"/>
      <c r="P34" s="2337"/>
      <c r="Q34" s="2343"/>
      <c r="R34" s="2343"/>
      <c r="S34" s="2341"/>
      <c r="T34" s="518"/>
    </row>
    <row r="35" spans="3:22" ht="253.5" customHeight="1" x14ac:dyDescent="0.4">
      <c r="C35" s="2851"/>
      <c r="D35" s="2845"/>
      <c r="E35" s="2363" t="s">
        <v>1647</v>
      </c>
      <c r="F35" s="2850" t="s">
        <v>728</v>
      </c>
      <c r="G35" s="2848"/>
      <c r="H35" s="2848"/>
      <c r="I35" s="2848"/>
      <c r="J35" s="2848"/>
      <c r="K35" s="2843"/>
      <c r="L35" s="2843"/>
      <c r="M35" s="2843"/>
      <c r="N35" s="2848"/>
      <c r="O35" s="2871"/>
      <c r="P35" s="2337"/>
      <c r="Q35" s="2343"/>
      <c r="R35" s="2343"/>
      <c r="S35" s="2341"/>
      <c r="T35" s="518" t="e">
        <f>№32*0.3</f>
        <v>#NAME?</v>
      </c>
    </row>
    <row r="36" spans="3:22" ht="155.25" customHeight="1" x14ac:dyDescent="0.4">
      <c r="C36" s="2851"/>
      <c r="D36" s="2845"/>
      <c r="E36" s="2363" t="s">
        <v>488</v>
      </c>
      <c r="F36" s="2850"/>
      <c r="G36" s="2848"/>
      <c r="H36" s="2848"/>
      <c r="I36" s="2848"/>
      <c r="J36" s="2848"/>
      <c r="K36" s="2843"/>
      <c r="L36" s="2843"/>
      <c r="M36" s="2843"/>
      <c r="N36" s="2848"/>
      <c r="O36" s="2871"/>
      <c r="P36" s="2337"/>
      <c r="Q36" s="2343"/>
      <c r="R36" s="2343"/>
      <c r="S36" s="2341"/>
    </row>
    <row r="37" spans="3:22" ht="207.75" customHeight="1" x14ac:dyDescent="0.4">
      <c r="C37" s="2851" t="s">
        <v>482</v>
      </c>
      <c r="D37" s="2845" t="s">
        <v>716</v>
      </c>
      <c r="E37" s="2363" t="s">
        <v>1388</v>
      </c>
      <c r="F37" s="2850" t="s">
        <v>471</v>
      </c>
      <c r="G37" s="2848">
        <f>'Роспись 2014'!H286+'Роспись 2014'!H303+'Роспись 2014'!H518+'Роспись 2014'!H938+'Роспись 2014'!H279</f>
        <v>844192.44705000008</v>
      </c>
      <c r="H37" s="2848">
        <f>G37</f>
        <v>844192.44705000008</v>
      </c>
      <c r="I37" s="2848">
        <f>J37</f>
        <v>755359.9</v>
      </c>
      <c r="J37" s="2848">
        <f>'2015'!J26+'2015'!J27+'2015'!J28+'2015'!J21+'2015'!J22</f>
        <v>755359.9</v>
      </c>
      <c r="K37" s="2843">
        <f>'2016'!I27+'2016'!I44+'2016'!I47+'2016'!I50</f>
        <v>605163</v>
      </c>
      <c r="L37" s="2843">
        <f>K37</f>
        <v>605163</v>
      </c>
      <c r="M37" s="2843">
        <f>L37</f>
        <v>605163</v>
      </c>
      <c r="N37" s="2848">
        <f>M37</f>
        <v>605163</v>
      </c>
      <c r="O37" s="2871" t="s">
        <v>454</v>
      </c>
      <c r="P37" s="2337"/>
      <c r="Q37" s="2343"/>
      <c r="R37" s="2343"/>
      <c r="S37" s="2341">
        <v>463331.5</v>
      </c>
    </row>
    <row r="38" spans="3:22" ht="409.5" customHeight="1" x14ac:dyDescent="0.4">
      <c r="C38" s="2851"/>
      <c r="D38" s="2845"/>
      <c r="E38" s="2363" t="s">
        <v>1646</v>
      </c>
      <c r="F38" s="2850"/>
      <c r="G38" s="2848"/>
      <c r="H38" s="2848"/>
      <c r="I38" s="2848"/>
      <c r="J38" s="2848"/>
      <c r="K38" s="2843"/>
      <c r="L38" s="2843"/>
      <c r="M38" s="2843"/>
      <c r="N38" s="2848"/>
      <c r="O38" s="2871"/>
      <c r="P38" s="2337"/>
      <c r="Q38" s="2343"/>
      <c r="R38" s="2343"/>
      <c r="S38" s="2341" t="s">
        <v>947</v>
      </c>
      <c r="V38" s="2173">
        <f>G37-844192.447</f>
        <v>5.0000031478703022E-5</v>
      </c>
    </row>
    <row r="39" spans="3:22" ht="130.5" customHeight="1" x14ac:dyDescent="0.4">
      <c r="C39" s="2851"/>
      <c r="D39" s="2845"/>
      <c r="E39" s="499" t="s">
        <v>856</v>
      </c>
      <c r="F39" s="2850"/>
      <c r="G39" s="2848"/>
      <c r="H39" s="2848"/>
      <c r="I39" s="2848"/>
      <c r="J39" s="2848"/>
      <c r="K39" s="2843"/>
      <c r="L39" s="2843"/>
      <c r="M39" s="2843"/>
      <c r="N39" s="2848"/>
      <c r="O39" s="2871"/>
      <c r="P39" s="2337"/>
      <c r="Q39" s="2343"/>
      <c r="R39" s="2343"/>
      <c r="S39" s="2341"/>
    </row>
    <row r="40" spans="3:22" s="517" customFormat="1" ht="207.75" customHeight="1" x14ac:dyDescent="0.4">
      <c r="C40" s="2846" t="s">
        <v>844</v>
      </c>
      <c r="D40" s="2845" t="s">
        <v>502</v>
      </c>
      <c r="E40" s="2363" t="s">
        <v>1645</v>
      </c>
      <c r="F40" s="2704" t="s">
        <v>478</v>
      </c>
      <c r="G40" s="2169">
        <v>500</v>
      </c>
      <c r="H40" s="2169">
        <f>G40</f>
        <v>500</v>
      </c>
      <c r="I40" s="2319">
        <f>J40</f>
        <v>1538</v>
      </c>
      <c r="J40" s="2319">
        <f>'2015'!J14+350</f>
        <v>1538</v>
      </c>
      <c r="K40" s="2703">
        <v>0</v>
      </c>
      <c r="L40" s="2703">
        <f>K40</f>
        <v>0</v>
      </c>
      <c r="M40" s="2703">
        <v>0</v>
      </c>
      <c r="N40" s="2169">
        <f>M40</f>
        <v>0</v>
      </c>
      <c r="O40" s="2850" t="s">
        <v>454</v>
      </c>
      <c r="P40" s="2649"/>
      <c r="Q40" s="2649"/>
      <c r="R40" s="2649"/>
      <c r="S40" s="519"/>
    </row>
    <row r="41" spans="3:22" s="517" customFormat="1" ht="135.75" customHeight="1" x14ac:dyDescent="0.4">
      <c r="C41" s="2846"/>
      <c r="D41" s="2845"/>
      <c r="E41" s="2702" t="s">
        <v>1389</v>
      </c>
      <c r="F41" s="2704" t="s">
        <v>478</v>
      </c>
      <c r="G41" s="2169">
        <v>536</v>
      </c>
      <c r="H41" s="2169">
        <f>G41</f>
        <v>536</v>
      </c>
      <c r="I41" s="2319">
        <f>J41</f>
        <v>1500</v>
      </c>
      <c r="J41" s="2319">
        <f>'2015'!J15</f>
        <v>1500</v>
      </c>
      <c r="K41" s="2703">
        <v>0</v>
      </c>
      <c r="L41" s="2703">
        <f>K41</f>
        <v>0</v>
      </c>
      <c r="M41" s="2703">
        <v>0</v>
      </c>
      <c r="N41" s="2169">
        <f>M41</f>
        <v>0</v>
      </c>
      <c r="O41" s="2850"/>
      <c r="P41" s="2649"/>
      <c r="Q41" s="2649"/>
      <c r="R41" s="2649"/>
      <c r="S41" s="519"/>
    </row>
    <row r="42" spans="3:22" s="517" customFormat="1" ht="220.5" customHeight="1" x14ac:dyDescent="0.4">
      <c r="C42" s="2846" t="s">
        <v>845</v>
      </c>
      <c r="D42" s="2870" t="s">
        <v>505</v>
      </c>
      <c r="E42" s="2702" t="s">
        <v>1644</v>
      </c>
      <c r="F42" s="2737" t="s">
        <v>478</v>
      </c>
      <c r="G42" s="2844">
        <f>'Роспись 2014'!H975</f>
        <v>367.6</v>
      </c>
      <c r="H42" s="2844">
        <f>G42</f>
        <v>367.6</v>
      </c>
      <c r="I42" s="2844">
        <f>J42</f>
        <v>576.59699999999998</v>
      </c>
      <c r="J42" s="2844">
        <f>'2015'!J36</f>
        <v>576.59699999999998</v>
      </c>
      <c r="K42" s="2843">
        <f>'2016'!I67</f>
        <v>621</v>
      </c>
      <c r="L42" s="2843">
        <f>K42</f>
        <v>621</v>
      </c>
      <c r="M42" s="2843">
        <f>L42</f>
        <v>621</v>
      </c>
      <c r="N42" s="2844">
        <f>M42</f>
        <v>621</v>
      </c>
      <c r="O42" s="2850" t="s">
        <v>454</v>
      </c>
      <c r="P42" s="2649"/>
      <c r="Q42" s="2649"/>
      <c r="R42" s="2649"/>
      <c r="S42" s="519"/>
    </row>
    <row r="43" spans="3:22" s="517" customFormat="1" ht="271.5" customHeight="1" x14ac:dyDescent="0.4">
      <c r="C43" s="2846"/>
      <c r="D43" s="2870"/>
      <c r="E43" s="2363" t="s">
        <v>1390</v>
      </c>
      <c r="F43" s="2704" t="s">
        <v>729</v>
      </c>
      <c r="G43" s="2844"/>
      <c r="H43" s="2844"/>
      <c r="I43" s="2847"/>
      <c r="J43" s="2844"/>
      <c r="K43" s="2843"/>
      <c r="L43" s="2843"/>
      <c r="M43" s="2843"/>
      <c r="N43" s="2844"/>
      <c r="O43" s="2850"/>
      <c r="P43" s="2649"/>
      <c r="Q43" s="2649"/>
      <c r="R43" s="2649"/>
      <c r="S43" s="519">
        <v>443</v>
      </c>
    </row>
    <row r="44" spans="3:22" s="517" customFormat="1" ht="235.5" customHeight="1" x14ac:dyDescent="0.4">
      <c r="C44" s="2846"/>
      <c r="D44" s="2870"/>
      <c r="E44" s="2363" t="s">
        <v>1895</v>
      </c>
      <c r="F44" s="2704"/>
      <c r="G44" s="2844"/>
      <c r="H44" s="2844"/>
      <c r="I44" s="2847"/>
      <c r="J44" s="2844"/>
      <c r="K44" s="2843"/>
      <c r="L44" s="2843"/>
      <c r="M44" s="2843"/>
      <c r="N44" s="2844"/>
      <c r="O44" s="2850"/>
      <c r="P44" s="2649"/>
      <c r="Q44" s="2649"/>
      <c r="R44" s="2649"/>
      <c r="S44" s="519"/>
    </row>
    <row r="45" spans="3:22" s="517" customFormat="1" ht="261" customHeight="1" x14ac:dyDescent="0.4">
      <c r="C45" s="2846" t="s">
        <v>846</v>
      </c>
      <c r="D45" s="2849" t="s">
        <v>717</v>
      </c>
      <c r="E45" s="2363" t="s">
        <v>838</v>
      </c>
      <c r="F45" s="2737" t="s">
        <v>478</v>
      </c>
      <c r="G45" s="2169">
        <f>'Роспись 2014'!H949</f>
        <v>28000</v>
      </c>
      <c r="H45" s="2169">
        <f>G45</f>
        <v>28000</v>
      </c>
      <c r="I45" s="2319">
        <f t="shared" ref="I45:I53" si="0">J45</f>
        <v>0</v>
      </c>
      <c r="J45" s="2319">
        <v>0</v>
      </c>
      <c r="K45" s="2703">
        <v>0</v>
      </c>
      <c r="L45" s="2703">
        <f>K45</f>
        <v>0</v>
      </c>
      <c r="M45" s="2703">
        <v>0</v>
      </c>
      <c r="N45" s="2169">
        <f>M45</f>
        <v>0</v>
      </c>
      <c r="O45" s="2704" t="s">
        <v>454</v>
      </c>
      <c r="P45" s="2649"/>
      <c r="Q45" s="2649"/>
      <c r="R45" s="2649"/>
      <c r="S45" s="519"/>
    </row>
    <row r="46" spans="3:22" s="517" customFormat="1" ht="243" customHeight="1" x14ac:dyDescent="0.4">
      <c r="C46" s="2846"/>
      <c r="D46" s="2849"/>
      <c r="E46" s="2363" t="s">
        <v>1339</v>
      </c>
      <c r="F46" s="2737"/>
      <c r="G46" s="2169">
        <f>8811.5+8811.5</f>
        <v>17623</v>
      </c>
      <c r="H46" s="2169">
        <f>G46</f>
        <v>17623</v>
      </c>
      <c r="I46" s="2319">
        <f t="shared" si="0"/>
        <v>585</v>
      </c>
      <c r="J46" s="2319">
        <f>'2015'!J38</f>
        <v>585</v>
      </c>
      <c r="K46" s="2703">
        <v>0</v>
      </c>
      <c r="L46" s="2703">
        <f>K46</f>
        <v>0</v>
      </c>
      <c r="M46" s="2703">
        <v>0</v>
      </c>
      <c r="N46" s="2169">
        <f>M46</f>
        <v>0</v>
      </c>
      <c r="O46" s="2704" t="s">
        <v>454</v>
      </c>
      <c r="P46" s="2649"/>
      <c r="Q46" s="2649"/>
      <c r="R46" s="2649"/>
      <c r="S46" s="519"/>
    </row>
    <row r="47" spans="3:22" s="517" customFormat="1" ht="243" customHeight="1" x14ac:dyDescent="0.4">
      <c r="C47" s="2846"/>
      <c r="D47" s="2849"/>
      <c r="E47" s="2363" t="s">
        <v>1771</v>
      </c>
      <c r="F47" s="2737"/>
      <c r="G47" s="2169">
        <v>0</v>
      </c>
      <c r="H47" s="2169">
        <v>0</v>
      </c>
      <c r="I47" s="2319">
        <f t="shared" si="0"/>
        <v>11100</v>
      </c>
      <c r="J47" s="2319">
        <f>'2015'!J37</f>
        <v>11100</v>
      </c>
      <c r="K47" s="2703">
        <v>0</v>
      </c>
      <c r="L47" s="2703">
        <v>0</v>
      </c>
      <c r="M47" s="2703">
        <v>0</v>
      </c>
      <c r="N47" s="2169">
        <v>0</v>
      </c>
      <c r="O47" s="2704" t="s">
        <v>454</v>
      </c>
      <c r="P47" s="2649"/>
      <c r="Q47" s="2649"/>
      <c r="R47" s="2649"/>
      <c r="S47" s="519"/>
    </row>
    <row r="48" spans="3:22" s="517" customFormat="1" ht="409.5" customHeight="1" x14ac:dyDescent="0.4">
      <c r="C48" s="2700" t="s">
        <v>847</v>
      </c>
      <c r="D48" s="2702" t="s">
        <v>718</v>
      </c>
      <c r="E48" s="2363" t="s">
        <v>1391</v>
      </c>
      <c r="F48" s="2737" t="s">
        <v>478</v>
      </c>
      <c r="G48" s="2169">
        <f>'Роспись 2014'!H985</f>
        <v>1000</v>
      </c>
      <c r="H48" s="2169">
        <f>G48</f>
        <v>1000</v>
      </c>
      <c r="I48" s="2319">
        <f t="shared" si="0"/>
        <v>0</v>
      </c>
      <c r="J48" s="2319">
        <v>0</v>
      </c>
      <c r="K48" s="2703">
        <v>0</v>
      </c>
      <c r="L48" s="2703">
        <f>'Бюджет 2016-2017'!H5</f>
        <v>1000</v>
      </c>
      <c r="M48" s="2703">
        <f>'Бюджет 2016-2017'!J5</f>
        <v>1000</v>
      </c>
      <c r="N48" s="2169">
        <f>M48</f>
        <v>1000</v>
      </c>
      <c r="O48" s="2704" t="s">
        <v>454</v>
      </c>
      <c r="P48" s="2649"/>
      <c r="Q48" s="2649"/>
      <c r="R48" s="2649"/>
      <c r="S48" s="519"/>
    </row>
    <row r="49" spans="3:22" s="517" customFormat="1" ht="334.5" customHeight="1" x14ac:dyDescent="0.4">
      <c r="C49" s="2700" t="s">
        <v>589</v>
      </c>
      <c r="D49" s="2702" t="s">
        <v>719</v>
      </c>
      <c r="E49" s="2363" t="s">
        <v>839</v>
      </c>
      <c r="F49" s="2737" t="s">
        <v>478</v>
      </c>
      <c r="G49" s="2169">
        <v>0</v>
      </c>
      <c r="H49" s="2169">
        <v>0</v>
      </c>
      <c r="I49" s="2319">
        <f t="shared" si="0"/>
        <v>0</v>
      </c>
      <c r="J49" s="2319">
        <v>0</v>
      </c>
      <c r="K49" s="2703">
        <v>0</v>
      </c>
      <c r="L49" s="2703">
        <v>0</v>
      </c>
      <c r="M49" s="2703">
        <v>0</v>
      </c>
      <c r="N49" s="2169">
        <v>0</v>
      </c>
      <c r="O49" s="2704" t="s">
        <v>454</v>
      </c>
      <c r="P49" s="2649"/>
      <c r="Q49" s="2649"/>
      <c r="R49" s="2649"/>
      <c r="S49" s="519"/>
    </row>
    <row r="50" spans="3:22" s="517" customFormat="1" ht="289.5" customHeight="1" x14ac:dyDescent="0.4">
      <c r="C50" s="2700" t="s">
        <v>848</v>
      </c>
      <c r="D50" s="2702" t="s">
        <v>720</v>
      </c>
      <c r="E50" s="2363" t="s">
        <v>840</v>
      </c>
      <c r="F50" s="2737" t="s">
        <v>478</v>
      </c>
      <c r="G50" s="2169">
        <f>'Роспись 2014'!H978</f>
        <v>63</v>
      </c>
      <c r="H50" s="2169">
        <f>G50</f>
        <v>63</v>
      </c>
      <c r="I50" s="2319">
        <f t="shared" si="0"/>
        <v>34.799999999999997</v>
      </c>
      <c r="J50" s="2319">
        <f>'2015'!J9</f>
        <v>34.799999999999997</v>
      </c>
      <c r="K50" s="2703">
        <v>0</v>
      </c>
      <c r="L50" s="2703">
        <v>0</v>
      </c>
      <c r="M50" s="2703">
        <v>0</v>
      </c>
      <c r="N50" s="2169">
        <f>M50</f>
        <v>0</v>
      </c>
      <c r="O50" s="2704" t="s">
        <v>454</v>
      </c>
      <c r="P50" s="2649"/>
      <c r="Q50" s="2649"/>
      <c r="R50" s="2649"/>
      <c r="S50" s="519"/>
    </row>
    <row r="51" spans="3:22" s="517" customFormat="1" ht="239.25" customHeight="1" x14ac:dyDescent="0.4">
      <c r="C51" s="2700" t="s">
        <v>849</v>
      </c>
      <c r="D51" s="2702" t="s">
        <v>721</v>
      </c>
      <c r="E51" s="2363" t="s">
        <v>841</v>
      </c>
      <c r="F51" s="2737" t="s">
        <v>478</v>
      </c>
      <c r="G51" s="2169">
        <v>0</v>
      </c>
      <c r="H51" s="2169">
        <v>0</v>
      </c>
      <c r="I51" s="2319">
        <f t="shared" si="0"/>
        <v>0</v>
      </c>
      <c r="J51" s="2319"/>
      <c r="K51" s="2703">
        <v>0</v>
      </c>
      <c r="L51" s="2703">
        <v>0</v>
      </c>
      <c r="M51" s="2703">
        <v>0</v>
      </c>
      <c r="N51" s="2169">
        <v>0</v>
      </c>
      <c r="O51" s="2704" t="s">
        <v>454</v>
      </c>
      <c r="P51" s="2649"/>
      <c r="Q51" s="2649"/>
      <c r="R51" s="2649"/>
      <c r="S51" s="519"/>
    </row>
    <row r="52" spans="3:22" s="517" customFormat="1" ht="409.5" customHeight="1" x14ac:dyDescent="0.4">
      <c r="C52" s="2700" t="s">
        <v>850</v>
      </c>
      <c r="D52" s="2702" t="s">
        <v>451</v>
      </c>
      <c r="E52" s="2363" t="s">
        <v>842</v>
      </c>
      <c r="F52" s="2737" t="s">
        <v>478</v>
      </c>
      <c r="G52" s="2169">
        <f>'Роспись 2014'!H951</f>
        <v>30141.571</v>
      </c>
      <c r="H52" s="2169">
        <f>G52</f>
        <v>30141.571</v>
      </c>
      <c r="I52" s="2319">
        <f t="shared" si="0"/>
        <v>26378.42</v>
      </c>
      <c r="J52" s="2319">
        <f>'2015'!J29+'2015'!J30+'2015'!J31+'2015'!J32</f>
        <v>26378.42</v>
      </c>
      <c r="K52" s="2703">
        <f>'2016'!I56</f>
        <v>26435</v>
      </c>
      <c r="L52" s="2703">
        <f>'Бюджет 2016-2017'!H18+'Бюджет 2016-2017'!H19+'Бюджет 2016-2017'!H20</f>
        <v>29544</v>
      </c>
      <c r="M52" s="2703">
        <f>'Бюджет 2016-2017'!J18+'Бюджет 2016-2017'!J19+'Бюджет 2016-2017'!J20</f>
        <v>29544</v>
      </c>
      <c r="N52" s="2169">
        <f>M52</f>
        <v>29544</v>
      </c>
      <c r="O52" s="2704" t="s">
        <v>454</v>
      </c>
      <c r="P52" s="2649"/>
      <c r="Q52" s="2649"/>
      <c r="R52" s="2649"/>
      <c r="S52" s="519"/>
    </row>
    <row r="53" spans="3:22" s="517" customFormat="1" ht="320.25" customHeight="1" x14ac:dyDescent="0.4">
      <c r="C53" s="2846" t="s">
        <v>851</v>
      </c>
      <c r="D53" s="2845" t="s">
        <v>722</v>
      </c>
      <c r="E53" s="2363" t="s">
        <v>843</v>
      </c>
      <c r="F53" s="2850" t="s">
        <v>478</v>
      </c>
      <c r="G53" s="2844">
        <v>15302</v>
      </c>
      <c r="H53" s="2844">
        <f>G53</f>
        <v>15302</v>
      </c>
      <c r="I53" s="2844">
        <f t="shared" si="0"/>
        <v>600</v>
      </c>
      <c r="J53" s="2844">
        <f>'2015'!J10</f>
        <v>600</v>
      </c>
      <c r="K53" s="2843">
        <v>0</v>
      </c>
      <c r="L53" s="2843">
        <v>0</v>
      </c>
      <c r="M53" s="2843">
        <v>0</v>
      </c>
      <c r="N53" s="2844">
        <f>M53</f>
        <v>0</v>
      </c>
      <c r="O53" s="2850" t="s">
        <v>454</v>
      </c>
      <c r="P53" s="2649"/>
      <c r="Q53" s="2649"/>
      <c r="R53" s="2649"/>
      <c r="S53" s="519"/>
    </row>
    <row r="54" spans="3:22" s="517" customFormat="1" ht="226.5" customHeight="1" x14ac:dyDescent="0.4">
      <c r="C54" s="2846"/>
      <c r="D54" s="2845"/>
      <c r="E54" s="2363" t="s">
        <v>724</v>
      </c>
      <c r="F54" s="2850"/>
      <c r="G54" s="2844"/>
      <c r="H54" s="2844"/>
      <c r="I54" s="2847"/>
      <c r="J54" s="2844"/>
      <c r="K54" s="2843"/>
      <c r="L54" s="2843"/>
      <c r="M54" s="2843"/>
      <c r="N54" s="2844"/>
      <c r="O54" s="2850"/>
      <c r="P54" s="2649"/>
      <c r="Q54" s="2649"/>
      <c r="R54" s="2649"/>
      <c r="S54" s="519" t="e">
        <f>#REF!-#REF!</f>
        <v>#REF!</v>
      </c>
    </row>
    <row r="55" spans="3:22" s="517" customFormat="1" ht="294" customHeight="1" x14ac:dyDescent="0.4">
      <c r="C55" s="2846"/>
      <c r="D55" s="2845"/>
      <c r="E55" s="2363" t="s">
        <v>723</v>
      </c>
      <c r="F55" s="2850"/>
      <c r="G55" s="2844"/>
      <c r="H55" s="2844"/>
      <c r="I55" s="2847"/>
      <c r="J55" s="2844"/>
      <c r="K55" s="2843"/>
      <c r="L55" s="2843"/>
      <c r="M55" s="2843"/>
      <c r="N55" s="2844"/>
      <c r="O55" s="2850"/>
      <c r="P55" s="2649"/>
      <c r="Q55" s="2649"/>
      <c r="R55" s="2649"/>
      <c r="S55" s="519"/>
    </row>
    <row r="56" spans="3:22" s="517" customFormat="1" ht="294" customHeight="1" x14ac:dyDescent="0.4">
      <c r="C56" s="2846" t="s">
        <v>951</v>
      </c>
      <c r="D56" s="2845" t="s">
        <v>948</v>
      </c>
      <c r="E56" s="2363" t="s">
        <v>1641</v>
      </c>
      <c r="F56" s="2704" t="s">
        <v>478</v>
      </c>
      <c r="G56" s="2169">
        <f>'Роспись 2014'!H979</f>
        <v>270</v>
      </c>
      <c r="H56" s="2169">
        <f t="shared" ref="H56:H63" si="1">G56</f>
        <v>270</v>
      </c>
      <c r="I56" s="2319">
        <f t="shared" ref="I56:I63" si="2">J56</f>
        <v>0</v>
      </c>
      <c r="J56" s="2319">
        <v>0</v>
      </c>
      <c r="K56" s="2703">
        <v>0</v>
      </c>
      <c r="L56" s="2703">
        <v>0</v>
      </c>
      <c r="M56" s="2703">
        <v>0</v>
      </c>
      <c r="N56" s="2169">
        <f t="shared" ref="N56:N63" si="3">M56</f>
        <v>0</v>
      </c>
      <c r="O56" s="2704" t="s">
        <v>454</v>
      </c>
      <c r="P56" s="2649"/>
      <c r="Q56" s="2649"/>
      <c r="R56" s="2649"/>
      <c r="S56" s="519"/>
    </row>
    <row r="57" spans="3:22" s="517" customFormat="1" ht="294" customHeight="1" x14ac:dyDescent="0.4">
      <c r="C57" s="2846"/>
      <c r="D57" s="2845"/>
      <c r="E57" s="2363" t="s">
        <v>1764</v>
      </c>
      <c r="F57" s="2704"/>
      <c r="G57" s="2169">
        <v>0</v>
      </c>
      <c r="H57" s="2169">
        <v>0</v>
      </c>
      <c r="I57" s="2319">
        <f t="shared" si="2"/>
        <v>1770</v>
      </c>
      <c r="J57" s="2319">
        <f>'2015'!J5+'2015'!J4</f>
        <v>1770</v>
      </c>
      <c r="K57" s="2703">
        <v>0</v>
      </c>
      <c r="L57" s="2703">
        <v>0</v>
      </c>
      <c r="M57" s="2703">
        <v>0</v>
      </c>
      <c r="N57" s="2169">
        <v>0</v>
      </c>
      <c r="O57" s="2704" t="s">
        <v>454</v>
      </c>
      <c r="P57" s="2649"/>
      <c r="Q57" s="2649"/>
      <c r="R57" s="2649"/>
      <c r="S57" s="519"/>
    </row>
    <row r="58" spans="3:22" s="517" customFormat="1" ht="294" customHeight="1" x14ac:dyDescent="0.4">
      <c r="C58" s="2846" t="s">
        <v>952</v>
      </c>
      <c r="D58" s="2845" t="s">
        <v>1773</v>
      </c>
      <c r="E58" s="2363" t="s">
        <v>1340</v>
      </c>
      <c r="F58" s="2704" t="s">
        <v>478</v>
      </c>
      <c r="G58" s="2169">
        <f>'Роспись 2014'!H982</f>
        <v>120</v>
      </c>
      <c r="H58" s="2169">
        <f t="shared" si="1"/>
        <v>120</v>
      </c>
      <c r="I58" s="2319">
        <f t="shared" si="2"/>
        <v>0</v>
      </c>
      <c r="J58" s="2319"/>
      <c r="K58" s="2703">
        <v>0</v>
      </c>
      <c r="L58" s="2703">
        <v>0</v>
      </c>
      <c r="M58" s="2703">
        <v>0</v>
      </c>
      <c r="N58" s="2169">
        <f t="shared" si="3"/>
        <v>0</v>
      </c>
      <c r="O58" s="2704"/>
      <c r="P58" s="2649"/>
      <c r="Q58" s="2649"/>
      <c r="R58" s="2649"/>
      <c r="S58" s="519"/>
    </row>
    <row r="59" spans="3:22" s="517" customFormat="1" ht="294" customHeight="1" x14ac:dyDescent="0.4">
      <c r="C59" s="2846"/>
      <c r="D59" s="2845"/>
      <c r="E59" s="2363" t="s">
        <v>1770</v>
      </c>
      <c r="F59" s="2704" t="s">
        <v>478</v>
      </c>
      <c r="G59" s="2169"/>
      <c r="H59" s="2169">
        <v>0</v>
      </c>
      <c r="I59" s="2319">
        <f t="shared" si="2"/>
        <v>800</v>
      </c>
      <c r="J59" s="2319">
        <f>'2015'!J8</f>
        <v>800</v>
      </c>
      <c r="K59" s="2703">
        <v>0</v>
      </c>
      <c r="L59" s="2703">
        <v>0</v>
      </c>
      <c r="M59" s="2703">
        <v>0</v>
      </c>
      <c r="N59" s="2169">
        <v>0</v>
      </c>
      <c r="O59" s="2704" t="s">
        <v>454</v>
      </c>
      <c r="P59" s="2649"/>
      <c r="Q59" s="2649"/>
      <c r="R59" s="2649"/>
      <c r="S59" s="519"/>
    </row>
    <row r="60" spans="3:22" s="517" customFormat="1" ht="409.5" customHeight="1" thickBot="1" x14ac:dyDescent="0.45">
      <c r="C60" s="2700" t="s">
        <v>1871</v>
      </c>
      <c r="D60" s="2702" t="s">
        <v>1774</v>
      </c>
      <c r="E60" s="2363" t="s">
        <v>1643</v>
      </c>
      <c r="F60" s="2704" t="s">
        <v>478</v>
      </c>
      <c r="G60" s="2319">
        <f>'Роспись 2014'!H986+'Роспись 2014'!H987+'Роспись 2014'!H988+'Роспись 2014'!H989+'Роспись 2014'!H990+'Роспись 2014'!H991+'Роспись 2014'!H992+'Роспись 2014'!H980+'Роспись 2014'!H981</f>
        <v>47546.715000000004</v>
      </c>
      <c r="H60" s="2319">
        <f t="shared" si="1"/>
        <v>47546.715000000004</v>
      </c>
      <c r="I60" s="2319">
        <f t="shared" si="2"/>
        <v>7438.433</v>
      </c>
      <c r="J60" s="2319">
        <f>'2015'!J17+'2015'!J18+'2015'!J19+'2015'!J20</f>
        <v>7438.433</v>
      </c>
      <c r="K60" s="2703">
        <v>0</v>
      </c>
      <c r="L60" s="2703">
        <v>0</v>
      </c>
      <c r="M60" s="2703">
        <v>0</v>
      </c>
      <c r="N60" s="2319">
        <f t="shared" si="3"/>
        <v>0</v>
      </c>
      <c r="O60" s="2704" t="s">
        <v>454</v>
      </c>
      <c r="P60" s="2649"/>
      <c r="Q60" s="2649"/>
      <c r="R60" s="2649"/>
      <c r="S60" s="519"/>
      <c r="T60" s="1161">
        <v>2439</v>
      </c>
      <c r="U60" s="517">
        <v>47546.7</v>
      </c>
      <c r="V60" s="517">
        <f>6203+62.89</f>
        <v>6265.89</v>
      </c>
    </row>
    <row r="61" spans="3:22" s="517" customFormat="1" ht="409.5" customHeight="1" x14ac:dyDescent="0.4">
      <c r="C61" s="2700" t="s">
        <v>1637</v>
      </c>
      <c r="D61" s="2702" t="s">
        <v>1775</v>
      </c>
      <c r="E61" s="2363" t="s">
        <v>1766</v>
      </c>
      <c r="F61" s="2704" t="s">
        <v>478</v>
      </c>
      <c r="G61" s="2319">
        <v>0</v>
      </c>
      <c r="H61" s="2319">
        <f t="shared" si="1"/>
        <v>0</v>
      </c>
      <c r="I61" s="2319">
        <f t="shared" si="2"/>
        <v>2368.6999999999998</v>
      </c>
      <c r="J61" s="2319">
        <f>'2015'!J6+'2015'!J7</f>
        <v>2368.6999999999998</v>
      </c>
      <c r="K61" s="2703">
        <v>0</v>
      </c>
      <c r="L61" s="2703">
        <v>0</v>
      </c>
      <c r="M61" s="2703">
        <v>0</v>
      </c>
      <c r="N61" s="2319">
        <f t="shared" si="3"/>
        <v>0</v>
      </c>
      <c r="O61" s="2704" t="s">
        <v>454</v>
      </c>
      <c r="P61" s="2649"/>
      <c r="Q61" s="2649"/>
      <c r="R61" s="2649"/>
      <c r="S61" s="519"/>
      <c r="T61" s="2271"/>
    </row>
    <row r="62" spans="3:22" s="517" customFormat="1" ht="409.5" customHeight="1" x14ac:dyDescent="0.4">
      <c r="C62" s="2700" t="s">
        <v>1638</v>
      </c>
      <c r="D62" s="2702" t="s">
        <v>1864</v>
      </c>
      <c r="E62" s="2363" t="s">
        <v>1863</v>
      </c>
      <c r="F62" s="2704" t="s">
        <v>478</v>
      </c>
      <c r="G62" s="2319">
        <v>0</v>
      </c>
      <c r="H62" s="2319">
        <v>0</v>
      </c>
      <c r="I62" s="2319">
        <f t="shared" si="2"/>
        <v>24100</v>
      </c>
      <c r="J62" s="2319">
        <f>'2015'!J35</f>
        <v>24100</v>
      </c>
      <c r="K62" s="2703">
        <v>0</v>
      </c>
      <c r="L62" s="2703">
        <v>0</v>
      </c>
      <c r="M62" s="2703">
        <v>0</v>
      </c>
      <c r="N62" s="2319">
        <v>0</v>
      </c>
      <c r="O62" s="2704" t="s">
        <v>454</v>
      </c>
      <c r="P62" s="2649"/>
      <c r="Q62" s="2649"/>
      <c r="R62" s="2649"/>
      <c r="S62" s="519"/>
      <c r="T62" s="2271"/>
    </row>
    <row r="63" spans="3:22" s="517" customFormat="1" x14ac:dyDescent="0.4">
      <c r="C63" s="505"/>
      <c r="D63" s="2702" t="s">
        <v>507</v>
      </c>
      <c r="E63" s="2704"/>
      <c r="F63" s="2704"/>
      <c r="G63" s="2169">
        <f>SUM(G14:G60)</f>
        <v>1503118.6330500001</v>
      </c>
      <c r="H63" s="2299">
        <f t="shared" si="1"/>
        <v>1503118.6330500001</v>
      </c>
      <c r="I63" s="2319">
        <f t="shared" si="2"/>
        <v>1278531.95</v>
      </c>
      <c r="J63" s="2319">
        <f>SUM(J14:J62)</f>
        <v>1278531.95</v>
      </c>
      <c r="K63" s="2319">
        <f>SUM(K14:K62)</f>
        <v>1055538.1000000001</v>
      </c>
      <c r="L63" s="2169">
        <f>SUM(L14:L60)</f>
        <v>986542.1</v>
      </c>
      <c r="M63" s="2169">
        <f>SUM(M14:M60)</f>
        <v>986542.1</v>
      </c>
      <c r="N63" s="2299">
        <f t="shared" si="3"/>
        <v>986542.1</v>
      </c>
      <c r="O63" s="2706"/>
      <c r="P63" s="2338"/>
      <c r="Q63" s="2338"/>
      <c r="R63" s="2338"/>
      <c r="S63" s="519"/>
    </row>
    <row r="64" spans="3:22" x14ac:dyDescent="0.4">
      <c r="C64" s="2856" t="s">
        <v>508</v>
      </c>
      <c r="D64" s="2856"/>
      <c r="E64" s="2856"/>
      <c r="F64" s="2856"/>
      <c r="G64" s="2856"/>
      <c r="H64" s="2856"/>
      <c r="I64" s="2856"/>
      <c r="J64" s="2856"/>
      <c r="K64" s="2856"/>
      <c r="L64" s="2856"/>
      <c r="M64" s="2856"/>
      <c r="N64" s="2856"/>
      <c r="O64" s="2856"/>
      <c r="P64" s="2339"/>
      <c r="Q64" s="2339"/>
      <c r="R64" s="2339"/>
      <c r="S64" s="524"/>
    </row>
    <row r="65" spans="3:21" ht="264.75" customHeight="1" x14ac:dyDescent="0.4">
      <c r="C65" s="2314" t="s">
        <v>10</v>
      </c>
      <c r="D65" s="499" t="s">
        <v>1776</v>
      </c>
      <c r="E65" s="499" t="s">
        <v>1642</v>
      </c>
      <c r="F65" s="540" t="s">
        <v>478</v>
      </c>
      <c r="G65" s="2320">
        <f>'Роспись 2014'!H239</f>
        <v>4087.5</v>
      </c>
      <c r="H65" s="520">
        <f>G65</f>
        <v>4087.5</v>
      </c>
      <c r="I65" s="2320">
        <f>J65</f>
        <v>3567.1</v>
      </c>
      <c r="J65" s="2320">
        <f>'2015'!J33+'2015'!J34</f>
        <v>3567.1</v>
      </c>
      <c r="K65" s="520">
        <f>'2016'!I62</f>
        <v>3539.9</v>
      </c>
      <c r="L65" s="520">
        <f>K65</f>
        <v>3539.9</v>
      </c>
      <c r="M65" s="520">
        <f>L65</f>
        <v>3539.9</v>
      </c>
      <c r="N65" s="520">
        <f>M65</f>
        <v>3539.9</v>
      </c>
      <c r="O65" s="2704" t="s">
        <v>454</v>
      </c>
      <c r="P65" s="2649"/>
      <c r="Q65" s="2649"/>
      <c r="R65" s="2649"/>
      <c r="S65" s="524">
        <f>K65</f>
        <v>3539.9</v>
      </c>
    </row>
    <row r="66" spans="3:21" ht="52.5" customHeight="1" x14ac:dyDescent="0.4">
      <c r="C66" s="2855" t="s">
        <v>577</v>
      </c>
      <c r="D66" s="2855"/>
      <c r="E66" s="2855"/>
      <c r="F66" s="2855"/>
      <c r="G66" s="2321">
        <f>G65+G63</f>
        <v>1507206.1330500001</v>
      </c>
      <c r="H66" s="1173">
        <f>G66</f>
        <v>1507206.1330500001</v>
      </c>
      <c r="I66" s="2681">
        <f>J66</f>
        <v>1282099.05</v>
      </c>
      <c r="J66" s="2681">
        <f>J65+J63</f>
        <v>1282099.05</v>
      </c>
      <c r="K66" s="2321">
        <f>K65+K63</f>
        <v>1059078</v>
      </c>
      <c r="L66" s="2321">
        <f>L65+L63</f>
        <v>990082</v>
      </c>
      <c r="M66" s="2321">
        <f>M65+M63</f>
        <v>990082</v>
      </c>
      <c r="N66" s="2321">
        <f>N65+N63</f>
        <v>990082</v>
      </c>
      <c r="O66" s="2704"/>
      <c r="P66" s="2649"/>
      <c r="Q66" s="2649"/>
      <c r="R66" s="2649"/>
      <c r="S66" s="516"/>
      <c r="U66" s="516" t="e">
        <f>№18+№15+№12</f>
        <v>#NAME?</v>
      </c>
    </row>
    <row r="67" spans="3:21" x14ac:dyDescent="0.4">
      <c r="C67" s="506"/>
      <c r="D67" s="500"/>
      <c r="E67" s="521"/>
      <c r="F67" s="522"/>
      <c r="G67" s="523"/>
      <c r="H67" s="523"/>
      <c r="I67" s="2170"/>
      <c r="J67" s="2366"/>
      <c r="K67" s="523"/>
      <c r="L67" s="1186"/>
      <c r="M67" s="1186"/>
      <c r="N67" s="523"/>
      <c r="O67" s="2649"/>
      <c r="P67" s="2649"/>
      <c r="Q67" s="2649"/>
      <c r="R67" s="2649"/>
      <c r="U67" s="524"/>
    </row>
    <row r="68" spans="3:21" ht="60" customHeight="1" x14ac:dyDescent="0.4">
      <c r="D68" s="1171" t="s">
        <v>66</v>
      </c>
      <c r="E68" s="1172"/>
      <c r="F68" s="525"/>
      <c r="G68" s="526"/>
      <c r="H68" s="527"/>
      <c r="J68" s="2364"/>
      <c r="K68" s="2171"/>
      <c r="L68" s="2170"/>
      <c r="M68" s="1160"/>
      <c r="O68" s="2649"/>
      <c r="P68" s="2649"/>
      <c r="Q68" s="2649"/>
      <c r="R68" s="2649"/>
      <c r="U68" s="524" t="e">
        <f>№53+#REF!+#REF!+№41+#REF!+#REF!+#REF!+№35+№30+№26+№21+#REF!</f>
        <v>#NAME?</v>
      </c>
    </row>
    <row r="69" spans="3:21" s="529" customFormat="1" ht="113.25" customHeight="1" x14ac:dyDescent="0.4">
      <c r="C69" s="508"/>
      <c r="D69" s="2853" t="s">
        <v>1632</v>
      </c>
      <c r="E69" s="2853"/>
      <c r="F69" s="2853"/>
      <c r="G69" s="2853"/>
      <c r="H69" s="2853"/>
      <c r="I69" s="2853"/>
      <c r="J69" s="2853"/>
      <c r="K69" s="2853"/>
      <c r="L69" s="2853"/>
      <c r="Q69" s="2344"/>
      <c r="R69" s="2344"/>
      <c r="S69" s="530">
        <f>1059078-K66</f>
        <v>0</v>
      </c>
      <c r="U69" s="530">
        <f>K66+3908+22086</f>
        <v>1085072</v>
      </c>
    </row>
    <row r="70" spans="3:21" s="529" customFormat="1" ht="113.25" customHeight="1" x14ac:dyDescent="0.4">
      <c r="C70" s="508"/>
      <c r="D70" s="2854" t="s">
        <v>1772</v>
      </c>
      <c r="E70" s="2854"/>
      <c r="F70" s="2854"/>
      <c r="G70" s="2854"/>
      <c r="H70" s="2854"/>
      <c r="I70" s="2854"/>
      <c r="J70" s="2854"/>
      <c r="K70" s="2854"/>
      <c r="L70" s="2854"/>
      <c r="Q70" s="2344"/>
      <c r="R70" s="2344"/>
    </row>
    <row r="71" spans="3:21" s="529" customFormat="1" ht="125.25" customHeight="1" x14ac:dyDescent="0.4">
      <c r="C71" s="508"/>
      <c r="D71" s="2853" t="s">
        <v>1873</v>
      </c>
      <c r="E71" s="2853"/>
      <c r="F71" s="2853"/>
      <c r="G71" s="2853"/>
      <c r="H71" s="2853"/>
      <c r="I71" s="2853"/>
      <c r="J71" s="2853"/>
      <c r="K71" s="2853"/>
      <c r="L71" s="2853"/>
      <c r="Q71" s="2344"/>
      <c r="R71" s="2344"/>
      <c r="U71" s="530">
        <f>I68-9097</f>
        <v>-9097</v>
      </c>
    </row>
    <row r="72" spans="3:21" ht="126.75" customHeight="1" x14ac:dyDescent="0.4">
      <c r="D72" s="2853" t="s">
        <v>1631</v>
      </c>
      <c r="E72" s="2853"/>
      <c r="F72" s="2853"/>
      <c r="G72" s="2853"/>
      <c r="H72" s="2853"/>
      <c r="I72" s="2853"/>
      <c r="J72" s="2853"/>
      <c r="K72" s="2853"/>
      <c r="L72" s="2853"/>
    </row>
    <row r="73" spans="3:21" ht="12" customHeight="1" x14ac:dyDescent="0.4"/>
    <row r="78" spans="3:21" ht="102.75" customHeight="1" x14ac:dyDescent="0.4">
      <c r="D78" s="2866" t="s">
        <v>865</v>
      </c>
      <c r="E78" s="2866"/>
      <c r="T78" s="2173">
        <f>G66</f>
        <v>1507206.1330500001</v>
      </c>
    </row>
    <row r="79" spans="3:21" x14ac:dyDescent="0.4">
      <c r="D79" s="2865">
        <v>2011</v>
      </c>
      <c r="E79" s="2865"/>
    </row>
    <row r="80" spans="3:21" x14ac:dyDescent="0.4">
      <c r="D80" s="535" t="s">
        <v>858</v>
      </c>
      <c r="E80" s="535" t="s">
        <v>859</v>
      </c>
    </row>
    <row r="81" spans="4:12" x14ac:dyDescent="0.4">
      <c r="D81" s="539">
        <v>10161.299999999999</v>
      </c>
      <c r="E81" s="532">
        <v>806624.28899999999</v>
      </c>
    </row>
    <row r="83" spans="4:12" ht="124.5" customHeight="1" x14ac:dyDescent="0.4">
      <c r="D83" s="2869" t="s">
        <v>860</v>
      </c>
      <c r="E83" s="2869"/>
      <c r="F83" s="2864" t="s">
        <v>861</v>
      </c>
      <c r="G83" s="2864"/>
      <c r="H83" s="2864"/>
      <c r="I83" s="2864"/>
      <c r="J83" s="2864"/>
      <c r="K83" s="2864"/>
      <c r="L83" s="2864"/>
    </row>
    <row r="84" spans="4:12" x14ac:dyDescent="0.4">
      <c r="D84" s="2868" t="s">
        <v>857</v>
      </c>
      <c r="E84" s="2868"/>
      <c r="F84" s="537"/>
      <c r="G84" s="2867">
        <v>2013</v>
      </c>
      <c r="H84" s="2867"/>
      <c r="I84" s="2867">
        <v>2014</v>
      </c>
      <c r="J84" s="2867"/>
      <c r="K84" s="2867">
        <v>2015</v>
      </c>
      <c r="L84" s="2867"/>
    </row>
    <row r="85" spans="4:12" ht="162" customHeight="1" x14ac:dyDescent="0.4">
      <c r="D85" s="535" t="s">
        <v>858</v>
      </c>
      <c r="E85" s="535" t="s">
        <v>859</v>
      </c>
      <c r="F85" s="537"/>
      <c r="G85" s="2867" t="s">
        <v>862</v>
      </c>
      <c r="H85" s="2867"/>
      <c r="I85" s="2867" t="s">
        <v>863</v>
      </c>
      <c r="J85" s="2867"/>
      <c r="K85" s="2867" t="s">
        <v>864</v>
      </c>
      <c r="L85" s="2867"/>
    </row>
    <row r="86" spans="4:12" x14ac:dyDescent="0.4">
      <c r="D86" s="536">
        <v>40874.135000000002</v>
      </c>
      <c r="E86" s="536">
        <v>919518.03500000003</v>
      </c>
      <c r="F86" s="537"/>
      <c r="G86" s="538"/>
      <c r="H86" s="538"/>
      <c r="I86" s="2172"/>
      <c r="J86" s="2368"/>
      <c r="K86" s="538"/>
      <c r="L86" s="538"/>
    </row>
    <row r="87" spans="4:12" x14ac:dyDescent="0.4">
      <c r="D87" s="2863"/>
      <c r="E87" s="2863"/>
      <c r="F87" s="537"/>
      <c r="G87" s="538"/>
      <c r="H87" s="538"/>
      <c r="I87" s="2172"/>
      <c r="J87" s="2368"/>
      <c r="K87" s="538"/>
      <c r="L87" s="538"/>
    </row>
    <row r="88" spans="4:12" x14ac:dyDescent="0.4">
      <c r="D88" s="533"/>
      <c r="E88" s="534"/>
      <c r="F88" s="537"/>
      <c r="G88" s="538"/>
      <c r="H88" s="538"/>
      <c r="I88" s="2172"/>
      <c r="J88" s="2368"/>
      <c r="K88" s="538"/>
      <c r="L88" s="538"/>
    </row>
    <row r="89" spans="4:12" x14ac:dyDescent="0.4">
      <c r="D89" s="533"/>
      <c r="E89" s="534"/>
      <c r="F89" s="537"/>
      <c r="G89" s="538"/>
      <c r="H89" s="538"/>
      <c r="I89" s="2172"/>
      <c r="J89" s="2368"/>
      <c r="K89" s="538"/>
      <c r="L89" s="538"/>
    </row>
    <row r="90" spans="4:12" x14ac:dyDescent="0.4">
      <c r="F90" s="537"/>
      <c r="G90" s="538"/>
      <c r="H90" s="538"/>
      <c r="I90" s="2172"/>
      <c r="J90" s="2368"/>
      <c r="K90" s="538"/>
      <c r="L90" s="538"/>
    </row>
  </sheetData>
  <mergeCells count="143">
    <mergeCell ref="G53:G55"/>
    <mergeCell ref="K53:K55"/>
    <mergeCell ref="O20:O22"/>
    <mergeCell ref="M23:M26"/>
    <mergeCell ref="G20:G22"/>
    <mergeCell ref="G32:G36"/>
    <mergeCell ref="G42:G44"/>
    <mergeCell ref="N42:N44"/>
    <mergeCell ref="L42:L44"/>
    <mergeCell ref="N23:N26"/>
    <mergeCell ref="O32:O36"/>
    <mergeCell ref="O40:O41"/>
    <mergeCell ref="M37:M39"/>
    <mergeCell ref="O37:O39"/>
    <mergeCell ref="L37:L39"/>
    <mergeCell ref="H32:H36"/>
    <mergeCell ref="H42:H44"/>
    <mergeCell ref="O27:O31"/>
    <mergeCell ref="L23:L26"/>
    <mergeCell ref="O23:O26"/>
    <mergeCell ref="N27:N31"/>
    <mergeCell ref="N20:N22"/>
    <mergeCell ref="M32:M36"/>
    <mergeCell ref="H23:H26"/>
    <mergeCell ref="C14:C16"/>
    <mergeCell ref="D14:D16"/>
    <mergeCell ref="G14:G16"/>
    <mergeCell ref="H14:H16"/>
    <mergeCell ref="C20:C22"/>
    <mergeCell ref="K20:K22"/>
    <mergeCell ref="L20:L22"/>
    <mergeCell ref="D42:D44"/>
    <mergeCell ref="J14:J16"/>
    <mergeCell ref="I14:I16"/>
    <mergeCell ref="H37:H39"/>
    <mergeCell ref="K37:K39"/>
    <mergeCell ref="F37:F39"/>
    <mergeCell ref="G37:G39"/>
    <mergeCell ref="F32:F33"/>
    <mergeCell ref="F35:F36"/>
    <mergeCell ref="J42:J44"/>
    <mergeCell ref="D40:D41"/>
    <mergeCell ref="D20:D22"/>
    <mergeCell ref="K42:K44"/>
    <mergeCell ref="C23:C26"/>
    <mergeCell ref="D23:D26"/>
    <mergeCell ref="F24:F26"/>
    <mergeCell ref="K23:K26"/>
    <mergeCell ref="D87:E87"/>
    <mergeCell ref="F83:L83"/>
    <mergeCell ref="D79:E79"/>
    <mergeCell ref="D78:E78"/>
    <mergeCell ref="K85:L85"/>
    <mergeCell ref="K84:L84"/>
    <mergeCell ref="G85:H85"/>
    <mergeCell ref="G84:H84"/>
    <mergeCell ref="I85:J85"/>
    <mergeCell ref="I84:J84"/>
    <mergeCell ref="D84:E84"/>
    <mergeCell ref="D83:E83"/>
    <mergeCell ref="C7:O7"/>
    <mergeCell ref="C8:O8"/>
    <mergeCell ref="C10:D12"/>
    <mergeCell ref="E10:E12"/>
    <mergeCell ref="F10:F12"/>
    <mergeCell ref="G10:N10"/>
    <mergeCell ref="O10:O12"/>
    <mergeCell ref="G11:H11"/>
    <mergeCell ref="M17:M19"/>
    <mergeCell ref="N17:N19"/>
    <mergeCell ref="D13:O13"/>
    <mergeCell ref="K14:K16"/>
    <mergeCell ref="O14:O16"/>
    <mergeCell ref="N14:N16"/>
    <mergeCell ref="I11:J11"/>
    <mergeCell ref="K11:N11"/>
    <mergeCell ref="O17:O19"/>
    <mergeCell ref="H17:H19"/>
    <mergeCell ref="G17:G19"/>
    <mergeCell ref="C17:C19"/>
    <mergeCell ref="D17:D19"/>
    <mergeCell ref="K17:K19"/>
    <mergeCell ref="M14:M16"/>
    <mergeCell ref="L14:L16"/>
    <mergeCell ref="G23:G26"/>
    <mergeCell ref="L17:L19"/>
    <mergeCell ref="M27:M31"/>
    <mergeCell ref="L27:L31"/>
    <mergeCell ref="K27:K31"/>
    <mergeCell ref="M20:M22"/>
    <mergeCell ref="H20:H22"/>
    <mergeCell ref="J17:J19"/>
    <mergeCell ref="J20:J22"/>
    <mergeCell ref="J23:J26"/>
    <mergeCell ref="J27:J31"/>
    <mergeCell ref="D72:L72"/>
    <mergeCell ref="C32:C36"/>
    <mergeCell ref="D32:D36"/>
    <mergeCell ref="C40:C41"/>
    <mergeCell ref="C37:C39"/>
    <mergeCell ref="D37:D39"/>
    <mergeCell ref="K32:K36"/>
    <mergeCell ref="L32:L36"/>
    <mergeCell ref="D70:L70"/>
    <mergeCell ref="C66:F66"/>
    <mergeCell ref="D69:L69"/>
    <mergeCell ref="D71:L71"/>
    <mergeCell ref="C64:O64"/>
    <mergeCell ref="O53:O55"/>
    <mergeCell ref="M53:M55"/>
    <mergeCell ref="L53:L55"/>
    <mergeCell ref="D53:D55"/>
    <mergeCell ref="H53:H55"/>
    <mergeCell ref="N53:N55"/>
    <mergeCell ref="C42:C44"/>
    <mergeCell ref="N32:N36"/>
    <mergeCell ref="N37:N39"/>
    <mergeCell ref="J37:J39"/>
    <mergeCell ref="O42:O44"/>
    <mergeCell ref="M42:M44"/>
    <mergeCell ref="J53:J55"/>
    <mergeCell ref="D58:D59"/>
    <mergeCell ref="C56:C57"/>
    <mergeCell ref="C58:C59"/>
    <mergeCell ref="D56:D57"/>
    <mergeCell ref="I53:I55"/>
    <mergeCell ref="I17:I19"/>
    <mergeCell ref="I20:I22"/>
    <mergeCell ref="I23:I26"/>
    <mergeCell ref="I27:I31"/>
    <mergeCell ref="I32:I36"/>
    <mergeCell ref="I37:I39"/>
    <mergeCell ref="I42:I44"/>
    <mergeCell ref="D45:D47"/>
    <mergeCell ref="C45:C47"/>
    <mergeCell ref="C53:C55"/>
    <mergeCell ref="F53:F55"/>
    <mergeCell ref="J32:J36"/>
    <mergeCell ref="C27:C31"/>
    <mergeCell ref="D28:D31"/>
    <mergeCell ref="F29:F31"/>
    <mergeCell ref="G27:G31"/>
    <mergeCell ref="H27:H31"/>
  </mergeCells>
  <dataValidations xWindow="1061" yWindow="699" count="1">
    <dataValidation type="decimal" operator="greaterThan" allowBlank="1" showInputMessage="1" showErrorMessage="1" errorTitle="Введите число!" error="Введите число!" promptTitle="Проверка корректности" prompt="Введите число" sqref="K27:M27 K14:M14 M23 K40:M42 K45:M53 K32:M32 K37:M37 K20:M20 K23 K17:M17">
      <formula1>-100000000000</formula1>
    </dataValidation>
  </dataValidations>
  <printOptions horizontalCentered="1"/>
  <pageMargins left="0.11811023622047245" right="0.11811023622047245" top="0.15748031496062992" bottom="0.15748031496062992" header="0.31496062992125984" footer="0.31496062992125984"/>
  <pageSetup paperSize="9" scale="24" orientation="landscape" r:id="rId1"/>
  <rowBreaks count="3" manualBreakCount="3">
    <brk id="19" min="1" max="15" man="1"/>
    <brk id="26" min="1" max="15" man="1"/>
    <brk id="52" min="1" max="1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6"/>
  <sheetViews>
    <sheetView topLeftCell="A3" workbookViewId="0">
      <selection activeCell="IV65536" sqref="IV65536"/>
    </sheetView>
  </sheetViews>
  <sheetFormatPr baseColWidth="10" defaultColWidth="8.83203125" defaultRowHeight="13" x14ac:dyDescent="0.15"/>
  <cols>
    <col min="1" max="3" width="20.1640625" customWidth="1"/>
  </cols>
  <sheetData>
    <row r="2" spans="1:13" ht="16" x14ac:dyDescent="0.2">
      <c r="A2" t="s">
        <v>40</v>
      </c>
      <c r="B2">
        <v>377705.59</v>
      </c>
      <c r="C2" t="e">
        <f>'Приложение № 6'!#REF!</f>
        <v>#REF!</v>
      </c>
      <c r="D2">
        <v>407391.7</v>
      </c>
      <c r="F2" t="e">
        <f>'Приложение № 6'!#REF!</f>
        <v>#REF!</v>
      </c>
      <c r="K2" s="3">
        <v>1567.5</v>
      </c>
      <c r="M2" s="3" t="s">
        <v>59</v>
      </c>
    </row>
    <row r="3" spans="1:13" ht="16" x14ac:dyDescent="0.2">
      <c r="A3" t="s">
        <v>38</v>
      </c>
      <c r="B3">
        <v>54806.52</v>
      </c>
      <c r="C3" t="e">
        <f>'Приложение № 6'!#REF!+'Приложение № 6'!#REF!+'Приложение № 6'!#REF!</f>
        <v>#REF!</v>
      </c>
      <c r="D3">
        <v>32789.9</v>
      </c>
      <c r="F3" t="e">
        <f>'Приложение № 6'!#REF!+'Приложение № 6'!#REF!</f>
        <v>#REF!</v>
      </c>
      <c r="K3" s="3">
        <v>848.9</v>
      </c>
      <c r="M3" s="3" t="s">
        <v>60</v>
      </c>
    </row>
    <row r="4" spans="1:13" ht="16" x14ac:dyDescent="0.2">
      <c r="A4" t="s">
        <v>39</v>
      </c>
      <c r="D4" t="e">
        <f>'Приложение № 6'!#REF!</f>
        <v>#REF!</v>
      </c>
      <c r="K4" s="3">
        <v>4.9000000000000004</v>
      </c>
      <c r="M4" s="3" t="s">
        <v>61</v>
      </c>
    </row>
    <row r="5" spans="1:13" ht="16" x14ac:dyDescent="0.2">
      <c r="A5" t="s">
        <v>41</v>
      </c>
      <c r="B5">
        <v>60173.31</v>
      </c>
      <c r="C5" t="e">
        <f>'Приложение № 6'!#REF!+'Приложение № 6'!#REF!</f>
        <v>#REF!</v>
      </c>
      <c r="D5">
        <v>68785.5</v>
      </c>
      <c r="F5" t="e">
        <f>'Приложение № 6'!#REF!+'Приложение № 6'!#REF!</f>
        <v>#REF!</v>
      </c>
      <c r="K5" s="3">
        <v>517.47</v>
      </c>
      <c r="M5" s="3" t="s">
        <v>62</v>
      </c>
    </row>
    <row r="6" spans="1:13" ht="16" x14ac:dyDescent="0.2">
      <c r="A6" t="s">
        <v>42</v>
      </c>
      <c r="B6">
        <v>52495.57</v>
      </c>
      <c r="C6" t="e">
        <f>'Приложение № 6'!#REF!+'Приложение № 6'!#REF!</f>
        <v>#REF!</v>
      </c>
      <c r="D6">
        <v>53806.2</v>
      </c>
      <c r="F6" t="e">
        <f>'Приложение № 6'!#REF!+'Приложение № 6'!#REF!</f>
        <v>#REF!</v>
      </c>
      <c r="K6" s="3">
        <v>1380.5</v>
      </c>
      <c r="M6" s="3" t="s">
        <v>63</v>
      </c>
    </row>
    <row r="7" spans="1:13" ht="16" x14ac:dyDescent="0.2">
      <c r="A7">
        <v>423</v>
      </c>
      <c r="B7">
        <v>15870.29</v>
      </c>
      <c r="C7" t="e">
        <f>'Приложение № 6'!#REF!+'Приложение № 6'!#REF!</f>
        <v>#REF!</v>
      </c>
      <c r="D7">
        <v>17362.900000000001</v>
      </c>
      <c r="F7" t="e">
        <f>'Приложение № 6'!#REF!+'Приложение № 6'!#REF!</f>
        <v>#REF!</v>
      </c>
      <c r="K7" s="3">
        <v>2624.6</v>
      </c>
      <c r="M7" s="3" t="s">
        <v>64</v>
      </c>
    </row>
    <row r="8" spans="1:13" ht="16" x14ac:dyDescent="0.2">
      <c r="A8">
        <v>427</v>
      </c>
      <c r="B8">
        <v>65171.16</v>
      </c>
      <c r="C8" t="e">
        <f>'Приложение № 6'!#REF!+'Приложение № 6'!#REF!</f>
        <v>#REF!</v>
      </c>
      <c r="D8">
        <v>63158.7</v>
      </c>
      <c r="F8" t="e">
        <f>'Приложение № 6'!#REF!+'Приложение № 6'!#REF!</f>
        <v>#REF!</v>
      </c>
      <c r="K8" s="3">
        <v>13843.3</v>
      </c>
    </row>
    <row r="9" spans="1:13" ht="16" x14ac:dyDescent="0.2">
      <c r="A9">
        <v>429</v>
      </c>
      <c r="B9">
        <v>1680.2</v>
      </c>
      <c r="C9" t="e">
        <f>'Приложение № 6'!#REF!</f>
        <v>#REF!</v>
      </c>
      <c r="D9">
        <v>1494.1</v>
      </c>
      <c r="F9" t="e">
        <f>'Приложение № 6'!#REF!</f>
        <v>#REF!</v>
      </c>
      <c r="K9" s="3">
        <v>3.4</v>
      </c>
    </row>
    <row r="10" spans="1:13" x14ac:dyDescent="0.15">
      <c r="A10" t="s">
        <v>43</v>
      </c>
      <c r="B10">
        <v>3463.1</v>
      </c>
      <c r="C10" t="e">
        <f>'Приложение № 6'!#REF!</f>
        <v>#REF!</v>
      </c>
      <c r="D10">
        <v>6142</v>
      </c>
      <c r="F10" t="e">
        <f>'Приложение № 6'!#REF!</f>
        <v>#REF!</v>
      </c>
      <c r="K10">
        <f>SUM(K2:K9)</f>
        <v>20790.57</v>
      </c>
    </row>
    <row r="11" spans="1:13" x14ac:dyDescent="0.15">
      <c r="A11" t="s">
        <v>44</v>
      </c>
      <c r="B11">
        <v>1516.1</v>
      </c>
      <c r="C11" t="e">
        <f>'Приложение № 6'!#REF!</f>
        <v>#REF!</v>
      </c>
      <c r="D11">
        <v>1618</v>
      </c>
      <c r="F11" t="e">
        <f>'Приложение № 6'!#REF!</f>
        <v>#REF!</v>
      </c>
    </row>
    <row r="12" spans="1:13" x14ac:dyDescent="0.15">
      <c r="A12" t="s">
        <v>52</v>
      </c>
      <c r="B12">
        <v>18220.099999999999</v>
      </c>
      <c r="C12" t="e">
        <f>'Приложение № 6'!#REF!</f>
        <v>#REF!</v>
      </c>
      <c r="D12">
        <v>13867</v>
      </c>
      <c r="F12" t="e">
        <f>'Приложение № 6'!#REF!</f>
        <v>#REF!</v>
      </c>
    </row>
    <row r="13" spans="1:13" x14ac:dyDescent="0.15">
      <c r="A13" t="s">
        <v>45</v>
      </c>
      <c r="B13">
        <v>8838</v>
      </c>
      <c r="C13" t="e">
        <f>'Приложение № 6'!#REF!</f>
        <v>#REF!</v>
      </c>
      <c r="D13">
        <v>8889.4</v>
      </c>
    </row>
    <row r="14" spans="1:13" x14ac:dyDescent="0.15">
      <c r="A14" t="s">
        <v>46</v>
      </c>
      <c r="D14">
        <v>150</v>
      </c>
    </row>
    <row r="15" spans="1:13" x14ac:dyDescent="0.15">
      <c r="A15" t="s">
        <v>47</v>
      </c>
      <c r="B15">
        <v>27856.005000000001</v>
      </c>
      <c r="C15" t="e">
        <f>'Приложение № 6'!#REF!</f>
        <v>#REF!</v>
      </c>
      <c r="D15">
        <v>25781</v>
      </c>
    </row>
    <row r="16" spans="1:13" x14ac:dyDescent="0.15">
      <c r="A16" t="s">
        <v>51</v>
      </c>
      <c r="B16">
        <v>0</v>
      </c>
      <c r="C16">
        <v>0</v>
      </c>
      <c r="D16">
        <v>1846.3</v>
      </c>
    </row>
    <row r="17" spans="1:4" x14ac:dyDescent="0.15">
      <c r="A17" t="s">
        <v>48</v>
      </c>
      <c r="B17">
        <v>7901.2</v>
      </c>
      <c r="C17" t="e">
        <f>'Приложение № 6'!#REF!</f>
        <v>#REF!</v>
      </c>
      <c r="D17">
        <v>5659.9</v>
      </c>
    </row>
    <row r="18" spans="1:4" x14ac:dyDescent="0.15">
      <c r="A18" t="s">
        <v>55</v>
      </c>
      <c r="B18">
        <v>5350</v>
      </c>
      <c r="C18" t="e">
        <f>'Приложение № 6'!#REF!+'Приложение № 6'!#REF!+'Приложение № 6'!#REF!+'Приложение № 6'!#REF!</f>
        <v>#REF!</v>
      </c>
    </row>
    <row r="19" spans="1:4" x14ac:dyDescent="0.15">
      <c r="A19" t="s">
        <v>49</v>
      </c>
      <c r="B19">
        <v>462.2</v>
      </c>
      <c r="C19" t="e">
        <f>'Приложение № 6'!#REF!</f>
        <v>#REF!</v>
      </c>
      <c r="D19">
        <v>491</v>
      </c>
    </row>
    <row r="20" spans="1:4" x14ac:dyDescent="0.15">
      <c r="A20" t="s">
        <v>50</v>
      </c>
      <c r="D20">
        <v>432</v>
      </c>
    </row>
    <row r="21" spans="1:4" x14ac:dyDescent="0.15">
      <c r="A21" t="s">
        <v>53</v>
      </c>
      <c r="B21">
        <v>3066</v>
      </c>
      <c r="C21" t="e">
        <f>'Приложение № 6'!#REF!</f>
        <v>#REF!</v>
      </c>
    </row>
    <row r="22" spans="1:4" x14ac:dyDescent="0.15">
      <c r="A22" t="s">
        <v>54</v>
      </c>
      <c r="B22">
        <f>6695+18015.7</f>
        <v>24710.7</v>
      </c>
      <c r="C22" t="e">
        <f>'Приложение № 6'!#REF!</f>
        <v>#REF!</v>
      </c>
      <c r="D22" t="e">
        <f>SUM(D2:D21)</f>
        <v>#REF!</v>
      </c>
    </row>
    <row r="23" spans="1:4" x14ac:dyDescent="0.15">
      <c r="A23" t="s">
        <v>56</v>
      </c>
      <c r="B23">
        <v>3787.2</v>
      </c>
      <c r="C23" t="e">
        <f>'Приложение № 6'!#REF!</f>
        <v>#REF!</v>
      </c>
      <c r="D23">
        <v>738752.6</v>
      </c>
    </row>
    <row r="24" spans="1:4" x14ac:dyDescent="0.15">
      <c r="D24" t="e">
        <f>D23-D22</f>
        <v>#REF!</v>
      </c>
    </row>
    <row r="26" spans="1:4" x14ac:dyDescent="0.15">
      <c r="B26">
        <f>SUM(B2:B25)</f>
        <v>733073.24499999976</v>
      </c>
      <c r="C26" t="e">
        <f>SUM(C2:C25)</f>
        <v>#REF!</v>
      </c>
    </row>
  </sheetData>
  <phoneticPr fontId="31" type="noConversion"/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9"/>
  <sheetViews>
    <sheetView zoomScale="55" zoomScaleNormal="55" zoomScalePageLayoutView="55" workbookViewId="0">
      <selection activeCell="M51" sqref="M51"/>
    </sheetView>
  </sheetViews>
  <sheetFormatPr baseColWidth="10" defaultColWidth="8.83203125" defaultRowHeight="13" x14ac:dyDescent="0.15"/>
  <cols>
    <col min="2" max="18" width="16.83203125" customWidth="1"/>
  </cols>
  <sheetData>
    <row r="3" spans="2:17" ht="28" x14ac:dyDescent="0.3">
      <c r="B3" s="102"/>
      <c r="C3" s="3247">
        <v>2010</v>
      </c>
      <c r="D3" s="3248"/>
      <c r="E3" s="3249"/>
      <c r="F3" s="3250">
        <v>2011</v>
      </c>
      <c r="G3" s="3251"/>
      <c r="H3" s="3252"/>
      <c r="I3" s="3250">
        <v>2012</v>
      </c>
      <c r="J3" s="3251"/>
      <c r="K3" s="3252"/>
      <c r="L3" s="3250">
        <v>2013</v>
      </c>
      <c r="M3" s="3251"/>
      <c r="N3" s="3252"/>
      <c r="O3" s="3250">
        <v>2014</v>
      </c>
      <c r="P3" s="3251"/>
      <c r="Q3" s="3252"/>
    </row>
    <row r="4" spans="2:17" ht="56" x14ac:dyDescent="0.3">
      <c r="B4" s="102"/>
      <c r="C4" s="240" t="s">
        <v>600</v>
      </c>
      <c r="D4" s="240" t="s">
        <v>601</v>
      </c>
      <c r="E4" s="238" t="s">
        <v>603</v>
      </c>
      <c r="F4" s="240" t="s">
        <v>600</v>
      </c>
      <c r="G4" s="240" t="s">
        <v>601</v>
      </c>
      <c r="H4" s="238" t="s">
        <v>603</v>
      </c>
      <c r="I4" s="240" t="s">
        <v>600</v>
      </c>
      <c r="J4" s="240" t="s">
        <v>601</v>
      </c>
      <c r="K4" s="238" t="s">
        <v>603</v>
      </c>
      <c r="L4" s="240" t="s">
        <v>600</v>
      </c>
      <c r="M4" s="240" t="s">
        <v>601</v>
      </c>
      <c r="N4" s="238" t="s">
        <v>603</v>
      </c>
      <c r="O4" s="240" t="s">
        <v>600</v>
      </c>
      <c r="P4" s="240" t="s">
        <v>601</v>
      </c>
      <c r="Q4" s="238" t="s">
        <v>603</v>
      </c>
    </row>
    <row r="5" spans="2:17" ht="28" x14ac:dyDescent="0.3">
      <c r="B5" s="102" t="s">
        <v>596</v>
      </c>
      <c r="C5" s="241">
        <v>155629</v>
      </c>
      <c r="D5" s="242">
        <v>2730</v>
      </c>
      <c r="E5" s="244">
        <f>D5*100/C5</f>
        <v>1.7541717803237187</v>
      </c>
      <c r="F5" s="242">
        <v>157174</v>
      </c>
      <c r="G5" s="242">
        <v>1545</v>
      </c>
      <c r="H5" s="244">
        <f>G5*100/F5</f>
        <v>0.98298700802931782</v>
      </c>
      <c r="I5" s="242">
        <v>158682</v>
      </c>
      <c r="J5" s="242">
        <v>1570</v>
      </c>
      <c r="K5" s="244">
        <f>J5*100/I5</f>
        <v>0.98940018401583041</v>
      </c>
      <c r="L5" s="242">
        <v>160302</v>
      </c>
      <c r="M5" s="242">
        <v>1620</v>
      </c>
      <c r="N5" s="244">
        <f>M5*100/L5</f>
        <v>1.01059250664371</v>
      </c>
      <c r="O5" s="242">
        <v>162652</v>
      </c>
      <c r="P5" s="242">
        <v>2350</v>
      </c>
      <c r="Q5" s="244">
        <f>P5*100/O5</f>
        <v>1.444802400216413</v>
      </c>
    </row>
    <row r="6" spans="2:17" ht="28" x14ac:dyDescent="0.3">
      <c r="B6" s="102" t="s">
        <v>529</v>
      </c>
      <c r="C6" s="241">
        <v>18008</v>
      </c>
      <c r="D6" s="242">
        <v>236</v>
      </c>
      <c r="E6" s="244">
        <f>D6*100/C6</f>
        <v>1.3105286539315859</v>
      </c>
      <c r="F6" s="242">
        <v>18244</v>
      </c>
      <c r="G6" s="242">
        <v>39</v>
      </c>
      <c r="H6" s="244">
        <f>G6*100/F6</f>
        <v>0.21376891032668274</v>
      </c>
      <c r="I6" s="242">
        <v>18283</v>
      </c>
      <c r="J6" s="242">
        <v>50</v>
      </c>
      <c r="K6" s="244">
        <f>J6*100/I6</f>
        <v>0.27347809440463816</v>
      </c>
      <c r="L6" s="242">
        <v>18333</v>
      </c>
      <c r="M6" s="242">
        <v>50</v>
      </c>
      <c r="N6" s="244">
        <f>M6*100/L6</f>
        <v>0.2727322314951181</v>
      </c>
      <c r="O6" s="242">
        <f>L6+M6</f>
        <v>18383</v>
      </c>
      <c r="P6" s="242">
        <v>50</v>
      </c>
      <c r="Q6" s="244">
        <f>P6*100/O6</f>
        <v>0.27199042593700701</v>
      </c>
    </row>
    <row r="7" spans="2:17" ht="28" x14ac:dyDescent="0.3">
      <c r="B7" s="102" t="s">
        <v>530</v>
      </c>
      <c r="C7" s="241">
        <v>6215</v>
      </c>
      <c r="D7" s="242">
        <v>0</v>
      </c>
      <c r="E7" s="244">
        <f>D7*100/C7</f>
        <v>0</v>
      </c>
      <c r="F7" s="242">
        <v>6215</v>
      </c>
      <c r="G7" s="242">
        <v>10</v>
      </c>
      <c r="H7" s="244">
        <f>G7*100/F7</f>
        <v>0.16090104585679807</v>
      </c>
      <c r="I7" s="242">
        <v>6225</v>
      </c>
      <c r="J7" s="242">
        <v>0</v>
      </c>
      <c r="K7" s="244">
        <f>J7*100/I7</f>
        <v>0</v>
      </c>
      <c r="L7" s="242">
        <v>6225</v>
      </c>
      <c r="M7" s="242">
        <v>10</v>
      </c>
      <c r="N7" s="244">
        <f>M7*100/L7</f>
        <v>0.1606425702811245</v>
      </c>
      <c r="O7" s="242">
        <v>6235</v>
      </c>
      <c r="P7" s="242">
        <v>10</v>
      </c>
      <c r="Q7" s="244">
        <f>P7*100/O7</f>
        <v>0.16038492381716118</v>
      </c>
    </row>
    <row r="8" spans="2:17" ht="28" x14ac:dyDescent="0.3">
      <c r="B8" s="102" t="s">
        <v>597</v>
      </c>
      <c r="C8" s="241">
        <v>0</v>
      </c>
      <c r="D8" s="242">
        <v>0</v>
      </c>
      <c r="E8" s="244">
        <v>0</v>
      </c>
      <c r="F8" s="242">
        <v>674</v>
      </c>
      <c r="G8" s="242">
        <v>0</v>
      </c>
      <c r="H8" s="244">
        <f>G8*100/F8</f>
        <v>0</v>
      </c>
      <c r="I8" s="242">
        <v>687</v>
      </c>
      <c r="J8" s="242">
        <v>230</v>
      </c>
      <c r="K8" s="244">
        <f>J8*100/I8</f>
        <v>33.478893740902471</v>
      </c>
      <c r="L8" s="242">
        <v>917</v>
      </c>
      <c r="M8" s="242">
        <v>100</v>
      </c>
      <c r="N8" s="244">
        <f>M8*100/L8</f>
        <v>10.905125408942203</v>
      </c>
      <c r="O8" s="242">
        <v>1017</v>
      </c>
      <c r="P8" s="242">
        <v>100</v>
      </c>
      <c r="Q8" s="244">
        <f>P8*100/O8</f>
        <v>9.8328416912487704</v>
      </c>
    </row>
    <row r="9" spans="2:17" ht="28" x14ac:dyDescent="0.3">
      <c r="B9" s="239" t="s">
        <v>575</v>
      </c>
      <c r="C9" s="243">
        <f>SUM(C5:C8)</f>
        <v>179852</v>
      </c>
      <c r="D9" s="243">
        <f t="shared" ref="D9:Q9" si="0">SUM(D5:D8)</f>
        <v>2966</v>
      </c>
      <c r="E9" s="245">
        <f t="shared" si="0"/>
        <v>3.0647004342553048</v>
      </c>
      <c r="F9" s="243">
        <f t="shared" si="0"/>
        <v>182307</v>
      </c>
      <c r="G9" s="243">
        <f t="shared" si="0"/>
        <v>1594</v>
      </c>
      <c r="H9" s="245">
        <f t="shared" si="0"/>
        <v>1.3576569642127987</v>
      </c>
      <c r="I9" s="243">
        <f t="shared" si="0"/>
        <v>183877</v>
      </c>
      <c r="J9" s="243">
        <f>SUM(J5:J8)</f>
        <v>1850</v>
      </c>
      <c r="K9" s="245">
        <f t="shared" si="0"/>
        <v>34.741772019322937</v>
      </c>
      <c r="L9" s="243">
        <f t="shared" si="0"/>
        <v>185777</v>
      </c>
      <c r="M9" s="243">
        <f t="shared" si="0"/>
        <v>1780</v>
      </c>
      <c r="N9" s="245">
        <f t="shared" si="0"/>
        <v>12.349092717362156</v>
      </c>
      <c r="O9" s="243">
        <f t="shared" si="0"/>
        <v>188287</v>
      </c>
      <c r="P9" s="243">
        <f t="shared" si="0"/>
        <v>2510</v>
      </c>
      <c r="Q9" s="245">
        <f t="shared" si="0"/>
        <v>11.710019441219352</v>
      </c>
    </row>
  </sheetData>
  <mergeCells count="5">
    <mergeCell ref="C3:E3"/>
    <mergeCell ref="F3:H3"/>
    <mergeCell ref="I3:K3"/>
    <mergeCell ref="L3:N3"/>
    <mergeCell ref="O3:Q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41"/>
  <sheetViews>
    <sheetView view="pageBreakPreview" topLeftCell="A22" zoomScale="60" zoomScaleNormal="85" zoomScalePageLayoutView="85" workbookViewId="0">
      <selection activeCell="I48" sqref="I48"/>
    </sheetView>
  </sheetViews>
  <sheetFormatPr baseColWidth="10" defaultColWidth="8.83203125" defaultRowHeight="13" x14ac:dyDescent="0.15"/>
  <cols>
    <col min="1" max="1" width="8.83203125" style="288"/>
    <col min="2" max="8" width="14.5" style="288" customWidth="1"/>
    <col min="9" max="16384" width="8.83203125" style="288"/>
  </cols>
  <sheetData>
    <row r="3" spans="2:8" ht="18" x14ac:dyDescent="0.15">
      <c r="B3" s="3253" t="s">
        <v>636</v>
      </c>
      <c r="C3" s="3253"/>
      <c r="D3" s="3253"/>
      <c r="E3" s="3253"/>
      <c r="F3" s="3253"/>
      <c r="G3" s="3253"/>
      <c r="H3" s="3253"/>
    </row>
    <row r="4" spans="2:8" ht="18" x14ac:dyDescent="0.15">
      <c r="B4" s="287" t="s">
        <v>5</v>
      </c>
      <c r="C4" s="287" t="s">
        <v>17</v>
      </c>
      <c r="D4" s="287" t="s">
        <v>57</v>
      </c>
      <c r="E4" s="287" t="s">
        <v>67</v>
      </c>
      <c r="F4" s="287" t="s">
        <v>632</v>
      </c>
      <c r="G4" s="287" t="s">
        <v>633</v>
      </c>
      <c r="H4" s="287" t="s">
        <v>634</v>
      </c>
    </row>
    <row r="5" spans="2:8" s="294" customFormat="1" ht="23" x14ac:dyDescent="0.25">
      <c r="B5" s="293">
        <v>464.9</v>
      </c>
      <c r="C5" s="293">
        <v>479.7</v>
      </c>
      <c r="D5" s="293">
        <v>495.6</v>
      </c>
      <c r="E5" s="293">
        <v>512.9</v>
      </c>
      <c r="F5" s="293">
        <v>532.4</v>
      </c>
      <c r="G5" s="293">
        <v>553.70000000000005</v>
      </c>
      <c r="H5" s="293">
        <v>577</v>
      </c>
    </row>
    <row r="6" spans="2:8" ht="18" x14ac:dyDescent="0.15">
      <c r="B6" s="3253" t="s">
        <v>637</v>
      </c>
      <c r="C6" s="3253"/>
      <c r="D6" s="3253"/>
      <c r="E6" s="3253"/>
      <c r="F6" s="3253"/>
      <c r="G6" s="3253"/>
      <c r="H6" s="3253"/>
    </row>
    <row r="7" spans="2:8" ht="18" x14ac:dyDescent="0.15">
      <c r="B7" s="287" t="s">
        <v>5</v>
      </c>
      <c r="C7" s="287" t="s">
        <v>17</v>
      </c>
      <c r="D7" s="287" t="s">
        <v>57</v>
      </c>
      <c r="E7" s="287" t="s">
        <v>67</v>
      </c>
      <c r="F7" s="287" t="s">
        <v>632</v>
      </c>
      <c r="G7" s="287" t="s">
        <v>633</v>
      </c>
      <c r="H7" s="287" t="s">
        <v>634</v>
      </c>
    </row>
    <row r="8" spans="2:8" s="294" customFormat="1" ht="23" x14ac:dyDescent="0.25">
      <c r="B8" s="293">
        <v>9.6999999999999993</v>
      </c>
      <c r="C8" s="293">
        <v>17.5</v>
      </c>
      <c r="D8" s="293">
        <v>33.299999999999997</v>
      </c>
      <c r="E8" s="293">
        <v>66.599999999999994</v>
      </c>
      <c r="F8" s="293">
        <v>139.9</v>
      </c>
      <c r="G8" s="293">
        <v>307.8</v>
      </c>
      <c r="H8" s="293">
        <v>708</v>
      </c>
    </row>
    <row r="9" spans="2:8" ht="82.5" customHeight="1" x14ac:dyDescent="0.15">
      <c r="B9" s="3254" t="s">
        <v>638</v>
      </c>
      <c r="C9" s="3254"/>
      <c r="D9" s="3254"/>
      <c r="E9" s="3254"/>
      <c r="F9" s="3254"/>
      <c r="G9" s="3254"/>
      <c r="H9" s="3254"/>
    </row>
    <row r="10" spans="2:8" ht="18" x14ac:dyDescent="0.15">
      <c r="B10" s="289" t="s">
        <v>5</v>
      </c>
      <c r="C10" s="289" t="s">
        <v>17</v>
      </c>
      <c r="D10" s="289" t="s">
        <v>57</v>
      </c>
      <c r="E10" s="289" t="s">
        <v>67</v>
      </c>
      <c r="F10" s="289" t="s">
        <v>632</v>
      </c>
      <c r="G10" s="289" t="s">
        <v>633</v>
      </c>
      <c r="H10" s="289" t="s">
        <v>634</v>
      </c>
    </row>
    <row r="11" spans="2:8" s="294" customFormat="1" ht="23" x14ac:dyDescent="0.25">
      <c r="B11" s="293" t="s">
        <v>635</v>
      </c>
      <c r="C11" s="293">
        <v>80</v>
      </c>
      <c r="D11" s="293">
        <v>540</v>
      </c>
      <c r="E11" s="293">
        <v>1015</v>
      </c>
      <c r="F11" s="293">
        <v>1489</v>
      </c>
      <c r="G11" s="293">
        <v>1619</v>
      </c>
      <c r="H11" s="293">
        <v>1683</v>
      </c>
    </row>
    <row r="12" spans="2:8" ht="61.5" customHeight="1" x14ac:dyDescent="0.15">
      <c r="B12" s="3253" t="s">
        <v>639</v>
      </c>
      <c r="C12" s="3253"/>
      <c r="D12" s="3253"/>
      <c r="E12" s="3253"/>
      <c r="F12" s="3253"/>
      <c r="G12" s="3253"/>
      <c r="H12" s="3253"/>
    </row>
    <row r="13" spans="2:8" ht="18" x14ac:dyDescent="0.15">
      <c r="B13" s="287" t="s">
        <v>5</v>
      </c>
      <c r="C13" s="287" t="s">
        <v>17</v>
      </c>
      <c r="D13" s="287" t="s">
        <v>57</v>
      </c>
      <c r="E13" s="287" t="s">
        <v>67</v>
      </c>
      <c r="F13" s="287" t="s">
        <v>632</v>
      </c>
      <c r="G13" s="287" t="s">
        <v>633</v>
      </c>
      <c r="H13" s="287" t="s">
        <v>634</v>
      </c>
    </row>
    <row r="14" spans="2:8" s="294" customFormat="1" ht="23" x14ac:dyDescent="0.25">
      <c r="B14" s="293">
        <v>22</v>
      </c>
      <c r="C14" s="293">
        <v>24</v>
      </c>
      <c r="D14" s="293">
        <v>26</v>
      </c>
      <c r="E14" s="293">
        <v>28</v>
      </c>
      <c r="F14" s="293">
        <v>31</v>
      </c>
      <c r="G14" s="293">
        <v>33</v>
      </c>
      <c r="H14" s="293">
        <v>34</v>
      </c>
    </row>
    <row r="15" spans="2:8" ht="18" x14ac:dyDescent="0.15">
      <c r="B15" s="3253" t="s">
        <v>640</v>
      </c>
      <c r="C15" s="3253"/>
      <c r="D15" s="3253"/>
      <c r="E15" s="3253"/>
      <c r="F15" s="3253"/>
      <c r="G15" s="3253"/>
      <c r="H15" s="3253"/>
    </row>
    <row r="16" spans="2:8" ht="18" x14ac:dyDescent="0.15">
      <c r="B16" s="287" t="s">
        <v>5</v>
      </c>
      <c r="C16" s="287" t="s">
        <v>17</v>
      </c>
      <c r="D16" s="287" t="s">
        <v>57</v>
      </c>
      <c r="E16" s="287" t="s">
        <v>67</v>
      </c>
      <c r="F16" s="287" t="s">
        <v>632</v>
      </c>
      <c r="G16" s="287" t="s">
        <v>633</v>
      </c>
      <c r="H16" s="287" t="s">
        <v>634</v>
      </c>
    </row>
    <row r="17" spans="2:8" s="294" customFormat="1" ht="23" x14ac:dyDescent="0.25">
      <c r="B17" s="293">
        <v>352</v>
      </c>
      <c r="C17" s="293">
        <v>371.3</v>
      </c>
      <c r="D17" s="293">
        <v>392.9</v>
      </c>
      <c r="E17" s="293">
        <v>417.6</v>
      </c>
      <c r="F17" s="293">
        <v>446.8</v>
      </c>
      <c r="G17" s="293">
        <v>482.1</v>
      </c>
      <c r="H17" s="293">
        <v>525.5</v>
      </c>
    </row>
    <row r="18" spans="2:8" ht="41.25" customHeight="1" x14ac:dyDescent="0.15">
      <c r="B18" s="3254" t="s">
        <v>641</v>
      </c>
      <c r="C18" s="3254"/>
      <c r="D18" s="3254"/>
      <c r="E18" s="3254"/>
      <c r="F18" s="3254"/>
      <c r="G18" s="3254"/>
      <c r="H18" s="3254"/>
    </row>
    <row r="19" spans="2:8" ht="18" x14ac:dyDescent="0.15">
      <c r="B19" s="289" t="s">
        <v>5</v>
      </c>
      <c r="C19" s="289" t="s">
        <v>17</v>
      </c>
      <c r="D19" s="289" t="s">
        <v>57</v>
      </c>
      <c r="E19" s="289" t="s">
        <v>67</v>
      </c>
      <c r="F19" s="289" t="s">
        <v>632</v>
      </c>
      <c r="G19" s="289" t="s">
        <v>633</v>
      </c>
      <c r="H19" s="289" t="s">
        <v>634</v>
      </c>
    </row>
    <row r="20" spans="2:8" s="294" customFormat="1" ht="28.5" customHeight="1" x14ac:dyDescent="0.25">
      <c r="B20" s="293">
        <v>34.1</v>
      </c>
      <c r="C20" s="293">
        <v>36.299999999999997</v>
      </c>
      <c r="D20" s="293">
        <v>38.799999999999997</v>
      </c>
      <c r="E20" s="293">
        <v>41.4</v>
      </c>
      <c r="F20" s="293">
        <v>44.3</v>
      </c>
      <c r="G20" s="293">
        <v>47.4</v>
      </c>
      <c r="H20" s="293">
        <v>50.9</v>
      </c>
    </row>
    <row r="21" spans="2:8" ht="52.5" customHeight="1" x14ac:dyDescent="0.15">
      <c r="B21" s="3253" t="s">
        <v>642</v>
      </c>
      <c r="C21" s="3253"/>
      <c r="D21" s="3253"/>
      <c r="E21" s="3253"/>
      <c r="F21" s="3253"/>
      <c r="G21" s="3253"/>
      <c r="H21" s="3253"/>
    </row>
    <row r="22" spans="2:8" ht="18" x14ac:dyDescent="0.15">
      <c r="B22" s="287" t="s">
        <v>5</v>
      </c>
      <c r="C22" s="287" t="s">
        <v>17</v>
      </c>
      <c r="D22" s="287" t="s">
        <v>57</v>
      </c>
      <c r="E22" s="287" t="s">
        <v>67</v>
      </c>
      <c r="F22" s="287" t="s">
        <v>632</v>
      </c>
      <c r="G22" s="287" t="s">
        <v>633</v>
      </c>
      <c r="H22" s="287" t="s">
        <v>634</v>
      </c>
    </row>
    <row r="23" spans="2:8" s="294" customFormat="1" ht="23" x14ac:dyDescent="0.25">
      <c r="B23" s="293">
        <v>70</v>
      </c>
      <c r="C23" s="293">
        <v>71</v>
      </c>
      <c r="D23" s="293">
        <v>74</v>
      </c>
      <c r="E23" s="293">
        <v>78</v>
      </c>
      <c r="F23" s="293">
        <v>83</v>
      </c>
      <c r="G23" s="293">
        <v>88</v>
      </c>
      <c r="H23" s="293">
        <v>90</v>
      </c>
    </row>
    <row r="24" spans="2:8" ht="72.75" customHeight="1" x14ac:dyDescent="0.15">
      <c r="B24" s="3253" t="s">
        <v>643</v>
      </c>
      <c r="C24" s="3253"/>
      <c r="D24" s="3253"/>
      <c r="E24" s="3253"/>
      <c r="F24" s="3253"/>
      <c r="G24" s="3253"/>
      <c r="H24" s="3253"/>
    </row>
    <row r="25" spans="2:8" ht="18" x14ac:dyDescent="0.15">
      <c r="B25" s="287" t="s">
        <v>5</v>
      </c>
      <c r="C25" s="287" t="s">
        <v>17</v>
      </c>
      <c r="D25" s="287" t="s">
        <v>57</v>
      </c>
      <c r="E25" s="287" t="s">
        <v>67</v>
      </c>
      <c r="F25" s="287" t="s">
        <v>632</v>
      </c>
      <c r="G25" s="287" t="s">
        <v>633</v>
      </c>
      <c r="H25" s="287" t="s">
        <v>634</v>
      </c>
    </row>
    <row r="26" spans="2:8" s="294" customFormat="1" ht="23" x14ac:dyDescent="0.25">
      <c r="B26" s="293">
        <v>30.5</v>
      </c>
      <c r="C26" s="293">
        <v>31.24</v>
      </c>
      <c r="D26" s="293">
        <v>32.01</v>
      </c>
      <c r="E26" s="293">
        <v>32.79</v>
      </c>
      <c r="F26" s="293">
        <v>33.590000000000003</v>
      </c>
      <c r="G26" s="293">
        <v>34.409999999999997</v>
      </c>
      <c r="H26" s="293">
        <v>35.25</v>
      </c>
    </row>
    <row r="27" spans="2:8" ht="46.5" customHeight="1" x14ac:dyDescent="0.15">
      <c r="B27" s="3253" t="s">
        <v>644</v>
      </c>
      <c r="C27" s="3253"/>
      <c r="D27" s="3253"/>
      <c r="E27" s="3253"/>
      <c r="F27" s="3253"/>
      <c r="G27" s="3253"/>
      <c r="H27" s="3253"/>
    </row>
    <row r="28" spans="2:8" ht="18" x14ac:dyDescent="0.15">
      <c r="B28" s="287" t="s">
        <v>5</v>
      </c>
      <c r="C28" s="287" t="s">
        <v>17</v>
      </c>
      <c r="D28" s="287" t="s">
        <v>57</v>
      </c>
      <c r="E28" s="287" t="s">
        <v>67</v>
      </c>
      <c r="F28" s="287" t="s">
        <v>632</v>
      </c>
      <c r="G28" s="287" t="s">
        <v>633</v>
      </c>
      <c r="H28" s="287" t="s">
        <v>634</v>
      </c>
    </row>
    <row r="29" spans="2:8" s="294" customFormat="1" ht="23" x14ac:dyDescent="0.25">
      <c r="B29" s="293">
        <v>27.6</v>
      </c>
      <c r="C29" s="293">
        <v>36.700000000000003</v>
      </c>
      <c r="D29" s="293">
        <v>45.8</v>
      </c>
      <c r="E29" s="293">
        <v>54.9</v>
      </c>
      <c r="F29" s="293">
        <v>64</v>
      </c>
      <c r="G29" s="293">
        <v>73.099999999999994</v>
      </c>
      <c r="H29" s="293">
        <v>82.2</v>
      </c>
    </row>
    <row r="30" spans="2:8" ht="47.25" customHeight="1" x14ac:dyDescent="0.15">
      <c r="B30" s="3253" t="s">
        <v>645</v>
      </c>
      <c r="C30" s="3253"/>
      <c r="D30" s="3253"/>
      <c r="E30" s="3253"/>
      <c r="F30" s="3253"/>
      <c r="G30" s="3253"/>
      <c r="H30" s="3253"/>
    </row>
    <row r="31" spans="2:8" ht="18" x14ac:dyDescent="0.15">
      <c r="B31" s="287" t="s">
        <v>5</v>
      </c>
      <c r="C31" s="287" t="s">
        <v>17</v>
      </c>
      <c r="D31" s="287" t="s">
        <v>57</v>
      </c>
      <c r="E31" s="287" t="s">
        <v>67</v>
      </c>
      <c r="F31" s="287" t="s">
        <v>632</v>
      </c>
      <c r="G31" s="287" t="s">
        <v>633</v>
      </c>
      <c r="H31" s="287" t="s">
        <v>634</v>
      </c>
    </row>
    <row r="32" spans="2:8" s="294" customFormat="1" ht="23" x14ac:dyDescent="0.25">
      <c r="B32" s="293">
        <v>41</v>
      </c>
      <c r="C32" s="293">
        <v>49</v>
      </c>
      <c r="D32" s="293">
        <v>57</v>
      </c>
      <c r="E32" s="293">
        <v>61</v>
      </c>
      <c r="F32" s="293">
        <v>69</v>
      </c>
      <c r="G32" s="293">
        <v>77</v>
      </c>
      <c r="H32" s="293">
        <v>85</v>
      </c>
    </row>
    <row r="33" spans="2:8" ht="65.25" customHeight="1" x14ac:dyDescent="0.15">
      <c r="B33" s="3253" t="s">
        <v>646</v>
      </c>
      <c r="C33" s="3253"/>
      <c r="D33" s="3253"/>
      <c r="E33" s="3253"/>
      <c r="F33" s="3253"/>
      <c r="G33" s="3253"/>
      <c r="H33" s="3253"/>
    </row>
    <row r="34" spans="2:8" ht="18" x14ac:dyDescent="0.15">
      <c r="B34" s="287" t="s">
        <v>5</v>
      </c>
      <c r="C34" s="287" t="s">
        <v>17</v>
      </c>
      <c r="D34" s="287" t="s">
        <v>57</v>
      </c>
      <c r="E34" s="287" t="s">
        <v>67</v>
      </c>
      <c r="F34" s="287" t="s">
        <v>632</v>
      </c>
      <c r="G34" s="287" t="s">
        <v>633</v>
      </c>
      <c r="H34" s="287" t="s">
        <v>634</v>
      </c>
    </row>
    <row r="35" spans="2:8" s="294" customFormat="1" ht="23" x14ac:dyDescent="0.25">
      <c r="B35" s="293">
        <v>87</v>
      </c>
      <c r="C35" s="293">
        <v>91</v>
      </c>
      <c r="D35" s="293">
        <v>93</v>
      </c>
      <c r="E35" s="293">
        <v>95</v>
      </c>
      <c r="F35" s="293">
        <v>97</v>
      </c>
      <c r="G35" s="293">
        <v>99</v>
      </c>
      <c r="H35" s="293">
        <v>100</v>
      </c>
    </row>
    <row r="36" spans="2:8" ht="58.5" customHeight="1" x14ac:dyDescent="0.15">
      <c r="B36" s="3253" t="s">
        <v>647</v>
      </c>
      <c r="C36" s="3253"/>
      <c r="D36" s="3253"/>
      <c r="E36" s="3253"/>
      <c r="F36" s="3253"/>
      <c r="G36" s="3253"/>
      <c r="H36" s="3253"/>
    </row>
    <row r="37" spans="2:8" ht="18" x14ac:dyDescent="0.15">
      <c r="B37" s="287" t="s">
        <v>5</v>
      </c>
      <c r="C37" s="287" t="s">
        <v>17</v>
      </c>
      <c r="D37" s="287" t="s">
        <v>57</v>
      </c>
      <c r="E37" s="287" t="s">
        <v>67</v>
      </c>
      <c r="F37" s="287" t="s">
        <v>632</v>
      </c>
      <c r="G37" s="287" t="s">
        <v>633</v>
      </c>
      <c r="H37" s="287" t="s">
        <v>634</v>
      </c>
    </row>
    <row r="38" spans="2:8" s="294" customFormat="1" ht="23" x14ac:dyDescent="0.25">
      <c r="B38" s="293" t="s">
        <v>635</v>
      </c>
      <c r="C38" s="293">
        <v>13</v>
      </c>
      <c r="D38" s="293">
        <v>25</v>
      </c>
      <c r="E38" s="293">
        <v>50</v>
      </c>
      <c r="F38" s="293">
        <v>63</v>
      </c>
      <c r="G38" s="293">
        <v>88</v>
      </c>
      <c r="H38" s="293">
        <v>100</v>
      </c>
    </row>
    <row r="39" spans="2:8" ht="52.5" customHeight="1" x14ac:dyDescent="0.15">
      <c r="B39" s="3253" t="s">
        <v>648</v>
      </c>
      <c r="C39" s="3253"/>
      <c r="D39" s="3253"/>
      <c r="E39" s="3253"/>
      <c r="F39" s="3253"/>
      <c r="G39" s="3253"/>
      <c r="H39" s="3253"/>
    </row>
    <row r="40" spans="2:8" ht="18" x14ac:dyDescent="0.15">
      <c r="B40" s="287" t="s">
        <v>17</v>
      </c>
      <c r="C40" s="287" t="s">
        <v>57</v>
      </c>
      <c r="D40" s="287" t="s">
        <v>67</v>
      </c>
      <c r="E40" s="287" t="s">
        <v>632</v>
      </c>
      <c r="F40" s="287" t="s">
        <v>633</v>
      </c>
      <c r="G40" s="287" t="s">
        <v>634</v>
      </c>
      <c r="H40" s="290"/>
    </row>
    <row r="41" spans="2:8" s="294" customFormat="1" ht="23" x14ac:dyDescent="0.25">
      <c r="B41" s="293">
        <v>2</v>
      </c>
      <c r="C41" s="293">
        <v>3</v>
      </c>
      <c r="D41" s="293">
        <v>5</v>
      </c>
      <c r="E41" s="293">
        <v>6</v>
      </c>
      <c r="F41" s="293">
        <v>7</v>
      </c>
      <c r="G41" s="293">
        <v>8</v>
      </c>
      <c r="H41" s="295"/>
    </row>
  </sheetData>
  <mergeCells count="13">
    <mergeCell ref="B18:H18"/>
    <mergeCell ref="B21:H21"/>
    <mergeCell ref="B24:H24"/>
    <mergeCell ref="B36:H36"/>
    <mergeCell ref="B39:H39"/>
    <mergeCell ref="B27:H27"/>
    <mergeCell ref="B30:H30"/>
    <mergeCell ref="B33:H33"/>
    <mergeCell ref="B3:H3"/>
    <mergeCell ref="B6:H6"/>
    <mergeCell ref="B9:H9"/>
    <mergeCell ref="B12:H12"/>
    <mergeCell ref="B15:H15"/>
  </mergeCells>
  <pageMargins left="0.7" right="0.7" top="0.75" bottom="0.75" header="0.3" footer="0.3"/>
  <pageSetup paperSize="9" scale="8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2"/>
  <sheetViews>
    <sheetView workbookViewId="0">
      <selection activeCell="B2" sqref="B2:I42"/>
    </sheetView>
  </sheetViews>
  <sheetFormatPr baseColWidth="10" defaultColWidth="8.83203125" defaultRowHeight="13" x14ac:dyDescent="0.15"/>
  <cols>
    <col min="2" max="5" width="10.33203125" customWidth="1"/>
    <col min="6" max="6" width="11.33203125" customWidth="1"/>
    <col min="7" max="7" width="12.5" customWidth="1"/>
    <col min="8" max="8" width="11" customWidth="1"/>
    <col min="9" max="9" width="11.33203125" customWidth="1"/>
  </cols>
  <sheetData>
    <row r="1" spans="2:10" ht="14" thickBot="1" x14ac:dyDescent="0.2"/>
    <row r="2" spans="2:10" ht="15" x14ac:dyDescent="0.2">
      <c r="B2" s="3267">
        <v>21980.14</v>
      </c>
      <c r="C2" s="3267">
        <v>21980.14</v>
      </c>
      <c r="D2" s="3267">
        <v>23119.1</v>
      </c>
      <c r="E2" s="3267">
        <v>22468.36</v>
      </c>
      <c r="F2" s="3267">
        <v>43606</v>
      </c>
      <c r="G2" s="3267">
        <v>36594.9</v>
      </c>
      <c r="H2" s="3267">
        <v>36594.9</v>
      </c>
      <c r="I2" s="3267">
        <v>36594.9</v>
      </c>
      <c r="J2" s="384"/>
    </row>
    <row r="3" spans="2:10" ht="15" x14ac:dyDescent="0.2">
      <c r="B3" s="3262"/>
      <c r="C3" s="3262"/>
      <c r="D3" s="3262"/>
      <c r="E3" s="3262"/>
      <c r="F3" s="3262"/>
      <c r="G3" s="3262"/>
      <c r="H3" s="3262"/>
      <c r="I3" s="3262"/>
      <c r="J3" s="384"/>
    </row>
    <row r="4" spans="2:10" ht="16" thickBot="1" x14ac:dyDescent="0.25">
      <c r="B4" s="3263"/>
      <c r="C4" s="3263"/>
      <c r="D4" s="3263"/>
      <c r="E4" s="3263"/>
      <c r="F4" s="3263"/>
      <c r="G4" s="3263"/>
      <c r="H4" s="3263"/>
      <c r="I4" s="3263"/>
      <c r="J4" s="384"/>
    </row>
    <row r="5" spans="2:10" ht="15" x14ac:dyDescent="0.2">
      <c r="B5" s="3261">
        <v>65857.59</v>
      </c>
      <c r="C5" s="3261">
        <v>65857.59</v>
      </c>
      <c r="D5" s="3261">
        <v>70503.210000000006</v>
      </c>
      <c r="E5" s="3261">
        <v>69176.44</v>
      </c>
      <c r="F5" s="3261">
        <v>109658.2</v>
      </c>
      <c r="G5" s="3261">
        <v>101220.3</v>
      </c>
      <c r="H5" s="3261">
        <v>101220.3</v>
      </c>
      <c r="I5" s="3261">
        <v>101220.3</v>
      </c>
      <c r="J5" s="384"/>
    </row>
    <row r="6" spans="2:10" ht="15" x14ac:dyDescent="0.2">
      <c r="B6" s="3262"/>
      <c r="C6" s="3262"/>
      <c r="D6" s="3262"/>
      <c r="E6" s="3262"/>
      <c r="F6" s="3262"/>
      <c r="G6" s="3262"/>
      <c r="H6" s="3262"/>
      <c r="I6" s="3262"/>
      <c r="J6" s="384"/>
    </row>
    <row r="7" spans="2:10" ht="16" thickBot="1" x14ac:dyDescent="0.25">
      <c r="B7" s="3263"/>
      <c r="C7" s="3263"/>
      <c r="D7" s="3263"/>
      <c r="E7" s="3263"/>
      <c r="F7" s="3263"/>
      <c r="G7" s="3263"/>
      <c r="H7" s="3263"/>
      <c r="I7" s="3263"/>
      <c r="J7" s="384"/>
    </row>
    <row r="8" spans="2:10" ht="15" x14ac:dyDescent="0.2">
      <c r="B8" s="3261">
        <v>3402.7</v>
      </c>
      <c r="C8" s="3261">
        <v>3402.7</v>
      </c>
      <c r="D8" s="3261">
        <v>3355.3</v>
      </c>
      <c r="E8" s="3261">
        <v>3355.3</v>
      </c>
      <c r="F8" s="3261">
        <v>3766.2</v>
      </c>
      <c r="G8" s="3261">
        <v>3721.1</v>
      </c>
      <c r="H8" s="3261">
        <v>3721.1</v>
      </c>
      <c r="I8" s="3261">
        <v>3721.1</v>
      </c>
      <c r="J8" s="384"/>
    </row>
    <row r="9" spans="2:10" ht="15" x14ac:dyDescent="0.2">
      <c r="B9" s="3262"/>
      <c r="C9" s="3262"/>
      <c r="D9" s="3262"/>
      <c r="E9" s="3262"/>
      <c r="F9" s="3262"/>
      <c r="G9" s="3262"/>
      <c r="H9" s="3262"/>
      <c r="I9" s="3262"/>
      <c r="J9" s="384"/>
    </row>
    <row r="10" spans="2:10" ht="16" thickBot="1" x14ac:dyDescent="0.25">
      <c r="B10" s="3263"/>
      <c r="C10" s="3263"/>
      <c r="D10" s="3263"/>
      <c r="E10" s="3263"/>
      <c r="F10" s="3263"/>
      <c r="G10" s="3263"/>
      <c r="H10" s="3263"/>
      <c r="I10" s="3263"/>
      <c r="J10" s="384"/>
    </row>
    <row r="11" spans="2:10" ht="15" x14ac:dyDescent="0.2">
      <c r="B11" s="3264">
        <v>1772.7</v>
      </c>
      <c r="C11" s="3261">
        <v>1772.7</v>
      </c>
      <c r="D11" s="3261">
        <v>11449.3</v>
      </c>
      <c r="E11" s="3261">
        <v>11449.3</v>
      </c>
      <c r="F11" s="3261">
        <v>15559.3</v>
      </c>
      <c r="G11" s="3261">
        <v>1461.9</v>
      </c>
      <c r="H11" s="3261">
        <v>1461.9</v>
      </c>
      <c r="I11" s="3261">
        <v>1461.9</v>
      </c>
      <c r="J11" s="384"/>
    </row>
    <row r="12" spans="2:10" ht="15" x14ac:dyDescent="0.2">
      <c r="B12" s="3265"/>
      <c r="C12" s="3262"/>
      <c r="D12" s="3262"/>
      <c r="E12" s="3262"/>
      <c r="F12" s="3262"/>
      <c r="G12" s="3262"/>
      <c r="H12" s="3262"/>
      <c r="I12" s="3262"/>
      <c r="J12" s="384"/>
    </row>
    <row r="13" spans="2:10" ht="15" x14ac:dyDescent="0.2">
      <c r="B13" s="3265"/>
      <c r="C13" s="3262"/>
      <c r="D13" s="3262"/>
      <c r="E13" s="3262"/>
      <c r="F13" s="3262"/>
      <c r="G13" s="3262"/>
      <c r="H13" s="3262"/>
      <c r="I13" s="3262"/>
      <c r="J13" s="384"/>
    </row>
    <row r="14" spans="2:10" ht="16" thickBot="1" x14ac:dyDescent="0.25">
      <c r="B14" s="3266"/>
      <c r="C14" s="3263"/>
      <c r="D14" s="3263"/>
      <c r="E14" s="3263"/>
      <c r="F14" s="3263"/>
      <c r="G14" s="3263"/>
      <c r="H14" s="3263"/>
      <c r="I14" s="3263"/>
      <c r="J14" s="384"/>
    </row>
    <row r="15" spans="2:10" ht="15" x14ac:dyDescent="0.2">
      <c r="B15" s="3264">
        <v>55116.23</v>
      </c>
      <c r="C15" s="3261">
        <v>55116.23</v>
      </c>
      <c r="D15" s="3261">
        <v>55336.6</v>
      </c>
      <c r="E15" s="3261">
        <v>54326.45</v>
      </c>
      <c r="F15" s="3261">
        <v>58389</v>
      </c>
      <c r="G15" s="3261">
        <v>54851.4</v>
      </c>
      <c r="H15" s="3261">
        <v>54851.4</v>
      </c>
      <c r="I15" s="3261">
        <v>54851.4</v>
      </c>
      <c r="J15" s="384"/>
    </row>
    <row r="16" spans="2:10" ht="15" x14ac:dyDescent="0.2">
      <c r="B16" s="3265"/>
      <c r="C16" s="3262"/>
      <c r="D16" s="3262"/>
      <c r="E16" s="3262"/>
      <c r="F16" s="3262"/>
      <c r="G16" s="3262"/>
      <c r="H16" s="3262"/>
      <c r="I16" s="3262"/>
      <c r="J16" s="384"/>
    </row>
    <row r="17" spans="2:10" ht="15" x14ac:dyDescent="0.2">
      <c r="B17" s="3265"/>
      <c r="C17" s="3262"/>
      <c r="D17" s="3262"/>
      <c r="E17" s="3262"/>
      <c r="F17" s="3262"/>
      <c r="G17" s="3262"/>
      <c r="H17" s="3262"/>
      <c r="I17" s="3262"/>
      <c r="J17" s="384"/>
    </row>
    <row r="18" spans="2:10" ht="15" x14ac:dyDescent="0.2">
      <c r="B18" s="3265"/>
      <c r="C18" s="3262"/>
      <c r="D18" s="3262"/>
      <c r="E18" s="3262"/>
      <c r="F18" s="3262"/>
      <c r="G18" s="3262"/>
      <c r="H18" s="3262"/>
      <c r="I18" s="3262"/>
      <c r="J18" s="384"/>
    </row>
    <row r="19" spans="2:10" ht="16" thickBot="1" x14ac:dyDescent="0.25">
      <c r="B19" s="3266"/>
      <c r="C19" s="3263"/>
      <c r="D19" s="3263"/>
      <c r="E19" s="3263"/>
      <c r="F19" s="3263"/>
      <c r="G19" s="3263"/>
      <c r="H19" s="3263"/>
      <c r="I19" s="3263"/>
      <c r="J19" s="384"/>
    </row>
    <row r="20" spans="2:10" ht="15" x14ac:dyDescent="0.2">
      <c r="B20" s="3264">
        <v>82216.3</v>
      </c>
      <c r="C20" s="3261">
        <v>82216.3</v>
      </c>
      <c r="D20" s="3261">
        <v>92041.34</v>
      </c>
      <c r="E20" s="3261">
        <v>92041.34</v>
      </c>
      <c r="F20" s="3261">
        <v>134227.4</v>
      </c>
      <c r="G20" s="3261">
        <v>83999.8</v>
      </c>
      <c r="H20" s="3261">
        <v>83999.8</v>
      </c>
      <c r="I20" s="3261">
        <v>83999.8</v>
      </c>
      <c r="J20" s="384"/>
    </row>
    <row r="21" spans="2:10" ht="15" x14ac:dyDescent="0.2">
      <c r="B21" s="3265"/>
      <c r="C21" s="3262"/>
      <c r="D21" s="3262"/>
      <c r="E21" s="3262"/>
      <c r="F21" s="3262"/>
      <c r="G21" s="3262"/>
      <c r="H21" s="3262"/>
      <c r="I21" s="3262"/>
      <c r="J21" s="384"/>
    </row>
    <row r="22" spans="2:10" ht="15" x14ac:dyDescent="0.2">
      <c r="B22" s="3265"/>
      <c r="C22" s="3262"/>
      <c r="D22" s="3262"/>
      <c r="E22" s="3262"/>
      <c r="F22" s="3262"/>
      <c r="G22" s="3262"/>
      <c r="H22" s="3262"/>
      <c r="I22" s="3262"/>
      <c r="J22" s="384"/>
    </row>
    <row r="23" spans="2:10" ht="15" x14ac:dyDescent="0.2">
      <c r="B23" s="3265"/>
      <c r="C23" s="3262"/>
      <c r="D23" s="3262"/>
      <c r="E23" s="3262"/>
      <c r="F23" s="3262"/>
      <c r="G23" s="3262"/>
      <c r="H23" s="3262"/>
      <c r="I23" s="3262"/>
      <c r="J23" s="384"/>
    </row>
    <row r="24" spans="2:10" ht="16" thickBot="1" x14ac:dyDescent="0.25">
      <c r="B24" s="3266"/>
      <c r="C24" s="3263"/>
      <c r="D24" s="3263"/>
      <c r="E24" s="3263"/>
      <c r="F24" s="3263"/>
      <c r="G24" s="3263"/>
      <c r="H24" s="3263"/>
      <c r="I24" s="3263"/>
      <c r="J24" s="384"/>
    </row>
    <row r="25" spans="2:10" ht="15" x14ac:dyDescent="0.2">
      <c r="B25" s="3261">
        <v>542192.54</v>
      </c>
      <c r="C25" s="3261">
        <v>542192.54</v>
      </c>
      <c r="D25" s="3261">
        <v>575386.48</v>
      </c>
      <c r="E25" s="3261">
        <v>563386.48</v>
      </c>
      <c r="F25" s="3261">
        <v>666620.68999999994</v>
      </c>
      <c r="G25" s="3261">
        <v>567554.80000000005</v>
      </c>
      <c r="H25" s="3261">
        <v>567554.80000000005</v>
      </c>
      <c r="I25" s="3261">
        <v>567554.80000000005</v>
      </c>
      <c r="J25" s="384"/>
    </row>
    <row r="26" spans="2:10" ht="15" x14ac:dyDescent="0.2">
      <c r="B26" s="3262"/>
      <c r="C26" s="3262"/>
      <c r="D26" s="3262"/>
      <c r="E26" s="3262"/>
      <c r="F26" s="3262"/>
      <c r="G26" s="3262"/>
      <c r="H26" s="3262"/>
      <c r="I26" s="3262"/>
      <c r="J26" s="384"/>
    </row>
    <row r="27" spans="2:10" ht="16" thickBot="1" x14ac:dyDescent="0.25">
      <c r="B27" s="3263"/>
      <c r="C27" s="3263"/>
      <c r="D27" s="3263"/>
      <c r="E27" s="3263"/>
      <c r="F27" s="3263"/>
      <c r="G27" s="3263"/>
      <c r="H27" s="3263"/>
      <c r="I27" s="3263"/>
      <c r="J27" s="384"/>
    </row>
    <row r="28" spans="2:10" ht="16" thickBot="1" x14ac:dyDescent="0.25">
      <c r="B28" s="1013">
        <v>2450</v>
      </c>
      <c r="C28" s="1013">
        <v>2450</v>
      </c>
      <c r="D28" s="1013">
        <v>2200</v>
      </c>
      <c r="E28" s="1013">
        <v>2200</v>
      </c>
      <c r="F28" s="1014">
        <v>48</v>
      </c>
      <c r="G28" s="1014">
        <v>0</v>
      </c>
      <c r="H28" s="1014">
        <v>0</v>
      </c>
      <c r="I28" s="1014">
        <v>0</v>
      </c>
      <c r="J28" s="384"/>
    </row>
    <row r="29" spans="2:10" ht="16" thickBot="1" x14ac:dyDescent="0.25">
      <c r="B29" s="1015">
        <v>750</v>
      </c>
      <c r="C29" s="1015">
        <v>750</v>
      </c>
      <c r="D29" s="1015">
        <v>756</v>
      </c>
      <c r="E29" s="1015">
        <v>756</v>
      </c>
      <c r="F29" s="1015">
        <v>540</v>
      </c>
      <c r="G29" s="1015">
        <v>0</v>
      </c>
      <c r="H29" s="1015">
        <v>0</v>
      </c>
      <c r="I29" s="1015">
        <v>0</v>
      </c>
      <c r="J29" s="384"/>
    </row>
    <row r="30" spans="2:10" ht="15" x14ac:dyDescent="0.2">
      <c r="B30" s="1016">
        <v>263.89</v>
      </c>
      <c r="C30" s="1016">
        <v>263.89</v>
      </c>
      <c r="D30" s="1016">
        <v>443</v>
      </c>
      <c r="E30" s="1016">
        <v>405.92</v>
      </c>
      <c r="F30" s="3255">
        <v>211</v>
      </c>
      <c r="G30" s="3255">
        <v>211</v>
      </c>
      <c r="H30" s="3255">
        <v>211</v>
      </c>
      <c r="I30" s="3255">
        <v>211</v>
      </c>
      <c r="J30" s="384"/>
    </row>
    <row r="31" spans="2:10" ht="16" thickBot="1" x14ac:dyDescent="0.25">
      <c r="B31" s="1017"/>
      <c r="C31" s="1017"/>
      <c r="D31" s="1017"/>
      <c r="E31" s="1017"/>
      <c r="F31" s="3257"/>
      <c r="G31" s="3257"/>
      <c r="H31" s="3257"/>
      <c r="I31" s="3257"/>
      <c r="J31" s="384"/>
    </row>
    <row r="32" spans="2:10" ht="16" thickBot="1" x14ac:dyDescent="0.25">
      <c r="B32" s="1018">
        <v>0</v>
      </c>
      <c r="C32" s="1015">
        <v>0</v>
      </c>
      <c r="D32" s="1019">
        <v>16090.8</v>
      </c>
      <c r="E32" s="1019">
        <v>12878.9</v>
      </c>
      <c r="F32" s="1015">
        <v>0</v>
      </c>
      <c r="G32" s="1015">
        <v>0</v>
      </c>
      <c r="H32" s="1015">
        <v>0</v>
      </c>
      <c r="I32" s="1015">
        <v>0</v>
      </c>
      <c r="J32" s="384"/>
    </row>
    <row r="33" spans="2:10" ht="16" thickBot="1" x14ac:dyDescent="0.25">
      <c r="B33" s="1018">
        <v>0</v>
      </c>
      <c r="C33" s="1015">
        <v>0</v>
      </c>
      <c r="D33" s="1019">
        <v>3455</v>
      </c>
      <c r="E33" s="1019">
        <v>2991.25</v>
      </c>
      <c r="F33" s="1015">
        <v>0</v>
      </c>
      <c r="G33" s="1015">
        <v>0</v>
      </c>
      <c r="H33" s="1015">
        <v>0</v>
      </c>
      <c r="I33" s="1015">
        <v>0</v>
      </c>
      <c r="J33" s="384"/>
    </row>
    <row r="34" spans="2:10" ht="16" thickBot="1" x14ac:dyDescent="0.25">
      <c r="B34" s="1018">
        <v>143</v>
      </c>
      <c r="C34" s="1015">
        <v>143</v>
      </c>
      <c r="D34" s="1015">
        <v>286.8</v>
      </c>
      <c r="E34" s="1015">
        <v>286.8</v>
      </c>
      <c r="F34" s="1015">
        <v>0</v>
      </c>
      <c r="G34" s="1015">
        <v>0</v>
      </c>
      <c r="H34" s="1015">
        <v>0</v>
      </c>
      <c r="I34" s="1015">
        <v>0</v>
      </c>
      <c r="J34" s="384"/>
    </row>
    <row r="35" spans="2:10" ht="16" thickBot="1" x14ac:dyDescent="0.25">
      <c r="B35" s="1018">
        <v>0</v>
      </c>
      <c r="C35" s="1015">
        <v>0</v>
      </c>
      <c r="D35" s="1015">
        <v>150</v>
      </c>
      <c r="E35" s="1015">
        <v>150</v>
      </c>
      <c r="F35" s="1015">
        <v>0</v>
      </c>
      <c r="G35" s="1015">
        <v>0</v>
      </c>
      <c r="H35" s="1015">
        <v>0</v>
      </c>
      <c r="I35" s="1015">
        <v>0</v>
      </c>
      <c r="J35" s="384"/>
    </row>
    <row r="36" spans="2:10" ht="16" thickBot="1" x14ac:dyDescent="0.25">
      <c r="B36" s="1020">
        <v>1050</v>
      </c>
      <c r="C36" s="1019">
        <v>1050</v>
      </c>
      <c r="D36" s="1019">
        <v>1300</v>
      </c>
      <c r="E36" s="1019">
        <v>1300</v>
      </c>
      <c r="F36" s="1015">
        <v>0</v>
      </c>
      <c r="G36" s="1015">
        <v>0</v>
      </c>
      <c r="H36" s="1015">
        <v>0</v>
      </c>
      <c r="I36" s="1015">
        <v>0</v>
      </c>
      <c r="J36" s="384"/>
    </row>
    <row r="37" spans="2:10" ht="16" thickBot="1" x14ac:dyDescent="0.25">
      <c r="B37" s="1020">
        <v>27749.65</v>
      </c>
      <c r="C37" s="1019">
        <v>27749.65</v>
      </c>
      <c r="D37" s="1019">
        <v>38784.39</v>
      </c>
      <c r="E37" s="1019">
        <v>38784.39</v>
      </c>
      <c r="F37" s="1019">
        <v>35660</v>
      </c>
      <c r="G37" s="1019">
        <v>34980</v>
      </c>
      <c r="H37" s="1019">
        <v>34980</v>
      </c>
      <c r="I37" s="1019">
        <v>34980</v>
      </c>
      <c r="J37" s="384"/>
    </row>
    <row r="38" spans="2:10" ht="15" x14ac:dyDescent="0.2">
      <c r="B38" s="3255">
        <v>0</v>
      </c>
      <c r="C38" s="3255">
        <v>0</v>
      </c>
      <c r="D38" s="3258">
        <v>22086</v>
      </c>
      <c r="E38" s="3258">
        <v>16564.5</v>
      </c>
      <c r="F38" s="3258">
        <v>8834</v>
      </c>
      <c r="G38" s="3255">
        <v>0</v>
      </c>
      <c r="H38" s="3255">
        <v>0</v>
      </c>
      <c r="I38" s="3255">
        <v>0</v>
      </c>
      <c r="J38" s="384"/>
    </row>
    <row r="39" spans="2:10" ht="15" x14ac:dyDescent="0.2">
      <c r="B39" s="3256"/>
      <c r="C39" s="3256"/>
      <c r="D39" s="3259"/>
      <c r="E39" s="3259"/>
      <c r="F39" s="3259"/>
      <c r="G39" s="3256"/>
      <c r="H39" s="3256"/>
      <c r="I39" s="3256"/>
      <c r="J39" s="384"/>
    </row>
    <row r="40" spans="2:10" ht="16" thickBot="1" x14ac:dyDescent="0.25">
      <c r="B40" s="3257"/>
      <c r="C40" s="3257"/>
      <c r="D40" s="3260"/>
      <c r="E40" s="3260"/>
      <c r="F40" s="3260"/>
      <c r="G40" s="3257"/>
      <c r="H40" s="3257"/>
      <c r="I40" s="3257"/>
      <c r="J40" s="384"/>
    </row>
    <row r="41" spans="2:10" ht="16" thickBot="1" x14ac:dyDescent="0.25">
      <c r="B41" s="1020">
        <v>1908</v>
      </c>
      <c r="C41" s="1019">
        <v>1908</v>
      </c>
      <c r="D41" s="1019">
        <v>3908</v>
      </c>
      <c r="E41" s="1019">
        <v>2954</v>
      </c>
      <c r="F41" s="1015">
        <v>0</v>
      </c>
      <c r="G41" s="1015">
        <v>0</v>
      </c>
      <c r="H41" s="1015">
        <v>0</v>
      </c>
      <c r="I41" s="1015">
        <v>0</v>
      </c>
      <c r="J41" s="384"/>
    </row>
    <row r="42" spans="2:10" ht="16" thickBot="1" x14ac:dyDescent="0.25">
      <c r="B42" s="1018">
        <v>270</v>
      </c>
      <c r="C42" s="1015">
        <v>270</v>
      </c>
      <c r="D42" s="1015">
        <v>270</v>
      </c>
      <c r="E42" s="1015">
        <v>270</v>
      </c>
      <c r="F42" s="1015">
        <v>0</v>
      </c>
      <c r="G42" s="1015">
        <v>0</v>
      </c>
      <c r="H42" s="1015">
        <v>0</v>
      </c>
      <c r="I42" s="1015">
        <v>0</v>
      </c>
      <c r="J42" s="384"/>
    </row>
  </sheetData>
  <mergeCells count="68">
    <mergeCell ref="H2:H4"/>
    <mergeCell ref="I2:I4"/>
    <mergeCell ref="B5:B7"/>
    <mergeCell ref="C5:C7"/>
    <mergeCell ref="D5:D7"/>
    <mergeCell ref="E5:E7"/>
    <mergeCell ref="F5:F7"/>
    <mergeCell ref="G5:G7"/>
    <mergeCell ref="H5:H7"/>
    <mergeCell ref="I5:I7"/>
    <mergeCell ref="B2:B4"/>
    <mergeCell ref="C2:C4"/>
    <mergeCell ref="D2:D4"/>
    <mergeCell ref="E2:E4"/>
    <mergeCell ref="F2:F4"/>
    <mergeCell ref="G2:G4"/>
    <mergeCell ref="H8:H10"/>
    <mergeCell ref="I8:I10"/>
    <mergeCell ref="B11:B14"/>
    <mergeCell ref="C11:C14"/>
    <mergeCell ref="D11:D14"/>
    <mergeCell ref="E11:E14"/>
    <mergeCell ref="F11:F14"/>
    <mergeCell ref="G11:G14"/>
    <mergeCell ref="H11:H14"/>
    <mergeCell ref="I11:I14"/>
    <mergeCell ref="B8:B10"/>
    <mergeCell ref="C8:C10"/>
    <mergeCell ref="D8:D10"/>
    <mergeCell ref="E8:E10"/>
    <mergeCell ref="F8:F10"/>
    <mergeCell ref="G8:G10"/>
    <mergeCell ref="H15:H19"/>
    <mergeCell ref="I15:I19"/>
    <mergeCell ref="B20:B24"/>
    <mergeCell ref="C20:C24"/>
    <mergeCell ref="D20:D24"/>
    <mergeCell ref="E20:E24"/>
    <mergeCell ref="F20:F24"/>
    <mergeCell ref="G20:G24"/>
    <mergeCell ref="H20:H24"/>
    <mergeCell ref="I20:I24"/>
    <mergeCell ref="B15:B19"/>
    <mergeCell ref="C15:C19"/>
    <mergeCell ref="D15:D19"/>
    <mergeCell ref="E15:E19"/>
    <mergeCell ref="F15:F19"/>
    <mergeCell ref="G15:G19"/>
    <mergeCell ref="B25:B27"/>
    <mergeCell ref="C25:C27"/>
    <mergeCell ref="D25:D27"/>
    <mergeCell ref="E25:E27"/>
    <mergeCell ref="F25:F27"/>
    <mergeCell ref="H25:H27"/>
    <mergeCell ref="I25:I27"/>
    <mergeCell ref="F30:F31"/>
    <mergeCell ref="G30:G31"/>
    <mergeCell ref="H30:H31"/>
    <mergeCell ref="I30:I31"/>
    <mergeCell ref="G25:G27"/>
    <mergeCell ref="H38:H40"/>
    <mergeCell ref="I38:I40"/>
    <mergeCell ref="B38:B40"/>
    <mergeCell ref="C38:C40"/>
    <mergeCell ref="D38:D40"/>
    <mergeCell ref="E38:E40"/>
    <mergeCell ref="F38:F40"/>
    <mergeCell ref="G38:G40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5"/>
  <sheetViews>
    <sheetView workbookViewId="0">
      <selection activeCell="I12" sqref="I12"/>
    </sheetView>
  </sheetViews>
  <sheetFormatPr baseColWidth="10" defaultColWidth="8.83203125" defaultRowHeight="13" x14ac:dyDescent="0.15"/>
  <cols>
    <col min="1" max="2" width="8.83203125" style="288"/>
    <col min="3" max="3" width="61.5" style="288" customWidth="1"/>
    <col min="4" max="4" width="10.6640625" style="288" customWidth="1"/>
    <col min="5" max="9" width="13" style="288" customWidth="1"/>
    <col min="10" max="16384" width="8.83203125" style="288"/>
  </cols>
  <sheetData>
    <row r="2" spans="2:9" ht="16" x14ac:dyDescent="0.2">
      <c r="B2" s="1069"/>
      <c r="C2" s="1069"/>
      <c r="D2" s="1069"/>
      <c r="E2" s="1069"/>
      <c r="F2" s="1069"/>
      <c r="G2" s="1069"/>
      <c r="H2" s="3268" t="s">
        <v>270</v>
      </c>
      <c r="I2" s="3268"/>
    </row>
    <row r="3" spans="2:9" ht="16" x14ac:dyDescent="0.2">
      <c r="B3" s="1069"/>
      <c r="C3" s="1069"/>
      <c r="D3" s="2799" t="s">
        <v>628</v>
      </c>
      <c r="E3" s="2799"/>
      <c r="F3" s="2799"/>
      <c r="G3" s="2799"/>
      <c r="H3" s="2799"/>
      <c r="I3" s="2799"/>
    </row>
    <row r="4" spans="2:9" ht="16" x14ac:dyDescent="0.2">
      <c r="B4" s="1069"/>
      <c r="C4" s="1069"/>
      <c r="D4" s="2799" t="s">
        <v>976</v>
      </c>
      <c r="E4" s="2799"/>
      <c r="F4" s="2799"/>
      <c r="G4" s="2799"/>
      <c r="H4" s="2799"/>
      <c r="I4" s="2799"/>
    </row>
    <row r="5" spans="2:9" ht="14" x14ac:dyDescent="0.2">
      <c r="B5" s="1069"/>
      <c r="C5" s="1069"/>
      <c r="D5" s="1069"/>
      <c r="E5" s="3269"/>
      <c r="F5" s="3269"/>
      <c r="G5" s="3269"/>
      <c r="H5" s="3269"/>
      <c r="I5" s="3269"/>
    </row>
    <row r="6" spans="2:9" ht="16" x14ac:dyDescent="0.2">
      <c r="B6" s="1069"/>
      <c r="C6" s="2799" t="s">
        <v>271</v>
      </c>
      <c r="D6" s="2799"/>
      <c r="E6" s="2799"/>
      <c r="F6" s="2799"/>
      <c r="G6" s="2799"/>
      <c r="H6" s="1069"/>
      <c r="I6" s="1069"/>
    </row>
    <row r="7" spans="2:9" ht="17" thickBot="1" x14ac:dyDescent="0.25">
      <c r="B7" s="1069"/>
      <c r="C7" s="3270" t="s">
        <v>265</v>
      </c>
      <c r="D7" s="3270"/>
      <c r="E7" s="3270"/>
      <c r="F7" s="3270"/>
      <c r="G7" s="3270"/>
      <c r="H7" s="3270"/>
      <c r="I7" s="3270"/>
    </row>
    <row r="8" spans="2:9" ht="17" thickBot="1" x14ac:dyDescent="0.25">
      <c r="B8" s="3271"/>
      <c r="C8" s="3273" t="s">
        <v>868</v>
      </c>
      <c r="D8" s="1103" t="s">
        <v>1068</v>
      </c>
      <c r="E8" s="3273">
        <v>2012</v>
      </c>
      <c r="F8" s="3273">
        <v>2013</v>
      </c>
      <c r="G8" s="3276" t="s">
        <v>272</v>
      </c>
      <c r="H8" s="3277"/>
      <c r="I8" s="3278"/>
    </row>
    <row r="9" spans="2:9" ht="17" thickBot="1" x14ac:dyDescent="0.25">
      <c r="B9" s="3272"/>
      <c r="C9" s="3274"/>
      <c r="D9" s="1104" t="s">
        <v>1069</v>
      </c>
      <c r="E9" s="3274"/>
      <c r="F9" s="3275"/>
      <c r="G9" s="1105">
        <v>2014</v>
      </c>
      <c r="H9" s="1106">
        <v>2015</v>
      </c>
      <c r="I9" s="1107">
        <v>2016</v>
      </c>
    </row>
    <row r="10" spans="2:9" ht="17" thickBot="1" x14ac:dyDescent="0.25">
      <c r="B10" s="3279" t="s">
        <v>273</v>
      </c>
      <c r="C10" s="3280"/>
      <c r="D10" s="3280"/>
      <c r="E10" s="3280"/>
      <c r="F10" s="3280"/>
      <c r="G10" s="3280"/>
      <c r="H10" s="3280"/>
      <c r="I10" s="3281"/>
    </row>
    <row r="11" spans="2:9" ht="17" thickBot="1" x14ac:dyDescent="0.25">
      <c r="B11" s="3282" t="s">
        <v>274</v>
      </c>
      <c r="C11" s="3283"/>
      <c r="D11" s="3283"/>
      <c r="E11" s="3283"/>
      <c r="F11" s="3283"/>
      <c r="G11" s="3283"/>
      <c r="H11" s="3283"/>
      <c r="I11" s="3284"/>
    </row>
    <row r="12" spans="2:9" ht="33" thickBot="1" x14ac:dyDescent="0.25">
      <c r="B12" s="3271" t="s">
        <v>554</v>
      </c>
      <c r="C12" s="1109" t="s">
        <v>275</v>
      </c>
      <c r="D12" s="1110" t="s">
        <v>3</v>
      </c>
      <c r="E12" s="1111">
        <v>70</v>
      </c>
      <c r="F12" s="1112">
        <v>70</v>
      </c>
      <c r="G12" s="1112">
        <v>70</v>
      </c>
      <c r="H12" s="1112">
        <v>65</v>
      </c>
      <c r="I12" s="1112">
        <v>65</v>
      </c>
    </row>
    <row r="13" spans="2:9" ht="49" thickBot="1" x14ac:dyDescent="0.25">
      <c r="B13" s="3272"/>
      <c r="C13" s="1113" t="s">
        <v>276</v>
      </c>
      <c r="D13" s="1110" t="s">
        <v>3</v>
      </c>
      <c r="E13" s="1114">
        <v>24</v>
      </c>
      <c r="F13" s="1111">
        <v>24</v>
      </c>
      <c r="G13" s="1115">
        <v>24</v>
      </c>
      <c r="H13" s="1111">
        <v>24</v>
      </c>
      <c r="I13" s="1112">
        <v>24</v>
      </c>
    </row>
    <row r="14" spans="2:9" ht="33" thickBot="1" x14ac:dyDescent="0.25">
      <c r="B14" s="1108" t="s">
        <v>1070</v>
      </c>
      <c r="C14" s="1116" t="s">
        <v>278</v>
      </c>
      <c r="D14" s="1110" t="s">
        <v>555</v>
      </c>
      <c r="E14" s="1111">
        <v>1935</v>
      </c>
      <c r="F14" s="1112">
        <v>1902</v>
      </c>
      <c r="G14" s="1112">
        <v>1955</v>
      </c>
      <c r="H14" s="1112">
        <v>1958</v>
      </c>
      <c r="I14" s="1112">
        <v>1960</v>
      </c>
    </row>
    <row r="15" spans="2:9" ht="33" thickBot="1" x14ac:dyDescent="0.25">
      <c r="B15" s="1108" t="s">
        <v>1071</v>
      </c>
      <c r="C15" s="1109" t="s">
        <v>279</v>
      </c>
      <c r="D15" s="1110" t="s">
        <v>280</v>
      </c>
      <c r="E15" s="1117">
        <v>297.55</v>
      </c>
      <c r="F15" s="1118">
        <v>307.8</v>
      </c>
      <c r="G15" s="1118">
        <v>306.88</v>
      </c>
      <c r="H15" s="1118">
        <v>307.76</v>
      </c>
      <c r="I15" s="1118">
        <v>308.74</v>
      </c>
    </row>
    <row r="16" spans="2:9" ht="17" thickBot="1" x14ac:dyDescent="0.25">
      <c r="B16" s="1089"/>
      <c r="C16" s="1109" t="s">
        <v>281</v>
      </c>
      <c r="D16" s="1110" t="s">
        <v>555</v>
      </c>
      <c r="E16" s="1119">
        <v>34</v>
      </c>
      <c r="F16" s="1120">
        <v>30</v>
      </c>
      <c r="G16" s="1120">
        <v>33</v>
      </c>
      <c r="H16" s="1120">
        <v>33</v>
      </c>
      <c r="I16" s="1120">
        <v>35</v>
      </c>
    </row>
    <row r="17" spans="2:9" ht="33" thickBot="1" x14ac:dyDescent="0.25">
      <c r="B17" s="1089"/>
      <c r="C17" s="1109" t="s">
        <v>282</v>
      </c>
      <c r="D17" s="1110" t="s">
        <v>555</v>
      </c>
      <c r="E17" s="1111">
        <v>764</v>
      </c>
      <c r="F17" s="1112">
        <v>746</v>
      </c>
      <c r="G17" s="1112">
        <v>739</v>
      </c>
      <c r="H17" s="1112">
        <v>751</v>
      </c>
      <c r="I17" s="1112">
        <v>755</v>
      </c>
    </row>
    <row r="18" spans="2:9" ht="33" thickBot="1" x14ac:dyDescent="0.25">
      <c r="B18" s="1066"/>
      <c r="C18" s="1109" t="s">
        <v>283</v>
      </c>
      <c r="D18" s="1110" t="s">
        <v>556</v>
      </c>
      <c r="E18" s="1111">
        <v>191.1</v>
      </c>
      <c r="F18" s="1112">
        <v>218.58</v>
      </c>
      <c r="G18" s="1112">
        <v>187.35</v>
      </c>
      <c r="H18" s="1112">
        <v>188.69</v>
      </c>
      <c r="I18" s="1112">
        <v>191.47</v>
      </c>
    </row>
    <row r="19" spans="2:9" ht="17" thickBot="1" x14ac:dyDescent="0.25">
      <c r="B19" s="1121"/>
      <c r="C19" s="1122" t="s">
        <v>284</v>
      </c>
      <c r="D19" s="1123"/>
      <c r="E19" s="1124"/>
      <c r="F19" s="1125"/>
      <c r="G19" s="1126"/>
      <c r="H19" s="1127"/>
      <c r="I19" s="1112"/>
    </row>
    <row r="20" spans="2:9" ht="17" thickBot="1" x14ac:dyDescent="0.25">
      <c r="B20" s="1069"/>
      <c r="C20" s="1128" t="s">
        <v>285</v>
      </c>
      <c r="D20" s="1123" t="s">
        <v>544</v>
      </c>
      <c r="E20" s="1129">
        <v>502089.79</v>
      </c>
      <c r="F20" s="1129">
        <v>570957.39</v>
      </c>
      <c r="G20" s="1130">
        <v>660799.80000000005</v>
      </c>
      <c r="H20" s="1131">
        <v>535209.87</v>
      </c>
      <c r="I20" s="1132">
        <v>538383.34</v>
      </c>
    </row>
    <row r="21" spans="2:9" ht="17" thickBot="1" x14ac:dyDescent="0.25">
      <c r="B21" s="1069"/>
      <c r="C21" s="1128" t="s">
        <v>286</v>
      </c>
      <c r="D21" s="1123" t="s">
        <v>544</v>
      </c>
      <c r="E21" s="1129">
        <v>466983.89</v>
      </c>
      <c r="F21" s="1129">
        <v>544730.39</v>
      </c>
      <c r="G21" s="1130">
        <v>631950.1</v>
      </c>
      <c r="H21" s="1132">
        <v>503475.20000000001</v>
      </c>
      <c r="I21" s="1129">
        <v>503475.20000000001</v>
      </c>
    </row>
    <row r="22" spans="2:9" ht="33" thickBot="1" x14ac:dyDescent="0.25">
      <c r="B22" s="1069"/>
      <c r="C22" s="1128" t="s">
        <v>957</v>
      </c>
      <c r="D22" s="1123" t="s">
        <v>544</v>
      </c>
      <c r="E22" s="1129">
        <v>446217.5</v>
      </c>
      <c r="F22" s="1129">
        <v>510281.74</v>
      </c>
      <c r="G22" s="1130">
        <v>527530</v>
      </c>
      <c r="H22" s="1131">
        <v>503475.20000000001</v>
      </c>
      <c r="I22" s="1131">
        <v>503475.20000000001</v>
      </c>
    </row>
    <row r="23" spans="2:9" ht="17" thickBot="1" x14ac:dyDescent="0.25">
      <c r="B23" s="1133"/>
      <c r="C23" s="1128" t="s">
        <v>287</v>
      </c>
      <c r="D23" s="1123" t="s">
        <v>544</v>
      </c>
      <c r="E23" s="1129">
        <v>35105.9</v>
      </c>
      <c r="F23" s="1129">
        <v>26227</v>
      </c>
      <c r="G23" s="1129">
        <v>28849.7</v>
      </c>
      <c r="H23" s="1129">
        <v>31734.67</v>
      </c>
      <c r="I23" s="1129">
        <v>34908.14</v>
      </c>
    </row>
    <row r="24" spans="2:9" ht="17" thickBot="1" x14ac:dyDescent="0.25">
      <c r="B24" s="3282" t="s">
        <v>288</v>
      </c>
      <c r="C24" s="3283"/>
      <c r="D24" s="3283"/>
      <c r="E24" s="3283"/>
      <c r="F24" s="3283"/>
      <c r="G24" s="3283"/>
      <c r="H24" s="3283"/>
      <c r="I24" s="3285"/>
    </row>
    <row r="25" spans="2:9" ht="33" thickBot="1" x14ac:dyDescent="0.25">
      <c r="B25" s="3271" t="s">
        <v>289</v>
      </c>
      <c r="C25" s="1109" t="s">
        <v>290</v>
      </c>
      <c r="D25" s="1110" t="s">
        <v>555</v>
      </c>
      <c r="E25" s="1117">
        <v>15</v>
      </c>
      <c r="F25" s="1118">
        <v>15</v>
      </c>
      <c r="G25" s="1118">
        <v>15</v>
      </c>
      <c r="H25" s="1118">
        <v>16</v>
      </c>
      <c r="I25" s="1118">
        <v>16</v>
      </c>
    </row>
    <row r="26" spans="2:9" ht="49" thickBot="1" x14ac:dyDescent="0.25">
      <c r="B26" s="3286"/>
      <c r="C26" s="1134" t="s">
        <v>292</v>
      </c>
      <c r="D26" s="1110" t="s">
        <v>3</v>
      </c>
      <c r="E26" s="1119">
        <v>83</v>
      </c>
      <c r="F26" s="1120">
        <v>85</v>
      </c>
      <c r="G26" s="1120">
        <v>85</v>
      </c>
      <c r="H26" s="1120">
        <v>86</v>
      </c>
      <c r="I26" s="1120">
        <v>87</v>
      </c>
    </row>
    <row r="27" spans="2:9" ht="49" thickBot="1" x14ac:dyDescent="0.25">
      <c r="B27" s="3286"/>
      <c r="C27" s="1134" t="s">
        <v>563</v>
      </c>
      <c r="D27" s="1110" t="s">
        <v>3</v>
      </c>
      <c r="E27" s="1135">
        <v>0.8</v>
      </c>
      <c r="F27" s="1136">
        <v>1</v>
      </c>
      <c r="G27" s="1136">
        <v>1.5</v>
      </c>
      <c r="H27" s="1136">
        <v>2.2999999999999998</v>
      </c>
      <c r="I27" s="1136">
        <v>3.4</v>
      </c>
    </row>
    <row r="28" spans="2:9" ht="49" thickBot="1" x14ac:dyDescent="0.25">
      <c r="B28" s="3286"/>
      <c r="C28" s="1134" t="s">
        <v>564</v>
      </c>
      <c r="D28" s="1110" t="s">
        <v>3</v>
      </c>
      <c r="E28" s="1135">
        <v>0.7</v>
      </c>
      <c r="F28" s="1136">
        <v>0.8</v>
      </c>
      <c r="G28" s="1136">
        <v>0.9</v>
      </c>
      <c r="H28" s="1136">
        <v>1.1000000000000001</v>
      </c>
      <c r="I28" s="1136">
        <v>1.3</v>
      </c>
    </row>
    <row r="29" spans="2:9" ht="33" thickBot="1" x14ac:dyDescent="0.25">
      <c r="B29" s="3286"/>
      <c r="C29" s="1134" t="s">
        <v>565</v>
      </c>
      <c r="D29" s="1110" t="s">
        <v>3</v>
      </c>
      <c r="E29" s="1135">
        <v>9</v>
      </c>
      <c r="F29" s="1136">
        <v>11.8</v>
      </c>
      <c r="G29" s="1136">
        <v>15.8</v>
      </c>
      <c r="H29" s="1136">
        <v>18.2</v>
      </c>
      <c r="I29" s="1136">
        <v>19.2</v>
      </c>
    </row>
    <row r="30" spans="2:9" ht="33" thickBot="1" x14ac:dyDescent="0.25">
      <c r="B30" s="3286"/>
      <c r="C30" s="1134" t="s">
        <v>566</v>
      </c>
      <c r="D30" s="1110" t="s">
        <v>3</v>
      </c>
      <c r="E30" s="1135">
        <v>0.4</v>
      </c>
      <c r="F30" s="1136">
        <v>0.5</v>
      </c>
      <c r="G30" s="1136">
        <v>0.9</v>
      </c>
      <c r="H30" s="1136">
        <v>1.4</v>
      </c>
      <c r="I30" s="1136">
        <v>1.9</v>
      </c>
    </row>
    <row r="31" spans="2:9" ht="33" thickBot="1" x14ac:dyDescent="0.25">
      <c r="B31" s="3286"/>
      <c r="C31" s="1134" t="s">
        <v>567</v>
      </c>
      <c r="D31" s="1110" t="s">
        <v>3</v>
      </c>
      <c r="E31" s="1135">
        <v>0.9</v>
      </c>
      <c r="F31" s="1136">
        <v>0.1</v>
      </c>
      <c r="G31" s="1136">
        <v>0.2</v>
      </c>
      <c r="H31" s="1136">
        <v>0.4</v>
      </c>
      <c r="I31" s="1136">
        <v>0.5</v>
      </c>
    </row>
    <row r="32" spans="2:9" ht="33" thickBot="1" x14ac:dyDescent="0.25">
      <c r="B32" s="3286"/>
      <c r="C32" s="1134" t="s">
        <v>568</v>
      </c>
      <c r="D32" s="1110" t="s">
        <v>3</v>
      </c>
      <c r="E32" s="1135">
        <v>1.5</v>
      </c>
      <c r="F32" s="1136">
        <v>2</v>
      </c>
      <c r="G32" s="1136">
        <v>3</v>
      </c>
      <c r="H32" s="1136">
        <v>4</v>
      </c>
      <c r="I32" s="1136">
        <v>5</v>
      </c>
    </row>
    <row r="33" spans="2:9" ht="33" thickBot="1" x14ac:dyDescent="0.25">
      <c r="B33" s="3286"/>
      <c r="C33" s="1134" t="s">
        <v>569</v>
      </c>
      <c r="D33" s="1110" t="s">
        <v>3</v>
      </c>
      <c r="E33" s="1135">
        <v>8</v>
      </c>
      <c r="F33" s="1136">
        <v>9.4</v>
      </c>
      <c r="G33" s="1136">
        <v>12.1</v>
      </c>
      <c r="H33" s="1136">
        <v>14.6</v>
      </c>
      <c r="I33" s="1136">
        <v>17.399999999999999</v>
      </c>
    </row>
    <row r="34" spans="2:9" ht="65" thickBot="1" x14ac:dyDescent="0.25">
      <c r="B34" s="3272"/>
      <c r="C34" s="1134" t="s">
        <v>570</v>
      </c>
      <c r="D34" s="1110" t="s">
        <v>3</v>
      </c>
      <c r="E34" s="1135">
        <v>4.0999999999999996</v>
      </c>
      <c r="F34" s="1136">
        <v>4.4000000000000004</v>
      </c>
      <c r="G34" s="1136">
        <v>6.6</v>
      </c>
      <c r="H34" s="1136">
        <v>10</v>
      </c>
      <c r="I34" s="1136">
        <v>15.1</v>
      </c>
    </row>
    <row r="35" spans="2:9" ht="49" thickBot="1" x14ac:dyDescent="0.25">
      <c r="B35" s="1102" t="s">
        <v>1070</v>
      </c>
      <c r="C35" s="1109" t="s">
        <v>1072</v>
      </c>
      <c r="D35" s="1110" t="s">
        <v>555</v>
      </c>
      <c r="E35" s="1111">
        <v>62</v>
      </c>
      <c r="F35" s="1112">
        <v>63</v>
      </c>
      <c r="G35" s="1112">
        <v>63</v>
      </c>
      <c r="H35" s="1112">
        <v>65</v>
      </c>
      <c r="I35" s="1112">
        <v>67</v>
      </c>
    </row>
    <row r="36" spans="2:9" ht="33" thickBot="1" x14ac:dyDescent="0.25">
      <c r="B36" s="1137" t="s">
        <v>1071</v>
      </c>
      <c r="C36" s="1113" t="s">
        <v>294</v>
      </c>
      <c r="D36" s="1110" t="s">
        <v>555</v>
      </c>
      <c r="E36" s="1135">
        <v>15</v>
      </c>
      <c r="F36" s="1136">
        <v>15</v>
      </c>
      <c r="G36" s="1136">
        <v>16</v>
      </c>
      <c r="H36" s="1136">
        <v>16</v>
      </c>
      <c r="I36" s="1136">
        <v>16</v>
      </c>
    </row>
    <row r="37" spans="2:9" ht="17" thickBot="1" x14ac:dyDescent="0.25">
      <c r="B37" s="1108"/>
      <c r="C37" s="1138" t="s">
        <v>284</v>
      </c>
      <c r="D37" s="1104" t="s">
        <v>544</v>
      </c>
      <c r="E37" s="1124"/>
      <c r="F37" s="1125"/>
      <c r="G37" s="1126"/>
      <c r="H37" s="1111"/>
      <c r="I37" s="1112"/>
    </row>
    <row r="38" spans="2:9" ht="17" thickBot="1" x14ac:dyDescent="0.25">
      <c r="B38" s="1108"/>
      <c r="C38" s="1139" t="s">
        <v>285</v>
      </c>
      <c r="D38" s="1104" t="s">
        <v>544</v>
      </c>
      <c r="E38" s="1129">
        <v>70460.38</v>
      </c>
      <c r="F38" s="1129">
        <v>88721.68</v>
      </c>
      <c r="G38" s="1129">
        <v>108954.96</v>
      </c>
      <c r="H38" s="1129">
        <v>50374.16</v>
      </c>
      <c r="I38" s="1129">
        <v>46374.16</v>
      </c>
    </row>
    <row r="39" spans="2:9" ht="17" thickBot="1" x14ac:dyDescent="0.25">
      <c r="B39" s="1108"/>
      <c r="C39" s="1139" t="s">
        <v>286</v>
      </c>
      <c r="D39" s="1104" t="s">
        <v>544</v>
      </c>
      <c r="E39" s="1129">
        <v>70460.38</v>
      </c>
      <c r="F39" s="1129">
        <v>88721.68</v>
      </c>
      <c r="G39" s="1129">
        <v>108954.96</v>
      </c>
      <c r="H39" s="1129">
        <v>50374.16</v>
      </c>
      <c r="I39" s="1129">
        <v>46374.16</v>
      </c>
    </row>
    <row r="40" spans="2:9" ht="33" thickBot="1" x14ac:dyDescent="0.25">
      <c r="B40" s="1108"/>
      <c r="C40" s="1139" t="s">
        <v>957</v>
      </c>
      <c r="D40" s="1104" t="s">
        <v>544</v>
      </c>
      <c r="E40" s="1129">
        <v>41620.36</v>
      </c>
      <c r="F40" s="1129">
        <v>63269.29</v>
      </c>
      <c r="G40" s="1129">
        <v>54819.360000000001</v>
      </c>
      <c r="H40" s="1129">
        <v>50374.16</v>
      </c>
      <c r="I40" s="1129">
        <v>46374.16</v>
      </c>
    </row>
    <row r="41" spans="2:9" ht="17" thickBot="1" x14ac:dyDescent="0.25">
      <c r="B41" s="1137"/>
      <c r="C41" s="1139" t="s">
        <v>287</v>
      </c>
      <c r="D41" s="1104" t="s">
        <v>544</v>
      </c>
      <c r="E41" s="1124">
        <v>0</v>
      </c>
      <c r="F41" s="1124">
        <v>0</v>
      </c>
      <c r="G41" s="1124">
        <v>0</v>
      </c>
      <c r="H41" s="1124">
        <v>0</v>
      </c>
      <c r="I41" s="1124">
        <v>0</v>
      </c>
    </row>
    <row r="42" spans="2:9" ht="17" thickBot="1" x14ac:dyDescent="0.25">
      <c r="B42" s="3287" t="s">
        <v>295</v>
      </c>
      <c r="C42" s="3288"/>
      <c r="D42" s="3288"/>
      <c r="E42" s="3288"/>
      <c r="F42" s="3288"/>
      <c r="G42" s="3288"/>
      <c r="H42" s="3288"/>
      <c r="I42" s="3289"/>
    </row>
    <row r="43" spans="2:9" ht="17" thickBot="1" x14ac:dyDescent="0.25">
      <c r="B43" s="3290" t="s">
        <v>296</v>
      </c>
      <c r="C43" s="3291"/>
      <c r="D43" s="3291"/>
      <c r="E43" s="3291"/>
      <c r="F43" s="3291"/>
      <c r="G43" s="3291"/>
      <c r="H43" s="3292"/>
      <c r="I43" s="1118"/>
    </row>
    <row r="44" spans="2:9" ht="33" thickBot="1" x14ac:dyDescent="0.25">
      <c r="B44" s="3271" t="s">
        <v>289</v>
      </c>
      <c r="C44" s="1109" t="s">
        <v>297</v>
      </c>
      <c r="D44" s="1110" t="s">
        <v>3</v>
      </c>
      <c r="E44" s="1111">
        <v>50</v>
      </c>
      <c r="F44" s="1112">
        <v>50</v>
      </c>
      <c r="G44" s="1112">
        <v>50</v>
      </c>
      <c r="H44" s="1112">
        <v>50</v>
      </c>
      <c r="I44" s="1120">
        <v>51</v>
      </c>
    </row>
    <row r="45" spans="2:9" ht="49" thickBot="1" x14ac:dyDescent="0.25">
      <c r="B45" s="3293"/>
      <c r="C45" s="1109" t="s">
        <v>298</v>
      </c>
      <c r="D45" s="1110" t="s">
        <v>555</v>
      </c>
      <c r="E45" s="1111">
        <v>27</v>
      </c>
      <c r="F45" s="1112">
        <v>27</v>
      </c>
      <c r="G45" s="1112">
        <v>27</v>
      </c>
      <c r="H45" s="1112">
        <v>27</v>
      </c>
      <c r="I45" s="1112">
        <v>27</v>
      </c>
    </row>
    <row r="46" spans="2:9" ht="49" thickBot="1" x14ac:dyDescent="0.25">
      <c r="B46" s="1108" t="s">
        <v>1070</v>
      </c>
      <c r="C46" s="1134" t="s">
        <v>300</v>
      </c>
      <c r="D46" s="1110" t="s">
        <v>301</v>
      </c>
      <c r="E46" s="1111">
        <v>299</v>
      </c>
      <c r="F46" s="1112">
        <v>295</v>
      </c>
      <c r="G46" s="1112">
        <v>299</v>
      </c>
      <c r="H46" s="1112">
        <v>309</v>
      </c>
      <c r="I46" s="1112">
        <v>312</v>
      </c>
    </row>
    <row r="47" spans="2:9" ht="33" thickBot="1" x14ac:dyDescent="0.25">
      <c r="B47" s="1108" t="s">
        <v>1073</v>
      </c>
      <c r="C47" s="1134" t="s">
        <v>302</v>
      </c>
      <c r="D47" s="1110" t="s">
        <v>303</v>
      </c>
      <c r="E47" s="1111">
        <v>125</v>
      </c>
      <c r="F47" s="1112">
        <v>192</v>
      </c>
      <c r="G47" s="1112">
        <v>195</v>
      </c>
      <c r="H47" s="1112">
        <v>201</v>
      </c>
      <c r="I47" s="1112">
        <v>202</v>
      </c>
    </row>
    <row r="48" spans="2:9" ht="49" thickBot="1" x14ac:dyDescent="0.25">
      <c r="B48" s="1089"/>
      <c r="C48" s="1134" t="s">
        <v>304</v>
      </c>
      <c r="D48" s="1110" t="s">
        <v>305</v>
      </c>
      <c r="E48" s="1111">
        <v>90</v>
      </c>
      <c r="F48" s="1112">
        <v>103</v>
      </c>
      <c r="G48" s="1112">
        <v>105</v>
      </c>
      <c r="H48" s="1112">
        <v>108</v>
      </c>
      <c r="I48" s="1112">
        <v>110</v>
      </c>
    </row>
    <row r="49" spans="2:9" ht="33" thickBot="1" x14ac:dyDescent="0.25">
      <c r="B49" s="1089"/>
      <c r="C49" s="1109" t="s">
        <v>557</v>
      </c>
      <c r="D49" s="1110" t="s">
        <v>306</v>
      </c>
      <c r="E49" s="1111">
        <v>49</v>
      </c>
      <c r="F49" s="1112">
        <v>49</v>
      </c>
      <c r="G49" s="1112">
        <v>49</v>
      </c>
      <c r="H49" s="1112">
        <v>50</v>
      </c>
      <c r="I49" s="1112">
        <v>50</v>
      </c>
    </row>
    <row r="50" spans="2:9" ht="49" thickBot="1" x14ac:dyDescent="0.25">
      <c r="B50" s="1066"/>
      <c r="C50" s="1109" t="s">
        <v>558</v>
      </c>
      <c r="D50" s="1110" t="s">
        <v>305</v>
      </c>
      <c r="E50" s="1111">
        <v>383</v>
      </c>
      <c r="F50" s="1112">
        <v>388</v>
      </c>
      <c r="G50" s="1112">
        <v>389</v>
      </c>
      <c r="H50" s="1112">
        <v>391</v>
      </c>
      <c r="I50" s="1112">
        <v>392</v>
      </c>
    </row>
    <row r="51" spans="2:9" ht="17" thickBot="1" x14ac:dyDescent="0.25">
      <c r="B51" s="1108"/>
      <c r="C51" s="1140" t="s">
        <v>284</v>
      </c>
      <c r="D51" s="1104" t="s">
        <v>544</v>
      </c>
      <c r="E51" s="1141"/>
      <c r="F51" s="1141"/>
      <c r="G51" s="1142"/>
      <c r="H51" s="1143"/>
      <c r="I51" s="1141"/>
    </row>
    <row r="52" spans="2:9" ht="17" thickBot="1" x14ac:dyDescent="0.25">
      <c r="B52" s="1108"/>
      <c r="C52" s="1139" t="s">
        <v>285</v>
      </c>
      <c r="D52" s="1104" t="s">
        <v>544</v>
      </c>
      <c r="E52" s="1129">
        <v>44699.64</v>
      </c>
      <c r="F52" s="1129">
        <v>91399.1</v>
      </c>
      <c r="G52" s="1130">
        <v>75657.429999999993</v>
      </c>
      <c r="H52" s="1132">
        <v>45077.01</v>
      </c>
      <c r="I52" s="1129">
        <v>45164.49</v>
      </c>
    </row>
    <row r="53" spans="2:9" ht="17" thickBot="1" x14ac:dyDescent="0.25">
      <c r="B53" s="1108"/>
      <c r="C53" s="1139" t="s">
        <v>286</v>
      </c>
      <c r="D53" s="1104" t="s">
        <v>544</v>
      </c>
      <c r="E53" s="1129">
        <v>43910.34</v>
      </c>
      <c r="F53" s="1129">
        <v>90676.1</v>
      </c>
      <c r="G53" s="1130">
        <v>74862.13</v>
      </c>
      <c r="H53" s="1132">
        <v>44202.18</v>
      </c>
      <c r="I53" s="1129">
        <v>44202.18</v>
      </c>
    </row>
    <row r="54" spans="2:9" ht="33" thickBot="1" x14ac:dyDescent="0.25">
      <c r="B54" s="1108"/>
      <c r="C54" s="1139" t="s">
        <v>957</v>
      </c>
      <c r="D54" s="1104" t="s">
        <v>544</v>
      </c>
      <c r="E54" s="1129">
        <v>37703.699999999997</v>
      </c>
      <c r="F54" s="1129">
        <v>48236.1</v>
      </c>
      <c r="G54" s="1129">
        <v>56747.13</v>
      </c>
      <c r="H54" s="1129">
        <v>44202.18</v>
      </c>
      <c r="I54" s="1129">
        <v>44202.18</v>
      </c>
    </row>
    <row r="55" spans="2:9" ht="17" thickBot="1" x14ac:dyDescent="0.25">
      <c r="B55" s="1137"/>
      <c r="C55" s="1139" t="s">
        <v>287</v>
      </c>
      <c r="D55" s="1104" t="s">
        <v>544</v>
      </c>
      <c r="E55" s="1124">
        <v>789.3</v>
      </c>
      <c r="F55" s="1124">
        <v>723</v>
      </c>
      <c r="G55" s="1124">
        <v>795.3</v>
      </c>
      <c r="H55" s="1124">
        <v>874.83</v>
      </c>
      <c r="I55" s="1124">
        <v>962.31</v>
      </c>
    </row>
    <row r="56" spans="2:9" ht="17" thickBot="1" x14ac:dyDescent="0.25">
      <c r="B56" s="3282" t="s">
        <v>307</v>
      </c>
      <c r="C56" s="3283"/>
      <c r="D56" s="3283"/>
      <c r="E56" s="3283"/>
      <c r="F56" s="3283"/>
      <c r="G56" s="3283"/>
      <c r="H56" s="3283"/>
      <c r="I56" s="3285"/>
    </row>
    <row r="57" spans="2:9" ht="33" thickBot="1" x14ac:dyDescent="0.25">
      <c r="B57" s="3271" t="s">
        <v>289</v>
      </c>
      <c r="C57" s="1134" t="s">
        <v>308</v>
      </c>
      <c r="D57" s="1024" t="s">
        <v>555</v>
      </c>
      <c r="E57" s="1112">
        <v>0</v>
      </c>
      <c r="F57" s="1112">
        <v>0</v>
      </c>
      <c r="G57" s="1115">
        <v>0</v>
      </c>
      <c r="H57" s="1111">
        <v>0</v>
      </c>
      <c r="I57" s="1112">
        <v>0</v>
      </c>
    </row>
    <row r="58" spans="2:9" ht="17" thickBot="1" x14ac:dyDescent="0.25">
      <c r="B58" s="3286"/>
      <c r="C58" s="2780" t="s">
        <v>830</v>
      </c>
      <c r="D58" s="1023" t="s">
        <v>571</v>
      </c>
      <c r="E58" s="1136">
        <v>10</v>
      </c>
      <c r="F58" s="1136">
        <v>80</v>
      </c>
      <c r="G58" s="1136">
        <v>85</v>
      </c>
      <c r="H58" s="1136">
        <v>75</v>
      </c>
      <c r="I58" s="1136">
        <v>80</v>
      </c>
    </row>
    <row r="59" spans="2:9" ht="17" thickBot="1" x14ac:dyDescent="0.25">
      <c r="B59" s="3286"/>
      <c r="C59" s="2782"/>
      <c r="D59" s="1023" t="s">
        <v>3</v>
      </c>
      <c r="E59" s="1136">
        <v>0.15</v>
      </c>
      <c r="F59" s="1136">
        <v>1.23</v>
      </c>
      <c r="G59" s="1136">
        <v>1.32</v>
      </c>
      <c r="H59" s="1136">
        <v>1.1499999999999999</v>
      </c>
      <c r="I59" s="1136">
        <v>1.23</v>
      </c>
    </row>
    <row r="60" spans="2:9" ht="17" thickBot="1" x14ac:dyDescent="0.25">
      <c r="B60" s="3286"/>
      <c r="C60" s="2780" t="s">
        <v>831</v>
      </c>
      <c r="D60" s="1023" t="s">
        <v>571</v>
      </c>
      <c r="E60" s="1136">
        <v>5</v>
      </c>
      <c r="F60" s="1136">
        <v>19</v>
      </c>
      <c r="G60" s="1136">
        <v>29</v>
      </c>
      <c r="H60" s="1136">
        <v>31</v>
      </c>
      <c r="I60" s="1136">
        <v>33</v>
      </c>
    </row>
    <row r="61" spans="2:9" ht="17" thickBot="1" x14ac:dyDescent="0.25">
      <c r="B61" s="3286"/>
      <c r="C61" s="2782"/>
      <c r="D61" s="1023" t="s">
        <v>3</v>
      </c>
      <c r="E61" s="1136">
        <v>7.0000000000000007E-2</v>
      </c>
      <c r="F61" s="1136">
        <v>0.28999999999999998</v>
      </c>
      <c r="G61" s="1136">
        <v>0.45</v>
      </c>
      <c r="H61" s="1136">
        <v>0.48</v>
      </c>
      <c r="I61" s="1136">
        <v>0.51</v>
      </c>
    </row>
    <row r="62" spans="2:9" ht="17" thickBot="1" x14ac:dyDescent="0.25">
      <c r="B62" s="3286"/>
      <c r="C62" s="2780" t="s">
        <v>835</v>
      </c>
      <c r="D62" s="1023" t="s">
        <v>571</v>
      </c>
      <c r="E62" s="1136">
        <v>10</v>
      </c>
      <c r="F62" s="1136">
        <v>80</v>
      </c>
      <c r="G62" s="1136">
        <v>85</v>
      </c>
      <c r="H62" s="1136">
        <v>75</v>
      </c>
      <c r="I62" s="1136">
        <v>80</v>
      </c>
    </row>
    <row r="63" spans="2:9" ht="17" thickBot="1" x14ac:dyDescent="0.25">
      <c r="B63" s="3286"/>
      <c r="C63" s="2782"/>
      <c r="D63" s="1023" t="s">
        <v>3</v>
      </c>
      <c r="E63" s="1136">
        <v>0.15</v>
      </c>
      <c r="F63" s="1136">
        <v>1.24</v>
      </c>
      <c r="G63" s="1136">
        <v>1.31</v>
      </c>
      <c r="H63" s="1136">
        <v>1.1599999999999999</v>
      </c>
      <c r="I63" s="1136">
        <v>1.24</v>
      </c>
    </row>
    <row r="64" spans="2:9" ht="17" thickBot="1" x14ac:dyDescent="0.25">
      <c r="B64" s="3286"/>
      <c r="C64" s="2780" t="s">
        <v>751</v>
      </c>
      <c r="D64" s="1023" t="s">
        <v>571</v>
      </c>
      <c r="E64" s="1136">
        <v>3</v>
      </c>
      <c r="F64" s="1136">
        <v>6</v>
      </c>
      <c r="G64" s="1136">
        <v>6</v>
      </c>
      <c r="H64" s="1136">
        <v>6</v>
      </c>
      <c r="I64" s="1136">
        <v>6</v>
      </c>
    </row>
    <row r="65" spans="2:9" ht="17" thickBot="1" x14ac:dyDescent="0.25">
      <c r="B65" s="3286"/>
      <c r="C65" s="2782"/>
      <c r="D65" s="1023" t="s">
        <v>3</v>
      </c>
      <c r="E65" s="1136">
        <v>0.05</v>
      </c>
      <c r="F65" s="1136">
        <v>0.1</v>
      </c>
      <c r="G65" s="1136">
        <v>0.1</v>
      </c>
      <c r="H65" s="1136">
        <v>0.1</v>
      </c>
      <c r="I65" s="1136">
        <v>0.1</v>
      </c>
    </row>
    <row r="66" spans="2:9" ht="17" thickBot="1" x14ac:dyDescent="0.25">
      <c r="B66" s="3286"/>
      <c r="C66" s="2780" t="s">
        <v>753</v>
      </c>
      <c r="D66" s="1023" t="s">
        <v>571</v>
      </c>
      <c r="E66" s="1136">
        <v>0</v>
      </c>
      <c r="F66" s="1136">
        <v>500</v>
      </c>
      <c r="G66" s="1136">
        <v>850</v>
      </c>
      <c r="H66" s="1136">
        <v>950</v>
      </c>
      <c r="I66" s="1136">
        <v>1000</v>
      </c>
    </row>
    <row r="67" spans="2:9" ht="17" thickBot="1" x14ac:dyDescent="0.25">
      <c r="B67" s="3293"/>
      <c r="C67" s="2782"/>
      <c r="D67" s="1023" t="s">
        <v>3</v>
      </c>
      <c r="E67" s="1136">
        <v>0</v>
      </c>
      <c r="F67" s="1136">
        <v>8.5</v>
      </c>
      <c r="G67" s="1136">
        <v>9.5</v>
      </c>
      <c r="H67" s="1136">
        <v>10.5</v>
      </c>
      <c r="I67" s="1136">
        <v>11.5</v>
      </c>
    </row>
    <row r="68" spans="2:9" ht="33" thickBot="1" x14ac:dyDescent="0.25">
      <c r="B68" s="1108" t="s">
        <v>1070</v>
      </c>
      <c r="C68" s="1109" t="s">
        <v>309</v>
      </c>
      <c r="D68" s="1024" t="s">
        <v>555</v>
      </c>
      <c r="E68" s="1112">
        <v>5</v>
      </c>
      <c r="F68" s="1112">
        <v>5</v>
      </c>
      <c r="G68" s="1112">
        <v>5</v>
      </c>
      <c r="H68" s="1112">
        <v>5</v>
      </c>
      <c r="I68" s="1112">
        <v>5</v>
      </c>
    </row>
    <row r="69" spans="2:9" ht="49" thickBot="1" x14ac:dyDescent="0.25">
      <c r="B69" s="1108" t="s">
        <v>1073</v>
      </c>
      <c r="C69" s="1109" t="s">
        <v>1074</v>
      </c>
      <c r="D69" s="1024" t="s">
        <v>555</v>
      </c>
      <c r="E69" s="1112">
        <v>15</v>
      </c>
      <c r="F69" s="1112">
        <v>15</v>
      </c>
      <c r="G69" s="1112">
        <v>15</v>
      </c>
      <c r="H69" s="1112">
        <v>15</v>
      </c>
      <c r="I69" s="1112">
        <v>15</v>
      </c>
    </row>
    <row r="70" spans="2:9" ht="33" thickBot="1" x14ac:dyDescent="0.25">
      <c r="B70" s="1066"/>
      <c r="C70" s="1109" t="s">
        <v>1075</v>
      </c>
      <c r="D70" s="1024" t="s">
        <v>555</v>
      </c>
      <c r="E70" s="1112">
        <v>15</v>
      </c>
      <c r="F70" s="1112">
        <v>15</v>
      </c>
      <c r="G70" s="1112">
        <v>15</v>
      </c>
      <c r="H70" s="1112">
        <v>15</v>
      </c>
      <c r="I70" s="1112">
        <v>15</v>
      </c>
    </row>
    <row r="71" spans="2:9" ht="17" thickBot="1" x14ac:dyDescent="0.25">
      <c r="B71" s="1108"/>
      <c r="C71" s="1140" t="s">
        <v>284</v>
      </c>
      <c r="D71" s="1104"/>
      <c r="E71" s="1141"/>
      <c r="F71" s="1141"/>
      <c r="G71" s="1142"/>
      <c r="H71" s="1143"/>
      <c r="I71" s="1141"/>
    </row>
    <row r="72" spans="2:9" ht="17" thickBot="1" x14ac:dyDescent="0.25">
      <c r="B72" s="1108"/>
      <c r="C72" s="1139" t="s">
        <v>285</v>
      </c>
      <c r="D72" s="1104" t="s">
        <v>544</v>
      </c>
      <c r="E72" s="1129">
        <v>19408</v>
      </c>
      <c r="F72" s="1129">
        <v>19505.8</v>
      </c>
      <c r="G72" s="1129">
        <v>53597.599999999999</v>
      </c>
      <c r="H72" s="1129">
        <v>5642.6</v>
      </c>
      <c r="I72" s="1129">
        <v>5642.6</v>
      </c>
    </row>
    <row r="73" spans="2:9" ht="17" thickBot="1" x14ac:dyDescent="0.25">
      <c r="B73" s="1108"/>
      <c r="C73" s="1139" t="s">
        <v>286</v>
      </c>
      <c r="D73" s="1104" t="s">
        <v>544</v>
      </c>
      <c r="E73" s="1129">
        <v>19408</v>
      </c>
      <c r="F73" s="1129">
        <v>19505.8</v>
      </c>
      <c r="G73" s="1130">
        <v>53597.599999999999</v>
      </c>
      <c r="H73" s="1132">
        <v>5642.6</v>
      </c>
      <c r="I73" s="1129">
        <v>5642.6</v>
      </c>
    </row>
    <row r="74" spans="2:9" ht="33" thickBot="1" x14ac:dyDescent="0.25">
      <c r="B74" s="1108"/>
      <c r="C74" s="1139" t="s">
        <v>957</v>
      </c>
      <c r="D74" s="1104" t="s">
        <v>544</v>
      </c>
      <c r="E74" s="1129">
        <v>11449.3</v>
      </c>
      <c r="F74" s="1129">
        <v>13845.3</v>
      </c>
      <c r="G74" s="1129">
        <v>1660.1</v>
      </c>
      <c r="H74" s="1129">
        <v>1555.1</v>
      </c>
      <c r="I74" s="1129">
        <v>1555.1</v>
      </c>
    </row>
    <row r="75" spans="2:9" ht="17" thickBot="1" x14ac:dyDescent="0.25">
      <c r="B75" s="1137"/>
      <c r="C75" s="1139" t="s">
        <v>287</v>
      </c>
      <c r="D75" s="1104" t="s">
        <v>544</v>
      </c>
      <c r="E75" s="1124">
        <v>0</v>
      </c>
      <c r="F75" s="1124">
        <v>0</v>
      </c>
      <c r="G75" s="1125">
        <v>0</v>
      </c>
      <c r="H75" s="1127">
        <v>0</v>
      </c>
      <c r="I75" s="1124">
        <v>0</v>
      </c>
    </row>
    <row r="76" spans="2:9" ht="17" thickBot="1" x14ac:dyDescent="0.25">
      <c r="B76" s="3282" t="s">
        <v>310</v>
      </c>
      <c r="C76" s="3283"/>
      <c r="D76" s="3283"/>
      <c r="E76" s="3283"/>
      <c r="F76" s="3283"/>
      <c r="G76" s="3283"/>
      <c r="H76" s="3283"/>
      <c r="I76" s="3285"/>
    </row>
    <row r="77" spans="2:9" ht="33" thickBot="1" x14ac:dyDescent="0.25">
      <c r="B77" s="3271" t="s">
        <v>289</v>
      </c>
      <c r="C77" s="1134" t="s">
        <v>311</v>
      </c>
      <c r="D77" s="1110" t="s">
        <v>3</v>
      </c>
      <c r="E77" s="1111">
        <v>15</v>
      </c>
      <c r="F77" s="1112">
        <v>20</v>
      </c>
      <c r="G77" s="1112">
        <v>25</v>
      </c>
      <c r="H77" s="1112">
        <v>30</v>
      </c>
      <c r="I77" s="1112">
        <v>40</v>
      </c>
    </row>
    <row r="78" spans="2:9" ht="17" thickBot="1" x14ac:dyDescent="0.25">
      <c r="B78" s="3272"/>
      <c r="C78" s="1134" t="s">
        <v>312</v>
      </c>
      <c r="D78" s="1024" t="s">
        <v>3</v>
      </c>
      <c r="E78" s="1112">
        <v>41.8</v>
      </c>
      <c r="F78" s="1112">
        <v>65</v>
      </c>
      <c r="G78" s="1112">
        <v>65</v>
      </c>
      <c r="H78" s="1112">
        <v>65</v>
      </c>
      <c r="I78" s="1112">
        <v>65</v>
      </c>
    </row>
    <row r="79" spans="2:9" ht="33" thickBot="1" x14ac:dyDescent="0.25">
      <c r="B79" s="1108" t="s">
        <v>1070</v>
      </c>
      <c r="C79" s="1134" t="s">
        <v>314</v>
      </c>
      <c r="D79" s="1024" t="s">
        <v>555</v>
      </c>
      <c r="E79" s="1112">
        <v>183</v>
      </c>
      <c r="F79" s="1112">
        <v>195</v>
      </c>
      <c r="G79" s="1112">
        <v>191</v>
      </c>
      <c r="H79" s="1112">
        <v>219</v>
      </c>
      <c r="I79" s="1112">
        <v>239</v>
      </c>
    </row>
    <row r="80" spans="2:9" ht="33" thickBot="1" x14ac:dyDescent="0.25">
      <c r="B80" s="1137" t="s">
        <v>1076</v>
      </c>
      <c r="C80" s="1134" t="s">
        <v>315</v>
      </c>
      <c r="D80" s="1024" t="s">
        <v>555</v>
      </c>
      <c r="E80" s="1112">
        <v>37</v>
      </c>
      <c r="F80" s="1112">
        <v>39</v>
      </c>
      <c r="G80" s="1112">
        <v>38</v>
      </c>
      <c r="H80" s="1112">
        <v>44</v>
      </c>
      <c r="I80" s="1112">
        <v>48</v>
      </c>
    </row>
    <row r="81" spans="2:9" ht="17" thickBot="1" x14ac:dyDescent="0.25">
      <c r="B81" s="1108"/>
      <c r="C81" s="1140" t="s">
        <v>284</v>
      </c>
      <c r="D81" s="1104"/>
      <c r="E81" s="1141"/>
      <c r="F81" s="1141"/>
      <c r="G81" s="1142"/>
      <c r="H81" s="1143"/>
      <c r="I81" s="1141"/>
    </row>
    <row r="82" spans="2:9" ht="17" thickBot="1" x14ac:dyDescent="0.25">
      <c r="B82" s="1108"/>
      <c r="C82" s="1139" t="s">
        <v>285</v>
      </c>
      <c r="D82" s="1104" t="s">
        <v>544</v>
      </c>
      <c r="E82" s="1129">
        <v>65362.03</v>
      </c>
      <c r="F82" s="1129">
        <v>73410.399999999994</v>
      </c>
      <c r="G82" s="1130">
        <v>86111.48</v>
      </c>
      <c r="H82" s="1132">
        <v>64717.83</v>
      </c>
      <c r="I82" s="1129">
        <v>64859.62</v>
      </c>
    </row>
    <row r="83" spans="2:9" ht="17" thickBot="1" x14ac:dyDescent="0.25">
      <c r="B83" s="1108"/>
      <c r="C83" s="1139" t="s">
        <v>286</v>
      </c>
      <c r="D83" s="1104" t="s">
        <v>544</v>
      </c>
      <c r="E83" s="1129">
        <v>64428.93</v>
      </c>
      <c r="F83" s="1129">
        <v>72238.600000000006</v>
      </c>
      <c r="G83" s="1130">
        <v>84822.5</v>
      </c>
      <c r="H83" s="1132">
        <v>63299.95</v>
      </c>
      <c r="I83" s="1129">
        <v>63299.95</v>
      </c>
    </row>
    <row r="84" spans="2:9" ht="33" thickBot="1" x14ac:dyDescent="0.25">
      <c r="B84" s="1108"/>
      <c r="C84" s="1139" t="s">
        <v>957</v>
      </c>
      <c r="D84" s="1104" t="s">
        <v>544</v>
      </c>
      <c r="E84" s="1129">
        <v>64428.93</v>
      </c>
      <c r="F84" s="1129">
        <v>72238.600000000006</v>
      </c>
      <c r="G84" s="1129">
        <v>84822.5</v>
      </c>
      <c r="H84" s="1129">
        <v>63299.95</v>
      </c>
      <c r="I84" s="1129">
        <v>63299.95</v>
      </c>
    </row>
    <row r="85" spans="2:9" ht="17" thickBot="1" x14ac:dyDescent="0.25">
      <c r="B85" s="1137"/>
      <c r="C85" s="1139" t="s">
        <v>287</v>
      </c>
      <c r="D85" s="1104" t="s">
        <v>544</v>
      </c>
      <c r="E85" s="1124">
        <v>933.1</v>
      </c>
      <c r="F85" s="1129">
        <v>1171.8</v>
      </c>
      <c r="G85" s="1129">
        <v>1288.98</v>
      </c>
      <c r="H85" s="1129">
        <v>1417.88</v>
      </c>
      <c r="I85" s="1129">
        <v>1559.67</v>
      </c>
    </row>
    <row r="86" spans="2:9" ht="17" thickBot="1" x14ac:dyDescent="0.25">
      <c r="B86" s="3282" t="s">
        <v>316</v>
      </c>
      <c r="C86" s="3283"/>
      <c r="D86" s="3283"/>
      <c r="E86" s="3283"/>
      <c r="F86" s="3283"/>
      <c r="G86" s="3283"/>
      <c r="H86" s="3283"/>
      <c r="I86" s="3285"/>
    </row>
    <row r="87" spans="2:9" ht="17" thickBot="1" x14ac:dyDescent="0.25">
      <c r="B87" s="3271" t="s">
        <v>289</v>
      </c>
      <c r="C87" s="1134" t="s">
        <v>317</v>
      </c>
      <c r="D87" s="1110" t="s">
        <v>3</v>
      </c>
      <c r="E87" s="1111">
        <v>10</v>
      </c>
      <c r="F87" s="1112">
        <v>12</v>
      </c>
      <c r="G87" s="1112">
        <v>12</v>
      </c>
      <c r="H87" s="1112">
        <v>12</v>
      </c>
      <c r="I87" s="1112">
        <v>13</v>
      </c>
    </row>
    <row r="88" spans="2:9" ht="33" thickBot="1" x14ac:dyDescent="0.25">
      <c r="B88" s="3286"/>
      <c r="C88" s="1134" t="s">
        <v>318</v>
      </c>
      <c r="D88" s="1110" t="s">
        <v>3</v>
      </c>
      <c r="E88" s="1111">
        <v>1.02</v>
      </c>
      <c r="F88" s="1112">
        <v>1.82</v>
      </c>
      <c r="G88" s="1112">
        <v>3.42</v>
      </c>
      <c r="H88" s="1112">
        <v>6.75</v>
      </c>
      <c r="I88" s="1112">
        <v>13.91</v>
      </c>
    </row>
    <row r="89" spans="2:9" ht="33" thickBot="1" x14ac:dyDescent="0.25">
      <c r="B89" s="3272"/>
      <c r="C89" s="1134" t="s">
        <v>319</v>
      </c>
      <c r="D89" s="1110" t="s">
        <v>3</v>
      </c>
      <c r="E89" s="1111">
        <v>70</v>
      </c>
      <c r="F89" s="1112">
        <v>70</v>
      </c>
      <c r="G89" s="1115">
        <v>70</v>
      </c>
      <c r="H89" s="1111">
        <v>70</v>
      </c>
      <c r="I89" s="1112">
        <v>71</v>
      </c>
    </row>
    <row r="90" spans="2:9" ht="33" thickBot="1" x14ac:dyDescent="0.25">
      <c r="B90" s="1108" t="s">
        <v>1070</v>
      </c>
      <c r="C90" s="1109" t="s">
        <v>320</v>
      </c>
      <c r="D90" s="1110" t="s">
        <v>321</v>
      </c>
      <c r="E90" s="1144">
        <v>1019.67</v>
      </c>
      <c r="F90" s="1145">
        <v>1075.3699999999999</v>
      </c>
      <c r="G90" s="1145">
        <v>1078.72</v>
      </c>
      <c r="H90" s="1145">
        <v>1086.79</v>
      </c>
      <c r="I90" s="1145">
        <v>1092.81</v>
      </c>
    </row>
    <row r="91" spans="2:9" ht="33" thickBot="1" x14ac:dyDescent="0.25">
      <c r="B91" s="1137" t="s">
        <v>1076</v>
      </c>
      <c r="C91" s="1109" t="s">
        <v>1077</v>
      </c>
      <c r="D91" s="1110" t="s">
        <v>322</v>
      </c>
      <c r="E91" s="1111">
        <v>39.479999999999997</v>
      </c>
      <c r="F91" s="1112">
        <v>40.880000000000003</v>
      </c>
      <c r="G91" s="1112">
        <v>41.7</v>
      </c>
      <c r="H91" s="1112">
        <v>42.54</v>
      </c>
      <c r="I91" s="1112">
        <v>42.54</v>
      </c>
    </row>
    <row r="92" spans="2:9" ht="17" thickBot="1" x14ac:dyDescent="0.25">
      <c r="B92" s="1108"/>
      <c r="C92" s="1140" t="s">
        <v>284</v>
      </c>
      <c r="D92" s="1104"/>
      <c r="E92" s="1141"/>
      <c r="F92" s="1141"/>
      <c r="G92" s="1142"/>
      <c r="H92" s="1143"/>
      <c r="I92" s="1141"/>
    </row>
    <row r="93" spans="2:9" ht="17" thickBot="1" x14ac:dyDescent="0.25">
      <c r="B93" s="1108"/>
      <c r="C93" s="1139" t="s">
        <v>285</v>
      </c>
      <c r="D93" s="1104" t="s">
        <v>544</v>
      </c>
      <c r="E93" s="1129">
        <v>38937.120000000003</v>
      </c>
      <c r="F93" s="1129">
        <v>41387.5</v>
      </c>
      <c r="G93" s="1130">
        <v>48154.19</v>
      </c>
      <c r="H93" s="1132">
        <v>40461.86</v>
      </c>
      <c r="I93" s="1129">
        <v>40524.199999999997</v>
      </c>
    </row>
    <row r="94" spans="2:9" ht="17" thickBot="1" x14ac:dyDescent="0.25">
      <c r="B94" s="1108"/>
      <c r="C94" s="1139" t="s">
        <v>286</v>
      </c>
      <c r="D94" s="1104" t="s">
        <v>544</v>
      </c>
      <c r="E94" s="1129">
        <v>38028.519999999997</v>
      </c>
      <c r="F94" s="1129">
        <v>40872.300000000003</v>
      </c>
      <c r="G94" s="1130">
        <v>47587.47</v>
      </c>
      <c r="H94" s="1132">
        <v>39838.47</v>
      </c>
      <c r="I94" s="1129">
        <v>39838.47</v>
      </c>
    </row>
    <row r="95" spans="2:9" ht="33" thickBot="1" x14ac:dyDescent="0.25">
      <c r="B95" s="1108"/>
      <c r="C95" s="1139" t="s">
        <v>957</v>
      </c>
      <c r="D95" s="1104" t="s">
        <v>544</v>
      </c>
      <c r="E95" s="1129">
        <v>38028.519999999997</v>
      </c>
      <c r="F95" s="1129">
        <v>40312.300000000003</v>
      </c>
      <c r="G95" s="1129">
        <v>47587.47</v>
      </c>
      <c r="H95" s="1129">
        <v>39838.47</v>
      </c>
      <c r="I95" s="1129">
        <v>39838.47</v>
      </c>
    </row>
    <row r="96" spans="2:9" ht="17" thickBot="1" x14ac:dyDescent="0.25">
      <c r="B96" s="1137"/>
      <c r="C96" s="1139" t="s">
        <v>287</v>
      </c>
      <c r="D96" s="1104" t="s">
        <v>544</v>
      </c>
      <c r="E96" s="1124">
        <v>908.6</v>
      </c>
      <c r="F96" s="1124">
        <v>515.20000000000005</v>
      </c>
      <c r="G96" s="1124">
        <v>566.72</v>
      </c>
      <c r="H96" s="1124">
        <v>623.39</v>
      </c>
      <c r="I96" s="1124">
        <v>685.73</v>
      </c>
    </row>
    <row r="97" spans="2:9" ht="17" thickBot="1" x14ac:dyDescent="0.25">
      <c r="B97" s="3300" t="s">
        <v>323</v>
      </c>
      <c r="C97" s="3301"/>
      <c r="D97" s="3301"/>
      <c r="E97" s="3301"/>
      <c r="F97" s="3301"/>
      <c r="G97" s="3301"/>
      <c r="H97" s="3301"/>
      <c r="I97" s="3302"/>
    </row>
    <row r="98" spans="2:9" ht="17" thickBot="1" x14ac:dyDescent="0.25">
      <c r="B98" s="3282" t="s">
        <v>324</v>
      </c>
      <c r="C98" s="3283"/>
      <c r="D98" s="3283"/>
      <c r="E98" s="3283"/>
      <c r="F98" s="3283"/>
      <c r="G98" s="3283"/>
      <c r="H98" s="3283"/>
      <c r="I98" s="3285"/>
    </row>
    <row r="99" spans="2:9" ht="65" thickBot="1" x14ac:dyDescent="0.25">
      <c r="B99" s="3271" t="s">
        <v>289</v>
      </c>
      <c r="C99" s="1109" t="s">
        <v>325</v>
      </c>
      <c r="D99" s="1110" t="s">
        <v>555</v>
      </c>
      <c r="E99" s="1111">
        <v>1</v>
      </c>
      <c r="F99" s="1112">
        <v>1</v>
      </c>
      <c r="G99" s="1115">
        <v>1</v>
      </c>
      <c r="H99" s="1111">
        <v>1</v>
      </c>
      <c r="I99" s="1112">
        <v>1</v>
      </c>
    </row>
    <row r="100" spans="2:9" ht="33" thickBot="1" x14ac:dyDescent="0.25">
      <c r="B100" s="3286"/>
      <c r="C100" s="1109" t="s">
        <v>326</v>
      </c>
      <c r="D100" s="1110" t="s">
        <v>3</v>
      </c>
      <c r="E100" s="1111">
        <v>48</v>
      </c>
      <c r="F100" s="1112">
        <v>48</v>
      </c>
      <c r="G100" s="1115">
        <v>45</v>
      </c>
      <c r="H100" s="1114">
        <v>45</v>
      </c>
      <c r="I100" s="1114">
        <v>45</v>
      </c>
    </row>
    <row r="101" spans="2:9" ht="49" thickBot="1" x14ac:dyDescent="0.25">
      <c r="B101" s="3286"/>
      <c r="C101" s="1134" t="s">
        <v>327</v>
      </c>
      <c r="D101" s="1110" t="s">
        <v>555</v>
      </c>
      <c r="E101" s="1111">
        <v>21</v>
      </c>
      <c r="F101" s="1112">
        <v>21</v>
      </c>
      <c r="G101" s="1112">
        <v>21</v>
      </c>
      <c r="H101" s="1112">
        <v>21</v>
      </c>
      <c r="I101" s="1112">
        <v>21</v>
      </c>
    </row>
    <row r="102" spans="2:9" ht="33" thickBot="1" x14ac:dyDescent="0.25">
      <c r="B102" s="3286"/>
      <c r="C102" s="1134" t="s">
        <v>836</v>
      </c>
      <c r="D102" s="1110" t="s">
        <v>3</v>
      </c>
      <c r="E102" s="1117">
        <v>87</v>
      </c>
      <c r="F102" s="1118">
        <v>87</v>
      </c>
      <c r="G102" s="1146">
        <v>87</v>
      </c>
      <c r="H102" s="1117">
        <v>90</v>
      </c>
      <c r="I102" s="1118">
        <v>90</v>
      </c>
    </row>
    <row r="103" spans="2:9" ht="49" thickBot="1" x14ac:dyDescent="0.25">
      <c r="B103" s="3286"/>
      <c r="C103" s="1134" t="s">
        <v>328</v>
      </c>
      <c r="D103" s="1110" t="s">
        <v>3</v>
      </c>
      <c r="E103" s="1147">
        <v>45</v>
      </c>
      <c r="F103" s="1148">
        <v>45</v>
      </c>
      <c r="G103" s="1148">
        <v>45</v>
      </c>
      <c r="H103" s="1148">
        <v>50</v>
      </c>
      <c r="I103" s="1148">
        <v>50</v>
      </c>
    </row>
    <row r="104" spans="2:9" ht="49" thickBot="1" x14ac:dyDescent="0.25">
      <c r="B104" s="3272"/>
      <c r="C104" s="1134" t="s">
        <v>329</v>
      </c>
      <c r="D104" s="1110" t="s">
        <v>555</v>
      </c>
      <c r="E104" s="1119">
        <v>28</v>
      </c>
      <c r="F104" s="1120">
        <v>28</v>
      </c>
      <c r="G104" s="1120">
        <v>28</v>
      </c>
      <c r="H104" s="1120">
        <v>29</v>
      </c>
      <c r="I104" s="1120">
        <v>29</v>
      </c>
    </row>
    <row r="105" spans="2:9" ht="33" thickBot="1" x14ac:dyDescent="0.25">
      <c r="B105" s="1108" t="s">
        <v>1070</v>
      </c>
      <c r="C105" s="1134" t="s">
        <v>330</v>
      </c>
      <c r="D105" s="1110" t="s">
        <v>331</v>
      </c>
      <c r="E105" s="1111">
        <v>430</v>
      </c>
      <c r="F105" s="1112">
        <v>450</v>
      </c>
      <c r="G105" s="1112">
        <v>500</v>
      </c>
      <c r="H105" s="1112">
        <v>500</v>
      </c>
      <c r="I105" s="1112">
        <v>500</v>
      </c>
    </row>
    <row r="106" spans="2:9" ht="49" thickBot="1" x14ac:dyDescent="0.25">
      <c r="B106" s="1108" t="s">
        <v>1076</v>
      </c>
      <c r="C106" s="1109" t="s">
        <v>332</v>
      </c>
      <c r="D106" s="1110" t="s">
        <v>555</v>
      </c>
      <c r="E106" s="1111">
        <v>95</v>
      </c>
      <c r="F106" s="1112">
        <v>92</v>
      </c>
      <c r="G106" s="1112">
        <v>93</v>
      </c>
      <c r="H106" s="1112">
        <v>93</v>
      </c>
      <c r="I106" s="1112">
        <v>93</v>
      </c>
    </row>
    <row r="107" spans="2:9" ht="17" thickBot="1" x14ac:dyDescent="0.25">
      <c r="B107" s="1089"/>
      <c r="C107" s="1134" t="s">
        <v>333</v>
      </c>
      <c r="D107" s="1110" t="s">
        <v>555</v>
      </c>
      <c r="E107" s="1111">
        <v>4</v>
      </c>
      <c r="F107" s="1112">
        <v>4</v>
      </c>
      <c r="G107" s="1112">
        <v>4</v>
      </c>
      <c r="H107" s="1112">
        <v>4</v>
      </c>
      <c r="I107" s="1112">
        <v>4</v>
      </c>
    </row>
    <row r="108" spans="2:9" ht="17" thickBot="1" x14ac:dyDescent="0.25">
      <c r="B108" s="1089"/>
      <c r="C108" s="1134" t="s">
        <v>334</v>
      </c>
      <c r="D108" s="1110" t="s">
        <v>555</v>
      </c>
      <c r="E108" s="1111">
        <v>91</v>
      </c>
      <c r="F108" s="1112">
        <v>88</v>
      </c>
      <c r="G108" s="1112">
        <v>89</v>
      </c>
      <c r="H108" s="1112">
        <v>89</v>
      </c>
      <c r="I108" s="1112">
        <v>89</v>
      </c>
    </row>
    <row r="109" spans="2:9" ht="33" thickBot="1" x14ac:dyDescent="0.25">
      <c r="B109" s="1089"/>
      <c r="C109" s="1134" t="s">
        <v>559</v>
      </c>
      <c r="D109" s="1110" t="s">
        <v>555</v>
      </c>
      <c r="E109" s="1111">
        <v>12</v>
      </c>
      <c r="F109" s="1112">
        <v>12</v>
      </c>
      <c r="G109" s="1112">
        <v>12</v>
      </c>
      <c r="H109" s="1112">
        <v>12</v>
      </c>
      <c r="I109" s="1112">
        <v>12</v>
      </c>
    </row>
    <row r="110" spans="2:9" ht="65" thickBot="1" x14ac:dyDescent="0.25">
      <c r="B110" s="1066"/>
      <c r="C110" s="1109" t="s">
        <v>553</v>
      </c>
      <c r="D110" s="1110" t="s">
        <v>555</v>
      </c>
      <c r="E110" s="1111">
        <v>33</v>
      </c>
      <c r="F110" s="1112">
        <v>35</v>
      </c>
      <c r="G110" s="1112">
        <v>35</v>
      </c>
      <c r="H110" s="1112">
        <v>35</v>
      </c>
      <c r="I110" s="1112">
        <v>40</v>
      </c>
    </row>
    <row r="111" spans="2:9" ht="17" thickBot="1" x14ac:dyDescent="0.25">
      <c r="B111" s="1108"/>
      <c r="C111" s="1140" t="s">
        <v>284</v>
      </c>
      <c r="D111" s="1104"/>
      <c r="E111" s="1141"/>
      <c r="F111" s="1141"/>
      <c r="G111" s="1142"/>
      <c r="H111" s="1143"/>
      <c r="I111" s="1141"/>
    </row>
    <row r="112" spans="2:9" ht="17" thickBot="1" x14ac:dyDescent="0.25">
      <c r="B112" s="1108"/>
      <c r="C112" s="1139" t="s">
        <v>285</v>
      </c>
      <c r="D112" s="1104" t="s">
        <v>544</v>
      </c>
      <c r="E112" s="1129">
        <v>69333.31</v>
      </c>
      <c r="F112" s="1129">
        <v>112233.21</v>
      </c>
      <c r="G112" s="1129">
        <v>126843.33</v>
      </c>
      <c r="H112" s="1129">
        <v>116381.35</v>
      </c>
      <c r="I112" s="1129">
        <v>154289.84</v>
      </c>
    </row>
    <row r="113" spans="2:9" ht="17" thickBot="1" x14ac:dyDescent="0.25">
      <c r="B113" s="1108"/>
      <c r="C113" s="1139" t="s">
        <v>286</v>
      </c>
      <c r="D113" s="1104" t="s">
        <v>544</v>
      </c>
      <c r="E113" s="1129">
        <v>67506.66</v>
      </c>
      <c r="F113" s="1129">
        <v>111133.21</v>
      </c>
      <c r="G113" s="1130">
        <v>125743.33</v>
      </c>
      <c r="H113" s="1132">
        <v>115281.35</v>
      </c>
      <c r="I113" s="1129">
        <v>153189.84</v>
      </c>
    </row>
    <row r="114" spans="2:9" ht="33" thickBot="1" x14ac:dyDescent="0.25">
      <c r="B114" s="1108"/>
      <c r="C114" s="1139" t="s">
        <v>957</v>
      </c>
      <c r="D114" s="1104" t="s">
        <v>544</v>
      </c>
      <c r="E114" s="1129">
        <v>67470.149999999994</v>
      </c>
      <c r="F114" s="1129">
        <v>110953.21</v>
      </c>
      <c r="G114" s="1129">
        <v>123343.33</v>
      </c>
      <c r="H114" s="1129">
        <v>115281.35</v>
      </c>
      <c r="I114" s="1129">
        <v>153189.84</v>
      </c>
    </row>
    <row r="115" spans="2:9" ht="17" thickBot="1" x14ac:dyDescent="0.25">
      <c r="B115" s="1137"/>
      <c r="C115" s="1149" t="s">
        <v>287</v>
      </c>
      <c r="D115" s="1104" t="s">
        <v>544</v>
      </c>
      <c r="E115" s="1129">
        <v>1826.65</v>
      </c>
      <c r="F115" s="1129">
        <v>1100</v>
      </c>
      <c r="G115" s="1129">
        <v>1100</v>
      </c>
      <c r="H115" s="1129">
        <v>1100</v>
      </c>
      <c r="I115" s="1129">
        <v>1100</v>
      </c>
    </row>
    <row r="116" spans="2:9" ht="17" thickBot="1" x14ac:dyDescent="0.25">
      <c r="B116" s="3296" t="s">
        <v>335</v>
      </c>
      <c r="C116" s="3297"/>
      <c r="D116" s="3297"/>
      <c r="E116" s="3297"/>
      <c r="F116" s="3297"/>
      <c r="G116" s="3297"/>
      <c r="H116" s="3297"/>
      <c r="I116" s="3298"/>
    </row>
    <row r="117" spans="2:9" ht="33" thickBot="1" x14ac:dyDescent="0.25">
      <c r="B117" s="3271" t="s">
        <v>289</v>
      </c>
      <c r="C117" s="1109" t="s">
        <v>336</v>
      </c>
      <c r="D117" s="1110" t="s">
        <v>3</v>
      </c>
      <c r="E117" s="1117">
        <v>98</v>
      </c>
      <c r="F117" s="1118">
        <v>98</v>
      </c>
      <c r="G117" s="1118">
        <v>98</v>
      </c>
      <c r="H117" s="1118">
        <v>98</v>
      </c>
      <c r="I117" s="1118">
        <v>98</v>
      </c>
    </row>
    <row r="118" spans="2:9" ht="65" thickBot="1" x14ac:dyDescent="0.25">
      <c r="B118" s="3272"/>
      <c r="C118" s="1109" t="s">
        <v>337</v>
      </c>
      <c r="D118" s="1110" t="s">
        <v>3</v>
      </c>
      <c r="E118" s="1119">
        <v>12</v>
      </c>
      <c r="F118" s="1120">
        <v>12</v>
      </c>
      <c r="G118" s="1120">
        <v>12</v>
      </c>
      <c r="H118" s="1120">
        <v>13</v>
      </c>
      <c r="I118" s="1120">
        <v>13</v>
      </c>
    </row>
    <row r="119" spans="2:9" ht="49" thickBot="1" x14ac:dyDescent="0.25">
      <c r="B119" s="1108" t="s">
        <v>1070</v>
      </c>
      <c r="C119" s="1109" t="s">
        <v>338</v>
      </c>
      <c r="D119" s="1024" t="s">
        <v>339</v>
      </c>
      <c r="E119" s="1136">
        <v>612</v>
      </c>
      <c r="F119" s="1136">
        <v>637</v>
      </c>
      <c r="G119" s="1136">
        <v>672</v>
      </c>
      <c r="H119" s="1136">
        <v>693</v>
      </c>
      <c r="I119" s="1136">
        <v>719</v>
      </c>
    </row>
    <row r="120" spans="2:9" ht="33" thickBot="1" x14ac:dyDescent="0.25">
      <c r="B120" s="1137" t="s">
        <v>1076</v>
      </c>
      <c r="C120" s="1109" t="s">
        <v>340</v>
      </c>
      <c r="D120" s="1024" t="s">
        <v>339</v>
      </c>
      <c r="E120" s="1150">
        <v>1223</v>
      </c>
      <c r="F120" s="1150">
        <v>1208</v>
      </c>
      <c r="G120" s="1150">
        <v>1231</v>
      </c>
      <c r="H120" s="1150">
        <v>1251</v>
      </c>
      <c r="I120" s="1150">
        <v>1271</v>
      </c>
    </row>
    <row r="121" spans="2:9" ht="17" thickBot="1" x14ac:dyDescent="0.25">
      <c r="B121" s="1108"/>
      <c r="C121" s="1140" t="s">
        <v>284</v>
      </c>
      <c r="D121" s="1104"/>
      <c r="E121" s="1141"/>
      <c r="F121" s="1141"/>
      <c r="G121" s="1142"/>
      <c r="H121" s="1143"/>
      <c r="I121" s="1141"/>
    </row>
    <row r="122" spans="2:9" ht="17" thickBot="1" x14ac:dyDescent="0.25">
      <c r="B122" s="1108"/>
      <c r="C122" s="1139" t="s">
        <v>285</v>
      </c>
      <c r="D122" s="1104" t="s">
        <v>544</v>
      </c>
      <c r="E122" s="1129">
        <v>28249.439999999999</v>
      </c>
      <c r="F122" s="1129">
        <v>46757.29</v>
      </c>
      <c r="G122" s="1129">
        <v>50031.87</v>
      </c>
      <c r="H122" s="1129">
        <v>48411.15</v>
      </c>
      <c r="I122" s="1129">
        <v>63809.16</v>
      </c>
    </row>
    <row r="123" spans="2:9" ht="17" thickBot="1" x14ac:dyDescent="0.25">
      <c r="B123" s="1108"/>
      <c r="C123" s="1139" t="s">
        <v>286</v>
      </c>
      <c r="D123" s="1104" t="s">
        <v>544</v>
      </c>
      <c r="E123" s="1129">
        <v>28249.439999999999</v>
      </c>
      <c r="F123" s="1129">
        <v>46757.29</v>
      </c>
      <c r="G123" s="1130">
        <v>50031.87</v>
      </c>
      <c r="H123" s="1132">
        <v>48411.15</v>
      </c>
      <c r="I123" s="1129">
        <v>63809.16</v>
      </c>
    </row>
    <row r="124" spans="2:9" ht="33" thickBot="1" x14ac:dyDescent="0.25">
      <c r="B124" s="1108"/>
      <c r="C124" s="1139" t="s">
        <v>957</v>
      </c>
      <c r="D124" s="1104" t="s">
        <v>544</v>
      </c>
      <c r="E124" s="1129">
        <v>27493.439999999999</v>
      </c>
      <c r="F124" s="1129">
        <v>45937.29</v>
      </c>
      <c r="G124" s="1130">
        <v>50031.87</v>
      </c>
      <c r="H124" s="1132">
        <v>48411.15</v>
      </c>
      <c r="I124" s="1129">
        <v>63809.16</v>
      </c>
    </row>
    <row r="125" spans="2:9" ht="17" thickBot="1" x14ac:dyDescent="0.25">
      <c r="B125" s="1137"/>
      <c r="C125" s="1149" t="s">
        <v>287</v>
      </c>
      <c r="D125" s="1104" t="s">
        <v>544</v>
      </c>
      <c r="E125" s="1124">
        <v>0</v>
      </c>
      <c r="F125" s="1124">
        <v>0</v>
      </c>
      <c r="G125" s="1125">
        <v>0</v>
      </c>
      <c r="H125" s="1127">
        <v>0</v>
      </c>
      <c r="I125" s="1124">
        <v>0</v>
      </c>
    </row>
    <row r="126" spans="2:9" ht="17" thickBot="1" x14ac:dyDescent="0.25">
      <c r="B126" s="3296" t="s">
        <v>341</v>
      </c>
      <c r="C126" s="3297"/>
      <c r="D126" s="3297"/>
      <c r="E126" s="3297"/>
      <c r="F126" s="3297"/>
      <c r="G126" s="3297"/>
      <c r="H126" s="3297"/>
      <c r="I126" s="3298"/>
    </row>
    <row r="127" spans="2:9" ht="17" thickBot="1" x14ac:dyDescent="0.25">
      <c r="B127" s="3271" t="s">
        <v>289</v>
      </c>
      <c r="C127" s="1134" t="s">
        <v>342</v>
      </c>
      <c r="D127" s="1110" t="s">
        <v>555</v>
      </c>
      <c r="E127" s="1117">
        <v>3</v>
      </c>
      <c r="F127" s="1118">
        <v>3</v>
      </c>
      <c r="G127" s="1118">
        <v>3</v>
      </c>
      <c r="H127" s="1118">
        <v>3</v>
      </c>
      <c r="I127" s="1118">
        <v>3</v>
      </c>
    </row>
    <row r="128" spans="2:9" ht="33" thickBot="1" x14ac:dyDescent="0.25">
      <c r="B128" s="3286"/>
      <c r="C128" s="1134" t="s">
        <v>343</v>
      </c>
      <c r="D128" s="1110" t="s">
        <v>555</v>
      </c>
      <c r="E128" s="1147">
        <v>22</v>
      </c>
      <c r="F128" s="1148">
        <v>23</v>
      </c>
      <c r="G128" s="1148">
        <v>23</v>
      </c>
      <c r="H128" s="1148">
        <v>23</v>
      </c>
      <c r="I128" s="1148">
        <v>23</v>
      </c>
    </row>
    <row r="129" spans="2:9" ht="33" thickBot="1" x14ac:dyDescent="0.25">
      <c r="B129" s="3272"/>
      <c r="C129" s="1134" t="s">
        <v>344</v>
      </c>
      <c r="D129" s="1110" t="s">
        <v>339</v>
      </c>
      <c r="E129" s="1119">
        <v>30</v>
      </c>
      <c r="F129" s="1120">
        <v>31</v>
      </c>
      <c r="G129" s="1120">
        <v>31</v>
      </c>
      <c r="H129" s="1120">
        <v>31</v>
      </c>
      <c r="I129" s="1120">
        <v>31</v>
      </c>
    </row>
    <row r="130" spans="2:9" ht="33" thickBot="1" x14ac:dyDescent="0.25">
      <c r="B130" s="1108" t="s">
        <v>1070</v>
      </c>
      <c r="C130" s="1134" t="s">
        <v>345</v>
      </c>
      <c r="D130" s="1024" t="s">
        <v>555</v>
      </c>
      <c r="E130" s="1112">
        <v>60</v>
      </c>
      <c r="F130" s="1112">
        <v>62</v>
      </c>
      <c r="G130" s="1112">
        <v>63</v>
      </c>
      <c r="H130" s="1112">
        <v>63</v>
      </c>
      <c r="I130" s="1112">
        <v>65</v>
      </c>
    </row>
    <row r="131" spans="2:9" ht="33" thickBot="1" x14ac:dyDescent="0.25">
      <c r="B131" s="1108" t="s">
        <v>1076</v>
      </c>
      <c r="C131" s="1134" t="s">
        <v>346</v>
      </c>
      <c r="D131" s="1024" t="s">
        <v>555</v>
      </c>
      <c r="E131" s="1112">
        <v>15</v>
      </c>
      <c r="F131" s="1112">
        <v>15</v>
      </c>
      <c r="G131" s="1112">
        <v>16</v>
      </c>
      <c r="H131" s="1112">
        <v>16</v>
      </c>
      <c r="I131" s="1112">
        <v>15</v>
      </c>
    </row>
    <row r="132" spans="2:9" ht="17" thickBot="1" x14ac:dyDescent="0.25">
      <c r="B132" s="1089"/>
      <c r="C132" s="1134" t="s">
        <v>347</v>
      </c>
      <c r="D132" s="1024" t="s">
        <v>348</v>
      </c>
      <c r="E132" s="1112">
        <v>32</v>
      </c>
      <c r="F132" s="1112">
        <v>32</v>
      </c>
      <c r="G132" s="1112">
        <v>33</v>
      </c>
      <c r="H132" s="1112">
        <v>33</v>
      </c>
      <c r="I132" s="1112">
        <v>35</v>
      </c>
    </row>
    <row r="133" spans="2:9" ht="33" thickBot="1" x14ac:dyDescent="0.25">
      <c r="B133" s="1089"/>
      <c r="C133" s="1134" t="s">
        <v>349</v>
      </c>
      <c r="D133" s="1024" t="s">
        <v>348</v>
      </c>
      <c r="E133" s="1112">
        <v>24</v>
      </c>
      <c r="F133" s="1112">
        <v>24</v>
      </c>
      <c r="G133" s="1112">
        <v>25</v>
      </c>
      <c r="H133" s="1112">
        <v>25</v>
      </c>
      <c r="I133" s="1112">
        <v>27</v>
      </c>
    </row>
    <row r="134" spans="2:9" ht="33" thickBot="1" x14ac:dyDescent="0.25">
      <c r="B134" s="1066"/>
      <c r="C134" s="1134" t="s">
        <v>350</v>
      </c>
      <c r="D134" s="1024" t="s">
        <v>348</v>
      </c>
      <c r="E134" s="1112">
        <v>8</v>
      </c>
      <c r="F134" s="1112">
        <v>8</v>
      </c>
      <c r="G134" s="1112">
        <v>8</v>
      </c>
      <c r="H134" s="1112">
        <v>8</v>
      </c>
      <c r="I134" s="1112">
        <v>8</v>
      </c>
    </row>
    <row r="135" spans="2:9" ht="17" thickBot="1" x14ac:dyDescent="0.25">
      <c r="B135" s="1108"/>
      <c r="C135" s="1140" t="s">
        <v>284</v>
      </c>
      <c r="D135" s="1104"/>
      <c r="E135" s="1141"/>
      <c r="F135" s="1141"/>
      <c r="G135" s="1142"/>
      <c r="H135" s="1143"/>
      <c r="I135" s="1141"/>
    </row>
    <row r="136" spans="2:9" ht="17" thickBot="1" x14ac:dyDescent="0.25">
      <c r="B136" s="1108"/>
      <c r="C136" s="1139" t="s">
        <v>285</v>
      </c>
      <c r="D136" s="1104" t="s">
        <v>544</v>
      </c>
      <c r="E136" s="1129">
        <v>23001.71</v>
      </c>
      <c r="F136" s="1129">
        <v>37491.089999999997</v>
      </c>
      <c r="G136" s="1130">
        <v>41517.339999999997</v>
      </c>
      <c r="H136" s="1132">
        <v>35876.14</v>
      </c>
      <c r="I136" s="1129">
        <v>34876.14</v>
      </c>
    </row>
    <row r="137" spans="2:9" ht="17" thickBot="1" x14ac:dyDescent="0.25">
      <c r="B137" s="1108"/>
      <c r="C137" s="1139" t="s">
        <v>286</v>
      </c>
      <c r="D137" s="1104" t="s">
        <v>544</v>
      </c>
      <c r="E137" s="1129">
        <v>23001.71</v>
      </c>
      <c r="F137" s="1129">
        <v>37491.089999999997</v>
      </c>
      <c r="G137" s="1130">
        <v>41517.339999999997</v>
      </c>
      <c r="H137" s="1132">
        <v>35876.14</v>
      </c>
      <c r="I137" s="1129">
        <v>34876.14</v>
      </c>
    </row>
    <row r="138" spans="2:9" ht="33" thickBot="1" x14ac:dyDescent="0.25">
      <c r="B138" s="1108"/>
      <c r="C138" s="1139" t="s">
        <v>957</v>
      </c>
      <c r="D138" s="1104" t="s">
        <v>544</v>
      </c>
      <c r="E138" s="1129">
        <v>7347.77</v>
      </c>
      <c r="F138" s="1129">
        <v>12554.37</v>
      </c>
      <c r="G138" s="1130">
        <v>10410.94</v>
      </c>
      <c r="H138" s="1132">
        <v>9352.14</v>
      </c>
      <c r="I138" s="1129">
        <v>8352.14</v>
      </c>
    </row>
    <row r="139" spans="2:9" ht="17" thickBot="1" x14ac:dyDescent="0.25">
      <c r="B139" s="1137"/>
      <c r="C139" s="1139" t="s">
        <v>287</v>
      </c>
      <c r="D139" s="1104" t="s">
        <v>544</v>
      </c>
      <c r="E139" s="1124">
        <v>0</v>
      </c>
      <c r="F139" s="1124">
        <v>0</v>
      </c>
      <c r="G139" s="1124">
        <v>0</v>
      </c>
      <c r="H139" s="1124">
        <v>0</v>
      </c>
      <c r="I139" s="1124">
        <v>0</v>
      </c>
    </row>
    <row r="140" spans="2:9" ht="17" thickBot="1" x14ac:dyDescent="0.25">
      <c r="B140" s="3299" t="s">
        <v>575</v>
      </c>
      <c r="C140" s="3299"/>
      <c r="D140" s="1069"/>
      <c r="E140" s="1069"/>
      <c r="F140" s="1069"/>
      <c r="G140" s="1069"/>
      <c r="H140" s="1069"/>
      <c r="I140" s="1069"/>
    </row>
    <row r="141" spans="2:9" ht="17" thickBot="1" x14ac:dyDescent="0.25">
      <c r="B141" s="3294" t="s">
        <v>285</v>
      </c>
      <c r="C141" s="3295"/>
      <c r="D141" s="1151" t="s">
        <v>544</v>
      </c>
      <c r="E141" s="1152">
        <v>861541.41</v>
      </c>
      <c r="F141" s="1152">
        <v>1081863.46</v>
      </c>
      <c r="G141" s="1152">
        <v>1251668</v>
      </c>
      <c r="H141" s="1152">
        <v>942151.97</v>
      </c>
      <c r="I141" s="1152">
        <v>993923.55</v>
      </c>
    </row>
    <row r="142" spans="2:9" ht="17" thickBot="1" x14ac:dyDescent="0.25">
      <c r="B142" s="3294" t="s">
        <v>286</v>
      </c>
      <c r="C142" s="3295"/>
      <c r="D142" s="1104" t="s">
        <v>544</v>
      </c>
      <c r="E142" s="1153">
        <v>821977.86</v>
      </c>
      <c r="F142" s="1153">
        <v>1052126.46</v>
      </c>
      <c r="G142" s="1153">
        <v>1219067.3</v>
      </c>
      <c r="H142" s="1153">
        <v>906401.2</v>
      </c>
      <c r="I142" s="1153">
        <v>954707.7</v>
      </c>
    </row>
    <row r="143" spans="2:9" ht="17" thickBot="1" x14ac:dyDescent="0.25">
      <c r="B143" s="3294" t="s">
        <v>956</v>
      </c>
      <c r="C143" s="3295"/>
      <c r="D143" s="1104" t="s">
        <v>544</v>
      </c>
      <c r="E143" s="1153">
        <v>741759.67</v>
      </c>
      <c r="F143" s="1153">
        <v>917628.2</v>
      </c>
      <c r="G143" s="1153">
        <v>956952.7</v>
      </c>
      <c r="H143" s="1153">
        <v>875789.7</v>
      </c>
      <c r="I143" s="1153">
        <v>924096.2</v>
      </c>
    </row>
    <row r="144" spans="2:9" ht="17" thickBot="1" x14ac:dyDescent="0.25">
      <c r="B144" s="3294" t="s">
        <v>287</v>
      </c>
      <c r="C144" s="3295"/>
      <c r="D144" s="1104" t="s">
        <v>544</v>
      </c>
      <c r="E144" s="1153">
        <v>39563.550000000003</v>
      </c>
      <c r="F144" s="1153">
        <v>29737</v>
      </c>
      <c r="G144" s="1153">
        <v>32600.7</v>
      </c>
      <c r="H144" s="1153">
        <v>35750.769999999997</v>
      </c>
      <c r="I144" s="1153">
        <v>39215.85</v>
      </c>
    </row>
    <row r="145" spans="2:9" ht="14" x14ac:dyDescent="0.2">
      <c r="B145" s="1069"/>
      <c r="C145" s="1069"/>
      <c r="D145" s="1069"/>
      <c r="E145" s="1069"/>
      <c r="F145" s="1069"/>
      <c r="G145" s="1069"/>
      <c r="H145" s="1069"/>
      <c r="I145" s="1069"/>
    </row>
  </sheetData>
  <mergeCells count="42">
    <mergeCell ref="B141:C141"/>
    <mergeCell ref="B142:C142"/>
    <mergeCell ref="B143:C143"/>
    <mergeCell ref="B144:C144"/>
    <mergeCell ref="D4:I4"/>
    <mergeCell ref="B99:B104"/>
    <mergeCell ref="B116:I116"/>
    <mergeCell ref="B117:B118"/>
    <mergeCell ref="B126:I126"/>
    <mergeCell ref="B127:B129"/>
    <mergeCell ref="B140:C140"/>
    <mergeCell ref="B76:I76"/>
    <mergeCell ref="B77:B78"/>
    <mergeCell ref="B86:I86"/>
    <mergeCell ref="B87:B89"/>
    <mergeCell ref="B97:I97"/>
    <mergeCell ref="B98:I98"/>
    <mergeCell ref="B42:I42"/>
    <mergeCell ref="B43:H43"/>
    <mergeCell ref="B44:B45"/>
    <mergeCell ref="B56:I56"/>
    <mergeCell ref="B57:B67"/>
    <mergeCell ref="C58:C59"/>
    <mergeCell ref="C60:C61"/>
    <mergeCell ref="C62:C63"/>
    <mergeCell ref="C64:C65"/>
    <mergeCell ref="C66:C67"/>
    <mergeCell ref="B10:I10"/>
    <mergeCell ref="B11:I11"/>
    <mergeCell ref="B12:B13"/>
    <mergeCell ref="B24:I24"/>
    <mergeCell ref="B25:B34"/>
    <mergeCell ref="H2:I2"/>
    <mergeCell ref="E5:I5"/>
    <mergeCell ref="C6:G6"/>
    <mergeCell ref="C7:I7"/>
    <mergeCell ref="B8:B9"/>
    <mergeCell ref="C8:C9"/>
    <mergeCell ref="E8:E9"/>
    <mergeCell ref="F8:F9"/>
    <mergeCell ref="G8:I8"/>
    <mergeCell ref="D3:I3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4"/>
  <sheetViews>
    <sheetView topLeftCell="A97" workbookViewId="0">
      <selection activeCell="C146" sqref="C146"/>
    </sheetView>
  </sheetViews>
  <sheetFormatPr baseColWidth="10" defaultColWidth="8.83203125" defaultRowHeight="13" x14ac:dyDescent="0.15"/>
  <cols>
    <col min="2" max="2" width="17.83203125" customWidth="1"/>
    <col min="3" max="3" width="43.5" customWidth="1"/>
    <col min="4" max="4" width="13.5" customWidth="1"/>
    <col min="5" max="5" width="12.5" customWidth="1"/>
    <col min="6" max="6" width="14.1640625" customWidth="1"/>
    <col min="7" max="7" width="15" customWidth="1"/>
    <col min="8" max="9" width="12.5" customWidth="1"/>
  </cols>
  <sheetData>
    <row r="2" spans="2:9" ht="16" x14ac:dyDescent="0.2">
      <c r="B2" s="1069"/>
      <c r="C2" s="1069"/>
      <c r="D2" s="1069"/>
      <c r="E2" s="1069"/>
      <c r="F2" s="1069"/>
      <c r="G2" s="1069"/>
      <c r="H2" s="3268" t="s">
        <v>270</v>
      </c>
      <c r="I2" s="3268"/>
    </row>
    <row r="3" spans="2:9" ht="16" x14ac:dyDescent="0.2">
      <c r="B3" s="1069"/>
      <c r="C3" s="1069"/>
      <c r="D3" s="2799" t="s">
        <v>628</v>
      </c>
      <c r="E3" s="2799"/>
      <c r="F3" s="2799"/>
      <c r="G3" s="2799"/>
      <c r="H3" s="2799"/>
      <c r="I3" s="2799"/>
    </row>
    <row r="4" spans="2:9" ht="16" x14ac:dyDescent="0.2">
      <c r="B4" s="1069"/>
      <c r="C4" s="1069"/>
      <c r="D4" s="2799" t="s">
        <v>976</v>
      </c>
      <c r="E4" s="2799"/>
      <c r="F4" s="2799"/>
      <c r="G4" s="2799"/>
      <c r="H4" s="2799"/>
      <c r="I4" s="2799"/>
    </row>
    <row r="5" spans="2:9" ht="14" x14ac:dyDescent="0.2">
      <c r="B5" s="1069"/>
      <c r="C5" s="1069"/>
      <c r="D5" s="1069"/>
      <c r="E5" s="3269"/>
      <c r="F5" s="3269"/>
      <c r="G5" s="3269"/>
      <c r="H5" s="3269"/>
      <c r="I5" s="3269"/>
    </row>
    <row r="6" spans="2:9" ht="16" x14ac:dyDescent="0.2">
      <c r="B6" s="1069"/>
      <c r="C6" s="2799" t="s">
        <v>271</v>
      </c>
      <c r="D6" s="2799"/>
      <c r="E6" s="2799"/>
      <c r="F6" s="2799"/>
      <c r="G6" s="2799"/>
      <c r="H6" s="1069"/>
      <c r="I6" s="1069"/>
    </row>
    <row r="7" spans="2:9" ht="17" thickBot="1" x14ac:dyDescent="0.25">
      <c r="B7" s="1069"/>
      <c r="C7" s="3270" t="s">
        <v>265</v>
      </c>
      <c r="D7" s="3270"/>
      <c r="E7" s="3270"/>
      <c r="F7" s="3270"/>
      <c r="G7" s="3270"/>
      <c r="H7" s="3270"/>
      <c r="I7" s="3270"/>
    </row>
    <row r="8" spans="2:9" ht="17" thickBot="1" x14ac:dyDescent="0.25">
      <c r="B8" s="3271"/>
      <c r="C8" s="3273" t="s">
        <v>868</v>
      </c>
      <c r="D8" s="1154" t="s">
        <v>1068</v>
      </c>
      <c r="E8" s="3273">
        <v>2012</v>
      </c>
      <c r="F8" s="3273">
        <v>2013</v>
      </c>
      <c r="G8" s="3276" t="s">
        <v>272</v>
      </c>
      <c r="H8" s="3277"/>
      <c r="I8" s="3278"/>
    </row>
    <row r="9" spans="2:9" ht="17" thickBot="1" x14ac:dyDescent="0.25">
      <c r="B9" s="3293"/>
      <c r="C9" s="3275"/>
      <c r="D9" s="1104" t="s">
        <v>1069</v>
      </c>
      <c r="E9" s="3275"/>
      <c r="F9" s="3275"/>
      <c r="G9" s="1105">
        <v>2014</v>
      </c>
      <c r="H9" s="1106">
        <v>2015</v>
      </c>
      <c r="I9" s="1107">
        <v>2016</v>
      </c>
    </row>
    <row r="10" spans="2:9" ht="17" thickBot="1" x14ac:dyDescent="0.25">
      <c r="B10" s="3279" t="s">
        <v>273</v>
      </c>
      <c r="C10" s="3280"/>
      <c r="D10" s="3280"/>
      <c r="E10" s="3280"/>
      <c r="F10" s="3280"/>
      <c r="G10" s="3280"/>
      <c r="H10" s="3280"/>
      <c r="I10" s="3281"/>
    </row>
    <row r="11" spans="2:9" ht="17" thickBot="1" x14ac:dyDescent="0.25">
      <c r="B11" s="3282" t="s">
        <v>274</v>
      </c>
      <c r="C11" s="3283"/>
      <c r="D11" s="3283"/>
      <c r="E11" s="3283"/>
      <c r="F11" s="3283"/>
      <c r="G11" s="3283"/>
      <c r="H11" s="3283"/>
      <c r="I11" s="3284"/>
    </row>
    <row r="12" spans="2:9" ht="49" thickBot="1" x14ac:dyDescent="0.25">
      <c r="B12" s="3271" t="s">
        <v>1078</v>
      </c>
      <c r="C12" s="1109" t="s">
        <v>275</v>
      </c>
      <c r="D12" s="1110" t="s">
        <v>3</v>
      </c>
      <c r="E12" s="1111">
        <v>70</v>
      </c>
      <c r="F12" s="1112">
        <v>70</v>
      </c>
      <c r="G12" s="1112">
        <v>70</v>
      </c>
      <c r="H12" s="1112">
        <v>65</v>
      </c>
      <c r="I12" s="1112">
        <v>65</v>
      </c>
    </row>
    <row r="13" spans="2:9" ht="65" thickBot="1" x14ac:dyDescent="0.25">
      <c r="B13" s="3293"/>
      <c r="C13" s="1113" t="s">
        <v>276</v>
      </c>
      <c r="D13" s="1110" t="s">
        <v>3</v>
      </c>
      <c r="E13" s="1114">
        <v>24</v>
      </c>
      <c r="F13" s="1111">
        <v>24</v>
      </c>
      <c r="G13" s="1115">
        <v>24</v>
      </c>
      <c r="H13" s="1111">
        <v>24</v>
      </c>
      <c r="I13" s="1112">
        <v>24</v>
      </c>
    </row>
    <row r="14" spans="2:9" ht="33" thickBot="1" x14ac:dyDescent="0.25">
      <c r="B14" s="1108" t="s">
        <v>1070</v>
      </c>
      <c r="C14" s="1116" t="s">
        <v>278</v>
      </c>
      <c r="D14" s="1110" t="s">
        <v>555</v>
      </c>
      <c r="E14" s="1111">
        <v>1935</v>
      </c>
      <c r="F14" s="1112">
        <v>1902</v>
      </c>
      <c r="G14" s="1112">
        <v>1955</v>
      </c>
      <c r="H14" s="1112">
        <v>1958</v>
      </c>
      <c r="I14" s="1112">
        <v>1960</v>
      </c>
    </row>
    <row r="15" spans="2:9" ht="49" thickBot="1" x14ac:dyDescent="0.25">
      <c r="B15" s="1108" t="s">
        <v>1071</v>
      </c>
      <c r="C15" s="1109" t="s">
        <v>279</v>
      </c>
      <c r="D15" s="1110" t="s">
        <v>280</v>
      </c>
      <c r="E15" s="1117">
        <v>297.55</v>
      </c>
      <c r="F15" s="1118">
        <v>307.8</v>
      </c>
      <c r="G15" s="1118">
        <v>306.88</v>
      </c>
      <c r="H15" s="1118">
        <v>307.76</v>
      </c>
      <c r="I15" s="1118">
        <v>308.74</v>
      </c>
    </row>
    <row r="16" spans="2:9" ht="17" thickBot="1" x14ac:dyDescent="0.25">
      <c r="B16" s="1155"/>
      <c r="C16" s="1109" t="s">
        <v>281</v>
      </c>
      <c r="D16" s="1110" t="s">
        <v>555</v>
      </c>
      <c r="E16" s="1119">
        <v>34</v>
      </c>
      <c r="F16" s="1120">
        <v>30</v>
      </c>
      <c r="G16" s="1120">
        <v>33</v>
      </c>
      <c r="H16" s="1120">
        <v>33</v>
      </c>
      <c r="I16" s="1120">
        <v>35</v>
      </c>
    </row>
    <row r="17" spans="2:9" ht="49" thickBot="1" x14ac:dyDescent="0.25">
      <c r="B17" s="1155"/>
      <c r="C17" s="1109" t="s">
        <v>282</v>
      </c>
      <c r="D17" s="1110" t="s">
        <v>555</v>
      </c>
      <c r="E17" s="1111">
        <v>764</v>
      </c>
      <c r="F17" s="1112">
        <v>746</v>
      </c>
      <c r="G17" s="1112">
        <v>739</v>
      </c>
      <c r="H17" s="1112">
        <v>751</v>
      </c>
      <c r="I17" s="1112">
        <v>755</v>
      </c>
    </row>
    <row r="18" spans="2:9" ht="49" thickBot="1" x14ac:dyDescent="0.25">
      <c r="B18" s="1155"/>
      <c r="C18" s="1109" t="s">
        <v>283</v>
      </c>
      <c r="D18" s="1110" t="s">
        <v>556</v>
      </c>
      <c r="E18" s="1111">
        <v>191.1</v>
      </c>
      <c r="F18" s="1112">
        <v>218.58</v>
      </c>
      <c r="G18" s="1112">
        <v>187.35</v>
      </c>
      <c r="H18" s="1112">
        <v>188.69</v>
      </c>
      <c r="I18" s="1112">
        <v>191.47</v>
      </c>
    </row>
    <row r="19" spans="2:9" ht="17" thickBot="1" x14ac:dyDescent="0.25">
      <c r="B19" s="1157"/>
      <c r="C19" s="1140" t="s">
        <v>284</v>
      </c>
      <c r="D19" s="1123"/>
      <c r="E19" s="1124"/>
      <c r="F19" s="1125"/>
      <c r="G19" s="1126"/>
      <c r="H19" s="1127"/>
      <c r="I19" s="1112"/>
    </row>
    <row r="20" spans="2:9" ht="17" thickBot="1" x14ac:dyDescent="0.25">
      <c r="B20" s="1158"/>
      <c r="C20" s="1139" t="s">
        <v>285</v>
      </c>
      <c r="D20" s="1123" t="s">
        <v>544</v>
      </c>
      <c r="E20" s="1129">
        <v>502089.79</v>
      </c>
      <c r="F20" s="1129">
        <v>570957.39</v>
      </c>
      <c r="G20" s="1130">
        <v>660799.80000000005</v>
      </c>
      <c r="H20" s="1131">
        <v>535209.87</v>
      </c>
      <c r="I20" s="1132">
        <v>538383.34</v>
      </c>
    </row>
    <row r="21" spans="2:9" ht="17" thickBot="1" x14ac:dyDescent="0.25">
      <c r="B21" s="1158"/>
      <c r="C21" s="1139" t="s">
        <v>286</v>
      </c>
      <c r="D21" s="1123" t="s">
        <v>544</v>
      </c>
      <c r="E21" s="1129">
        <v>466983.89</v>
      </c>
      <c r="F21" s="1129">
        <v>544730.39</v>
      </c>
      <c r="G21" s="1130">
        <v>631950.1</v>
      </c>
      <c r="H21" s="1132">
        <v>503475.20000000001</v>
      </c>
      <c r="I21" s="1129">
        <v>503475.20000000001</v>
      </c>
    </row>
    <row r="22" spans="2:9" ht="49" thickBot="1" x14ac:dyDescent="0.25">
      <c r="B22" s="1158"/>
      <c r="C22" s="1139" t="s">
        <v>957</v>
      </c>
      <c r="D22" s="1123" t="s">
        <v>544</v>
      </c>
      <c r="E22" s="1129">
        <v>446217.5</v>
      </c>
      <c r="F22" s="1129">
        <v>510281.74</v>
      </c>
      <c r="G22" s="1130">
        <v>527530</v>
      </c>
      <c r="H22" s="1131">
        <v>503475.20000000001</v>
      </c>
      <c r="I22" s="1131">
        <v>503475.20000000001</v>
      </c>
    </row>
    <row r="23" spans="2:9" ht="17" thickBot="1" x14ac:dyDescent="0.25">
      <c r="B23" s="1159"/>
      <c r="C23" s="1139" t="s">
        <v>287</v>
      </c>
      <c r="D23" s="1123" t="s">
        <v>544</v>
      </c>
      <c r="E23" s="1129">
        <v>35105.9</v>
      </c>
      <c r="F23" s="1129">
        <v>26227</v>
      </c>
      <c r="G23" s="1129">
        <v>28849.7</v>
      </c>
      <c r="H23" s="1129">
        <v>31734.67</v>
      </c>
      <c r="I23" s="1129">
        <v>34908.14</v>
      </c>
    </row>
    <row r="24" spans="2:9" ht="17" thickBot="1" x14ac:dyDescent="0.25">
      <c r="B24" s="3296" t="s">
        <v>288</v>
      </c>
      <c r="C24" s="3283"/>
      <c r="D24" s="3283"/>
      <c r="E24" s="3283"/>
      <c r="F24" s="3283"/>
      <c r="G24" s="3283"/>
      <c r="H24" s="3283"/>
      <c r="I24" s="3284"/>
    </row>
    <row r="25" spans="2:9" ht="49" thickBot="1" x14ac:dyDescent="0.25">
      <c r="B25" s="3303" t="s">
        <v>289</v>
      </c>
      <c r="C25" s="1109" t="s">
        <v>290</v>
      </c>
      <c r="D25" s="1110" t="s">
        <v>555</v>
      </c>
      <c r="E25" s="1117">
        <v>15</v>
      </c>
      <c r="F25" s="1118">
        <v>15</v>
      </c>
      <c r="G25" s="1118">
        <v>15</v>
      </c>
      <c r="H25" s="1118">
        <v>16</v>
      </c>
      <c r="I25" s="1118">
        <v>16</v>
      </c>
    </row>
    <row r="26" spans="2:9" ht="81" thickBot="1" x14ac:dyDescent="0.25">
      <c r="B26" s="3304"/>
      <c r="C26" s="1134" t="s">
        <v>292</v>
      </c>
      <c r="D26" s="1110" t="s">
        <v>3</v>
      </c>
      <c r="E26" s="1119">
        <v>83</v>
      </c>
      <c r="F26" s="1120">
        <v>85</v>
      </c>
      <c r="G26" s="1120">
        <v>85</v>
      </c>
      <c r="H26" s="1120">
        <v>86</v>
      </c>
      <c r="I26" s="1120">
        <v>87</v>
      </c>
    </row>
    <row r="27" spans="2:9" ht="65" thickBot="1" x14ac:dyDescent="0.25">
      <c r="B27" s="3304"/>
      <c r="C27" s="1134" t="s">
        <v>563</v>
      </c>
      <c r="D27" s="1110" t="s">
        <v>3</v>
      </c>
      <c r="E27" s="1135">
        <v>0.8</v>
      </c>
      <c r="F27" s="1136">
        <v>1</v>
      </c>
      <c r="G27" s="1136">
        <v>1.5</v>
      </c>
      <c r="H27" s="1136">
        <v>2.2999999999999998</v>
      </c>
      <c r="I27" s="1136">
        <v>3.4</v>
      </c>
    </row>
    <row r="28" spans="2:9" ht="65" thickBot="1" x14ac:dyDescent="0.25">
      <c r="B28" s="3304"/>
      <c r="C28" s="1134" t="s">
        <v>564</v>
      </c>
      <c r="D28" s="1110" t="s">
        <v>3</v>
      </c>
      <c r="E28" s="1135">
        <v>0.7</v>
      </c>
      <c r="F28" s="1136">
        <v>0.8</v>
      </c>
      <c r="G28" s="1136">
        <v>0.9</v>
      </c>
      <c r="H28" s="1136">
        <v>1.1000000000000001</v>
      </c>
      <c r="I28" s="1136">
        <v>1.3</v>
      </c>
    </row>
    <row r="29" spans="2:9" ht="49" thickBot="1" x14ac:dyDescent="0.25">
      <c r="B29" s="3304"/>
      <c r="C29" s="1134" t="s">
        <v>565</v>
      </c>
      <c r="D29" s="1110" t="s">
        <v>3</v>
      </c>
      <c r="E29" s="1135">
        <v>9</v>
      </c>
      <c r="F29" s="1136">
        <v>11.8</v>
      </c>
      <c r="G29" s="1136">
        <v>15.8</v>
      </c>
      <c r="H29" s="1136">
        <v>18.2</v>
      </c>
      <c r="I29" s="1136">
        <v>19.2</v>
      </c>
    </row>
    <row r="30" spans="2:9" ht="33" thickBot="1" x14ac:dyDescent="0.25">
      <c r="B30" s="3304"/>
      <c r="C30" s="1134" t="s">
        <v>566</v>
      </c>
      <c r="D30" s="1110" t="s">
        <v>3</v>
      </c>
      <c r="E30" s="1135">
        <v>0.4</v>
      </c>
      <c r="F30" s="1136">
        <v>0.5</v>
      </c>
      <c r="G30" s="1136">
        <v>0.9</v>
      </c>
      <c r="H30" s="1136">
        <v>1.4</v>
      </c>
      <c r="I30" s="1136">
        <v>1.9</v>
      </c>
    </row>
    <row r="31" spans="2:9" ht="49" thickBot="1" x14ac:dyDescent="0.25">
      <c r="B31" s="3304"/>
      <c r="C31" s="1134" t="s">
        <v>567</v>
      </c>
      <c r="D31" s="1110" t="s">
        <v>3</v>
      </c>
      <c r="E31" s="1135">
        <v>0.9</v>
      </c>
      <c r="F31" s="1136">
        <v>0.1</v>
      </c>
      <c r="G31" s="1136">
        <v>0.2</v>
      </c>
      <c r="H31" s="1136">
        <v>0.4</v>
      </c>
      <c r="I31" s="1136">
        <v>0.5</v>
      </c>
    </row>
    <row r="32" spans="2:9" ht="49" thickBot="1" x14ac:dyDescent="0.25">
      <c r="B32" s="3304"/>
      <c r="C32" s="1134" t="s">
        <v>568</v>
      </c>
      <c r="D32" s="1110" t="s">
        <v>3</v>
      </c>
      <c r="E32" s="1135">
        <v>1.5</v>
      </c>
      <c r="F32" s="1136">
        <v>2</v>
      </c>
      <c r="G32" s="1136">
        <v>3</v>
      </c>
      <c r="H32" s="1136">
        <v>4</v>
      </c>
      <c r="I32" s="1136">
        <v>5</v>
      </c>
    </row>
    <row r="33" spans="2:9" ht="49" thickBot="1" x14ac:dyDescent="0.25">
      <c r="B33" s="3304"/>
      <c r="C33" s="1134" t="s">
        <v>569</v>
      </c>
      <c r="D33" s="1110" t="s">
        <v>3</v>
      </c>
      <c r="E33" s="1135">
        <v>8</v>
      </c>
      <c r="F33" s="1136">
        <v>9.4</v>
      </c>
      <c r="G33" s="1136">
        <v>12.1</v>
      </c>
      <c r="H33" s="1136">
        <v>14.6</v>
      </c>
      <c r="I33" s="1136">
        <v>17.399999999999999</v>
      </c>
    </row>
    <row r="34" spans="2:9" ht="81" thickBot="1" x14ac:dyDescent="0.25">
      <c r="B34" s="3305"/>
      <c r="C34" s="1134" t="s">
        <v>570</v>
      </c>
      <c r="D34" s="1110" t="s">
        <v>3</v>
      </c>
      <c r="E34" s="1135">
        <v>4.0999999999999996</v>
      </c>
      <c r="F34" s="1136">
        <v>4.4000000000000004</v>
      </c>
      <c r="G34" s="1136">
        <v>6.6</v>
      </c>
      <c r="H34" s="1136">
        <v>10</v>
      </c>
      <c r="I34" s="1136">
        <v>15.1</v>
      </c>
    </row>
    <row r="35" spans="2:9" ht="65" thickBot="1" x14ac:dyDescent="0.25">
      <c r="B35" s="1108" t="s">
        <v>1070</v>
      </c>
      <c r="C35" s="1109" t="s">
        <v>1072</v>
      </c>
      <c r="D35" s="1110" t="s">
        <v>555</v>
      </c>
      <c r="E35" s="1111">
        <v>62</v>
      </c>
      <c r="F35" s="1112">
        <v>63</v>
      </c>
      <c r="G35" s="1112">
        <v>63</v>
      </c>
      <c r="H35" s="1112">
        <v>65</v>
      </c>
      <c r="I35" s="1112">
        <v>67</v>
      </c>
    </row>
    <row r="36" spans="2:9" ht="17" thickBot="1" x14ac:dyDescent="0.25">
      <c r="B36" s="1137" t="s">
        <v>1071</v>
      </c>
      <c r="C36" s="1113" t="s">
        <v>294</v>
      </c>
      <c r="D36" s="1110" t="s">
        <v>555</v>
      </c>
      <c r="E36" s="1135">
        <v>15</v>
      </c>
      <c r="F36" s="1136">
        <v>15</v>
      </c>
      <c r="G36" s="1136">
        <v>16</v>
      </c>
      <c r="H36" s="1136">
        <v>16</v>
      </c>
      <c r="I36" s="1136">
        <v>16</v>
      </c>
    </row>
    <row r="37" spans="2:9" ht="17" thickBot="1" x14ac:dyDescent="0.25">
      <c r="B37" s="1108"/>
      <c r="C37" s="1138" t="s">
        <v>284</v>
      </c>
      <c r="D37" s="1104" t="s">
        <v>544</v>
      </c>
      <c r="E37" s="1124"/>
      <c r="F37" s="1125"/>
      <c r="G37" s="1126"/>
      <c r="H37" s="1111"/>
      <c r="I37" s="1112"/>
    </row>
    <row r="38" spans="2:9" ht="17" thickBot="1" x14ac:dyDescent="0.25">
      <c r="B38" s="1108"/>
      <c r="C38" s="1139" t="s">
        <v>285</v>
      </c>
      <c r="D38" s="1104" t="s">
        <v>544</v>
      </c>
      <c r="E38" s="1129">
        <v>70460.38</v>
      </c>
      <c r="F38" s="1129">
        <v>88721.68</v>
      </c>
      <c r="G38" s="1129">
        <v>108954.96</v>
      </c>
      <c r="H38" s="1129">
        <v>50374.16</v>
      </c>
      <c r="I38" s="1129">
        <v>46374.16</v>
      </c>
    </row>
    <row r="39" spans="2:9" ht="17" thickBot="1" x14ac:dyDescent="0.25">
      <c r="B39" s="1108"/>
      <c r="C39" s="1139" t="s">
        <v>286</v>
      </c>
      <c r="D39" s="1104" t="s">
        <v>544</v>
      </c>
      <c r="E39" s="1129">
        <v>70460.38</v>
      </c>
      <c r="F39" s="1129">
        <v>88721.68</v>
      </c>
      <c r="G39" s="1129">
        <v>108954.96</v>
      </c>
      <c r="H39" s="1129">
        <v>50374.16</v>
      </c>
      <c r="I39" s="1129">
        <v>46374.16</v>
      </c>
    </row>
    <row r="40" spans="2:9" ht="49" thickBot="1" x14ac:dyDescent="0.25">
      <c r="B40" s="1108"/>
      <c r="C40" s="1139" t="s">
        <v>957</v>
      </c>
      <c r="D40" s="1104" t="s">
        <v>544</v>
      </c>
      <c r="E40" s="1129">
        <v>41620.36</v>
      </c>
      <c r="F40" s="1129">
        <v>63269.29</v>
      </c>
      <c r="G40" s="1129">
        <v>54819.360000000001</v>
      </c>
      <c r="H40" s="1129">
        <v>50374.16</v>
      </c>
      <c r="I40" s="1129">
        <v>46374.16</v>
      </c>
    </row>
    <row r="41" spans="2:9" ht="17" thickBot="1" x14ac:dyDescent="0.25">
      <c r="B41" s="1137"/>
      <c r="C41" s="1139" t="s">
        <v>287</v>
      </c>
      <c r="D41" s="1104" t="s">
        <v>544</v>
      </c>
      <c r="E41" s="1124">
        <v>0</v>
      </c>
      <c r="F41" s="1124">
        <v>0</v>
      </c>
      <c r="G41" s="1124">
        <v>0</v>
      </c>
      <c r="H41" s="1124">
        <v>0</v>
      </c>
      <c r="I41" s="1124">
        <v>0</v>
      </c>
    </row>
    <row r="42" spans="2:9" ht="17" thickBot="1" x14ac:dyDescent="0.25">
      <c r="B42" s="3287" t="s">
        <v>295</v>
      </c>
      <c r="C42" s="3288"/>
      <c r="D42" s="3288"/>
      <c r="E42" s="3288"/>
      <c r="F42" s="3288"/>
      <c r="G42" s="3288"/>
      <c r="H42" s="3288"/>
      <c r="I42" s="3306"/>
    </row>
    <row r="43" spans="2:9" ht="17" thickBot="1" x14ac:dyDescent="0.25">
      <c r="B43" s="3290" t="s">
        <v>296</v>
      </c>
      <c r="C43" s="3291"/>
      <c r="D43" s="3291"/>
      <c r="E43" s="3291"/>
      <c r="F43" s="3291"/>
      <c r="G43" s="3291"/>
      <c r="H43" s="3307"/>
      <c r="I43" s="1118"/>
    </row>
    <row r="44" spans="2:9" ht="49" thickBot="1" x14ac:dyDescent="0.25">
      <c r="B44" s="3271" t="s">
        <v>289</v>
      </c>
      <c r="C44" s="1109" t="s">
        <v>297</v>
      </c>
      <c r="D44" s="1110" t="s">
        <v>3</v>
      </c>
      <c r="E44" s="1111">
        <v>50</v>
      </c>
      <c r="F44" s="1112">
        <v>50</v>
      </c>
      <c r="G44" s="1112">
        <v>50</v>
      </c>
      <c r="H44" s="1112">
        <v>50</v>
      </c>
      <c r="I44" s="1120">
        <v>51</v>
      </c>
    </row>
    <row r="45" spans="2:9" ht="65" thickBot="1" x14ac:dyDescent="0.25">
      <c r="B45" s="3293"/>
      <c r="C45" s="1109" t="s">
        <v>298</v>
      </c>
      <c r="D45" s="1110" t="s">
        <v>555</v>
      </c>
      <c r="E45" s="1111">
        <v>27</v>
      </c>
      <c r="F45" s="1112">
        <v>27</v>
      </c>
      <c r="G45" s="1112">
        <v>27</v>
      </c>
      <c r="H45" s="1112">
        <v>27</v>
      </c>
      <c r="I45" s="1112">
        <v>27</v>
      </c>
    </row>
    <row r="46" spans="2:9" ht="33" thickBot="1" x14ac:dyDescent="0.25">
      <c r="B46" s="1108" t="s">
        <v>1070</v>
      </c>
      <c r="C46" s="1134" t="s">
        <v>300</v>
      </c>
      <c r="D46" s="1110" t="s">
        <v>301</v>
      </c>
      <c r="E46" s="1111">
        <v>299</v>
      </c>
      <c r="F46" s="1112">
        <v>295</v>
      </c>
      <c r="G46" s="1112">
        <v>299</v>
      </c>
      <c r="H46" s="1112">
        <v>309</v>
      </c>
      <c r="I46" s="1112">
        <v>312</v>
      </c>
    </row>
    <row r="47" spans="2:9" ht="33" thickBot="1" x14ac:dyDescent="0.25">
      <c r="B47" s="1108" t="s">
        <v>1073</v>
      </c>
      <c r="C47" s="1134" t="s">
        <v>302</v>
      </c>
      <c r="D47" s="1110" t="s">
        <v>303</v>
      </c>
      <c r="E47" s="1111">
        <v>125</v>
      </c>
      <c r="F47" s="1112">
        <v>192</v>
      </c>
      <c r="G47" s="1112">
        <v>195</v>
      </c>
      <c r="H47" s="1112">
        <v>201</v>
      </c>
      <c r="I47" s="1112">
        <v>202</v>
      </c>
    </row>
    <row r="48" spans="2:9" ht="33" thickBot="1" x14ac:dyDescent="0.25">
      <c r="B48" s="1155"/>
      <c r="C48" s="1134" t="s">
        <v>304</v>
      </c>
      <c r="D48" s="1110" t="s">
        <v>305</v>
      </c>
      <c r="E48" s="1111">
        <v>90</v>
      </c>
      <c r="F48" s="1112">
        <v>103</v>
      </c>
      <c r="G48" s="1112">
        <v>105</v>
      </c>
      <c r="H48" s="1112">
        <v>108</v>
      </c>
      <c r="I48" s="1112">
        <v>110</v>
      </c>
    </row>
    <row r="49" spans="2:9" ht="49" thickBot="1" x14ac:dyDescent="0.25">
      <c r="B49" s="1155"/>
      <c r="C49" s="1109" t="s">
        <v>557</v>
      </c>
      <c r="D49" s="1110" t="s">
        <v>306</v>
      </c>
      <c r="E49" s="1111">
        <v>49</v>
      </c>
      <c r="F49" s="1112">
        <v>49</v>
      </c>
      <c r="G49" s="1112">
        <v>49</v>
      </c>
      <c r="H49" s="1112">
        <v>50</v>
      </c>
      <c r="I49" s="1112">
        <v>50</v>
      </c>
    </row>
    <row r="50" spans="2:9" ht="33" thickBot="1" x14ac:dyDescent="0.25">
      <c r="B50" s="1156"/>
      <c r="C50" s="1109" t="s">
        <v>558</v>
      </c>
      <c r="D50" s="1110" t="s">
        <v>305</v>
      </c>
      <c r="E50" s="1111">
        <v>383</v>
      </c>
      <c r="F50" s="1112">
        <v>388</v>
      </c>
      <c r="G50" s="1112">
        <v>389</v>
      </c>
      <c r="H50" s="1112">
        <v>391</v>
      </c>
      <c r="I50" s="1112">
        <v>392</v>
      </c>
    </row>
    <row r="51" spans="2:9" ht="17" thickBot="1" x14ac:dyDescent="0.25">
      <c r="B51" s="1108"/>
      <c r="C51" s="1140" t="s">
        <v>284</v>
      </c>
      <c r="D51" s="1104" t="s">
        <v>544</v>
      </c>
      <c r="E51" s="1141"/>
      <c r="F51" s="1141"/>
      <c r="G51" s="1142"/>
      <c r="H51" s="1143"/>
      <c r="I51" s="1141"/>
    </row>
    <row r="52" spans="2:9" ht="17" thickBot="1" x14ac:dyDescent="0.25">
      <c r="B52" s="1108"/>
      <c r="C52" s="1139" t="s">
        <v>285</v>
      </c>
      <c r="D52" s="1104" t="s">
        <v>544</v>
      </c>
      <c r="E52" s="1129">
        <v>44699.64</v>
      </c>
      <c r="F52" s="1129">
        <v>91399.1</v>
      </c>
      <c r="G52" s="1130">
        <v>75657.429999999993</v>
      </c>
      <c r="H52" s="1132">
        <v>45077.01</v>
      </c>
      <c r="I52" s="1129">
        <v>45164.49</v>
      </c>
    </row>
    <row r="53" spans="2:9" ht="17" thickBot="1" x14ac:dyDescent="0.25">
      <c r="B53" s="1108"/>
      <c r="C53" s="1139" t="s">
        <v>286</v>
      </c>
      <c r="D53" s="1104" t="s">
        <v>544</v>
      </c>
      <c r="E53" s="1129">
        <v>43910.34</v>
      </c>
      <c r="F53" s="1129">
        <v>90676.1</v>
      </c>
      <c r="G53" s="1130">
        <v>74862.13</v>
      </c>
      <c r="H53" s="1132">
        <v>44202.18</v>
      </c>
      <c r="I53" s="1129">
        <v>44202.18</v>
      </c>
    </row>
    <row r="54" spans="2:9" ht="49" thickBot="1" x14ac:dyDescent="0.25">
      <c r="B54" s="1108"/>
      <c r="C54" s="1139" t="s">
        <v>957</v>
      </c>
      <c r="D54" s="1104" t="s">
        <v>544</v>
      </c>
      <c r="E54" s="1129">
        <v>37703.699999999997</v>
      </c>
      <c r="F54" s="1129">
        <v>48236.1</v>
      </c>
      <c r="G54" s="1129">
        <v>56747.13</v>
      </c>
      <c r="H54" s="1129">
        <v>44202.18</v>
      </c>
      <c r="I54" s="1129">
        <v>44202.18</v>
      </c>
    </row>
    <row r="55" spans="2:9" ht="17" thickBot="1" x14ac:dyDescent="0.25">
      <c r="B55" s="1137"/>
      <c r="C55" s="1139" t="s">
        <v>287</v>
      </c>
      <c r="D55" s="1104" t="s">
        <v>544</v>
      </c>
      <c r="E55" s="1124">
        <v>789.3</v>
      </c>
      <c r="F55" s="1124">
        <v>723</v>
      </c>
      <c r="G55" s="1124">
        <v>795.3</v>
      </c>
      <c r="H55" s="1124">
        <v>874.83</v>
      </c>
      <c r="I55" s="1124">
        <v>962.31</v>
      </c>
    </row>
    <row r="56" spans="2:9" ht="17" thickBot="1" x14ac:dyDescent="0.25">
      <c r="B56" s="3282" t="s">
        <v>307</v>
      </c>
      <c r="C56" s="3283"/>
      <c r="D56" s="3283"/>
      <c r="E56" s="3283"/>
      <c r="F56" s="3283"/>
      <c r="G56" s="3283"/>
      <c r="H56" s="3283"/>
      <c r="I56" s="3284"/>
    </row>
    <row r="57" spans="2:9" ht="49" thickBot="1" x14ac:dyDescent="0.25">
      <c r="B57" s="3271" t="s">
        <v>289</v>
      </c>
      <c r="C57" s="1134" t="s">
        <v>308</v>
      </c>
      <c r="D57" s="1024" t="s">
        <v>555</v>
      </c>
      <c r="E57" s="1112">
        <v>0</v>
      </c>
      <c r="F57" s="1112">
        <v>0</v>
      </c>
      <c r="G57" s="1115">
        <v>0</v>
      </c>
      <c r="H57" s="1111">
        <v>0</v>
      </c>
      <c r="I57" s="1112">
        <v>0</v>
      </c>
    </row>
    <row r="58" spans="2:9" ht="17" thickBot="1" x14ac:dyDescent="0.25">
      <c r="B58" s="3286"/>
      <c r="C58" s="2780" t="s">
        <v>830</v>
      </c>
      <c r="D58" s="1023" t="s">
        <v>571</v>
      </c>
      <c r="E58" s="1136">
        <v>10</v>
      </c>
      <c r="F58" s="1136">
        <v>80</v>
      </c>
      <c r="G58" s="1136">
        <v>85</v>
      </c>
      <c r="H58" s="1136">
        <v>75</v>
      </c>
      <c r="I58" s="1136">
        <v>80</v>
      </c>
    </row>
    <row r="59" spans="2:9" ht="17" thickBot="1" x14ac:dyDescent="0.25">
      <c r="B59" s="3286"/>
      <c r="C59" s="3308"/>
      <c r="D59" s="1023" t="s">
        <v>3</v>
      </c>
      <c r="E59" s="1136">
        <v>0.15</v>
      </c>
      <c r="F59" s="1136">
        <v>1.23</v>
      </c>
      <c r="G59" s="1136">
        <v>1.32</v>
      </c>
      <c r="H59" s="1136">
        <v>1.1499999999999999</v>
      </c>
      <c r="I59" s="1136">
        <v>1.23</v>
      </c>
    </row>
    <row r="60" spans="2:9" ht="17" thickBot="1" x14ac:dyDescent="0.25">
      <c r="B60" s="3286"/>
      <c r="C60" s="3309" t="s">
        <v>831</v>
      </c>
      <c r="D60" s="1023" t="s">
        <v>571</v>
      </c>
      <c r="E60" s="1136">
        <v>5</v>
      </c>
      <c r="F60" s="1136">
        <v>19</v>
      </c>
      <c r="G60" s="1136">
        <v>29</v>
      </c>
      <c r="H60" s="1136">
        <v>31</v>
      </c>
      <c r="I60" s="1136">
        <v>33</v>
      </c>
    </row>
    <row r="61" spans="2:9" ht="17" thickBot="1" x14ac:dyDescent="0.25">
      <c r="B61" s="3286"/>
      <c r="C61" s="3308"/>
      <c r="D61" s="1023" t="s">
        <v>3</v>
      </c>
      <c r="E61" s="1136">
        <v>7.0000000000000007E-2</v>
      </c>
      <c r="F61" s="1136">
        <v>0.28999999999999998</v>
      </c>
      <c r="G61" s="1136">
        <v>0.45</v>
      </c>
      <c r="H61" s="1136">
        <v>0.48</v>
      </c>
      <c r="I61" s="1136">
        <v>0.51</v>
      </c>
    </row>
    <row r="62" spans="2:9" ht="17" thickBot="1" x14ac:dyDescent="0.25">
      <c r="B62" s="3286"/>
      <c r="C62" s="3309" t="s">
        <v>835</v>
      </c>
      <c r="D62" s="1023" t="s">
        <v>571</v>
      </c>
      <c r="E62" s="1136">
        <v>10</v>
      </c>
      <c r="F62" s="1136">
        <v>80</v>
      </c>
      <c r="G62" s="1136">
        <v>85</v>
      </c>
      <c r="H62" s="1136">
        <v>75</v>
      </c>
      <c r="I62" s="1136">
        <v>80</v>
      </c>
    </row>
    <row r="63" spans="2:9" ht="17" thickBot="1" x14ac:dyDescent="0.25">
      <c r="B63" s="3286"/>
      <c r="C63" s="3308"/>
      <c r="D63" s="1023" t="s">
        <v>3</v>
      </c>
      <c r="E63" s="1136">
        <v>0.15</v>
      </c>
      <c r="F63" s="1136">
        <v>1.24</v>
      </c>
      <c r="G63" s="1136">
        <v>1.31</v>
      </c>
      <c r="H63" s="1136">
        <v>1.1599999999999999</v>
      </c>
      <c r="I63" s="1136">
        <v>1.24</v>
      </c>
    </row>
    <row r="64" spans="2:9" ht="17" thickBot="1" x14ac:dyDescent="0.25">
      <c r="B64" s="3286"/>
      <c r="C64" s="3309" t="s">
        <v>751</v>
      </c>
      <c r="D64" s="1023" t="s">
        <v>571</v>
      </c>
      <c r="E64" s="1136">
        <v>3</v>
      </c>
      <c r="F64" s="1136">
        <v>6</v>
      </c>
      <c r="G64" s="1136">
        <v>6</v>
      </c>
      <c r="H64" s="1136">
        <v>6</v>
      </c>
      <c r="I64" s="1136">
        <v>6</v>
      </c>
    </row>
    <row r="65" spans="2:9" ht="17" thickBot="1" x14ac:dyDescent="0.25">
      <c r="B65" s="3286"/>
      <c r="C65" s="3308"/>
      <c r="D65" s="1023" t="s">
        <v>3</v>
      </c>
      <c r="E65" s="1136">
        <v>0.05</v>
      </c>
      <c r="F65" s="1136">
        <v>0.1</v>
      </c>
      <c r="G65" s="1136">
        <v>0.1</v>
      </c>
      <c r="H65" s="1136">
        <v>0.1</v>
      </c>
      <c r="I65" s="1136">
        <v>0.1</v>
      </c>
    </row>
    <row r="66" spans="2:9" ht="17" thickBot="1" x14ac:dyDescent="0.25">
      <c r="B66" s="3286"/>
      <c r="C66" s="3309" t="s">
        <v>753</v>
      </c>
      <c r="D66" s="1023" t="s">
        <v>571</v>
      </c>
      <c r="E66" s="1136">
        <v>0</v>
      </c>
      <c r="F66" s="1136">
        <v>500</v>
      </c>
      <c r="G66" s="1136">
        <v>850</v>
      </c>
      <c r="H66" s="1136">
        <v>950</v>
      </c>
      <c r="I66" s="1136">
        <v>1000</v>
      </c>
    </row>
    <row r="67" spans="2:9" ht="17" thickBot="1" x14ac:dyDescent="0.25">
      <c r="B67" s="3293"/>
      <c r="C67" s="3308"/>
      <c r="D67" s="1023" t="s">
        <v>3</v>
      </c>
      <c r="E67" s="1136">
        <v>0</v>
      </c>
      <c r="F67" s="1136">
        <v>8.5</v>
      </c>
      <c r="G67" s="1136">
        <v>9.5</v>
      </c>
      <c r="H67" s="1136">
        <v>10.5</v>
      </c>
      <c r="I67" s="1136">
        <v>11.5</v>
      </c>
    </row>
    <row r="68" spans="2:9" ht="33" thickBot="1" x14ac:dyDescent="0.25">
      <c r="B68" s="1108" t="s">
        <v>1070</v>
      </c>
      <c r="C68" s="1109" t="s">
        <v>309</v>
      </c>
      <c r="D68" s="1024" t="s">
        <v>555</v>
      </c>
      <c r="E68" s="1112">
        <v>5</v>
      </c>
      <c r="F68" s="1112">
        <v>5</v>
      </c>
      <c r="G68" s="1112">
        <v>5</v>
      </c>
      <c r="H68" s="1112">
        <v>5</v>
      </c>
      <c r="I68" s="1112">
        <v>5</v>
      </c>
    </row>
    <row r="69" spans="2:9" ht="49" thickBot="1" x14ac:dyDescent="0.25">
      <c r="B69" s="1108" t="s">
        <v>1073</v>
      </c>
      <c r="C69" s="1109" t="s">
        <v>1074</v>
      </c>
      <c r="D69" s="1024" t="s">
        <v>555</v>
      </c>
      <c r="E69" s="1112">
        <v>15</v>
      </c>
      <c r="F69" s="1112">
        <v>15</v>
      </c>
      <c r="G69" s="1112">
        <v>15</v>
      </c>
      <c r="H69" s="1112">
        <v>15</v>
      </c>
      <c r="I69" s="1112">
        <v>15</v>
      </c>
    </row>
    <row r="70" spans="2:9" ht="49" thickBot="1" x14ac:dyDescent="0.25">
      <c r="B70" s="1156"/>
      <c r="C70" s="1109" t="s">
        <v>1075</v>
      </c>
      <c r="D70" s="1024" t="s">
        <v>555</v>
      </c>
      <c r="E70" s="1112">
        <v>15</v>
      </c>
      <c r="F70" s="1112">
        <v>15</v>
      </c>
      <c r="G70" s="1112">
        <v>15</v>
      </c>
      <c r="H70" s="1112">
        <v>15</v>
      </c>
      <c r="I70" s="1112">
        <v>15</v>
      </c>
    </row>
    <row r="71" spans="2:9" ht="17" thickBot="1" x14ac:dyDescent="0.25">
      <c r="B71" s="1108"/>
      <c r="C71" s="1140" t="s">
        <v>284</v>
      </c>
      <c r="D71" s="1104"/>
      <c r="E71" s="1141"/>
      <c r="F71" s="1141"/>
      <c r="G71" s="1142"/>
      <c r="H71" s="1143"/>
      <c r="I71" s="1141"/>
    </row>
    <row r="72" spans="2:9" ht="17" thickBot="1" x14ac:dyDescent="0.25">
      <c r="B72" s="1108"/>
      <c r="C72" s="1139" t="s">
        <v>285</v>
      </c>
      <c r="D72" s="1104" t="s">
        <v>544</v>
      </c>
      <c r="E72" s="1129">
        <v>19408</v>
      </c>
      <c r="F72" s="1129">
        <v>19505.8</v>
      </c>
      <c r="G72" s="1129">
        <v>53597.599999999999</v>
      </c>
      <c r="H72" s="1129">
        <v>5642.6</v>
      </c>
      <c r="I72" s="1129">
        <v>5642.6</v>
      </c>
    </row>
    <row r="73" spans="2:9" ht="17" thickBot="1" x14ac:dyDescent="0.25">
      <c r="B73" s="1108"/>
      <c r="C73" s="1139" t="s">
        <v>286</v>
      </c>
      <c r="D73" s="1104" t="s">
        <v>544</v>
      </c>
      <c r="E73" s="1129">
        <v>19408</v>
      </c>
      <c r="F73" s="1129">
        <v>19505.8</v>
      </c>
      <c r="G73" s="1130">
        <v>53597.599999999999</v>
      </c>
      <c r="H73" s="1132">
        <v>5642.6</v>
      </c>
      <c r="I73" s="1129">
        <v>5642.6</v>
      </c>
    </row>
    <row r="74" spans="2:9" ht="49" thickBot="1" x14ac:dyDescent="0.25">
      <c r="B74" s="1108"/>
      <c r="C74" s="1139" t="s">
        <v>957</v>
      </c>
      <c r="D74" s="1104" t="s">
        <v>544</v>
      </c>
      <c r="E74" s="1129">
        <v>11449.3</v>
      </c>
      <c r="F74" s="1129">
        <v>13845.3</v>
      </c>
      <c r="G74" s="1129">
        <v>1660.1</v>
      </c>
      <c r="H74" s="1129">
        <v>1555.1</v>
      </c>
      <c r="I74" s="1129">
        <v>1555.1</v>
      </c>
    </row>
    <row r="75" spans="2:9" ht="17" thickBot="1" x14ac:dyDescent="0.25">
      <c r="B75" s="1137"/>
      <c r="C75" s="1139" t="s">
        <v>287</v>
      </c>
      <c r="D75" s="1104" t="s">
        <v>544</v>
      </c>
      <c r="E75" s="1124">
        <v>0</v>
      </c>
      <c r="F75" s="1124">
        <v>0</v>
      </c>
      <c r="G75" s="1125">
        <v>0</v>
      </c>
      <c r="H75" s="1127">
        <v>0</v>
      </c>
      <c r="I75" s="1124">
        <v>0</v>
      </c>
    </row>
    <row r="76" spans="2:9" ht="17" thickBot="1" x14ac:dyDescent="0.25">
      <c r="B76" s="3282" t="s">
        <v>310</v>
      </c>
      <c r="C76" s="3283"/>
      <c r="D76" s="3283"/>
      <c r="E76" s="3283"/>
      <c r="F76" s="3283"/>
      <c r="G76" s="3283"/>
      <c r="H76" s="3283"/>
      <c r="I76" s="3284"/>
    </row>
    <row r="77" spans="2:9" ht="33" thickBot="1" x14ac:dyDescent="0.25">
      <c r="B77" s="3271" t="s">
        <v>289</v>
      </c>
      <c r="C77" s="1134" t="s">
        <v>311</v>
      </c>
      <c r="D77" s="1110" t="s">
        <v>3</v>
      </c>
      <c r="E77" s="1111">
        <v>15</v>
      </c>
      <c r="F77" s="1112">
        <v>20</v>
      </c>
      <c r="G77" s="1112">
        <v>25</v>
      </c>
      <c r="H77" s="1112">
        <v>30</v>
      </c>
      <c r="I77" s="1112">
        <v>40</v>
      </c>
    </row>
    <row r="78" spans="2:9" ht="17" thickBot="1" x14ac:dyDescent="0.25">
      <c r="B78" s="3293"/>
      <c r="C78" s="1134" t="s">
        <v>312</v>
      </c>
      <c r="D78" s="1024" t="s">
        <v>3</v>
      </c>
      <c r="E78" s="1112">
        <v>41.8</v>
      </c>
      <c r="F78" s="1112">
        <v>65</v>
      </c>
      <c r="G78" s="1112">
        <v>65</v>
      </c>
      <c r="H78" s="1112">
        <v>65</v>
      </c>
      <c r="I78" s="1112">
        <v>65</v>
      </c>
    </row>
    <row r="79" spans="2:9" ht="33" thickBot="1" x14ac:dyDescent="0.25">
      <c r="B79" s="1108" t="s">
        <v>1070</v>
      </c>
      <c r="C79" s="1134" t="s">
        <v>314</v>
      </c>
      <c r="D79" s="1024" t="s">
        <v>555</v>
      </c>
      <c r="E79" s="1112">
        <v>183</v>
      </c>
      <c r="F79" s="1112">
        <v>195</v>
      </c>
      <c r="G79" s="1112">
        <v>191</v>
      </c>
      <c r="H79" s="1112">
        <v>219</v>
      </c>
      <c r="I79" s="1112">
        <v>239</v>
      </c>
    </row>
    <row r="80" spans="2:9" ht="49" thickBot="1" x14ac:dyDescent="0.25">
      <c r="B80" s="1137" t="s">
        <v>1076</v>
      </c>
      <c r="C80" s="1134" t="s">
        <v>315</v>
      </c>
      <c r="D80" s="1024" t="s">
        <v>555</v>
      </c>
      <c r="E80" s="1112">
        <v>37</v>
      </c>
      <c r="F80" s="1112">
        <v>39</v>
      </c>
      <c r="G80" s="1112">
        <v>38</v>
      </c>
      <c r="H80" s="1112">
        <v>44</v>
      </c>
      <c r="I80" s="1112">
        <v>48</v>
      </c>
    </row>
    <row r="81" spans="2:9" ht="17" thickBot="1" x14ac:dyDescent="0.25">
      <c r="B81" s="1108"/>
      <c r="C81" s="1140" t="s">
        <v>284</v>
      </c>
      <c r="D81" s="1104"/>
      <c r="E81" s="1141"/>
      <c r="F81" s="1141"/>
      <c r="G81" s="1142"/>
      <c r="H81" s="1143"/>
      <c r="I81" s="1141"/>
    </row>
    <row r="82" spans="2:9" ht="17" thickBot="1" x14ac:dyDescent="0.25">
      <c r="B82" s="1108"/>
      <c r="C82" s="1139" t="s">
        <v>285</v>
      </c>
      <c r="D82" s="1104" t="s">
        <v>544</v>
      </c>
      <c r="E82" s="1129">
        <v>65362.03</v>
      </c>
      <c r="F82" s="1129">
        <v>73410.399999999994</v>
      </c>
      <c r="G82" s="1130">
        <v>86111.48</v>
      </c>
      <c r="H82" s="1132">
        <v>64717.83</v>
      </c>
      <c r="I82" s="1129">
        <v>64859.62</v>
      </c>
    </row>
    <row r="83" spans="2:9" ht="17" thickBot="1" x14ac:dyDescent="0.25">
      <c r="B83" s="1108"/>
      <c r="C83" s="1139" t="s">
        <v>286</v>
      </c>
      <c r="D83" s="1104" t="s">
        <v>544</v>
      </c>
      <c r="E83" s="1129">
        <v>64428.93</v>
      </c>
      <c r="F83" s="1129">
        <v>72238.600000000006</v>
      </c>
      <c r="G83" s="1130">
        <v>84822.5</v>
      </c>
      <c r="H83" s="1132">
        <v>63299.95</v>
      </c>
      <c r="I83" s="1129">
        <v>63299.95</v>
      </c>
    </row>
    <row r="84" spans="2:9" ht="49" thickBot="1" x14ac:dyDescent="0.25">
      <c r="B84" s="1108"/>
      <c r="C84" s="1139" t="s">
        <v>957</v>
      </c>
      <c r="D84" s="1104" t="s">
        <v>544</v>
      </c>
      <c r="E84" s="1129">
        <v>64428.93</v>
      </c>
      <c r="F84" s="1129">
        <v>72238.600000000006</v>
      </c>
      <c r="G84" s="1129">
        <v>84822.5</v>
      </c>
      <c r="H84" s="1129">
        <v>63299.95</v>
      </c>
      <c r="I84" s="1129">
        <v>63299.95</v>
      </c>
    </row>
    <row r="85" spans="2:9" ht="17" thickBot="1" x14ac:dyDescent="0.25">
      <c r="B85" s="1137"/>
      <c r="C85" s="1139" t="s">
        <v>287</v>
      </c>
      <c r="D85" s="1104" t="s">
        <v>544</v>
      </c>
      <c r="E85" s="1124">
        <v>933.1</v>
      </c>
      <c r="F85" s="1129">
        <v>1171.8</v>
      </c>
      <c r="G85" s="1129">
        <v>1288.98</v>
      </c>
      <c r="H85" s="1129">
        <v>1417.88</v>
      </c>
      <c r="I85" s="1129">
        <v>1559.67</v>
      </c>
    </row>
    <row r="86" spans="2:9" ht="17" thickBot="1" x14ac:dyDescent="0.25">
      <c r="B86" s="3282" t="s">
        <v>316</v>
      </c>
      <c r="C86" s="3283"/>
      <c r="D86" s="3283"/>
      <c r="E86" s="3283"/>
      <c r="F86" s="3283"/>
      <c r="G86" s="3283"/>
      <c r="H86" s="3283"/>
      <c r="I86" s="3284"/>
    </row>
    <row r="87" spans="2:9" ht="17" thickBot="1" x14ac:dyDescent="0.25">
      <c r="B87" s="3271" t="s">
        <v>289</v>
      </c>
      <c r="C87" s="1134" t="s">
        <v>317</v>
      </c>
      <c r="D87" s="1110" t="s">
        <v>3</v>
      </c>
      <c r="E87" s="1111">
        <v>10</v>
      </c>
      <c r="F87" s="1112">
        <v>12</v>
      </c>
      <c r="G87" s="1112">
        <v>12</v>
      </c>
      <c r="H87" s="1112">
        <v>12</v>
      </c>
      <c r="I87" s="1112">
        <v>13</v>
      </c>
    </row>
    <row r="88" spans="2:9" ht="49" thickBot="1" x14ac:dyDescent="0.25">
      <c r="B88" s="3286"/>
      <c r="C88" s="1134" t="s">
        <v>318</v>
      </c>
      <c r="D88" s="1110" t="s">
        <v>3</v>
      </c>
      <c r="E88" s="1111">
        <v>1.02</v>
      </c>
      <c r="F88" s="1112">
        <v>1.82</v>
      </c>
      <c r="G88" s="1112">
        <v>3.42</v>
      </c>
      <c r="H88" s="1112">
        <v>6.75</v>
      </c>
      <c r="I88" s="1112">
        <v>13.91</v>
      </c>
    </row>
    <row r="89" spans="2:9" ht="49" thickBot="1" x14ac:dyDescent="0.25">
      <c r="B89" s="3293"/>
      <c r="C89" s="1134" t="s">
        <v>319</v>
      </c>
      <c r="D89" s="1110" t="s">
        <v>3</v>
      </c>
      <c r="E89" s="1111">
        <v>70</v>
      </c>
      <c r="F89" s="1112">
        <v>70</v>
      </c>
      <c r="G89" s="1115">
        <v>70</v>
      </c>
      <c r="H89" s="1111">
        <v>70</v>
      </c>
      <c r="I89" s="1112">
        <v>71</v>
      </c>
    </row>
    <row r="90" spans="2:9" ht="65" thickBot="1" x14ac:dyDescent="0.25">
      <c r="B90" s="1108" t="s">
        <v>1070</v>
      </c>
      <c r="C90" s="1109" t="s">
        <v>320</v>
      </c>
      <c r="D90" s="1110" t="s">
        <v>321</v>
      </c>
      <c r="E90" s="1144">
        <v>1019.67</v>
      </c>
      <c r="F90" s="1145">
        <v>1075.3699999999999</v>
      </c>
      <c r="G90" s="1145">
        <v>1078.72</v>
      </c>
      <c r="H90" s="1145">
        <v>1086.79</v>
      </c>
      <c r="I90" s="1145">
        <v>1092.81</v>
      </c>
    </row>
    <row r="91" spans="2:9" ht="33" thickBot="1" x14ac:dyDescent="0.25">
      <c r="B91" s="1137" t="s">
        <v>1076</v>
      </c>
      <c r="C91" s="1109" t="s">
        <v>1077</v>
      </c>
      <c r="D91" s="1110" t="s">
        <v>322</v>
      </c>
      <c r="E91" s="1111">
        <v>39.479999999999997</v>
      </c>
      <c r="F91" s="1112">
        <v>40.880000000000003</v>
      </c>
      <c r="G91" s="1112">
        <v>41.7</v>
      </c>
      <c r="H91" s="1112">
        <v>42.54</v>
      </c>
      <c r="I91" s="1112">
        <v>42.54</v>
      </c>
    </row>
    <row r="92" spans="2:9" ht="17" thickBot="1" x14ac:dyDescent="0.25">
      <c r="B92" s="1108"/>
      <c r="C92" s="1140" t="s">
        <v>284</v>
      </c>
      <c r="D92" s="1104"/>
      <c r="E92" s="1141"/>
      <c r="F92" s="1141"/>
      <c r="G92" s="1142"/>
      <c r="H92" s="1143"/>
      <c r="I92" s="1141"/>
    </row>
    <row r="93" spans="2:9" ht="17" thickBot="1" x14ac:dyDescent="0.25">
      <c r="B93" s="1108"/>
      <c r="C93" s="1139" t="s">
        <v>285</v>
      </c>
      <c r="D93" s="1104" t="s">
        <v>544</v>
      </c>
      <c r="E93" s="1129">
        <v>38937.120000000003</v>
      </c>
      <c r="F93" s="1129">
        <v>41387.5</v>
      </c>
      <c r="G93" s="1130">
        <v>48154.19</v>
      </c>
      <c r="H93" s="1132">
        <v>40461.86</v>
      </c>
      <c r="I93" s="1129">
        <v>40524.199999999997</v>
      </c>
    </row>
    <row r="94" spans="2:9" ht="17" thickBot="1" x14ac:dyDescent="0.25">
      <c r="B94" s="1108"/>
      <c r="C94" s="1139" t="s">
        <v>286</v>
      </c>
      <c r="D94" s="1104" t="s">
        <v>544</v>
      </c>
      <c r="E94" s="1129">
        <v>38028.519999999997</v>
      </c>
      <c r="F94" s="1129">
        <v>40872.300000000003</v>
      </c>
      <c r="G94" s="1130">
        <v>47587.47</v>
      </c>
      <c r="H94" s="1132">
        <v>39838.47</v>
      </c>
      <c r="I94" s="1129">
        <v>39838.47</v>
      </c>
    </row>
    <row r="95" spans="2:9" ht="49" thickBot="1" x14ac:dyDescent="0.25">
      <c r="B95" s="1108"/>
      <c r="C95" s="1139" t="s">
        <v>957</v>
      </c>
      <c r="D95" s="1104" t="s">
        <v>544</v>
      </c>
      <c r="E95" s="1129">
        <v>38028.519999999997</v>
      </c>
      <c r="F95" s="1129">
        <v>40312.300000000003</v>
      </c>
      <c r="G95" s="1129">
        <v>47587.47</v>
      </c>
      <c r="H95" s="1129">
        <v>39838.47</v>
      </c>
      <c r="I95" s="1129">
        <v>39838.47</v>
      </c>
    </row>
    <row r="96" spans="2:9" ht="17" thickBot="1" x14ac:dyDescent="0.25">
      <c r="B96" s="1137"/>
      <c r="C96" s="1139" t="s">
        <v>287</v>
      </c>
      <c r="D96" s="1104" t="s">
        <v>544</v>
      </c>
      <c r="E96" s="1124">
        <v>908.6</v>
      </c>
      <c r="F96" s="1124">
        <v>515.20000000000005</v>
      </c>
      <c r="G96" s="1124">
        <v>566.72</v>
      </c>
      <c r="H96" s="1124">
        <v>623.39</v>
      </c>
      <c r="I96" s="1124">
        <v>685.73</v>
      </c>
    </row>
    <row r="97" spans="2:9" ht="17" thickBot="1" x14ac:dyDescent="0.25">
      <c r="B97" s="3300" t="s">
        <v>323</v>
      </c>
      <c r="C97" s="3301"/>
      <c r="D97" s="3301"/>
      <c r="E97" s="3301"/>
      <c r="F97" s="3301"/>
      <c r="G97" s="3301"/>
      <c r="H97" s="3301"/>
      <c r="I97" s="3310"/>
    </row>
    <row r="98" spans="2:9" ht="17" thickBot="1" x14ac:dyDescent="0.25">
      <c r="B98" s="3282" t="s">
        <v>324</v>
      </c>
      <c r="C98" s="3283"/>
      <c r="D98" s="3283"/>
      <c r="E98" s="3283"/>
      <c r="F98" s="3283"/>
      <c r="G98" s="3283"/>
      <c r="H98" s="3283"/>
      <c r="I98" s="3284"/>
    </row>
    <row r="99" spans="2:9" ht="97" thickBot="1" x14ac:dyDescent="0.25">
      <c r="B99" s="3271" t="s">
        <v>289</v>
      </c>
      <c r="C99" s="1109" t="s">
        <v>325</v>
      </c>
      <c r="D99" s="1110" t="s">
        <v>555</v>
      </c>
      <c r="E99" s="1111">
        <v>1</v>
      </c>
      <c r="F99" s="1112">
        <v>1</v>
      </c>
      <c r="G99" s="1115">
        <v>1</v>
      </c>
      <c r="H99" s="1111">
        <v>1</v>
      </c>
      <c r="I99" s="1112">
        <v>1</v>
      </c>
    </row>
    <row r="100" spans="2:9" ht="49" thickBot="1" x14ac:dyDescent="0.25">
      <c r="B100" s="3286"/>
      <c r="C100" s="1109" t="s">
        <v>326</v>
      </c>
      <c r="D100" s="1110" t="s">
        <v>3</v>
      </c>
      <c r="E100" s="1111">
        <v>48</v>
      </c>
      <c r="F100" s="1112">
        <v>48</v>
      </c>
      <c r="G100" s="1115">
        <v>45</v>
      </c>
      <c r="H100" s="1114">
        <v>45</v>
      </c>
      <c r="I100" s="1114">
        <v>45</v>
      </c>
    </row>
    <row r="101" spans="2:9" ht="65" thickBot="1" x14ac:dyDescent="0.25">
      <c r="B101" s="3286"/>
      <c r="C101" s="1134" t="s">
        <v>327</v>
      </c>
      <c r="D101" s="1110" t="s">
        <v>555</v>
      </c>
      <c r="E101" s="1111">
        <v>21</v>
      </c>
      <c r="F101" s="1112">
        <v>21</v>
      </c>
      <c r="G101" s="1112">
        <v>21</v>
      </c>
      <c r="H101" s="1112">
        <v>21</v>
      </c>
      <c r="I101" s="1112">
        <v>21</v>
      </c>
    </row>
    <row r="102" spans="2:9" ht="49" thickBot="1" x14ac:dyDescent="0.25">
      <c r="B102" s="3286"/>
      <c r="C102" s="1134" t="s">
        <v>836</v>
      </c>
      <c r="D102" s="1110" t="s">
        <v>3</v>
      </c>
      <c r="E102" s="1117">
        <v>87</v>
      </c>
      <c r="F102" s="1118">
        <v>87</v>
      </c>
      <c r="G102" s="1146">
        <v>87</v>
      </c>
      <c r="H102" s="1117">
        <v>90</v>
      </c>
      <c r="I102" s="1118">
        <v>90</v>
      </c>
    </row>
    <row r="103" spans="2:9" ht="49" thickBot="1" x14ac:dyDescent="0.25">
      <c r="B103" s="3286"/>
      <c r="C103" s="1134" t="s">
        <v>328</v>
      </c>
      <c r="D103" s="1110" t="s">
        <v>3</v>
      </c>
      <c r="E103" s="1147">
        <v>45</v>
      </c>
      <c r="F103" s="1148">
        <v>45</v>
      </c>
      <c r="G103" s="1148">
        <v>45</v>
      </c>
      <c r="H103" s="1148">
        <v>50</v>
      </c>
      <c r="I103" s="1148">
        <v>50</v>
      </c>
    </row>
    <row r="104" spans="2:9" ht="65" thickBot="1" x14ac:dyDescent="0.25">
      <c r="B104" s="3293"/>
      <c r="C104" s="1134" t="s">
        <v>329</v>
      </c>
      <c r="D104" s="1110" t="s">
        <v>555</v>
      </c>
      <c r="E104" s="1119">
        <v>28</v>
      </c>
      <c r="F104" s="1120">
        <v>28</v>
      </c>
      <c r="G104" s="1120">
        <v>28</v>
      </c>
      <c r="H104" s="1120">
        <v>29</v>
      </c>
      <c r="I104" s="1120">
        <v>29</v>
      </c>
    </row>
    <row r="105" spans="2:9" ht="33" thickBot="1" x14ac:dyDescent="0.25">
      <c r="B105" s="1108" t="s">
        <v>1070</v>
      </c>
      <c r="C105" s="1134" t="s">
        <v>330</v>
      </c>
      <c r="D105" s="1110" t="s">
        <v>331</v>
      </c>
      <c r="E105" s="1111">
        <v>430</v>
      </c>
      <c r="F105" s="1112">
        <v>450</v>
      </c>
      <c r="G105" s="1112">
        <v>500</v>
      </c>
      <c r="H105" s="1112">
        <v>500</v>
      </c>
      <c r="I105" s="1112">
        <v>500</v>
      </c>
    </row>
    <row r="106" spans="2:9" ht="49" thickBot="1" x14ac:dyDescent="0.25">
      <c r="B106" s="1108" t="s">
        <v>1076</v>
      </c>
      <c r="C106" s="1109" t="s">
        <v>332</v>
      </c>
      <c r="D106" s="1110" t="s">
        <v>555</v>
      </c>
      <c r="E106" s="1111">
        <v>95</v>
      </c>
      <c r="F106" s="1112">
        <v>92</v>
      </c>
      <c r="G106" s="1112">
        <v>93</v>
      </c>
      <c r="H106" s="1112">
        <v>93</v>
      </c>
      <c r="I106" s="1112">
        <v>93</v>
      </c>
    </row>
    <row r="107" spans="2:9" ht="17" thickBot="1" x14ac:dyDescent="0.25">
      <c r="B107" s="1155"/>
      <c r="C107" s="1134" t="s">
        <v>333</v>
      </c>
      <c r="D107" s="1110" t="s">
        <v>555</v>
      </c>
      <c r="E107" s="1111">
        <v>4</v>
      </c>
      <c r="F107" s="1112">
        <v>4</v>
      </c>
      <c r="G107" s="1112">
        <v>4</v>
      </c>
      <c r="H107" s="1112">
        <v>4</v>
      </c>
      <c r="I107" s="1112">
        <v>4</v>
      </c>
    </row>
    <row r="108" spans="2:9" ht="17" thickBot="1" x14ac:dyDescent="0.25">
      <c r="B108" s="1155"/>
      <c r="C108" s="1134" t="s">
        <v>334</v>
      </c>
      <c r="D108" s="1110" t="s">
        <v>555</v>
      </c>
      <c r="E108" s="1111">
        <v>91</v>
      </c>
      <c r="F108" s="1112">
        <v>88</v>
      </c>
      <c r="G108" s="1112">
        <v>89</v>
      </c>
      <c r="H108" s="1112">
        <v>89</v>
      </c>
      <c r="I108" s="1112">
        <v>89</v>
      </c>
    </row>
    <row r="109" spans="2:9" ht="49" thickBot="1" x14ac:dyDescent="0.25">
      <c r="B109" s="1155"/>
      <c r="C109" s="1134" t="s">
        <v>559</v>
      </c>
      <c r="D109" s="1110" t="s">
        <v>555</v>
      </c>
      <c r="E109" s="1111">
        <v>12</v>
      </c>
      <c r="F109" s="1112">
        <v>12</v>
      </c>
      <c r="G109" s="1112">
        <v>12</v>
      </c>
      <c r="H109" s="1112">
        <v>12</v>
      </c>
      <c r="I109" s="1112">
        <v>12</v>
      </c>
    </row>
    <row r="110" spans="2:9" ht="113" thickBot="1" x14ac:dyDescent="0.25">
      <c r="B110" s="1156"/>
      <c r="C110" s="1109" t="s">
        <v>553</v>
      </c>
      <c r="D110" s="1110" t="s">
        <v>555</v>
      </c>
      <c r="E110" s="1111">
        <v>33</v>
      </c>
      <c r="F110" s="1112">
        <v>35</v>
      </c>
      <c r="G110" s="1112">
        <v>35</v>
      </c>
      <c r="H110" s="1112">
        <v>35</v>
      </c>
      <c r="I110" s="1112">
        <v>40</v>
      </c>
    </row>
    <row r="111" spans="2:9" ht="17" thickBot="1" x14ac:dyDescent="0.25">
      <c r="B111" s="1108"/>
      <c r="C111" s="1140" t="s">
        <v>284</v>
      </c>
      <c r="D111" s="1104"/>
      <c r="E111" s="1141"/>
      <c r="F111" s="1141"/>
      <c r="G111" s="1142"/>
      <c r="H111" s="1143"/>
      <c r="I111" s="1141"/>
    </row>
    <row r="112" spans="2:9" ht="17" thickBot="1" x14ac:dyDescent="0.25">
      <c r="B112" s="1108"/>
      <c r="C112" s="1139" t="s">
        <v>285</v>
      </c>
      <c r="D112" s="1104" t="s">
        <v>544</v>
      </c>
      <c r="E112" s="1129">
        <v>69333.31</v>
      </c>
      <c r="F112" s="1129">
        <v>112233.21</v>
      </c>
      <c r="G112" s="1129">
        <v>126843.33</v>
      </c>
      <c r="H112" s="1129">
        <v>116381.35</v>
      </c>
      <c r="I112" s="1129">
        <v>154289.84</v>
      </c>
    </row>
    <row r="113" spans="2:9" ht="17" thickBot="1" x14ac:dyDescent="0.25">
      <c r="B113" s="1108"/>
      <c r="C113" s="1139" t="s">
        <v>286</v>
      </c>
      <c r="D113" s="1104" t="s">
        <v>544</v>
      </c>
      <c r="E113" s="1129">
        <v>67506.66</v>
      </c>
      <c r="F113" s="1129">
        <v>111133.21</v>
      </c>
      <c r="G113" s="1130">
        <v>125743.33</v>
      </c>
      <c r="H113" s="1132">
        <v>115281.35</v>
      </c>
      <c r="I113" s="1129">
        <v>153189.84</v>
      </c>
    </row>
    <row r="114" spans="2:9" ht="49" thickBot="1" x14ac:dyDescent="0.25">
      <c r="B114" s="1108"/>
      <c r="C114" s="1139" t="s">
        <v>957</v>
      </c>
      <c r="D114" s="1104" t="s">
        <v>544</v>
      </c>
      <c r="E114" s="1129">
        <v>67470.149999999994</v>
      </c>
      <c r="F114" s="1129">
        <v>110953.21</v>
      </c>
      <c r="G114" s="1129">
        <v>123343.33</v>
      </c>
      <c r="H114" s="1129">
        <v>115281.35</v>
      </c>
      <c r="I114" s="1129">
        <v>153189.84</v>
      </c>
    </row>
    <row r="115" spans="2:9" ht="17" thickBot="1" x14ac:dyDescent="0.25">
      <c r="B115" s="1137"/>
      <c r="C115" s="1149" t="s">
        <v>287</v>
      </c>
      <c r="D115" s="1104" t="s">
        <v>544</v>
      </c>
      <c r="E115" s="1129">
        <v>1826.65</v>
      </c>
      <c r="F115" s="1129">
        <v>1100</v>
      </c>
      <c r="G115" s="1129">
        <v>1100</v>
      </c>
      <c r="H115" s="1129">
        <v>1100</v>
      </c>
      <c r="I115" s="1129">
        <v>1100</v>
      </c>
    </row>
    <row r="116" spans="2:9" ht="17" thickBot="1" x14ac:dyDescent="0.25">
      <c r="B116" s="3296" t="s">
        <v>335</v>
      </c>
      <c r="C116" s="3297"/>
      <c r="D116" s="3297"/>
      <c r="E116" s="3297"/>
      <c r="F116" s="3297"/>
      <c r="G116" s="3297"/>
      <c r="H116" s="3297"/>
      <c r="I116" s="3312"/>
    </row>
    <row r="117" spans="2:9" ht="49" thickBot="1" x14ac:dyDescent="0.25">
      <c r="B117" s="3271" t="s">
        <v>289</v>
      </c>
      <c r="C117" s="1109" t="s">
        <v>336</v>
      </c>
      <c r="D117" s="1110" t="s">
        <v>3</v>
      </c>
      <c r="E117" s="1117">
        <v>98</v>
      </c>
      <c r="F117" s="1118">
        <v>98</v>
      </c>
      <c r="G117" s="1118">
        <v>98</v>
      </c>
      <c r="H117" s="1118">
        <v>98</v>
      </c>
      <c r="I117" s="1118">
        <v>98</v>
      </c>
    </row>
    <row r="118" spans="2:9" ht="81" thickBot="1" x14ac:dyDescent="0.25">
      <c r="B118" s="3293"/>
      <c r="C118" s="1109" t="s">
        <v>337</v>
      </c>
      <c r="D118" s="1110" t="s">
        <v>3</v>
      </c>
      <c r="E118" s="1119">
        <v>12</v>
      </c>
      <c r="F118" s="1120">
        <v>12</v>
      </c>
      <c r="G118" s="1120">
        <v>12</v>
      </c>
      <c r="H118" s="1120">
        <v>13</v>
      </c>
      <c r="I118" s="1120">
        <v>13</v>
      </c>
    </row>
    <row r="119" spans="2:9" ht="65" thickBot="1" x14ac:dyDescent="0.25">
      <c r="B119" s="1108" t="s">
        <v>1070</v>
      </c>
      <c r="C119" s="1109" t="s">
        <v>338</v>
      </c>
      <c r="D119" s="1024" t="s">
        <v>339</v>
      </c>
      <c r="E119" s="1136">
        <v>612</v>
      </c>
      <c r="F119" s="1136">
        <v>637</v>
      </c>
      <c r="G119" s="1136">
        <v>672</v>
      </c>
      <c r="H119" s="1136">
        <v>693</v>
      </c>
      <c r="I119" s="1136">
        <v>719</v>
      </c>
    </row>
    <row r="120" spans="2:9" ht="49" thickBot="1" x14ac:dyDescent="0.25">
      <c r="B120" s="1137" t="s">
        <v>1076</v>
      </c>
      <c r="C120" s="1109" t="s">
        <v>340</v>
      </c>
      <c r="D120" s="1024" t="s">
        <v>339</v>
      </c>
      <c r="E120" s="1150">
        <v>1223</v>
      </c>
      <c r="F120" s="1150">
        <v>1208</v>
      </c>
      <c r="G120" s="1150">
        <v>1231</v>
      </c>
      <c r="H120" s="1150">
        <v>1251</v>
      </c>
      <c r="I120" s="1150">
        <v>1271</v>
      </c>
    </row>
    <row r="121" spans="2:9" ht="17" thickBot="1" x14ac:dyDescent="0.25">
      <c r="B121" s="1108"/>
      <c r="C121" s="1140" t="s">
        <v>284</v>
      </c>
      <c r="D121" s="1104"/>
      <c r="E121" s="1141"/>
      <c r="F121" s="1141"/>
      <c r="G121" s="1142"/>
      <c r="H121" s="1143"/>
      <c r="I121" s="1141"/>
    </row>
    <row r="122" spans="2:9" ht="17" thickBot="1" x14ac:dyDescent="0.25">
      <c r="B122" s="1108"/>
      <c r="C122" s="1139" t="s">
        <v>285</v>
      </c>
      <c r="D122" s="1104" t="s">
        <v>544</v>
      </c>
      <c r="E122" s="1129">
        <v>28249.439999999999</v>
      </c>
      <c r="F122" s="1129">
        <v>46757.29</v>
      </c>
      <c r="G122" s="1129">
        <v>50031.87</v>
      </c>
      <c r="H122" s="1129">
        <v>48411.15</v>
      </c>
      <c r="I122" s="1129">
        <v>63809.16</v>
      </c>
    </row>
    <row r="123" spans="2:9" ht="17" thickBot="1" x14ac:dyDescent="0.25">
      <c r="B123" s="1108"/>
      <c r="C123" s="1139" t="s">
        <v>286</v>
      </c>
      <c r="D123" s="1104" t="s">
        <v>544</v>
      </c>
      <c r="E123" s="1129">
        <v>28249.439999999999</v>
      </c>
      <c r="F123" s="1129">
        <v>46757.29</v>
      </c>
      <c r="G123" s="1130">
        <v>50031.87</v>
      </c>
      <c r="H123" s="1132">
        <v>48411.15</v>
      </c>
      <c r="I123" s="1129">
        <v>63809.16</v>
      </c>
    </row>
    <row r="124" spans="2:9" ht="49" thickBot="1" x14ac:dyDescent="0.25">
      <c r="B124" s="1108"/>
      <c r="C124" s="1139" t="s">
        <v>957</v>
      </c>
      <c r="D124" s="1104" t="s">
        <v>544</v>
      </c>
      <c r="E124" s="1129">
        <v>27493.439999999999</v>
      </c>
      <c r="F124" s="1129">
        <v>45937.29</v>
      </c>
      <c r="G124" s="1130">
        <v>50031.87</v>
      </c>
      <c r="H124" s="1132">
        <v>48411.15</v>
      </c>
      <c r="I124" s="1129">
        <v>63809.16</v>
      </c>
    </row>
    <row r="125" spans="2:9" ht="17" thickBot="1" x14ac:dyDescent="0.25">
      <c r="B125" s="1137"/>
      <c r="C125" s="1149" t="s">
        <v>287</v>
      </c>
      <c r="D125" s="1104" t="s">
        <v>544</v>
      </c>
      <c r="E125" s="1124">
        <v>0</v>
      </c>
      <c r="F125" s="1124">
        <v>0</v>
      </c>
      <c r="G125" s="1125">
        <v>0</v>
      </c>
      <c r="H125" s="1127">
        <v>0</v>
      </c>
      <c r="I125" s="1124">
        <v>0</v>
      </c>
    </row>
    <row r="126" spans="2:9" ht="17" thickBot="1" x14ac:dyDescent="0.25">
      <c r="B126" s="3296" t="s">
        <v>341</v>
      </c>
      <c r="C126" s="3297"/>
      <c r="D126" s="3297"/>
      <c r="E126" s="3297"/>
      <c r="F126" s="3297"/>
      <c r="G126" s="3297"/>
      <c r="H126" s="3297"/>
      <c r="I126" s="3312"/>
    </row>
    <row r="127" spans="2:9" ht="33" thickBot="1" x14ac:dyDescent="0.25">
      <c r="B127" s="3271" t="s">
        <v>289</v>
      </c>
      <c r="C127" s="1134" t="s">
        <v>342</v>
      </c>
      <c r="D127" s="1110" t="s">
        <v>555</v>
      </c>
      <c r="E127" s="1117">
        <v>3</v>
      </c>
      <c r="F127" s="1118">
        <v>3</v>
      </c>
      <c r="G127" s="1118">
        <v>3</v>
      </c>
      <c r="H127" s="1118">
        <v>3</v>
      </c>
      <c r="I127" s="1118">
        <v>3</v>
      </c>
    </row>
    <row r="128" spans="2:9" ht="49" thickBot="1" x14ac:dyDescent="0.25">
      <c r="B128" s="3286"/>
      <c r="C128" s="1134" t="s">
        <v>343</v>
      </c>
      <c r="D128" s="1110" t="s">
        <v>555</v>
      </c>
      <c r="E128" s="1147">
        <v>22</v>
      </c>
      <c r="F128" s="1148">
        <v>23</v>
      </c>
      <c r="G128" s="1148">
        <v>23</v>
      </c>
      <c r="H128" s="1148">
        <v>23</v>
      </c>
      <c r="I128" s="1148">
        <v>23</v>
      </c>
    </row>
    <row r="129" spans="2:9" ht="49" thickBot="1" x14ac:dyDescent="0.25">
      <c r="B129" s="3293"/>
      <c r="C129" s="1134" t="s">
        <v>344</v>
      </c>
      <c r="D129" s="1110" t="s">
        <v>339</v>
      </c>
      <c r="E129" s="1119">
        <v>30</v>
      </c>
      <c r="F129" s="1120">
        <v>31</v>
      </c>
      <c r="G129" s="1120">
        <v>31</v>
      </c>
      <c r="H129" s="1120">
        <v>31</v>
      </c>
      <c r="I129" s="1120">
        <v>31</v>
      </c>
    </row>
    <row r="130" spans="2:9" ht="33" thickBot="1" x14ac:dyDescent="0.25">
      <c r="B130" s="1108" t="s">
        <v>1070</v>
      </c>
      <c r="C130" s="1134" t="s">
        <v>345</v>
      </c>
      <c r="D130" s="1024" t="s">
        <v>555</v>
      </c>
      <c r="E130" s="1112">
        <v>60</v>
      </c>
      <c r="F130" s="1112">
        <v>62</v>
      </c>
      <c r="G130" s="1112">
        <v>63</v>
      </c>
      <c r="H130" s="1112">
        <v>63</v>
      </c>
      <c r="I130" s="1112">
        <v>65</v>
      </c>
    </row>
    <row r="131" spans="2:9" ht="17" thickBot="1" x14ac:dyDescent="0.25">
      <c r="B131" s="1108" t="s">
        <v>1076</v>
      </c>
      <c r="C131" s="1134" t="s">
        <v>346</v>
      </c>
      <c r="D131" s="1024" t="s">
        <v>555</v>
      </c>
      <c r="E131" s="1112">
        <v>15</v>
      </c>
      <c r="F131" s="1112">
        <v>15</v>
      </c>
      <c r="G131" s="1112">
        <v>16</v>
      </c>
      <c r="H131" s="1112">
        <v>16</v>
      </c>
      <c r="I131" s="1112">
        <v>15</v>
      </c>
    </row>
    <row r="132" spans="2:9" ht="33" thickBot="1" x14ac:dyDescent="0.25">
      <c r="B132" s="1155"/>
      <c r="C132" s="1134" t="s">
        <v>347</v>
      </c>
      <c r="D132" s="1024" t="s">
        <v>348</v>
      </c>
      <c r="E132" s="1112">
        <v>32</v>
      </c>
      <c r="F132" s="1112">
        <v>32</v>
      </c>
      <c r="G132" s="1112">
        <v>33</v>
      </c>
      <c r="H132" s="1112">
        <v>33</v>
      </c>
      <c r="I132" s="1112">
        <v>35</v>
      </c>
    </row>
    <row r="133" spans="2:9" ht="49" thickBot="1" x14ac:dyDescent="0.25">
      <c r="B133" s="1155"/>
      <c r="C133" s="1134" t="s">
        <v>349</v>
      </c>
      <c r="D133" s="1024" t="s">
        <v>348</v>
      </c>
      <c r="E133" s="1112">
        <v>24</v>
      </c>
      <c r="F133" s="1112">
        <v>24</v>
      </c>
      <c r="G133" s="1112">
        <v>25</v>
      </c>
      <c r="H133" s="1112">
        <v>25</v>
      </c>
      <c r="I133" s="1112">
        <v>27</v>
      </c>
    </row>
    <row r="134" spans="2:9" ht="49" thickBot="1" x14ac:dyDescent="0.25">
      <c r="B134" s="1156"/>
      <c r="C134" s="1134" t="s">
        <v>350</v>
      </c>
      <c r="D134" s="1024" t="s">
        <v>348</v>
      </c>
      <c r="E134" s="1112">
        <v>8</v>
      </c>
      <c r="F134" s="1112">
        <v>8</v>
      </c>
      <c r="G134" s="1112">
        <v>8</v>
      </c>
      <c r="H134" s="1112">
        <v>8</v>
      </c>
      <c r="I134" s="1112">
        <v>8</v>
      </c>
    </row>
    <row r="135" spans="2:9" ht="17" thickBot="1" x14ac:dyDescent="0.25">
      <c r="B135" s="1108"/>
      <c r="C135" s="1140" t="s">
        <v>284</v>
      </c>
      <c r="D135" s="1104"/>
      <c r="E135" s="1141"/>
      <c r="F135" s="1141"/>
      <c r="G135" s="1142"/>
      <c r="H135" s="1143"/>
      <c r="I135" s="1141"/>
    </row>
    <row r="136" spans="2:9" ht="17" thickBot="1" x14ac:dyDescent="0.25">
      <c r="B136" s="1108"/>
      <c r="C136" s="1139" t="s">
        <v>285</v>
      </c>
      <c r="D136" s="1104" t="s">
        <v>544</v>
      </c>
      <c r="E136" s="1129">
        <v>23001.71</v>
      </c>
      <c r="F136" s="1129">
        <v>37491.089999999997</v>
      </c>
      <c r="G136" s="1130">
        <v>41517.339999999997</v>
      </c>
      <c r="H136" s="1132">
        <v>35876.14</v>
      </c>
      <c r="I136" s="1129">
        <v>34876.14</v>
      </c>
    </row>
    <row r="137" spans="2:9" ht="17" thickBot="1" x14ac:dyDescent="0.25">
      <c r="B137" s="1108"/>
      <c r="C137" s="1139" t="s">
        <v>286</v>
      </c>
      <c r="D137" s="1104" t="s">
        <v>544</v>
      </c>
      <c r="E137" s="1129">
        <v>23001.71</v>
      </c>
      <c r="F137" s="1129">
        <v>37491.089999999997</v>
      </c>
      <c r="G137" s="1130">
        <v>41517.339999999997</v>
      </c>
      <c r="H137" s="1132">
        <v>35876.14</v>
      </c>
      <c r="I137" s="1129">
        <v>34876.14</v>
      </c>
    </row>
    <row r="138" spans="2:9" ht="49" thickBot="1" x14ac:dyDescent="0.25">
      <c r="B138" s="1108"/>
      <c r="C138" s="1139" t="s">
        <v>957</v>
      </c>
      <c r="D138" s="1104" t="s">
        <v>544</v>
      </c>
      <c r="E138" s="1129">
        <v>7347.77</v>
      </c>
      <c r="F138" s="1129">
        <v>12554.37</v>
      </c>
      <c r="G138" s="1130">
        <v>10410.94</v>
      </c>
      <c r="H138" s="1132">
        <v>9352.14</v>
      </c>
      <c r="I138" s="1129">
        <v>8352.14</v>
      </c>
    </row>
    <row r="139" spans="2:9" ht="17" thickBot="1" x14ac:dyDescent="0.25">
      <c r="B139" s="1137"/>
      <c r="C139" s="1139" t="s">
        <v>287</v>
      </c>
      <c r="D139" s="1104" t="s">
        <v>544</v>
      </c>
      <c r="E139" s="1124">
        <v>0</v>
      </c>
      <c r="F139" s="1124">
        <v>0</v>
      </c>
      <c r="G139" s="1124">
        <v>0</v>
      </c>
      <c r="H139" s="1124">
        <v>0</v>
      </c>
      <c r="I139" s="1124">
        <v>0</v>
      </c>
    </row>
    <row r="140" spans="2:9" ht="17" thickBot="1" x14ac:dyDescent="0.25">
      <c r="B140" s="3299" t="s">
        <v>575</v>
      </c>
      <c r="C140" s="3299"/>
      <c r="D140" s="1069"/>
      <c r="E140" s="1069"/>
      <c r="F140" s="1069"/>
      <c r="G140" s="1069"/>
      <c r="H140" s="1069"/>
      <c r="I140" s="1069"/>
    </row>
    <row r="141" spans="2:9" ht="17" thickBot="1" x14ac:dyDescent="0.25">
      <c r="B141" s="3294" t="s">
        <v>285</v>
      </c>
      <c r="C141" s="3311"/>
      <c r="D141" s="1151" t="s">
        <v>544</v>
      </c>
      <c r="E141" s="1152">
        <v>861541.41</v>
      </c>
      <c r="F141" s="1152">
        <v>1081863.46</v>
      </c>
      <c r="G141" s="1152">
        <v>1251668</v>
      </c>
      <c r="H141" s="1152">
        <v>942151.97</v>
      </c>
      <c r="I141" s="1152">
        <v>993923.55</v>
      </c>
    </row>
    <row r="142" spans="2:9" ht="17" thickBot="1" x14ac:dyDescent="0.25">
      <c r="B142" s="3294" t="s">
        <v>286</v>
      </c>
      <c r="C142" s="3311"/>
      <c r="D142" s="1104" t="s">
        <v>544</v>
      </c>
      <c r="E142" s="1153">
        <v>821977.86</v>
      </c>
      <c r="F142" s="1153">
        <v>1052126.46</v>
      </c>
      <c r="G142" s="1153">
        <v>1219067.3</v>
      </c>
      <c r="H142" s="1153">
        <v>906401.2</v>
      </c>
      <c r="I142" s="1153">
        <v>954707.7</v>
      </c>
    </row>
    <row r="143" spans="2:9" ht="17" thickBot="1" x14ac:dyDescent="0.25">
      <c r="B143" s="3294" t="s">
        <v>956</v>
      </c>
      <c r="C143" s="3311"/>
      <c r="D143" s="1104" t="s">
        <v>544</v>
      </c>
      <c r="E143" s="1153">
        <v>741759.67</v>
      </c>
      <c r="F143" s="1153">
        <v>917628.2</v>
      </c>
      <c r="G143" s="1153">
        <v>956952.7</v>
      </c>
      <c r="H143" s="1153">
        <v>875789.7</v>
      </c>
      <c r="I143" s="1153">
        <v>924096.2</v>
      </c>
    </row>
    <row r="144" spans="2:9" ht="17" thickBot="1" x14ac:dyDescent="0.25">
      <c r="B144" s="3294" t="s">
        <v>287</v>
      </c>
      <c r="C144" s="3311"/>
      <c r="D144" s="1104" t="s">
        <v>544</v>
      </c>
      <c r="E144" s="1153">
        <v>39563.550000000003</v>
      </c>
      <c r="F144" s="1153">
        <v>29737</v>
      </c>
      <c r="G144" s="1153">
        <v>32600.7</v>
      </c>
      <c r="H144" s="1153">
        <v>35750.769999999997</v>
      </c>
      <c r="I144" s="1153">
        <v>39215.85</v>
      </c>
    </row>
  </sheetData>
  <mergeCells count="42">
    <mergeCell ref="B98:I98"/>
    <mergeCell ref="B141:C141"/>
    <mergeCell ref="B142:C142"/>
    <mergeCell ref="B143:C143"/>
    <mergeCell ref="B144:C144"/>
    <mergeCell ref="B99:B104"/>
    <mergeCell ref="B116:I116"/>
    <mergeCell ref="B117:B118"/>
    <mergeCell ref="B126:I126"/>
    <mergeCell ref="B127:B129"/>
    <mergeCell ref="B140:C140"/>
    <mergeCell ref="B76:I76"/>
    <mergeCell ref="B77:B78"/>
    <mergeCell ref="B86:I86"/>
    <mergeCell ref="B87:B89"/>
    <mergeCell ref="B97:I97"/>
    <mergeCell ref="B42:I42"/>
    <mergeCell ref="B43:H43"/>
    <mergeCell ref="B44:B45"/>
    <mergeCell ref="B56:I56"/>
    <mergeCell ref="B57:B67"/>
    <mergeCell ref="C58:C59"/>
    <mergeCell ref="C60:C61"/>
    <mergeCell ref="C62:C63"/>
    <mergeCell ref="C64:C65"/>
    <mergeCell ref="C66:C67"/>
    <mergeCell ref="B10:I10"/>
    <mergeCell ref="B11:I11"/>
    <mergeCell ref="B12:B13"/>
    <mergeCell ref="B24:I24"/>
    <mergeCell ref="B25:B34"/>
    <mergeCell ref="C7:I7"/>
    <mergeCell ref="B8:B9"/>
    <mergeCell ref="C8:C9"/>
    <mergeCell ref="E8:E9"/>
    <mergeCell ref="F8:F9"/>
    <mergeCell ref="G8:I8"/>
    <mergeCell ref="H2:I2"/>
    <mergeCell ref="D3:I3"/>
    <mergeCell ref="D4:I4"/>
    <mergeCell ref="E5:I5"/>
    <mergeCell ref="C6:G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B2:S59"/>
  <sheetViews>
    <sheetView tabSelected="1" view="pageBreakPreview" zoomScale="85" zoomScaleSheetLayoutView="85" workbookViewId="0">
      <selection activeCell="H17" sqref="H13:H17"/>
    </sheetView>
  </sheetViews>
  <sheetFormatPr baseColWidth="10" defaultColWidth="8.83203125" defaultRowHeight="13" x14ac:dyDescent="0.15"/>
  <cols>
    <col min="1" max="1" width="1.5" style="103" customWidth="1"/>
    <col min="2" max="2" width="6.1640625" style="103" customWidth="1"/>
    <col min="3" max="3" width="67.33203125" style="103" customWidth="1"/>
    <col min="4" max="4" width="10.83203125" style="103" customWidth="1"/>
    <col min="5" max="7" width="10.6640625" style="103" customWidth="1"/>
    <col min="8" max="8" width="11.33203125" style="103" customWidth="1"/>
    <col min="9" max="10" width="11.5" style="103" customWidth="1"/>
    <col min="11" max="11" width="11.1640625" style="103" customWidth="1"/>
    <col min="12" max="12" width="10.83203125" style="103" customWidth="1"/>
    <col min="13" max="13" width="11.6640625" style="103" bestFit="1" customWidth="1"/>
    <col min="14" max="16384" width="8.83203125" style="103"/>
  </cols>
  <sheetData>
    <row r="2" spans="2:17" ht="21" customHeight="1" x14ac:dyDescent="0.2">
      <c r="I2" s="2799" t="s">
        <v>511</v>
      </c>
      <c r="J2" s="2799"/>
      <c r="K2" s="2799"/>
    </row>
    <row r="3" spans="2:17" s="988" customFormat="1" ht="45" customHeight="1" x14ac:dyDescent="0.15">
      <c r="G3" s="2895" t="s">
        <v>1823</v>
      </c>
      <c r="H3" s="2895"/>
      <c r="I3" s="2895"/>
      <c r="J3" s="2895"/>
      <c r="K3" s="2895"/>
    </row>
    <row r="5" spans="2:17" s="106" customFormat="1" ht="21.75" customHeight="1" x14ac:dyDescent="0.2">
      <c r="C5" s="2887" t="s">
        <v>576</v>
      </c>
      <c r="D5" s="2887"/>
      <c r="E5" s="2887"/>
      <c r="F5" s="2887"/>
      <c r="G5" s="2887"/>
      <c r="H5" s="2887"/>
      <c r="I5" s="2887"/>
      <c r="J5" s="2887"/>
      <c r="K5" s="2887"/>
    </row>
    <row r="6" spans="2:17" x14ac:dyDescent="0.15">
      <c r="K6" s="966" t="s">
        <v>512</v>
      </c>
    </row>
    <row r="7" spans="2:17" s="108" customFormat="1" ht="15" customHeight="1" x14ac:dyDescent="0.15">
      <c r="B7" s="2896" t="s">
        <v>919</v>
      </c>
      <c r="C7" s="2892" t="s">
        <v>513</v>
      </c>
      <c r="D7" s="2888" t="s">
        <v>0</v>
      </c>
      <c r="E7" s="2888"/>
      <c r="F7" s="2888"/>
      <c r="G7" s="2888"/>
      <c r="H7" s="2889" t="s">
        <v>1</v>
      </c>
      <c r="I7" s="2890"/>
      <c r="J7" s="2890"/>
      <c r="K7" s="2891"/>
    </row>
    <row r="8" spans="2:17" s="108" customFormat="1" ht="15" customHeight="1" x14ac:dyDescent="0.15">
      <c r="B8" s="2896"/>
      <c r="C8" s="2897"/>
      <c r="D8" s="2888" t="s">
        <v>57</v>
      </c>
      <c r="E8" s="2888"/>
      <c r="F8" s="2888" t="s">
        <v>67</v>
      </c>
      <c r="G8" s="2888"/>
      <c r="H8" s="2892" t="s">
        <v>632</v>
      </c>
      <c r="I8" s="2892" t="s">
        <v>633</v>
      </c>
      <c r="J8" s="2888" t="s">
        <v>634</v>
      </c>
      <c r="K8" s="2888" t="s">
        <v>1398</v>
      </c>
    </row>
    <row r="9" spans="2:17" s="108" customFormat="1" ht="16" x14ac:dyDescent="0.15">
      <c r="B9" s="2896"/>
      <c r="C9" s="2893"/>
      <c r="D9" s="963" t="s">
        <v>514</v>
      </c>
      <c r="E9" s="963" t="s">
        <v>515</v>
      </c>
      <c r="F9" s="963" t="s">
        <v>514</v>
      </c>
      <c r="G9" s="963" t="s">
        <v>515</v>
      </c>
      <c r="H9" s="2893"/>
      <c r="I9" s="2893"/>
      <c r="J9" s="2888"/>
      <c r="K9" s="2888"/>
    </row>
    <row r="10" spans="2:17" s="108" customFormat="1" ht="16" x14ac:dyDescent="0.15">
      <c r="B10" s="996">
        <v>1</v>
      </c>
      <c r="C10" s="963">
        <v>2</v>
      </c>
      <c r="D10" s="963">
        <v>3</v>
      </c>
      <c r="E10" s="963">
        <v>4</v>
      </c>
      <c r="F10" s="963">
        <v>5</v>
      </c>
      <c r="G10" s="963">
        <v>6</v>
      </c>
      <c r="H10" s="963">
        <v>7</v>
      </c>
      <c r="I10" s="963">
        <v>8</v>
      </c>
      <c r="J10" s="963">
        <v>9</v>
      </c>
      <c r="K10" s="963">
        <v>10</v>
      </c>
      <c r="M10" s="964"/>
      <c r="N10" s="964"/>
      <c r="O10" s="2884" t="s">
        <v>960</v>
      </c>
      <c r="P10" s="2885"/>
      <c r="Q10" s="2886"/>
    </row>
    <row r="11" spans="2:17" ht="16" x14ac:dyDescent="0.2">
      <c r="B11" s="991" t="s">
        <v>6</v>
      </c>
      <c r="C11" s="2875" t="s">
        <v>516</v>
      </c>
      <c r="D11" s="2876"/>
      <c r="E11" s="2876"/>
      <c r="F11" s="2875"/>
      <c r="G11" s="2875"/>
      <c r="H11" s="2875"/>
      <c r="I11" s="2875"/>
      <c r="J11" s="2875"/>
      <c r="K11" s="2875"/>
      <c r="M11" s="967"/>
      <c r="N11" s="967"/>
      <c r="O11" s="967">
        <v>2011</v>
      </c>
      <c r="P11" s="967">
        <v>2013</v>
      </c>
      <c r="Q11" s="967"/>
    </row>
    <row r="12" spans="2:17" s="109" customFormat="1" ht="18" customHeight="1" x14ac:dyDescent="0.15">
      <c r="B12" s="992" t="s">
        <v>7</v>
      </c>
      <c r="C12" s="1021" t="s">
        <v>517</v>
      </c>
      <c r="D12" s="2388">
        <f>2342.1+2540.67939+20.3866</f>
        <v>4903.1659899999995</v>
      </c>
      <c r="E12" s="2388">
        <f>2091.2+44.46367</f>
        <v>2135.6636699999999</v>
      </c>
      <c r="F12" s="2391"/>
      <c r="G12" s="2387">
        <f>2166.4+251+118.7</f>
        <v>2536.1</v>
      </c>
      <c r="H12" s="2387">
        <f>2164.5+240.2+194.5</f>
        <v>2599.1999999999998</v>
      </c>
      <c r="I12" s="2388">
        <v>0</v>
      </c>
      <c r="J12" s="2388">
        <v>0</v>
      </c>
      <c r="K12" s="2388">
        <v>0</v>
      </c>
      <c r="M12" s="2894" t="s">
        <v>139</v>
      </c>
      <c r="N12" s="2894"/>
      <c r="O12" s="965">
        <v>0</v>
      </c>
      <c r="P12" s="965">
        <v>400</v>
      </c>
      <c r="Q12" s="965"/>
    </row>
    <row r="13" spans="2:17" s="109" customFormat="1" ht="16" x14ac:dyDescent="0.15">
      <c r="B13" s="992" t="s">
        <v>8</v>
      </c>
      <c r="C13" s="1021" t="s">
        <v>518</v>
      </c>
      <c r="D13" s="2388">
        <v>25767.1</v>
      </c>
      <c r="E13" s="2388">
        <v>32408.9</v>
      </c>
      <c r="F13" s="2387">
        <f>Доходы!D46</f>
        <v>28848.6</v>
      </c>
      <c r="G13" s="2387">
        <f>Доходы!E46</f>
        <v>45014.228999999992</v>
      </c>
      <c r="H13" s="2387">
        <f>Доходы!F46</f>
        <v>38570</v>
      </c>
      <c r="I13" s="2387">
        <f>Доходы!H46</f>
        <v>42252</v>
      </c>
      <c r="J13" s="2387">
        <f>Доходы!I46</f>
        <v>46349.200000000004</v>
      </c>
      <c r="K13" s="2388">
        <f>J13*1.1</f>
        <v>50984.12000000001</v>
      </c>
      <c r="M13" s="2894" t="s">
        <v>140</v>
      </c>
      <c r="N13" s="2894"/>
      <c r="O13" s="965">
        <v>0</v>
      </c>
      <c r="P13" s="965">
        <v>200</v>
      </c>
      <c r="Q13" s="965"/>
    </row>
    <row r="14" spans="2:17" s="109" customFormat="1" ht="16" x14ac:dyDescent="0.15">
      <c r="B14" s="992" t="s">
        <v>460</v>
      </c>
      <c r="C14" s="1021" t="s">
        <v>519</v>
      </c>
      <c r="D14" s="2392">
        <v>1482</v>
      </c>
      <c r="E14" s="2388">
        <v>1731.9</v>
      </c>
      <c r="F14" s="2387">
        <f>Доходы!D16</f>
        <v>1538</v>
      </c>
      <c r="G14" s="2387">
        <f>Доходы!E16</f>
        <v>2960.1660000000002</v>
      </c>
      <c r="H14" s="2387">
        <f>Доходы!F16</f>
        <v>2092</v>
      </c>
      <c r="I14" s="2388">
        <f>Доходы!H16</f>
        <v>2303.3000000000002</v>
      </c>
      <c r="J14" s="2388">
        <f>Доходы!I16</f>
        <v>2502.13</v>
      </c>
      <c r="K14" s="2388">
        <f t="shared" ref="K14" si="0">J14*1.05</f>
        <v>2627.2365000000004</v>
      </c>
      <c r="M14" s="2894" t="s">
        <v>144</v>
      </c>
      <c r="N14" s="2894"/>
      <c r="O14" s="965">
        <v>0</v>
      </c>
      <c r="P14" s="965">
        <v>858</v>
      </c>
      <c r="Q14" s="965"/>
    </row>
    <row r="15" spans="2:17" s="109" customFormat="1" ht="16" x14ac:dyDescent="0.15">
      <c r="B15" s="992" t="s">
        <v>465</v>
      </c>
      <c r="C15" s="1021" t="s">
        <v>520</v>
      </c>
      <c r="D15" s="2388">
        <v>736.3</v>
      </c>
      <c r="E15" s="2388">
        <v>803.2</v>
      </c>
      <c r="F15" s="2387">
        <f>Доходы!D20</f>
        <v>800</v>
      </c>
      <c r="G15" s="2387">
        <f>Доходы!E20</f>
        <v>984.9</v>
      </c>
      <c r="H15" s="2387">
        <f>Доходы!F20</f>
        <v>824</v>
      </c>
      <c r="I15" s="2388">
        <f>Доходы!H20</f>
        <v>840</v>
      </c>
      <c r="J15" s="2388">
        <f>Доходы!I20</f>
        <v>860</v>
      </c>
      <c r="K15" s="2388">
        <f>J15*1.05</f>
        <v>903</v>
      </c>
      <c r="M15" s="2894" t="s">
        <v>38</v>
      </c>
      <c r="N15" s="2894"/>
      <c r="O15" s="965">
        <v>1000</v>
      </c>
      <c r="P15" s="965"/>
      <c r="Q15" s="965"/>
    </row>
    <row r="16" spans="2:17" s="109" customFormat="1" ht="16" x14ac:dyDescent="0.15">
      <c r="B16" s="992" t="s">
        <v>468</v>
      </c>
      <c r="C16" s="1021" t="s">
        <v>521</v>
      </c>
      <c r="D16" s="2388">
        <v>2208.701</v>
      </c>
      <c r="E16" s="2388">
        <v>791.8</v>
      </c>
      <c r="F16" s="2387">
        <f>Доходы!D9</f>
        <v>1200</v>
      </c>
      <c r="G16" s="2387">
        <f>Доходы!E9</f>
        <v>1564.1</v>
      </c>
      <c r="H16" s="2387">
        <f>Доходы!F9</f>
        <v>1500</v>
      </c>
      <c r="I16" s="2388">
        <f>Доходы!H9</f>
        <v>1650</v>
      </c>
      <c r="J16" s="2388">
        <f>Доходы!I9</f>
        <v>1800</v>
      </c>
      <c r="K16" s="2388">
        <f t="shared" ref="K16" si="1">J16*1.1</f>
        <v>1980.0000000000002</v>
      </c>
      <c r="M16" s="2894" t="s">
        <v>575</v>
      </c>
      <c r="N16" s="2894"/>
      <c r="O16" s="965">
        <f>SUM(O12:O15)</f>
        <v>1000</v>
      </c>
      <c r="P16" s="965">
        <f>SUM(P12:P15)</f>
        <v>1458</v>
      </c>
      <c r="Q16" s="965"/>
    </row>
    <row r="17" spans="2:19" s="109" customFormat="1" ht="32" x14ac:dyDescent="0.15">
      <c r="B17" s="992" t="s">
        <v>475</v>
      </c>
      <c r="C17" s="1021" t="s">
        <v>522</v>
      </c>
      <c r="D17" s="2388">
        <v>0</v>
      </c>
      <c r="E17" s="2388">
        <v>0</v>
      </c>
      <c r="F17" s="2387">
        <f>Доходы!D10</f>
        <v>100</v>
      </c>
      <c r="G17" s="2387">
        <f>Доходы!E10</f>
        <v>132</v>
      </c>
      <c r="H17" s="2387">
        <f>Доходы!F10</f>
        <v>100</v>
      </c>
      <c r="I17" s="2388">
        <f>Доходы!H10</f>
        <v>110</v>
      </c>
      <c r="J17" s="2388">
        <f>Доходы!I10</f>
        <v>120</v>
      </c>
      <c r="K17" s="2388">
        <f t="shared" ref="K17" si="2">J17*1.1</f>
        <v>132</v>
      </c>
    </row>
    <row r="18" spans="2:19" s="109" customFormat="1" ht="16" x14ac:dyDescent="0.15">
      <c r="B18" s="992" t="s">
        <v>482</v>
      </c>
      <c r="C18" s="1021" t="s">
        <v>523</v>
      </c>
      <c r="D18" s="541"/>
      <c r="E18" s="541"/>
      <c r="F18" s="2350"/>
      <c r="G18" s="2350"/>
      <c r="H18" s="541"/>
      <c r="I18" s="541"/>
      <c r="J18" s="541"/>
      <c r="K18" s="541"/>
      <c r="S18" s="109">
        <f>H13*1.1</f>
        <v>42427</v>
      </c>
    </row>
    <row r="19" spans="2:19" s="110" customFormat="1" ht="16" x14ac:dyDescent="0.15">
      <c r="B19" s="993"/>
      <c r="C19" s="116" t="s">
        <v>524</v>
      </c>
      <c r="D19" s="2322">
        <f>SUM(D13:D18)</f>
        <v>30194.100999999999</v>
      </c>
      <c r="E19" s="2322">
        <f t="shared" ref="E19:K19" si="3">SUM(E13:E18)</f>
        <v>35735.800000000003</v>
      </c>
      <c r="F19" s="2322">
        <f t="shared" si="3"/>
        <v>32486.6</v>
      </c>
      <c r="G19" s="2322">
        <f t="shared" si="3"/>
        <v>50655.39499999999</v>
      </c>
      <c r="H19" s="2322">
        <f t="shared" si="3"/>
        <v>43086</v>
      </c>
      <c r="I19" s="2322">
        <f t="shared" si="3"/>
        <v>47155.3</v>
      </c>
      <c r="J19" s="2322">
        <f t="shared" si="3"/>
        <v>51631.33</v>
      </c>
      <c r="K19" s="2322">
        <f t="shared" si="3"/>
        <v>56626.356500000009</v>
      </c>
      <c r="N19" s="110">
        <f>2049.65-350</f>
        <v>1699.65</v>
      </c>
      <c r="Q19" s="110">
        <f>I13*1.1</f>
        <v>46477.200000000004</v>
      </c>
    </row>
    <row r="20" spans="2:19" ht="16" x14ac:dyDescent="0.2">
      <c r="B20" s="991" t="s">
        <v>9</v>
      </c>
      <c r="C20" s="2875" t="s">
        <v>525</v>
      </c>
      <c r="D20" s="2876"/>
      <c r="E20" s="2876"/>
      <c r="F20" s="2877"/>
      <c r="G20" s="2877"/>
      <c r="H20" s="2875"/>
      <c r="I20" s="2875"/>
      <c r="J20" s="2875"/>
      <c r="K20" s="2875"/>
    </row>
    <row r="21" spans="2:19" ht="42" customHeight="1" x14ac:dyDescent="0.15">
      <c r="B21" s="994" t="s">
        <v>10</v>
      </c>
      <c r="C21" s="1021" t="s">
        <v>1538</v>
      </c>
      <c r="D21" s="2386">
        <f>4096.7+100+19400+16700+3300</f>
        <v>43596.7</v>
      </c>
      <c r="E21" s="2386">
        <f>4096.7+100+19400+16700+3300</f>
        <v>43596.7</v>
      </c>
      <c r="F21" s="2386">
        <v>0</v>
      </c>
      <c r="G21" s="2386">
        <v>0</v>
      </c>
      <c r="H21" s="2386">
        <v>0</v>
      </c>
      <c r="I21" s="2386">
        <v>0</v>
      </c>
      <c r="J21" s="2386">
        <v>0</v>
      </c>
      <c r="K21" s="2386">
        <v>0</v>
      </c>
      <c r="O21" s="103">
        <f>I15*1.05</f>
        <v>882</v>
      </c>
      <c r="P21" s="103">
        <f>H16*1.1</f>
        <v>1650.0000000000002</v>
      </c>
    </row>
    <row r="22" spans="2:19" ht="30.75" customHeight="1" x14ac:dyDescent="0.15">
      <c r="B22" s="995" t="s">
        <v>11</v>
      </c>
      <c r="C22" s="1021" t="s">
        <v>1827</v>
      </c>
      <c r="D22" s="2387">
        <f>2900+1050</f>
        <v>3950</v>
      </c>
      <c r="E22" s="2387">
        <f>2900+1050</f>
        <v>3950</v>
      </c>
      <c r="F22" s="2386">
        <f>G22</f>
        <v>7438.433</v>
      </c>
      <c r="G22" s="2386">
        <f>'2015'!J17+'2015'!J18+'2015'!J19+'2015'!J20</f>
        <v>7438.433</v>
      </c>
      <c r="H22" s="2387">
        <f>'2016'!I40+'2016'!I42</f>
        <v>3605</v>
      </c>
      <c r="I22" s="2387">
        <v>0</v>
      </c>
      <c r="J22" s="2387">
        <v>0</v>
      </c>
      <c r="K22" s="2387">
        <v>0</v>
      </c>
      <c r="M22" s="103">
        <v>1300</v>
      </c>
      <c r="N22" s="103" t="s">
        <v>958</v>
      </c>
    </row>
    <row r="23" spans="2:19" s="111" customFormat="1" ht="39" x14ac:dyDescent="0.15">
      <c r="B23" s="994" t="s">
        <v>19</v>
      </c>
      <c r="C23" s="1021" t="s">
        <v>526</v>
      </c>
      <c r="D23" s="2388">
        <f>'Приложение № 2'!G65</f>
        <v>4087.5</v>
      </c>
      <c r="E23" s="2388">
        <f>'Приложение № 2'!H65</f>
        <v>4087.5</v>
      </c>
      <c r="F23" s="2386">
        <f>G23</f>
        <v>3567.1</v>
      </c>
      <c r="G23" s="2386">
        <f>'2015'!J33+'2015'!J34</f>
        <v>3567.1</v>
      </c>
      <c r="H23" s="2387">
        <f>'2016'!I62</f>
        <v>3539.9</v>
      </c>
      <c r="I23" s="2388">
        <f>'Приложение № 2'!L65</f>
        <v>3539.9</v>
      </c>
      <c r="J23" s="2388">
        <f>'Приложение № 2'!M65</f>
        <v>3539.9</v>
      </c>
      <c r="K23" s="2388">
        <f>'Приложение № 2'!N65</f>
        <v>3539.9</v>
      </c>
      <c r="M23" s="111">
        <v>1000</v>
      </c>
      <c r="N23" s="111" t="s">
        <v>959</v>
      </c>
    </row>
    <row r="24" spans="2:19" s="111" customFormat="1" ht="32" x14ac:dyDescent="0.15">
      <c r="B24" s="994" t="s">
        <v>28</v>
      </c>
      <c r="C24" s="1021" t="s">
        <v>1821</v>
      </c>
      <c r="D24" s="2388">
        <v>0</v>
      </c>
      <c r="E24" s="2388">
        <v>0</v>
      </c>
      <c r="F24" s="2386">
        <f>G24</f>
        <v>11100</v>
      </c>
      <c r="G24" s="2386">
        <f>'2015'!J37</f>
        <v>11100</v>
      </c>
      <c r="H24" s="2388">
        <v>0</v>
      </c>
      <c r="I24" s="2388">
        <v>0</v>
      </c>
      <c r="J24" s="2388">
        <v>0</v>
      </c>
      <c r="K24" s="2388">
        <v>0</v>
      </c>
    </row>
    <row r="25" spans="2:19" s="112" customFormat="1" ht="16" x14ac:dyDescent="0.15">
      <c r="B25" s="990"/>
      <c r="C25" s="2" t="s">
        <v>524</v>
      </c>
      <c r="D25" s="2389">
        <f>D21+D22+D23+D24</f>
        <v>51634.2</v>
      </c>
      <c r="E25" s="2389">
        <f t="shared" ref="E25:K25" si="4">E21+E22+E23+E24</f>
        <v>51634.2</v>
      </c>
      <c r="F25" s="2389">
        <f t="shared" si="4"/>
        <v>22105.532999999999</v>
      </c>
      <c r="G25" s="2389">
        <f t="shared" si="4"/>
        <v>22105.532999999999</v>
      </c>
      <c r="H25" s="2389">
        <f t="shared" si="4"/>
        <v>7144.9</v>
      </c>
      <c r="I25" s="2389">
        <f t="shared" si="4"/>
        <v>3539.9</v>
      </c>
      <c r="J25" s="2389">
        <f t="shared" si="4"/>
        <v>3539.9</v>
      </c>
      <c r="K25" s="2389">
        <f t="shared" si="4"/>
        <v>3539.9</v>
      </c>
    </row>
    <row r="26" spans="2:19" s="111" customFormat="1" ht="16" x14ac:dyDescent="0.15">
      <c r="B26" s="989"/>
      <c r="C26" s="1" t="s">
        <v>527</v>
      </c>
      <c r="D26" s="2390">
        <f>D19+D25</f>
        <v>81828.300999999992</v>
      </c>
      <c r="E26" s="2390">
        <f t="shared" ref="E26:K26" si="5">E19+E25</f>
        <v>87370</v>
      </c>
      <c r="F26" s="2390">
        <f t="shared" si="5"/>
        <v>54592.133000000002</v>
      </c>
      <c r="G26" s="2390">
        <f t="shared" si="5"/>
        <v>72760.927999999985</v>
      </c>
      <c r="H26" s="2390">
        <f t="shared" si="5"/>
        <v>50230.9</v>
      </c>
      <c r="I26" s="2390">
        <f t="shared" si="5"/>
        <v>50695.200000000004</v>
      </c>
      <c r="J26" s="2390">
        <f t="shared" si="5"/>
        <v>55171.23</v>
      </c>
      <c r="K26" s="2390">
        <f t="shared" si="5"/>
        <v>60166.25650000001</v>
      </c>
      <c r="O26" s="111">
        <f>3223.9+739.5</f>
        <v>3963.4</v>
      </c>
    </row>
    <row r="29" spans="2:19" x14ac:dyDescent="0.15">
      <c r="C29" s="968"/>
      <c r="D29" s="967"/>
      <c r="E29" s="2872">
        <v>2010</v>
      </c>
      <c r="F29" s="2872"/>
      <c r="G29" s="2872">
        <v>2011</v>
      </c>
      <c r="H29" s="2872"/>
      <c r="I29" s="2873">
        <v>2012</v>
      </c>
      <c r="J29" s="2874"/>
      <c r="K29" s="969">
        <v>2013</v>
      </c>
      <c r="L29" s="969">
        <v>2014</v>
      </c>
      <c r="M29" s="103">
        <v>2015</v>
      </c>
    </row>
    <row r="30" spans="2:19" x14ac:dyDescent="0.15">
      <c r="C30" s="968"/>
      <c r="D30" s="967"/>
      <c r="E30" s="107" t="s">
        <v>514</v>
      </c>
      <c r="F30" s="107" t="s">
        <v>515</v>
      </c>
      <c r="G30" s="107" t="s">
        <v>514</v>
      </c>
      <c r="H30" s="107" t="s">
        <v>515</v>
      </c>
      <c r="I30" s="107" t="s">
        <v>514</v>
      </c>
      <c r="J30" s="107" t="s">
        <v>358</v>
      </c>
      <c r="K30" s="107" t="s">
        <v>514</v>
      </c>
      <c r="L30" s="107" t="s">
        <v>514</v>
      </c>
    </row>
    <row r="31" spans="2:19" x14ac:dyDescent="0.15">
      <c r="D31" s="970" t="s">
        <v>528</v>
      </c>
      <c r="E31" s="971">
        <v>200</v>
      </c>
      <c r="F31" s="972">
        <v>188.7</v>
      </c>
      <c r="G31" s="972">
        <v>216</v>
      </c>
      <c r="H31" s="973">
        <v>307</v>
      </c>
      <c r="I31" s="973">
        <v>247</v>
      </c>
      <c r="J31" s="973">
        <v>324.14</v>
      </c>
      <c r="K31" s="973">
        <v>247</v>
      </c>
      <c r="L31" s="974">
        <v>247</v>
      </c>
      <c r="M31" s="975">
        <v>247</v>
      </c>
    </row>
    <row r="32" spans="2:19" s="976" customFormat="1" x14ac:dyDescent="0.15">
      <c r="D32" s="2881" t="s">
        <v>529</v>
      </c>
      <c r="E32" s="972">
        <v>100</v>
      </c>
      <c r="F32" s="972">
        <v>79.2</v>
      </c>
      <c r="G32" s="972">
        <v>115</v>
      </c>
      <c r="H32" s="973">
        <v>203.5</v>
      </c>
      <c r="I32" s="973">
        <v>95</v>
      </c>
      <c r="J32" s="973">
        <v>326</v>
      </c>
      <c r="K32" s="973">
        <v>100</v>
      </c>
      <c r="L32" s="974">
        <v>95</v>
      </c>
      <c r="M32" s="975">
        <v>95</v>
      </c>
    </row>
    <row r="33" spans="4:13" s="976" customFormat="1" x14ac:dyDescent="0.15">
      <c r="D33" s="2882"/>
      <c r="E33" s="972"/>
      <c r="F33" s="972">
        <v>107</v>
      </c>
      <c r="G33" s="972"/>
      <c r="H33" s="973">
        <v>165</v>
      </c>
      <c r="I33" s="973"/>
      <c r="J33" s="972"/>
      <c r="K33" s="972"/>
      <c r="L33" s="974"/>
    </row>
    <row r="34" spans="4:13" s="976" customFormat="1" x14ac:dyDescent="0.15">
      <c r="D34" s="970" t="s">
        <v>530</v>
      </c>
      <c r="E34" s="972">
        <v>500</v>
      </c>
      <c r="F34" s="972">
        <v>594</v>
      </c>
      <c r="G34" s="972">
        <v>650</v>
      </c>
      <c r="H34" s="973">
        <v>669.5</v>
      </c>
      <c r="I34" s="973">
        <v>730</v>
      </c>
      <c r="J34" s="973">
        <v>815</v>
      </c>
      <c r="K34" s="973">
        <v>820</v>
      </c>
      <c r="L34" s="974">
        <v>730</v>
      </c>
      <c r="M34" s="975">
        <v>730</v>
      </c>
    </row>
    <row r="35" spans="4:13" x14ac:dyDescent="0.15">
      <c r="D35" s="970" t="s">
        <v>531</v>
      </c>
      <c r="E35" s="972">
        <v>0</v>
      </c>
      <c r="F35" s="972">
        <v>0</v>
      </c>
      <c r="G35" s="972">
        <v>4</v>
      </c>
      <c r="H35" s="973">
        <v>0</v>
      </c>
      <c r="I35" s="973">
        <v>50</v>
      </c>
      <c r="J35" s="973">
        <v>50</v>
      </c>
      <c r="K35" s="973">
        <v>57</v>
      </c>
      <c r="L35" s="974">
        <v>50</v>
      </c>
      <c r="M35" s="975">
        <v>50</v>
      </c>
    </row>
    <row r="36" spans="4:13" x14ac:dyDescent="0.15">
      <c r="D36" s="970" t="s">
        <v>730</v>
      </c>
      <c r="E36" s="977">
        <f>SUM(E31:E35)</f>
        <v>800</v>
      </c>
      <c r="F36" s="977">
        <f t="shared" ref="F36:K36" si="6">SUM(F31:F35)</f>
        <v>968.9</v>
      </c>
      <c r="G36" s="977">
        <f t="shared" si="6"/>
        <v>985</v>
      </c>
      <c r="H36" s="977">
        <f t="shared" si="6"/>
        <v>1345</v>
      </c>
      <c r="I36" s="977">
        <f t="shared" si="6"/>
        <v>1122</v>
      </c>
      <c r="J36" s="977">
        <f t="shared" si="6"/>
        <v>1515.1399999999999</v>
      </c>
      <c r="K36" s="977">
        <f t="shared" si="6"/>
        <v>1224</v>
      </c>
      <c r="L36" s="974"/>
      <c r="M36" s="978"/>
    </row>
    <row r="37" spans="4:13" x14ac:dyDescent="0.15">
      <c r="D37" s="967" t="s">
        <v>532</v>
      </c>
      <c r="E37" s="979">
        <f>E35+E34+E32+E31</f>
        <v>800</v>
      </c>
      <c r="F37" s="979">
        <f>F35+F34+F32+F31</f>
        <v>861.90000000000009</v>
      </c>
      <c r="G37" s="972">
        <v>660</v>
      </c>
      <c r="H37" s="973">
        <v>771</v>
      </c>
      <c r="I37" s="973">
        <v>729</v>
      </c>
      <c r="J37" s="973">
        <v>880.25</v>
      </c>
      <c r="K37" s="973">
        <v>736.29</v>
      </c>
      <c r="L37" s="974">
        <f>L35+L34+L32+L31</f>
        <v>1122</v>
      </c>
      <c r="M37" s="980">
        <f>M35+M34+M32+M31</f>
        <v>1122</v>
      </c>
    </row>
    <row r="39" spans="4:13" x14ac:dyDescent="0.15">
      <c r="D39" s="967"/>
      <c r="E39" s="2879">
        <v>2009</v>
      </c>
      <c r="F39" s="2880"/>
      <c r="G39" s="2883">
        <v>2010</v>
      </c>
      <c r="H39" s="2883"/>
      <c r="I39" s="967">
        <v>2011</v>
      </c>
      <c r="J39" s="967">
        <v>2012</v>
      </c>
    </row>
    <row r="40" spans="4:13" x14ac:dyDescent="0.15">
      <c r="D40" s="967" t="s">
        <v>532</v>
      </c>
      <c r="E40" s="967"/>
      <c r="F40" s="967"/>
      <c r="G40" s="981"/>
      <c r="H40" s="967"/>
      <c r="I40" s="967"/>
      <c r="J40" s="967"/>
    </row>
    <row r="41" spans="4:13" x14ac:dyDescent="0.15">
      <c r="D41" s="982" t="s">
        <v>533</v>
      </c>
      <c r="E41" s="967"/>
      <c r="G41" s="967"/>
      <c r="H41" s="967"/>
      <c r="I41" s="967"/>
      <c r="J41" s="967"/>
    </row>
    <row r="42" spans="4:13" ht="26" x14ac:dyDescent="0.15">
      <c r="D42" s="982" t="s">
        <v>534</v>
      </c>
      <c r="E42" s="967"/>
      <c r="F42" s="967"/>
      <c r="G42" s="967"/>
      <c r="H42" s="967"/>
      <c r="I42" s="967"/>
      <c r="J42" s="967"/>
    </row>
    <row r="43" spans="4:13" x14ac:dyDescent="0.15">
      <c r="D43" s="982" t="s">
        <v>535</v>
      </c>
      <c r="E43" s="967"/>
      <c r="F43" s="983"/>
      <c r="G43" s="983"/>
      <c r="H43" s="983"/>
      <c r="I43" s="983"/>
      <c r="J43" s="983"/>
    </row>
    <row r="44" spans="4:13" ht="23" x14ac:dyDescent="0.25">
      <c r="F44" s="2878">
        <v>2009</v>
      </c>
      <c r="G44" s="2878"/>
      <c r="H44" s="2878"/>
      <c r="I44" s="2878">
        <v>2010</v>
      </c>
      <c r="J44" s="2878"/>
      <c r="K44" s="2878"/>
    </row>
    <row r="45" spans="4:13" x14ac:dyDescent="0.15">
      <c r="D45" s="967"/>
      <c r="E45" s="967" t="s">
        <v>38</v>
      </c>
      <c r="F45" s="984" t="s">
        <v>40</v>
      </c>
      <c r="G45" s="967" t="s">
        <v>536</v>
      </c>
      <c r="H45" s="967" t="s">
        <v>537</v>
      </c>
      <c r="I45" s="967" t="s">
        <v>40</v>
      </c>
      <c r="J45" s="967" t="s">
        <v>536</v>
      </c>
      <c r="K45" s="967" t="s">
        <v>537</v>
      </c>
    </row>
    <row r="46" spans="4:13" x14ac:dyDescent="0.15">
      <c r="D46" s="967" t="s">
        <v>538</v>
      </c>
      <c r="E46" s="967">
        <v>50</v>
      </c>
      <c r="F46" s="103">
        <v>1055.3</v>
      </c>
      <c r="G46" s="967">
        <v>0</v>
      </c>
      <c r="H46" s="967">
        <v>173.9</v>
      </c>
      <c r="I46" s="967">
        <v>451.3</v>
      </c>
      <c r="J46" s="967">
        <v>98</v>
      </c>
      <c r="K46" s="967">
        <v>192.6</v>
      </c>
    </row>
    <row r="47" spans="4:13" x14ac:dyDescent="0.15">
      <c r="D47" s="967"/>
      <c r="E47" s="967"/>
      <c r="F47" s="984"/>
      <c r="G47" s="967"/>
      <c r="H47" s="967"/>
      <c r="I47" s="967"/>
      <c r="J47" s="967"/>
      <c r="K47" s="967"/>
    </row>
    <row r="48" spans="4:13" x14ac:dyDescent="0.15">
      <c r="F48" s="103">
        <v>206000</v>
      </c>
    </row>
    <row r="49" spans="4:11" x14ac:dyDescent="0.15">
      <c r="F49" s="103">
        <v>50000</v>
      </c>
    </row>
    <row r="50" spans="4:11" x14ac:dyDescent="0.15">
      <c r="F50" s="103">
        <v>799347.8</v>
      </c>
    </row>
    <row r="51" spans="4:11" x14ac:dyDescent="0.15">
      <c r="F51" s="103">
        <f>SUM(F48:F50)</f>
        <v>1055347.8</v>
      </c>
    </row>
    <row r="52" spans="4:11" x14ac:dyDescent="0.15">
      <c r="D52" s="967"/>
      <c r="E52" s="2872">
        <v>2010</v>
      </c>
      <c r="F52" s="2872"/>
      <c r="G52" s="2872">
        <v>2011</v>
      </c>
      <c r="H52" s="2872"/>
      <c r="I52" s="969">
        <v>2012</v>
      </c>
      <c r="J52" s="969">
        <v>2013</v>
      </c>
      <c r="K52" s="969">
        <v>2014</v>
      </c>
    </row>
    <row r="53" spans="4:11" x14ac:dyDescent="0.15">
      <c r="D53" s="967"/>
      <c r="E53" s="107" t="s">
        <v>514</v>
      </c>
      <c r="F53" s="107" t="s">
        <v>515</v>
      </c>
      <c r="G53" s="107" t="s">
        <v>514</v>
      </c>
      <c r="H53" s="107" t="s">
        <v>515</v>
      </c>
      <c r="I53" s="107" t="s">
        <v>358</v>
      </c>
      <c r="J53" s="107" t="s">
        <v>514</v>
      </c>
      <c r="K53" s="107" t="s">
        <v>514</v>
      </c>
    </row>
    <row r="54" spans="4:11" x14ac:dyDescent="0.15">
      <c r="D54" s="970" t="s">
        <v>528</v>
      </c>
      <c r="E54" s="985"/>
      <c r="F54" s="974"/>
      <c r="G54" s="967"/>
      <c r="H54" s="986">
        <v>220.3</v>
      </c>
      <c r="I54" s="974">
        <v>0</v>
      </c>
      <c r="J54" s="974"/>
      <c r="K54" s="974"/>
    </row>
    <row r="55" spans="4:11" x14ac:dyDescent="0.15">
      <c r="D55" s="987" t="s">
        <v>529</v>
      </c>
      <c r="E55" s="974"/>
      <c r="F55" s="974"/>
      <c r="G55" s="967"/>
      <c r="H55" s="974">
        <v>109.76</v>
      </c>
      <c r="I55" s="974">
        <v>20.23</v>
      </c>
      <c r="J55" s="974">
        <v>21.57</v>
      </c>
      <c r="K55" s="974"/>
    </row>
    <row r="56" spans="4:11" x14ac:dyDescent="0.15">
      <c r="D56" s="970" t="s">
        <v>530</v>
      </c>
      <c r="E56" s="974"/>
      <c r="F56" s="974"/>
      <c r="G56" s="967"/>
      <c r="H56" s="974"/>
      <c r="I56" s="974">
        <v>78.912000000000006</v>
      </c>
      <c r="J56" s="974"/>
      <c r="K56" s="974"/>
    </row>
    <row r="57" spans="4:11" x14ac:dyDescent="0.15">
      <c r="D57" s="970" t="s">
        <v>531</v>
      </c>
      <c r="E57" s="974"/>
      <c r="F57" s="974"/>
      <c r="G57" s="974"/>
      <c r="H57" s="986">
        <v>0</v>
      </c>
      <c r="I57" s="974">
        <v>0</v>
      </c>
      <c r="J57" s="974"/>
      <c r="K57" s="974"/>
    </row>
    <row r="58" spans="4:11" x14ac:dyDescent="0.15">
      <c r="D58" s="967" t="s">
        <v>532</v>
      </c>
      <c r="E58" s="967"/>
      <c r="F58" s="967"/>
      <c r="G58" s="967"/>
      <c r="H58" s="967">
        <v>231.65</v>
      </c>
      <c r="I58" s="967">
        <v>0</v>
      </c>
      <c r="J58" s="967"/>
      <c r="K58" s="967"/>
    </row>
    <row r="59" spans="4:11" x14ac:dyDescent="0.15">
      <c r="H59" s="980">
        <f>SUM(H54:H58)</f>
        <v>561.71</v>
      </c>
      <c r="I59" s="980">
        <f>SUM(I54:I58)</f>
        <v>99.14200000000001</v>
      </c>
      <c r="J59" s="980">
        <f>SUM(J54:J58)</f>
        <v>21.57</v>
      </c>
      <c r="K59" s="980">
        <f>SUM(K54:K58)</f>
        <v>0</v>
      </c>
    </row>
  </sheetData>
  <mergeCells count="31">
    <mergeCell ref="M16:N16"/>
    <mergeCell ref="M15:N15"/>
    <mergeCell ref="G3:K3"/>
    <mergeCell ref="I2:K2"/>
    <mergeCell ref="B7:B9"/>
    <mergeCell ref="C7:C9"/>
    <mergeCell ref="M14:N14"/>
    <mergeCell ref="M13:N13"/>
    <mergeCell ref="M12:N12"/>
    <mergeCell ref="C11:K11"/>
    <mergeCell ref="O10:Q10"/>
    <mergeCell ref="C5:K5"/>
    <mergeCell ref="D7:G7"/>
    <mergeCell ref="H7:K7"/>
    <mergeCell ref="D8:E8"/>
    <mergeCell ref="K8:K9"/>
    <mergeCell ref="F8:G8"/>
    <mergeCell ref="J8:J9"/>
    <mergeCell ref="H8:H9"/>
    <mergeCell ref="I8:I9"/>
    <mergeCell ref="E29:F29"/>
    <mergeCell ref="I29:J29"/>
    <mergeCell ref="C20:K20"/>
    <mergeCell ref="E52:F52"/>
    <mergeCell ref="G52:H52"/>
    <mergeCell ref="F44:H44"/>
    <mergeCell ref="I44:K44"/>
    <mergeCell ref="E39:F39"/>
    <mergeCell ref="D32:D33"/>
    <mergeCell ref="G39:H39"/>
    <mergeCell ref="G29:H29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1:U34"/>
  <sheetViews>
    <sheetView view="pageBreakPreview" zoomScale="50" zoomScaleNormal="70" zoomScaleSheetLayoutView="50" zoomScalePageLayoutView="70" workbookViewId="0">
      <selection activeCell="L2" sqref="L2"/>
    </sheetView>
  </sheetViews>
  <sheetFormatPr baseColWidth="10" defaultColWidth="8.83203125" defaultRowHeight="13" x14ac:dyDescent="0.15"/>
  <cols>
    <col min="1" max="1" width="8.83203125" style="105"/>
    <col min="2" max="2" width="1.6640625" style="105" customWidth="1"/>
    <col min="3" max="3" width="2" style="105" customWidth="1"/>
    <col min="4" max="4" width="7.1640625" style="105" customWidth="1"/>
    <col min="5" max="5" width="86.83203125" style="105" customWidth="1"/>
    <col min="6" max="6" width="15.5" style="105" customWidth="1"/>
    <col min="7" max="11" width="18.5" style="105" customWidth="1"/>
    <col min="12" max="12" width="25.5" style="105" customWidth="1"/>
    <col min="13" max="13" width="1.6640625" style="105" customWidth="1"/>
    <col min="14" max="14" width="13.33203125" style="105" bestFit="1" customWidth="1"/>
    <col min="15" max="15" width="8.83203125" style="105"/>
    <col min="16" max="16" width="13.33203125" style="105" bestFit="1" customWidth="1"/>
    <col min="17" max="16384" width="8.83203125" style="105"/>
  </cols>
  <sheetData>
    <row r="1" spans="4:12" ht="9.75" customHeight="1" x14ac:dyDescent="0.15"/>
    <row r="2" spans="4:12" s="103" customFormat="1" ht="16" x14ac:dyDescent="0.2">
      <c r="L2" s="104" t="s">
        <v>1893</v>
      </c>
    </row>
    <row r="3" spans="4:12" s="103" customFormat="1" ht="16" x14ac:dyDescent="0.2">
      <c r="L3" s="104" t="s">
        <v>1640</v>
      </c>
    </row>
    <row r="4" spans="4:12" s="103" customFormat="1" ht="16" x14ac:dyDescent="0.2">
      <c r="L4" s="104" t="s">
        <v>1824</v>
      </c>
    </row>
    <row r="6" spans="4:12" s="106" customFormat="1" ht="22" x14ac:dyDescent="0.2">
      <c r="E6" s="2900" t="s">
        <v>1629</v>
      </c>
      <c r="F6" s="2900"/>
      <c r="G6" s="2900"/>
      <c r="H6" s="2900"/>
      <c r="I6" s="2900"/>
      <c r="J6" s="2900"/>
      <c r="K6" s="2900"/>
      <c r="L6" s="2900"/>
    </row>
    <row r="7" spans="4:12" s="106" customFormat="1" ht="53.25" customHeight="1" x14ac:dyDescent="0.2">
      <c r="E7" s="2901" t="s">
        <v>965</v>
      </c>
      <c r="F7" s="2901"/>
      <c r="G7" s="2901"/>
      <c r="H7" s="2901"/>
      <c r="I7" s="2901"/>
      <c r="J7" s="2901"/>
      <c r="K7" s="2901"/>
      <c r="L7" s="2901"/>
    </row>
    <row r="8" spans="4:12" s="106" customFormat="1" ht="24.75" customHeight="1" x14ac:dyDescent="0.2">
      <c r="E8" s="2901" t="s">
        <v>966</v>
      </c>
      <c r="F8" s="2901"/>
      <c r="G8" s="2901"/>
      <c r="H8" s="2901"/>
      <c r="I8" s="2901"/>
      <c r="J8" s="2901"/>
      <c r="K8" s="2901"/>
      <c r="L8" s="2901"/>
    </row>
    <row r="9" spans="4:12" s="106" customFormat="1" ht="50.25" customHeight="1" x14ac:dyDescent="0.2">
      <c r="E9" s="2901" t="s">
        <v>962</v>
      </c>
      <c r="F9" s="2901"/>
      <c r="G9" s="2901"/>
      <c r="H9" s="2901"/>
      <c r="I9" s="2901"/>
      <c r="J9" s="2901"/>
      <c r="K9" s="2901"/>
      <c r="L9" s="2901"/>
    </row>
    <row r="10" spans="4:12" s="106" customFormat="1" ht="26.25" customHeight="1" x14ac:dyDescent="0.2">
      <c r="E10" s="2899" t="s">
        <v>963</v>
      </c>
      <c r="F10" s="2899"/>
      <c r="G10" s="2899"/>
      <c r="H10" s="2899"/>
      <c r="I10" s="2899"/>
      <c r="J10" s="2899"/>
      <c r="K10" s="2899"/>
      <c r="L10" s="2899"/>
    </row>
    <row r="11" spans="4:12" s="106" customFormat="1" ht="24" customHeight="1" x14ac:dyDescent="0.2">
      <c r="E11" s="2899" t="s">
        <v>964</v>
      </c>
      <c r="F11" s="2899"/>
      <c r="G11" s="2899"/>
      <c r="H11" s="2899"/>
      <c r="I11" s="2899"/>
      <c r="J11" s="2899"/>
      <c r="K11" s="2899"/>
      <c r="L11" s="2899"/>
    </row>
    <row r="12" spans="4:12" s="106" customFormat="1" ht="24" customHeight="1" x14ac:dyDescent="0.2">
      <c r="E12" s="2899" t="s">
        <v>967</v>
      </c>
      <c r="F12" s="2899"/>
      <c r="G12" s="2899"/>
      <c r="H12" s="2899"/>
      <c r="I12" s="2899"/>
      <c r="J12" s="2899"/>
      <c r="K12" s="2899"/>
      <c r="L12" s="2899"/>
    </row>
    <row r="13" spans="4:12" s="106" customFormat="1" ht="22" x14ac:dyDescent="0.2">
      <c r="D13" s="2301"/>
      <c r="E13" s="2898" t="s">
        <v>1626</v>
      </c>
      <c r="F13" s="2898"/>
      <c r="G13" s="2898"/>
      <c r="H13" s="2898"/>
      <c r="I13" s="2898"/>
      <c r="J13" s="2898"/>
      <c r="K13" s="2898"/>
      <c r="L13" s="2898"/>
    </row>
    <row r="14" spans="4:12" s="106" customFormat="1" ht="22" x14ac:dyDescent="0.2">
      <c r="D14" s="2301"/>
      <c r="E14" s="2898" t="s">
        <v>1627</v>
      </c>
      <c r="F14" s="2898"/>
      <c r="G14" s="2898"/>
      <c r="H14" s="2898"/>
      <c r="I14" s="2898"/>
      <c r="J14" s="2898"/>
      <c r="K14" s="2898"/>
      <c r="L14" s="2898"/>
    </row>
    <row r="15" spans="4:12" s="106" customFormat="1" ht="22" x14ac:dyDescent="0.2">
      <c r="D15" s="2301"/>
      <c r="E15" s="2898" t="s">
        <v>1628</v>
      </c>
      <c r="F15" s="2898"/>
      <c r="G15" s="2898"/>
      <c r="H15" s="2898"/>
      <c r="I15" s="2898"/>
      <c r="J15" s="2898"/>
      <c r="K15" s="2898"/>
      <c r="L15" s="2898"/>
    </row>
    <row r="16" spans="4:12" s="106" customFormat="1" ht="22" x14ac:dyDescent="0.2">
      <c r="D16" s="2301"/>
      <c r="E16" s="2303"/>
      <c r="F16" s="2303"/>
      <c r="G16" s="2303"/>
      <c r="H16" s="2303"/>
      <c r="I16" s="2303"/>
      <c r="J16" s="2303"/>
      <c r="K16" s="2303"/>
      <c r="L16" s="2303"/>
    </row>
    <row r="17" spans="3:21" s="106" customFormat="1" ht="22" x14ac:dyDescent="0.2">
      <c r="E17" s="2900" t="s">
        <v>539</v>
      </c>
      <c r="F17" s="2900"/>
      <c r="G17" s="2900"/>
      <c r="H17" s="2900"/>
      <c r="I17" s="2900"/>
      <c r="J17" s="2900"/>
      <c r="K17" s="2900"/>
      <c r="L17" s="2900"/>
    </row>
    <row r="18" spans="3:21" ht="15.75" customHeight="1" x14ac:dyDescent="0.25">
      <c r="E18" s="117"/>
      <c r="F18" s="117"/>
      <c r="G18" s="117"/>
      <c r="H18" s="117"/>
      <c r="I18" s="117"/>
      <c r="J18" s="117"/>
      <c r="K18" s="117"/>
      <c r="L18" s="121" t="s">
        <v>540</v>
      </c>
    </row>
    <row r="19" spans="3:21" s="108" customFormat="1" ht="24.75" customHeight="1" x14ac:dyDescent="0.15">
      <c r="D19" s="2903" t="s">
        <v>919</v>
      </c>
      <c r="E19" s="2906" t="s">
        <v>541</v>
      </c>
      <c r="F19" s="2906" t="s">
        <v>542</v>
      </c>
      <c r="G19" s="2906" t="s">
        <v>0</v>
      </c>
      <c r="H19" s="2906"/>
      <c r="I19" s="2906"/>
      <c r="J19" s="2906" t="s">
        <v>1</v>
      </c>
      <c r="K19" s="2906"/>
      <c r="L19" s="2906"/>
    </row>
    <row r="20" spans="3:21" s="108" customFormat="1" ht="25.5" customHeight="1" x14ac:dyDescent="0.15">
      <c r="D20" s="2903"/>
      <c r="E20" s="2906"/>
      <c r="F20" s="2906"/>
      <c r="G20" s="2351" t="s">
        <v>57</v>
      </c>
      <c r="H20" s="2351" t="s">
        <v>67</v>
      </c>
      <c r="I20" s="2351" t="s">
        <v>632</v>
      </c>
      <c r="J20" s="2351" t="s">
        <v>1625</v>
      </c>
      <c r="K20" s="2351" t="s">
        <v>634</v>
      </c>
      <c r="L20" s="2351" t="s">
        <v>1398</v>
      </c>
    </row>
    <row r="21" spans="3:21" s="108" customFormat="1" ht="21.75" customHeight="1" x14ac:dyDescent="0.15">
      <c r="D21" s="2266">
        <v>1</v>
      </c>
      <c r="E21" s="2266">
        <v>2</v>
      </c>
      <c r="F21" s="2266">
        <v>3</v>
      </c>
      <c r="G21" s="2266">
        <v>4</v>
      </c>
      <c r="H21" s="2266">
        <v>5</v>
      </c>
      <c r="I21" s="2266">
        <v>6</v>
      </c>
      <c r="J21" s="2266">
        <v>7</v>
      </c>
      <c r="K21" s="2266">
        <v>8</v>
      </c>
      <c r="L21" s="542">
        <v>9</v>
      </c>
      <c r="N21" s="122"/>
      <c r="O21" s="122"/>
      <c r="P21" s="122"/>
      <c r="Q21" s="122"/>
      <c r="R21" s="122"/>
      <c r="S21" s="122"/>
      <c r="T21" s="122"/>
      <c r="U21" s="122"/>
    </row>
    <row r="22" spans="3:21" s="109" customFormat="1" ht="27" customHeight="1" x14ac:dyDescent="0.15">
      <c r="D22" s="2300">
        <v>1</v>
      </c>
      <c r="E22" s="118" t="s">
        <v>543</v>
      </c>
      <c r="F22" s="119" t="s">
        <v>544</v>
      </c>
      <c r="G22" s="954">
        <f>'Приложение № 6'!E88</f>
        <v>9097.5</v>
      </c>
      <c r="H22" s="954">
        <v>0</v>
      </c>
      <c r="I22" s="954">
        <v>0</v>
      </c>
      <c r="J22" s="954">
        <v>0</v>
      </c>
      <c r="K22" s="954">
        <v>0</v>
      </c>
      <c r="L22" s="954">
        <v>0</v>
      </c>
      <c r="N22" s="114"/>
      <c r="O22" s="113"/>
      <c r="P22" s="114"/>
      <c r="Q22" s="113"/>
      <c r="R22" s="114"/>
      <c r="S22" s="114"/>
      <c r="T22" s="114"/>
      <c r="U22" s="114"/>
    </row>
    <row r="23" spans="3:21" s="109" customFormat="1" ht="27.75" customHeight="1" x14ac:dyDescent="0.15">
      <c r="D23" s="2300">
        <v>2</v>
      </c>
      <c r="E23" s="118" t="s">
        <v>545</v>
      </c>
      <c r="F23" s="119" t="s">
        <v>544</v>
      </c>
      <c r="G23" s="954">
        <f>'Приложение № 6'!E90</f>
        <v>0</v>
      </c>
      <c r="H23" s="954">
        <v>0</v>
      </c>
      <c r="I23" s="954">
        <v>0</v>
      </c>
      <c r="J23" s="954">
        <v>0</v>
      </c>
      <c r="K23" s="954">
        <v>0</v>
      </c>
      <c r="L23" s="954">
        <v>0</v>
      </c>
      <c r="N23" s="113"/>
      <c r="O23" s="114"/>
      <c r="P23" s="123"/>
      <c r="Q23" s="114"/>
      <c r="R23" s="113"/>
      <c r="S23" s="114"/>
      <c r="T23" s="114"/>
      <c r="U23" s="114"/>
    </row>
    <row r="24" spans="3:21" s="109" customFormat="1" ht="51.75" customHeight="1" x14ac:dyDescent="0.15">
      <c r="D24" s="2300">
        <v>3</v>
      </c>
      <c r="E24" s="118" t="s">
        <v>546</v>
      </c>
      <c r="F24" s="119" t="s">
        <v>544</v>
      </c>
      <c r="G24" s="954">
        <f>'Приложение № 6'!E92</f>
        <v>367.6</v>
      </c>
      <c r="H24" s="954">
        <v>0</v>
      </c>
      <c r="I24" s="954">
        <v>0</v>
      </c>
      <c r="J24" s="954">
        <v>0</v>
      </c>
      <c r="K24" s="954">
        <v>0</v>
      </c>
      <c r="L24" s="954">
        <v>0</v>
      </c>
      <c r="N24" s="113"/>
      <c r="O24" s="114"/>
      <c r="P24" s="123"/>
      <c r="Q24" s="114"/>
      <c r="R24" s="113"/>
      <c r="S24" s="114"/>
      <c r="T24" s="114"/>
      <c r="U24" s="114"/>
    </row>
    <row r="25" spans="3:21" s="109" customFormat="1" ht="51.75" customHeight="1" x14ac:dyDescent="0.15">
      <c r="D25" s="2300">
        <v>4</v>
      </c>
      <c r="E25" s="118" t="s">
        <v>547</v>
      </c>
      <c r="F25" s="119" t="s">
        <v>544</v>
      </c>
      <c r="G25" s="954">
        <f>'Приложение № 6'!E78</f>
        <v>536</v>
      </c>
      <c r="H25" s="954">
        <v>0</v>
      </c>
      <c r="I25" s="954">
        <v>0</v>
      </c>
      <c r="J25" s="954">
        <v>0</v>
      </c>
      <c r="K25" s="954">
        <v>0</v>
      </c>
      <c r="L25" s="954">
        <v>0</v>
      </c>
      <c r="N25" s="113"/>
      <c r="O25" s="114"/>
      <c r="P25" s="123"/>
      <c r="Q25" s="114"/>
      <c r="R25" s="113"/>
      <c r="S25" s="114"/>
      <c r="T25" s="114"/>
      <c r="U25" s="114"/>
    </row>
    <row r="26" spans="3:21" s="109" customFormat="1" ht="120" customHeight="1" x14ac:dyDescent="0.15">
      <c r="D26" s="2300">
        <v>5</v>
      </c>
      <c r="E26" s="118" t="s">
        <v>548</v>
      </c>
      <c r="F26" s="119" t="s">
        <v>544</v>
      </c>
      <c r="G26" s="954">
        <f>'Приложение № 6'!E27</f>
        <v>13225.6</v>
      </c>
      <c r="H26" s="954">
        <v>0</v>
      </c>
      <c r="I26" s="954">
        <v>0</v>
      </c>
      <c r="J26" s="954">
        <v>0</v>
      </c>
      <c r="K26" s="954">
        <v>0</v>
      </c>
      <c r="L26" s="954">
        <v>0</v>
      </c>
      <c r="N26" s="113"/>
      <c r="O26" s="114"/>
      <c r="P26" s="123"/>
      <c r="Q26" s="114"/>
      <c r="R26" s="113"/>
      <c r="S26" s="114"/>
      <c r="T26" s="114"/>
      <c r="U26" s="114"/>
    </row>
    <row r="27" spans="3:21" s="109" customFormat="1" ht="69" customHeight="1" x14ac:dyDescent="0.15">
      <c r="D27" s="2300">
        <v>6</v>
      </c>
      <c r="E27" s="118" t="s">
        <v>549</v>
      </c>
      <c r="F27" s="119" t="s">
        <v>544</v>
      </c>
      <c r="G27" s="954">
        <f>'Приложение № 6'!E47</f>
        <v>4087.5</v>
      </c>
      <c r="H27" s="954">
        <v>0</v>
      </c>
      <c r="I27" s="954">
        <v>0</v>
      </c>
      <c r="J27" s="954">
        <v>0</v>
      </c>
      <c r="K27" s="954">
        <v>0</v>
      </c>
      <c r="L27" s="954">
        <v>0</v>
      </c>
      <c r="N27" s="114"/>
      <c r="O27" s="114"/>
      <c r="P27" s="114"/>
      <c r="Q27" s="114"/>
      <c r="R27" s="114"/>
      <c r="S27" s="114"/>
      <c r="T27" s="114"/>
      <c r="U27" s="114"/>
    </row>
    <row r="28" spans="3:21" s="109" customFormat="1" ht="27.75" customHeight="1" x14ac:dyDescent="0.15">
      <c r="D28" s="2300">
        <v>7</v>
      </c>
      <c r="E28" s="118" t="s">
        <v>550</v>
      </c>
      <c r="F28" s="119" t="s">
        <v>544</v>
      </c>
      <c r="G28" s="954">
        <f>'Приложение № 6'!E86</f>
        <v>30141.571</v>
      </c>
      <c r="H28" s="954">
        <v>0</v>
      </c>
      <c r="I28" s="954">
        <v>0</v>
      </c>
      <c r="J28" s="954">
        <v>0</v>
      </c>
      <c r="K28" s="954">
        <v>0</v>
      </c>
      <c r="L28" s="954">
        <v>0</v>
      </c>
      <c r="N28" s="113"/>
      <c r="O28" s="114"/>
      <c r="P28" s="113"/>
      <c r="Q28" s="114"/>
      <c r="R28" s="113"/>
      <c r="S28" s="114"/>
      <c r="T28" s="114"/>
      <c r="U28" s="114"/>
    </row>
    <row r="29" spans="3:21" s="109" customFormat="1" ht="27.75" customHeight="1" x14ac:dyDescent="0.15">
      <c r="D29" s="2300">
        <v>8</v>
      </c>
      <c r="E29" s="118" t="s">
        <v>970</v>
      </c>
      <c r="F29" s="119" t="s">
        <v>544</v>
      </c>
      <c r="G29" s="954">
        <f>'Приложение № 6'!E94</f>
        <v>47546.715000000004</v>
      </c>
      <c r="H29" s="954">
        <v>0</v>
      </c>
      <c r="I29" s="954">
        <v>0</v>
      </c>
      <c r="J29" s="954">
        <v>0</v>
      </c>
      <c r="K29" s="954">
        <v>0</v>
      </c>
      <c r="L29" s="954">
        <v>0</v>
      </c>
      <c r="N29" s="113"/>
      <c r="O29" s="114"/>
      <c r="P29" s="113"/>
      <c r="Q29" s="114"/>
      <c r="R29" s="113"/>
      <c r="S29" s="114"/>
      <c r="T29" s="114"/>
      <c r="U29" s="114"/>
    </row>
    <row r="30" spans="3:21" s="109" customFormat="1" ht="27.75" customHeight="1" x14ac:dyDescent="0.15">
      <c r="D30" s="2300">
        <v>9</v>
      </c>
      <c r="E30" s="118" t="s">
        <v>253</v>
      </c>
      <c r="F30" s="119" t="s">
        <v>544</v>
      </c>
      <c r="G30" s="954">
        <f>'Приложение № 6'!E95</f>
        <v>500</v>
      </c>
      <c r="H30" s="954">
        <v>0</v>
      </c>
      <c r="I30" s="954">
        <v>0</v>
      </c>
      <c r="J30" s="954">
        <v>0</v>
      </c>
      <c r="K30" s="954">
        <v>0</v>
      </c>
      <c r="L30" s="954">
        <v>0</v>
      </c>
      <c r="N30" s="113"/>
      <c r="O30" s="114"/>
      <c r="P30" s="113"/>
      <c r="Q30" s="114"/>
      <c r="R30" s="113"/>
      <c r="S30" s="114"/>
      <c r="T30" s="114"/>
      <c r="U30" s="114"/>
    </row>
    <row r="31" spans="3:21" s="115" customFormat="1" ht="50.25" customHeight="1" x14ac:dyDescent="0.15">
      <c r="C31" s="111"/>
      <c r="D31" s="2904" t="s">
        <v>551</v>
      </c>
      <c r="E31" s="2905"/>
      <c r="F31" s="120" t="s">
        <v>544</v>
      </c>
      <c r="G31" s="436">
        <f t="shared" ref="G31:L31" si="0">SUM(G22:G30)</f>
        <v>105502.486</v>
      </c>
      <c r="H31" s="120">
        <f t="shared" si="0"/>
        <v>0</v>
      </c>
      <c r="I31" s="120">
        <f t="shared" si="0"/>
        <v>0</v>
      </c>
      <c r="J31" s="120">
        <f t="shared" si="0"/>
        <v>0</v>
      </c>
      <c r="K31" s="120">
        <f t="shared" si="0"/>
        <v>0</v>
      </c>
      <c r="L31" s="120">
        <f t="shared" si="0"/>
        <v>0</v>
      </c>
      <c r="M31" s="111"/>
      <c r="N31" s="124"/>
      <c r="O31" s="124"/>
      <c r="P31" s="124"/>
      <c r="Q31" s="124"/>
      <c r="R31" s="124"/>
      <c r="S31" s="124"/>
      <c r="T31" s="124"/>
      <c r="U31" s="124"/>
    </row>
    <row r="32" spans="3:21" ht="17.25" customHeight="1" x14ac:dyDescent="0.15"/>
    <row r="33" spans="4:12" ht="137.25" customHeight="1" x14ac:dyDescent="0.15">
      <c r="D33" s="2302" t="s">
        <v>1630</v>
      </c>
      <c r="E33" s="2902" t="s">
        <v>1828</v>
      </c>
      <c r="F33" s="2902"/>
      <c r="G33" s="2902"/>
      <c r="H33" s="2902"/>
      <c r="I33" s="2902"/>
      <c r="J33" s="2902"/>
      <c r="K33" s="2902"/>
      <c r="L33" s="2902"/>
    </row>
    <row r="34" spans="4:12" ht="26.25" customHeight="1" x14ac:dyDescent="0.15"/>
  </sheetData>
  <mergeCells count="18">
    <mergeCell ref="E33:L33"/>
    <mergeCell ref="D19:D20"/>
    <mergeCell ref="D31:E31"/>
    <mergeCell ref="E15:L15"/>
    <mergeCell ref="E14:L14"/>
    <mergeCell ref="E17:L17"/>
    <mergeCell ref="E19:E20"/>
    <mergeCell ref="F19:F20"/>
    <mergeCell ref="G19:I19"/>
    <mergeCell ref="J19:L19"/>
    <mergeCell ref="E13:L13"/>
    <mergeCell ref="E11:L11"/>
    <mergeCell ref="E6:L6"/>
    <mergeCell ref="E7:L7"/>
    <mergeCell ref="E8:L8"/>
    <mergeCell ref="E9:L9"/>
    <mergeCell ref="E10:L10"/>
    <mergeCell ref="E12:L12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B1:AA128"/>
  <sheetViews>
    <sheetView view="pageBreakPreview" zoomScale="60" zoomScaleNormal="85" zoomScalePageLayoutView="85" workbookViewId="0">
      <pane ySplit="12" topLeftCell="A13" activePane="bottomLeft" state="frozen"/>
      <selection pane="bottomLeft" activeCell="I98" sqref="I98:J98"/>
    </sheetView>
  </sheetViews>
  <sheetFormatPr baseColWidth="10" defaultColWidth="8.83203125" defaultRowHeight="18" x14ac:dyDescent="0.2"/>
  <cols>
    <col min="1" max="1" width="1.33203125" style="125" customWidth="1"/>
    <col min="2" max="2" width="1.6640625" style="125" customWidth="1"/>
    <col min="3" max="3" width="6.6640625" style="125" customWidth="1"/>
    <col min="4" max="4" width="71" style="153" customWidth="1"/>
    <col min="5" max="5" width="17.1640625" style="1047" customWidth="1"/>
    <col min="6" max="6" width="10.1640625" style="961" customWidth="1"/>
    <col min="7" max="7" width="17.1640625" style="125" customWidth="1"/>
    <col min="8" max="8" width="10.1640625" style="961" customWidth="1"/>
    <col min="9" max="9" width="17.1640625" style="125" customWidth="1"/>
    <col min="10" max="10" width="10.1640625" style="961" customWidth="1"/>
    <col min="11" max="11" width="17.1640625" style="125" customWidth="1"/>
    <col min="12" max="12" width="10.1640625" style="961" customWidth="1"/>
    <col min="13" max="13" width="17.1640625" style="125" customWidth="1"/>
    <col min="14" max="14" width="10.1640625" style="961" customWidth="1"/>
    <col min="15" max="15" width="17.1640625" style="125" customWidth="1"/>
    <col min="16" max="16" width="10.1640625" style="961" customWidth="1"/>
    <col min="17" max="17" width="1.5" style="125" customWidth="1"/>
    <col min="18" max="18" width="10.83203125" style="125" customWidth="1"/>
    <col min="19" max="28" width="16.83203125" style="125" customWidth="1"/>
    <col min="29" max="31" width="10.83203125" style="125" customWidth="1"/>
    <col min="32" max="16384" width="8.83203125" style="125"/>
  </cols>
  <sheetData>
    <row r="1" spans="2:17" ht="5.25" customHeight="1" x14ac:dyDescent="0.2"/>
    <row r="2" spans="2:17" x14ac:dyDescent="0.2">
      <c r="D2" s="126"/>
      <c r="E2" s="127"/>
      <c r="F2" s="1040"/>
      <c r="G2" s="127"/>
      <c r="H2" s="1040"/>
      <c r="I2" s="127"/>
      <c r="J2" s="1045"/>
      <c r="K2" s="127"/>
      <c r="L2" s="125"/>
      <c r="M2" s="127"/>
      <c r="N2" s="1045"/>
      <c r="O2" s="127"/>
      <c r="P2" s="1045" t="s">
        <v>16</v>
      </c>
    </row>
    <row r="3" spans="2:17" ht="18.75" customHeight="1" x14ac:dyDescent="0.2">
      <c r="D3" s="126"/>
      <c r="E3" s="127"/>
      <c r="F3" s="1040"/>
      <c r="G3" s="127"/>
      <c r="I3" s="2662"/>
      <c r="J3" s="2662"/>
      <c r="K3" s="2909" t="s">
        <v>1825</v>
      </c>
      <c r="L3" s="2909"/>
      <c r="M3" s="2909"/>
      <c r="N3" s="2909"/>
      <c r="O3" s="2909"/>
      <c r="P3" s="2909"/>
    </row>
    <row r="4" spans="2:17" ht="18.75" customHeight="1" x14ac:dyDescent="0.2">
      <c r="D4" s="126"/>
      <c r="E4" s="127"/>
      <c r="F4" s="1040"/>
      <c r="G4" s="127"/>
      <c r="H4" s="2662"/>
      <c r="I4" s="2662"/>
      <c r="J4" s="2662"/>
      <c r="K4" s="2909"/>
      <c r="L4" s="2909"/>
      <c r="M4" s="2909"/>
      <c r="N4" s="2909"/>
      <c r="O4" s="2909"/>
      <c r="P4" s="2909"/>
    </row>
    <row r="5" spans="2:17" ht="25.5" customHeight="1" x14ac:dyDescent="0.2">
      <c r="D5" s="126"/>
      <c r="E5" s="127"/>
      <c r="F5" s="1040"/>
      <c r="G5" s="127"/>
      <c r="H5" s="2662"/>
      <c r="I5" s="2662"/>
      <c r="J5" s="2662"/>
      <c r="K5" s="2909"/>
      <c r="L5" s="2909"/>
      <c r="M5" s="2909"/>
      <c r="N5" s="2909"/>
      <c r="O5" s="2909"/>
      <c r="P5" s="2909"/>
    </row>
    <row r="6" spans="2:17" ht="25.5" customHeight="1" x14ac:dyDescent="0.2">
      <c r="D6" s="126"/>
      <c r="E6" s="127"/>
      <c r="F6" s="1040"/>
      <c r="G6" s="127"/>
      <c r="H6" s="2662"/>
      <c r="I6" s="2662"/>
      <c r="J6" s="2662"/>
      <c r="K6" s="2652"/>
      <c r="L6" s="2652"/>
      <c r="M6" s="2652"/>
      <c r="N6" s="2652"/>
      <c r="O6" s="2652"/>
      <c r="P6" s="2652"/>
    </row>
    <row r="7" spans="2:17" ht="20.25" customHeight="1" x14ac:dyDescent="0.2">
      <c r="C7" s="2910" t="s">
        <v>58</v>
      </c>
      <c r="D7" s="2910"/>
      <c r="E7" s="2910"/>
      <c r="F7" s="2910"/>
      <c r="G7" s="2910"/>
      <c r="H7" s="2910"/>
      <c r="I7" s="2910"/>
      <c r="J7" s="2910"/>
      <c r="K7" s="2910"/>
      <c r="L7" s="2910"/>
      <c r="M7" s="2910"/>
    </row>
    <row r="8" spans="2:17" ht="14.25" customHeight="1" x14ac:dyDescent="0.2">
      <c r="D8" s="128"/>
      <c r="E8" s="129"/>
      <c r="F8" s="1041"/>
      <c r="G8" s="129"/>
      <c r="H8" s="1041"/>
      <c r="I8" s="129"/>
      <c r="J8" s="1046"/>
      <c r="K8" s="129"/>
      <c r="L8" s="1046"/>
      <c r="M8" s="129"/>
      <c r="N8" s="1046"/>
      <c r="O8" s="129"/>
      <c r="P8" s="1046"/>
    </row>
    <row r="9" spans="2:17" s="130" customFormat="1" ht="21" customHeight="1" x14ac:dyDescent="0.2">
      <c r="B9" s="125"/>
      <c r="C9" s="2911" t="s">
        <v>2</v>
      </c>
      <c r="D9" s="2911" t="s">
        <v>1633</v>
      </c>
      <c r="E9" s="2911" t="s">
        <v>0</v>
      </c>
      <c r="F9" s="2911"/>
      <c r="G9" s="2911"/>
      <c r="H9" s="2911"/>
      <c r="I9" s="2911" t="s">
        <v>1</v>
      </c>
      <c r="J9" s="2911"/>
      <c r="K9" s="2911"/>
      <c r="L9" s="2911"/>
      <c r="M9" s="2911"/>
      <c r="N9" s="2911"/>
      <c r="O9" s="2911"/>
      <c r="P9" s="2911"/>
      <c r="Q9" s="125"/>
    </row>
    <row r="10" spans="2:17" s="130" customFormat="1" x14ac:dyDescent="0.2">
      <c r="B10" s="125"/>
      <c r="C10" s="2911"/>
      <c r="D10" s="2911"/>
      <c r="E10" s="2911" t="s">
        <v>57</v>
      </c>
      <c r="F10" s="2911"/>
      <c r="G10" s="2911" t="s">
        <v>67</v>
      </c>
      <c r="H10" s="2911"/>
      <c r="I10" s="2911" t="s">
        <v>632</v>
      </c>
      <c r="J10" s="2911"/>
      <c r="K10" s="2911" t="s">
        <v>633</v>
      </c>
      <c r="L10" s="2911"/>
      <c r="M10" s="2911" t="s">
        <v>634</v>
      </c>
      <c r="N10" s="2911"/>
      <c r="O10" s="2911" t="s">
        <v>1398</v>
      </c>
      <c r="P10" s="2911"/>
      <c r="Q10" s="125"/>
    </row>
    <row r="11" spans="2:17" s="130" customFormat="1" x14ac:dyDescent="0.2">
      <c r="B11" s="125"/>
      <c r="C11" s="2911"/>
      <c r="D11" s="2911"/>
      <c r="E11" s="2267" t="s">
        <v>18</v>
      </c>
      <c r="F11" s="1365" t="s">
        <v>3</v>
      </c>
      <c r="G11" s="2267" t="s">
        <v>18</v>
      </c>
      <c r="H11" s="1365" t="s">
        <v>3</v>
      </c>
      <c r="I11" s="2267" t="s">
        <v>18</v>
      </c>
      <c r="J11" s="1365" t="s">
        <v>3</v>
      </c>
      <c r="K11" s="2267" t="s">
        <v>18</v>
      </c>
      <c r="L11" s="1365" t="s">
        <v>3</v>
      </c>
      <c r="M11" s="2267" t="s">
        <v>18</v>
      </c>
      <c r="N11" s="1365" t="s">
        <v>3</v>
      </c>
      <c r="O11" s="2352" t="s">
        <v>18</v>
      </c>
      <c r="P11" s="1365" t="s">
        <v>3</v>
      </c>
      <c r="Q11" s="125"/>
    </row>
    <row r="12" spans="2:17" s="130" customFormat="1" x14ac:dyDescent="0.2">
      <c r="B12" s="125"/>
      <c r="C12" s="2267">
        <v>1</v>
      </c>
      <c r="D12" s="2267">
        <v>2</v>
      </c>
      <c r="E12" s="2267">
        <v>3</v>
      </c>
      <c r="F12" s="2691">
        <v>4</v>
      </c>
      <c r="G12" s="2267">
        <v>5</v>
      </c>
      <c r="H12" s="2691">
        <v>6</v>
      </c>
      <c r="I12" s="2267">
        <v>7</v>
      </c>
      <c r="J12" s="2691">
        <v>8</v>
      </c>
      <c r="K12" s="2267">
        <v>9</v>
      </c>
      <c r="L12" s="2691">
        <v>10</v>
      </c>
      <c r="M12" s="2267">
        <v>11</v>
      </c>
      <c r="N12" s="2691">
        <v>12</v>
      </c>
      <c r="O12" s="2352">
        <v>13</v>
      </c>
      <c r="P12" s="2691">
        <v>14</v>
      </c>
      <c r="Q12" s="125"/>
    </row>
    <row r="13" spans="2:17" s="132" customFormat="1" ht="54" x14ac:dyDescent="0.15">
      <c r="B13" s="131"/>
      <c r="C13" s="2657" t="s">
        <v>6</v>
      </c>
      <c r="D13" s="2658" t="s">
        <v>21</v>
      </c>
      <c r="E13" s="2659">
        <f>E14+E21</f>
        <v>836931.10705000011</v>
      </c>
      <c r="F13" s="2659">
        <f>100*E13/1472828.83</f>
        <v>56.824736860290827</v>
      </c>
      <c r="G13" s="2659">
        <f>G14+G21</f>
        <v>733013.44000000006</v>
      </c>
      <c r="H13" s="2659">
        <f>100*G13/1240163.95</f>
        <v>59.106172212149858</v>
      </c>
      <c r="I13" s="2659">
        <f>I14+I21</f>
        <v>583195.4800000001</v>
      </c>
      <c r="J13" s="2659">
        <f>100*I13/1058457</f>
        <v>55.098646425882208</v>
      </c>
      <c r="K13" s="2659">
        <f>K14+K21</f>
        <v>583195.4800000001</v>
      </c>
      <c r="L13" s="2659">
        <f>100*K13/985352</f>
        <v>59.186512028188922</v>
      </c>
      <c r="M13" s="2659">
        <f>K13</f>
        <v>583195.4800000001</v>
      </c>
      <c r="N13" s="2659">
        <f>100*M13/985352</f>
        <v>59.186512028188922</v>
      </c>
      <c r="O13" s="2659">
        <f>M13</f>
        <v>583195.4800000001</v>
      </c>
      <c r="P13" s="2659">
        <f>100*O13/985352</f>
        <v>59.186512028188922</v>
      </c>
      <c r="Q13" s="131"/>
    </row>
    <row r="14" spans="2:17" s="134" customFormat="1" ht="71.25" customHeight="1" x14ac:dyDescent="0.15">
      <c r="B14" s="133"/>
      <c r="C14" s="543" t="s">
        <v>7</v>
      </c>
      <c r="D14" s="572" t="s">
        <v>22</v>
      </c>
      <c r="E14" s="1042">
        <f>E16+E17</f>
        <v>737588.44705000008</v>
      </c>
      <c r="F14" s="1042">
        <f t="shared" ref="F14:F76" si="0">100*E14/1472828.83</f>
        <v>50.079712728735771</v>
      </c>
      <c r="G14" s="1042">
        <f>G16+G17</f>
        <v>630196.9</v>
      </c>
      <c r="H14" s="1042">
        <f t="shared" ref="H14:H76" si="1">100*G14/1240163.95</f>
        <v>50.815611919698199</v>
      </c>
      <c r="I14" s="1042">
        <f>I16+I17</f>
        <v>542099.80000000005</v>
      </c>
      <c r="J14" s="1042">
        <f t="shared" ref="J14:J76" si="2">100*I14/1058457</f>
        <v>51.216043731582864</v>
      </c>
      <c r="K14" s="1042">
        <f>K16+K17</f>
        <v>542099.80000000005</v>
      </c>
      <c r="L14" s="1042">
        <f t="shared" ref="L14:L76" si="3">100*K14/985352</f>
        <v>55.015852203070587</v>
      </c>
      <c r="M14" s="1042">
        <f t="shared" ref="M14:M76" si="4">K14</f>
        <v>542099.80000000005</v>
      </c>
      <c r="N14" s="1042">
        <f t="shared" ref="N14:N76" si="5">100*M14/985352</f>
        <v>55.015852203070587</v>
      </c>
      <c r="O14" s="1042">
        <f t="shared" ref="O14:O76" si="6">M14</f>
        <v>542099.80000000005</v>
      </c>
      <c r="P14" s="1042">
        <f t="shared" ref="P14:P76" si="7">100*O14/985352</f>
        <v>55.015852203070587</v>
      </c>
      <c r="Q14" s="133"/>
    </row>
    <row r="15" spans="2:17" s="137" customFormat="1" x14ac:dyDescent="0.15">
      <c r="C15" s="135"/>
      <c r="D15" s="136" t="s">
        <v>15</v>
      </c>
      <c r="E15" s="1043"/>
      <c r="F15" s="2304">
        <f t="shared" si="0"/>
        <v>0</v>
      </c>
      <c r="G15" s="1043"/>
      <c r="H15" s="2304">
        <f t="shared" si="1"/>
        <v>0</v>
      </c>
      <c r="I15" s="1043"/>
      <c r="J15" s="2304">
        <f t="shared" si="2"/>
        <v>0</v>
      </c>
      <c r="K15" s="1043"/>
      <c r="L15" s="2304">
        <f t="shared" si="3"/>
        <v>0</v>
      </c>
      <c r="M15" s="2304">
        <f t="shared" si="4"/>
        <v>0</v>
      </c>
      <c r="N15" s="2304">
        <f t="shared" si="5"/>
        <v>0</v>
      </c>
      <c r="O15" s="2304">
        <f t="shared" si="6"/>
        <v>0</v>
      </c>
      <c r="P15" s="2304">
        <f t="shared" si="7"/>
        <v>0</v>
      </c>
    </row>
    <row r="16" spans="2:17" s="137" customFormat="1" ht="36" x14ac:dyDescent="0.15">
      <c r="C16" s="135"/>
      <c r="D16" s="143" t="s">
        <v>1111</v>
      </c>
      <c r="E16" s="1043">
        <f>'Роспись 2014'!H949</f>
        <v>28000</v>
      </c>
      <c r="F16" s="2304">
        <f t="shared" si="0"/>
        <v>1.9011034703876619</v>
      </c>
      <c r="G16" s="1043">
        <v>0</v>
      </c>
      <c r="H16" s="2304">
        <f t="shared" si="1"/>
        <v>0</v>
      </c>
      <c r="I16" s="1043">
        <v>0</v>
      </c>
      <c r="J16" s="2304">
        <f t="shared" si="2"/>
        <v>0</v>
      </c>
      <c r="K16" s="1043">
        <v>0</v>
      </c>
      <c r="L16" s="2304">
        <f t="shared" si="3"/>
        <v>0</v>
      </c>
      <c r="M16" s="2304">
        <f t="shared" si="4"/>
        <v>0</v>
      </c>
      <c r="N16" s="2304">
        <f t="shared" si="5"/>
        <v>0</v>
      </c>
      <c r="O16" s="2304">
        <f t="shared" si="6"/>
        <v>0</v>
      </c>
      <c r="P16" s="2304">
        <f t="shared" si="7"/>
        <v>0</v>
      </c>
    </row>
    <row r="17" spans="2:17" s="140" customFormat="1" ht="69.75" customHeight="1" x14ac:dyDescent="0.15">
      <c r="C17" s="138"/>
      <c r="D17" s="139" t="s">
        <v>1474</v>
      </c>
      <c r="E17" s="1043">
        <f>E18+E19</f>
        <v>709588.44705000008</v>
      </c>
      <c r="F17" s="2304">
        <f t="shared" si="0"/>
        <v>48.178609258348104</v>
      </c>
      <c r="G17" s="1043">
        <f>G18+G19</f>
        <v>630196.9</v>
      </c>
      <c r="H17" s="2304">
        <f t="shared" si="1"/>
        <v>50.815611919698199</v>
      </c>
      <c r="I17" s="1043">
        <f>I18+I19</f>
        <v>542099.80000000005</v>
      </c>
      <c r="J17" s="2304">
        <f t="shared" si="2"/>
        <v>51.216043731582864</v>
      </c>
      <c r="K17" s="1043">
        <f>K18+K19</f>
        <v>542099.80000000005</v>
      </c>
      <c r="L17" s="2304">
        <f t="shared" si="3"/>
        <v>55.015852203070587</v>
      </c>
      <c r="M17" s="2304">
        <f t="shared" si="4"/>
        <v>542099.80000000005</v>
      </c>
      <c r="N17" s="2304">
        <f t="shared" si="5"/>
        <v>55.015852203070587</v>
      </c>
      <c r="O17" s="2304">
        <f t="shared" si="6"/>
        <v>542099.80000000005</v>
      </c>
      <c r="P17" s="2304">
        <f t="shared" si="7"/>
        <v>55.015852203070587</v>
      </c>
    </row>
    <row r="18" spans="2:17" s="140" customFormat="1" ht="36" x14ac:dyDescent="0.15">
      <c r="C18" s="138"/>
      <c r="D18" s="145" t="s">
        <v>20</v>
      </c>
      <c r="E18" s="1043">
        <f>'Роспись 2014'!H519</f>
        <v>532751.51705000002</v>
      </c>
      <c r="F18" s="2304">
        <f t="shared" si="0"/>
        <v>36.171991354215955</v>
      </c>
      <c r="G18" s="1043">
        <f>'Роспись 2015 год'!J469</f>
        <v>531545.9</v>
      </c>
      <c r="H18" s="2304">
        <f t="shared" si="1"/>
        <v>42.860937862288289</v>
      </c>
      <c r="I18" s="1043">
        <f>'2016'!I44</f>
        <v>542099.80000000005</v>
      </c>
      <c r="J18" s="2304">
        <f t="shared" si="2"/>
        <v>51.216043731582864</v>
      </c>
      <c r="K18" s="1043">
        <f>I18</f>
        <v>542099.80000000005</v>
      </c>
      <c r="L18" s="2304">
        <f t="shared" si="3"/>
        <v>55.015852203070587</v>
      </c>
      <c r="M18" s="2304">
        <f t="shared" si="4"/>
        <v>542099.80000000005</v>
      </c>
      <c r="N18" s="2304">
        <f t="shared" si="5"/>
        <v>55.015852203070587</v>
      </c>
      <c r="O18" s="2304">
        <f t="shared" si="6"/>
        <v>542099.80000000005</v>
      </c>
      <c r="P18" s="2304">
        <f t="shared" si="7"/>
        <v>55.015852203070587</v>
      </c>
    </row>
    <row r="19" spans="2:17" s="140" customFormat="1" x14ac:dyDescent="0.15">
      <c r="C19" s="138"/>
      <c r="D19" s="145" t="s">
        <v>953</v>
      </c>
      <c r="E19" s="1043">
        <f>'Роспись 2014'!H533</f>
        <v>176836.93</v>
      </c>
      <c r="F19" s="2304">
        <f t="shared" si="0"/>
        <v>12.006617904132145</v>
      </c>
      <c r="G19" s="1043">
        <f>'Роспись 2015 год'!J483</f>
        <v>98651</v>
      </c>
      <c r="H19" s="2304">
        <f t="shared" si="1"/>
        <v>7.9546740574099095</v>
      </c>
      <c r="I19" s="1043">
        <v>0</v>
      </c>
      <c r="J19" s="2304">
        <f t="shared" si="2"/>
        <v>0</v>
      </c>
      <c r="K19" s="1043">
        <v>0</v>
      </c>
      <c r="L19" s="2304">
        <f t="shared" si="3"/>
        <v>0</v>
      </c>
      <c r="M19" s="2304">
        <f t="shared" si="4"/>
        <v>0</v>
      </c>
      <c r="N19" s="2304">
        <f t="shared" si="5"/>
        <v>0</v>
      </c>
      <c r="O19" s="2304">
        <f t="shared" si="6"/>
        <v>0</v>
      </c>
      <c r="P19" s="2304">
        <f t="shared" si="7"/>
        <v>0</v>
      </c>
    </row>
    <row r="20" spans="2:17" s="140" customFormat="1" x14ac:dyDescent="0.15">
      <c r="C20" s="138"/>
      <c r="D20" s="142" t="s">
        <v>65</v>
      </c>
      <c r="E20" s="1043">
        <v>0</v>
      </c>
      <c r="F20" s="2304">
        <f t="shared" si="0"/>
        <v>0</v>
      </c>
      <c r="G20" s="1043">
        <v>0</v>
      </c>
      <c r="H20" s="2304">
        <f t="shared" si="1"/>
        <v>0</v>
      </c>
      <c r="I20" s="1043">
        <v>0</v>
      </c>
      <c r="J20" s="2304">
        <f t="shared" si="2"/>
        <v>0</v>
      </c>
      <c r="K20" s="1043">
        <v>0</v>
      </c>
      <c r="L20" s="2304">
        <f t="shared" si="3"/>
        <v>0</v>
      </c>
      <c r="M20" s="2304">
        <f t="shared" si="4"/>
        <v>0</v>
      </c>
      <c r="N20" s="2304">
        <f t="shared" si="5"/>
        <v>0</v>
      </c>
      <c r="O20" s="2304">
        <f t="shared" si="6"/>
        <v>0</v>
      </c>
      <c r="P20" s="2304">
        <f t="shared" si="7"/>
        <v>0</v>
      </c>
    </row>
    <row r="21" spans="2:17" s="134" customFormat="1" ht="80.25" customHeight="1" x14ac:dyDescent="0.15">
      <c r="B21" s="133"/>
      <c r="C21" s="543" t="s">
        <v>8</v>
      </c>
      <c r="D21" s="572" t="s">
        <v>23</v>
      </c>
      <c r="E21" s="1042">
        <f>E23+E26+E30</f>
        <v>99342.66</v>
      </c>
      <c r="F21" s="1042">
        <f t="shared" si="0"/>
        <v>6.7450241315550565</v>
      </c>
      <c r="G21" s="1042">
        <f>G23+G26+G30</f>
        <v>102816.54000000001</v>
      </c>
      <c r="H21" s="1042">
        <f t="shared" si="1"/>
        <v>8.290560292451655</v>
      </c>
      <c r="I21" s="1042">
        <f>I23+I26+I30</f>
        <v>41095.68</v>
      </c>
      <c r="J21" s="1042">
        <f t="shared" si="2"/>
        <v>3.8826026942993432</v>
      </c>
      <c r="K21" s="1042">
        <f>K23+K26+K30</f>
        <v>41095.68</v>
      </c>
      <c r="L21" s="1042">
        <f t="shared" si="3"/>
        <v>4.1706598251183333</v>
      </c>
      <c r="M21" s="1042">
        <f t="shared" si="4"/>
        <v>41095.68</v>
      </c>
      <c r="N21" s="1042">
        <f t="shared" si="5"/>
        <v>4.1706598251183333</v>
      </c>
      <c r="O21" s="1042">
        <f t="shared" si="6"/>
        <v>41095.68</v>
      </c>
      <c r="P21" s="1042">
        <f t="shared" si="7"/>
        <v>4.1706598251183333</v>
      </c>
      <c r="Q21" s="133"/>
    </row>
    <row r="22" spans="2:17" s="137" customFormat="1" x14ac:dyDescent="0.15">
      <c r="C22" s="135"/>
      <c r="D22" s="136" t="s">
        <v>15</v>
      </c>
      <c r="E22" s="1043"/>
      <c r="F22" s="2304">
        <f t="shared" si="0"/>
        <v>0</v>
      </c>
      <c r="G22" s="1043"/>
      <c r="H22" s="2304">
        <f t="shared" si="1"/>
        <v>0</v>
      </c>
      <c r="I22" s="1043"/>
      <c r="J22" s="2304">
        <f t="shared" si="2"/>
        <v>0</v>
      </c>
      <c r="K22" s="1043"/>
      <c r="L22" s="2304">
        <f t="shared" si="3"/>
        <v>0</v>
      </c>
      <c r="M22" s="2304">
        <f t="shared" si="4"/>
        <v>0</v>
      </c>
      <c r="N22" s="2304">
        <f t="shared" si="5"/>
        <v>0</v>
      </c>
      <c r="O22" s="2304">
        <f t="shared" si="6"/>
        <v>0</v>
      </c>
      <c r="P22" s="2304">
        <f t="shared" si="7"/>
        <v>0</v>
      </c>
    </row>
    <row r="23" spans="2:17" s="137" customFormat="1" ht="93" customHeight="1" x14ac:dyDescent="0.15">
      <c r="C23" s="135"/>
      <c r="D23" s="143" t="s">
        <v>1471</v>
      </c>
      <c r="E23" s="1043">
        <f>E24+E25</f>
        <v>56108.060000000012</v>
      </c>
      <c r="F23" s="2304">
        <f t="shared" si="0"/>
        <v>3.8095438422399708</v>
      </c>
      <c r="G23" s="1043">
        <f>G24+G25</f>
        <v>70806.040000000008</v>
      </c>
      <c r="H23" s="2304">
        <f t="shared" si="1"/>
        <v>5.7094096308798532</v>
      </c>
      <c r="I23" s="1043">
        <f>I24+I25</f>
        <v>41095.68</v>
      </c>
      <c r="J23" s="2304">
        <f t="shared" si="2"/>
        <v>3.8826026942993432</v>
      </c>
      <c r="K23" s="1043">
        <f>K24+K25</f>
        <v>41095.68</v>
      </c>
      <c r="L23" s="2304">
        <f t="shared" si="3"/>
        <v>4.1706598251183333</v>
      </c>
      <c r="M23" s="2304">
        <f t="shared" si="4"/>
        <v>41095.68</v>
      </c>
      <c r="N23" s="2304">
        <f t="shared" si="5"/>
        <v>4.1706598251183333</v>
      </c>
      <c r="O23" s="2304">
        <f t="shared" si="6"/>
        <v>41095.68</v>
      </c>
      <c r="P23" s="2304">
        <f t="shared" si="7"/>
        <v>4.1706598251183333</v>
      </c>
    </row>
    <row r="24" spans="2:17" s="137" customFormat="1" ht="99" customHeight="1" x14ac:dyDescent="0.15">
      <c r="C24" s="135"/>
      <c r="D24" s="2235" t="s">
        <v>1469</v>
      </c>
      <c r="E24" s="1043">
        <f>'Роспись 2014'!H304*0.8</f>
        <v>42713.760000000009</v>
      </c>
      <c r="F24" s="2304">
        <f t="shared" si="0"/>
        <v>2.9001170489037755</v>
      </c>
      <c r="G24" s="1043">
        <f>'Роспись 2015 год'!J255*0.8</f>
        <v>50663.040000000008</v>
      </c>
      <c r="H24" s="2304">
        <f t="shared" si="1"/>
        <v>4.0851888978066171</v>
      </c>
      <c r="I24" s="1043">
        <f>'2016'!I27*0.8</f>
        <v>41095.68</v>
      </c>
      <c r="J24" s="2304">
        <f t="shared" si="2"/>
        <v>3.8826026942993432</v>
      </c>
      <c r="K24" s="1043">
        <f>I24</f>
        <v>41095.68</v>
      </c>
      <c r="L24" s="2304">
        <f t="shared" si="3"/>
        <v>4.1706598251183333</v>
      </c>
      <c r="M24" s="2304">
        <f t="shared" si="4"/>
        <v>41095.68</v>
      </c>
      <c r="N24" s="2304">
        <f t="shared" si="5"/>
        <v>4.1706598251183333</v>
      </c>
      <c r="O24" s="2304">
        <f t="shared" si="6"/>
        <v>41095.68</v>
      </c>
      <c r="P24" s="2304">
        <f t="shared" si="7"/>
        <v>4.1706598251183333</v>
      </c>
    </row>
    <row r="25" spans="2:17" s="137" customFormat="1" x14ac:dyDescent="0.15">
      <c r="C25" s="135"/>
      <c r="D25" s="2235" t="s">
        <v>953</v>
      </c>
      <c r="E25" s="1043">
        <f>'Роспись 2014'!H318</f>
        <v>13394.3</v>
      </c>
      <c r="F25" s="2304">
        <f t="shared" si="0"/>
        <v>0.90942679333619503</v>
      </c>
      <c r="G25" s="1043">
        <f>'Роспись 2015 год'!J269</f>
        <v>20143</v>
      </c>
      <c r="H25" s="2304">
        <f t="shared" si="1"/>
        <v>1.6242207330732361</v>
      </c>
      <c r="I25" s="1043">
        <v>0</v>
      </c>
      <c r="J25" s="2304">
        <f t="shared" si="2"/>
        <v>0</v>
      </c>
      <c r="K25" s="1043">
        <v>0</v>
      </c>
      <c r="L25" s="2304">
        <f t="shared" si="3"/>
        <v>0</v>
      </c>
      <c r="M25" s="2304">
        <f t="shared" si="4"/>
        <v>0</v>
      </c>
      <c r="N25" s="2304">
        <f t="shared" si="5"/>
        <v>0</v>
      </c>
      <c r="O25" s="2304">
        <f t="shared" si="6"/>
        <v>0</v>
      </c>
      <c r="P25" s="2304">
        <f t="shared" si="7"/>
        <v>0</v>
      </c>
    </row>
    <row r="26" spans="2:17" s="140" customFormat="1" ht="79.5" customHeight="1" x14ac:dyDescent="0.15">
      <c r="C26" s="138"/>
      <c r="D26" s="143" t="s">
        <v>1470</v>
      </c>
      <c r="E26" s="1043">
        <f>E27+E28+E29</f>
        <v>43234.6</v>
      </c>
      <c r="F26" s="2304">
        <f t="shared" si="0"/>
        <v>2.9354802893150862</v>
      </c>
      <c r="G26" s="1043">
        <f>G27+G28+G29+G30</f>
        <v>32010.5</v>
      </c>
      <c r="H26" s="2304">
        <f t="shared" si="1"/>
        <v>2.5811506615718027</v>
      </c>
      <c r="I26" s="1043">
        <f>I27+I28+I29+I30</f>
        <v>0</v>
      </c>
      <c r="J26" s="2304">
        <f t="shared" si="2"/>
        <v>0</v>
      </c>
      <c r="K26" s="1043">
        <f>K27+K28+K29+K30</f>
        <v>0</v>
      </c>
      <c r="L26" s="2304">
        <f t="shared" si="3"/>
        <v>0</v>
      </c>
      <c r="M26" s="2304">
        <f t="shared" si="4"/>
        <v>0</v>
      </c>
      <c r="N26" s="2304">
        <f t="shared" si="5"/>
        <v>0</v>
      </c>
      <c r="O26" s="2304">
        <f t="shared" si="6"/>
        <v>0</v>
      </c>
      <c r="P26" s="2304">
        <f t="shared" si="7"/>
        <v>0</v>
      </c>
    </row>
    <row r="27" spans="2:17" s="140" customFormat="1" ht="77.25" customHeight="1" x14ac:dyDescent="0.15">
      <c r="C27" s="138"/>
      <c r="D27" s="145" t="s">
        <v>1472</v>
      </c>
      <c r="E27" s="1043">
        <f>'Роспись 2014'!H287</f>
        <v>13225.6</v>
      </c>
      <c r="F27" s="2304">
        <f t="shared" si="0"/>
        <v>0.89797264492710938</v>
      </c>
      <c r="G27" s="1043">
        <f>'Роспись 2015 год'!J237</f>
        <v>12697.5</v>
      </c>
      <c r="H27" s="2304">
        <f t="shared" si="1"/>
        <v>1.0238565634809818</v>
      </c>
      <c r="I27" s="1043">
        <v>0</v>
      </c>
      <c r="J27" s="2304">
        <f t="shared" si="2"/>
        <v>0</v>
      </c>
      <c r="K27" s="1043">
        <v>0</v>
      </c>
      <c r="L27" s="2304">
        <f t="shared" si="3"/>
        <v>0</v>
      </c>
      <c r="M27" s="2304">
        <f t="shared" si="4"/>
        <v>0</v>
      </c>
      <c r="N27" s="2304">
        <f t="shared" si="5"/>
        <v>0</v>
      </c>
      <c r="O27" s="2304">
        <f t="shared" si="6"/>
        <v>0</v>
      </c>
      <c r="P27" s="2304">
        <f t="shared" si="7"/>
        <v>0</v>
      </c>
    </row>
    <row r="28" spans="2:17" s="140" customFormat="1" x14ac:dyDescent="0.15">
      <c r="C28" s="138"/>
      <c r="D28" s="145" t="s">
        <v>953</v>
      </c>
      <c r="E28" s="1043">
        <f>'Роспись 2014'!H301</f>
        <v>30009</v>
      </c>
      <c r="F28" s="2304">
        <f t="shared" si="0"/>
        <v>2.0375076443879769</v>
      </c>
      <c r="G28" s="1043">
        <f>'Роспись 2015 год'!J251</f>
        <v>19313</v>
      </c>
      <c r="H28" s="2304">
        <f t="shared" si="1"/>
        <v>1.557294098090821</v>
      </c>
      <c r="I28" s="1043">
        <v>0</v>
      </c>
      <c r="J28" s="2304">
        <f t="shared" si="2"/>
        <v>0</v>
      </c>
      <c r="K28" s="1043">
        <v>0</v>
      </c>
      <c r="L28" s="2304">
        <f t="shared" si="3"/>
        <v>0</v>
      </c>
      <c r="M28" s="2304">
        <f t="shared" si="4"/>
        <v>0</v>
      </c>
      <c r="N28" s="2304">
        <f t="shared" si="5"/>
        <v>0</v>
      </c>
      <c r="O28" s="2304">
        <f t="shared" si="6"/>
        <v>0</v>
      </c>
      <c r="P28" s="2304">
        <f t="shared" si="7"/>
        <v>0</v>
      </c>
    </row>
    <row r="29" spans="2:17" s="140" customFormat="1" ht="54" x14ac:dyDescent="0.15">
      <c r="C29" s="138"/>
      <c r="D29" s="145" t="s">
        <v>1473</v>
      </c>
      <c r="E29" s="1043">
        <v>0</v>
      </c>
      <c r="F29" s="2304">
        <f t="shared" si="0"/>
        <v>0</v>
      </c>
      <c r="G29" s="1043">
        <v>0</v>
      </c>
      <c r="H29" s="2304">
        <f t="shared" si="1"/>
        <v>0</v>
      </c>
      <c r="I29" s="1043">
        <v>0</v>
      </c>
      <c r="J29" s="2304">
        <f t="shared" si="2"/>
        <v>0</v>
      </c>
      <c r="K29" s="1043">
        <v>0</v>
      </c>
      <c r="L29" s="2304">
        <f t="shared" si="3"/>
        <v>0</v>
      </c>
      <c r="M29" s="2304">
        <f t="shared" si="4"/>
        <v>0</v>
      </c>
      <c r="N29" s="2304">
        <f t="shared" si="5"/>
        <v>0</v>
      </c>
      <c r="O29" s="2304">
        <f t="shared" si="6"/>
        <v>0</v>
      </c>
      <c r="P29" s="2304">
        <f t="shared" si="7"/>
        <v>0</v>
      </c>
    </row>
    <row r="30" spans="2:17" s="140" customFormat="1" x14ac:dyDescent="0.15">
      <c r="C30" s="138"/>
      <c r="D30" s="142" t="s">
        <v>65</v>
      </c>
      <c r="E30" s="1043">
        <v>0</v>
      </c>
      <c r="F30" s="2304">
        <f t="shared" si="0"/>
        <v>0</v>
      </c>
      <c r="G30" s="1043">
        <v>0</v>
      </c>
      <c r="H30" s="2304">
        <f t="shared" si="1"/>
        <v>0</v>
      </c>
      <c r="I30" s="1043">
        <v>0</v>
      </c>
      <c r="J30" s="2304">
        <f t="shared" si="2"/>
        <v>0</v>
      </c>
      <c r="K30" s="1043">
        <v>0</v>
      </c>
      <c r="L30" s="2304">
        <f t="shared" si="3"/>
        <v>0</v>
      </c>
      <c r="M30" s="2304">
        <f t="shared" si="4"/>
        <v>0</v>
      </c>
      <c r="N30" s="2304">
        <f t="shared" si="5"/>
        <v>0</v>
      </c>
      <c r="O30" s="2304">
        <f t="shared" si="6"/>
        <v>0</v>
      </c>
      <c r="P30" s="2304">
        <f t="shared" si="7"/>
        <v>0</v>
      </c>
    </row>
    <row r="31" spans="2:17" s="131" customFormat="1" ht="36" x14ac:dyDescent="0.15">
      <c r="C31" s="2657" t="s">
        <v>9</v>
      </c>
      <c r="D31" s="2658" t="s">
        <v>24</v>
      </c>
      <c r="E31" s="2659">
        <f>E32+E41+E49+E54</f>
        <v>331696.57999999996</v>
      </c>
      <c r="F31" s="2659">
        <f t="shared" si="0"/>
        <v>22.521054262632809</v>
      </c>
      <c r="G31" s="2659">
        <f>G32+G41+G49+G54</f>
        <v>274071</v>
      </c>
      <c r="H31" s="2659">
        <f t="shared" si="1"/>
        <v>22.099578043693338</v>
      </c>
      <c r="I31" s="2659">
        <f>I32+I41+I49+I54</f>
        <v>318269</v>
      </c>
      <c r="J31" s="2659">
        <f t="shared" si="2"/>
        <v>30.069147825561171</v>
      </c>
      <c r="K31" s="2659">
        <f>K32+K41+K49+K54</f>
        <v>245164</v>
      </c>
      <c r="L31" s="2659">
        <f t="shared" si="3"/>
        <v>24.880854760532277</v>
      </c>
      <c r="M31" s="2659">
        <f t="shared" si="4"/>
        <v>245164</v>
      </c>
      <c r="N31" s="2659">
        <f t="shared" si="5"/>
        <v>24.880854760532277</v>
      </c>
      <c r="O31" s="2659">
        <f t="shared" si="6"/>
        <v>245164</v>
      </c>
      <c r="P31" s="2659">
        <f t="shared" si="7"/>
        <v>24.880854760532277</v>
      </c>
    </row>
    <row r="32" spans="2:17" s="134" customFormat="1" ht="36" x14ac:dyDescent="0.15">
      <c r="B32" s="133"/>
      <c r="C32" s="543" t="s">
        <v>10</v>
      </c>
      <c r="D32" s="572" t="s">
        <v>25</v>
      </c>
      <c r="E32" s="1042">
        <f>E34+E37+E40</f>
        <v>168867.19399999999</v>
      </c>
      <c r="F32" s="1042">
        <f t="shared" si="0"/>
        <v>11.465500305286662</v>
      </c>
      <c r="G32" s="1042">
        <f>G34+G37+G40</f>
        <v>132439.04000000001</v>
      </c>
      <c r="H32" s="1042">
        <f t="shared" si="1"/>
        <v>10.679155768074052</v>
      </c>
      <c r="I32" s="1042">
        <f>I34+I37+I40</f>
        <v>145044.31</v>
      </c>
      <c r="J32" s="1042">
        <f t="shared" si="2"/>
        <v>13.703372928706598</v>
      </c>
      <c r="K32" s="1042">
        <f>K34+K37+K40</f>
        <v>71939.31</v>
      </c>
      <c r="L32" s="1042">
        <f t="shared" si="3"/>
        <v>7.300874205360115</v>
      </c>
      <c r="M32" s="1042">
        <f t="shared" si="4"/>
        <v>71939.31</v>
      </c>
      <c r="N32" s="1042">
        <f t="shared" si="5"/>
        <v>7.300874205360115</v>
      </c>
      <c r="O32" s="1042">
        <f t="shared" si="6"/>
        <v>71939.31</v>
      </c>
      <c r="P32" s="1042">
        <f t="shared" si="7"/>
        <v>7.300874205360115</v>
      </c>
      <c r="Q32" s="133"/>
    </row>
    <row r="33" spans="2:17" s="137" customFormat="1" x14ac:dyDescent="0.15">
      <c r="C33" s="135"/>
      <c r="D33" s="136" t="s">
        <v>15</v>
      </c>
      <c r="E33" s="1043"/>
      <c r="F33" s="2304">
        <f t="shared" si="0"/>
        <v>0</v>
      </c>
      <c r="G33" s="1043"/>
      <c r="H33" s="2304">
        <f t="shared" si="1"/>
        <v>0</v>
      </c>
      <c r="I33" s="1043"/>
      <c r="J33" s="2304">
        <f t="shared" si="2"/>
        <v>0</v>
      </c>
      <c r="K33" s="1043"/>
      <c r="L33" s="2304">
        <f t="shared" si="3"/>
        <v>0</v>
      </c>
      <c r="M33" s="2304">
        <f t="shared" si="4"/>
        <v>0</v>
      </c>
      <c r="N33" s="2304">
        <f t="shared" si="5"/>
        <v>0</v>
      </c>
      <c r="O33" s="2304">
        <f t="shared" si="6"/>
        <v>0</v>
      </c>
      <c r="P33" s="2304">
        <f t="shared" si="7"/>
        <v>0</v>
      </c>
    </row>
    <row r="34" spans="2:17" s="140" customFormat="1" ht="54" x14ac:dyDescent="0.15">
      <c r="C34" s="138"/>
      <c r="D34" s="144" t="s">
        <v>1475</v>
      </c>
      <c r="E34" s="1043">
        <f>E35+E36</f>
        <v>135918.60999999999</v>
      </c>
      <c r="F34" s="2304">
        <f t="shared" si="0"/>
        <v>9.2284050414738257</v>
      </c>
      <c r="G34" s="1043">
        <f>G35+G36</f>
        <v>115840.34</v>
      </c>
      <c r="H34" s="2304">
        <f t="shared" si="1"/>
        <v>9.3407278932757247</v>
      </c>
      <c r="I34" s="1043">
        <f>I35+I36</f>
        <v>124399.58</v>
      </c>
      <c r="J34" s="2304">
        <f t="shared" si="2"/>
        <v>11.752917690562771</v>
      </c>
      <c r="K34" s="1043">
        <f>K35+K36</f>
        <v>54899.58</v>
      </c>
      <c r="L34" s="2304">
        <f t="shared" si="3"/>
        <v>5.5715703626724258</v>
      </c>
      <c r="M34" s="2304">
        <f t="shared" si="4"/>
        <v>54899.58</v>
      </c>
      <c r="N34" s="2304">
        <f t="shared" si="5"/>
        <v>5.5715703626724258</v>
      </c>
      <c r="O34" s="2304">
        <f t="shared" si="6"/>
        <v>54899.58</v>
      </c>
      <c r="P34" s="2304">
        <f t="shared" si="7"/>
        <v>5.5715703626724258</v>
      </c>
    </row>
    <row r="35" spans="2:17" s="137" customFormat="1" ht="57.75" customHeight="1" x14ac:dyDescent="0.15">
      <c r="C35" s="135"/>
      <c r="D35" s="145" t="s">
        <v>1477</v>
      </c>
      <c r="E35" s="1043">
        <f>'Роспись 2014'!H339*0.3</f>
        <v>33194.609999999993</v>
      </c>
      <c r="F35" s="2304">
        <f t="shared" si="0"/>
        <v>2.2537995810416063</v>
      </c>
      <c r="G35" s="1043">
        <f>'Роспись 2015 год'!J290*0.3</f>
        <v>33077.94</v>
      </c>
      <c r="H35" s="2304">
        <f t="shared" si="1"/>
        <v>2.6672231522291874</v>
      </c>
      <c r="I35" s="1043">
        <f>'2016'!I33*0.3</f>
        <v>54899.58</v>
      </c>
      <c r="J35" s="2304">
        <f t="shared" si="2"/>
        <v>5.1867558153047311</v>
      </c>
      <c r="K35" s="1043">
        <f>I35</f>
        <v>54899.58</v>
      </c>
      <c r="L35" s="2304">
        <f t="shared" si="3"/>
        <v>5.5715703626724258</v>
      </c>
      <c r="M35" s="2304">
        <f t="shared" si="4"/>
        <v>54899.58</v>
      </c>
      <c r="N35" s="2304">
        <f t="shared" si="5"/>
        <v>5.5715703626724258</v>
      </c>
      <c r="O35" s="2304">
        <f t="shared" si="6"/>
        <v>54899.58</v>
      </c>
      <c r="P35" s="2304">
        <f t="shared" si="7"/>
        <v>5.5715703626724258</v>
      </c>
    </row>
    <row r="36" spans="2:17" s="137" customFormat="1" x14ac:dyDescent="0.15">
      <c r="C36" s="135"/>
      <c r="D36" s="145" t="s">
        <v>953</v>
      </c>
      <c r="E36" s="1043">
        <f>'Роспись 2014'!H353</f>
        <v>102724</v>
      </c>
      <c r="F36" s="2304">
        <f t="shared" si="0"/>
        <v>6.9746054604322207</v>
      </c>
      <c r="G36" s="1043">
        <f>'Роспись 2015 год'!J304</f>
        <v>82762.399999999994</v>
      </c>
      <c r="H36" s="2304">
        <f t="shared" si="1"/>
        <v>6.6735047410465365</v>
      </c>
      <c r="I36" s="1043">
        <f>'2016'!I34</f>
        <v>69500</v>
      </c>
      <c r="J36" s="2304">
        <f t="shared" si="2"/>
        <v>6.5661618752580404</v>
      </c>
      <c r="K36" s="1043">
        <v>0</v>
      </c>
      <c r="L36" s="2304">
        <f t="shared" si="3"/>
        <v>0</v>
      </c>
      <c r="M36" s="2304">
        <f t="shared" si="4"/>
        <v>0</v>
      </c>
      <c r="N36" s="2304">
        <f t="shared" si="5"/>
        <v>0</v>
      </c>
      <c r="O36" s="2304">
        <f t="shared" si="6"/>
        <v>0</v>
      </c>
      <c r="P36" s="2304">
        <f t="shared" si="7"/>
        <v>0</v>
      </c>
    </row>
    <row r="37" spans="2:17" s="140" customFormat="1" ht="54" x14ac:dyDescent="0.15">
      <c r="C37" s="138"/>
      <c r="D37" s="144" t="s">
        <v>1476</v>
      </c>
      <c r="E37" s="1043">
        <f>E38+E39</f>
        <v>32948.584000000003</v>
      </c>
      <c r="F37" s="2304">
        <f t="shared" si="0"/>
        <v>2.2370952638128356</v>
      </c>
      <c r="G37" s="1043">
        <f>G38+G39+G40</f>
        <v>16598.7</v>
      </c>
      <c r="H37" s="2304">
        <f t="shared" si="1"/>
        <v>1.338427874798328</v>
      </c>
      <c r="I37" s="1043">
        <f>I38+I39+I40</f>
        <v>20644.73</v>
      </c>
      <c r="J37" s="2304">
        <f t="shared" si="2"/>
        <v>1.9504552381438263</v>
      </c>
      <c r="K37" s="1043">
        <f>K38+K39+K40</f>
        <v>17039.73</v>
      </c>
      <c r="L37" s="2304">
        <f t="shared" si="3"/>
        <v>1.7293038426876892</v>
      </c>
      <c r="M37" s="2304">
        <f t="shared" si="4"/>
        <v>17039.73</v>
      </c>
      <c r="N37" s="2304">
        <f t="shared" si="5"/>
        <v>1.7293038426876892</v>
      </c>
      <c r="O37" s="2304">
        <f t="shared" si="6"/>
        <v>17039.73</v>
      </c>
      <c r="P37" s="2304">
        <f t="shared" si="7"/>
        <v>1.7293038426876892</v>
      </c>
    </row>
    <row r="38" spans="2:17" s="137" customFormat="1" ht="58.5" customHeight="1" x14ac:dyDescent="0.15">
      <c r="C38" s="135"/>
      <c r="D38" s="145" t="s">
        <v>1478</v>
      </c>
      <c r="E38" s="1043">
        <f>'Роспись 2014'!H437*0.3</f>
        <v>20497.583999999999</v>
      </c>
      <c r="F38" s="2304">
        <f t="shared" si="0"/>
        <v>1.3917152884629505</v>
      </c>
      <c r="G38" s="1043">
        <f>'Роспись 2015 год'!J388*0.3</f>
        <v>16598.7</v>
      </c>
      <c r="H38" s="2304">
        <f t="shared" si="1"/>
        <v>1.338427874798328</v>
      </c>
      <c r="I38" s="1043">
        <f>'2016'!I38*0.3</f>
        <v>17039.73</v>
      </c>
      <c r="J38" s="2304">
        <f t="shared" si="2"/>
        <v>1.6098651149739669</v>
      </c>
      <c r="K38" s="1043">
        <f>I38</f>
        <v>17039.73</v>
      </c>
      <c r="L38" s="2304">
        <f t="shared" si="3"/>
        <v>1.7293038426876892</v>
      </c>
      <c r="M38" s="2304">
        <f t="shared" si="4"/>
        <v>17039.73</v>
      </c>
      <c r="N38" s="2304">
        <f t="shared" si="5"/>
        <v>1.7293038426876892</v>
      </c>
      <c r="O38" s="2304">
        <f t="shared" si="6"/>
        <v>17039.73</v>
      </c>
      <c r="P38" s="2304">
        <f t="shared" si="7"/>
        <v>1.7293038426876892</v>
      </c>
    </row>
    <row r="39" spans="2:17" s="137" customFormat="1" x14ac:dyDescent="0.15">
      <c r="C39" s="135"/>
      <c r="D39" s="145" t="s">
        <v>953</v>
      </c>
      <c r="E39" s="1043">
        <f>'Роспись 2014'!H451</f>
        <v>12451</v>
      </c>
      <c r="F39" s="2304">
        <f t="shared" si="0"/>
        <v>0.84537997534988496</v>
      </c>
      <c r="G39" s="1043">
        <v>0</v>
      </c>
      <c r="H39" s="2304">
        <f t="shared" si="1"/>
        <v>0</v>
      </c>
      <c r="I39" s="1043">
        <f>'2016'!I40+'2016'!I42</f>
        <v>3605</v>
      </c>
      <c r="J39" s="2304">
        <f t="shared" si="2"/>
        <v>0.34059012316985954</v>
      </c>
      <c r="K39" s="1043">
        <v>0</v>
      </c>
      <c r="L39" s="2304">
        <f t="shared" si="3"/>
        <v>0</v>
      </c>
      <c r="M39" s="2304">
        <f t="shared" si="4"/>
        <v>0</v>
      </c>
      <c r="N39" s="2304">
        <f t="shared" si="5"/>
        <v>0</v>
      </c>
      <c r="O39" s="2304">
        <f t="shared" si="6"/>
        <v>0</v>
      </c>
      <c r="P39" s="2304">
        <f t="shared" si="7"/>
        <v>0</v>
      </c>
    </row>
    <row r="40" spans="2:17" s="137" customFormat="1" ht="19.5" customHeight="1" x14ac:dyDescent="0.15">
      <c r="C40" s="135"/>
      <c r="D40" s="142" t="s">
        <v>65</v>
      </c>
      <c r="E40" s="1043">
        <v>0</v>
      </c>
      <c r="F40" s="2304">
        <f t="shared" si="0"/>
        <v>0</v>
      </c>
      <c r="G40" s="1043">
        <v>0</v>
      </c>
      <c r="H40" s="2304">
        <f t="shared" si="1"/>
        <v>0</v>
      </c>
      <c r="I40" s="1043">
        <v>0</v>
      </c>
      <c r="J40" s="2304">
        <f t="shared" si="2"/>
        <v>0</v>
      </c>
      <c r="K40" s="1043">
        <v>0</v>
      </c>
      <c r="L40" s="2304">
        <f t="shared" si="3"/>
        <v>0</v>
      </c>
      <c r="M40" s="2304">
        <f t="shared" si="4"/>
        <v>0</v>
      </c>
      <c r="N40" s="2304">
        <f t="shared" si="5"/>
        <v>0</v>
      </c>
      <c r="O40" s="2304">
        <f t="shared" si="6"/>
        <v>0</v>
      </c>
      <c r="P40" s="2304">
        <f t="shared" si="7"/>
        <v>0</v>
      </c>
    </row>
    <row r="41" spans="2:17" s="134" customFormat="1" ht="54" x14ac:dyDescent="0.15">
      <c r="B41" s="133"/>
      <c r="C41" s="543" t="s">
        <v>11</v>
      </c>
      <c r="D41" s="572" t="s">
        <v>26</v>
      </c>
      <c r="E41" s="1042">
        <f>E44+E47+E43+E48</f>
        <v>37547.599999999999</v>
      </c>
      <c r="F41" s="1042">
        <f t="shared" si="0"/>
        <v>2.5493525951688492</v>
      </c>
      <c r="G41" s="1042">
        <f>G44+G47+G43+G48</f>
        <v>25719.799999999996</v>
      </c>
      <c r="H41" s="1042">
        <f t="shared" si="1"/>
        <v>2.0739032125550816</v>
      </c>
      <c r="I41" s="1042">
        <f>I44+I47+I43+I48</f>
        <v>5366.3</v>
      </c>
      <c r="J41" s="1042">
        <f t="shared" si="2"/>
        <v>0.5069927262042766</v>
      </c>
      <c r="K41" s="1042">
        <f>K44+K47+K43+K48</f>
        <v>5366.3</v>
      </c>
      <c r="L41" s="1042">
        <f t="shared" si="3"/>
        <v>0.54460740933189355</v>
      </c>
      <c r="M41" s="1042">
        <f t="shared" si="4"/>
        <v>5366.3</v>
      </c>
      <c r="N41" s="1042">
        <f t="shared" si="5"/>
        <v>0.54460740933189355</v>
      </c>
      <c r="O41" s="1042">
        <f t="shared" si="6"/>
        <v>5366.3</v>
      </c>
      <c r="P41" s="1042">
        <f t="shared" si="7"/>
        <v>0.54460740933189355</v>
      </c>
      <c r="Q41" s="133"/>
    </row>
    <row r="42" spans="2:17" s="137" customFormat="1" x14ac:dyDescent="0.15">
      <c r="C42" s="135"/>
      <c r="D42" s="136" t="s">
        <v>15</v>
      </c>
      <c r="E42" s="1043"/>
      <c r="F42" s="2304">
        <f t="shared" si="0"/>
        <v>0</v>
      </c>
      <c r="G42" s="1043"/>
      <c r="H42" s="2304">
        <f t="shared" si="1"/>
        <v>0</v>
      </c>
      <c r="I42" s="1043"/>
      <c r="J42" s="2304">
        <f t="shared" si="2"/>
        <v>0</v>
      </c>
      <c r="K42" s="1043"/>
      <c r="L42" s="2304">
        <f t="shared" si="3"/>
        <v>0</v>
      </c>
      <c r="M42" s="2304">
        <f t="shared" si="4"/>
        <v>0</v>
      </c>
      <c r="N42" s="2304">
        <f t="shared" si="5"/>
        <v>0</v>
      </c>
      <c r="O42" s="2304">
        <f t="shared" si="6"/>
        <v>0</v>
      </c>
      <c r="P42" s="2304">
        <f t="shared" si="7"/>
        <v>0</v>
      </c>
    </row>
    <row r="43" spans="2:17" s="137" customFormat="1" ht="42" customHeight="1" x14ac:dyDescent="0.15">
      <c r="C43" s="135"/>
      <c r="D43" s="143" t="s">
        <v>825</v>
      </c>
      <c r="E43" s="1043"/>
      <c r="F43" s="2304">
        <f t="shared" si="0"/>
        <v>0</v>
      </c>
      <c r="G43" s="1043">
        <v>0</v>
      </c>
      <c r="H43" s="2304">
        <f t="shared" si="1"/>
        <v>0</v>
      </c>
      <c r="I43" s="1043">
        <v>0</v>
      </c>
      <c r="J43" s="2304">
        <f t="shared" si="2"/>
        <v>0</v>
      </c>
      <c r="K43" s="1043">
        <v>0</v>
      </c>
      <c r="L43" s="2304">
        <f t="shared" si="3"/>
        <v>0</v>
      </c>
      <c r="M43" s="2304">
        <f t="shared" si="4"/>
        <v>0</v>
      </c>
      <c r="N43" s="2304">
        <f t="shared" si="5"/>
        <v>0</v>
      </c>
      <c r="O43" s="2304">
        <f t="shared" si="6"/>
        <v>0</v>
      </c>
      <c r="P43" s="2304">
        <f t="shared" si="7"/>
        <v>0</v>
      </c>
    </row>
    <row r="44" spans="2:17" s="140" customFormat="1" ht="90" customHeight="1" x14ac:dyDescent="0.15">
      <c r="C44" s="138"/>
      <c r="D44" s="144" t="s">
        <v>1479</v>
      </c>
      <c r="E44" s="1043">
        <f>E45+E46</f>
        <v>33460.1</v>
      </c>
      <c r="F44" s="2304">
        <f t="shared" si="0"/>
        <v>2.2718254367685073</v>
      </c>
      <c r="G44" s="1043">
        <f>G45+G46</f>
        <v>22152.699999999997</v>
      </c>
      <c r="H44" s="2304">
        <f t="shared" si="1"/>
        <v>1.7862718876806567</v>
      </c>
      <c r="I44" s="1043">
        <f>I45+I46</f>
        <v>1826.4</v>
      </c>
      <c r="J44" s="2304">
        <f t="shared" si="2"/>
        <v>0.17255306545282426</v>
      </c>
      <c r="K44" s="1043">
        <f>K45+K46</f>
        <v>1826.4</v>
      </c>
      <c r="L44" s="2304">
        <f t="shared" si="3"/>
        <v>0.18535508122985492</v>
      </c>
      <c r="M44" s="2304">
        <f t="shared" si="4"/>
        <v>1826.4</v>
      </c>
      <c r="N44" s="2304">
        <f t="shared" si="5"/>
        <v>0.18535508122985492</v>
      </c>
      <c r="O44" s="2304">
        <f t="shared" si="6"/>
        <v>1826.4</v>
      </c>
      <c r="P44" s="2304">
        <f t="shared" si="7"/>
        <v>0.18535508122985492</v>
      </c>
    </row>
    <row r="45" spans="2:17" s="140" customFormat="1" ht="77.25" customHeight="1" x14ac:dyDescent="0.15">
      <c r="C45" s="138"/>
      <c r="D45" s="145" t="s">
        <v>1480</v>
      </c>
      <c r="E45" s="1043">
        <f>'Роспись 2014'!H321</f>
        <v>1660.1000000000001</v>
      </c>
      <c r="F45" s="2304">
        <f t="shared" si="0"/>
        <v>0.11271506682823421</v>
      </c>
      <c r="G45" s="1043">
        <f>'Роспись 2015 год'!J273</f>
        <v>4340.4359999999997</v>
      </c>
      <c r="H45" s="2304">
        <f t="shared" si="1"/>
        <v>0.3499888865500404</v>
      </c>
      <c r="I45" s="1043">
        <f>'2016'!I30</f>
        <v>1826.4</v>
      </c>
      <c r="J45" s="2304">
        <f t="shared" si="2"/>
        <v>0.17255306545282426</v>
      </c>
      <c r="K45" s="1043">
        <f>I45</f>
        <v>1826.4</v>
      </c>
      <c r="L45" s="2304">
        <f t="shared" si="3"/>
        <v>0.18535508122985492</v>
      </c>
      <c r="M45" s="2304">
        <f t="shared" si="4"/>
        <v>1826.4</v>
      </c>
      <c r="N45" s="2304">
        <f t="shared" si="5"/>
        <v>0.18535508122985492</v>
      </c>
      <c r="O45" s="2304">
        <f t="shared" si="6"/>
        <v>1826.4</v>
      </c>
      <c r="P45" s="2304">
        <f t="shared" si="7"/>
        <v>0.18535508122985492</v>
      </c>
    </row>
    <row r="46" spans="2:17" s="140" customFormat="1" x14ac:dyDescent="0.15">
      <c r="C46" s="138"/>
      <c r="D46" s="145" t="s">
        <v>953</v>
      </c>
      <c r="E46" s="1043">
        <f>'Роспись 2014'!H335</f>
        <v>31800</v>
      </c>
      <c r="F46" s="2304">
        <f t="shared" si="0"/>
        <v>2.1591103699402732</v>
      </c>
      <c r="G46" s="1043">
        <f>'Роспись 2015 год'!J287</f>
        <v>17812.263999999999</v>
      </c>
      <c r="H46" s="2304">
        <f t="shared" si="1"/>
        <v>1.4362830011306167</v>
      </c>
      <c r="I46" s="1043">
        <v>0</v>
      </c>
      <c r="J46" s="2304">
        <f t="shared" si="2"/>
        <v>0</v>
      </c>
      <c r="K46" s="1043">
        <v>0</v>
      </c>
      <c r="L46" s="2304">
        <f t="shared" si="3"/>
        <v>0</v>
      </c>
      <c r="M46" s="2304">
        <f t="shared" si="4"/>
        <v>0</v>
      </c>
      <c r="N46" s="2304">
        <f t="shared" si="5"/>
        <v>0</v>
      </c>
      <c r="O46" s="2304">
        <f t="shared" si="6"/>
        <v>0</v>
      </c>
      <c r="P46" s="2304">
        <f t="shared" si="7"/>
        <v>0</v>
      </c>
    </row>
    <row r="47" spans="2:17" s="140" customFormat="1" ht="76.5" customHeight="1" x14ac:dyDescent="0.15">
      <c r="C47" s="138"/>
      <c r="D47" s="488" t="s">
        <v>1729</v>
      </c>
      <c r="E47" s="1043">
        <f>'Роспись 2014'!H239</f>
        <v>4087.5</v>
      </c>
      <c r="F47" s="2304">
        <f t="shared" si="0"/>
        <v>0.27752715840034176</v>
      </c>
      <c r="G47" s="1043">
        <f>'Роспись 2015 год'!J938</f>
        <v>3567.1</v>
      </c>
      <c r="H47" s="2304">
        <f t="shared" si="1"/>
        <v>0.28763132487442489</v>
      </c>
      <c r="I47" s="1043">
        <f>'2016'!I61</f>
        <v>3539.9</v>
      </c>
      <c r="J47" s="2304">
        <f t="shared" si="2"/>
        <v>0.33443966075145237</v>
      </c>
      <c r="K47" s="1043">
        <f>I47</f>
        <v>3539.9</v>
      </c>
      <c r="L47" s="2304">
        <f t="shared" si="3"/>
        <v>0.35925232810203866</v>
      </c>
      <c r="M47" s="2304">
        <f t="shared" si="4"/>
        <v>3539.9</v>
      </c>
      <c r="N47" s="2304">
        <f t="shared" si="5"/>
        <v>0.35925232810203866</v>
      </c>
      <c r="O47" s="2304">
        <f t="shared" si="6"/>
        <v>3539.9</v>
      </c>
      <c r="P47" s="2304">
        <f t="shared" si="7"/>
        <v>0.35925232810203866</v>
      </c>
    </row>
    <row r="48" spans="2:17" s="140" customFormat="1" x14ac:dyDescent="0.15">
      <c r="C48" s="138"/>
      <c r="D48" s="488" t="s">
        <v>65</v>
      </c>
      <c r="E48" s="1043">
        <v>0</v>
      </c>
      <c r="F48" s="2304">
        <f t="shared" si="0"/>
        <v>0</v>
      </c>
      <c r="G48" s="1043">
        <v>0</v>
      </c>
      <c r="H48" s="2304">
        <f t="shared" si="1"/>
        <v>0</v>
      </c>
      <c r="I48" s="1043">
        <v>0</v>
      </c>
      <c r="J48" s="2304">
        <f t="shared" si="2"/>
        <v>0</v>
      </c>
      <c r="K48" s="1043">
        <v>0</v>
      </c>
      <c r="L48" s="2304">
        <f t="shared" si="3"/>
        <v>0</v>
      </c>
      <c r="M48" s="2304">
        <f t="shared" si="4"/>
        <v>0</v>
      </c>
      <c r="N48" s="2304">
        <f t="shared" si="5"/>
        <v>0</v>
      </c>
      <c r="O48" s="2304">
        <f t="shared" si="6"/>
        <v>0</v>
      </c>
      <c r="P48" s="2304">
        <f t="shared" si="7"/>
        <v>0</v>
      </c>
    </row>
    <row r="49" spans="2:17" s="134" customFormat="1" ht="87" customHeight="1" x14ac:dyDescent="0.15">
      <c r="B49" s="133"/>
      <c r="C49" s="543" t="s">
        <v>19</v>
      </c>
      <c r="D49" s="572" t="s">
        <v>27</v>
      </c>
      <c r="E49" s="1042">
        <f>E51+E52</f>
        <v>77454.089999999982</v>
      </c>
      <c r="F49" s="1042">
        <f t="shared" si="0"/>
        <v>5.2588656890970809</v>
      </c>
      <c r="G49" s="1042">
        <f>G51+G52</f>
        <v>77181.86</v>
      </c>
      <c r="H49" s="1042">
        <f t="shared" si="1"/>
        <v>6.2235206885347703</v>
      </c>
      <c r="I49" s="1042">
        <f>I51+I52</f>
        <v>128099.01999999999</v>
      </c>
      <c r="J49" s="1042">
        <f t="shared" si="2"/>
        <v>12.102430235711038</v>
      </c>
      <c r="K49" s="1042">
        <f>K51+K52</f>
        <v>128099.01999999999</v>
      </c>
      <c r="L49" s="1042">
        <f t="shared" si="3"/>
        <v>13.000330846235657</v>
      </c>
      <c r="M49" s="1042">
        <f t="shared" si="4"/>
        <v>128099.01999999999</v>
      </c>
      <c r="N49" s="1042">
        <f t="shared" si="5"/>
        <v>13.000330846235657</v>
      </c>
      <c r="O49" s="1042">
        <f t="shared" si="6"/>
        <v>128099.01999999999</v>
      </c>
      <c r="P49" s="1042">
        <f t="shared" si="7"/>
        <v>13.000330846235657</v>
      </c>
      <c r="Q49" s="133"/>
    </row>
    <row r="50" spans="2:17" s="137" customFormat="1" x14ac:dyDescent="0.15">
      <c r="C50" s="135"/>
      <c r="D50" s="136" t="s">
        <v>15</v>
      </c>
      <c r="E50" s="1043"/>
      <c r="F50" s="2304">
        <f t="shared" si="0"/>
        <v>0</v>
      </c>
      <c r="G50" s="1043"/>
      <c r="H50" s="2304">
        <f t="shared" si="1"/>
        <v>0</v>
      </c>
      <c r="I50" s="1043"/>
      <c r="J50" s="2304">
        <f t="shared" si="2"/>
        <v>0</v>
      </c>
      <c r="K50" s="1043"/>
      <c r="L50" s="2304">
        <f t="shared" si="3"/>
        <v>0</v>
      </c>
      <c r="M50" s="2304">
        <f t="shared" si="4"/>
        <v>0</v>
      </c>
      <c r="N50" s="2304">
        <f t="shared" si="5"/>
        <v>0</v>
      </c>
      <c r="O50" s="2304">
        <f t="shared" si="6"/>
        <v>0</v>
      </c>
      <c r="P50" s="2304">
        <f t="shared" si="7"/>
        <v>0</v>
      </c>
    </row>
    <row r="51" spans="2:17" s="137" customFormat="1" ht="36" x14ac:dyDescent="0.15">
      <c r="C51" s="135"/>
      <c r="D51" s="143" t="s">
        <v>825</v>
      </c>
      <c r="E51" s="1043"/>
      <c r="F51" s="2304">
        <f t="shared" si="0"/>
        <v>0</v>
      </c>
      <c r="G51" s="1043">
        <v>0</v>
      </c>
      <c r="H51" s="2304">
        <f t="shared" si="1"/>
        <v>0</v>
      </c>
      <c r="I51" s="1043">
        <v>0</v>
      </c>
      <c r="J51" s="2304">
        <f t="shared" si="2"/>
        <v>0</v>
      </c>
      <c r="K51" s="1043">
        <v>0</v>
      </c>
      <c r="L51" s="2304">
        <f t="shared" si="3"/>
        <v>0</v>
      </c>
      <c r="M51" s="2304">
        <f t="shared" si="4"/>
        <v>0</v>
      </c>
      <c r="N51" s="2304">
        <f t="shared" si="5"/>
        <v>0</v>
      </c>
      <c r="O51" s="2304">
        <f t="shared" si="6"/>
        <v>0</v>
      </c>
      <c r="P51" s="2304">
        <f t="shared" si="7"/>
        <v>0</v>
      </c>
    </row>
    <row r="52" spans="2:17" s="140" customFormat="1" ht="79.5" customHeight="1" x14ac:dyDescent="0.15">
      <c r="C52" s="138"/>
      <c r="D52" s="144" t="s">
        <v>1475</v>
      </c>
      <c r="E52" s="1043">
        <f>E53</f>
        <v>77454.089999999982</v>
      </c>
      <c r="F52" s="2304">
        <f t="shared" si="0"/>
        <v>5.2588656890970809</v>
      </c>
      <c r="G52" s="1043">
        <f>G53</f>
        <v>77181.86</v>
      </c>
      <c r="H52" s="2304">
        <f t="shared" si="1"/>
        <v>6.2235206885347703</v>
      </c>
      <c r="I52" s="1043">
        <f>I53</f>
        <v>128099.01999999999</v>
      </c>
      <c r="J52" s="2304">
        <f t="shared" si="2"/>
        <v>12.102430235711038</v>
      </c>
      <c r="K52" s="1043">
        <f>K53</f>
        <v>128099.01999999999</v>
      </c>
      <c r="L52" s="2304">
        <f t="shared" si="3"/>
        <v>13.000330846235657</v>
      </c>
      <c r="M52" s="2304">
        <f t="shared" si="4"/>
        <v>128099.01999999999</v>
      </c>
      <c r="N52" s="2304">
        <f t="shared" si="5"/>
        <v>13.000330846235657</v>
      </c>
      <c r="O52" s="2304">
        <f t="shared" si="6"/>
        <v>128099.01999999999</v>
      </c>
      <c r="P52" s="2304">
        <f t="shared" si="7"/>
        <v>13.000330846235657</v>
      </c>
    </row>
    <row r="53" spans="2:17" s="148" customFormat="1" ht="59.25" customHeight="1" x14ac:dyDescent="0.15">
      <c r="C53" s="146"/>
      <c r="D53" s="145" t="s">
        <v>1477</v>
      </c>
      <c r="E53" s="1043">
        <f>'Роспись 2014'!H339*0.7</f>
        <v>77454.089999999982</v>
      </c>
      <c r="F53" s="2304">
        <f t="shared" si="0"/>
        <v>5.2588656890970809</v>
      </c>
      <c r="G53" s="1043">
        <f>'Роспись 2015 год'!J290*0.7</f>
        <v>77181.86</v>
      </c>
      <c r="H53" s="2304">
        <f t="shared" si="1"/>
        <v>6.2235206885347703</v>
      </c>
      <c r="I53" s="1043">
        <f>'2016'!I33*0.7</f>
        <v>128099.01999999999</v>
      </c>
      <c r="J53" s="2304">
        <f t="shared" si="2"/>
        <v>12.102430235711038</v>
      </c>
      <c r="K53" s="1043">
        <f>I53</f>
        <v>128099.01999999999</v>
      </c>
      <c r="L53" s="2304">
        <f t="shared" si="3"/>
        <v>13.000330846235657</v>
      </c>
      <c r="M53" s="2304">
        <f t="shared" si="4"/>
        <v>128099.01999999999</v>
      </c>
      <c r="N53" s="2304">
        <f t="shared" si="5"/>
        <v>13.000330846235657</v>
      </c>
      <c r="O53" s="2304">
        <f t="shared" si="6"/>
        <v>128099.01999999999</v>
      </c>
      <c r="P53" s="2304">
        <f t="shared" si="7"/>
        <v>13.000330846235657</v>
      </c>
    </row>
    <row r="54" spans="2:17" s="1048" customFormat="1" ht="54" x14ac:dyDescent="0.15">
      <c r="B54" s="140"/>
      <c r="C54" s="544" t="s">
        <v>28</v>
      </c>
      <c r="D54" s="545" t="s">
        <v>29</v>
      </c>
      <c r="E54" s="1042">
        <f>E56</f>
        <v>47827.695999999996</v>
      </c>
      <c r="F54" s="1042">
        <f t="shared" si="0"/>
        <v>3.2473356730802174</v>
      </c>
      <c r="G54" s="1042">
        <f>G56</f>
        <v>38730.299999999996</v>
      </c>
      <c r="H54" s="1042">
        <f t="shared" si="1"/>
        <v>3.1229983745294319</v>
      </c>
      <c r="I54" s="1042">
        <f>I56</f>
        <v>39759.369999999995</v>
      </c>
      <c r="J54" s="1042">
        <f t="shared" si="2"/>
        <v>3.7563519349392553</v>
      </c>
      <c r="K54" s="1042">
        <f>K56</f>
        <v>39759.369999999995</v>
      </c>
      <c r="L54" s="1042">
        <f t="shared" si="3"/>
        <v>4.0350422996046076</v>
      </c>
      <c r="M54" s="1042">
        <f t="shared" si="4"/>
        <v>39759.369999999995</v>
      </c>
      <c r="N54" s="1042">
        <f t="shared" si="5"/>
        <v>4.0350422996046076</v>
      </c>
      <c r="O54" s="1042">
        <f t="shared" si="6"/>
        <v>39759.369999999995</v>
      </c>
      <c r="P54" s="1042">
        <f t="shared" si="7"/>
        <v>4.0350422996046076</v>
      </c>
      <c r="Q54" s="140"/>
    </row>
    <row r="55" spans="2:17" s="140" customFormat="1" x14ac:dyDescent="0.15">
      <c r="C55" s="149"/>
      <c r="D55" s="266" t="s">
        <v>15</v>
      </c>
      <c r="E55" s="1043"/>
      <c r="F55" s="2304">
        <f t="shared" si="0"/>
        <v>0</v>
      </c>
      <c r="G55" s="1043"/>
      <c r="H55" s="2304">
        <f t="shared" si="1"/>
        <v>0</v>
      </c>
      <c r="I55" s="1043"/>
      <c r="J55" s="2304">
        <f t="shared" si="2"/>
        <v>0</v>
      </c>
      <c r="K55" s="1043"/>
      <c r="L55" s="2304">
        <f t="shared" si="3"/>
        <v>0</v>
      </c>
      <c r="M55" s="2304">
        <f t="shared" si="4"/>
        <v>0</v>
      </c>
      <c r="N55" s="2304">
        <f t="shared" si="5"/>
        <v>0</v>
      </c>
      <c r="O55" s="2304">
        <f t="shared" si="6"/>
        <v>0</v>
      </c>
      <c r="P55" s="2304">
        <f t="shared" si="7"/>
        <v>0</v>
      </c>
    </row>
    <row r="56" spans="2:17" s="140" customFormat="1" ht="88.5" customHeight="1" x14ac:dyDescent="0.15">
      <c r="C56" s="149"/>
      <c r="D56" s="144" t="s">
        <v>1476</v>
      </c>
      <c r="E56" s="1043">
        <f>E57</f>
        <v>47827.695999999996</v>
      </c>
      <c r="F56" s="2304">
        <f t="shared" si="0"/>
        <v>3.2473356730802174</v>
      </c>
      <c r="G56" s="1043">
        <f>G57</f>
        <v>38730.299999999996</v>
      </c>
      <c r="H56" s="2304">
        <f t="shared" si="1"/>
        <v>3.1229983745294319</v>
      </c>
      <c r="I56" s="1043">
        <f>I57</f>
        <v>39759.369999999995</v>
      </c>
      <c r="J56" s="2304">
        <f t="shared" si="2"/>
        <v>3.7563519349392553</v>
      </c>
      <c r="K56" s="1043">
        <f>K57</f>
        <v>39759.369999999995</v>
      </c>
      <c r="L56" s="2304">
        <f t="shared" si="3"/>
        <v>4.0350422996046076</v>
      </c>
      <c r="M56" s="2304">
        <f t="shared" si="4"/>
        <v>39759.369999999995</v>
      </c>
      <c r="N56" s="2304">
        <f t="shared" si="5"/>
        <v>4.0350422996046076</v>
      </c>
      <c r="O56" s="2304">
        <f t="shared" si="6"/>
        <v>39759.369999999995</v>
      </c>
      <c r="P56" s="2304">
        <f t="shared" si="7"/>
        <v>4.0350422996046076</v>
      </c>
    </row>
    <row r="57" spans="2:17" s="140" customFormat="1" ht="67.5" customHeight="1" x14ac:dyDescent="0.15">
      <c r="C57" s="149"/>
      <c r="D57" s="145" t="s">
        <v>1478</v>
      </c>
      <c r="E57" s="1043">
        <f>'Роспись 2014'!H437*0.7</f>
        <v>47827.695999999996</v>
      </c>
      <c r="F57" s="2304">
        <f t="shared" si="0"/>
        <v>3.2473356730802174</v>
      </c>
      <c r="G57" s="1043">
        <f>'Роспись 2015 год'!J388*0.7</f>
        <v>38730.299999999996</v>
      </c>
      <c r="H57" s="2304">
        <f t="shared" si="1"/>
        <v>3.1229983745294319</v>
      </c>
      <c r="I57" s="1043">
        <f>'2016'!I38*0.7</f>
        <v>39759.369999999995</v>
      </c>
      <c r="J57" s="2304">
        <f t="shared" si="2"/>
        <v>3.7563519349392553</v>
      </c>
      <c r="K57" s="1043">
        <f>I57</f>
        <v>39759.369999999995</v>
      </c>
      <c r="L57" s="2304">
        <f t="shared" si="3"/>
        <v>4.0350422996046076</v>
      </c>
      <c r="M57" s="2304">
        <f t="shared" si="4"/>
        <v>39759.369999999995</v>
      </c>
      <c r="N57" s="2304">
        <f t="shared" si="5"/>
        <v>4.0350422996046076</v>
      </c>
      <c r="O57" s="2304">
        <f t="shared" si="6"/>
        <v>39759.369999999995</v>
      </c>
      <c r="P57" s="2304">
        <f t="shared" si="7"/>
        <v>4.0350422996046076</v>
      </c>
    </row>
    <row r="58" spans="2:17" s="140" customFormat="1" ht="21" customHeight="1" x14ac:dyDescent="0.15">
      <c r="C58" s="149"/>
      <c r="D58" s="142" t="s">
        <v>65</v>
      </c>
      <c r="E58" s="1043">
        <v>0</v>
      </c>
      <c r="F58" s="2304">
        <f t="shared" si="0"/>
        <v>0</v>
      </c>
      <c r="G58" s="1043">
        <v>0</v>
      </c>
      <c r="H58" s="2304">
        <f t="shared" si="1"/>
        <v>0</v>
      </c>
      <c r="I58" s="1043">
        <v>0</v>
      </c>
      <c r="J58" s="2304">
        <f t="shared" si="2"/>
        <v>0</v>
      </c>
      <c r="K58" s="1043">
        <v>0</v>
      </c>
      <c r="L58" s="2304">
        <f t="shared" si="3"/>
        <v>0</v>
      </c>
      <c r="M58" s="2304">
        <f t="shared" si="4"/>
        <v>0</v>
      </c>
      <c r="N58" s="2304">
        <f t="shared" si="5"/>
        <v>0</v>
      </c>
      <c r="O58" s="2304">
        <f t="shared" si="6"/>
        <v>0</v>
      </c>
      <c r="P58" s="2304">
        <f t="shared" si="7"/>
        <v>0</v>
      </c>
    </row>
    <row r="59" spans="2:17" s="131" customFormat="1" ht="25.5" customHeight="1" x14ac:dyDescent="0.15">
      <c r="C59" s="2657" t="s">
        <v>12</v>
      </c>
      <c r="D59" s="2658" t="s">
        <v>30</v>
      </c>
      <c r="E59" s="2659">
        <f>E60+E72+E79</f>
        <v>216547.06</v>
      </c>
      <c r="F59" s="2659">
        <f t="shared" si="0"/>
        <v>14.70279883100876</v>
      </c>
      <c r="G59" s="2659">
        <f>G60+G72+G79</f>
        <v>190532.86000000002</v>
      </c>
      <c r="H59" s="2659">
        <f t="shared" si="1"/>
        <v>15.363521895633236</v>
      </c>
      <c r="I59" s="2659">
        <f>I60+I72+I79</f>
        <v>189443.81999999995</v>
      </c>
      <c r="J59" s="2659">
        <f t="shared" si="2"/>
        <v>17.898112063125847</v>
      </c>
      <c r="K59" s="2659">
        <f>K60+K72+K79</f>
        <v>189443.81999999995</v>
      </c>
      <c r="L59" s="2659">
        <f t="shared" si="3"/>
        <v>19.226004514122867</v>
      </c>
      <c r="M59" s="2659">
        <f t="shared" si="4"/>
        <v>189443.81999999995</v>
      </c>
      <c r="N59" s="2659">
        <f t="shared" si="5"/>
        <v>19.226004514122867</v>
      </c>
      <c r="O59" s="2659">
        <f t="shared" si="6"/>
        <v>189443.81999999995</v>
      </c>
      <c r="P59" s="2659">
        <f t="shared" si="7"/>
        <v>19.226004514122867</v>
      </c>
    </row>
    <row r="60" spans="2:17" s="134" customFormat="1" ht="27" customHeight="1" x14ac:dyDescent="0.15">
      <c r="B60" s="133"/>
      <c r="C60" s="543" t="s">
        <v>13</v>
      </c>
      <c r="D60" s="572" t="s">
        <v>31</v>
      </c>
      <c r="E60" s="1042">
        <f>E62+E65+E68+E71</f>
        <v>135412.424</v>
      </c>
      <c r="F60" s="1042">
        <f t="shared" si="0"/>
        <v>9.1940367571430546</v>
      </c>
      <c r="G60" s="1042">
        <f>G62+G65+G68+G71</f>
        <v>123665.72</v>
      </c>
      <c r="H60" s="1042">
        <f t="shared" si="1"/>
        <v>9.97172349671993</v>
      </c>
      <c r="I60" s="1042">
        <f>I62+I65+I68+I71</f>
        <v>126219.36999999997</v>
      </c>
      <c r="J60" s="1042">
        <f t="shared" si="2"/>
        <v>11.924846262058823</v>
      </c>
      <c r="K60" s="1042">
        <f>K62+K65+K68+K71</f>
        <v>126219.36999999997</v>
      </c>
      <c r="L60" s="1042">
        <f t="shared" si="3"/>
        <v>12.809571604868104</v>
      </c>
      <c r="M60" s="1042">
        <f t="shared" si="4"/>
        <v>126219.36999999997</v>
      </c>
      <c r="N60" s="1042">
        <f t="shared" si="5"/>
        <v>12.809571604868104</v>
      </c>
      <c r="O60" s="1042">
        <f t="shared" si="6"/>
        <v>126219.36999999997</v>
      </c>
      <c r="P60" s="1042">
        <f t="shared" si="7"/>
        <v>12.809571604868104</v>
      </c>
      <c r="Q60" s="133"/>
    </row>
    <row r="61" spans="2:17" s="137" customFormat="1" x14ac:dyDescent="0.15">
      <c r="C61" s="135"/>
      <c r="D61" s="136" t="s">
        <v>15</v>
      </c>
      <c r="E61" s="1043"/>
      <c r="F61" s="2304">
        <f t="shared" si="0"/>
        <v>0</v>
      </c>
      <c r="G61" s="1043"/>
      <c r="H61" s="2304">
        <f t="shared" si="1"/>
        <v>0</v>
      </c>
      <c r="I61" s="1043"/>
      <c r="J61" s="2304">
        <f t="shared" si="2"/>
        <v>0</v>
      </c>
      <c r="K61" s="1043"/>
      <c r="L61" s="2304">
        <f t="shared" si="3"/>
        <v>0</v>
      </c>
      <c r="M61" s="2304">
        <f t="shared" si="4"/>
        <v>0</v>
      </c>
      <c r="N61" s="2304">
        <f t="shared" si="5"/>
        <v>0</v>
      </c>
      <c r="O61" s="2304">
        <f t="shared" si="6"/>
        <v>0</v>
      </c>
      <c r="P61" s="2304">
        <f t="shared" si="7"/>
        <v>0</v>
      </c>
    </row>
    <row r="62" spans="2:17" s="137" customFormat="1" ht="72" x14ac:dyDescent="0.15">
      <c r="C62" s="135"/>
      <c r="D62" s="144" t="s">
        <v>1481</v>
      </c>
      <c r="E62" s="1043">
        <f>E63+E64</f>
        <v>32054.159999999996</v>
      </c>
      <c r="F62" s="2304">
        <f t="shared" si="0"/>
        <v>2.176366957727192</v>
      </c>
      <c r="G62" s="1043">
        <f>G63+G64</f>
        <v>28325.219999999998</v>
      </c>
      <c r="H62" s="2304">
        <f t="shared" si="1"/>
        <v>2.2839899514898812</v>
      </c>
      <c r="I62" s="1043">
        <f>I63+I64</f>
        <v>29835.189999999995</v>
      </c>
      <c r="J62" s="2304">
        <f t="shared" si="2"/>
        <v>2.8187436995551067</v>
      </c>
      <c r="K62" s="1043">
        <f>K63+K64</f>
        <v>29835.189999999995</v>
      </c>
      <c r="L62" s="2304">
        <f t="shared" si="3"/>
        <v>3.0278712581899661</v>
      </c>
      <c r="M62" s="2304">
        <f t="shared" si="4"/>
        <v>29835.189999999995</v>
      </c>
      <c r="N62" s="2304">
        <f t="shared" si="5"/>
        <v>3.0278712581899661</v>
      </c>
      <c r="O62" s="2304">
        <f t="shared" si="6"/>
        <v>29835.189999999995</v>
      </c>
      <c r="P62" s="2304">
        <f t="shared" si="7"/>
        <v>3.0278712581899661</v>
      </c>
    </row>
    <row r="63" spans="2:17" s="148" customFormat="1" ht="81" customHeight="1" x14ac:dyDescent="0.15">
      <c r="C63" s="146"/>
      <c r="D63" s="145" t="s">
        <v>1482</v>
      </c>
      <c r="E63" s="1043">
        <f>'Роспись 2014'!H36*0.7</f>
        <v>31604.159999999996</v>
      </c>
      <c r="F63" s="2304">
        <f t="shared" si="0"/>
        <v>2.1458135090959614</v>
      </c>
      <c r="G63" s="1043">
        <f>'Роспись 2015 год'!J31*0.7</f>
        <v>28325.219999999998</v>
      </c>
      <c r="H63" s="2304">
        <f t="shared" si="1"/>
        <v>2.2839899514898812</v>
      </c>
      <c r="I63" s="1043">
        <f>'2016'!I8*0.7</f>
        <v>29835.189999999995</v>
      </c>
      <c r="J63" s="2304">
        <f t="shared" si="2"/>
        <v>2.8187436995551067</v>
      </c>
      <c r="K63" s="1043">
        <f>I63</f>
        <v>29835.189999999995</v>
      </c>
      <c r="L63" s="2304">
        <f t="shared" si="3"/>
        <v>3.0278712581899661</v>
      </c>
      <c r="M63" s="2304">
        <f t="shared" si="4"/>
        <v>29835.189999999995</v>
      </c>
      <c r="N63" s="2304">
        <f t="shared" si="5"/>
        <v>3.0278712581899661</v>
      </c>
      <c r="O63" s="2304">
        <f t="shared" si="6"/>
        <v>29835.189999999995</v>
      </c>
      <c r="P63" s="2304">
        <f t="shared" si="7"/>
        <v>3.0278712581899661</v>
      </c>
    </row>
    <row r="64" spans="2:17" s="148" customFormat="1" x14ac:dyDescent="0.15">
      <c r="C64" s="146"/>
      <c r="D64" s="145" t="s">
        <v>953</v>
      </c>
      <c r="E64" s="1043">
        <f>'Роспись 2014'!H50</f>
        <v>450</v>
      </c>
      <c r="F64" s="2304">
        <f t="shared" si="0"/>
        <v>3.0553448631230284E-2</v>
      </c>
      <c r="G64" s="1043">
        <f>'Роспись 2015'!I44</f>
        <v>0</v>
      </c>
      <c r="H64" s="2304">
        <f t="shared" si="1"/>
        <v>0</v>
      </c>
      <c r="I64" s="1043">
        <v>0</v>
      </c>
      <c r="J64" s="2304">
        <f t="shared" si="2"/>
        <v>0</v>
      </c>
      <c r="K64" s="1043">
        <v>0</v>
      </c>
      <c r="L64" s="2304">
        <f t="shared" si="3"/>
        <v>0</v>
      </c>
      <c r="M64" s="2304">
        <f t="shared" si="4"/>
        <v>0</v>
      </c>
      <c r="N64" s="2304">
        <f t="shared" si="5"/>
        <v>0</v>
      </c>
      <c r="O64" s="2304">
        <f t="shared" si="6"/>
        <v>0</v>
      </c>
      <c r="P64" s="2304">
        <f t="shared" si="7"/>
        <v>0</v>
      </c>
    </row>
    <row r="65" spans="2:17" s="137" customFormat="1" ht="72" x14ac:dyDescent="0.15">
      <c r="C65" s="135"/>
      <c r="D65" s="144" t="s">
        <v>1483</v>
      </c>
      <c r="E65" s="1043">
        <f>E66+E67</f>
        <v>96610.364000000001</v>
      </c>
      <c r="F65" s="2304">
        <f t="shared" si="0"/>
        <v>6.5595106527076874</v>
      </c>
      <c r="G65" s="1043">
        <f>G66+G67</f>
        <v>88837</v>
      </c>
      <c r="H65" s="2304">
        <f t="shared" si="1"/>
        <v>7.1633270746178361</v>
      </c>
      <c r="I65" s="1043">
        <f>I66+I67</f>
        <v>91196.279999999984</v>
      </c>
      <c r="J65" s="2304">
        <f t="shared" si="2"/>
        <v>8.6159645597317596</v>
      </c>
      <c r="K65" s="1043">
        <f>K66+K67</f>
        <v>91196.279999999984</v>
      </c>
      <c r="L65" s="2304">
        <f t="shared" si="3"/>
        <v>9.2551981423897232</v>
      </c>
      <c r="M65" s="2304">
        <f t="shared" si="4"/>
        <v>91196.279999999984</v>
      </c>
      <c r="N65" s="2304">
        <f t="shared" si="5"/>
        <v>9.2551981423897232</v>
      </c>
      <c r="O65" s="2304">
        <f t="shared" si="6"/>
        <v>91196.279999999984</v>
      </c>
      <c r="P65" s="2304">
        <f t="shared" si="7"/>
        <v>9.2551981423897232</v>
      </c>
    </row>
    <row r="66" spans="2:17" s="148" customFormat="1" ht="54" x14ac:dyDescent="0.15">
      <c r="C66" s="146"/>
      <c r="D66" s="145" t="s">
        <v>1484</v>
      </c>
      <c r="E66" s="1043">
        <f>'Роспись 2014'!H119*0.7</f>
        <v>95410.364000000001</v>
      </c>
      <c r="F66" s="2304">
        <f t="shared" si="0"/>
        <v>6.4780347896910735</v>
      </c>
      <c r="G66" s="1043">
        <f>'Роспись 2015 год'!J113*0.7</f>
        <v>88837</v>
      </c>
      <c r="H66" s="2304">
        <f t="shared" si="1"/>
        <v>7.1633270746178361</v>
      </c>
      <c r="I66" s="1043">
        <f>'2016'!I14*0.7</f>
        <v>91196.279999999984</v>
      </c>
      <c r="J66" s="2304">
        <f t="shared" si="2"/>
        <v>8.6159645597317596</v>
      </c>
      <c r="K66" s="1043">
        <f>I66</f>
        <v>91196.279999999984</v>
      </c>
      <c r="L66" s="2304">
        <f t="shared" si="3"/>
        <v>9.2551981423897232</v>
      </c>
      <c r="M66" s="2304">
        <f t="shared" si="4"/>
        <v>91196.279999999984</v>
      </c>
      <c r="N66" s="2304">
        <f t="shared" si="5"/>
        <v>9.2551981423897232</v>
      </c>
      <c r="O66" s="2304">
        <f t="shared" si="6"/>
        <v>91196.279999999984</v>
      </c>
      <c r="P66" s="2304">
        <f t="shared" si="7"/>
        <v>9.2551981423897232</v>
      </c>
    </row>
    <row r="67" spans="2:17" s="148" customFormat="1" x14ac:dyDescent="0.15">
      <c r="C67" s="146"/>
      <c r="D67" s="145" t="s">
        <v>953</v>
      </c>
      <c r="E67" s="1043">
        <f>'Роспись 2014'!H133</f>
        <v>1200</v>
      </c>
      <c r="F67" s="2304">
        <f t="shared" si="0"/>
        <v>8.1475863016614081E-2</v>
      </c>
      <c r="G67" s="1043">
        <f>'Роспись 2015'!I126</f>
        <v>0</v>
      </c>
      <c r="H67" s="2304">
        <f t="shared" si="1"/>
        <v>0</v>
      </c>
      <c r="I67" s="1043">
        <v>0</v>
      </c>
      <c r="J67" s="2304">
        <f t="shared" si="2"/>
        <v>0</v>
      </c>
      <c r="K67" s="1043">
        <v>0</v>
      </c>
      <c r="L67" s="2304">
        <f t="shared" si="3"/>
        <v>0</v>
      </c>
      <c r="M67" s="2304">
        <f t="shared" si="4"/>
        <v>0</v>
      </c>
      <c r="N67" s="2304">
        <f t="shared" si="5"/>
        <v>0</v>
      </c>
      <c r="O67" s="2304">
        <f t="shared" si="6"/>
        <v>0</v>
      </c>
      <c r="P67" s="2304">
        <f t="shared" si="7"/>
        <v>0</v>
      </c>
    </row>
    <row r="68" spans="2:17" s="140" customFormat="1" ht="132.75" customHeight="1" x14ac:dyDescent="0.15">
      <c r="C68" s="138"/>
      <c r="D68" s="144" t="s">
        <v>1485</v>
      </c>
      <c r="E68" s="1043">
        <f>E69+E70</f>
        <v>6747.9</v>
      </c>
      <c r="F68" s="2304">
        <f t="shared" si="0"/>
        <v>0.45815914670817515</v>
      </c>
      <c r="G68" s="1043">
        <f>G69+G70</f>
        <v>6503.5</v>
      </c>
      <c r="H68" s="2304">
        <f t="shared" si="1"/>
        <v>0.52440647061221224</v>
      </c>
      <c r="I68" s="1043">
        <f>I69</f>
        <v>5187.8999999999996</v>
      </c>
      <c r="J68" s="2304">
        <f t="shared" si="2"/>
        <v>0.49013800277195951</v>
      </c>
      <c r="K68" s="1043">
        <f>K69</f>
        <v>5187.8999999999996</v>
      </c>
      <c r="L68" s="2304">
        <f t="shared" si="3"/>
        <v>0.52650220428841665</v>
      </c>
      <c r="M68" s="2304">
        <f t="shared" si="4"/>
        <v>5187.8999999999996</v>
      </c>
      <c r="N68" s="2304">
        <f t="shared" si="5"/>
        <v>0.52650220428841665</v>
      </c>
      <c r="O68" s="2304">
        <f t="shared" si="6"/>
        <v>5187.8999999999996</v>
      </c>
      <c r="P68" s="2304">
        <f t="shared" si="7"/>
        <v>0.52650220428841665</v>
      </c>
    </row>
    <row r="69" spans="2:17" s="140" customFormat="1" ht="99" customHeight="1" x14ac:dyDescent="0.15">
      <c r="C69" s="138"/>
      <c r="D69" s="145" t="s">
        <v>1486</v>
      </c>
      <c r="E69" s="1043">
        <f>'Роспись 2014'!H202</f>
        <v>6747.9</v>
      </c>
      <c r="F69" s="2304">
        <f t="shared" si="0"/>
        <v>0.45815914670817515</v>
      </c>
      <c r="G69" s="1043">
        <f>'Роспись 2015 год'!J195</f>
        <v>6503.5</v>
      </c>
      <c r="H69" s="2304">
        <f t="shared" si="1"/>
        <v>0.52440647061221224</v>
      </c>
      <c r="I69" s="1043">
        <f>'2016'!I20</f>
        <v>5187.8999999999996</v>
      </c>
      <c r="J69" s="2304">
        <f t="shared" si="2"/>
        <v>0.49013800277195951</v>
      </c>
      <c r="K69" s="1043">
        <f>I69</f>
        <v>5187.8999999999996</v>
      </c>
      <c r="L69" s="2304">
        <f t="shared" si="3"/>
        <v>0.52650220428841665</v>
      </c>
      <c r="M69" s="2304">
        <f t="shared" si="4"/>
        <v>5187.8999999999996</v>
      </c>
      <c r="N69" s="2304">
        <f t="shared" si="5"/>
        <v>0.52650220428841665</v>
      </c>
      <c r="O69" s="2304">
        <f t="shared" si="6"/>
        <v>5187.8999999999996</v>
      </c>
      <c r="P69" s="2304">
        <f t="shared" si="7"/>
        <v>0.52650220428841665</v>
      </c>
    </row>
    <row r="70" spans="2:17" s="140" customFormat="1" ht="21.75" customHeight="1" x14ac:dyDescent="0.15">
      <c r="C70" s="138"/>
      <c r="D70" s="145" t="s">
        <v>953</v>
      </c>
      <c r="E70" s="1043">
        <f>'Роспись 2014'!H216</f>
        <v>0</v>
      </c>
      <c r="F70" s="2304">
        <f t="shared" si="0"/>
        <v>0</v>
      </c>
      <c r="G70" s="1043">
        <f>'Роспись 2015'!J192</f>
        <v>0</v>
      </c>
      <c r="H70" s="2304">
        <f t="shared" si="1"/>
        <v>0</v>
      </c>
      <c r="I70" s="1043">
        <v>0</v>
      </c>
      <c r="J70" s="2304">
        <f t="shared" si="2"/>
        <v>0</v>
      </c>
      <c r="K70" s="1043">
        <v>0</v>
      </c>
      <c r="L70" s="2304">
        <f t="shared" si="3"/>
        <v>0</v>
      </c>
      <c r="M70" s="2304">
        <f t="shared" si="4"/>
        <v>0</v>
      </c>
      <c r="N70" s="2304">
        <f t="shared" si="5"/>
        <v>0</v>
      </c>
      <c r="O70" s="2304">
        <f t="shared" si="6"/>
        <v>0</v>
      </c>
      <c r="P70" s="2304">
        <f t="shared" si="7"/>
        <v>0</v>
      </c>
    </row>
    <row r="71" spans="2:17" s="140" customFormat="1" x14ac:dyDescent="0.15">
      <c r="C71" s="138"/>
      <c r="D71" s="142" t="s">
        <v>65</v>
      </c>
      <c r="E71" s="1043">
        <v>0</v>
      </c>
      <c r="F71" s="2304">
        <f t="shared" si="0"/>
        <v>0</v>
      </c>
      <c r="G71" s="1043">
        <v>0</v>
      </c>
      <c r="H71" s="2304">
        <f t="shared" si="1"/>
        <v>0</v>
      </c>
      <c r="I71" s="1043">
        <v>0</v>
      </c>
      <c r="J71" s="2304">
        <f t="shared" si="2"/>
        <v>0</v>
      </c>
      <c r="K71" s="1043">
        <v>0</v>
      </c>
      <c r="L71" s="2304">
        <f t="shared" si="3"/>
        <v>0</v>
      </c>
      <c r="M71" s="2304">
        <f t="shared" si="4"/>
        <v>0</v>
      </c>
      <c r="N71" s="2304">
        <f t="shared" si="5"/>
        <v>0</v>
      </c>
      <c r="O71" s="2304">
        <f t="shared" si="6"/>
        <v>0</v>
      </c>
      <c r="P71" s="2304">
        <f t="shared" si="7"/>
        <v>0</v>
      </c>
    </row>
    <row r="72" spans="2:17" s="134" customFormat="1" ht="36" customHeight="1" x14ac:dyDescent="0.15">
      <c r="B72" s="133"/>
      <c r="C72" s="543" t="s">
        <v>14</v>
      </c>
      <c r="D72" s="572" t="s">
        <v>32</v>
      </c>
      <c r="E72" s="1042">
        <f>E74+E76+E78</f>
        <v>54970.796000000002</v>
      </c>
      <c r="F72" s="1042">
        <f t="shared" si="0"/>
        <v>3.732327537341865</v>
      </c>
      <c r="G72" s="1042">
        <f>G74+G76+G78</f>
        <v>53250.38</v>
      </c>
      <c r="H72" s="1042">
        <f t="shared" si="1"/>
        <v>4.2938177649817995</v>
      </c>
      <c r="I72" s="1042">
        <f>I74+I76+I78</f>
        <v>51870.62999999999</v>
      </c>
      <c r="J72" s="1042">
        <f t="shared" si="2"/>
        <v>4.900589253980085</v>
      </c>
      <c r="K72" s="1042">
        <f>K74+K76+K78</f>
        <v>51870.62999999999</v>
      </c>
      <c r="L72" s="1042">
        <f t="shared" si="3"/>
        <v>5.2641726002484379</v>
      </c>
      <c r="M72" s="1042">
        <f t="shared" si="4"/>
        <v>51870.62999999999</v>
      </c>
      <c r="N72" s="1042">
        <f t="shared" si="5"/>
        <v>5.2641726002484379</v>
      </c>
      <c r="O72" s="1042">
        <f t="shared" si="6"/>
        <v>51870.62999999999</v>
      </c>
      <c r="P72" s="1042">
        <f t="shared" si="7"/>
        <v>5.2641726002484379</v>
      </c>
      <c r="Q72" s="133"/>
    </row>
    <row r="73" spans="2:17" s="137" customFormat="1" x14ac:dyDescent="0.15">
      <c r="C73" s="135"/>
      <c r="D73" s="136" t="s">
        <v>15</v>
      </c>
      <c r="E73" s="1043"/>
      <c r="F73" s="2304">
        <f t="shared" si="0"/>
        <v>0</v>
      </c>
      <c r="G73" s="1043"/>
      <c r="H73" s="2304">
        <f t="shared" si="1"/>
        <v>0</v>
      </c>
      <c r="I73" s="1043"/>
      <c r="J73" s="2304">
        <f t="shared" si="2"/>
        <v>0</v>
      </c>
      <c r="K73" s="1043"/>
      <c r="L73" s="2304">
        <f t="shared" si="3"/>
        <v>0</v>
      </c>
      <c r="M73" s="2304">
        <f t="shared" si="4"/>
        <v>0</v>
      </c>
      <c r="N73" s="2304">
        <f t="shared" si="5"/>
        <v>0</v>
      </c>
      <c r="O73" s="2304">
        <f t="shared" si="6"/>
        <v>0</v>
      </c>
      <c r="P73" s="2304">
        <f t="shared" si="7"/>
        <v>0</v>
      </c>
    </row>
    <row r="74" spans="2:17" s="140" customFormat="1" ht="72" x14ac:dyDescent="0.15">
      <c r="C74" s="138"/>
      <c r="D74" s="144" t="s">
        <v>1481</v>
      </c>
      <c r="E74" s="1043">
        <f>E75</f>
        <v>13544.639999999998</v>
      </c>
      <c r="F74" s="2304">
        <f t="shared" si="0"/>
        <v>0.91963436104112639</v>
      </c>
      <c r="G74" s="1043">
        <f>G75</f>
        <v>12139.38</v>
      </c>
      <c r="H74" s="2304">
        <f t="shared" si="1"/>
        <v>0.9788528363528064</v>
      </c>
      <c r="I74" s="1043">
        <f>I75</f>
        <v>12786.509999999998</v>
      </c>
      <c r="J74" s="2304">
        <f t="shared" si="2"/>
        <v>1.2080330140950457</v>
      </c>
      <c r="K74" s="1043">
        <f>K75</f>
        <v>12786.509999999998</v>
      </c>
      <c r="L74" s="2304">
        <f t="shared" si="3"/>
        <v>1.2976591106528426</v>
      </c>
      <c r="M74" s="2304">
        <f t="shared" si="4"/>
        <v>12786.509999999998</v>
      </c>
      <c r="N74" s="2304">
        <f t="shared" si="5"/>
        <v>1.2976591106528426</v>
      </c>
      <c r="O74" s="2304">
        <f t="shared" si="6"/>
        <v>12786.509999999998</v>
      </c>
      <c r="P74" s="2304">
        <f t="shared" si="7"/>
        <v>1.2976591106528426</v>
      </c>
    </row>
    <row r="75" spans="2:17" s="140" customFormat="1" ht="54" x14ac:dyDescent="0.15">
      <c r="C75" s="138"/>
      <c r="D75" s="145" t="s">
        <v>1482</v>
      </c>
      <c r="E75" s="1043">
        <f>'Роспись 2014'!H36*0.3</f>
        <v>13544.639999999998</v>
      </c>
      <c r="F75" s="2304">
        <f t="shared" si="0"/>
        <v>0.91963436104112639</v>
      </c>
      <c r="G75" s="1043">
        <f>'Роспись 2015 год'!J31*0.3</f>
        <v>12139.38</v>
      </c>
      <c r="H75" s="2304">
        <f t="shared" si="1"/>
        <v>0.9788528363528064</v>
      </c>
      <c r="I75" s="1043">
        <f>'2016'!I8*0.3</f>
        <v>12786.509999999998</v>
      </c>
      <c r="J75" s="2304">
        <f t="shared" si="2"/>
        <v>1.2080330140950457</v>
      </c>
      <c r="K75" s="1043">
        <f>I75</f>
        <v>12786.509999999998</v>
      </c>
      <c r="L75" s="2304">
        <f t="shared" si="3"/>
        <v>1.2976591106528426</v>
      </c>
      <c r="M75" s="2304">
        <f t="shared" si="4"/>
        <v>12786.509999999998</v>
      </c>
      <c r="N75" s="2304">
        <f t="shared" si="5"/>
        <v>1.2976591106528426</v>
      </c>
      <c r="O75" s="2304">
        <f t="shared" si="6"/>
        <v>12786.509999999998</v>
      </c>
      <c r="P75" s="2304">
        <f t="shared" si="7"/>
        <v>1.2976591106528426</v>
      </c>
    </row>
    <row r="76" spans="2:17" s="140" customFormat="1" ht="72" x14ac:dyDescent="0.15">
      <c r="C76" s="138"/>
      <c r="D76" s="144" t="s">
        <v>1483</v>
      </c>
      <c r="E76" s="1043">
        <f>E77</f>
        <v>40890.156000000003</v>
      </c>
      <c r="F76" s="2304">
        <f t="shared" si="0"/>
        <v>2.776300624153317</v>
      </c>
      <c r="G76" s="1043">
        <f>G77</f>
        <v>38073</v>
      </c>
      <c r="H76" s="2304">
        <f t="shared" si="1"/>
        <v>3.0699973176933582</v>
      </c>
      <c r="I76" s="1043">
        <f>I77</f>
        <v>39084.119999999995</v>
      </c>
      <c r="J76" s="2304">
        <f t="shared" si="2"/>
        <v>3.6925562398850396</v>
      </c>
      <c r="K76" s="1043">
        <f>K77</f>
        <v>39084.119999999995</v>
      </c>
      <c r="L76" s="2304">
        <f t="shared" si="3"/>
        <v>3.966513489595596</v>
      </c>
      <c r="M76" s="2304">
        <f t="shared" si="4"/>
        <v>39084.119999999995</v>
      </c>
      <c r="N76" s="2304">
        <f t="shared" si="5"/>
        <v>3.966513489595596</v>
      </c>
      <c r="O76" s="2304">
        <f t="shared" si="6"/>
        <v>39084.119999999995</v>
      </c>
      <c r="P76" s="2304">
        <f t="shared" si="7"/>
        <v>3.966513489595596</v>
      </c>
    </row>
    <row r="77" spans="2:17" s="140" customFormat="1" ht="54" x14ac:dyDescent="0.15">
      <c r="C77" s="138"/>
      <c r="D77" s="145" t="s">
        <v>1484</v>
      </c>
      <c r="E77" s="1043">
        <f>'Роспись 2014'!H119*0.3</f>
        <v>40890.156000000003</v>
      </c>
      <c r="F77" s="2304">
        <f t="shared" ref="F77:F97" si="8">100*E77/1472828.83</f>
        <v>2.776300624153317</v>
      </c>
      <c r="G77" s="1043">
        <f>'Роспись 2015 год'!J113*0.3</f>
        <v>38073</v>
      </c>
      <c r="H77" s="2304">
        <f t="shared" ref="H77:H97" si="9">100*G77/1240163.95</f>
        <v>3.0699973176933582</v>
      </c>
      <c r="I77" s="1043">
        <f>'2016'!I14*0.3</f>
        <v>39084.119999999995</v>
      </c>
      <c r="J77" s="2304">
        <f t="shared" ref="J77:J97" si="10">100*I77/1058457</f>
        <v>3.6925562398850396</v>
      </c>
      <c r="K77" s="1043">
        <f>I77</f>
        <v>39084.119999999995</v>
      </c>
      <c r="L77" s="2304">
        <f t="shared" ref="L77:L97" si="11">100*K77/985352</f>
        <v>3.966513489595596</v>
      </c>
      <c r="M77" s="2304">
        <f t="shared" ref="M77:M97" si="12">K77</f>
        <v>39084.119999999995</v>
      </c>
      <c r="N77" s="2304">
        <f t="shared" ref="N77:N97" si="13">100*M77/985352</f>
        <v>3.966513489595596</v>
      </c>
      <c r="O77" s="2304">
        <f t="shared" ref="O77:O97" si="14">M77</f>
        <v>39084.119999999995</v>
      </c>
      <c r="P77" s="2304">
        <f t="shared" ref="P77:P97" si="15">100*O77/985352</f>
        <v>3.966513489595596</v>
      </c>
    </row>
    <row r="78" spans="2:17" s="140" customFormat="1" ht="38.25" customHeight="1" x14ac:dyDescent="0.15">
      <c r="C78" s="138"/>
      <c r="D78" s="141" t="s">
        <v>572</v>
      </c>
      <c r="E78" s="1043">
        <v>536</v>
      </c>
      <c r="F78" s="2304">
        <f t="shared" si="8"/>
        <v>3.6392552147420959E-2</v>
      </c>
      <c r="G78" s="1043">
        <f>'Роспись 2015 год'!J210+'Роспись 2015 год'!J211+'Роспись 2015 год'!J212</f>
        <v>3038</v>
      </c>
      <c r="H78" s="2304">
        <f t="shared" si="9"/>
        <v>0.24496761093563477</v>
      </c>
      <c r="I78" s="1043">
        <v>0</v>
      </c>
      <c r="J78" s="2304">
        <f t="shared" si="10"/>
        <v>0</v>
      </c>
      <c r="K78" s="1043">
        <f>'Приложение № 5'!L25</f>
        <v>0</v>
      </c>
      <c r="L78" s="2304">
        <f t="shared" si="11"/>
        <v>0</v>
      </c>
      <c r="M78" s="2304">
        <f t="shared" si="12"/>
        <v>0</v>
      </c>
      <c r="N78" s="2304">
        <f t="shared" si="13"/>
        <v>0</v>
      </c>
      <c r="O78" s="2304">
        <f t="shared" si="14"/>
        <v>0</v>
      </c>
      <c r="P78" s="2304">
        <f t="shared" si="15"/>
        <v>0</v>
      </c>
    </row>
    <row r="79" spans="2:17" s="134" customFormat="1" ht="44.25" customHeight="1" x14ac:dyDescent="0.15">
      <c r="B79" s="133"/>
      <c r="C79" s="543" t="s">
        <v>33</v>
      </c>
      <c r="D79" s="572" t="s">
        <v>34</v>
      </c>
      <c r="E79" s="1042">
        <f>E81+E83+E85</f>
        <v>26163.840000000004</v>
      </c>
      <c r="F79" s="1042">
        <f t="shared" si="8"/>
        <v>1.7764345365238405</v>
      </c>
      <c r="G79" s="1042">
        <f>G81+G83+G85</f>
        <v>13616.760000000002</v>
      </c>
      <c r="H79" s="1042">
        <f t="shared" si="9"/>
        <v>1.0979806339315059</v>
      </c>
      <c r="I79" s="1042">
        <f>I81+I83+I85</f>
        <v>11353.82</v>
      </c>
      <c r="J79" s="1042">
        <f t="shared" si="10"/>
        <v>1.0726765470869388</v>
      </c>
      <c r="K79" s="1042">
        <f>K81+K83+K85</f>
        <v>11353.82</v>
      </c>
      <c r="L79" s="1042">
        <f t="shared" si="11"/>
        <v>1.1522603090063246</v>
      </c>
      <c r="M79" s="1042">
        <f t="shared" si="12"/>
        <v>11353.82</v>
      </c>
      <c r="N79" s="1042">
        <f t="shared" si="13"/>
        <v>1.1522603090063246</v>
      </c>
      <c r="O79" s="1042">
        <f t="shared" si="14"/>
        <v>11353.82</v>
      </c>
      <c r="P79" s="1042">
        <f t="shared" si="15"/>
        <v>1.1522603090063246</v>
      </c>
      <c r="Q79" s="133"/>
    </row>
    <row r="80" spans="2:17" s="137" customFormat="1" ht="23.25" customHeight="1" x14ac:dyDescent="0.15">
      <c r="C80" s="135"/>
      <c r="D80" s="136" t="s">
        <v>15</v>
      </c>
      <c r="E80" s="1043"/>
      <c r="F80" s="2304">
        <f t="shared" si="8"/>
        <v>0</v>
      </c>
      <c r="G80" s="1043"/>
      <c r="H80" s="2304">
        <f t="shared" si="9"/>
        <v>0</v>
      </c>
      <c r="I80" s="1043"/>
      <c r="J80" s="2304">
        <f t="shared" si="10"/>
        <v>0</v>
      </c>
      <c r="K80" s="1043"/>
      <c r="L80" s="2304">
        <f t="shared" si="11"/>
        <v>0</v>
      </c>
      <c r="M80" s="2304">
        <f t="shared" si="12"/>
        <v>0</v>
      </c>
      <c r="N80" s="2304">
        <f t="shared" si="13"/>
        <v>0</v>
      </c>
      <c r="O80" s="2304">
        <f t="shared" si="14"/>
        <v>0</v>
      </c>
      <c r="P80" s="2304">
        <f t="shared" si="15"/>
        <v>0</v>
      </c>
    </row>
    <row r="81" spans="3:16" s="140" customFormat="1" ht="99" customHeight="1" x14ac:dyDescent="0.15">
      <c r="C81" s="138"/>
      <c r="D81" s="143" t="s">
        <v>1471</v>
      </c>
      <c r="E81" s="1043">
        <f>E82</f>
        <v>10678.440000000002</v>
      </c>
      <c r="F81" s="2304">
        <f t="shared" si="8"/>
        <v>0.72502926222594388</v>
      </c>
      <c r="G81" s="1043">
        <f>G82</f>
        <v>12665.760000000002</v>
      </c>
      <c r="H81" s="2304">
        <f t="shared" si="9"/>
        <v>1.0212972244516543</v>
      </c>
      <c r="I81" s="1043">
        <f>I82</f>
        <v>10273.92</v>
      </c>
      <c r="J81" s="2304">
        <f t="shared" si="10"/>
        <v>0.97065067357483581</v>
      </c>
      <c r="K81" s="1043">
        <f>K82</f>
        <v>10273.92</v>
      </c>
      <c r="L81" s="2304">
        <f t="shared" si="11"/>
        <v>1.0426649562795833</v>
      </c>
      <c r="M81" s="2304">
        <f t="shared" si="12"/>
        <v>10273.92</v>
      </c>
      <c r="N81" s="2304">
        <f t="shared" si="13"/>
        <v>1.0426649562795833</v>
      </c>
      <c r="O81" s="2304">
        <f t="shared" si="14"/>
        <v>10273.92</v>
      </c>
      <c r="P81" s="2304">
        <f t="shared" si="15"/>
        <v>1.0426649562795833</v>
      </c>
    </row>
    <row r="82" spans="3:16" s="148" customFormat="1" ht="90" x14ac:dyDescent="0.15">
      <c r="C82" s="146"/>
      <c r="D82" s="2235" t="s">
        <v>1469</v>
      </c>
      <c r="E82" s="1043">
        <f>'Роспись 2014'!H304*0.2</f>
        <v>10678.440000000002</v>
      </c>
      <c r="F82" s="2304">
        <f t="shared" si="8"/>
        <v>0.72502926222594388</v>
      </c>
      <c r="G82" s="1043">
        <f>'Роспись 2015 год'!J255*0.2</f>
        <v>12665.760000000002</v>
      </c>
      <c r="H82" s="2304">
        <f t="shared" si="9"/>
        <v>1.0212972244516543</v>
      </c>
      <c r="I82" s="1043">
        <f>'2016'!I27*0.2</f>
        <v>10273.92</v>
      </c>
      <c r="J82" s="2304">
        <f t="shared" si="10"/>
        <v>0.97065067357483581</v>
      </c>
      <c r="K82" s="1043">
        <f>I82</f>
        <v>10273.92</v>
      </c>
      <c r="L82" s="2304">
        <f t="shared" si="11"/>
        <v>1.0426649562795833</v>
      </c>
      <c r="M82" s="2304">
        <f t="shared" si="12"/>
        <v>10273.92</v>
      </c>
      <c r="N82" s="2304">
        <f t="shared" si="13"/>
        <v>1.0426649562795833</v>
      </c>
      <c r="O82" s="2304">
        <f t="shared" si="14"/>
        <v>10273.92</v>
      </c>
      <c r="P82" s="2304">
        <f t="shared" si="15"/>
        <v>1.0426649562795833</v>
      </c>
    </row>
    <row r="83" spans="3:16" s="140" customFormat="1" ht="93.75" customHeight="1" x14ac:dyDescent="0.15">
      <c r="C83" s="138"/>
      <c r="D83" s="143" t="s">
        <v>1487</v>
      </c>
      <c r="E83" s="1043">
        <f>'Роспись 2014'!H279</f>
        <v>15485.400000000001</v>
      </c>
      <c r="F83" s="2304">
        <f t="shared" si="8"/>
        <v>1.0514052742978965</v>
      </c>
      <c r="G83" s="1043">
        <f>'Роспись 2015 год'!J914</f>
        <v>951</v>
      </c>
      <c r="H83" s="2304">
        <f t="shared" si="9"/>
        <v>7.668340947985143E-2</v>
      </c>
      <c r="I83" s="1043">
        <f>'2016'!I50</f>
        <v>1079.9000000000001</v>
      </c>
      <c r="J83" s="2304">
        <f t="shared" si="10"/>
        <v>0.10202587351210302</v>
      </c>
      <c r="K83" s="1043">
        <f>I83</f>
        <v>1079.9000000000001</v>
      </c>
      <c r="L83" s="2304">
        <f t="shared" si="11"/>
        <v>0.10959535272674133</v>
      </c>
      <c r="M83" s="2304">
        <f t="shared" si="12"/>
        <v>1079.9000000000001</v>
      </c>
      <c r="N83" s="2304">
        <f t="shared" si="13"/>
        <v>0.10959535272674133</v>
      </c>
      <c r="O83" s="2304">
        <f t="shared" si="14"/>
        <v>1079.9000000000001</v>
      </c>
      <c r="P83" s="2304">
        <f t="shared" si="15"/>
        <v>0.10959535272674133</v>
      </c>
    </row>
    <row r="84" spans="3:16" s="148" customFormat="1" ht="36" x14ac:dyDescent="0.15">
      <c r="C84" s="146"/>
      <c r="D84" s="147" t="s">
        <v>20</v>
      </c>
      <c r="E84" s="1043">
        <v>0</v>
      </c>
      <c r="F84" s="2304">
        <f t="shared" si="8"/>
        <v>0</v>
      </c>
      <c r="G84" s="1043">
        <v>0</v>
      </c>
      <c r="H84" s="2304">
        <f t="shared" si="9"/>
        <v>0</v>
      </c>
      <c r="I84" s="1043">
        <v>0</v>
      </c>
      <c r="J84" s="2304">
        <f t="shared" si="10"/>
        <v>0</v>
      </c>
      <c r="K84" s="1043">
        <v>0</v>
      </c>
      <c r="L84" s="2304">
        <f t="shared" si="11"/>
        <v>0</v>
      </c>
      <c r="M84" s="2304">
        <f t="shared" si="12"/>
        <v>0</v>
      </c>
      <c r="N84" s="2304">
        <f t="shared" si="13"/>
        <v>0</v>
      </c>
      <c r="O84" s="2304">
        <f t="shared" si="14"/>
        <v>0</v>
      </c>
      <c r="P84" s="2304">
        <f t="shared" si="15"/>
        <v>0</v>
      </c>
    </row>
    <row r="85" spans="3:16" s="148" customFormat="1" ht="54" x14ac:dyDescent="0.15">
      <c r="C85" s="146"/>
      <c r="D85" s="150" t="s">
        <v>1868</v>
      </c>
      <c r="E85" s="1043">
        <v>0</v>
      </c>
      <c r="F85" s="2304">
        <f t="shared" si="8"/>
        <v>0</v>
      </c>
      <c r="G85" s="1043">
        <v>0</v>
      </c>
      <c r="H85" s="2304">
        <f t="shared" si="9"/>
        <v>0</v>
      </c>
      <c r="I85" s="1043">
        <v>0</v>
      </c>
      <c r="J85" s="2304">
        <f t="shared" si="10"/>
        <v>0</v>
      </c>
      <c r="K85" s="1043">
        <v>0</v>
      </c>
      <c r="L85" s="2304">
        <f t="shared" si="11"/>
        <v>0</v>
      </c>
      <c r="M85" s="2304">
        <f t="shared" si="12"/>
        <v>0</v>
      </c>
      <c r="N85" s="2304">
        <f t="shared" si="13"/>
        <v>0</v>
      </c>
      <c r="O85" s="2304">
        <f t="shared" si="14"/>
        <v>0</v>
      </c>
      <c r="P85" s="2304">
        <f t="shared" si="15"/>
        <v>0</v>
      </c>
    </row>
    <row r="86" spans="3:16" s="148" customFormat="1" ht="36" x14ac:dyDescent="0.15">
      <c r="C86" s="146"/>
      <c r="D86" s="2638" t="s">
        <v>1724</v>
      </c>
      <c r="E86" s="1043">
        <f>'Роспись 2014'!H953</f>
        <v>30141.571</v>
      </c>
      <c r="F86" s="2304">
        <f t="shared" si="8"/>
        <v>2.04650875825129</v>
      </c>
      <c r="G86" s="1043">
        <f>'Роспись 2015 год'!J918</f>
        <v>26378.419000000002</v>
      </c>
      <c r="H86" s="2304">
        <f t="shared" si="9"/>
        <v>2.1270106262966282</v>
      </c>
      <c r="I86" s="1043">
        <f>'2016'!I56</f>
        <v>26435</v>
      </c>
      <c r="J86" s="2304">
        <f t="shared" si="10"/>
        <v>2.4975034413301627</v>
      </c>
      <c r="K86" s="1043">
        <f>I86</f>
        <v>26435</v>
      </c>
      <c r="L86" s="2304">
        <f t="shared" si="11"/>
        <v>2.6827976195308882</v>
      </c>
      <c r="M86" s="2304">
        <f t="shared" si="12"/>
        <v>26435</v>
      </c>
      <c r="N86" s="2304">
        <f t="shared" si="13"/>
        <v>2.6827976195308882</v>
      </c>
      <c r="O86" s="2304">
        <f t="shared" si="14"/>
        <v>26435</v>
      </c>
      <c r="P86" s="2304">
        <f t="shared" si="15"/>
        <v>2.6827976195308882</v>
      </c>
    </row>
    <row r="87" spans="3:16" s="148" customFormat="1" ht="36" x14ac:dyDescent="0.15">
      <c r="C87" s="146"/>
      <c r="D87" s="147" t="s">
        <v>20</v>
      </c>
      <c r="E87" s="1043">
        <v>0</v>
      </c>
      <c r="F87" s="2304">
        <f t="shared" si="8"/>
        <v>0</v>
      </c>
      <c r="G87" s="1043">
        <v>0</v>
      </c>
      <c r="H87" s="2304">
        <f t="shared" si="9"/>
        <v>0</v>
      </c>
      <c r="I87" s="1043">
        <v>0</v>
      </c>
      <c r="J87" s="2304">
        <f t="shared" si="10"/>
        <v>0</v>
      </c>
      <c r="K87" s="1043">
        <v>0</v>
      </c>
      <c r="L87" s="2304">
        <f t="shared" si="11"/>
        <v>0</v>
      </c>
      <c r="M87" s="2304">
        <f t="shared" si="12"/>
        <v>0</v>
      </c>
      <c r="N87" s="2304">
        <f t="shared" si="13"/>
        <v>0</v>
      </c>
      <c r="O87" s="2304">
        <f t="shared" si="14"/>
        <v>0</v>
      </c>
      <c r="P87" s="2304">
        <f t="shared" si="15"/>
        <v>0</v>
      </c>
    </row>
    <row r="88" spans="3:16" s="148" customFormat="1" ht="36" x14ac:dyDescent="0.15">
      <c r="C88" s="146"/>
      <c r="D88" s="2638" t="s">
        <v>1715</v>
      </c>
      <c r="E88" s="1043">
        <f>'Роспись 2014'!H935</f>
        <v>9097.5</v>
      </c>
      <c r="F88" s="2304">
        <f t="shared" si="8"/>
        <v>0.61768888649470555</v>
      </c>
      <c r="G88" s="1043">
        <f>'Роспись 2015 год'!J903</f>
        <v>8729.7999999999993</v>
      </c>
      <c r="H88" s="2304">
        <f t="shared" si="9"/>
        <v>0.70392305791504417</v>
      </c>
      <c r="I88" s="1043">
        <f>'2016'!I47</f>
        <v>10613.7</v>
      </c>
      <c r="J88" s="2304">
        <f t="shared" si="10"/>
        <v>1.0027521193586513</v>
      </c>
      <c r="K88" s="1043">
        <f>I88</f>
        <v>10613.7</v>
      </c>
      <c r="L88" s="2304">
        <f t="shared" si="11"/>
        <v>1.0771480648539811</v>
      </c>
      <c r="M88" s="2304">
        <f t="shared" si="12"/>
        <v>10613.7</v>
      </c>
      <c r="N88" s="2304">
        <f t="shared" si="13"/>
        <v>1.0771480648539811</v>
      </c>
      <c r="O88" s="2304">
        <f t="shared" si="14"/>
        <v>10613.7</v>
      </c>
      <c r="P88" s="2304">
        <f t="shared" si="15"/>
        <v>1.0771480648539811</v>
      </c>
    </row>
    <row r="89" spans="3:16" s="148" customFormat="1" ht="36" x14ac:dyDescent="0.15">
      <c r="C89" s="146"/>
      <c r="D89" s="147" t="s">
        <v>20</v>
      </c>
      <c r="E89" s="1043">
        <v>0</v>
      </c>
      <c r="F89" s="2304">
        <f t="shared" si="8"/>
        <v>0</v>
      </c>
      <c r="G89" s="1043">
        <v>0</v>
      </c>
      <c r="H89" s="2304">
        <f t="shared" si="9"/>
        <v>0</v>
      </c>
      <c r="I89" s="1043">
        <v>0</v>
      </c>
      <c r="J89" s="2304">
        <f t="shared" si="10"/>
        <v>0</v>
      </c>
      <c r="K89" s="1043">
        <v>0</v>
      </c>
      <c r="L89" s="2304">
        <f t="shared" si="11"/>
        <v>0</v>
      </c>
      <c r="M89" s="2304">
        <f t="shared" si="12"/>
        <v>0</v>
      </c>
      <c r="N89" s="2304">
        <f t="shared" si="13"/>
        <v>0</v>
      </c>
      <c r="O89" s="2304">
        <f t="shared" si="14"/>
        <v>0</v>
      </c>
      <c r="P89" s="2304">
        <f t="shared" si="15"/>
        <v>0</v>
      </c>
    </row>
    <row r="90" spans="3:16" s="148" customFormat="1" ht="20.25" customHeight="1" x14ac:dyDescent="0.15">
      <c r="C90" s="146"/>
      <c r="D90" s="147" t="s">
        <v>35</v>
      </c>
      <c r="E90" s="1043">
        <v>0</v>
      </c>
      <c r="F90" s="2304">
        <f t="shared" si="8"/>
        <v>0</v>
      </c>
      <c r="G90" s="1043">
        <v>0</v>
      </c>
      <c r="H90" s="2304">
        <f t="shared" si="9"/>
        <v>0</v>
      </c>
      <c r="I90" s="1043">
        <v>0</v>
      </c>
      <c r="J90" s="2304">
        <f t="shared" si="10"/>
        <v>0</v>
      </c>
      <c r="K90" s="1043">
        <v>0</v>
      </c>
      <c r="L90" s="2304">
        <f t="shared" si="11"/>
        <v>0</v>
      </c>
      <c r="M90" s="2304">
        <f t="shared" si="12"/>
        <v>0</v>
      </c>
      <c r="N90" s="2304">
        <f t="shared" si="13"/>
        <v>0</v>
      </c>
      <c r="O90" s="2304">
        <f t="shared" si="14"/>
        <v>0</v>
      </c>
      <c r="P90" s="2304">
        <f t="shared" si="15"/>
        <v>0</v>
      </c>
    </row>
    <row r="91" spans="3:16" s="148" customFormat="1" ht="36" x14ac:dyDescent="0.15">
      <c r="C91" s="146"/>
      <c r="D91" s="147" t="s">
        <v>20</v>
      </c>
      <c r="E91" s="1043">
        <v>0</v>
      </c>
      <c r="F91" s="2304">
        <f t="shared" si="8"/>
        <v>0</v>
      </c>
      <c r="G91" s="1043">
        <v>0</v>
      </c>
      <c r="H91" s="2304">
        <f t="shared" si="9"/>
        <v>0</v>
      </c>
      <c r="I91" s="1043">
        <v>0</v>
      </c>
      <c r="J91" s="2304">
        <f t="shared" si="10"/>
        <v>0</v>
      </c>
      <c r="K91" s="1043">
        <v>0</v>
      </c>
      <c r="L91" s="2304">
        <f t="shared" si="11"/>
        <v>0</v>
      </c>
      <c r="M91" s="2304">
        <f t="shared" si="12"/>
        <v>0</v>
      </c>
      <c r="N91" s="2304">
        <f t="shared" si="13"/>
        <v>0</v>
      </c>
      <c r="O91" s="2304">
        <f t="shared" si="14"/>
        <v>0</v>
      </c>
      <c r="P91" s="2304">
        <f t="shared" si="15"/>
        <v>0</v>
      </c>
    </row>
    <row r="92" spans="3:16" s="148" customFormat="1" ht="36" x14ac:dyDescent="0.15">
      <c r="C92" s="146"/>
      <c r="D92" s="147" t="s">
        <v>36</v>
      </c>
      <c r="E92" s="1043">
        <f>'Роспись 2014'!H976</f>
        <v>367.6</v>
      </c>
      <c r="F92" s="2304">
        <f t="shared" si="8"/>
        <v>2.4958772704089447E-2</v>
      </c>
      <c r="G92" s="1043">
        <v>0</v>
      </c>
      <c r="H92" s="2304">
        <f t="shared" si="9"/>
        <v>0</v>
      </c>
      <c r="I92" s="1043">
        <v>0</v>
      </c>
      <c r="J92" s="2304">
        <f t="shared" si="10"/>
        <v>0</v>
      </c>
      <c r="K92" s="1043">
        <v>0</v>
      </c>
      <c r="L92" s="2304">
        <f t="shared" si="11"/>
        <v>0</v>
      </c>
      <c r="M92" s="2304">
        <f t="shared" si="12"/>
        <v>0</v>
      </c>
      <c r="N92" s="2304">
        <f t="shared" si="13"/>
        <v>0</v>
      </c>
      <c r="O92" s="2304">
        <f t="shared" si="14"/>
        <v>0</v>
      </c>
      <c r="P92" s="2304">
        <f t="shared" si="15"/>
        <v>0</v>
      </c>
    </row>
    <row r="93" spans="3:16" s="148" customFormat="1" ht="36" x14ac:dyDescent="0.15">
      <c r="C93" s="146"/>
      <c r="D93" s="147" t="s">
        <v>20</v>
      </c>
      <c r="E93" s="1043">
        <v>0</v>
      </c>
      <c r="F93" s="2304">
        <f t="shared" si="8"/>
        <v>0</v>
      </c>
      <c r="G93" s="1043">
        <v>0</v>
      </c>
      <c r="H93" s="2304">
        <f t="shared" si="9"/>
        <v>0</v>
      </c>
      <c r="I93" s="1043">
        <v>0</v>
      </c>
      <c r="J93" s="2304">
        <f t="shared" si="10"/>
        <v>0</v>
      </c>
      <c r="K93" s="1043">
        <v>0</v>
      </c>
      <c r="L93" s="2304">
        <f t="shared" si="11"/>
        <v>0</v>
      </c>
      <c r="M93" s="2304">
        <f t="shared" si="12"/>
        <v>0</v>
      </c>
      <c r="N93" s="2304">
        <f t="shared" si="13"/>
        <v>0</v>
      </c>
      <c r="O93" s="2304">
        <f t="shared" si="14"/>
        <v>0</v>
      </c>
      <c r="P93" s="2304">
        <f t="shared" si="15"/>
        <v>0</v>
      </c>
    </row>
    <row r="94" spans="3:16" s="148" customFormat="1" x14ac:dyDescent="0.15">
      <c r="C94" s="146"/>
      <c r="D94" s="147" t="s">
        <v>970</v>
      </c>
      <c r="E94" s="1043">
        <f>'Роспись 2014'!H986+'Роспись 2014'!H987+'Роспись 2014'!H988+'Роспись 2014'!H989+'Роспись 2014'!H990+'Роспись 2014'!H991+'Роспись 2014'!H992+'Роспись 2014'!H980+'Роспись 2014'!H981</f>
        <v>47546.715000000004</v>
      </c>
      <c r="F94" s="2304">
        <f t="shared" si="8"/>
        <v>3.2282580318583252</v>
      </c>
      <c r="G94" s="1043">
        <f>'Роспись 2015 год'!J956+'Роспись 2015 год'!J958+'Роспись 2015 год'!J960+'Роспись 2015 год'!J232</f>
        <v>7438.4331000000002</v>
      </c>
      <c r="H94" s="2304">
        <f t="shared" si="9"/>
        <v>0.59979433364435408</v>
      </c>
      <c r="I94" s="1043">
        <v>0</v>
      </c>
      <c r="J94" s="2304">
        <f t="shared" si="10"/>
        <v>0</v>
      </c>
      <c r="K94" s="1043">
        <v>0</v>
      </c>
      <c r="L94" s="2304">
        <f t="shared" si="11"/>
        <v>0</v>
      </c>
      <c r="M94" s="2304">
        <f t="shared" si="12"/>
        <v>0</v>
      </c>
      <c r="N94" s="2304">
        <f t="shared" si="13"/>
        <v>0</v>
      </c>
      <c r="O94" s="2304">
        <f t="shared" si="14"/>
        <v>0</v>
      </c>
      <c r="P94" s="2304">
        <f t="shared" si="15"/>
        <v>0</v>
      </c>
    </row>
    <row r="95" spans="3:16" s="148" customFormat="1" x14ac:dyDescent="0.15">
      <c r="C95" s="146"/>
      <c r="D95" s="147" t="s">
        <v>208</v>
      </c>
      <c r="E95" s="1043">
        <v>500</v>
      </c>
      <c r="F95" s="2304">
        <f t="shared" si="8"/>
        <v>3.3948276256922538E-2</v>
      </c>
      <c r="G95" s="1043">
        <f>'Приложение № 2'!K40</f>
        <v>0</v>
      </c>
      <c r="H95" s="2304">
        <f t="shared" si="9"/>
        <v>0</v>
      </c>
      <c r="I95" s="1043">
        <f>'Приложение № 2'!L40</f>
        <v>0</v>
      </c>
      <c r="J95" s="2304">
        <f t="shared" si="10"/>
        <v>0</v>
      </c>
      <c r="K95" s="1043">
        <f>'Приложение № 2'!N40</f>
        <v>0</v>
      </c>
      <c r="L95" s="2304">
        <f t="shared" si="11"/>
        <v>0</v>
      </c>
      <c r="M95" s="2304">
        <f t="shared" si="12"/>
        <v>0</v>
      </c>
      <c r="N95" s="2304">
        <f t="shared" si="13"/>
        <v>0</v>
      </c>
      <c r="O95" s="2304">
        <f t="shared" si="14"/>
        <v>0</v>
      </c>
      <c r="P95" s="2304">
        <f t="shared" si="15"/>
        <v>0</v>
      </c>
    </row>
    <row r="96" spans="3:16" s="148" customFormat="1" ht="36" x14ac:dyDescent="0.15">
      <c r="C96" s="146"/>
      <c r="D96" s="147" t="s">
        <v>1522</v>
      </c>
      <c r="E96" s="1043">
        <v>0</v>
      </c>
      <c r="F96" s="2304">
        <f t="shared" si="8"/>
        <v>0</v>
      </c>
      <c r="G96" s="1043">
        <v>0</v>
      </c>
      <c r="H96" s="2304">
        <f t="shared" si="9"/>
        <v>0</v>
      </c>
      <c r="I96" s="1043">
        <v>0</v>
      </c>
      <c r="J96" s="2304">
        <f t="shared" si="10"/>
        <v>0</v>
      </c>
      <c r="K96" s="1043">
        <v>0</v>
      </c>
      <c r="L96" s="2304">
        <f t="shared" si="11"/>
        <v>0</v>
      </c>
      <c r="M96" s="2304">
        <f t="shared" si="12"/>
        <v>0</v>
      </c>
      <c r="N96" s="2304">
        <f t="shared" si="13"/>
        <v>0</v>
      </c>
      <c r="O96" s="2304">
        <f t="shared" si="14"/>
        <v>0</v>
      </c>
      <c r="P96" s="2304">
        <f t="shared" si="15"/>
        <v>0</v>
      </c>
    </row>
    <row r="97" spans="2:27" s="152" customFormat="1" ht="28.5" customHeight="1" x14ac:dyDescent="0.15">
      <c r="B97" s="151"/>
      <c r="C97" s="2660"/>
      <c r="D97" s="2661" t="s">
        <v>37</v>
      </c>
      <c r="E97" s="2659">
        <f>E94+E92+E90+E88+E86+E59+E31+E13+E95+E96</f>
        <v>1472828.1330500001</v>
      </c>
      <c r="F97" s="2659">
        <f t="shared" si="8"/>
        <v>99.999952679497724</v>
      </c>
      <c r="G97" s="2659">
        <f>G94+G92+G90+G88+G86+G59+G31+G13+G95+G96</f>
        <v>1240163.9521000001</v>
      </c>
      <c r="H97" s="2659">
        <f t="shared" si="9"/>
        <v>100.00000016933247</v>
      </c>
      <c r="I97" s="2659">
        <f>I94+I92+I90+I88+I86+I59+I31+I13+I95+I96</f>
        <v>1127957</v>
      </c>
      <c r="J97" s="2659">
        <f t="shared" si="10"/>
        <v>106.56616187525805</v>
      </c>
      <c r="K97" s="2659">
        <f>K94+K92+K90+K88+K86+K59+K31+K13+K95+K96</f>
        <v>1054852</v>
      </c>
      <c r="L97" s="2659">
        <f t="shared" si="11"/>
        <v>107.05331698722892</v>
      </c>
      <c r="M97" s="2659">
        <f t="shared" si="12"/>
        <v>1054852</v>
      </c>
      <c r="N97" s="2659">
        <f t="shared" si="13"/>
        <v>107.05331698722892</v>
      </c>
      <c r="O97" s="2659">
        <f t="shared" si="14"/>
        <v>1054852</v>
      </c>
      <c r="P97" s="2659">
        <f t="shared" si="15"/>
        <v>107.05331698722892</v>
      </c>
      <c r="Q97" s="151"/>
    </row>
    <row r="98" spans="2:27" x14ac:dyDescent="0.2">
      <c r="E98" s="267"/>
      <c r="G98" s="267"/>
      <c r="I98" s="267"/>
      <c r="K98" s="267"/>
      <c r="M98" s="267"/>
      <c r="O98" s="267"/>
      <c r="R98" s="2261"/>
    </row>
    <row r="99" spans="2:27" ht="36" x14ac:dyDescent="0.2">
      <c r="D99" s="154" t="s">
        <v>573</v>
      </c>
      <c r="E99" s="125"/>
      <c r="G99" s="961"/>
      <c r="I99" s="267"/>
      <c r="K99" s="961"/>
      <c r="M99" s="286"/>
      <c r="O99" s="286"/>
    </row>
    <row r="100" spans="2:27" x14ac:dyDescent="0.2">
      <c r="D100" s="154"/>
      <c r="E100" s="125"/>
      <c r="G100" s="961"/>
      <c r="I100" s="961"/>
      <c r="K100" s="961"/>
      <c r="M100" s="286"/>
      <c r="O100" s="286"/>
    </row>
    <row r="101" spans="2:27" ht="47.25" customHeight="1" x14ac:dyDescent="0.2">
      <c r="D101" s="2908" t="s">
        <v>1632</v>
      </c>
      <c r="E101" s="2908"/>
      <c r="F101" s="2908"/>
      <c r="G101" s="2908"/>
      <c r="H101" s="2908"/>
      <c r="I101" s="2908"/>
      <c r="J101" s="2908"/>
    </row>
    <row r="102" spans="2:27" ht="47.25" customHeight="1" x14ac:dyDescent="0.2">
      <c r="D102" s="2907" t="s">
        <v>1772</v>
      </c>
      <c r="E102" s="2907"/>
      <c r="F102" s="2907"/>
      <c r="G102" s="2907"/>
      <c r="H102" s="2907"/>
      <c r="I102" s="2907"/>
      <c r="J102" s="2907"/>
    </row>
    <row r="103" spans="2:27" ht="47.25" customHeight="1" x14ac:dyDescent="0.2">
      <c r="D103" s="2907" t="s">
        <v>1873</v>
      </c>
      <c r="E103" s="2907"/>
      <c r="F103" s="2907"/>
      <c r="G103" s="2907"/>
      <c r="H103" s="2907"/>
      <c r="I103" s="2907"/>
      <c r="J103" s="2907"/>
    </row>
    <row r="104" spans="2:27" x14ac:dyDescent="0.2">
      <c r="E104" s="125"/>
      <c r="S104" s="286">
        <f>'Бюджет 2013'!I3-'Бюджет 2013'!I4</f>
        <v>1091255.0090000001</v>
      </c>
      <c r="T104" s="1044"/>
      <c r="U104" s="1044">
        <f>'Бюджет 2014 (1)'!I3-'Бюджет 2014 (1)'!I104</f>
        <v>1472828.132</v>
      </c>
      <c r="V104" s="1044"/>
      <c r="W104" s="1364">
        <f>1168997.4+'ГосПрограмма (бюджет)'!G31-621</f>
        <v>1194721.0999999999</v>
      </c>
      <c r="X104" s="961"/>
      <c r="Y104" s="286">
        <f>978442+'ГосПрограмма (бюджет)'!H31-294-1000</f>
        <v>990314.7</v>
      </c>
      <c r="Z104" s="961"/>
      <c r="AA104" s="286">
        <f>978758.1+'ГосПрограмма (бюджет)'!I31-1000-294</f>
        <v>990630.79999999993</v>
      </c>
    </row>
    <row r="105" spans="2:27" ht="26.25" customHeight="1" x14ac:dyDescent="0.2">
      <c r="C105" s="125" t="s">
        <v>1630</v>
      </c>
      <c r="D105" s="153" t="s">
        <v>1869</v>
      </c>
      <c r="E105" s="125"/>
      <c r="S105" s="286" t="e">
        <f>#REF!-S104</f>
        <v>#REF!</v>
      </c>
      <c r="T105" s="1044"/>
      <c r="U105" s="286"/>
      <c r="V105" s="1044"/>
      <c r="W105" s="286"/>
      <c r="X105" s="961"/>
      <c r="Y105" s="286">
        <f>Y104-I97</f>
        <v>-137642.30000000005</v>
      </c>
      <c r="Z105" s="961"/>
      <c r="AA105" s="286"/>
    </row>
    <row r="106" spans="2:27" x14ac:dyDescent="0.2">
      <c r="E106" s="125"/>
    </row>
    <row r="108" spans="2:27" x14ac:dyDescent="0.2">
      <c r="D108" s="962" t="s">
        <v>1488</v>
      </c>
      <c r="E108" s="2239" t="e">
        <f>#REF!+#REF!</f>
        <v>#REF!</v>
      </c>
      <c r="F108" s="2239" t="e">
        <f>#REF!+#REF!</f>
        <v>#REF!</v>
      </c>
      <c r="G108" s="2239">
        <f>E62+E74</f>
        <v>45598.799999999996</v>
      </c>
      <c r="H108" s="2239">
        <f>F62+F74</f>
        <v>3.0960013187683186</v>
      </c>
      <c r="I108" s="2240">
        <f>G62+G74</f>
        <v>40464.6</v>
      </c>
    </row>
    <row r="109" spans="2:27" x14ac:dyDescent="0.2">
      <c r="D109" s="962" t="s">
        <v>1489</v>
      </c>
      <c r="E109" s="2239" t="e">
        <f>#REF!+#REF!</f>
        <v>#REF!</v>
      </c>
      <c r="F109" s="2239" t="e">
        <f>#REF!+#REF!</f>
        <v>#REF!</v>
      </c>
      <c r="G109" s="2239">
        <f>E65+E76</f>
        <v>137500.52000000002</v>
      </c>
      <c r="H109" s="2239">
        <f>F65+F76</f>
        <v>9.3358112768610049</v>
      </c>
      <c r="I109" s="2240">
        <f>G65+G76</f>
        <v>126910</v>
      </c>
    </row>
    <row r="110" spans="2:27" x14ac:dyDescent="0.2">
      <c r="D110" s="962" t="s">
        <v>1496</v>
      </c>
      <c r="E110" s="2239" t="e">
        <f>#REF!</f>
        <v>#REF!</v>
      </c>
      <c r="F110" s="2239" t="e">
        <f>#REF!</f>
        <v>#REF!</v>
      </c>
      <c r="G110" s="2239">
        <f>E68</f>
        <v>6747.9</v>
      </c>
      <c r="H110" s="2239">
        <f>F68</f>
        <v>0.45815914670817515</v>
      </c>
      <c r="I110" s="2240">
        <f>G68</f>
        <v>6503.5</v>
      </c>
    </row>
    <row r="111" spans="2:27" x14ac:dyDescent="0.2">
      <c r="D111" s="962" t="s">
        <v>38</v>
      </c>
      <c r="E111" s="2239" t="e">
        <f>#REF!+#REF!</f>
        <v>#REF!</v>
      </c>
      <c r="F111" s="2239" t="e">
        <f>#REF!+#REF!</f>
        <v>#REF!</v>
      </c>
      <c r="G111" s="2239">
        <f>E23+E81</f>
        <v>66786.500000000015</v>
      </c>
      <c r="H111" s="2239">
        <f>F23+F81</f>
        <v>4.534573104465915</v>
      </c>
      <c r="I111" s="2240">
        <f>G23+G81</f>
        <v>83471.800000000017</v>
      </c>
    </row>
    <row r="112" spans="2:27" x14ac:dyDescent="0.2">
      <c r="D112" s="962" t="s">
        <v>1490</v>
      </c>
      <c r="E112" s="2239" t="e">
        <f>#REF!</f>
        <v>#REF!</v>
      </c>
      <c r="F112" s="2239" t="e">
        <f>#REF!</f>
        <v>#REF!</v>
      </c>
      <c r="G112" s="2239">
        <f>E26</f>
        <v>43234.6</v>
      </c>
      <c r="H112" s="2239">
        <f>F26</f>
        <v>2.9354802893150862</v>
      </c>
      <c r="I112" s="2239">
        <f>G26</f>
        <v>32010.5</v>
      </c>
    </row>
    <row r="113" spans="4:9" x14ac:dyDescent="0.2">
      <c r="D113" s="962" t="s">
        <v>1491</v>
      </c>
      <c r="E113" s="2239" t="e">
        <f>#REF!</f>
        <v>#REF!</v>
      </c>
      <c r="F113" s="2239" t="e">
        <f>#REF!</f>
        <v>#REF!</v>
      </c>
      <c r="G113" s="2239">
        <f>E44</f>
        <v>33460.1</v>
      </c>
      <c r="H113" s="2239">
        <f>F44</f>
        <v>2.2718254367685073</v>
      </c>
      <c r="I113" s="2240">
        <f>G44</f>
        <v>22152.699999999997</v>
      </c>
    </row>
    <row r="114" spans="4:9" x14ac:dyDescent="0.2">
      <c r="D114" s="962" t="s">
        <v>41</v>
      </c>
      <c r="E114" s="2239" t="e">
        <f>#REF!+#REF!</f>
        <v>#REF!</v>
      </c>
      <c r="F114" s="2239" t="e">
        <f>#REF!+#REF!</f>
        <v>#REF!</v>
      </c>
      <c r="G114" s="2239">
        <f>E34+E52</f>
        <v>213372.69999999995</v>
      </c>
      <c r="H114" s="2239">
        <f>F34+F52</f>
        <v>14.487270730570906</v>
      </c>
      <c r="I114" s="2240">
        <f>G34+G52</f>
        <v>193022.2</v>
      </c>
    </row>
    <row r="115" spans="4:9" x14ac:dyDescent="0.2">
      <c r="D115" s="962" t="s">
        <v>793</v>
      </c>
      <c r="E115" s="2239" t="e">
        <f>#REF!+#REF!</f>
        <v>#REF!</v>
      </c>
      <c r="F115" s="2239" t="e">
        <f>#REF!+#REF!</f>
        <v>#REF!</v>
      </c>
      <c r="G115" s="2239">
        <f>E37+E56</f>
        <v>80776.28</v>
      </c>
      <c r="H115" s="2239">
        <f>F37+F56</f>
        <v>5.4844309368930535</v>
      </c>
      <c r="I115" s="2240">
        <f>G37+G56</f>
        <v>55329</v>
      </c>
    </row>
    <row r="116" spans="4:9" x14ac:dyDescent="0.2">
      <c r="D116" s="962" t="s">
        <v>40</v>
      </c>
      <c r="E116" s="2239" t="e">
        <f>#REF!</f>
        <v>#REF!</v>
      </c>
      <c r="F116" s="2239" t="e">
        <f>#REF!</f>
        <v>#REF!</v>
      </c>
      <c r="G116" s="2239">
        <f>E17</f>
        <v>709588.44705000008</v>
      </c>
      <c r="H116" s="2239">
        <f>F17</f>
        <v>48.178609258348104</v>
      </c>
      <c r="I116" s="2240">
        <f>G17</f>
        <v>630196.9</v>
      </c>
    </row>
    <row r="117" spans="4:9" x14ac:dyDescent="0.2">
      <c r="D117" s="962" t="s">
        <v>1233</v>
      </c>
      <c r="E117" s="2239" t="e">
        <f>#REF!</f>
        <v>#REF!</v>
      </c>
      <c r="F117" s="2239" t="e">
        <f>#REF!</f>
        <v>#REF!</v>
      </c>
      <c r="G117" s="2239">
        <f>E83</f>
        <v>15485.400000000001</v>
      </c>
      <c r="H117" s="2239">
        <f>F83</f>
        <v>1.0514052742978965</v>
      </c>
      <c r="I117" s="2240">
        <f>G83</f>
        <v>951</v>
      </c>
    </row>
    <row r="118" spans="4:9" x14ac:dyDescent="0.2">
      <c r="D118" s="962" t="s">
        <v>1492</v>
      </c>
      <c r="E118" s="2239" t="e">
        <f>#REF!</f>
        <v>#REF!</v>
      </c>
      <c r="F118" s="2239" t="e">
        <f>#REF!</f>
        <v>#REF!</v>
      </c>
      <c r="G118" s="2239">
        <f>E86</f>
        <v>30141.571</v>
      </c>
      <c r="H118" s="2239">
        <f>F86</f>
        <v>2.04650875825129</v>
      </c>
      <c r="I118" s="2240">
        <f>G86</f>
        <v>26378.419000000002</v>
      </c>
    </row>
    <row r="119" spans="4:9" x14ac:dyDescent="0.2">
      <c r="D119" s="962" t="s">
        <v>1493</v>
      </c>
      <c r="E119" s="2239" t="e">
        <f>#REF!</f>
        <v>#REF!</v>
      </c>
      <c r="F119" s="2238" t="e">
        <f>#REF!</f>
        <v>#REF!</v>
      </c>
      <c r="G119" s="2238">
        <f>E78</f>
        <v>536</v>
      </c>
      <c r="H119" s="2238">
        <f>F78</f>
        <v>3.6392552147420959E-2</v>
      </c>
      <c r="I119" s="2238">
        <f>G78</f>
        <v>3038</v>
      </c>
    </row>
    <row r="120" spans="4:9" x14ac:dyDescent="0.2">
      <c r="D120" s="962" t="s">
        <v>1494</v>
      </c>
      <c r="E120" s="2239" t="e">
        <f>#REF!</f>
        <v>#REF!</v>
      </c>
      <c r="F120" s="2239" t="e">
        <f>#REF!</f>
        <v>#REF!</v>
      </c>
      <c r="G120" s="2239">
        <f>E88</f>
        <v>9097.5</v>
      </c>
      <c r="H120" s="2239">
        <f>F88</f>
        <v>0.61768888649470555</v>
      </c>
      <c r="I120" s="2240">
        <f>G88</f>
        <v>8729.7999999999993</v>
      </c>
    </row>
    <row r="121" spans="4:9" x14ac:dyDescent="0.2">
      <c r="D121" s="962" t="s">
        <v>1495</v>
      </c>
      <c r="E121" s="2239" t="e">
        <f>#REF!</f>
        <v>#REF!</v>
      </c>
      <c r="F121" s="2239" t="e">
        <f>#REF!</f>
        <v>#REF!</v>
      </c>
      <c r="G121" s="2239">
        <f>E92</f>
        <v>367.6</v>
      </c>
      <c r="H121" s="2239">
        <f>F92</f>
        <v>2.4958772704089447E-2</v>
      </c>
      <c r="I121" s="2239">
        <f>G92</f>
        <v>0</v>
      </c>
    </row>
    <row r="122" spans="4:9" x14ac:dyDescent="0.2">
      <c r="D122" s="2262" t="s">
        <v>970</v>
      </c>
      <c r="E122" s="2238" t="e">
        <f>#REF!</f>
        <v>#REF!</v>
      </c>
      <c r="F122" s="2238" t="e">
        <f>#REF!</f>
        <v>#REF!</v>
      </c>
      <c r="G122" s="2238">
        <f t="shared" ref="G122:I123" si="16">E94</f>
        <v>47546.715000000004</v>
      </c>
      <c r="H122" s="2238">
        <f t="shared" si="16"/>
        <v>3.2282580318583252</v>
      </c>
      <c r="I122" s="2240">
        <f t="shared" si="16"/>
        <v>7438.4331000000002</v>
      </c>
    </row>
    <row r="123" spans="4:9" x14ac:dyDescent="0.2">
      <c r="D123" s="2262" t="s">
        <v>208</v>
      </c>
      <c r="E123" s="2239" t="e">
        <f>#REF!</f>
        <v>#REF!</v>
      </c>
      <c r="F123" s="2238" t="e">
        <f>#REF!</f>
        <v>#REF!</v>
      </c>
      <c r="G123" s="2238">
        <f t="shared" si="16"/>
        <v>500</v>
      </c>
      <c r="H123" s="2238">
        <f t="shared" si="16"/>
        <v>3.3948276256922538E-2</v>
      </c>
      <c r="I123" s="2238">
        <f t="shared" si="16"/>
        <v>0</v>
      </c>
    </row>
    <row r="124" spans="4:9" x14ac:dyDescent="0.2">
      <c r="D124" s="962" t="s">
        <v>1497</v>
      </c>
      <c r="E124" s="2237" t="e">
        <f>#REF!</f>
        <v>#REF!</v>
      </c>
      <c r="F124" s="2237" t="e">
        <f>#REF!</f>
        <v>#REF!</v>
      </c>
      <c r="G124" s="2237">
        <f>E16</f>
        <v>28000</v>
      </c>
      <c r="H124" s="2237">
        <f>F16</f>
        <v>1.9011034703876619</v>
      </c>
      <c r="I124" s="2237">
        <f>G16</f>
        <v>0</v>
      </c>
    </row>
    <row r="125" spans="4:9" x14ac:dyDescent="0.2">
      <c r="D125" s="962" t="s">
        <v>1498</v>
      </c>
      <c r="E125" s="2255" t="e">
        <f>#REF!</f>
        <v>#REF!</v>
      </c>
      <c r="F125" s="2237" t="e">
        <f>#REF!</f>
        <v>#REF!</v>
      </c>
      <c r="G125" s="2237">
        <f>E47</f>
        <v>4087.5</v>
      </c>
      <c r="H125" s="2237">
        <f>F47</f>
        <v>0.27752715840034176</v>
      </c>
      <c r="I125" s="2241">
        <f>G47</f>
        <v>3567.1</v>
      </c>
    </row>
    <row r="126" spans="4:9" x14ac:dyDescent="0.2">
      <c r="D126" s="2257"/>
      <c r="E126" s="2260" t="e">
        <f>#REF!</f>
        <v>#REF!</v>
      </c>
      <c r="F126" s="2258"/>
      <c r="G126" s="2258"/>
      <c r="H126" s="2258"/>
      <c r="I126" s="2259"/>
    </row>
    <row r="127" spans="4:9" x14ac:dyDescent="0.2">
      <c r="E127" s="961" t="e">
        <f>SUM(E108:E126)</f>
        <v>#REF!</v>
      </c>
      <c r="F127" s="961" t="e">
        <f>SUM(F108:F125)</f>
        <v>#REF!</v>
      </c>
      <c r="G127" s="961">
        <f>SUM(G108:G125)</f>
        <v>1472828.1330500001</v>
      </c>
      <c r="H127" s="961">
        <f>SUM(H108:H125)</f>
        <v>99.999952679497753</v>
      </c>
      <c r="I127" s="961">
        <f>SUM(I108:I125)</f>
        <v>1240163.9521000003</v>
      </c>
    </row>
    <row r="128" spans="4:9" x14ac:dyDescent="0.2">
      <c r="E128" s="2256"/>
      <c r="H128" s="1039"/>
      <c r="I128" s="1047"/>
    </row>
  </sheetData>
  <mergeCells count="15">
    <mergeCell ref="D103:J103"/>
    <mergeCell ref="D101:J101"/>
    <mergeCell ref="D102:J102"/>
    <mergeCell ref="K3:P5"/>
    <mergeCell ref="C7:M7"/>
    <mergeCell ref="C9:C11"/>
    <mergeCell ref="E10:F10"/>
    <mergeCell ref="I10:J10"/>
    <mergeCell ref="D9:D11"/>
    <mergeCell ref="G10:H10"/>
    <mergeCell ref="K10:L10"/>
    <mergeCell ref="M10:N10"/>
    <mergeCell ref="O10:P10"/>
    <mergeCell ref="I9:P9"/>
    <mergeCell ref="E9:H9"/>
  </mergeCells>
  <phoneticPr fontId="0" type="noConversion"/>
  <printOptions horizontalCentered="1"/>
  <pageMargins left="0.27559055118110237" right="0.27559055118110237" top="0.59055118110236227" bottom="0.39370078740157483" header="0.51181102362204722" footer="0.51181102362204722"/>
  <pageSetup paperSize="9" scale="59" fitToHeight="30" orientation="landscape" r:id="rId1"/>
  <headerFooter alignWithMargins="0"/>
  <rowBreaks count="4" manualBreakCount="4">
    <brk id="25" min="1" max="16" man="1"/>
    <brk id="44" min="1" max="16" man="1"/>
    <brk id="61" min="1" max="16" man="1"/>
    <brk id="74" min="1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B1:U167"/>
  <sheetViews>
    <sheetView view="pageBreakPreview" topLeftCell="A21" zoomScale="50" zoomScaleSheetLayoutView="50" workbookViewId="0">
      <selection activeCell="G20" sqref="G20"/>
    </sheetView>
  </sheetViews>
  <sheetFormatPr baseColWidth="10" defaultColWidth="8.83203125" defaultRowHeight="20" x14ac:dyDescent="0.2"/>
  <cols>
    <col min="1" max="1" width="1.6640625" style="235" customWidth="1"/>
    <col min="2" max="2" width="0.83203125" style="235" customWidth="1"/>
    <col min="3" max="3" width="15" style="234" customWidth="1"/>
    <col min="4" max="4" width="106.6640625" style="235" customWidth="1"/>
    <col min="5" max="5" width="19.5" style="546" customWidth="1"/>
    <col min="6" max="6" width="20.5" style="2725" customWidth="1"/>
    <col min="7" max="7" width="20" style="2725" customWidth="1"/>
    <col min="8" max="8" width="21" style="2725" customWidth="1"/>
    <col min="9" max="10" width="19" style="2735" customWidth="1"/>
    <col min="11" max="11" width="0.6640625" style="587" customWidth="1"/>
    <col min="12" max="14" width="19" style="587" customWidth="1"/>
    <col min="15" max="15" width="26.33203125" style="236" customWidth="1"/>
    <col min="16" max="16" width="60.1640625" style="235" customWidth="1"/>
    <col min="17" max="18" width="8.83203125" style="235"/>
    <col min="19" max="19" width="20.1640625" style="235" bestFit="1" customWidth="1"/>
    <col min="20" max="16384" width="8.83203125" style="235"/>
  </cols>
  <sheetData>
    <row r="1" spans="2:20" x14ac:dyDescent="0.2">
      <c r="I1" s="2726"/>
      <c r="J1" s="2726"/>
    </row>
    <row r="2" spans="2:20" ht="20.25" customHeight="1" x14ac:dyDescent="0.2">
      <c r="B2" s="246"/>
      <c r="D2" s="246"/>
      <c r="E2" s="234"/>
      <c r="F2" s="2634"/>
      <c r="G2" s="2634"/>
      <c r="I2" s="2912" t="s">
        <v>270</v>
      </c>
      <c r="J2" s="2912"/>
      <c r="K2" s="2268"/>
      <c r="L2" s="2634"/>
      <c r="M2" s="2634"/>
      <c r="N2" s="2268"/>
    </row>
    <row r="3" spans="2:20" s="2309" customFormat="1" ht="24.75" customHeight="1" x14ac:dyDescent="0.2">
      <c r="B3" s="2305"/>
      <c r="C3" s="2305"/>
      <c r="D3" s="2306"/>
      <c r="E3" s="2307"/>
      <c r="F3" s="2914" t="s">
        <v>1826</v>
      </c>
      <c r="G3" s="2914"/>
      <c r="H3" s="2914"/>
      <c r="I3" s="2914"/>
      <c r="J3" s="2914"/>
      <c r="K3" s="2270"/>
      <c r="L3" s="2633"/>
      <c r="M3" s="2633"/>
      <c r="N3" s="233"/>
      <c r="O3" s="2308"/>
      <c r="P3" s="2308"/>
      <c r="Q3" s="2308"/>
      <c r="S3" s="2308"/>
      <c r="T3" s="233"/>
    </row>
    <row r="4" spans="2:20" s="2309" customFormat="1" ht="24.75" customHeight="1" x14ac:dyDescent="0.2">
      <c r="B4" s="2305"/>
      <c r="C4" s="2305"/>
      <c r="D4" s="2306"/>
      <c r="E4" s="2307"/>
      <c r="F4" s="2914"/>
      <c r="G4" s="2914"/>
      <c r="H4" s="2914"/>
      <c r="I4" s="2914"/>
      <c r="J4" s="2914"/>
      <c r="K4" s="2270"/>
      <c r="L4" s="2633"/>
      <c r="M4" s="2633"/>
      <c r="N4" s="233"/>
      <c r="O4" s="2308"/>
      <c r="P4" s="2308"/>
      <c r="Q4" s="2308"/>
      <c r="S4" s="2308"/>
      <c r="T4" s="233"/>
    </row>
    <row r="5" spans="2:20" ht="24.75" customHeight="1" x14ac:dyDescent="0.2">
      <c r="B5" s="246"/>
      <c r="D5" s="246"/>
      <c r="E5" s="234"/>
      <c r="F5" s="2914"/>
      <c r="G5" s="2914"/>
      <c r="H5" s="2914"/>
      <c r="I5" s="2914"/>
      <c r="J5" s="2914"/>
      <c r="K5" s="2270"/>
      <c r="L5" s="2633"/>
      <c r="M5" s="2633"/>
      <c r="N5" s="2268"/>
    </row>
    <row r="6" spans="2:20" ht="24.75" customHeight="1" x14ac:dyDescent="0.2">
      <c r="B6" s="246"/>
      <c r="D6" s="246"/>
      <c r="E6" s="234"/>
      <c r="F6" s="2633"/>
      <c r="G6" s="2633"/>
      <c r="H6" s="2633"/>
      <c r="I6" s="2633"/>
      <c r="J6" s="2633"/>
      <c r="K6" s="2633"/>
      <c r="L6" s="2633"/>
      <c r="M6" s="2633"/>
      <c r="N6" s="2634"/>
    </row>
    <row r="7" spans="2:20" ht="24.75" customHeight="1" x14ac:dyDescent="0.2">
      <c r="B7" s="246"/>
      <c r="D7" s="246"/>
      <c r="E7" s="234"/>
      <c r="F7" s="2633"/>
      <c r="G7" s="2633"/>
      <c r="H7" s="2633"/>
      <c r="I7" s="2633"/>
      <c r="J7" s="2633"/>
      <c r="K7" s="2633"/>
      <c r="L7" s="2633"/>
      <c r="M7" s="2633"/>
      <c r="N7" s="2634"/>
    </row>
    <row r="8" spans="2:20" ht="25" x14ac:dyDescent="0.2">
      <c r="B8" s="246"/>
      <c r="C8" s="2760" t="s">
        <v>271</v>
      </c>
      <c r="D8" s="2760"/>
      <c r="E8" s="2760"/>
      <c r="F8" s="2760"/>
      <c r="G8" s="2760"/>
      <c r="H8" s="2760"/>
      <c r="I8" s="2760"/>
      <c r="J8" s="2760"/>
      <c r="K8" s="578"/>
      <c r="L8" s="578"/>
      <c r="M8" s="578"/>
      <c r="N8" s="578"/>
    </row>
    <row r="9" spans="2:20" x14ac:dyDescent="0.2">
      <c r="B9" s="246"/>
      <c r="C9" s="2644"/>
      <c r="D9" s="2644"/>
      <c r="E9" s="2643"/>
      <c r="F9" s="2635"/>
      <c r="G9" s="2635"/>
      <c r="H9" s="2635"/>
      <c r="I9" s="2635"/>
      <c r="J9" s="2635"/>
      <c r="K9" s="2635"/>
      <c r="L9" s="2635"/>
      <c r="M9" s="2635"/>
      <c r="N9" s="2635"/>
    </row>
    <row r="10" spans="2:20" ht="20.25" customHeight="1" x14ac:dyDescent="0.2">
      <c r="B10" s="246"/>
      <c r="C10" s="2761" t="s">
        <v>1092</v>
      </c>
      <c r="D10" s="2761" t="s">
        <v>868</v>
      </c>
      <c r="E10" s="2761" t="s">
        <v>869</v>
      </c>
      <c r="F10" s="2761">
        <v>2014</v>
      </c>
      <c r="G10" s="2761">
        <v>2015</v>
      </c>
      <c r="H10" s="2761" t="s">
        <v>272</v>
      </c>
      <c r="I10" s="2761"/>
      <c r="J10" s="2761"/>
      <c r="K10" s="2264"/>
      <c r="L10" s="2264"/>
      <c r="M10" s="2264"/>
      <c r="N10" s="2264"/>
    </row>
    <row r="11" spans="2:20" ht="37.5" customHeight="1" x14ac:dyDescent="0.2">
      <c r="B11" s="246"/>
      <c r="C11" s="2761"/>
      <c r="D11" s="2761"/>
      <c r="E11" s="2761"/>
      <c r="F11" s="2761"/>
      <c r="G11" s="2761"/>
      <c r="H11" s="2694">
        <v>2016</v>
      </c>
      <c r="I11" s="2694">
        <v>2017</v>
      </c>
      <c r="J11" s="2694">
        <v>2018</v>
      </c>
      <c r="K11" s="2264"/>
      <c r="L11" s="2264"/>
      <c r="M11" s="2264"/>
      <c r="N11" s="2264"/>
    </row>
    <row r="12" spans="2:20" x14ac:dyDescent="0.2">
      <c r="B12" s="246"/>
      <c r="C12" s="2913" t="s">
        <v>273</v>
      </c>
      <c r="D12" s="2913"/>
      <c r="E12" s="2913"/>
      <c r="F12" s="2913"/>
      <c r="G12" s="2913"/>
      <c r="H12" s="2913"/>
      <c r="I12" s="2913"/>
      <c r="J12" s="2913"/>
      <c r="K12" s="1002"/>
      <c r="L12" s="1002"/>
      <c r="M12" s="1002"/>
      <c r="N12" s="1002"/>
    </row>
    <row r="13" spans="2:20" ht="26.25" customHeight="1" x14ac:dyDescent="0.2">
      <c r="B13" s="246"/>
      <c r="C13" s="2762" t="s">
        <v>274</v>
      </c>
      <c r="D13" s="2762"/>
      <c r="E13" s="2762"/>
      <c r="F13" s="2762"/>
      <c r="G13" s="2762"/>
      <c r="H13" s="2762"/>
      <c r="I13" s="2762"/>
      <c r="J13" s="2762"/>
      <c r="K13" s="1003"/>
      <c r="L13" s="1003"/>
      <c r="M13" s="1003"/>
      <c r="N13" s="1003"/>
    </row>
    <row r="14" spans="2:20" s="2324" customFormat="1" ht="49.5" customHeight="1" x14ac:dyDescent="0.2">
      <c r="B14" s="2323"/>
      <c r="C14" s="2746" t="s">
        <v>554</v>
      </c>
      <c r="D14" s="248" t="s">
        <v>275</v>
      </c>
      <c r="E14" s="2693" t="s">
        <v>3</v>
      </c>
      <c r="F14" s="573">
        <v>70</v>
      </c>
      <c r="G14" s="573">
        <v>70</v>
      </c>
      <c r="H14" s="573">
        <v>65</v>
      </c>
      <c r="I14" s="573">
        <v>65</v>
      </c>
      <c r="J14" s="573">
        <v>65</v>
      </c>
      <c r="K14" s="1001"/>
      <c r="L14" s="1001"/>
      <c r="M14" s="1001"/>
      <c r="N14" s="1001"/>
      <c r="O14" s="1101"/>
    </row>
    <row r="15" spans="2:20" s="2324" customFormat="1" ht="66.75" customHeight="1" x14ac:dyDescent="0.2">
      <c r="B15" s="2323"/>
      <c r="C15" s="2746"/>
      <c r="D15" s="248" t="s">
        <v>276</v>
      </c>
      <c r="E15" s="2693" t="s">
        <v>3</v>
      </c>
      <c r="F15" s="573">
        <v>24</v>
      </c>
      <c r="G15" s="573">
        <v>24</v>
      </c>
      <c r="H15" s="573">
        <v>24</v>
      </c>
      <c r="I15" s="573">
        <v>24</v>
      </c>
      <c r="J15" s="573">
        <v>24</v>
      </c>
      <c r="K15" s="1001"/>
      <c r="L15" s="1001"/>
      <c r="M15" s="1001"/>
      <c r="N15" s="1001"/>
      <c r="O15" s="1101"/>
    </row>
    <row r="16" spans="2:20" s="2324" customFormat="1" ht="46.5" customHeight="1" x14ac:dyDescent="0.2">
      <c r="B16" s="2323"/>
      <c r="C16" s="2746" t="s">
        <v>277</v>
      </c>
      <c r="D16" s="2325" t="s">
        <v>365</v>
      </c>
      <c r="E16" s="2326" t="s">
        <v>366</v>
      </c>
      <c r="F16" s="2727">
        <f>'Приложение № 1'!H13</f>
        <v>28</v>
      </c>
      <c r="G16" s="2727">
        <f>'Приложение № 1'!J13</f>
        <v>41</v>
      </c>
      <c r="H16" s="2727">
        <f>'Приложение № 1'!L13</f>
        <v>30</v>
      </c>
      <c r="I16" s="2727">
        <f>'Приложение № 1'!M13</f>
        <v>32</v>
      </c>
      <c r="J16" s="2727">
        <f>'Приложение № 1'!N13</f>
        <v>32</v>
      </c>
      <c r="K16" s="2288"/>
      <c r="L16" s="2288"/>
      <c r="M16" s="2288"/>
      <c r="N16" s="1004"/>
      <c r="O16" s="1101"/>
    </row>
    <row r="17" spans="2:21" s="2324" customFormat="1" ht="48" customHeight="1" x14ac:dyDescent="0.2">
      <c r="B17" s="2323"/>
      <c r="C17" s="2746"/>
      <c r="D17" s="2325" t="s">
        <v>371</v>
      </c>
      <c r="E17" s="2326" t="s">
        <v>306</v>
      </c>
      <c r="F17" s="2727">
        <f>'Приложение № 1'!H14</f>
        <v>298.14999999999998</v>
      </c>
      <c r="G17" s="2727">
        <f>'Приложение № 1'!J14</f>
        <v>339.7</v>
      </c>
      <c r="H17" s="2727">
        <f>'Приложение № 1'!L14</f>
        <v>358.26</v>
      </c>
      <c r="I17" s="2727">
        <f>'Приложение № 1'!M14</f>
        <v>372.15</v>
      </c>
      <c r="J17" s="2727">
        <f>'Приложение № 1'!N14</f>
        <v>391.19</v>
      </c>
      <c r="K17" s="2288"/>
      <c r="L17" s="2288"/>
      <c r="M17" s="2288"/>
      <c r="N17" s="1001"/>
      <c r="O17" s="1101"/>
    </row>
    <row r="18" spans="2:21" s="2324" customFormat="1" ht="40" x14ac:dyDescent="0.2">
      <c r="B18" s="2323"/>
      <c r="C18" s="2746"/>
      <c r="D18" s="2325" t="s">
        <v>372</v>
      </c>
      <c r="E18" s="2326" t="s">
        <v>306</v>
      </c>
      <c r="F18" s="2727">
        <f>'Приложение № 1'!H15</f>
        <v>222.38</v>
      </c>
      <c r="G18" s="2727">
        <f>'Приложение № 1'!J15</f>
        <v>325.18</v>
      </c>
      <c r="H18" s="2727">
        <f>'Приложение № 1'!L15</f>
        <v>201.82</v>
      </c>
      <c r="I18" s="2727">
        <f>'Приложение № 1'!M15</f>
        <v>209.33</v>
      </c>
      <c r="J18" s="2727">
        <f>'Приложение № 1'!N15</f>
        <v>217.09</v>
      </c>
      <c r="K18" s="2288"/>
      <c r="L18" s="2288"/>
      <c r="M18" s="2288"/>
      <c r="N18" s="586"/>
      <c r="O18" s="1101"/>
    </row>
    <row r="19" spans="2:21" s="2324" customFormat="1" ht="43.5" customHeight="1" x14ac:dyDescent="0.2">
      <c r="B19" s="2323"/>
      <c r="C19" s="2746"/>
      <c r="D19" s="2325" t="s">
        <v>367</v>
      </c>
      <c r="E19" s="2326" t="s">
        <v>366</v>
      </c>
      <c r="F19" s="2727">
        <f>'Приложение № 1'!H16</f>
        <v>1866</v>
      </c>
      <c r="G19" s="2727">
        <f>'Приложение № 1'!J16</f>
        <v>2031</v>
      </c>
      <c r="H19" s="2727">
        <f>'Приложение № 1'!L16</f>
        <v>1813</v>
      </c>
      <c r="I19" s="2727">
        <f>'Приложение № 1'!M16</f>
        <v>1813</v>
      </c>
      <c r="J19" s="2727">
        <f>'Приложение № 1'!N16</f>
        <v>1813</v>
      </c>
      <c r="K19" s="2288"/>
      <c r="L19" s="2288"/>
      <c r="M19" s="2288"/>
      <c r="N19" s="1004"/>
      <c r="O19" s="1101"/>
    </row>
    <row r="20" spans="2:21" s="2324" customFormat="1" ht="46.5" customHeight="1" x14ac:dyDescent="0.2">
      <c r="B20" s="2323"/>
      <c r="C20" s="2746"/>
      <c r="D20" s="2325" t="s">
        <v>369</v>
      </c>
      <c r="E20" s="2326" t="s">
        <v>366</v>
      </c>
      <c r="F20" s="2727">
        <f>'Приложение № 1'!H17</f>
        <v>733</v>
      </c>
      <c r="G20" s="2727">
        <f>'Приложение № 1'!J17</f>
        <v>867</v>
      </c>
      <c r="H20" s="2727">
        <f>'Приложение № 1'!L17</f>
        <v>838</v>
      </c>
      <c r="I20" s="2727">
        <f>'Приложение № 1'!M17</f>
        <v>838</v>
      </c>
      <c r="J20" s="2727">
        <f>'Приложение № 1'!N17</f>
        <v>838</v>
      </c>
      <c r="K20" s="2288"/>
      <c r="L20" s="2288"/>
      <c r="M20" s="2288"/>
      <c r="N20" s="1001"/>
      <c r="O20" s="1101"/>
    </row>
    <row r="21" spans="2:21" s="2324" customFormat="1" x14ac:dyDescent="0.2">
      <c r="B21" s="1163"/>
      <c r="C21" s="2746"/>
      <c r="D21" s="249" t="s">
        <v>284</v>
      </c>
      <c r="E21" s="251"/>
      <c r="F21" s="579"/>
      <c r="G21" s="579"/>
      <c r="H21" s="579"/>
      <c r="I21" s="571"/>
      <c r="J21" s="571"/>
      <c r="K21" s="2328"/>
      <c r="L21" s="2328"/>
      <c r="M21" s="2328"/>
      <c r="N21" s="1005"/>
      <c r="O21" s="1101"/>
    </row>
    <row r="22" spans="2:21" s="2324" customFormat="1" x14ac:dyDescent="0.2">
      <c r="B22" s="1163"/>
      <c r="C22" s="2746"/>
      <c r="D22" s="250" t="s">
        <v>285</v>
      </c>
      <c r="E22" s="251" t="s">
        <v>544</v>
      </c>
      <c r="F22" s="2329">
        <f t="shared" ref="F22:I22" si="0">F23+F25</f>
        <v>769997.3470500001</v>
      </c>
      <c r="G22" s="2329">
        <f t="shared" si="0"/>
        <v>675211.12899999996</v>
      </c>
      <c r="H22" s="2329">
        <f t="shared" si="0"/>
        <v>580669.80000000005</v>
      </c>
      <c r="I22" s="2329">
        <f t="shared" si="0"/>
        <v>584351.80000000005</v>
      </c>
      <c r="J22" s="2329">
        <f t="shared" ref="J22" si="1">J23+J25</f>
        <v>588449</v>
      </c>
      <c r="K22" s="1006"/>
      <c r="L22" s="1006"/>
      <c r="M22" s="1006"/>
      <c r="N22" s="1006"/>
      <c r="O22" s="1101"/>
    </row>
    <row r="23" spans="2:21" s="2324" customFormat="1" x14ac:dyDescent="0.2">
      <c r="B23" s="1163"/>
      <c r="C23" s="2746"/>
      <c r="D23" s="250" t="s">
        <v>286</v>
      </c>
      <c r="E23" s="251" t="s">
        <v>544</v>
      </c>
      <c r="F23" s="2329">
        <f>'Приложение № 6'!E14</f>
        <v>737588.44705000008</v>
      </c>
      <c r="G23" s="2329">
        <f>'Приложение № 6'!G14</f>
        <v>630196.9</v>
      </c>
      <c r="H23" s="2329">
        <f>'Приложение № 6'!I14</f>
        <v>542099.80000000005</v>
      </c>
      <c r="I23" s="2329">
        <f>'Приложение № 6'!K14</f>
        <v>542099.80000000005</v>
      </c>
      <c r="J23" s="2329">
        <f>'Приложение № 6'!M14</f>
        <v>542099.80000000005</v>
      </c>
      <c r="K23" s="1006"/>
      <c r="L23" s="1006"/>
      <c r="M23" s="1006"/>
      <c r="N23" s="2328"/>
      <c r="O23" s="1101"/>
    </row>
    <row r="24" spans="2:21" s="2324" customFormat="1" ht="49.5" customHeight="1" x14ac:dyDescent="0.2">
      <c r="B24" s="1163"/>
      <c r="C24" s="2746"/>
      <c r="D24" s="250" t="s">
        <v>957</v>
      </c>
      <c r="E24" s="251" t="s">
        <v>544</v>
      </c>
      <c r="F24" s="2329">
        <f>'Приложение № 6'!E18</f>
        <v>532751.51705000002</v>
      </c>
      <c r="G24" s="2329">
        <f>'Приложение № 6'!G18</f>
        <v>531545.9</v>
      </c>
      <c r="H24" s="2329">
        <f>'Приложение № 6'!I18</f>
        <v>542099.80000000005</v>
      </c>
      <c r="I24" s="2329">
        <f>'Приложение № 6'!K18</f>
        <v>542099.80000000005</v>
      </c>
      <c r="J24" s="2329">
        <f>'Приложение № 6'!M18</f>
        <v>542099.80000000005</v>
      </c>
      <c r="K24" s="1006"/>
      <c r="L24" s="1006"/>
      <c r="M24" s="1006"/>
      <c r="N24" s="2328"/>
      <c r="O24" s="1101"/>
    </row>
    <row r="25" spans="2:21" s="2324" customFormat="1" ht="32.25" customHeight="1" x14ac:dyDescent="0.2">
      <c r="B25" s="1163"/>
      <c r="C25" s="2746"/>
      <c r="D25" s="250" t="s">
        <v>287</v>
      </c>
      <c r="E25" s="251" t="s">
        <v>544</v>
      </c>
      <c r="F25" s="2329">
        <f>'Приложение № 3'!E13</f>
        <v>32408.9</v>
      </c>
      <c r="G25" s="2329">
        <f>'Приложение № 3'!G13</f>
        <v>45014.228999999992</v>
      </c>
      <c r="H25" s="2329">
        <f>'Приложение № 3'!H13</f>
        <v>38570</v>
      </c>
      <c r="I25" s="2329">
        <f>'Приложение № 3'!I13</f>
        <v>42252</v>
      </c>
      <c r="J25" s="2329">
        <f>'Приложение № 3'!J13</f>
        <v>46349.200000000004</v>
      </c>
      <c r="K25" s="1006"/>
      <c r="L25" s="1006"/>
      <c r="M25" s="1006"/>
      <c r="N25" s="1006"/>
      <c r="O25" s="1101"/>
    </row>
    <row r="26" spans="2:21" ht="54.75" customHeight="1" x14ac:dyDescent="0.2">
      <c r="B26" s="246"/>
      <c r="C26" s="2762" t="s">
        <v>288</v>
      </c>
      <c r="D26" s="2762"/>
      <c r="E26" s="2762"/>
      <c r="F26" s="2762"/>
      <c r="G26" s="2762"/>
      <c r="H26" s="2762"/>
      <c r="I26" s="2762"/>
      <c r="J26" s="2762"/>
      <c r="K26" s="1003"/>
      <c r="L26" s="1003"/>
      <c r="M26" s="1003"/>
      <c r="N26" s="1003"/>
    </row>
    <row r="27" spans="2:21" ht="45" customHeight="1" x14ac:dyDescent="0.2">
      <c r="B27" s="246"/>
      <c r="C27" s="2746" t="s">
        <v>289</v>
      </c>
      <c r="D27" s="248" t="s">
        <v>290</v>
      </c>
      <c r="E27" s="2693" t="s">
        <v>555</v>
      </c>
      <c r="F27" s="571">
        <f>'Приложение № 1'!H22</f>
        <v>15</v>
      </c>
      <c r="G27" s="571">
        <f>'Приложение № 1'!J22</f>
        <v>15</v>
      </c>
      <c r="H27" s="571">
        <f>'Приложение № 1'!L22</f>
        <v>16</v>
      </c>
      <c r="I27" s="571">
        <f>'Приложение № 1'!M22</f>
        <v>17</v>
      </c>
      <c r="J27" s="571">
        <f>'Приложение № 1'!N22</f>
        <v>17</v>
      </c>
      <c r="K27" s="2288"/>
      <c r="L27" s="2288"/>
      <c r="M27" s="2288"/>
      <c r="N27" s="586"/>
    </row>
    <row r="28" spans="2:21" ht="40" x14ac:dyDescent="0.2">
      <c r="B28" s="246"/>
      <c r="C28" s="2746"/>
      <c r="D28" s="247" t="s">
        <v>292</v>
      </c>
      <c r="E28" s="2693" t="s">
        <v>3</v>
      </c>
      <c r="F28" s="573">
        <v>85</v>
      </c>
      <c r="G28" s="573">
        <v>85</v>
      </c>
      <c r="H28" s="573">
        <v>86</v>
      </c>
      <c r="I28" s="573">
        <v>87</v>
      </c>
      <c r="J28" s="573">
        <v>87</v>
      </c>
      <c r="K28" s="1001"/>
      <c r="L28" s="1001"/>
      <c r="M28" s="1001"/>
      <c r="N28" s="1001"/>
    </row>
    <row r="29" spans="2:21" s="2324" customFormat="1" x14ac:dyDescent="0.2">
      <c r="B29" s="2323"/>
      <c r="C29" s="2746"/>
      <c r="D29" s="247" t="s">
        <v>1580</v>
      </c>
      <c r="E29" s="2693" t="s">
        <v>1581</v>
      </c>
      <c r="F29" s="574">
        <f>'Дор карта'!D45</f>
        <v>38.799999999999997</v>
      </c>
      <c r="G29" s="574">
        <f>'Дор карта'!E45</f>
        <v>41.4</v>
      </c>
      <c r="H29" s="574">
        <f>'Дор карта'!F45</f>
        <v>44.3</v>
      </c>
      <c r="I29" s="574">
        <f>'Дор карта'!G45</f>
        <v>47.4</v>
      </c>
      <c r="J29" s="574">
        <f>'Дор карта'!H45</f>
        <v>50.9</v>
      </c>
      <c r="K29" s="1007"/>
      <c r="L29" s="1007"/>
      <c r="M29" s="1007"/>
      <c r="N29" s="1007"/>
      <c r="O29" s="1101"/>
    </row>
    <row r="30" spans="2:21" ht="62.25" customHeight="1" x14ac:dyDescent="0.2">
      <c r="B30" s="246"/>
      <c r="C30" s="2746"/>
      <c r="D30" s="247" t="s">
        <v>564</v>
      </c>
      <c r="E30" s="2693" t="s">
        <v>3</v>
      </c>
      <c r="F30" s="575">
        <f>'Индикаторы РЦП'!E35</f>
        <v>0.5</v>
      </c>
      <c r="G30" s="575">
        <f>'Индикаторы РЦП'!F35</f>
        <v>0.62</v>
      </c>
      <c r="H30" s="575">
        <f>'Индикаторы РЦП'!G35</f>
        <v>0.9</v>
      </c>
      <c r="I30" s="575">
        <f>'Индикаторы РЦП'!H35</f>
        <v>1.1000000000000001</v>
      </c>
      <c r="J30" s="575">
        <f>'Индикаторы РЦП'!I35</f>
        <v>1.3</v>
      </c>
      <c r="K30" s="1007"/>
      <c r="L30" s="1007"/>
      <c r="M30" s="1007"/>
      <c r="N30" s="1007"/>
    </row>
    <row r="31" spans="2:21" ht="43.5" customHeight="1" x14ac:dyDescent="0.2">
      <c r="B31" s="246"/>
      <c r="C31" s="2746"/>
      <c r="D31" s="247" t="s">
        <v>565</v>
      </c>
      <c r="E31" s="2693" t="s">
        <v>3</v>
      </c>
      <c r="F31" s="575">
        <f>'Индикаторы РЦП'!E36</f>
        <v>6.3</v>
      </c>
      <c r="G31" s="575">
        <f>'Индикаторы РЦП'!F36</f>
        <v>11.8</v>
      </c>
      <c r="H31" s="575">
        <f>'Индикаторы РЦП'!G36</f>
        <v>15.8</v>
      </c>
      <c r="I31" s="575">
        <f>'Индикаторы РЦП'!H36</f>
        <v>18.2</v>
      </c>
      <c r="J31" s="575">
        <f>'Индикаторы РЦП'!I36</f>
        <v>19.2</v>
      </c>
      <c r="K31" s="1007"/>
      <c r="L31" s="1007"/>
      <c r="M31" s="1007"/>
      <c r="N31" s="1007"/>
      <c r="R31" s="236"/>
      <c r="U31" s="236"/>
    </row>
    <row r="32" spans="2:21" s="2324" customFormat="1" ht="43.5" customHeight="1" x14ac:dyDescent="0.2">
      <c r="B32" s="2323"/>
      <c r="C32" s="2746"/>
      <c r="D32" s="247" t="s">
        <v>567</v>
      </c>
      <c r="E32" s="2693" t="s">
        <v>1588</v>
      </c>
      <c r="F32" s="574">
        <f>'ГосПрограмма (Индикаторы)'!F23</f>
        <v>26</v>
      </c>
      <c r="G32" s="574">
        <f>'ГосПрограмма (Индикаторы)'!G23</f>
        <v>28</v>
      </c>
      <c r="H32" s="574">
        <f>'ГосПрограмма (Индикаторы)'!H23</f>
        <v>31</v>
      </c>
      <c r="I32" s="574">
        <f>'ГосПрограмма (Индикаторы)'!I23</f>
        <v>33</v>
      </c>
      <c r="J32" s="574">
        <f>'ГосПрограмма (Индикаторы)'!J23</f>
        <v>34</v>
      </c>
      <c r="K32" s="1007" t="s">
        <v>1870</v>
      </c>
      <c r="L32" s="1007"/>
      <c r="M32" s="1007"/>
      <c r="N32" s="1007"/>
      <c r="O32" s="1101"/>
    </row>
    <row r="33" spans="2:15" ht="48" customHeight="1" x14ac:dyDescent="0.2">
      <c r="B33" s="246"/>
      <c r="C33" s="2746"/>
      <c r="D33" s="247" t="s">
        <v>568</v>
      </c>
      <c r="E33" s="2693" t="s">
        <v>3</v>
      </c>
      <c r="F33" s="575">
        <f>'Индикаторы РЦП'!E39</f>
        <v>1</v>
      </c>
      <c r="G33" s="575">
        <f>'Индикаторы РЦП'!F39</f>
        <v>1</v>
      </c>
      <c r="H33" s="575">
        <f>'Индикаторы РЦП'!G39</f>
        <v>3</v>
      </c>
      <c r="I33" s="575">
        <f>'Индикаторы РЦП'!H39</f>
        <v>4</v>
      </c>
      <c r="J33" s="575">
        <f>'Индикаторы РЦП'!I39</f>
        <v>5</v>
      </c>
      <c r="K33" s="1007"/>
      <c r="L33" s="1007"/>
      <c r="M33" s="1007"/>
      <c r="N33" s="1007"/>
    </row>
    <row r="34" spans="2:15" ht="43.5" customHeight="1" x14ac:dyDescent="0.2">
      <c r="B34" s="246"/>
      <c r="C34" s="2746"/>
      <c r="D34" s="247" t="s">
        <v>569</v>
      </c>
      <c r="E34" s="2693" t="s">
        <v>3</v>
      </c>
      <c r="F34" s="575">
        <f>'Индикаторы РЦП'!E40</f>
        <v>7.3</v>
      </c>
      <c r="G34" s="575">
        <f>'Индикаторы РЦП'!F40</f>
        <v>7.3</v>
      </c>
      <c r="H34" s="575">
        <f>'Индикаторы РЦП'!G40</f>
        <v>8.3000000000000007</v>
      </c>
      <c r="I34" s="575">
        <f>'Индикаторы РЦП'!H40</f>
        <v>9.4</v>
      </c>
      <c r="J34" s="575">
        <f>'Индикаторы РЦП'!I40</f>
        <v>12.1</v>
      </c>
      <c r="K34" s="1007"/>
      <c r="L34" s="1007"/>
      <c r="M34" s="1007"/>
      <c r="N34" s="1007"/>
    </row>
    <row r="35" spans="2:15" ht="85.5" customHeight="1" x14ac:dyDescent="0.2">
      <c r="B35" s="246"/>
      <c r="C35" s="2746"/>
      <c r="D35" s="247" t="s">
        <v>570</v>
      </c>
      <c r="E35" s="2693" t="s">
        <v>3</v>
      </c>
      <c r="F35" s="575">
        <f>'Индикаторы РЦП'!E41</f>
        <v>4</v>
      </c>
      <c r="G35" s="575">
        <f>'Индикаторы РЦП'!F41</f>
        <v>4</v>
      </c>
      <c r="H35" s="575">
        <f>'Индикаторы РЦП'!G41</f>
        <v>4.4000000000000004</v>
      </c>
      <c r="I35" s="575">
        <f>'Индикаторы РЦП'!H41</f>
        <v>6.6</v>
      </c>
      <c r="J35" s="575">
        <f>'Индикаторы РЦП'!I41</f>
        <v>10</v>
      </c>
      <c r="K35" s="1007"/>
      <c r="L35" s="1007"/>
      <c r="M35" s="1007"/>
      <c r="N35" s="1007"/>
    </row>
    <row r="36" spans="2:15" s="2324" customFormat="1" ht="84.75" customHeight="1" x14ac:dyDescent="0.2">
      <c r="B36" s="2323"/>
      <c r="C36" s="2693" t="s">
        <v>293</v>
      </c>
      <c r="D36" s="247" t="s">
        <v>1598</v>
      </c>
      <c r="E36" s="2693" t="s">
        <v>366</v>
      </c>
      <c r="F36" s="1100">
        <f>'ГосПрограмма (Индикаторы)'!F16</f>
        <v>80</v>
      </c>
      <c r="G36" s="1100">
        <f>'ГосПрограмма (Индикаторы)'!G16</f>
        <v>80</v>
      </c>
      <c r="H36" s="1100">
        <f>'ГосПрограмма (Индикаторы)'!H16</f>
        <v>85</v>
      </c>
      <c r="I36" s="1100">
        <f>'ГосПрограмма (Индикаторы)'!I16</f>
        <v>85</v>
      </c>
      <c r="J36" s="1100">
        <f>'ГосПрограмма (Индикаторы)'!J16</f>
        <v>85</v>
      </c>
      <c r="K36" s="2288" t="s">
        <v>1870</v>
      </c>
      <c r="L36" s="2288"/>
      <c r="M36" s="2288"/>
      <c r="N36" s="586"/>
      <c r="O36" s="1101"/>
    </row>
    <row r="37" spans="2:15" x14ac:dyDescent="0.2">
      <c r="B37" s="246"/>
      <c r="C37" s="2746"/>
      <c r="D37" s="249" t="s">
        <v>284</v>
      </c>
      <c r="E37" s="2265" t="s">
        <v>544</v>
      </c>
      <c r="F37" s="579"/>
      <c r="G37" s="579"/>
      <c r="H37" s="571"/>
      <c r="I37" s="571"/>
      <c r="J37" s="571"/>
      <c r="N37" s="586"/>
    </row>
    <row r="38" spans="2:15" s="2324" customFormat="1" x14ac:dyDescent="0.2">
      <c r="B38" s="2323"/>
      <c r="C38" s="2746"/>
      <c r="D38" s="250" t="s">
        <v>285</v>
      </c>
      <c r="E38" s="2265" t="s">
        <v>544</v>
      </c>
      <c r="F38" s="2329">
        <f t="shared" ref="F38:I38" si="2">F39+F41</f>
        <v>99689.040000000008</v>
      </c>
      <c r="G38" s="2329">
        <f t="shared" si="2"/>
        <v>103408.57320000001</v>
      </c>
      <c r="H38" s="2329">
        <f t="shared" si="2"/>
        <v>41514.080000000002</v>
      </c>
      <c r="I38" s="2329">
        <f t="shared" si="2"/>
        <v>41556.340000000004</v>
      </c>
      <c r="J38" s="2329">
        <f t="shared" ref="J38" si="3">J39+J41</f>
        <v>41596.106</v>
      </c>
      <c r="K38" s="1006"/>
      <c r="L38" s="1006"/>
      <c r="M38" s="1006"/>
      <c r="N38" s="1006"/>
      <c r="O38" s="1101"/>
    </row>
    <row r="39" spans="2:15" s="2324" customFormat="1" x14ac:dyDescent="0.2">
      <c r="B39" s="2323"/>
      <c r="C39" s="2746"/>
      <c r="D39" s="250" t="s">
        <v>286</v>
      </c>
      <c r="E39" s="2265" t="s">
        <v>544</v>
      </c>
      <c r="F39" s="2329">
        <f>'Приложение № 6'!E21</f>
        <v>99342.66</v>
      </c>
      <c r="G39" s="2329">
        <f>'Приложение № 6'!G21</f>
        <v>102816.54000000001</v>
      </c>
      <c r="H39" s="2329">
        <f>'Приложение № 6'!I21</f>
        <v>41095.68</v>
      </c>
      <c r="I39" s="2329">
        <f>'Приложение № 6'!K21</f>
        <v>41095.68</v>
      </c>
      <c r="J39" s="2329">
        <f>'Приложение № 6'!M21</f>
        <v>41095.68</v>
      </c>
      <c r="K39" s="1006"/>
      <c r="L39" s="1006"/>
      <c r="M39" s="1006"/>
      <c r="N39" s="2328"/>
      <c r="O39" s="1101"/>
    </row>
    <row r="40" spans="2:15" s="2324" customFormat="1" ht="54" customHeight="1" x14ac:dyDescent="0.2">
      <c r="B40" s="2323"/>
      <c r="C40" s="2746"/>
      <c r="D40" s="250" t="s">
        <v>957</v>
      </c>
      <c r="E40" s="2265" t="s">
        <v>544</v>
      </c>
      <c r="F40" s="2329">
        <f>'Приложение № 6'!E24+'Приложение № 6'!E27</f>
        <v>55939.360000000008</v>
      </c>
      <c r="G40" s="2329">
        <f>'Приложение № 6'!G24+'Приложение № 6'!G27</f>
        <v>63360.540000000008</v>
      </c>
      <c r="H40" s="2329">
        <f>'Приложение № 6'!I24+'Приложение № 6'!I27</f>
        <v>41095.68</v>
      </c>
      <c r="I40" s="2329">
        <f>'Приложение № 6'!K24+'Приложение № 6'!K27</f>
        <v>41095.68</v>
      </c>
      <c r="J40" s="2329">
        <f>'Приложение № 6'!M24+'Приложение № 6'!M27</f>
        <v>41095.68</v>
      </c>
      <c r="K40" s="1006"/>
      <c r="L40" s="1006"/>
      <c r="M40" s="1006"/>
      <c r="N40" s="2328"/>
      <c r="O40" s="1101"/>
    </row>
    <row r="41" spans="2:15" s="2324" customFormat="1" x14ac:dyDescent="0.2">
      <c r="B41" s="2323"/>
      <c r="C41" s="2746"/>
      <c r="D41" s="250" t="s">
        <v>287</v>
      </c>
      <c r="E41" s="2265" t="s">
        <v>544</v>
      </c>
      <c r="F41" s="2329">
        <f>'Приложение № 3'!E14*0.2</f>
        <v>346.38000000000005</v>
      </c>
      <c r="G41" s="2329">
        <f>'Приложение № 3'!G14*0.2</f>
        <v>592.03320000000008</v>
      </c>
      <c r="H41" s="2329">
        <f>'Приложение № 3'!H14*0.2</f>
        <v>418.40000000000003</v>
      </c>
      <c r="I41" s="2329">
        <f>'Приложение № 3'!I14*0.2</f>
        <v>460.66000000000008</v>
      </c>
      <c r="J41" s="2329">
        <f>'Приложение № 3'!J14*0.2</f>
        <v>500.42600000000004</v>
      </c>
      <c r="K41" s="1006"/>
      <c r="L41" s="1006"/>
      <c r="M41" s="1006"/>
      <c r="N41" s="1006"/>
      <c r="O41" s="1101">
        <v>0.8</v>
      </c>
    </row>
    <row r="42" spans="2:15" ht="20.25" customHeight="1" x14ac:dyDescent="0.2">
      <c r="B42" s="246"/>
      <c r="C42" s="2913" t="s">
        <v>295</v>
      </c>
      <c r="D42" s="2913"/>
      <c r="E42" s="2913"/>
      <c r="F42" s="2913"/>
      <c r="G42" s="2913"/>
      <c r="H42" s="2913"/>
      <c r="I42" s="2913"/>
      <c r="J42" s="2913"/>
      <c r="K42" s="1009"/>
      <c r="L42" s="1009"/>
      <c r="M42" s="1009"/>
      <c r="N42" s="1009"/>
    </row>
    <row r="43" spans="2:15" ht="20.25" customHeight="1" x14ac:dyDescent="0.2">
      <c r="B43" s="246"/>
      <c r="C43" s="2762" t="s">
        <v>296</v>
      </c>
      <c r="D43" s="2762"/>
      <c r="E43" s="2762"/>
      <c r="F43" s="2762"/>
      <c r="G43" s="2762"/>
      <c r="H43" s="2762"/>
      <c r="I43" s="2762"/>
      <c r="J43" s="2762"/>
      <c r="K43" s="586"/>
      <c r="L43" s="586"/>
      <c r="M43" s="586"/>
      <c r="N43" s="586"/>
    </row>
    <row r="44" spans="2:15" ht="43.5" customHeight="1" x14ac:dyDescent="0.2">
      <c r="B44" s="246"/>
      <c r="C44" s="2746" t="s">
        <v>289</v>
      </c>
      <c r="D44" s="248" t="s">
        <v>297</v>
      </c>
      <c r="E44" s="2693" t="s">
        <v>3</v>
      </c>
      <c r="F44" s="573">
        <v>50</v>
      </c>
      <c r="G44" s="573">
        <v>50</v>
      </c>
      <c r="H44" s="573">
        <v>50</v>
      </c>
      <c r="I44" s="573">
        <v>51</v>
      </c>
      <c r="J44" s="573">
        <v>51</v>
      </c>
      <c r="K44" s="1001"/>
      <c r="L44" s="1001"/>
      <c r="M44" s="1001"/>
      <c r="N44" s="1001"/>
    </row>
    <row r="45" spans="2:15" ht="40" x14ac:dyDescent="0.2">
      <c r="B45" s="246"/>
      <c r="C45" s="2746"/>
      <c r="D45" s="252" t="s">
        <v>298</v>
      </c>
      <c r="E45" s="2693" t="s">
        <v>555</v>
      </c>
      <c r="F45" s="571">
        <f>'Приложение № 1'!H47</f>
        <v>21</v>
      </c>
      <c r="G45" s="571">
        <f>'Приложение № 1'!J47</f>
        <v>15</v>
      </c>
      <c r="H45" s="571">
        <f>'Приложение № 1'!L47</f>
        <v>10</v>
      </c>
      <c r="I45" s="571">
        <f>'Приложение № 1'!M47</f>
        <v>15</v>
      </c>
      <c r="J45" s="571">
        <f>'Приложение № 1'!N47</f>
        <v>15</v>
      </c>
      <c r="K45" s="2288"/>
      <c r="L45" s="2288"/>
      <c r="M45" s="2288"/>
      <c r="N45" s="1004"/>
    </row>
    <row r="46" spans="2:15" s="2324" customFormat="1" x14ac:dyDescent="0.2">
      <c r="B46" s="2323"/>
      <c r="C46" s="2746" t="s">
        <v>299</v>
      </c>
      <c r="D46" s="247" t="s">
        <v>1603</v>
      </c>
      <c r="E46" s="2693" t="s">
        <v>1581</v>
      </c>
      <c r="F46" s="574">
        <f>'ГосПрограмма (Индикаторы)'!F21</f>
        <v>386.2</v>
      </c>
      <c r="G46" s="574">
        <f>'ГосПрограмма (Индикаторы)'!G21</f>
        <v>402.4</v>
      </c>
      <c r="H46" s="574">
        <f>'ГосПрограмма (Индикаторы)'!H21</f>
        <v>419.5</v>
      </c>
      <c r="I46" s="574">
        <f>'ГосПрограмма (Индикаторы)'!I21</f>
        <v>437.7</v>
      </c>
      <c r="J46" s="574">
        <f>'ГосПрограмма (Индикаторы)'!J21</f>
        <v>457.6</v>
      </c>
      <c r="K46" s="1001"/>
      <c r="L46" s="1001"/>
      <c r="M46" s="1001"/>
      <c r="N46" s="1001"/>
      <c r="O46" s="1101"/>
    </row>
    <row r="47" spans="2:15" ht="40" x14ac:dyDescent="0.2">
      <c r="B47" s="246"/>
      <c r="C47" s="2746"/>
      <c r="D47" s="248" t="s">
        <v>557</v>
      </c>
      <c r="E47" s="2693" t="s">
        <v>306</v>
      </c>
      <c r="F47" s="573">
        <f>Лист5!E35</f>
        <v>48.97</v>
      </c>
      <c r="G47" s="573">
        <f>Лист5!F35</f>
        <v>49.29</v>
      </c>
      <c r="H47" s="573">
        <f>Лист5!G35</f>
        <v>49.6</v>
      </c>
      <c r="I47" s="573">
        <f>Лист5!H35</f>
        <v>49.8</v>
      </c>
      <c r="J47" s="573">
        <v>49.8</v>
      </c>
      <c r="K47" s="1001"/>
      <c r="L47" s="1001"/>
      <c r="M47" s="1001"/>
      <c r="N47" s="1001"/>
    </row>
    <row r="48" spans="2:15" s="2324" customFormat="1" ht="40" x14ac:dyDescent="0.2">
      <c r="B48" s="2323"/>
      <c r="C48" s="2746"/>
      <c r="D48" s="247" t="s">
        <v>1606</v>
      </c>
      <c r="E48" s="2693" t="s">
        <v>1581</v>
      </c>
      <c r="F48" s="571">
        <f>'Приложение № 1'!H32</f>
        <v>389.4</v>
      </c>
      <c r="G48" s="571">
        <f>'Приложение № 1'!J32</f>
        <v>367.3</v>
      </c>
      <c r="H48" s="571">
        <f>'Приложение № 1'!L32</f>
        <v>394.62</v>
      </c>
      <c r="I48" s="571">
        <f>'Приложение № 1'!M32</f>
        <v>395.44</v>
      </c>
      <c r="J48" s="571">
        <f>'Приложение № 1'!N32</f>
        <v>395.59</v>
      </c>
      <c r="K48" s="1001" t="s">
        <v>1870</v>
      </c>
      <c r="L48" s="1001"/>
      <c r="M48" s="1001"/>
      <c r="N48" s="1001"/>
      <c r="O48" s="1101"/>
    </row>
    <row r="49" spans="2:15" x14ac:dyDescent="0.2">
      <c r="B49" s="246"/>
      <c r="C49" s="2746"/>
      <c r="D49" s="249" t="s">
        <v>284</v>
      </c>
      <c r="E49" s="2265" t="s">
        <v>544</v>
      </c>
      <c r="F49" s="580"/>
      <c r="G49" s="580"/>
      <c r="H49" s="580"/>
      <c r="I49" s="580"/>
      <c r="J49" s="580"/>
      <c r="K49" s="1010"/>
      <c r="L49" s="1010"/>
      <c r="M49" s="1010"/>
      <c r="N49" s="1010"/>
    </row>
    <row r="50" spans="2:15" s="2324" customFormat="1" x14ac:dyDescent="0.2">
      <c r="B50" s="2323"/>
      <c r="C50" s="2746"/>
      <c r="D50" s="250" t="s">
        <v>285</v>
      </c>
      <c r="E50" s="2265" t="s">
        <v>544</v>
      </c>
      <c r="F50" s="2329">
        <f t="shared" ref="F50:I50" si="4">F51+F53</f>
        <v>169627.72399999999</v>
      </c>
      <c r="G50" s="2329">
        <f t="shared" si="4"/>
        <v>133622.55980000002</v>
      </c>
      <c r="H50" s="2329">
        <f t="shared" si="4"/>
        <v>145919.10999999999</v>
      </c>
      <c r="I50" s="2329">
        <f t="shared" si="4"/>
        <v>72882.3</v>
      </c>
      <c r="J50" s="2329">
        <f t="shared" ref="J50" si="5">J51+J53</f>
        <v>72947.948999999993</v>
      </c>
      <c r="K50" s="1006"/>
      <c r="L50" s="1006"/>
      <c r="M50" s="1006"/>
      <c r="N50" s="1006"/>
      <c r="O50" s="1101"/>
    </row>
    <row r="51" spans="2:15" s="2324" customFormat="1" x14ac:dyDescent="0.2">
      <c r="B51" s="2323"/>
      <c r="C51" s="2746"/>
      <c r="D51" s="250" t="s">
        <v>286</v>
      </c>
      <c r="E51" s="2265" t="s">
        <v>544</v>
      </c>
      <c r="F51" s="2329">
        <f>'Приложение № 6'!E32</f>
        <v>168867.19399999999</v>
      </c>
      <c r="G51" s="2329">
        <f>'Приложение № 6'!G32</f>
        <v>132439.04000000001</v>
      </c>
      <c r="H51" s="2329">
        <f>'Приложение № 6'!I32</f>
        <v>145044.31</v>
      </c>
      <c r="I51" s="2329">
        <f>'Приложение № 6'!K32</f>
        <v>71939.31</v>
      </c>
      <c r="J51" s="2329">
        <f>'Приложение № 6'!M32</f>
        <v>71939.31</v>
      </c>
      <c r="K51" s="1006"/>
      <c r="L51" s="1006"/>
      <c r="M51" s="1006"/>
      <c r="N51" s="2328"/>
      <c r="O51" s="1101"/>
    </row>
    <row r="52" spans="2:15" s="2324" customFormat="1" ht="54" customHeight="1" x14ac:dyDescent="0.2">
      <c r="B52" s="2323"/>
      <c r="C52" s="2746"/>
      <c r="D52" s="250" t="s">
        <v>957</v>
      </c>
      <c r="E52" s="2265" t="s">
        <v>544</v>
      </c>
      <c r="F52" s="2329">
        <f>'Приложение № 6'!E35+'Приложение № 6'!E38</f>
        <v>53692.193999999989</v>
      </c>
      <c r="G52" s="2329">
        <f>'Приложение № 6'!G35+'Приложение № 6'!G38</f>
        <v>49676.639999999999</v>
      </c>
      <c r="H52" s="2329">
        <f>'Приложение № 6'!I35+'Приложение № 6'!I38</f>
        <v>71939.31</v>
      </c>
      <c r="I52" s="2329">
        <f>'Приложение № 6'!K35+'Приложение № 6'!K38</f>
        <v>71939.31</v>
      </c>
      <c r="J52" s="2329">
        <f>'Приложение № 6'!M35+'Приложение № 6'!M38</f>
        <v>71939.31</v>
      </c>
      <c r="K52" s="1006"/>
      <c r="L52" s="1006"/>
      <c r="M52" s="1006"/>
      <c r="N52" s="2328"/>
      <c r="O52" s="1101"/>
    </row>
    <row r="53" spans="2:15" s="2324" customFormat="1" x14ac:dyDescent="0.2">
      <c r="B53" s="2323"/>
      <c r="C53" s="2746"/>
      <c r="D53" s="250" t="s">
        <v>287</v>
      </c>
      <c r="E53" s="2265" t="s">
        <v>544</v>
      </c>
      <c r="F53" s="2329">
        <f>('Приложение № 3'!E14+'Приложение № 3'!E15)*0.3</f>
        <v>760.53000000000009</v>
      </c>
      <c r="G53" s="2329">
        <f>('Приложение № 3'!G14+'Приложение № 3'!G15)*0.3</f>
        <v>1183.5198</v>
      </c>
      <c r="H53" s="2329">
        <f>('Приложение № 3'!H14+'Приложение № 3'!H15)*0.3</f>
        <v>874.8</v>
      </c>
      <c r="I53" s="2329">
        <f>('Приложение № 3'!I14+'Приложение № 3'!I15)*0.3</f>
        <v>942.99</v>
      </c>
      <c r="J53" s="2329">
        <f>('Приложение № 3'!J14+'Приложение № 3'!J15)*0.3</f>
        <v>1008.639</v>
      </c>
      <c r="K53" s="1006"/>
      <c r="L53" s="1006"/>
      <c r="M53" s="1006"/>
      <c r="N53" s="1006"/>
      <c r="O53" s="1101" t="s">
        <v>834</v>
      </c>
    </row>
    <row r="54" spans="2:15" ht="26.25" customHeight="1" x14ac:dyDescent="0.2">
      <c r="B54" s="246"/>
      <c r="C54" s="2762" t="s">
        <v>307</v>
      </c>
      <c r="D54" s="2762"/>
      <c r="E54" s="2762"/>
      <c r="F54" s="2762"/>
      <c r="G54" s="2762"/>
      <c r="H54" s="2762"/>
      <c r="I54" s="2762"/>
      <c r="J54" s="2762"/>
      <c r="K54" s="1003"/>
      <c r="L54" s="1003"/>
      <c r="M54" s="1003"/>
      <c r="N54" s="1003"/>
    </row>
    <row r="55" spans="2:15" ht="84.75" customHeight="1" x14ac:dyDescent="0.2">
      <c r="B55" s="246"/>
      <c r="C55" s="2693" t="s">
        <v>289</v>
      </c>
      <c r="D55" s="435" t="s">
        <v>1587</v>
      </c>
      <c r="E55" s="2692" t="s">
        <v>1588</v>
      </c>
      <c r="F55" s="2689">
        <f>'ГосПрограмма (Индикаторы)'!F6</f>
        <v>32</v>
      </c>
      <c r="G55" s="2689">
        <f>'ГосПрограмма (Индикаторы)'!G6</f>
        <v>32.799999999999997</v>
      </c>
      <c r="H55" s="2689">
        <f>'ГосПрограмма (Индикаторы)'!H6</f>
        <v>33.6</v>
      </c>
      <c r="I55" s="2689">
        <f>'ГосПрограмма (Индикаторы)'!I6</f>
        <v>34.4</v>
      </c>
      <c r="J55" s="2689">
        <f>'ГосПрограмма (Индикаторы)'!J6</f>
        <v>35.299999999999997</v>
      </c>
      <c r="K55" s="2288" t="s">
        <v>1870</v>
      </c>
      <c r="L55" s="2288"/>
      <c r="M55" s="2288"/>
      <c r="N55" s="586"/>
    </row>
    <row r="56" spans="2:15" ht="111.75" customHeight="1" x14ac:dyDescent="0.2">
      <c r="B56" s="246"/>
      <c r="C56" s="2693" t="s">
        <v>299</v>
      </c>
      <c r="D56" s="435" t="s">
        <v>1602</v>
      </c>
      <c r="E56" s="2692" t="s">
        <v>366</v>
      </c>
      <c r="F56" s="571">
        <f>'ГосПрограмма (Индикаторы)'!F20</f>
        <v>540</v>
      </c>
      <c r="G56" s="571">
        <f>'ГосПрограмма (Индикаторы)'!G20</f>
        <v>1015</v>
      </c>
      <c r="H56" s="571">
        <f>'ГосПрограмма (Индикаторы)'!H20</f>
        <v>1489</v>
      </c>
      <c r="I56" s="571">
        <f>'ГосПрограмма (Индикаторы)'!I20</f>
        <v>1619</v>
      </c>
      <c r="J56" s="571">
        <f>'ГосПрограмма (Индикаторы)'!J20</f>
        <v>1683</v>
      </c>
      <c r="K56" s="586" t="s">
        <v>1870</v>
      </c>
      <c r="L56" s="586"/>
      <c r="M56" s="586"/>
      <c r="N56" s="586"/>
    </row>
    <row r="57" spans="2:15" x14ac:dyDescent="0.2">
      <c r="B57" s="246"/>
      <c r="C57" s="2746"/>
      <c r="D57" s="249" t="s">
        <v>284</v>
      </c>
      <c r="E57" s="2265"/>
      <c r="F57" s="580"/>
      <c r="G57" s="580"/>
      <c r="H57" s="580"/>
      <c r="I57" s="580"/>
      <c r="J57" s="580"/>
      <c r="K57" s="1010"/>
      <c r="L57" s="1010"/>
      <c r="M57" s="1010"/>
      <c r="N57" s="1010"/>
    </row>
    <row r="58" spans="2:15" x14ac:dyDescent="0.2">
      <c r="B58" s="246"/>
      <c r="C58" s="2746"/>
      <c r="D58" s="250" t="s">
        <v>285</v>
      </c>
      <c r="E58" s="2265" t="s">
        <v>544</v>
      </c>
      <c r="F58" s="2329">
        <f t="shared" ref="F58:I58" si="6">F59+F61</f>
        <v>37547.599999999999</v>
      </c>
      <c r="G58" s="2329">
        <f t="shared" si="6"/>
        <v>25719.799999999996</v>
      </c>
      <c r="H58" s="2329">
        <f t="shared" si="6"/>
        <v>5366.3</v>
      </c>
      <c r="I58" s="2329">
        <f t="shared" si="6"/>
        <v>5366.3</v>
      </c>
      <c r="J58" s="2329">
        <f t="shared" ref="J58" si="7">J59+J61</f>
        <v>5366.3</v>
      </c>
      <c r="K58" s="2287"/>
      <c r="L58" s="2287"/>
      <c r="M58" s="2287"/>
      <c r="N58" s="1006"/>
    </row>
    <row r="59" spans="2:15" x14ac:dyDescent="0.2">
      <c r="B59" s="246"/>
      <c r="C59" s="2746"/>
      <c r="D59" s="250" t="s">
        <v>286</v>
      </c>
      <c r="E59" s="2265" t="s">
        <v>544</v>
      </c>
      <c r="F59" s="2329">
        <f>'Приложение № 6'!E41</f>
        <v>37547.599999999999</v>
      </c>
      <c r="G59" s="2329">
        <f>'Приложение № 6'!G41</f>
        <v>25719.799999999996</v>
      </c>
      <c r="H59" s="2329">
        <f>'Приложение № 6'!I41</f>
        <v>5366.3</v>
      </c>
      <c r="I59" s="2329">
        <f>'Приложение № 6'!K41</f>
        <v>5366.3</v>
      </c>
      <c r="J59" s="2329">
        <f>'Приложение № 6'!M41</f>
        <v>5366.3</v>
      </c>
      <c r="K59" s="2287"/>
      <c r="L59" s="2287"/>
      <c r="M59" s="2287"/>
    </row>
    <row r="60" spans="2:15" ht="49.5" customHeight="1" x14ac:dyDescent="0.2">
      <c r="B60" s="246"/>
      <c r="C60" s="2746"/>
      <c r="D60" s="250" t="s">
        <v>957</v>
      </c>
      <c r="E60" s="2265" t="s">
        <v>544</v>
      </c>
      <c r="F60" s="2329">
        <f>'Приложение № 6'!E45</f>
        <v>1660.1000000000001</v>
      </c>
      <c r="G60" s="2329">
        <f>'Приложение № 6'!G45</f>
        <v>4340.4359999999997</v>
      </c>
      <c r="H60" s="2329">
        <f>'Приложение № 6'!I45</f>
        <v>1826.4</v>
      </c>
      <c r="I60" s="2329">
        <f>'Приложение № 6'!K45</f>
        <v>1826.4</v>
      </c>
      <c r="J60" s="2329">
        <f>'Приложение № 6'!M45</f>
        <v>1826.4</v>
      </c>
      <c r="K60" s="2287"/>
      <c r="L60" s="2287"/>
      <c r="M60" s="2287"/>
    </row>
    <row r="61" spans="2:15" x14ac:dyDescent="0.2">
      <c r="B61" s="246"/>
      <c r="C61" s="2746"/>
      <c r="D61" s="250" t="s">
        <v>287</v>
      </c>
      <c r="E61" s="2265" t="s">
        <v>544</v>
      </c>
      <c r="F61" s="2329">
        <v>0</v>
      </c>
      <c r="G61" s="2329">
        <v>0</v>
      </c>
      <c r="H61" s="2329">
        <v>0</v>
      </c>
      <c r="I61" s="2329">
        <v>0</v>
      </c>
      <c r="J61" s="2329">
        <v>0</v>
      </c>
      <c r="K61" s="2287"/>
      <c r="L61" s="2287"/>
      <c r="M61" s="2287"/>
      <c r="N61" s="1006"/>
    </row>
    <row r="62" spans="2:15" ht="51.75" customHeight="1" x14ac:dyDescent="0.2">
      <c r="B62" s="246"/>
      <c r="C62" s="2762" t="s">
        <v>310</v>
      </c>
      <c r="D62" s="2762"/>
      <c r="E62" s="2762"/>
      <c r="F62" s="2762"/>
      <c r="G62" s="2762"/>
      <c r="H62" s="2762"/>
      <c r="I62" s="2762"/>
      <c r="J62" s="2762"/>
      <c r="K62" s="1003"/>
      <c r="L62" s="1003"/>
      <c r="M62" s="1003"/>
      <c r="N62" s="1003"/>
    </row>
    <row r="63" spans="2:15" ht="51" customHeight="1" x14ac:dyDescent="0.2">
      <c r="B63" s="246"/>
      <c r="C63" s="2746" t="s">
        <v>289</v>
      </c>
      <c r="D63" s="2330" t="s">
        <v>1623</v>
      </c>
      <c r="E63" s="2693" t="s">
        <v>3</v>
      </c>
      <c r="F63" s="573">
        <f>'Дор карта'!D69</f>
        <v>57</v>
      </c>
      <c r="G63" s="573">
        <f>'Дор карта'!E69</f>
        <v>61</v>
      </c>
      <c r="H63" s="573">
        <f>'Дор карта'!F69</f>
        <v>69</v>
      </c>
      <c r="I63" s="573">
        <f>'Дор карта'!G69</f>
        <v>77</v>
      </c>
      <c r="J63" s="573">
        <f>'Дор карта'!H69</f>
        <v>85</v>
      </c>
      <c r="K63" s="1001" t="s">
        <v>39</v>
      </c>
      <c r="L63" s="1001"/>
      <c r="M63" s="1001"/>
      <c r="N63" s="1001"/>
      <c r="O63" s="496"/>
    </row>
    <row r="64" spans="2:15" ht="35.25" customHeight="1" x14ac:dyDescent="0.2">
      <c r="B64" s="246"/>
      <c r="C64" s="2746"/>
      <c r="D64" s="247" t="s">
        <v>1875</v>
      </c>
      <c r="E64" s="2693" t="s">
        <v>3</v>
      </c>
      <c r="F64" s="573">
        <f>Лист5!E80</f>
        <v>65</v>
      </c>
      <c r="G64" s="573">
        <v>65</v>
      </c>
      <c r="H64" s="573">
        <f>Лист5!G80</f>
        <v>65</v>
      </c>
      <c r="I64" s="573">
        <f>Лист5!H80</f>
        <v>65</v>
      </c>
      <c r="J64" s="573">
        <v>65</v>
      </c>
      <c r="K64" s="1001"/>
      <c r="L64" s="1001"/>
      <c r="M64" s="1001"/>
      <c r="N64" s="1001"/>
    </row>
    <row r="65" spans="2:15" ht="102" customHeight="1" x14ac:dyDescent="0.2">
      <c r="B65" s="246"/>
      <c r="C65" s="2693" t="s">
        <v>313</v>
      </c>
      <c r="D65" s="247" t="s">
        <v>1604</v>
      </c>
      <c r="E65" s="2693" t="s">
        <v>366</v>
      </c>
      <c r="F65" s="571">
        <f>'ГосПрограмма (Индикаторы)'!F22</f>
        <v>67</v>
      </c>
      <c r="G65" s="571">
        <v>257</v>
      </c>
      <c r="H65" s="571">
        <f>'ГосПрограмма (Индикаторы)'!H22</f>
        <v>200</v>
      </c>
      <c r="I65" s="571">
        <f>'ГосПрограмма (Индикаторы)'!I22</f>
        <v>210</v>
      </c>
      <c r="J65" s="571">
        <f>'ГосПрограмма (Индикаторы)'!J22</f>
        <v>220</v>
      </c>
      <c r="K65" s="586" t="s">
        <v>1870</v>
      </c>
      <c r="L65" s="586"/>
      <c r="M65" s="586"/>
      <c r="N65" s="586"/>
    </row>
    <row r="66" spans="2:15" x14ac:dyDescent="0.2">
      <c r="B66" s="246"/>
      <c r="C66" s="2746"/>
      <c r="D66" s="249" t="s">
        <v>284</v>
      </c>
      <c r="E66" s="2265"/>
      <c r="F66" s="580"/>
      <c r="G66" s="580"/>
      <c r="H66" s="580"/>
      <c r="I66" s="580"/>
      <c r="J66" s="580"/>
      <c r="K66" s="1010"/>
      <c r="L66" s="1010"/>
      <c r="M66" s="1010"/>
      <c r="N66" s="1010"/>
    </row>
    <row r="67" spans="2:15" x14ac:dyDescent="0.2">
      <c r="B67" s="246"/>
      <c r="C67" s="2746"/>
      <c r="D67" s="250" t="s">
        <v>285</v>
      </c>
      <c r="E67" s="2265" t="s">
        <v>544</v>
      </c>
      <c r="F67" s="2329">
        <f t="shared" ref="F67:I67" si="8">F68+F70</f>
        <v>78320.039999999979</v>
      </c>
      <c r="G67" s="2329">
        <f t="shared" si="8"/>
        <v>78661.942999999999</v>
      </c>
      <c r="H67" s="2329">
        <f t="shared" si="8"/>
        <v>129145.01999999999</v>
      </c>
      <c r="I67" s="2329">
        <f t="shared" si="8"/>
        <v>129250.66999999998</v>
      </c>
      <c r="J67" s="2329">
        <f t="shared" ref="J67" si="9">J68+J70</f>
        <v>129350.08499999999</v>
      </c>
      <c r="K67" s="2287"/>
      <c r="L67" s="2287"/>
      <c r="M67" s="2287"/>
      <c r="N67" s="1006"/>
    </row>
    <row r="68" spans="2:15" x14ac:dyDescent="0.2">
      <c r="B68" s="246"/>
      <c r="C68" s="2746"/>
      <c r="D68" s="250" t="s">
        <v>286</v>
      </c>
      <c r="E68" s="2265" t="s">
        <v>544</v>
      </c>
      <c r="F68" s="2329">
        <f>'Приложение № 6'!E49</f>
        <v>77454.089999999982</v>
      </c>
      <c r="G68" s="2329">
        <f>'Приложение № 6'!G49</f>
        <v>77181.86</v>
      </c>
      <c r="H68" s="2329">
        <f>'Приложение № 6'!I49</f>
        <v>128099.01999999999</v>
      </c>
      <c r="I68" s="2329">
        <f>'Приложение № 6'!K49</f>
        <v>128099.01999999999</v>
      </c>
      <c r="J68" s="2329">
        <f>'Приложение № 6'!M49</f>
        <v>128099.01999999999</v>
      </c>
      <c r="K68" s="2287"/>
      <c r="L68" s="2287"/>
      <c r="M68" s="2287"/>
    </row>
    <row r="69" spans="2:15" ht="48" customHeight="1" x14ac:dyDescent="0.2">
      <c r="B69" s="246"/>
      <c r="C69" s="2746"/>
      <c r="D69" s="250" t="s">
        <v>957</v>
      </c>
      <c r="E69" s="2265" t="s">
        <v>544</v>
      </c>
      <c r="F69" s="2329">
        <f>'Приложение № 6'!E53</f>
        <v>77454.089999999982</v>
      </c>
      <c r="G69" s="2329">
        <f>'Приложение № 6'!G53</f>
        <v>77181.86</v>
      </c>
      <c r="H69" s="2329">
        <f>'Приложение № 6'!I53</f>
        <v>128099.01999999999</v>
      </c>
      <c r="I69" s="2329">
        <f>'Приложение № 6'!K53</f>
        <v>128099.01999999999</v>
      </c>
      <c r="J69" s="2329">
        <f>'Приложение № 6'!M53</f>
        <v>128099.01999999999</v>
      </c>
      <c r="K69" s="2287"/>
      <c r="L69" s="2287"/>
      <c r="M69" s="2287"/>
    </row>
    <row r="70" spans="2:15" x14ac:dyDescent="0.2">
      <c r="B70" s="246"/>
      <c r="C70" s="2746"/>
      <c r="D70" s="250" t="s">
        <v>287</v>
      </c>
      <c r="E70" s="2265" t="s">
        <v>544</v>
      </c>
      <c r="F70" s="2329">
        <f>'Приложение № 3'!E14*0.5</f>
        <v>865.95</v>
      </c>
      <c r="G70" s="2329">
        <f>'Приложение № 3'!G14*0.5</f>
        <v>1480.0830000000001</v>
      </c>
      <c r="H70" s="2329">
        <f>'Приложение № 3'!H14*0.5</f>
        <v>1046</v>
      </c>
      <c r="I70" s="2329">
        <f>'Приложение № 3'!I14*0.5</f>
        <v>1151.6500000000001</v>
      </c>
      <c r="J70" s="2329">
        <f>'Приложение № 3'!J14*0.5</f>
        <v>1251.0650000000001</v>
      </c>
      <c r="K70" s="2287"/>
      <c r="L70" s="2287"/>
      <c r="M70" s="2287"/>
      <c r="N70" s="1006"/>
      <c r="O70" s="236" t="s">
        <v>1554</v>
      </c>
    </row>
    <row r="71" spans="2:15" ht="23.25" customHeight="1" x14ac:dyDescent="0.2">
      <c r="B71" s="246"/>
      <c r="C71" s="2762" t="s">
        <v>316</v>
      </c>
      <c r="D71" s="2762"/>
      <c r="E71" s="2762"/>
      <c r="F71" s="2762"/>
      <c r="G71" s="2762"/>
      <c r="H71" s="2762"/>
      <c r="I71" s="2762"/>
      <c r="J71" s="2762"/>
      <c r="K71" s="1003"/>
      <c r="L71" s="1003"/>
      <c r="M71" s="1003"/>
      <c r="N71" s="1003"/>
    </row>
    <row r="72" spans="2:15" ht="47.25" customHeight="1" x14ac:dyDescent="0.2">
      <c r="B72" s="246"/>
      <c r="C72" s="2751" t="s">
        <v>289</v>
      </c>
      <c r="D72" s="247" t="s">
        <v>1624</v>
      </c>
      <c r="E72" s="2693" t="s">
        <v>3</v>
      </c>
      <c r="F72" s="571">
        <f>'Приложение № 1'!H48</f>
        <v>23.4</v>
      </c>
      <c r="G72" s="571">
        <f>'Приложение № 1'!J48</f>
        <v>29</v>
      </c>
      <c r="H72" s="571">
        <f>'Приложение № 1'!L48</f>
        <v>64</v>
      </c>
      <c r="I72" s="571">
        <f>'Приложение № 1'!M48</f>
        <v>73.099999999999994</v>
      </c>
      <c r="J72" s="571">
        <f>'Приложение № 1'!N48</f>
        <v>82.2</v>
      </c>
      <c r="K72" s="1001" t="s">
        <v>39</v>
      </c>
      <c r="L72" s="1001"/>
      <c r="M72" s="1001"/>
      <c r="N72" s="1001"/>
    </row>
    <row r="73" spans="2:15" ht="48" customHeight="1" x14ac:dyDescent="0.2">
      <c r="B73" s="246"/>
      <c r="C73" s="2751"/>
      <c r="D73" s="247" t="s">
        <v>1876</v>
      </c>
      <c r="E73" s="2693" t="s">
        <v>1610</v>
      </c>
      <c r="F73" s="573">
        <f>'ГосПрограмма (Индикаторы)'!F27</f>
        <v>33.299999999999997</v>
      </c>
      <c r="G73" s="573">
        <f>'ГосПрограмма (Индикаторы)'!G27</f>
        <v>66.599999999999994</v>
      </c>
      <c r="H73" s="573">
        <f>'ГосПрограмма (Индикаторы)'!H27</f>
        <v>139.9</v>
      </c>
      <c r="I73" s="573">
        <f>'ГосПрограмма (Индикаторы)'!I27</f>
        <v>307.8</v>
      </c>
      <c r="J73" s="573">
        <f>'ГосПрограмма (Индикаторы)'!J27</f>
        <v>708</v>
      </c>
      <c r="K73" s="1001" t="s">
        <v>1870</v>
      </c>
      <c r="L73" s="1001"/>
      <c r="M73" s="1001"/>
      <c r="N73" s="1001"/>
    </row>
    <row r="74" spans="2:15" ht="48" customHeight="1" x14ac:dyDescent="0.2">
      <c r="B74" s="246"/>
      <c r="C74" s="2751"/>
      <c r="D74" s="247" t="s">
        <v>319</v>
      </c>
      <c r="E74" s="2693" t="s">
        <v>3</v>
      </c>
      <c r="F74" s="573">
        <v>70</v>
      </c>
      <c r="G74" s="573">
        <v>70</v>
      </c>
      <c r="H74" s="573">
        <v>70</v>
      </c>
      <c r="I74" s="573">
        <v>71</v>
      </c>
      <c r="J74" s="573">
        <v>71</v>
      </c>
      <c r="K74" s="1001"/>
      <c r="L74" s="1001"/>
      <c r="M74" s="1001"/>
      <c r="N74" s="1001"/>
    </row>
    <row r="75" spans="2:15" ht="40" x14ac:dyDescent="0.2">
      <c r="B75" s="246"/>
      <c r="C75" s="2746" t="s">
        <v>313</v>
      </c>
      <c r="D75" s="247" t="s">
        <v>1607</v>
      </c>
      <c r="E75" s="2693" t="s">
        <v>1608</v>
      </c>
      <c r="F75" s="573">
        <f>'ГосПрограмма (Индикаторы)'!F26</f>
        <v>1078.7</v>
      </c>
      <c r="G75" s="573">
        <f>'ГосПрограмма (Индикаторы)'!G26</f>
        <v>1086.8</v>
      </c>
      <c r="H75" s="573">
        <f>'ГосПрограмма (Индикаторы)'!H26</f>
        <v>1091.71</v>
      </c>
      <c r="I75" s="573">
        <f>'ГосПрограмма (Индикаторы)'!I26</f>
        <v>1097.4000000000001</v>
      </c>
      <c r="J75" s="573">
        <f>'ГосПрограмма (Индикаторы)'!J26</f>
        <v>1103.0999999999999</v>
      </c>
      <c r="K75" s="1001" t="s">
        <v>1870</v>
      </c>
      <c r="L75" s="1001"/>
      <c r="M75" s="1001"/>
      <c r="N75" s="1001"/>
    </row>
    <row r="76" spans="2:15" ht="66.75" customHeight="1" x14ac:dyDescent="0.2">
      <c r="B76" s="246"/>
      <c r="C76" s="2746"/>
      <c r="D76" s="248" t="s">
        <v>595</v>
      </c>
      <c r="E76" s="2693" t="s">
        <v>322</v>
      </c>
      <c r="F76" s="573">
        <f>Лист5!E38</f>
        <v>40.880000000000003</v>
      </c>
      <c r="G76" s="573">
        <f>Лист5!F38</f>
        <v>41.7</v>
      </c>
      <c r="H76" s="573">
        <f>Лист5!G38</f>
        <v>42.54</v>
      </c>
      <c r="I76" s="573">
        <f>Лист5!H38</f>
        <v>42.54</v>
      </c>
      <c r="J76" s="573">
        <v>42.54</v>
      </c>
      <c r="K76" s="1001"/>
      <c r="L76" s="1001"/>
      <c r="M76" s="1001"/>
      <c r="N76" s="1001"/>
    </row>
    <row r="77" spans="2:15" x14ac:dyDescent="0.2">
      <c r="B77" s="246"/>
      <c r="C77" s="2746"/>
      <c r="D77" s="249" t="s">
        <v>284</v>
      </c>
      <c r="E77" s="2265"/>
      <c r="F77" s="580"/>
      <c r="G77" s="580"/>
      <c r="H77" s="580"/>
      <c r="I77" s="580"/>
      <c r="J77" s="580"/>
      <c r="K77" s="1010"/>
      <c r="L77" s="1010"/>
      <c r="M77" s="1010"/>
      <c r="N77" s="1010"/>
    </row>
    <row r="78" spans="2:15" x14ac:dyDescent="0.2">
      <c r="B78" s="246"/>
      <c r="C78" s="2746"/>
      <c r="D78" s="250" t="s">
        <v>285</v>
      </c>
      <c r="E78" s="2265" t="s">
        <v>544</v>
      </c>
      <c r="F78" s="2329">
        <f t="shared" ref="F78:I78" si="10">F79+F81</f>
        <v>48389.935999999994</v>
      </c>
      <c r="G78" s="2329">
        <f t="shared" si="10"/>
        <v>39419.729999999996</v>
      </c>
      <c r="H78" s="2329">
        <f t="shared" si="10"/>
        <v>40336.17</v>
      </c>
      <c r="I78" s="2329">
        <f t="shared" si="10"/>
        <v>40347.369999999995</v>
      </c>
      <c r="J78" s="2329">
        <f t="shared" ref="J78" si="11">J79+J81</f>
        <v>40361.369999999995</v>
      </c>
      <c r="K78" s="2287"/>
      <c r="L78" s="2287"/>
      <c r="M78" s="2287"/>
      <c r="N78" s="1006"/>
    </row>
    <row r="79" spans="2:15" x14ac:dyDescent="0.2">
      <c r="B79" s="246"/>
      <c r="C79" s="2746"/>
      <c r="D79" s="250" t="s">
        <v>286</v>
      </c>
      <c r="E79" s="2265" t="s">
        <v>544</v>
      </c>
      <c r="F79" s="2329">
        <f>'Приложение № 6'!E54</f>
        <v>47827.695999999996</v>
      </c>
      <c r="G79" s="2329">
        <f>'Приложение № 6'!G54</f>
        <v>38730.299999999996</v>
      </c>
      <c r="H79" s="2329">
        <f>'Приложение № 6'!I54</f>
        <v>39759.369999999995</v>
      </c>
      <c r="I79" s="2329">
        <f>'Приложение № 6'!K54</f>
        <v>39759.369999999995</v>
      </c>
      <c r="J79" s="2329">
        <f>'Приложение № 6'!M54</f>
        <v>39759.369999999995</v>
      </c>
      <c r="K79" s="2287"/>
      <c r="L79" s="2287"/>
      <c r="M79" s="2287"/>
    </row>
    <row r="80" spans="2:15" ht="45" customHeight="1" x14ac:dyDescent="0.2">
      <c r="B80" s="246"/>
      <c r="C80" s="2746"/>
      <c r="D80" s="250" t="s">
        <v>957</v>
      </c>
      <c r="E80" s="2265" t="s">
        <v>544</v>
      </c>
      <c r="F80" s="2329">
        <f>'Приложение № 6'!E57</f>
        <v>47827.695999999996</v>
      </c>
      <c r="G80" s="2329">
        <f>'Приложение № 6'!G57</f>
        <v>38730.299999999996</v>
      </c>
      <c r="H80" s="2329">
        <f>'Приложение № 6'!I57</f>
        <v>39759.369999999995</v>
      </c>
      <c r="I80" s="2329">
        <f>'Приложение № 6'!K57</f>
        <v>39759.369999999995</v>
      </c>
      <c r="J80" s="2329">
        <f>'Приложение № 6'!M57</f>
        <v>39759.369999999995</v>
      </c>
      <c r="K80" s="2287"/>
      <c r="L80" s="2287"/>
      <c r="M80" s="2287"/>
    </row>
    <row r="81" spans="2:15" x14ac:dyDescent="0.2">
      <c r="B81" s="246"/>
      <c r="C81" s="2746"/>
      <c r="D81" s="250" t="s">
        <v>287</v>
      </c>
      <c r="E81" s="2265" t="s">
        <v>544</v>
      </c>
      <c r="F81" s="2329">
        <f>'Приложение № 3'!E15*0.7</f>
        <v>562.24</v>
      </c>
      <c r="G81" s="2329">
        <f>'Приложение № 3'!G15*0.7</f>
        <v>689.43</v>
      </c>
      <c r="H81" s="2329">
        <f>'Приложение № 3'!H15*0.7</f>
        <v>576.79999999999995</v>
      </c>
      <c r="I81" s="2329">
        <f>'Приложение № 3'!I15*0.7</f>
        <v>588</v>
      </c>
      <c r="J81" s="2329">
        <f>'Приложение № 3'!J15*0.7</f>
        <v>602</v>
      </c>
      <c r="K81" s="2287"/>
      <c r="L81" s="2287"/>
      <c r="M81" s="2287"/>
      <c r="N81" s="1006"/>
      <c r="O81" s="236" t="s">
        <v>1555</v>
      </c>
    </row>
    <row r="82" spans="2:15" ht="20.25" customHeight="1" x14ac:dyDescent="0.2">
      <c r="B82" s="246"/>
      <c r="C82" s="2913" t="s">
        <v>323</v>
      </c>
      <c r="D82" s="2913"/>
      <c r="E82" s="2913"/>
      <c r="F82" s="2913"/>
      <c r="G82" s="2913"/>
      <c r="H82" s="2913"/>
      <c r="I82" s="2913"/>
      <c r="J82" s="2913"/>
      <c r="K82" s="1002"/>
      <c r="L82" s="1002"/>
      <c r="M82" s="1002"/>
      <c r="N82" s="1002"/>
    </row>
    <row r="83" spans="2:15" ht="20.25" customHeight="1" x14ac:dyDescent="0.2">
      <c r="B83" s="246"/>
      <c r="C83" s="2762" t="s">
        <v>324</v>
      </c>
      <c r="D83" s="2762"/>
      <c r="E83" s="2762"/>
      <c r="F83" s="2762"/>
      <c r="G83" s="2762"/>
      <c r="H83" s="2762"/>
      <c r="I83" s="2762"/>
      <c r="J83" s="2762"/>
      <c r="K83" s="1003"/>
      <c r="L83" s="1003"/>
      <c r="M83" s="1003"/>
      <c r="N83" s="1003"/>
    </row>
    <row r="84" spans="2:15" ht="88.5" customHeight="1" x14ac:dyDescent="0.2">
      <c r="B84" s="246"/>
      <c r="C84" s="2746" t="s">
        <v>289</v>
      </c>
      <c r="D84" s="253" t="s">
        <v>325</v>
      </c>
      <c r="E84" s="2693" t="s">
        <v>555</v>
      </c>
      <c r="F84" s="571">
        <v>1</v>
      </c>
      <c r="G84" s="571">
        <v>1</v>
      </c>
      <c r="H84" s="571">
        <v>1</v>
      </c>
      <c r="I84" s="571">
        <v>1</v>
      </c>
      <c r="J84" s="571">
        <v>1</v>
      </c>
      <c r="K84" s="586"/>
      <c r="L84" s="586"/>
      <c r="M84" s="586"/>
      <c r="N84" s="586"/>
    </row>
    <row r="85" spans="2:15" ht="52.5" customHeight="1" x14ac:dyDescent="0.2">
      <c r="B85" s="246"/>
      <c r="C85" s="2746"/>
      <c r="D85" s="253" t="s">
        <v>326</v>
      </c>
      <c r="E85" s="2693" t="s">
        <v>3</v>
      </c>
      <c r="F85" s="573">
        <v>48</v>
      </c>
      <c r="G85" s="573">
        <v>45</v>
      </c>
      <c r="H85" s="573">
        <v>45</v>
      </c>
      <c r="I85" s="573">
        <v>45</v>
      </c>
      <c r="J85" s="573">
        <v>45</v>
      </c>
      <c r="K85" s="1001"/>
      <c r="L85" s="1001"/>
      <c r="M85" s="1001"/>
      <c r="N85" s="1001"/>
    </row>
    <row r="86" spans="2:15" ht="66.75" customHeight="1" x14ac:dyDescent="0.2">
      <c r="B86" s="246"/>
      <c r="C86" s="2746"/>
      <c r="D86" s="247" t="s">
        <v>327</v>
      </c>
      <c r="E86" s="2693" t="s">
        <v>555</v>
      </c>
      <c r="F86" s="571">
        <f>Лист5!E118</f>
        <v>21</v>
      </c>
      <c r="G86" s="571">
        <f>Лист5!F118</f>
        <v>21</v>
      </c>
      <c r="H86" s="571">
        <f>Лист5!G118</f>
        <v>21</v>
      </c>
      <c r="I86" s="571">
        <f>Лист5!H118</f>
        <v>21</v>
      </c>
      <c r="J86" s="571">
        <v>21</v>
      </c>
      <c r="K86" s="586"/>
      <c r="L86" s="586"/>
      <c r="M86" s="586"/>
      <c r="N86" s="586"/>
      <c r="O86" s="1101"/>
    </row>
    <row r="87" spans="2:15" ht="68.25" customHeight="1" x14ac:dyDescent="0.2">
      <c r="B87" s="246"/>
      <c r="C87" s="2746"/>
      <c r="D87" s="247" t="s">
        <v>329</v>
      </c>
      <c r="E87" s="2693" t="s">
        <v>555</v>
      </c>
      <c r="F87" s="571">
        <v>28</v>
      </c>
      <c r="G87" s="571">
        <v>28</v>
      </c>
      <c r="H87" s="571">
        <v>29</v>
      </c>
      <c r="I87" s="571">
        <v>29</v>
      </c>
      <c r="J87" s="571">
        <v>29</v>
      </c>
      <c r="K87" s="586"/>
      <c r="L87" s="586"/>
      <c r="M87" s="586"/>
      <c r="N87" s="586"/>
    </row>
    <row r="88" spans="2:15" ht="52.5" customHeight="1" x14ac:dyDescent="0.2">
      <c r="B88" s="246"/>
      <c r="C88" s="2746" t="s">
        <v>313</v>
      </c>
      <c r="D88" s="248" t="s">
        <v>332</v>
      </c>
      <c r="E88" s="2693" t="s">
        <v>555</v>
      </c>
      <c r="F88" s="571">
        <f>Лист5!E137</f>
        <v>92</v>
      </c>
      <c r="G88" s="571">
        <f>Лист5!F137</f>
        <v>93</v>
      </c>
      <c r="H88" s="571">
        <f>Лист5!G137</f>
        <v>93</v>
      </c>
      <c r="I88" s="571">
        <f>Лист5!H137</f>
        <v>93</v>
      </c>
      <c r="J88" s="571">
        <v>93</v>
      </c>
      <c r="K88" s="586"/>
      <c r="L88" s="586"/>
      <c r="M88" s="586"/>
      <c r="N88" s="586"/>
    </row>
    <row r="89" spans="2:15" x14ac:dyDescent="0.2">
      <c r="B89" s="246"/>
      <c r="C89" s="2746"/>
      <c r="D89" s="247" t="s">
        <v>333</v>
      </c>
      <c r="E89" s="2693" t="s">
        <v>555</v>
      </c>
      <c r="F89" s="571">
        <f>Лист5!E138</f>
        <v>4</v>
      </c>
      <c r="G89" s="571">
        <f>Лист5!F138</f>
        <v>4</v>
      </c>
      <c r="H89" s="571">
        <f>Лист5!G138</f>
        <v>4</v>
      </c>
      <c r="I89" s="571">
        <f>Лист5!H138</f>
        <v>4</v>
      </c>
      <c r="J89" s="571">
        <v>4</v>
      </c>
      <c r="K89" s="586"/>
      <c r="L89" s="586"/>
      <c r="M89" s="586"/>
      <c r="N89" s="586"/>
    </row>
    <row r="90" spans="2:15" x14ac:dyDescent="0.2">
      <c r="B90" s="246"/>
      <c r="C90" s="2746"/>
      <c r="D90" s="247" t="s">
        <v>334</v>
      </c>
      <c r="E90" s="2693" t="s">
        <v>555</v>
      </c>
      <c r="F90" s="571">
        <f>Лист5!E139</f>
        <v>88</v>
      </c>
      <c r="G90" s="571">
        <f>Лист5!F139</f>
        <v>89</v>
      </c>
      <c r="H90" s="571">
        <f>Лист5!G139</f>
        <v>89</v>
      </c>
      <c r="I90" s="571">
        <f>Лист5!H139</f>
        <v>89</v>
      </c>
      <c r="J90" s="571">
        <v>89</v>
      </c>
      <c r="K90" s="586"/>
      <c r="L90" s="586"/>
      <c r="M90" s="586"/>
      <c r="N90" s="586"/>
    </row>
    <row r="91" spans="2:15" ht="43.5" customHeight="1" x14ac:dyDescent="0.2">
      <c r="B91" s="246"/>
      <c r="C91" s="2746"/>
      <c r="D91" s="247" t="s">
        <v>1596</v>
      </c>
      <c r="E91" s="2693" t="s">
        <v>1591</v>
      </c>
      <c r="F91" s="571">
        <f>'ГосПрограмма (Индикаторы)'!F13</f>
        <v>500</v>
      </c>
      <c r="G91" s="571">
        <f>'ГосПрограмма (Индикаторы)'!G13</f>
        <v>500</v>
      </c>
      <c r="H91" s="571">
        <f>'ГосПрограмма (Индикаторы)'!H13</f>
        <v>500</v>
      </c>
      <c r="I91" s="571">
        <f>'ГосПрограмма (Индикаторы)'!I13</f>
        <v>500</v>
      </c>
      <c r="J91" s="571">
        <f>'ГосПрограмма (Индикаторы)'!J13</f>
        <v>500</v>
      </c>
      <c r="K91" s="586" t="s">
        <v>1870</v>
      </c>
      <c r="L91" s="586"/>
      <c r="M91" s="586"/>
      <c r="N91" s="586"/>
    </row>
    <row r="92" spans="2:15" ht="63" customHeight="1" x14ac:dyDescent="0.2">
      <c r="B92" s="246"/>
      <c r="C92" s="2746"/>
      <c r="D92" s="247" t="s">
        <v>1597</v>
      </c>
      <c r="E92" s="2693" t="s">
        <v>366</v>
      </c>
      <c r="F92" s="571">
        <f>'ГосПрограмма (Индикаторы)'!F14</f>
        <v>14</v>
      </c>
      <c r="G92" s="571">
        <f>'ГосПрограмма (Индикаторы)'!G14</f>
        <v>14</v>
      </c>
      <c r="H92" s="571">
        <f>'ГосПрограмма (Индикаторы)'!H14</f>
        <v>14</v>
      </c>
      <c r="I92" s="571">
        <f>'ГосПрограмма (Индикаторы)'!I14</f>
        <v>14</v>
      </c>
      <c r="J92" s="571">
        <f>'ГосПрограмма (Индикаторы)'!J14</f>
        <v>14</v>
      </c>
      <c r="K92" s="586" t="s">
        <v>1870</v>
      </c>
      <c r="L92" s="586"/>
      <c r="M92" s="586"/>
      <c r="N92" s="586"/>
    </row>
    <row r="93" spans="2:15" x14ac:dyDescent="0.2">
      <c r="B93" s="246"/>
      <c r="C93" s="2746"/>
      <c r="D93" s="249" t="s">
        <v>284</v>
      </c>
      <c r="E93" s="2265"/>
      <c r="F93" s="580"/>
      <c r="G93" s="580"/>
      <c r="H93" s="580"/>
      <c r="I93" s="580"/>
      <c r="J93" s="580"/>
      <c r="K93" s="1010"/>
      <c r="L93" s="1010"/>
      <c r="M93" s="1010"/>
      <c r="N93" s="1010"/>
    </row>
    <row r="94" spans="2:15" x14ac:dyDescent="0.2">
      <c r="B94" s="246"/>
      <c r="C94" s="2746"/>
      <c r="D94" s="250" t="s">
        <v>285</v>
      </c>
      <c r="E94" s="2265" t="s">
        <v>544</v>
      </c>
      <c r="F94" s="2329">
        <f t="shared" ref="F94:I94" si="12">F95+F97</f>
        <v>136204.22399999999</v>
      </c>
      <c r="G94" s="2329">
        <f t="shared" si="12"/>
        <v>125361.82</v>
      </c>
      <c r="H94" s="2329">
        <f t="shared" si="12"/>
        <v>127819.36999999997</v>
      </c>
      <c r="I94" s="2329">
        <f t="shared" si="12"/>
        <v>127979.36999999997</v>
      </c>
      <c r="J94" s="2329">
        <f t="shared" ref="J94" si="13">J95+J97</f>
        <v>128139.36999999997</v>
      </c>
      <c r="K94" s="2287"/>
      <c r="L94" s="2287"/>
      <c r="M94" s="2287"/>
      <c r="N94" s="1006"/>
    </row>
    <row r="95" spans="2:15" x14ac:dyDescent="0.2">
      <c r="B95" s="246"/>
      <c r="C95" s="2746"/>
      <c r="D95" s="250" t="s">
        <v>286</v>
      </c>
      <c r="E95" s="2265" t="s">
        <v>544</v>
      </c>
      <c r="F95" s="2329">
        <f>'Приложение № 6'!E60</f>
        <v>135412.424</v>
      </c>
      <c r="G95" s="2329">
        <f>'Приложение № 6'!G60</f>
        <v>123665.72</v>
      </c>
      <c r="H95" s="2329">
        <f>'Приложение № 6'!I60</f>
        <v>126219.36999999997</v>
      </c>
      <c r="I95" s="2329">
        <f>'Приложение № 6'!K60</f>
        <v>126219.36999999997</v>
      </c>
      <c r="J95" s="2329">
        <f>'Приложение № 6'!M60</f>
        <v>126219.36999999997</v>
      </c>
      <c r="K95" s="2287"/>
      <c r="L95" s="2287"/>
      <c r="M95" s="2287"/>
    </row>
    <row r="96" spans="2:15" ht="45" customHeight="1" x14ac:dyDescent="0.2">
      <c r="B96" s="246"/>
      <c r="C96" s="2746"/>
      <c r="D96" s="250" t="s">
        <v>957</v>
      </c>
      <c r="E96" s="2265" t="s">
        <v>544</v>
      </c>
      <c r="F96" s="2329">
        <f>'Приложение № 6'!E63+'Приложение № 6'!E66+'Приложение № 6'!E69</f>
        <v>133762.424</v>
      </c>
      <c r="G96" s="2329">
        <f>'Приложение № 6'!G63+'Приложение № 6'!G66+'Приложение № 6'!G69</f>
        <v>123665.72</v>
      </c>
      <c r="H96" s="2329">
        <f>'Приложение № 6'!I63+'Приложение № 6'!I66+'Приложение № 6'!I69</f>
        <v>126219.36999999997</v>
      </c>
      <c r="I96" s="2329">
        <f>'Приложение № 6'!K63+'Приложение № 6'!K66+'Приложение № 6'!K69</f>
        <v>126219.36999999997</v>
      </c>
      <c r="J96" s="2329">
        <f>'Приложение № 6'!M63+'Приложение № 6'!M66+'Приложение № 6'!M69</f>
        <v>126219.36999999997</v>
      </c>
      <c r="K96" s="2287"/>
      <c r="L96" s="2287"/>
      <c r="M96" s="2287"/>
    </row>
    <row r="97" spans="2:15" x14ac:dyDescent="0.2">
      <c r="B97" s="246"/>
      <c r="C97" s="2746"/>
      <c r="D97" s="250" t="s">
        <v>287</v>
      </c>
      <c r="E97" s="2265" t="s">
        <v>544</v>
      </c>
      <c r="F97" s="2329">
        <f>'Приложение № 3'!E16+'Приложение № 3'!E17</f>
        <v>791.8</v>
      </c>
      <c r="G97" s="2329">
        <f>'Приложение № 3'!G16+'Приложение № 3'!G17</f>
        <v>1696.1</v>
      </c>
      <c r="H97" s="2329">
        <f>'Приложение № 3'!H16+'Приложение № 3'!H17</f>
        <v>1600</v>
      </c>
      <c r="I97" s="2329">
        <f>'Приложение № 3'!I16+'Приложение № 3'!I17</f>
        <v>1760</v>
      </c>
      <c r="J97" s="2329">
        <f>'Приложение № 3'!J16+'Приложение № 3'!J17</f>
        <v>1920</v>
      </c>
      <c r="K97" s="2287"/>
      <c r="L97" s="2287"/>
      <c r="M97" s="2287"/>
      <c r="N97" s="1006"/>
    </row>
    <row r="98" spans="2:15" ht="20.25" customHeight="1" x14ac:dyDescent="0.2">
      <c r="B98" s="246"/>
      <c r="C98" s="2762" t="s">
        <v>335</v>
      </c>
      <c r="D98" s="2762"/>
      <c r="E98" s="2762"/>
      <c r="F98" s="2762"/>
      <c r="G98" s="2762"/>
      <c r="H98" s="2762"/>
      <c r="I98" s="2762"/>
      <c r="J98" s="2762"/>
      <c r="K98" s="1003"/>
      <c r="L98" s="1003"/>
      <c r="M98" s="1003"/>
      <c r="N98" s="1003"/>
    </row>
    <row r="99" spans="2:15" ht="42" customHeight="1" x14ac:dyDescent="0.2">
      <c r="B99" s="246"/>
      <c r="C99" s="2746" t="s">
        <v>289</v>
      </c>
      <c r="D99" s="253" t="s">
        <v>336</v>
      </c>
      <c r="E99" s="2693" t="s">
        <v>3</v>
      </c>
      <c r="F99" s="573">
        <v>98</v>
      </c>
      <c r="G99" s="573">
        <v>98</v>
      </c>
      <c r="H99" s="573">
        <v>98</v>
      </c>
      <c r="I99" s="573">
        <v>98</v>
      </c>
      <c r="J99" s="573">
        <v>98</v>
      </c>
      <c r="K99" s="1001"/>
      <c r="L99" s="1001"/>
      <c r="M99" s="1001"/>
      <c r="N99" s="1001"/>
    </row>
    <row r="100" spans="2:15" ht="90" customHeight="1" x14ac:dyDescent="0.2">
      <c r="B100" s="246"/>
      <c r="C100" s="2746"/>
      <c r="D100" s="253" t="s">
        <v>337</v>
      </c>
      <c r="E100" s="2693" t="s">
        <v>3</v>
      </c>
      <c r="F100" s="573">
        <v>12</v>
      </c>
      <c r="G100" s="573">
        <v>12</v>
      </c>
      <c r="H100" s="573">
        <v>13</v>
      </c>
      <c r="I100" s="573">
        <v>13</v>
      </c>
      <c r="J100" s="573">
        <v>13</v>
      </c>
      <c r="K100" s="1001"/>
      <c r="L100" s="1001"/>
      <c r="M100" s="1001"/>
      <c r="N100" s="1001"/>
    </row>
    <row r="101" spans="2:15" ht="55.5" customHeight="1" x14ac:dyDescent="0.2">
      <c r="B101" s="246"/>
      <c r="C101" s="2746" t="s">
        <v>313</v>
      </c>
      <c r="D101" s="247" t="s">
        <v>1594</v>
      </c>
      <c r="E101" s="2693" t="s">
        <v>1591</v>
      </c>
      <c r="F101" s="2331">
        <f>'ГосПрограмма (Индикаторы)'!F11</f>
        <v>672</v>
      </c>
      <c r="G101" s="2331">
        <f>'ГосПрограмма (Индикаторы)'!G11</f>
        <v>693</v>
      </c>
      <c r="H101" s="2331">
        <f>'ГосПрограмма (Индикаторы)'!H11</f>
        <v>700</v>
      </c>
      <c r="I101" s="2331">
        <f>'ГосПрограмма (Индикаторы)'!I11</f>
        <v>700</v>
      </c>
      <c r="J101" s="2331">
        <f>'ГосПрограмма (Индикаторы)'!J11</f>
        <v>700</v>
      </c>
      <c r="K101" s="1008" t="s">
        <v>1870</v>
      </c>
      <c r="L101" s="1008"/>
      <c r="M101" s="1008"/>
      <c r="N101" s="1008"/>
      <c r="O101" s="1101"/>
    </row>
    <row r="102" spans="2:15" ht="81" customHeight="1" x14ac:dyDescent="0.2">
      <c r="B102" s="246"/>
      <c r="C102" s="2746"/>
      <c r="D102" s="247" t="s">
        <v>1595</v>
      </c>
      <c r="E102" s="2693" t="s">
        <v>1591</v>
      </c>
      <c r="F102" s="2331">
        <f>'ГосПрограмма (Индикаторы)'!F12</f>
        <v>232</v>
      </c>
      <c r="G102" s="2331">
        <f>'ГосПрограмма (Индикаторы)'!G12</f>
        <v>235</v>
      </c>
      <c r="H102" s="2331">
        <f>'ГосПрограмма (Индикаторы)'!H12</f>
        <v>235</v>
      </c>
      <c r="I102" s="2331">
        <f>'ГосПрограмма (Индикаторы)'!I12</f>
        <v>235</v>
      </c>
      <c r="J102" s="2331">
        <f>'ГосПрограмма (Индикаторы)'!J12</f>
        <v>235</v>
      </c>
      <c r="K102" s="2289" t="s">
        <v>1870</v>
      </c>
      <c r="L102" s="2289"/>
      <c r="M102" s="2289"/>
      <c r="N102" s="1008"/>
      <c r="O102" s="1101"/>
    </row>
    <row r="103" spans="2:15" x14ac:dyDescent="0.2">
      <c r="B103" s="246"/>
      <c r="C103" s="2746"/>
      <c r="D103" s="249" t="s">
        <v>284</v>
      </c>
      <c r="E103" s="2265"/>
      <c r="F103" s="580"/>
      <c r="G103" s="580"/>
      <c r="H103" s="580"/>
      <c r="I103" s="580"/>
      <c r="J103" s="580"/>
      <c r="K103" s="1010"/>
      <c r="L103" s="1010"/>
      <c r="M103" s="1010"/>
      <c r="N103" s="1010"/>
    </row>
    <row r="104" spans="2:15" x14ac:dyDescent="0.2">
      <c r="B104" s="246"/>
      <c r="C104" s="2746"/>
      <c r="D104" s="250" t="s">
        <v>285</v>
      </c>
      <c r="E104" s="2265" t="s">
        <v>544</v>
      </c>
      <c r="F104" s="2329">
        <f t="shared" ref="F104:I104" si="14">F105+F107</f>
        <v>54970.796000000002</v>
      </c>
      <c r="G104" s="2329">
        <f t="shared" si="14"/>
        <v>53250.38</v>
      </c>
      <c r="H104" s="2329">
        <f t="shared" si="14"/>
        <v>51870.62999999999</v>
      </c>
      <c r="I104" s="2329">
        <f t="shared" si="14"/>
        <v>51870.62999999999</v>
      </c>
      <c r="J104" s="2329">
        <f t="shared" ref="J104" si="15">J105+J107</f>
        <v>51870.62999999999</v>
      </c>
      <c r="K104" s="2287"/>
      <c r="L104" s="2287"/>
      <c r="M104" s="2287"/>
      <c r="N104" s="1006"/>
    </row>
    <row r="105" spans="2:15" x14ac:dyDescent="0.2">
      <c r="B105" s="246"/>
      <c r="C105" s="2746"/>
      <c r="D105" s="250" t="s">
        <v>286</v>
      </c>
      <c r="E105" s="2265" t="s">
        <v>544</v>
      </c>
      <c r="F105" s="2329">
        <f>'Приложение № 6'!E72</f>
        <v>54970.796000000002</v>
      </c>
      <c r="G105" s="2329">
        <f>'Приложение № 6'!G72</f>
        <v>53250.38</v>
      </c>
      <c r="H105" s="2329">
        <f>'Приложение № 6'!I72</f>
        <v>51870.62999999999</v>
      </c>
      <c r="I105" s="2329">
        <f>'Приложение № 6'!K72</f>
        <v>51870.62999999999</v>
      </c>
      <c r="J105" s="2329">
        <f>'Приложение № 6'!M72</f>
        <v>51870.62999999999</v>
      </c>
      <c r="K105" s="2287"/>
      <c r="L105" s="2287"/>
      <c r="M105" s="2287"/>
    </row>
    <row r="106" spans="2:15" ht="46.5" customHeight="1" x14ac:dyDescent="0.2">
      <c r="B106" s="246"/>
      <c r="C106" s="2746"/>
      <c r="D106" s="250" t="s">
        <v>957</v>
      </c>
      <c r="E106" s="2265" t="s">
        <v>544</v>
      </c>
      <c r="F106" s="2329">
        <f>'Приложение № 6'!E75+'Приложение № 6'!E77</f>
        <v>54434.796000000002</v>
      </c>
      <c r="G106" s="2329">
        <f>'Приложение № 6'!G75+'Приложение № 6'!G77</f>
        <v>50212.38</v>
      </c>
      <c r="H106" s="2329">
        <f>'Приложение № 6'!I75+'Приложение № 6'!I77</f>
        <v>51870.62999999999</v>
      </c>
      <c r="I106" s="2329">
        <f>'Приложение № 6'!K75+'Приложение № 6'!K77</f>
        <v>51870.62999999999</v>
      </c>
      <c r="J106" s="2329">
        <f>'Приложение № 6'!M75+'Приложение № 6'!M77</f>
        <v>51870.62999999999</v>
      </c>
      <c r="K106" s="2287"/>
      <c r="L106" s="2287"/>
      <c r="M106" s="2287"/>
    </row>
    <row r="107" spans="2:15" x14ac:dyDescent="0.2">
      <c r="B107" s="246"/>
      <c r="C107" s="2746"/>
      <c r="D107" s="250" t="s">
        <v>287</v>
      </c>
      <c r="E107" s="2265" t="s">
        <v>544</v>
      </c>
      <c r="F107" s="2329">
        <v>0</v>
      </c>
      <c r="G107" s="2329">
        <v>0</v>
      </c>
      <c r="H107" s="2329">
        <v>0</v>
      </c>
      <c r="I107" s="2329">
        <v>0</v>
      </c>
      <c r="J107" s="2329">
        <v>0</v>
      </c>
      <c r="K107" s="2287"/>
      <c r="L107" s="2287"/>
      <c r="M107" s="2287"/>
      <c r="N107" s="1006"/>
    </row>
    <row r="108" spans="2:15" ht="20.25" customHeight="1" x14ac:dyDescent="0.2">
      <c r="B108" s="246"/>
      <c r="C108" s="2762" t="s">
        <v>341</v>
      </c>
      <c r="D108" s="2762"/>
      <c r="E108" s="2762"/>
      <c r="F108" s="2762"/>
      <c r="G108" s="2762"/>
      <c r="H108" s="2762"/>
      <c r="I108" s="2762"/>
      <c r="J108" s="2762"/>
      <c r="K108" s="1003"/>
      <c r="L108" s="1003"/>
      <c r="M108" s="1003"/>
      <c r="N108" s="1003"/>
    </row>
    <row r="109" spans="2:15" ht="20.25" customHeight="1" x14ac:dyDescent="0.2">
      <c r="B109" s="246"/>
      <c r="C109" s="247" t="s">
        <v>289</v>
      </c>
      <c r="D109" s="247" t="s">
        <v>342</v>
      </c>
      <c r="E109" s="2693" t="s">
        <v>555</v>
      </c>
      <c r="F109" s="571">
        <v>3</v>
      </c>
      <c r="G109" s="571">
        <v>3</v>
      </c>
      <c r="H109" s="571">
        <v>3</v>
      </c>
      <c r="I109" s="571">
        <v>3</v>
      </c>
      <c r="J109" s="571">
        <v>3</v>
      </c>
      <c r="K109" s="586"/>
      <c r="L109" s="586"/>
      <c r="M109" s="586"/>
      <c r="N109" s="586"/>
    </row>
    <row r="110" spans="2:15" ht="40.5" customHeight="1" x14ac:dyDescent="0.2">
      <c r="B110" s="246"/>
      <c r="C110" s="247"/>
      <c r="D110" s="247" t="s">
        <v>343</v>
      </c>
      <c r="E110" s="2693" t="s">
        <v>555</v>
      </c>
      <c r="F110" s="571">
        <v>23</v>
      </c>
      <c r="G110" s="571">
        <v>23</v>
      </c>
      <c r="H110" s="571">
        <v>23</v>
      </c>
      <c r="I110" s="571">
        <v>23</v>
      </c>
      <c r="J110" s="571">
        <v>23</v>
      </c>
      <c r="K110" s="586"/>
      <c r="L110" s="586"/>
      <c r="M110" s="586"/>
      <c r="N110" s="586"/>
    </row>
    <row r="111" spans="2:15" ht="40.5" customHeight="1" x14ac:dyDescent="0.2">
      <c r="B111" s="246"/>
      <c r="C111" s="247"/>
      <c r="D111" s="247" t="s">
        <v>344</v>
      </c>
      <c r="E111" s="2693" t="s">
        <v>339</v>
      </c>
      <c r="F111" s="571">
        <v>31</v>
      </c>
      <c r="G111" s="571">
        <v>31</v>
      </c>
      <c r="H111" s="571">
        <v>31</v>
      </c>
      <c r="I111" s="571">
        <v>31</v>
      </c>
      <c r="J111" s="571">
        <v>31</v>
      </c>
      <c r="K111" s="586"/>
      <c r="L111" s="586"/>
      <c r="M111" s="586"/>
      <c r="N111" s="586"/>
    </row>
    <row r="112" spans="2:15" x14ac:dyDescent="0.2">
      <c r="B112" s="246"/>
      <c r="C112" s="2746" t="s">
        <v>313</v>
      </c>
      <c r="D112" s="247" t="s">
        <v>345</v>
      </c>
      <c r="E112" s="2693" t="s">
        <v>555</v>
      </c>
      <c r="F112" s="571">
        <f>Лист5!E166</f>
        <v>62</v>
      </c>
      <c r="G112" s="571">
        <f>Лист5!F166</f>
        <v>63</v>
      </c>
      <c r="H112" s="571">
        <f>Лист5!G166</f>
        <v>63</v>
      </c>
      <c r="I112" s="571">
        <f>Лист5!H166</f>
        <v>65</v>
      </c>
      <c r="J112" s="571">
        <v>65</v>
      </c>
      <c r="K112" s="586"/>
      <c r="L112" s="586"/>
      <c r="M112" s="586"/>
      <c r="N112" s="586"/>
      <c r="O112" s="1101"/>
    </row>
    <row r="113" spans="2:17" x14ac:dyDescent="0.2">
      <c r="B113" s="246"/>
      <c r="C113" s="2746"/>
      <c r="D113" s="247" t="s">
        <v>346</v>
      </c>
      <c r="E113" s="2693" t="s">
        <v>555</v>
      </c>
      <c r="F113" s="571">
        <f>Лист5!E167</f>
        <v>15</v>
      </c>
      <c r="G113" s="571">
        <f>Лист5!F167</f>
        <v>16</v>
      </c>
      <c r="H113" s="571">
        <f>Лист5!G167</f>
        <v>16</v>
      </c>
      <c r="I113" s="571">
        <f>Лист5!H167</f>
        <v>15</v>
      </c>
      <c r="J113" s="571">
        <v>15</v>
      </c>
      <c r="K113" s="586"/>
      <c r="L113" s="586"/>
      <c r="M113" s="586"/>
      <c r="N113" s="586"/>
      <c r="O113" s="1101"/>
    </row>
    <row r="114" spans="2:17" ht="21" thickBot="1" x14ac:dyDescent="0.25">
      <c r="B114" s="246"/>
      <c r="C114" s="2746"/>
      <c r="D114" s="247" t="s">
        <v>347</v>
      </c>
      <c r="E114" s="2693" t="s">
        <v>348</v>
      </c>
      <c r="F114" s="573">
        <f>Лист5!E168</f>
        <v>32</v>
      </c>
      <c r="G114" s="573">
        <f>Лист5!F168</f>
        <v>33</v>
      </c>
      <c r="H114" s="573">
        <f>Лист5!G168</f>
        <v>33</v>
      </c>
      <c r="I114" s="573">
        <f>Лист5!H168</f>
        <v>35</v>
      </c>
      <c r="J114" s="573">
        <v>35</v>
      </c>
      <c r="K114" s="1001"/>
      <c r="L114" s="1001"/>
      <c r="M114" s="1001"/>
      <c r="N114" s="1001"/>
      <c r="O114" s="1101"/>
    </row>
    <row r="115" spans="2:17" ht="41" thickBot="1" x14ac:dyDescent="0.25">
      <c r="B115" s="246"/>
      <c r="C115" s="2746"/>
      <c r="D115" s="247" t="s">
        <v>349</v>
      </c>
      <c r="E115" s="2693" t="s">
        <v>348</v>
      </c>
      <c r="F115" s="573">
        <f>Лист5!E169</f>
        <v>24</v>
      </c>
      <c r="G115" s="573">
        <f>Лист5!F169</f>
        <v>25</v>
      </c>
      <c r="H115" s="573">
        <f>Лист5!G169</f>
        <v>25</v>
      </c>
      <c r="I115" s="573">
        <f>Лист5!H169</f>
        <v>27</v>
      </c>
      <c r="J115" s="573">
        <v>27</v>
      </c>
      <c r="K115" s="1001"/>
      <c r="L115" s="1001"/>
      <c r="M115" s="1001"/>
      <c r="N115" s="1001"/>
      <c r="O115" s="1101"/>
      <c r="P115" s="2311"/>
    </row>
    <row r="116" spans="2:17" ht="41" thickBot="1" x14ac:dyDescent="0.25">
      <c r="B116" s="246"/>
      <c r="C116" s="2746"/>
      <c r="D116" s="247" t="s">
        <v>350</v>
      </c>
      <c r="E116" s="2693" t="s">
        <v>348</v>
      </c>
      <c r="F116" s="573">
        <f>Лист5!E170</f>
        <v>8</v>
      </c>
      <c r="G116" s="573">
        <f>Лист5!F170</f>
        <v>8</v>
      </c>
      <c r="H116" s="573">
        <f>Лист5!G170</f>
        <v>8</v>
      </c>
      <c r="I116" s="573">
        <f>Лист5!H170</f>
        <v>8</v>
      </c>
      <c r="J116" s="573">
        <v>8</v>
      </c>
      <c r="K116" s="1001"/>
      <c r="L116" s="1001"/>
      <c r="M116" s="1001"/>
      <c r="N116" s="1001"/>
      <c r="O116" s="1101"/>
      <c r="P116" s="2312"/>
    </row>
    <row r="117" spans="2:17" x14ac:dyDescent="0.2">
      <c r="B117" s="246"/>
      <c r="C117" s="2746"/>
      <c r="D117" s="249" t="s">
        <v>284</v>
      </c>
      <c r="E117" s="2265"/>
      <c r="F117" s="576"/>
      <c r="G117" s="576"/>
      <c r="H117" s="576"/>
      <c r="I117" s="576"/>
      <c r="J117" s="576"/>
      <c r="K117" s="1011"/>
      <c r="L117" s="1011"/>
      <c r="M117" s="1011"/>
      <c r="N117" s="1011"/>
      <c r="P117" s="997"/>
    </row>
    <row r="118" spans="2:17" x14ac:dyDescent="0.2">
      <c r="B118" s="246"/>
      <c r="C118" s="2746"/>
      <c r="D118" s="250" t="s">
        <v>285</v>
      </c>
      <c r="E118" s="2265" t="s">
        <v>544</v>
      </c>
      <c r="F118" s="2329">
        <f t="shared" ref="F118:I118" si="16">F119+F121</f>
        <v>26163.840000000004</v>
      </c>
      <c r="G118" s="2329">
        <f t="shared" si="16"/>
        <v>13616.760000000002</v>
      </c>
      <c r="H118" s="2329">
        <f t="shared" si="16"/>
        <v>11353.82</v>
      </c>
      <c r="I118" s="2329">
        <f t="shared" si="16"/>
        <v>11353.82</v>
      </c>
      <c r="J118" s="2329">
        <f t="shared" ref="J118" si="17">J119+J121</f>
        <v>11353.82</v>
      </c>
      <c r="K118" s="2287"/>
      <c r="L118" s="2287"/>
      <c r="M118" s="2287"/>
      <c r="N118" s="1006"/>
      <c r="P118" s="997"/>
    </row>
    <row r="119" spans="2:17" x14ac:dyDescent="0.2">
      <c r="B119" s="246"/>
      <c r="C119" s="2746"/>
      <c r="D119" s="250" t="s">
        <v>286</v>
      </c>
      <c r="E119" s="2265" t="s">
        <v>544</v>
      </c>
      <c r="F119" s="2329">
        <f>'Приложение № 6'!E79</f>
        <v>26163.840000000004</v>
      </c>
      <c r="G119" s="2329">
        <f>'Приложение № 6'!G79</f>
        <v>13616.760000000002</v>
      </c>
      <c r="H119" s="2329">
        <f>'Приложение № 6'!I79</f>
        <v>11353.82</v>
      </c>
      <c r="I119" s="2329">
        <f>'Приложение № 6'!K79</f>
        <v>11353.82</v>
      </c>
      <c r="J119" s="2329">
        <f>'Приложение № 6'!M79</f>
        <v>11353.82</v>
      </c>
      <c r="K119" s="2287"/>
      <c r="L119" s="2287"/>
      <c r="M119" s="2287"/>
    </row>
    <row r="120" spans="2:17" ht="48" customHeight="1" x14ac:dyDescent="0.2">
      <c r="B120" s="246"/>
      <c r="C120" s="2746"/>
      <c r="D120" s="250" t="s">
        <v>957</v>
      </c>
      <c r="E120" s="2265" t="s">
        <v>544</v>
      </c>
      <c r="F120" s="2329">
        <f>'Приложение № 6'!E82+'Приложение № 6'!E84</f>
        <v>10678.440000000002</v>
      </c>
      <c r="G120" s="2329">
        <f>'Приложение № 6'!G82+'Приложение № 6'!G84</f>
        <v>12665.760000000002</v>
      </c>
      <c r="H120" s="2329">
        <f>'Приложение № 6'!I82+'Приложение № 6'!I84</f>
        <v>10273.92</v>
      </c>
      <c r="I120" s="2329">
        <f>'Приложение № 6'!K82+'Приложение № 6'!K84</f>
        <v>10273.92</v>
      </c>
      <c r="J120" s="2329">
        <f>'Приложение № 6'!M82+'Приложение № 6'!M84</f>
        <v>10273.92</v>
      </c>
      <c r="K120" s="2287"/>
      <c r="L120" s="2287"/>
      <c r="M120" s="2287"/>
    </row>
    <row r="121" spans="2:17" x14ac:dyDescent="0.2">
      <c r="B121" s="246"/>
      <c r="C121" s="2746"/>
      <c r="D121" s="250" t="s">
        <v>287</v>
      </c>
      <c r="E121" s="2265" t="s">
        <v>544</v>
      </c>
      <c r="F121" s="2329">
        <v>0</v>
      </c>
      <c r="G121" s="2329">
        <f>'Приложение № 3'!I22*0.2</f>
        <v>0</v>
      </c>
      <c r="H121" s="2329">
        <f>'Приложение № 3'!J22*0.2</f>
        <v>0</v>
      </c>
      <c r="I121" s="2329">
        <f>'Приложение № 3'!K22*0.2</f>
        <v>0</v>
      </c>
      <c r="J121" s="2329">
        <f>'Приложение № 3'!L22*0.2</f>
        <v>0</v>
      </c>
      <c r="K121" s="2287"/>
      <c r="L121" s="2287"/>
      <c r="M121" s="2287"/>
      <c r="N121" s="1006"/>
    </row>
    <row r="122" spans="2:17" x14ac:dyDescent="0.2">
      <c r="B122" s="246"/>
      <c r="C122" s="2749" t="s">
        <v>575</v>
      </c>
      <c r="D122" s="2749"/>
      <c r="E122" s="2749"/>
      <c r="F122" s="2749"/>
      <c r="G122" s="2749"/>
      <c r="H122" s="2749"/>
      <c r="I122" s="2749"/>
      <c r="J122" s="2749"/>
      <c r="K122" s="577"/>
      <c r="L122" s="577"/>
      <c r="M122" s="577"/>
      <c r="N122" s="1001"/>
    </row>
    <row r="123" spans="2:17" x14ac:dyDescent="0.2">
      <c r="B123" s="246"/>
      <c r="C123" s="2750" t="s">
        <v>285</v>
      </c>
      <c r="D123" s="2750"/>
      <c r="E123" s="2265" t="s">
        <v>544</v>
      </c>
      <c r="F123" s="576">
        <f t="shared" ref="F123:J126" si="18">F22+F38+F50+F58+F67+F78+F94+F104+F118</f>
        <v>1420910.5470500004</v>
      </c>
      <c r="G123" s="576">
        <f t="shared" si="18"/>
        <v>1248272.6950000001</v>
      </c>
      <c r="H123" s="576">
        <f t="shared" si="18"/>
        <v>1133994.3</v>
      </c>
      <c r="I123" s="576">
        <f t="shared" si="18"/>
        <v>1064958.6000000001</v>
      </c>
      <c r="J123" s="576">
        <f t="shared" si="18"/>
        <v>1069434.6300000001</v>
      </c>
      <c r="K123" s="2290"/>
      <c r="L123" s="2290"/>
      <c r="M123" s="2290"/>
      <c r="N123" s="1011"/>
    </row>
    <row r="124" spans="2:17" x14ac:dyDescent="0.2">
      <c r="B124" s="246"/>
      <c r="C124" s="2750" t="s">
        <v>286</v>
      </c>
      <c r="D124" s="2750"/>
      <c r="E124" s="2265" t="s">
        <v>544</v>
      </c>
      <c r="F124" s="576">
        <f t="shared" si="18"/>
        <v>1385174.7470500001</v>
      </c>
      <c r="G124" s="576">
        <f t="shared" si="18"/>
        <v>1197617.3</v>
      </c>
      <c r="H124" s="576">
        <f t="shared" si="18"/>
        <v>1090908.3</v>
      </c>
      <c r="I124" s="576">
        <f t="shared" si="18"/>
        <v>1017803.3</v>
      </c>
      <c r="J124" s="576">
        <f t="shared" si="18"/>
        <v>1017803.3</v>
      </c>
      <c r="K124" s="2736"/>
      <c r="L124" s="2286"/>
      <c r="M124" s="2286"/>
      <c r="N124" s="576"/>
      <c r="O124" s="2269" t="s">
        <v>922</v>
      </c>
      <c r="P124" s="2739" t="s">
        <v>969</v>
      </c>
      <c r="Q124" s="2739"/>
    </row>
    <row r="125" spans="2:17" ht="50.25" customHeight="1" x14ac:dyDescent="0.2">
      <c r="B125" s="246"/>
      <c r="C125" s="2740" t="s">
        <v>956</v>
      </c>
      <c r="D125" s="2740"/>
      <c r="E125" s="2265" t="s">
        <v>544</v>
      </c>
      <c r="F125" s="576">
        <f t="shared" si="18"/>
        <v>968200.61705</v>
      </c>
      <c r="G125" s="576">
        <f t="shared" si="18"/>
        <v>951379.53600000008</v>
      </c>
      <c r="H125" s="576">
        <f t="shared" si="18"/>
        <v>1013183.5000000001</v>
      </c>
      <c r="I125" s="576">
        <f t="shared" si="18"/>
        <v>1013183.5000000001</v>
      </c>
      <c r="J125" s="576">
        <f t="shared" si="18"/>
        <v>1013183.5000000001</v>
      </c>
      <c r="K125" s="2290"/>
      <c r="L125" s="2290"/>
      <c r="M125" s="2290"/>
      <c r="N125" s="1012"/>
      <c r="P125" s="997"/>
    </row>
    <row r="126" spans="2:17" x14ac:dyDescent="0.2">
      <c r="B126" s="246"/>
      <c r="C126" s="2740" t="s">
        <v>287</v>
      </c>
      <c r="D126" s="2740"/>
      <c r="E126" s="2265" t="s">
        <v>544</v>
      </c>
      <c r="F126" s="576">
        <f t="shared" si="18"/>
        <v>35735.800000000003</v>
      </c>
      <c r="G126" s="576">
        <f t="shared" si="18"/>
        <v>50655.39499999999</v>
      </c>
      <c r="H126" s="576">
        <f t="shared" si="18"/>
        <v>43086.000000000007</v>
      </c>
      <c r="I126" s="576">
        <f t="shared" si="18"/>
        <v>47155.3</v>
      </c>
      <c r="J126" s="576">
        <f t="shared" si="18"/>
        <v>51631.330000000009</v>
      </c>
      <c r="K126" s="2290"/>
      <c r="L126" s="2290"/>
      <c r="M126" s="2290"/>
      <c r="N126" s="1012"/>
    </row>
    <row r="127" spans="2:17" ht="12.75" customHeight="1" x14ac:dyDescent="0.2">
      <c r="E127" s="590"/>
      <c r="F127" s="2728"/>
      <c r="G127" s="2728"/>
      <c r="H127" s="2729"/>
      <c r="I127" s="2729"/>
      <c r="J127" s="2729"/>
      <c r="K127" s="584"/>
      <c r="L127" s="584"/>
      <c r="M127" s="584"/>
      <c r="N127" s="584"/>
      <c r="P127" s="265"/>
    </row>
    <row r="128" spans="2:17" ht="23.25" customHeight="1" x14ac:dyDescent="0.2">
      <c r="E128" s="590"/>
      <c r="F128" s="2730"/>
      <c r="G128" s="2730"/>
      <c r="H128" s="2730"/>
      <c r="I128" s="2730"/>
      <c r="J128" s="2730"/>
      <c r="K128" s="2285"/>
      <c r="L128" s="2285"/>
      <c r="M128" s="2285"/>
      <c r="N128" s="235"/>
      <c r="O128" s="235"/>
      <c r="P128" s="265"/>
    </row>
    <row r="129" spans="3:17" ht="29.25" customHeight="1" x14ac:dyDescent="0.2">
      <c r="E129" s="590"/>
      <c r="F129" s="2731"/>
      <c r="G129" s="2731"/>
      <c r="H129" s="2732"/>
      <c r="I129" s="2732"/>
      <c r="J129" s="2732"/>
      <c r="K129" s="584"/>
      <c r="L129" s="584"/>
      <c r="M129" s="584"/>
      <c r="N129" s="584"/>
      <c r="P129" s="265"/>
    </row>
    <row r="130" spans="3:17" x14ac:dyDescent="0.2">
      <c r="D130" s="2741" t="s">
        <v>867</v>
      </c>
      <c r="E130" s="2741"/>
      <c r="F130" s="2741"/>
      <c r="G130" s="581"/>
      <c r="H130" s="585"/>
      <c r="I130" s="586"/>
      <c r="J130" s="586"/>
      <c r="K130" s="586"/>
      <c r="L130" s="586"/>
      <c r="M130" s="586"/>
      <c r="N130" s="586"/>
      <c r="O130" s="237"/>
      <c r="P130" s="237"/>
      <c r="Q130" s="237"/>
    </row>
    <row r="131" spans="3:17" s="2309" customFormat="1" ht="47.25" customHeight="1" x14ac:dyDescent="0.2">
      <c r="C131" s="2744" t="s">
        <v>1632</v>
      </c>
      <c r="D131" s="2744"/>
      <c r="E131" s="2744"/>
      <c r="F131" s="2744"/>
      <c r="G131" s="2744"/>
      <c r="H131" s="2744"/>
      <c r="I131" s="2729"/>
      <c r="J131" s="2729"/>
      <c r="K131" s="1163"/>
      <c r="L131" s="1163"/>
      <c r="M131" s="1163"/>
      <c r="N131" s="1163"/>
      <c r="O131" s="1163"/>
      <c r="P131" s="2310"/>
    </row>
    <row r="132" spans="3:17" s="2309" customFormat="1" ht="47.25" customHeight="1" x14ac:dyDescent="0.2">
      <c r="C132" s="2743" t="s">
        <v>1772</v>
      </c>
      <c r="D132" s="2743"/>
      <c r="E132" s="2743"/>
      <c r="F132" s="2743"/>
      <c r="G132" s="2743"/>
      <c r="H132" s="2743"/>
      <c r="I132" s="586"/>
      <c r="J132" s="586"/>
      <c r="K132" s="1163"/>
      <c r="L132" s="1163"/>
      <c r="M132" s="1163"/>
      <c r="N132" s="1163"/>
      <c r="O132" s="1163"/>
      <c r="P132" s="2310"/>
    </row>
    <row r="133" spans="3:17" s="2309" customFormat="1" ht="55.5" customHeight="1" x14ac:dyDescent="0.2">
      <c r="C133" s="2744" t="s">
        <v>1873</v>
      </c>
      <c r="D133" s="2744"/>
      <c r="E133" s="2744"/>
      <c r="F133" s="2744"/>
      <c r="G133" s="2744"/>
      <c r="H133" s="2744"/>
      <c r="I133" s="2729"/>
      <c r="J133" s="2729"/>
      <c r="K133" s="1162"/>
      <c r="L133" s="1162"/>
      <c r="M133" s="1162"/>
      <c r="N133" s="1162"/>
    </row>
    <row r="134" spans="3:17" ht="53.25" customHeight="1" x14ac:dyDescent="0.2">
      <c r="C134" s="2744" t="s">
        <v>1631</v>
      </c>
      <c r="D134" s="2744"/>
      <c r="E134" s="2744"/>
      <c r="F134" s="2744"/>
      <c r="G134" s="2744"/>
      <c r="H134" s="2744"/>
      <c r="I134" s="2729"/>
      <c r="J134" s="2729"/>
      <c r="P134" s="236"/>
    </row>
    <row r="135" spans="3:17" x14ac:dyDescent="0.2">
      <c r="C135" s="2263"/>
      <c r="D135" s="2745" t="s">
        <v>866</v>
      </c>
      <c r="E135" s="2745"/>
      <c r="F135" s="2745"/>
      <c r="I135" s="2726"/>
      <c r="J135" s="2726"/>
    </row>
    <row r="136" spans="3:17" s="236" customFormat="1" x14ac:dyDescent="0.2">
      <c r="C136" s="2742" t="s">
        <v>1634</v>
      </c>
      <c r="D136" s="2742"/>
      <c r="E136" s="2742"/>
      <c r="F136" s="2742"/>
      <c r="G136" s="2742"/>
      <c r="H136" s="2742"/>
      <c r="I136" s="2733"/>
      <c r="J136" s="2733"/>
      <c r="K136" s="2313"/>
      <c r="L136" s="2313"/>
      <c r="M136" s="2313"/>
      <c r="N136" s="2313"/>
    </row>
    <row r="137" spans="3:17" s="236" customFormat="1" ht="60.75" customHeight="1" x14ac:dyDescent="0.2">
      <c r="C137" s="2742" t="s">
        <v>1635</v>
      </c>
      <c r="D137" s="2742"/>
      <c r="E137" s="2742"/>
      <c r="F137" s="2742"/>
      <c r="G137" s="2742"/>
      <c r="H137" s="2742"/>
      <c r="I137" s="2733"/>
      <c r="J137" s="2733"/>
      <c r="K137" s="2313"/>
      <c r="L137" s="2313"/>
      <c r="M137" s="2313"/>
      <c r="N137" s="2313"/>
    </row>
    <row r="138" spans="3:17" s="236" customFormat="1" ht="48.75" customHeight="1" x14ac:dyDescent="0.2">
      <c r="C138" s="2742" t="s">
        <v>1874</v>
      </c>
      <c r="D138" s="2742"/>
      <c r="E138" s="2742"/>
      <c r="F138" s="2742"/>
      <c r="G138" s="2742"/>
      <c r="H138" s="2742"/>
      <c r="I138" s="2733"/>
      <c r="J138" s="2733"/>
      <c r="K138" s="2313"/>
      <c r="L138" s="2313"/>
      <c r="M138" s="2313"/>
      <c r="N138" s="2313"/>
    </row>
    <row r="139" spans="3:17" ht="9.75" customHeight="1" x14ac:dyDescent="0.2">
      <c r="I139" s="2726"/>
      <c r="J139" s="2726"/>
    </row>
    <row r="140" spans="3:17" x14ac:dyDescent="0.2">
      <c r="I140" s="2726"/>
      <c r="J140" s="2726"/>
    </row>
    <row r="141" spans="3:17" x14ac:dyDescent="0.2">
      <c r="I141" s="2726"/>
      <c r="J141" s="2726"/>
    </row>
    <row r="142" spans="3:17" x14ac:dyDescent="0.2">
      <c r="F142" s="2725" t="s">
        <v>961</v>
      </c>
      <c r="I142" s="2726"/>
      <c r="J142" s="2726"/>
    </row>
    <row r="143" spans="3:17" x14ac:dyDescent="0.2">
      <c r="I143" s="2726"/>
      <c r="J143" s="2726"/>
    </row>
    <row r="144" spans="3:17" x14ac:dyDescent="0.2">
      <c r="I144" s="2726"/>
      <c r="J144" s="2726"/>
    </row>
    <row r="145" spans="9:10" x14ac:dyDescent="0.2">
      <c r="I145" s="2726"/>
      <c r="J145" s="2726"/>
    </row>
    <row r="146" spans="9:10" x14ac:dyDescent="0.2">
      <c r="I146" s="2726"/>
      <c r="J146" s="2726"/>
    </row>
    <row r="147" spans="9:10" x14ac:dyDescent="0.2">
      <c r="I147" s="2726"/>
      <c r="J147" s="2726"/>
    </row>
    <row r="148" spans="9:10" x14ac:dyDescent="0.2">
      <c r="I148" s="2726"/>
      <c r="J148" s="2726"/>
    </row>
    <row r="149" spans="9:10" x14ac:dyDescent="0.2">
      <c r="I149" s="2726"/>
      <c r="J149" s="2726"/>
    </row>
    <row r="150" spans="9:10" x14ac:dyDescent="0.2">
      <c r="I150" s="2726"/>
      <c r="J150" s="2726"/>
    </row>
    <row r="151" spans="9:10" x14ac:dyDescent="0.2">
      <c r="I151" s="2726"/>
      <c r="J151" s="2726"/>
    </row>
    <row r="152" spans="9:10" x14ac:dyDescent="0.2">
      <c r="I152" s="2726"/>
      <c r="J152" s="2726"/>
    </row>
    <row r="153" spans="9:10" x14ac:dyDescent="0.2">
      <c r="I153" s="2726"/>
      <c r="J153" s="2726"/>
    </row>
    <row r="154" spans="9:10" x14ac:dyDescent="0.2">
      <c r="I154" s="2726"/>
      <c r="J154" s="2726"/>
    </row>
    <row r="155" spans="9:10" x14ac:dyDescent="0.2">
      <c r="I155" s="2726"/>
      <c r="J155" s="2726"/>
    </row>
    <row r="156" spans="9:10" x14ac:dyDescent="0.2">
      <c r="I156" s="2726"/>
      <c r="J156" s="2726"/>
    </row>
    <row r="157" spans="9:10" x14ac:dyDescent="0.2">
      <c r="I157" s="2726"/>
      <c r="J157" s="2726"/>
    </row>
    <row r="158" spans="9:10" x14ac:dyDescent="0.2">
      <c r="I158" s="2726"/>
      <c r="J158" s="2726"/>
    </row>
    <row r="159" spans="9:10" x14ac:dyDescent="0.2">
      <c r="I159" s="2726"/>
      <c r="J159" s="2726"/>
    </row>
    <row r="160" spans="9:10" x14ac:dyDescent="0.2">
      <c r="I160" s="2726"/>
      <c r="J160" s="2726"/>
    </row>
    <row r="161" spans="9:10" x14ac:dyDescent="0.2">
      <c r="I161" s="2726"/>
      <c r="J161" s="2726"/>
    </row>
    <row r="162" spans="9:10" x14ac:dyDescent="0.2">
      <c r="I162" s="2726"/>
      <c r="J162" s="2726"/>
    </row>
    <row r="163" spans="9:10" x14ac:dyDescent="0.2">
      <c r="I163" s="2726"/>
      <c r="J163" s="2726"/>
    </row>
    <row r="164" spans="9:10" x14ac:dyDescent="0.2">
      <c r="I164" s="2726"/>
      <c r="J164" s="2726"/>
    </row>
    <row r="165" spans="9:10" x14ac:dyDescent="0.2">
      <c r="I165" s="2726"/>
      <c r="J165" s="2726"/>
    </row>
    <row r="166" spans="9:10" x14ac:dyDescent="0.2">
      <c r="I166" s="2726"/>
      <c r="J166" s="2726"/>
    </row>
    <row r="167" spans="9:10" x14ac:dyDescent="0.2">
      <c r="I167" s="2734"/>
      <c r="J167" s="2734"/>
    </row>
  </sheetData>
  <mergeCells count="58">
    <mergeCell ref="C93:C97"/>
    <mergeCell ref="C103:C107"/>
    <mergeCell ref="C117:C121"/>
    <mergeCell ref="C125:D125"/>
    <mergeCell ref="C72:C74"/>
    <mergeCell ref="C75:C76"/>
    <mergeCell ref="C98:J98"/>
    <mergeCell ref="C77:C81"/>
    <mergeCell ref="C88:C92"/>
    <mergeCell ref="P124:Q124"/>
    <mergeCell ref="D130:F130"/>
    <mergeCell ref="C99:C100"/>
    <mergeCell ref="C101:C102"/>
    <mergeCell ref="C112:C116"/>
    <mergeCell ref="C126:D126"/>
    <mergeCell ref="C124:D124"/>
    <mergeCell ref="C123:D123"/>
    <mergeCell ref="C138:H138"/>
    <mergeCell ref="C137:H137"/>
    <mergeCell ref="C136:H136"/>
    <mergeCell ref="D135:F135"/>
    <mergeCell ref="C108:J108"/>
    <mergeCell ref="C122:J122"/>
    <mergeCell ref="C134:H134"/>
    <mergeCell ref="C133:H133"/>
    <mergeCell ref="C132:H132"/>
    <mergeCell ref="C131:H131"/>
    <mergeCell ref="G10:G11"/>
    <mergeCell ref="H10:J10"/>
    <mergeCell ref="C13:J13"/>
    <mergeCell ref="C12:J12"/>
    <mergeCell ref="C84:C87"/>
    <mergeCell ref="C27:C35"/>
    <mergeCell ref="C10:C11"/>
    <mergeCell ref="D10:D11"/>
    <mergeCell ref="E10:E11"/>
    <mergeCell ref="F10:F11"/>
    <mergeCell ref="C14:C15"/>
    <mergeCell ref="C16:C20"/>
    <mergeCell ref="C21:C25"/>
    <mergeCell ref="C37:C41"/>
    <mergeCell ref="C54:J54"/>
    <mergeCell ref="C8:J8"/>
    <mergeCell ref="I2:J2"/>
    <mergeCell ref="C83:J83"/>
    <mergeCell ref="C82:J82"/>
    <mergeCell ref="C71:J71"/>
    <mergeCell ref="C62:J62"/>
    <mergeCell ref="F3:J5"/>
    <mergeCell ref="C49:C53"/>
    <mergeCell ref="C57:C61"/>
    <mergeCell ref="C66:C70"/>
    <mergeCell ref="C63:C64"/>
    <mergeCell ref="C44:C45"/>
    <mergeCell ref="C46:C48"/>
    <mergeCell ref="C26:J26"/>
    <mergeCell ref="C43:J43"/>
    <mergeCell ref="C42:J42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56" orientation="landscape" r:id="rId1"/>
  <rowBreaks count="5" manualBreakCount="5">
    <brk id="29" min="1" max="10" man="1"/>
    <brk id="48" min="1" max="10" man="1"/>
    <brk id="73" min="1" max="10" man="1"/>
    <brk id="97" min="1" max="10" man="1"/>
    <brk id="121" min="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I99"/>
  <sheetViews>
    <sheetView workbookViewId="0">
      <selection activeCell="B91" sqref="B91"/>
    </sheetView>
  </sheetViews>
  <sheetFormatPr baseColWidth="10" defaultColWidth="8.83203125" defaultRowHeight="16" x14ac:dyDescent="0.2"/>
  <cols>
    <col min="1" max="1" width="8.83203125" style="610"/>
    <col min="2" max="2" width="60.33203125" style="610" customWidth="1"/>
    <col min="3" max="5" width="8.83203125" style="610"/>
    <col min="6" max="6" width="12.33203125" style="610" customWidth="1"/>
    <col min="7" max="8" width="8.83203125" style="610"/>
    <col min="9" max="9" width="12.33203125" style="610" customWidth="1"/>
    <col min="10" max="16384" width="8.83203125" style="610"/>
  </cols>
  <sheetData>
    <row r="2" spans="2:9" ht="17" thickBot="1" x14ac:dyDescent="0.25">
      <c r="B2" s="2346" t="s">
        <v>265</v>
      </c>
      <c r="C2" s="1174">
        <v>56</v>
      </c>
      <c r="D2" s="2346"/>
      <c r="E2" s="2346"/>
      <c r="F2" s="2346"/>
      <c r="G2" s="2346"/>
      <c r="H2" s="2347">
        <v>44904.271999999997</v>
      </c>
      <c r="I2" s="2359">
        <v>1507206.0919999999</v>
      </c>
    </row>
    <row r="3" spans="2:9" x14ac:dyDescent="0.2">
      <c r="B3" s="2346" t="s">
        <v>1539</v>
      </c>
      <c r="C3" s="1174">
        <v>56</v>
      </c>
      <c r="D3" s="1174">
        <v>1</v>
      </c>
      <c r="E3" s="2346"/>
      <c r="F3" s="2346"/>
      <c r="G3" s="2346"/>
      <c r="H3" s="2358">
        <v>0</v>
      </c>
      <c r="I3" s="2361">
        <v>1453</v>
      </c>
    </row>
    <row r="4" spans="2:9" ht="17" thickBot="1" x14ac:dyDescent="0.25">
      <c r="B4" s="2346" t="s">
        <v>1540</v>
      </c>
      <c r="C4" s="1174">
        <v>56</v>
      </c>
      <c r="D4" s="1174">
        <v>1</v>
      </c>
      <c r="E4" s="1174">
        <v>13</v>
      </c>
      <c r="F4" s="2346"/>
      <c r="G4" s="2346"/>
      <c r="H4" s="2358">
        <v>0</v>
      </c>
      <c r="I4" s="2362">
        <v>1453</v>
      </c>
    </row>
    <row r="5" spans="2:9" ht="48" x14ac:dyDescent="0.2">
      <c r="B5" s="2348" t="s">
        <v>1541</v>
      </c>
      <c r="C5" s="1174">
        <v>56</v>
      </c>
      <c r="D5" s="1174">
        <v>1</v>
      </c>
      <c r="E5" s="1174">
        <v>13</v>
      </c>
      <c r="F5" s="1174">
        <v>5220600</v>
      </c>
      <c r="G5" s="2346"/>
      <c r="H5" s="2347">
        <v>-1000</v>
      </c>
      <c r="I5" s="2360">
        <v>0</v>
      </c>
    </row>
    <row r="6" spans="2:9" ht="33" thickBot="1" x14ac:dyDescent="0.25">
      <c r="B6" s="2346" t="s">
        <v>1099</v>
      </c>
      <c r="C6" s="1174">
        <v>56</v>
      </c>
      <c r="D6" s="1174">
        <v>1</v>
      </c>
      <c r="E6" s="1174">
        <v>13</v>
      </c>
      <c r="F6" s="1174">
        <v>5220600</v>
      </c>
      <c r="G6" s="1174">
        <v>200</v>
      </c>
      <c r="H6" s="2347">
        <v>-1000</v>
      </c>
      <c r="I6" s="2359">
        <v>0</v>
      </c>
    </row>
    <row r="7" spans="2:9" ht="64" x14ac:dyDescent="0.2">
      <c r="B7" s="2348" t="s">
        <v>1542</v>
      </c>
      <c r="C7" s="1174">
        <v>56</v>
      </c>
      <c r="D7" s="1174">
        <v>1</v>
      </c>
      <c r="E7" s="1174">
        <v>13</v>
      </c>
      <c r="F7" s="1174">
        <v>5222400</v>
      </c>
      <c r="G7" s="2346"/>
      <c r="H7" s="2358">
        <v>1000</v>
      </c>
      <c r="I7" s="2361">
        <v>1000</v>
      </c>
    </row>
    <row r="8" spans="2:9" ht="33" thickBot="1" x14ac:dyDescent="0.25">
      <c r="B8" s="2346" t="s">
        <v>1094</v>
      </c>
      <c r="C8" s="1174">
        <v>56</v>
      </c>
      <c r="D8" s="1174">
        <v>1</v>
      </c>
      <c r="E8" s="1174">
        <v>13</v>
      </c>
      <c r="F8" s="1174">
        <v>5222400</v>
      </c>
      <c r="G8" s="1174">
        <v>600</v>
      </c>
      <c r="H8" s="2358">
        <v>1000</v>
      </c>
      <c r="I8" s="2362">
        <v>1000</v>
      </c>
    </row>
    <row r="9" spans="2:9" ht="48" x14ac:dyDescent="0.2">
      <c r="B9" s="2348" t="s">
        <v>1194</v>
      </c>
      <c r="C9" s="1174">
        <v>56</v>
      </c>
      <c r="D9" s="1174">
        <v>1</v>
      </c>
      <c r="E9" s="1174">
        <v>13</v>
      </c>
      <c r="F9" s="1174">
        <v>5240300</v>
      </c>
      <c r="G9" s="2346"/>
      <c r="H9" s="2358">
        <v>0</v>
      </c>
      <c r="I9" s="2361">
        <v>120</v>
      </c>
    </row>
    <row r="10" spans="2:9" ht="33" thickBot="1" x14ac:dyDescent="0.25">
      <c r="B10" s="2346" t="s">
        <v>1094</v>
      </c>
      <c r="C10" s="1174">
        <v>56</v>
      </c>
      <c r="D10" s="1174">
        <v>1</v>
      </c>
      <c r="E10" s="1174">
        <v>13</v>
      </c>
      <c r="F10" s="1174">
        <v>5240300</v>
      </c>
      <c r="G10" s="1174">
        <v>600</v>
      </c>
      <c r="H10" s="2358">
        <v>0</v>
      </c>
      <c r="I10" s="2362">
        <v>120</v>
      </c>
    </row>
    <row r="11" spans="2:9" ht="48" x14ac:dyDescent="0.2">
      <c r="B11" s="2348" t="s">
        <v>1093</v>
      </c>
      <c r="C11" s="1174">
        <v>56</v>
      </c>
      <c r="D11" s="1174">
        <v>1</v>
      </c>
      <c r="E11" s="1174">
        <v>13</v>
      </c>
      <c r="F11" s="1174">
        <v>5240500</v>
      </c>
      <c r="G11" s="2346"/>
      <c r="H11" s="2358">
        <v>0</v>
      </c>
      <c r="I11" s="2361">
        <v>63</v>
      </c>
    </row>
    <row r="12" spans="2:9" ht="33" thickBot="1" x14ac:dyDescent="0.25">
      <c r="B12" s="2346" t="s">
        <v>1094</v>
      </c>
      <c r="C12" s="1174">
        <v>56</v>
      </c>
      <c r="D12" s="1174">
        <v>1</v>
      </c>
      <c r="E12" s="1174">
        <v>13</v>
      </c>
      <c r="F12" s="1174">
        <v>5240500</v>
      </c>
      <c r="G12" s="1174">
        <v>600</v>
      </c>
      <c r="H12" s="2358">
        <v>0</v>
      </c>
      <c r="I12" s="2362">
        <v>63</v>
      </c>
    </row>
    <row r="13" spans="2:9" ht="48" x14ac:dyDescent="0.2">
      <c r="B13" s="2346" t="s">
        <v>1095</v>
      </c>
      <c r="C13" s="1174">
        <v>56</v>
      </c>
      <c r="D13" s="1174">
        <v>1</v>
      </c>
      <c r="E13" s="1174">
        <v>13</v>
      </c>
      <c r="F13" s="1174">
        <v>5240600</v>
      </c>
      <c r="G13" s="2346"/>
      <c r="H13" s="2358">
        <v>0</v>
      </c>
      <c r="I13" s="2361">
        <v>270</v>
      </c>
    </row>
    <row r="14" spans="2:9" ht="33" thickBot="1" x14ac:dyDescent="0.25">
      <c r="B14" s="2346" t="s">
        <v>1094</v>
      </c>
      <c r="C14" s="1174">
        <v>56</v>
      </c>
      <c r="D14" s="1174">
        <v>1</v>
      </c>
      <c r="E14" s="1174">
        <v>13</v>
      </c>
      <c r="F14" s="1174">
        <v>5240600</v>
      </c>
      <c r="G14" s="1174">
        <v>600</v>
      </c>
      <c r="H14" s="2358">
        <v>0</v>
      </c>
      <c r="I14" s="2362">
        <v>270</v>
      </c>
    </row>
    <row r="15" spans="2:9" x14ac:dyDescent="0.2">
      <c r="B15" s="2346" t="s">
        <v>1096</v>
      </c>
      <c r="C15" s="1174">
        <v>56</v>
      </c>
      <c r="D15" s="1174">
        <v>3</v>
      </c>
      <c r="E15" s="2346"/>
      <c r="F15" s="2346"/>
      <c r="G15" s="2346"/>
      <c r="H15" s="2347">
        <v>0</v>
      </c>
      <c r="I15" s="2360">
        <v>15302</v>
      </c>
    </row>
    <row r="16" spans="2:9" x14ac:dyDescent="0.2">
      <c r="B16" s="2346" t="s">
        <v>1097</v>
      </c>
      <c r="C16" s="1174">
        <v>56</v>
      </c>
      <c r="D16" s="1174">
        <v>3</v>
      </c>
      <c r="E16" s="1174">
        <v>10</v>
      </c>
      <c r="F16" s="2346"/>
      <c r="G16" s="2346"/>
      <c r="H16" s="2347">
        <v>0</v>
      </c>
      <c r="I16" s="2347">
        <v>15302</v>
      </c>
    </row>
    <row r="17" spans="2:9" ht="64" x14ac:dyDescent="0.2">
      <c r="B17" s="2348" t="s">
        <v>1098</v>
      </c>
      <c r="C17" s="1174">
        <v>56</v>
      </c>
      <c r="D17" s="1174">
        <v>3</v>
      </c>
      <c r="E17" s="1174">
        <v>10</v>
      </c>
      <c r="F17" s="1174">
        <v>5220800</v>
      </c>
      <c r="G17" s="2346"/>
      <c r="H17" s="2347">
        <v>0</v>
      </c>
      <c r="I17" s="2347">
        <v>15302</v>
      </c>
    </row>
    <row r="18" spans="2:9" ht="32" x14ac:dyDescent="0.2">
      <c r="B18" s="2348" t="s">
        <v>1543</v>
      </c>
      <c r="C18" s="1174">
        <v>56</v>
      </c>
      <c r="D18" s="1174">
        <v>3</v>
      </c>
      <c r="E18" s="1174">
        <v>10</v>
      </c>
      <c r="F18" s="1174">
        <v>5220830</v>
      </c>
      <c r="G18" s="2346"/>
      <c r="H18" s="2347">
        <v>0</v>
      </c>
      <c r="I18" s="2347">
        <v>15302</v>
      </c>
    </row>
    <row r="19" spans="2:9" ht="32" x14ac:dyDescent="0.2">
      <c r="B19" s="2346" t="s">
        <v>1099</v>
      </c>
      <c r="C19" s="1174">
        <v>56</v>
      </c>
      <c r="D19" s="1174">
        <v>3</v>
      </c>
      <c r="E19" s="1174">
        <v>10</v>
      </c>
      <c r="F19" s="1174">
        <v>5220830</v>
      </c>
      <c r="G19" s="1174">
        <v>200</v>
      </c>
      <c r="H19" s="2347">
        <v>0</v>
      </c>
      <c r="I19" s="2347">
        <v>149.6</v>
      </c>
    </row>
    <row r="20" spans="2:9" ht="32" x14ac:dyDescent="0.2">
      <c r="B20" s="2346" t="s">
        <v>1094</v>
      </c>
      <c r="C20" s="1174">
        <v>56</v>
      </c>
      <c r="D20" s="1174">
        <v>3</v>
      </c>
      <c r="E20" s="1174">
        <v>10</v>
      </c>
      <c r="F20" s="1174">
        <v>5220830</v>
      </c>
      <c r="G20" s="1174">
        <v>600</v>
      </c>
      <c r="H20" s="2347">
        <v>0</v>
      </c>
      <c r="I20" s="2347">
        <v>15152.4</v>
      </c>
    </row>
    <row r="21" spans="2:9" x14ac:dyDescent="0.2">
      <c r="B21" s="2346" t="s">
        <v>761</v>
      </c>
      <c r="C21" s="1174">
        <v>56</v>
      </c>
      <c r="D21" s="1174">
        <v>7</v>
      </c>
      <c r="E21" s="2346"/>
      <c r="F21" s="2346"/>
      <c r="G21" s="2346"/>
      <c r="H21" s="2347">
        <v>58</v>
      </c>
      <c r="I21" s="2347">
        <v>190883.22</v>
      </c>
    </row>
    <row r="22" spans="2:9" x14ac:dyDescent="0.2">
      <c r="B22" s="2346" t="s">
        <v>1525</v>
      </c>
      <c r="C22" s="1174">
        <v>56</v>
      </c>
      <c r="D22" s="1174">
        <v>7</v>
      </c>
      <c r="E22" s="1174">
        <v>2</v>
      </c>
      <c r="F22" s="2346"/>
      <c r="G22" s="2346"/>
      <c r="H22" s="2347">
        <v>0</v>
      </c>
      <c r="I22" s="2347">
        <v>45598.8</v>
      </c>
    </row>
    <row r="23" spans="2:9" x14ac:dyDescent="0.2">
      <c r="B23" s="2346" t="s">
        <v>769</v>
      </c>
      <c r="C23" s="1174">
        <v>56</v>
      </c>
      <c r="D23" s="1174">
        <v>7</v>
      </c>
      <c r="E23" s="1174">
        <v>2</v>
      </c>
      <c r="F23" s="1174">
        <v>4230000</v>
      </c>
      <c r="G23" s="2346"/>
      <c r="H23" s="2347">
        <v>0</v>
      </c>
      <c r="I23" s="2347">
        <v>45598.8</v>
      </c>
    </row>
    <row r="24" spans="2:9" ht="32" x14ac:dyDescent="0.2">
      <c r="B24" s="2346" t="s">
        <v>770</v>
      </c>
      <c r="C24" s="1174">
        <v>56</v>
      </c>
      <c r="D24" s="1174">
        <v>7</v>
      </c>
      <c r="E24" s="1174">
        <v>2</v>
      </c>
      <c r="F24" s="1174">
        <v>4239902</v>
      </c>
      <c r="G24" s="2346"/>
      <c r="H24" s="2347">
        <v>0</v>
      </c>
      <c r="I24" s="2347">
        <v>45598.8</v>
      </c>
    </row>
    <row r="25" spans="2:9" ht="32" x14ac:dyDescent="0.2">
      <c r="B25" s="2346" t="s">
        <v>1094</v>
      </c>
      <c r="C25" s="1174">
        <v>56</v>
      </c>
      <c r="D25" s="1174">
        <v>7</v>
      </c>
      <c r="E25" s="1174">
        <v>2</v>
      </c>
      <c r="F25" s="1174">
        <v>4239902</v>
      </c>
      <c r="G25" s="1174">
        <v>600</v>
      </c>
      <c r="H25" s="2347">
        <v>0</v>
      </c>
      <c r="I25" s="2347">
        <v>45598.8</v>
      </c>
    </row>
    <row r="26" spans="2:9" x14ac:dyDescent="0.2">
      <c r="B26" s="2346" t="s">
        <v>1526</v>
      </c>
      <c r="C26" s="1174">
        <v>56</v>
      </c>
      <c r="D26" s="1174">
        <v>7</v>
      </c>
      <c r="E26" s="1174">
        <v>4</v>
      </c>
      <c r="F26" s="2346"/>
      <c r="G26" s="2346"/>
      <c r="H26" s="2347">
        <v>58</v>
      </c>
      <c r="I26" s="2347">
        <v>137500.51999999999</v>
      </c>
    </row>
    <row r="27" spans="2:9" x14ac:dyDescent="0.2">
      <c r="B27" s="2346" t="s">
        <v>1100</v>
      </c>
      <c r="C27" s="1174">
        <v>56</v>
      </c>
      <c r="D27" s="1174">
        <v>7</v>
      </c>
      <c r="E27" s="1174">
        <v>4</v>
      </c>
      <c r="F27" s="1174">
        <v>4270000</v>
      </c>
      <c r="G27" s="2346"/>
      <c r="H27" s="2347">
        <v>58</v>
      </c>
      <c r="I27" s="2347">
        <v>137500.51999999999</v>
      </c>
    </row>
    <row r="28" spans="2:9" ht="48" x14ac:dyDescent="0.2">
      <c r="B28" s="2346" t="s">
        <v>1101</v>
      </c>
      <c r="C28" s="1174">
        <v>56</v>
      </c>
      <c r="D28" s="1174">
        <v>7</v>
      </c>
      <c r="E28" s="1174">
        <v>4</v>
      </c>
      <c r="F28" s="1174">
        <v>4279902</v>
      </c>
      <c r="G28" s="2346"/>
      <c r="H28" s="2347">
        <v>58</v>
      </c>
      <c r="I28" s="2347">
        <v>137500.51999999999</v>
      </c>
    </row>
    <row r="29" spans="2:9" ht="32" x14ac:dyDescent="0.2">
      <c r="B29" s="2346" t="s">
        <v>1094</v>
      </c>
      <c r="C29" s="1174">
        <v>56</v>
      </c>
      <c r="D29" s="1174">
        <v>7</v>
      </c>
      <c r="E29" s="1174">
        <v>4</v>
      </c>
      <c r="F29" s="1174">
        <v>4279902</v>
      </c>
      <c r="G29" s="1174">
        <v>600</v>
      </c>
      <c r="H29" s="2347">
        <v>58</v>
      </c>
      <c r="I29" s="2347">
        <v>137500.51999999999</v>
      </c>
    </row>
    <row r="30" spans="2:9" x14ac:dyDescent="0.2">
      <c r="B30" s="2346" t="s">
        <v>1527</v>
      </c>
      <c r="C30" s="1174">
        <v>56</v>
      </c>
      <c r="D30" s="1174">
        <v>7</v>
      </c>
      <c r="E30" s="1174">
        <v>5</v>
      </c>
      <c r="F30" s="2346"/>
      <c r="G30" s="2346"/>
      <c r="H30" s="2347">
        <v>0</v>
      </c>
      <c r="I30" s="2347">
        <v>6747.9</v>
      </c>
    </row>
    <row r="31" spans="2:9" x14ac:dyDescent="0.2">
      <c r="B31" s="2346" t="s">
        <v>1102</v>
      </c>
      <c r="C31" s="1174">
        <v>56</v>
      </c>
      <c r="D31" s="1174">
        <v>7</v>
      </c>
      <c r="E31" s="1174">
        <v>5</v>
      </c>
      <c r="F31" s="1174">
        <v>4290000</v>
      </c>
      <c r="G31" s="2346"/>
      <c r="H31" s="2347">
        <v>0</v>
      </c>
      <c r="I31" s="2347">
        <v>6747.9</v>
      </c>
    </row>
    <row r="32" spans="2:9" ht="48" x14ac:dyDescent="0.2">
      <c r="B32" s="2346" t="s">
        <v>774</v>
      </c>
      <c r="C32" s="1174">
        <v>56</v>
      </c>
      <c r="D32" s="1174">
        <v>7</v>
      </c>
      <c r="E32" s="1174">
        <v>5</v>
      </c>
      <c r="F32" s="1174">
        <v>4299901</v>
      </c>
      <c r="G32" s="2346"/>
      <c r="H32" s="2347">
        <v>0</v>
      </c>
      <c r="I32" s="2347">
        <v>6747.9</v>
      </c>
    </row>
    <row r="33" spans="2:9" ht="32" x14ac:dyDescent="0.2">
      <c r="B33" s="2346" t="s">
        <v>1094</v>
      </c>
      <c r="C33" s="1174">
        <v>56</v>
      </c>
      <c r="D33" s="1174">
        <v>7</v>
      </c>
      <c r="E33" s="1174">
        <v>5</v>
      </c>
      <c r="F33" s="1174">
        <v>4299901</v>
      </c>
      <c r="G33" s="1174">
        <v>600</v>
      </c>
      <c r="H33" s="2347">
        <v>0</v>
      </c>
      <c r="I33" s="2347">
        <v>6747.9</v>
      </c>
    </row>
    <row r="34" spans="2:9" x14ac:dyDescent="0.2">
      <c r="B34" s="2346" t="s">
        <v>1528</v>
      </c>
      <c r="C34" s="1174">
        <v>56</v>
      </c>
      <c r="D34" s="1174">
        <v>7</v>
      </c>
      <c r="E34" s="1174">
        <v>9</v>
      </c>
      <c r="F34" s="2346"/>
      <c r="G34" s="2346"/>
      <c r="H34" s="2347">
        <v>0</v>
      </c>
      <c r="I34" s="2347">
        <v>1036</v>
      </c>
    </row>
    <row r="35" spans="2:9" x14ac:dyDescent="0.2">
      <c r="B35" s="2346" t="s">
        <v>1529</v>
      </c>
      <c r="C35" s="1174">
        <v>56</v>
      </c>
      <c r="D35" s="1174">
        <v>7</v>
      </c>
      <c r="E35" s="1174">
        <v>9</v>
      </c>
      <c r="F35" s="1174">
        <v>4360000</v>
      </c>
      <c r="G35" s="2346"/>
      <c r="H35" s="2347">
        <v>0</v>
      </c>
      <c r="I35" s="2347">
        <v>1036</v>
      </c>
    </row>
    <row r="36" spans="2:9" x14ac:dyDescent="0.2">
      <c r="B36" s="2346" t="s">
        <v>1103</v>
      </c>
      <c r="C36" s="1174">
        <v>56</v>
      </c>
      <c r="D36" s="1174">
        <v>7</v>
      </c>
      <c r="E36" s="1174">
        <v>9</v>
      </c>
      <c r="F36" s="1174">
        <v>4360400</v>
      </c>
      <c r="G36" s="2346"/>
      <c r="H36" s="2347">
        <v>0</v>
      </c>
      <c r="I36" s="2347">
        <v>536</v>
      </c>
    </row>
    <row r="37" spans="2:9" x14ac:dyDescent="0.2">
      <c r="B37" s="2346" t="s">
        <v>1544</v>
      </c>
      <c r="C37" s="1174">
        <v>56</v>
      </c>
      <c r="D37" s="1174">
        <v>7</v>
      </c>
      <c r="E37" s="1174">
        <v>9</v>
      </c>
      <c r="F37" s="1174">
        <v>4360400</v>
      </c>
      <c r="G37" s="1174">
        <v>300</v>
      </c>
      <c r="H37" s="2347">
        <v>0</v>
      </c>
      <c r="I37" s="2347">
        <v>536</v>
      </c>
    </row>
    <row r="38" spans="2:9" ht="48" x14ac:dyDescent="0.2">
      <c r="B38" s="2346" t="s">
        <v>1531</v>
      </c>
      <c r="C38" s="1174">
        <v>56</v>
      </c>
      <c r="D38" s="1174">
        <v>7</v>
      </c>
      <c r="E38" s="1174">
        <v>9</v>
      </c>
      <c r="F38" s="1174">
        <v>4369300</v>
      </c>
      <c r="G38" s="2346"/>
      <c r="H38" s="2347">
        <v>0</v>
      </c>
      <c r="I38" s="2347">
        <v>500</v>
      </c>
    </row>
    <row r="39" spans="2:9" x14ac:dyDescent="0.2">
      <c r="B39" s="2346" t="s">
        <v>1544</v>
      </c>
      <c r="C39" s="1174">
        <v>56</v>
      </c>
      <c r="D39" s="1174">
        <v>7</v>
      </c>
      <c r="E39" s="1174">
        <v>9</v>
      </c>
      <c r="F39" s="1174">
        <v>4369300</v>
      </c>
      <c r="G39" s="1174">
        <v>300</v>
      </c>
      <c r="H39" s="2347">
        <v>0</v>
      </c>
      <c r="I39" s="2347">
        <v>500</v>
      </c>
    </row>
    <row r="40" spans="2:9" x14ac:dyDescent="0.2">
      <c r="B40" s="2346" t="s">
        <v>1104</v>
      </c>
      <c r="C40" s="1174">
        <v>56</v>
      </c>
      <c r="D40" s="1174">
        <v>8</v>
      </c>
      <c r="E40" s="2346"/>
      <c r="F40" s="2346"/>
      <c r="G40" s="2346"/>
      <c r="H40" s="2347">
        <v>44756.671999999999</v>
      </c>
      <c r="I40" s="2347">
        <v>1281577.3119999999</v>
      </c>
    </row>
    <row r="41" spans="2:9" x14ac:dyDescent="0.2">
      <c r="B41" s="2346" t="s">
        <v>1105</v>
      </c>
      <c r="C41" s="1174">
        <v>56</v>
      </c>
      <c r="D41" s="1174">
        <v>8</v>
      </c>
      <c r="E41" s="1174">
        <v>1</v>
      </c>
      <c r="F41" s="2346"/>
      <c r="G41" s="2346"/>
      <c r="H41" s="2347">
        <v>44386.442000000003</v>
      </c>
      <c r="I41" s="2347">
        <v>1247348.2420000001</v>
      </c>
    </row>
    <row r="42" spans="2:9" ht="96" x14ac:dyDescent="0.2">
      <c r="B42" s="2348" t="s">
        <v>1545</v>
      </c>
      <c r="C42" s="1174">
        <v>56</v>
      </c>
      <c r="D42" s="1174">
        <v>8</v>
      </c>
      <c r="E42" s="1174">
        <v>1</v>
      </c>
      <c r="F42" s="1174">
        <v>1125146</v>
      </c>
      <c r="G42" s="2346"/>
      <c r="H42" s="2347">
        <v>4096.7150000000001</v>
      </c>
      <c r="I42" s="2347">
        <v>4096.7150000000001</v>
      </c>
    </row>
    <row r="43" spans="2:9" x14ac:dyDescent="0.2">
      <c r="B43" s="2346" t="s">
        <v>970</v>
      </c>
      <c r="C43" s="1174">
        <v>56</v>
      </c>
      <c r="D43" s="1174">
        <v>8</v>
      </c>
      <c r="E43" s="1174">
        <v>1</v>
      </c>
      <c r="F43" s="1174">
        <v>1125146</v>
      </c>
      <c r="G43" s="1174">
        <v>500</v>
      </c>
      <c r="H43" s="2347">
        <v>3968</v>
      </c>
      <c r="I43" s="2347">
        <v>3968</v>
      </c>
    </row>
    <row r="44" spans="2:9" ht="32" x14ac:dyDescent="0.2">
      <c r="B44" s="2346" t="s">
        <v>1094</v>
      </c>
      <c r="C44" s="1174">
        <v>56</v>
      </c>
      <c r="D44" s="1174">
        <v>8</v>
      </c>
      <c r="E44" s="1174">
        <v>1</v>
      </c>
      <c r="F44" s="1174">
        <v>1125146</v>
      </c>
      <c r="G44" s="1174">
        <v>600</v>
      </c>
      <c r="H44" s="2347">
        <v>128.715</v>
      </c>
      <c r="I44" s="2347">
        <v>128.715</v>
      </c>
    </row>
    <row r="45" spans="2:9" ht="32" x14ac:dyDescent="0.2">
      <c r="B45" s="2346" t="s">
        <v>1546</v>
      </c>
      <c r="C45" s="1174">
        <v>56</v>
      </c>
      <c r="D45" s="1174">
        <v>8</v>
      </c>
      <c r="E45" s="1174">
        <v>1</v>
      </c>
      <c r="F45" s="1174">
        <v>1125147</v>
      </c>
      <c r="G45" s="2346"/>
      <c r="H45" s="2347">
        <v>0</v>
      </c>
      <c r="I45" s="2347">
        <v>2900</v>
      </c>
    </row>
    <row r="46" spans="2:9" x14ac:dyDescent="0.2">
      <c r="B46" s="2346" t="s">
        <v>970</v>
      </c>
      <c r="C46" s="1174">
        <v>56</v>
      </c>
      <c r="D46" s="1174">
        <v>8</v>
      </c>
      <c r="E46" s="1174">
        <v>1</v>
      </c>
      <c r="F46" s="1174">
        <v>1125147</v>
      </c>
      <c r="G46" s="1174">
        <v>500</v>
      </c>
      <c r="H46" s="2347">
        <v>0</v>
      </c>
      <c r="I46" s="2347">
        <v>2900</v>
      </c>
    </row>
    <row r="47" spans="2:9" ht="48" x14ac:dyDescent="0.2">
      <c r="B47" s="2346" t="s">
        <v>1547</v>
      </c>
      <c r="C47" s="1174">
        <v>56</v>
      </c>
      <c r="D47" s="1174">
        <v>8</v>
      </c>
      <c r="E47" s="1174">
        <v>1</v>
      </c>
      <c r="F47" s="1174">
        <v>1125148</v>
      </c>
      <c r="G47" s="2346"/>
      <c r="H47" s="2347">
        <v>0</v>
      </c>
      <c r="I47" s="2347">
        <v>1050</v>
      </c>
    </row>
    <row r="48" spans="2:9" x14ac:dyDescent="0.2">
      <c r="B48" s="2346" t="s">
        <v>970</v>
      </c>
      <c r="C48" s="1174">
        <v>56</v>
      </c>
      <c r="D48" s="1174">
        <v>8</v>
      </c>
      <c r="E48" s="1174">
        <v>1</v>
      </c>
      <c r="F48" s="1174">
        <v>1125148</v>
      </c>
      <c r="G48" s="1174">
        <v>500</v>
      </c>
      <c r="H48" s="2347">
        <v>0</v>
      </c>
      <c r="I48" s="2347">
        <v>1050</v>
      </c>
    </row>
    <row r="49" spans="2:9" ht="96" x14ac:dyDescent="0.2">
      <c r="B49" s="2348" t="s">
        <v>1106</v>
      </c>
      <c r="C49" s="1174">
        <v>56</v>
      </c>
      <c r="D49" s="1174">
        <v>8</v>
      </c>
      <c r="E49" s="1174">
        <v>1</v>
      </c>
      <c r="F49" s="1174">
        <v>1125151</v>
      </c>
      <c r="G49" s="2346"/>
      <c r="H49" s="2347">
        <v>0</v>
      </c>
      <c r="I49" s="2347">
        <v>100</v>
      </c>
    </row>
    <row r="50" spans="2:9" ht="32" x14ac:dyDescent="0.2">
      <c r="B50" s="2346" t="s">
        <v>1094</v>
      </c>
      <c r="C50" s="1174">
        <v>56</v>
      </c>
      <c r="D50" s="1174">
        <v>8</v>
      </c>
      <c r="E50" s="1174">
        <v>1</v>
      </c>
      <c r="F50" s="1174">
        <v>1125151</v>
      </c>
      <c r="G50" s="1174">
        <v>600</v>
      </c>
      <c r="H50" s="2347">
        <v>0</v>
      </c>
      <c r="I50" s="2347">
        <v>100</v>
      </c>
    </row>
    <row r="51" spans="2:9" ht="80" x14ac:dyDescent="0.2">
      <c r="B51" s="2348" t="s">
        <v>1548</v>
      </c>
      <c r="C51" s="1174">
        <v>56</v>
      </c>
      <c r="D51" s="1174">
        <v>8</v>
      </c>
      <c r="E51" s="1174">
        <v>1</v>
      </c>
      <c r="F51" s="1174">
        <v>1125190</v>
      </c>
      <c r="G51" s="2346"/>
      <c r="H51" s="2347">
        <v>19400</v>
      </c>
      <c r="I51" s="2347">
        <v>19400</v>
      </c>
    </row>
    <row r="52" spans="2:9" x14ac:dyDescent="0.2">
      <c r="B52" s="2346" t="s">
        <v>970</v>
      </c>
      <c r="C52" s="1174">
        <v>56</v>
      </c>
      <c r="D52" s="1174">
        <v>8</v>
      </c>
      <c r="E52" s="1174">
        <v>1</v>
      </c>
      <c r="F52" s="1174">
        <v>1125190</v>
      </c>
      <c r="G52" s="1174">
        <v>500</v>
      </c>
      <c r="H52" s="2347">
        <v>10152.754000000001</v>
      </c>
      <c r="I52" s="2347">
        <v>10152.754000000001</v>
      </c>
    </row>
    <row r="53" spans="2:9" ht="32" x14ac:dyDescent="0.2">
      <c r="B53" s="2346" t="s">
        <v>1094</v>
      </c>
      <c r="C53" s="1174">
        <v>56</v>
      </c>
      <c r="D53" s="1174">
        <v>8</v>
      </c>
      <c r="E53" s="1174">
        <v>1</v>
      </c>
      <c r="F53" s="1174">
        <v>1125190</v>
      </c>
      <c r="G53" s="1174">
        <v>600</v>
      </c>
      <c r="H53" s="2347">
        <v>9247.2459999999992</v>
      </c>
      <c r="I53" s="2347">
        <v>9247.2459999999992</v>
      </c>
    </row>
    <row r="54" spans="2:9" ht="80" x14ac:dyDescent="0.2">
      <c r="B54" s="2348" t="s">
        <v>1549</v>
      </c>
      <c r="C54" s="1174">
        <v>56</v>
      </c>
      <c r="D54" s="1174">
        <v>8</v>
      </c>
      <c r="E54" s="1174">
        <v>1</v>
      </c>
      <c r="F54" s="1174">
        <v>1125191</v>
      </c>
      <c r="G54" s="2346"/>
      <c r="H54" s="2347">
        <v>16700</v>
      </c>
      <c r="I54" s="2347">
        <v>16700</v>
      </c>
    </row>
    <row r="55" spans="2:9" x14ac:dyDescent="0.2">
      <c r="B55" s="2346" t="s">
        <v>970</v>
      </c>
      <c r="C55" s="1174">
        <v>56</v>
      </c>
      <c r="D55" s="1174">
        <v>8</v>
      </c>
      <c r="E55" s="1174">
        <v>1</v>
      </c>
      <c r="F55" s="1174">
        <v>1125191</v>
      </c>
      <c r="G55" s="1174">
        <v>500</v>
      </c>
      <c r="H55" s="2347">
        <v>16700</v>
      </c>
      <c r="I55" s="2347">
        <v>16700</v>
      </c>
    </row>
    <row r="56" spans="2:9" ht="96" x14ac:dyDescent="0.2">
      <c r="B56" s="2348" t="s">
        <v>1550</v>
      </c>
      <c r="C56" s="1174">
        <v>56</v>
      </c>
      <c r="D56" s="1174">
        <v>8</v>
      </c>
      <c r="E56" s="1174">
        <v>1</v>
      </c>
      <c r="F56" s="1174">
        <v>1135192</v>
      </c>
      <c r="G56" s="2346"/>
      <c r="H56" s="2347">
        <v>3300</v>
      </c>
      <c r="I56" s="2347">
        <v>3300</v>
      </c>
    </row>
    <row r="57" spans="2:9" ht="32" x14ac:dyDescent="0.2">
      <c r="B57" s="2346" t="s">
        <v>1094</v>
      </c>
      <c r="C57" s="1174">
        <v>56</v>
      </c>
      <c r="D57" s="1174">
        <v>8</v>
      </c>
      <c r="E57" s="1174">
        <v>1</v>
      </c>
      <c r="F57" s="1174">
        <v>1135192</v>
      </c>
      <c r="G57" s="1174">
        <v>600</v>
      </c>
      <c r="H57" s="2347">
        <v>3300</v>
      </c>
      <c r="I57" s="2347">
        <v>3300</v>
      </c>
    </row>
    <row r="58" spans="2:9" ht="32" x14ac:dyDescent="0.2">
      <c r="B58" s="2346" t="s">
        <v>1533</v>
      </c>
      <c r="C58" s="1174">
        <v>56</v>
      </c>
      <c r="D58" s="1174">
        <v>8</v>
      </c>
      <c r="E58" s="1174">
        <v>1</v>
      </c>
      <c r="F58" s="1174">
        <v>4400000</v>
      </c>
      <c r="G58" s="2346"/>
      <c r="H58" s="2347">
        <v>1187.7</v>
      </c>
      <c r="I58" s="2347">
        <v>168064.1</v>
      </c>
    </row>
    <row r="59" spans="2:9" x14ac:dyDescent="0.2">
      <c r="B59" s="2346" t="s">
        <v>1107</v>
      </c>
      <c r="C59" s="1174">
        <v>56</v>
      </c>
      <c r="D59" s="1174">
        <v>8</v>
      </c>
      <c r="E59" s="1174">
        <v>1</v>
      </c>
      <c r="F59" s="1174">
        <v>4400100</v>
      </c>
      <c r="G59" s="2346"/>
      <c r="H59" s="2347">
        <v>-200</v>
      </c>
      <c r="I59" s="2347">
        <v>15485.4</v>
      </c>
    </row>
    <row r="60" spans="2:9" ht="32" x14ac:dyDescent="0.2">
      <c r="B60" s="2346" t="s">
        <v>1099</v>
      </c>
      <c r="C60" s="1174">
        <v>56</v>
      </c>
      <c r="D60" s="1174">
        <v>8</v>
      </c>
      <c r="E60" s="1174">
        <v>1</v>
      </c>
      <c r="F60" s="1174">
        <v>4400100</v>
      </c>
      <c r="G60" s="1174">
        <v>200</v>
      </c>
      <c r="H60" s="2347">
        <v>-200</v>
      </c>
      <c r="I60" s="2347">
        <v>15485.4</v>
      </c>
    </row>
    <row r="61" spans="2:9" x14ac:dyDescent="0.2">
      <c r="B61" s="2346" t="s">
        <v>783</v>
      </c>
      <c r="C61" s="1174">
        <v>56</v>
      </c>
      <c r="D61" s="1174">
        <v>8</v>
      </c>
      <c r="E61" s="1174">
        <v>1</v>
      </c>
      <c r="F61" s="1174">
        <v>4400500</v>
      </c>
      <c r="G61" s="2346"/>
      <c r="H61" s="2347">
        <v>0</v>
      </c>
      <c r="I61" s="2347">
        <v>9097.5</v>
      </c>
    </row>
    <row r="62" spans="2:9" ht="32" x14ac:dyDescent="0.2">
      <c r="B62" s="2346" t="s">
        <v>1094</v>
      </c>
      <c r="C62" s="1174">
        <v>56</v>
      </c>
      <c r="D62" s="1174">
        <v>8</v>
      </c>
      <c r="E62" s="1174">
        <v>1</v>
      </c>
      <c r="F62" s="1174">
        <v>4400500</v>
      </c>
      <c r="G62" s="1174">
        <v>600</v>
      </c>
      <c r="H62" s="2347">
        <v>0</v>
      </c>
      <c r="I62" s="2347">
        <v>9097.5</v>
      </c>
    </row>
    <row r="63" spans="2:9" x14ac:dyDescent="0.2">
      <c r="B63" s="2346" t="s">
        <v>1108</v>
      </c>
      <c r="C63" s="1174">
        <v>56</v>
      </c>
      <c r="D63" s="1174">
        <v>8</v>
      </c>
      <c r="E63" s="1174">
        <v>1</v>
      </c>
      <c r="F63" s="1174">
        <v>4409900</v>
      </c>
      <c r="G63" s="2346"/>
      <c r="H63" s="2347">
        <v>50.2</v>
      </c>
      <c r="I63" s="2347">
        <v>43234.6</v>
      </c>
    </row>
    <row r="64" spans="2:9" ht="32" x14ac:dyDescent="0.2">
      <c r="B64" s="2346" t="s">
        <v>1094</v>
      </c>
      <c r="C64" s="1174">
        <v>56</v>
      </c>
      <c r="D64" s="1174">
        <v>8</v>
      </c>
      <c r="E64" s="1174">
        <v>1</v>
      </c>
      <c r="F64" s="1174">
        <v>4409900</v>
      </c>
      <c r="G64" s="1174">
        <v>600</v>
      </c>
      <c r="H64" s="2347">
        <v>50.2</v>
      </c>
      <c r="I64" s="2347">
        <v>43234.6</v>
      </c>
    </row>
    <row r="65" spans="2:9" ht="64" x14ac:dyDescent="0.2">
      <c r="B65" s="2346" t="s">
        <v>788</v>
      </c>
      <c r="C65" s="1174">
        <v>56</v>
      </c>
      <c r="D65" s="1174">
        <v>8</v>
      </c>
      <c r="E65" s="1174">
        <v>1</v>
      </c>
      <c r="F65" s="1174">
        <v>4409901</v>
      </c>
      <c r="G65" s="2346"/>
      <c r="H65" s="2347">
        <v>1337.5</v>
      </c>
      <c r="I65" s="2347">
        <v>66786.5</v>
      </c>
    </row>
    <row r="66" spans="2:9" ht="32" x14ac:dyDescent="0.2">
      <c r="B66" s="2346" t="s">
        <v>1094</v>
      </c>
      <c r="C66" s="1174">
        <v>56</v>
      </c>
      <c r="D66" s="1174">
        <v>8</v>
      </c>
      <c r="E66" s="1174">
        <v>1</v>
      </c>
      <c r="F66" s="1174">
        <v>4409901</v>
      </c>
      <c r="G66" s="1174">
        <v>600</v>
      </c>
      <c r="H66" s="2347">
        <v>1337.5</v>
      </c>
      <c r="I66" s="2347">
        <v>66786.5</v>
      </c>
    </row>
    <row r="67" spans="2:9" ht="32" x14ac:dyDescent="0.2">
      <c r="B67" s="2346" t="s">
        <v>789</v>
      </c>
      <c r="C67" s="1174">
        <v>56</v>
      </c>
      <c r="D67" s="1174">
        <v>8</v>
      </c>
      <c r="E67" s="1174">
        <v>1</v>
      </c>
      <c r="F67" s="1174">
        <v>4409902</v>
      </c>
      <c r="G67" s="2346"/>
      <c r="H67" s="2347">
        <v>0</v>
      </c>
      <c r="I67" s="2347">
        <v>33460.1</v>
      </c>
    </row>
    <row r="68" spans="2:9" ht="32" x14ac:dyDescent="0.2">
      <c r="B68" s="2346" t="s">
        <v>1094</v>
      </c>
      <c r="C68" s="1174">
        <v>56</v>
      </c>
      <c r="D68" s="1174">
        <v>8</v>
      </c>
      <c r="E68" s="1174">
        <v>1</v>
      </c>
      <c r="F68" s="1174">
        <v>4409902</v>
      </c>
      <c r="G68" s="1174">
        <v>600</v>
      </c>
      <c r="H68" s="2347">
        <v>0</v>
      </c>
      <c r="I68" s="2347">
        <v>33460.1</v>
      </c>
    </row>
    <row r="69" spans="2:9" x14ac:dyDescent="0.2">
      <c r="B69" s="2346" t="s">
        <v>791</v>
      </c>
      <c r="C69" s="1174">
        <v>56</v>
      </c>
      <c r="D69" s="1174">
        <v>8</v>
      </c>
      <c r="E69" s="1174">
        <v>1</v>
      </c>
      <c r="F69" s="1174">
        <v>4410000</v>
      </c>
      <c r="G69" s="2346"/>
      <c r="H69" s="2347">
        <v>-2337.5</v>
      </c>
      <c r="I69" s="2347">
        <v>213372.7</v>
      </c>
    </row>
    <row r="70" spans="2:9" ht="32" x14ac:dyDescent="0.2">
      <c r="B70" s="2346" t="s">
        <v>792</v>
      </c>
      <c r="C70" s="1174">
        <v>56</v>
      </c>
      <c r="D70" s="1174">
        <v>8</v>
      </c>
      <c r="E70" s="1174">
        <v>1</v>
      </c>
      <c r="F70" s="1174">
        <v>4419900</v>
      </c>
      <c r="G70" s="2346"/>
      <c r="H70" s="2347">
        <v>-2337.5</v>
      </c>
      <c r="I70" s="2347">
        <v>213372.7</v>
      </c>
    </row>
    <row r="71" spans="2:9" ht="32" x14ac:dyDescent="0.2">
      <c r="B71" s="2346" t="s">
        <v>1094</v>
      </c>
      <c r="C71" s="1174">
        <v>56</v>
      </c>
      <c r="D71" s="1174">
        <v>8</v>
      </c>
      <c r="E71" s="1174">
        <v>1</v>
      </c>
      <c r="F71" s="1174">
        <v>4419900</v>
      </c>
      <c r="G71" s="1174">
        <v>600</v>
      </c>
      <c r="H71" s="2347">
        <v>-2337.5</v>
      </c>
      <c r="I71" s="2347">
        <v>213372.7</v>
      </c>
    </row>
    <row r="72" spans="2:9" x14ac:dyDescent="0.2">
      <c r="B72" s="2346" t="s">
        <v>793</v>
      </c>
      <c r="C72" s="1174">
        <v>56</v>
      </c>
      <c r="D72" s="1174">
        <v>8</v>
      </c>
      <c r="E72" s="1174">
        <v>1</v>
      </c>
      <c r="F72" s="1174">
        <v>4420000</v>
      </c>
      <c r="G72" s="2346"/>
      <c r="H72" s="2347">
        <v>0</v>
      </c>
      <c r="I72" s="2347">
        <v>80776.28</v>
      </c>
    </row>
    <row r="73" spans="2:9" ht="32" x14ac:dyDescent="0.2">
      <c r="B73" s="2346" t="s">
        <v>794</v>
      </c>
      <c r="C73" s="1174">
        <v>56</v>
      </c>
      <c r="D73" s="1174">
        <v>8</v>
      </c>
      <c r="E73" s="1174">
        <v>1</v>
      </c>
      <c r="F73" s="1174">
        <v>4429900</v>
      </c>
      <c r="G73" s="2346"/>
      <c r="H73" s="2347">
        <v>0</v>
      </c>
      <c r="I73" s="2347">
        <v>80776.28</v>
      </c>
    </row>
    <row r="74" spans="2:9" ht="32" x14ac:dyDescent="0.2">
      <c r="B74" s="2346" t="s">
        <v>1094</v>
      </c>
      <c r="C74" s="1174">
        <v>56</v>
      </c>
      <c r="D74" s="1174">
        <v>8</v>
      </c>
      <c r="E74" s="1174">
        <v>1</v>
      </c>
      <c r="F74" s="1174">
        <v>4429900</v>
      </c>
      <c r="G74" s="1174">
        <v>600</v>
      </c>
      <c r="H74" s="2347">
        <v>0</v>
      </c>
      <c r="I74" s="2347">
        <v>80776.28</v>
      </c>
    </row>
    <row r="75" spans="2:9" ht="32" x14ac:dyDescent="0.2">
      <c r="B75" s="2346" t="s">
        <v>795</v>
      </c>
      <c r="C75" s="1174">
        <v>56</v>
      </c>
      <c r="D75" s="1174">
        <v>8</v>
      </c>
      <c r="E75" s="1174">
        <v>1</v>
      </c>
      <c r="F75" s="1174">
        <v>4430000</v>
      </c>
      <c r="G75" s="2346"/>
      <c r="H75" s="2347">
        <v>7039.527</v>
      </c>
      <c r="I75" s="2347">
        <v>709588.44700000004</v>
      </c>
    </row>
    <row r="76" spans="2:9" ht="48" x14ac:dyDescent="0.2">
      <c r="B76" s="2346" t="s">
        <v>796</v>
      </c>
      <c r="C76" s="1174">
        <v>56</v>
      </c>
      <c r="D76" s="1174">
        <v>8</v>
      </c>
      <c r="E76" s="1174">
        <v>1</v>
      </c>
      <c r="F76" s="1174">
        <v>4439900</v>
      </c>
      <c r="G76" s="2346"/>
      <c r="H76" s="2347">
        <v>7039.527</v>
      </c>
      <c r="I76" s="2347">
        <v>709588.44700000004</v>
      </c>
    </row>
    <row r="77" spans="2:9" ht="32" x14ac:dyDescent="0.2">
      <c r="B77" s="2346" t="s">
        <v>1094</v>
      </c>
      <c r="C77" s="1174">
        <v>56</v>
      </c>
      <c r="D77" s="1174">
        <v>8</v>
      </c>
      <c r="E77" s="1174">
        <v>1</v>
      </c>
      <c r="F77" s="1174">
        <v>4439900</v>
      </c>
      <c r="G77" s="1174">
        <v>600</v>
      </c>
      <c r="H77" s="2347">
        <v>7039.527</v>
      </c>
      <c r="I77" s="2347">
        <v>709588.44700000004</v>
      </c>
    </row>
    <row r="78" spans="2:9" ht="32" x14ac:dyDescent="0.2">
      <c r="B78" s="2348" t="s">
        <v>1111</v>
      </c>
      <c r="C78" s="1174">
        <v>56</v>
      </c>
      <c r="D78" s="1174">
        <v>8</v>
      </c>
      <c r="E78" s="1174">
        <v>1</v>
      </c>
      <c r="F78" s="1174">
        <v>5241100</v>
      </c>
      <c r="G78" s="2346"/>
      <c r="H78" s="2347">
        <v>-5000</v>
      </c>
      <c r="I78" s="2347">
        <v>28000</v>
      </c>
    </row>
    <row r="79" spans="2:9" ht="32" x14ac:dyDescent="0.2">
      <c r="B79" s="2346" t="s">
        <v>1094</v>
      </c>
      <c r="C79" s="1174">
        <v>56</v>
      </c>
      <c r="D79" s="1174">
        <v>8</v>
      </c>
      <c r="E79" s="1174">
        <v>1</v>
      </c>
      <c r="F79" s="1174">
        <v>5241100</v>
      </c>
      <c r="G79" s="1174">
        <v>600</v>
      </c>
      <c r="H79" s="2347">
        <v>-5000</v>
      </c>
      <c r="I79" s="2347">
        <v>28000</v>
      </c>
    </row>
    <row r="80" spans="2:9" x14ac:dyDescent="0.2">
      <c r="B80" s="2346" t="s">
        <v>1112</v>
      </c>
      <c r="C80" s="1174">
        <v>56</v>
      </c>
      <c r="D80" s="1174">
        <v>8</v>
      </c>
      <c r="E80" s="1174">
        <v>4</v>
      </c>
      <c r="F80" s="2346"/>
      <c r="G80" s="2346"/>
      <c r="H80" s="2347">
        <v>370.23</v>
      </c>
      <c r="I80" s="2347">
        <v>34229.07</v>
      </c>
    </row>
    <row r="81" spans="2:9" ht="48" x14ac:dyDescent="0.2">
      <c r="B81" s="2346" t="s">
        <v>1534</v>
      </c>
      <c r="C81" s="1174">
        <v>56</v>
      </c>
      <c r="D81" s="1174">
        <v>8</v>
      </c>
      <c r="E81" s="1174">
        <v>4</v>
      </c>
      <c r="F81" s="1174">
        <v>20000</v>
      </c>
      <c r="G81" s="2346"/>
      <c r="H81" s="2347">
        <v>370.23</v>
      </c>
      <c r="I81" s="2347">
        <v>30141.57</v>
      </c>
    </row>
    <row r="82" spans="2:9" x14ac:dyDescent="0.2">
      <c r="B82" s="2346" t="s">
        <v>1113</v>
      </c>
      <c r="C82" s="1174">
        <v>56</v>
      </c>
      <c r="D82" s="1174">
        <v>8</v>
      </c>
      <c r="E82" s="1174">
        <v>4</v>
      </c>
      <c r="F82" s="1174">
        <v>20400</v>
      </c>
      <c r="G82" s="2346"/>
      <c r="H82" s="2347">
        <v>370.23</v>
      </c>
      <c r="I82" s="2347">
        <v>30141.57</v>
      </c>
    </row>
    <row r="83" spans="2:9" ht="64" x14ac:dyDescent="0.2">
      <c r="B83" s="2346" t="s">
        <v>1139</v>
      </c>
      <c r="C83" s="1174">
        <v>56</v>
      </c>
      <c r="D83" s="1174">
        <v>8</v>
      </c>
      <c r="E83" s="1174">
        <v>4</v>
      </c>
      <c r="F83" s="1174">
        <v>20400</v>
      </c>
      <c r="G83" s="1174">
        <v>100</v>
      </c>
      <c r="H83" s="2347">
        <v>-84.77</v>
      </c>
      <c r="I83" s="2347">
        <v>24973.17</v>
      </c>
    </row>
    <row r="84" spans="2:9" ht="32" x14ac:dyDescent="0.2">
      <c r="B84" s="2346" t="s">
        <v>1099</v>
      </c>
      <c r="C84" s="1174">
        <v>56</v>
      </c>
      <c r="D84" s="1174">
        <v>8</v>
      </c>
      <c r="E84" s="1174">
        <v>4</v>
      </c>
      <c r="F84" s="1174">
        <v>20400</v>
      </c>
      <c r="G84" s="1174">
        <v>200</v>
      </c>
      <c r="H84" s="2347">
        <v>614.20000000000005</v>
      </c>
      <c r="I84" s="2347">
        <v>4670.6000000000004</v>
      </c>
    </row>
    <row r="85" spans="2:9" x14ac:dyDescent="0.2">
      <c r="B85" s="2346" t="s">
        <v>1114</v>
      </c>
      <c r="C85" s="1174">
        <v>56</v>
      </c>
      <c r="D85" s="1174">
        <v>8</v>
      </c>
      <c r="E85" s="1174">
        <v>4</v>
      </c>
      <c r="F85" s="1174">
        <v>20400</v>
      </c>
      <c r="G85" s="1174">
        <v>800</v>
      </c>
      <c r="H85" s="2347">
        <v>-159.19999999999999</v>
      </c>
      <c r="I85" s="2347">
        <v>497.8</v>
      </c>
    </row>
    <row r="86" spans="2:9" ht="96" x14ac:dyDescent="0.2">
      <c r="B86" s="2348" t="s">
        <v>1115</v>
      </c>
      <c r="C86" s="1174">
        <v>56</v>
      </c>
      <c r="D86" s="1174">
        <v>8</v>
      </c>
      <c r="E86" s="1174">
        <v>4</v>
      </c>
      <c r="F86" s="1174">
        <v>3315950</v>
      </c>
      <c r="G86" s="2346"/>
      <c r="H86" s="2347">
        <v>0</v>
      </c>
      <c r="I86" s="2347">
        <v>4087.5</v>
      </c>
    </row>
    <row r="87" spans="2:9" ht="64" x14ac:dyDescent="0.2">
      <c r="B87" s="2346" t="s">
        <v>1139</v>
      </c>
      <c r="C87" s="1174">
        <v>56</v>
      </c>
      <c r="D87" s="1174">
        <v>8</v>
      </c>
      <c r="E87" s="1174">
        <v>4</v>
      </c>
      <c r="F87" s="1174">
        <v>3315950</v>
      </c>
      <c r="G87" s="1174">
        <v>100</v>
      </c>
      <c r="H87" s="2347">
        <v>52</v>
      </c>
      <c r="I87" s="2347">
        <v>3243.9</v>
      </c>
    </row>
    <row r="88" spans="2:9" ht="32" x14ac:dyDescent="0.2">
      <c r="B88" s="2346" t="s">
        <v>1099</v>
      </c>
      <c r="C88" s="1174">
        <v>56</v>
      </c>
      <c r="D88" s="1174">
        <v>8</v>
      </c>
      <c r="E88" s="1174">
        <v>4</v>
      </c>
      <c r="F88" s="1174">
        <v>3315950</v>
      </c>
      <c r="G88" s="1174">
        <v>200</v>
      </c>
      <c r="H88" s="2347">
        <v>-52</v>
      </c>
      <c r="I88" s="2347">
        <v>843.6</v>
      </c>
    </row>
    <row r="89" spans="2:9" x14ac:dyDescent="0.2">
      <c r="B89" s="2346" t="s">
        <v>1116</v>
      </c>
      <c r="C89" s="1174">
        <v>56</v>
      </c>
      <c r="D89" s="1174">
        <v>10</v>
      </c>
      <c r="E89" s="2346"/>
      <c r="F89" s="2346"/>
      <c r="G89" s="2346"/>
      <c r="H89" s="2347">
        <v>89.6</v>
      </c>
      <c r="I89" s="2347">
        <v>17990.560000000001</v>
      </c>
    </row>
    <row r="90" spans="2:9" x14ac:dyDescent="0.2">
      <c r="B90" s="2346" t="s">
        <v>1117</v>
      </c>
      <c r="C90" s="1174">
        <v>56</v>
      </c>
      <c r="D90" s="1174">
        <v>10</v>
      </c>
      <c r="E90" s="1174">
        <v>4</v>
      </c>
      <c r="F90" s="2346"/>
      <c r="G90" s="2346"/>
      <c r="H90" s="2347">
        <v>89.6</v>
      </c>
      <c r="I90" s="2347">
        <v>367.6</v>
      </c>
    </row>
    <row r="91" spans="2:9" x14ac:dyDescent="0.2">
      <c r="B91" s="2346" t="s">
        <v>1118</v>
      </c>
      <c r="C91" s="1174">
        <v>56</v>
      </c>
      <c r="D91" s="1174">
        <v>10</v>
      </c>
      <c r="E91" s="1174">
        <v>4</v>
      </c>
      <c r="F91" s="1174">
        <v>5200000</v>
      </c>
      <c r="G91" s="2346"/>
      <c r="H91" s="2347">
        <v>89.6</v>
      </c>
      <c r="I91" s="2347">
        <v>367.6</v>
      </c>
    </row>
    <row r="92" spans="2:9" ht="48" x14ac:dyDescent="0.2">
      <c r="B92" s="2348" t="s">
        <v>1119</v>
      </c>
      <c r="C92" s="1174">
        <v>56</v>
      </c>
      <c r="D92" s="1174">
        <v>10</v>
      </c>
      <c r="E92" s="1174">
        <v>4</v>
      </c>
      <c r="F92" s="1174">
        <v>5205500</v>
      </c>
      <c r="G92" s="2346"/>
      <c r="H92" s="2347">
        <v>89.6</v>
      </c>
      <c r="I92" s="2347">
        <v>367.6</v>
      </c>
    </row>
    <row r="93" spans="2:9" x14ac:dyDescent="0.2">
      <c r="B93" s="2346" t="s">
        <v>36</v>
      </c>
      <c r="C93" s="1174">
        <v>56</v>
      </c>
      <c r="D93" s="1174">
        <v>10</v>
      </c>
      <c r="E93" s="1174">
        <v>4</v>
      </c>
      <c r="F93" s="1174">
        <v>5205501</v>
      </c>
      <c r="G93" s="2346"/>
      <c r="H93" s="2347">
        <v>89.6</v>
      </c>
      <c r="I93" s="2347">
        <v>367.6</v>
      </c>
    </row>
    <row r="94" spans="2:9" x14ac:dyDescent="0.2">
      <c r="B94" s="2346" t="s">
        <v>1544</v>
      </c>
      <c r="C94" s="1174">
        <v>56</v>
      </c>
      <c r="D94" s="1174">
        <v>10</v>
      </c>
      <c r="E94" s="1174">
        <v>4</v>
      </c>
      <c r="F94" s="1174">
        <v>5205501</v>
      </c>
      <c r="G94" s="1174">
        <v>300</v>
      </c>
      <c r="H94" s="2347">
        <v>89.6</v>
      </c>
      <c r="I94" s="2347">
        <v>367.6</v>
      </c>
    </row>
    <row r="95" spans="2:9" x14ac:dyDescent="0.2">
      <c r="B95" s="2346" t="s">
        <v>1551</v>
      </c>
      <c r="C95" s="1174">
        <v>56</v>
      </c>
      <c r="D95" s="1174">
        <v>10</v>
      </c>
      <c r="E95" s="1174">
        <v>6</v>
      </c>
      <c r="F95" s="2346"/>
      <c r="G95" s="2346"/>
      <c r="H95" s="2347">
        <v>0</v>
      </c>
      <c r="I95" s="2347">
        <v>17622.96</v>
      </c>
    </row>
    <row r="96" spans="2:9" ht="80" x14ac:dyDescent="0.2">
      <c r="B96" s="2346" t="s">
        <v>1656</v>
      </c>
      <c r="C96" s="1174">
        <v>56</v>
      </c>
      <c r="D96" s="1174">
        <v>10</v>
      </c>
      <c r="E96" s="1174">
        <v>6</v>
      </c>
      <c r="F96" s="1174">
        <v>415027</v>
      </c>
      <c r="G96" s="2346"/>
      <c r="H96" s="2347">
        <v>0</v>
      </c>
      <c r="I96" s="2347">
        <v>8811.48</v>
      </c>
    </row>
    <row r="97" spans="2:9" ht="32" x14ac:dyDescent="0.2">
      <c r="B97" s="2346" t="s">
        <v>1094</v>
      </c>
      <c r="C97" s="1174">
        <v>56</v>
      </c>
      <c r="D97" s="1174">
        <v>10</v>
      </c>
      <c r="E97" s="1174">
        <v>6</v>
      </c>
      <c r="F97" s="1174">
        <v>415027</v>
      </c>
      <c r="G97" s="1174">
        <v>600</v>
      </c>
      <c r="H97" s="2347">
        <v>0</v>
      </c>
      <c r="I97" s="2347">
        <v>8811.48</v>
      </c>
    </row>
    <row r="98" spans="2:9" ht="32" x14ac:dyDescent="0.2">
      <c r="B98" s="2348" t="s">
        <v>1553</v>
      </c>
      <c r="C98" s="1174">
        <v>56</v>
      </c>
      <c r="D98" s="1174">
        <v>10</v>
      </c>
      <c r="E98" s="1174">
        <v>6</v>
      </c>
      <c r="F98" s="1174">
        <v>5221200</v>
      </c>
      <c r="G98" s="2346"/>
      <c r="H98" s="2347">
        <v>0</v>
      </c>
      <c r="I98" s="2347">
        <v>8811.48</v>
      </c>
    </row>
    <row r="99" spans="2:9" ht="32" x14ac:dyDescent="0.2">
      <c r="B99" s="2346" t="s">
        <v>1094</v>
      </c>
      <c r="C99" s="1174">
        <v>56</v>
      </c>
      <c r="D99" s="1174">
        <v>10</v>
      </c>
      <c r="E99" s="1174">
        <v>6</v>
      </c>
      <c r="F99" s="1174">
        <v>5221200</v>
      </c>
      <c r="G99" s="1174">
        <v>600</v>
      </c>
      <c r="H99" s="2347">
        <v>0</v>
      </c>
      <c r="I99" s="2347">
        <v>8811.48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45</vt:i4>
      </vt:variant>
    </vt:vector>
  </HeadingPairs>
  <TitlesOfParts>
    <vt:vector size="45" baseType="lpstr">
      <vt:lpstr>Приложение № 7 (2)</vt:lpstr>
      <vt:lpstr>Приложение 1 </vt:lpstr>
      <vt:lpstr>Приложение № 1</vt:lpstr>
      <vt:lpstr>Приложение № 2</vt:lpstr>
      <vt:lpstr>Приложение № 3</vt:lpstr>
      <vt:lpstr>Приложение № 5</vt:lpstr>
      <vt:lpstr>Приложение № 6</vt:lpstr>
      <vt:lpstr>Приложение № 7</vt:lpstr>
      <vt:lpstr>2014</vt:lpstr>
      <vt:lpstr>2015</vt:lpstr>
      <vt:lpstr>Роспись 2015 год</vt:lpstr>
      <vt:lpstr>2016</vt:lpstr>
      <vt:lpstr>Доходы</vt:lpstr>
      <vt:lpstr>Дор карта</vt:lpstr>
      <vt:lpstr>Бюджет 2013</vt:lpstr>
      <vt:lpstr>Бюджет 2014 (1)</vt:lpstr>
      <vt:lpstr>Роспись 2015 год (3)</vt:lpstr>
      <vt:lpstr>Роспись 2015 год (2)</vt:lpstr>
      <vt:lpstr>ГосПрограмма (бюджет)</vt:lpstr>
      <vt:lpstr>ГосПрограмма (Индикаторы)</vt:lpstr>
      <vt:lpstr>Роспись 2014</vt:lpstr>
      <vt:lpstr>Роспись 2015</vt:lpstr>
      <vt:lpstr>Бюджет 2016-2017</vt:lpstr>
      <vt:lpstr>Лист2</vt:lpstr>
      <vt:lpstr>БЮДЖЕТ 2014</vt:lpstr>
      <vt:lpstr>Роспись 2014 (2)</vt:lpstr>
      <vt:lpstr>Индикаторы РЦП</vt:lpstr>
      <vt:lpstr>Лист5</vt:lpstr>
      <vt:lpstr>Лист4</vt:lpstr>
      <vt:lpstr>Роспись 2013</vt:lpstr>
      <vt:lpstr>Роспись 2012 Факт</vt:lpstr>
      <vt:lpstr>Для Баллов</vt:lpstr>
      <vt:lpstr>Салих</vt:lpstr>
      <vt:lpstr>Мадина</vt:lpstr>
      <vt:lpstr>Багаудин</vt:lpstr>
      <vt:lpstr>Анализ</vt:lpstr>
      <vt:lpstr>Роспись 2011 план</vt:lpstr>
      <vt:lpstr>Роспись 2012 план</vt:lpstr>
      <vt:lpstr>Приложение № 2 стар</vt:lpstr>
      <vt:lpstr>Лист3</vt:lpstr>
      <vt:lpstr>Музеи начальные</vt:lpstr>
      <vt:lpstr>Дорожная карта</vt:lpstr>
      <vt:lpstr>Лист1</vt:lpstr>
      <vt:lpstr>Лист6</vt:lpstr>
      <vt:lpstr>Лист7</vt:lpstr>
    </vt:vector>
  </TitlesOfParts>
  <Company>Дом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</dc:creator>
  <cp:lastModifiedBy>Ибрагимов Шахрутдин</cp:lastModifiedBy>
  <cp:lastPrinted>2016-06-20T09:49:33Z</cp:lastPrinted>
  <dcterms:created xsi:type="dcterms:W3CDTF">2009-07-01T14:52:49Z</dcterms:created>
  <dcterms:modified xsi:type="dcterms:W3CDTF">2016-10-24T11:30:54Z</dcterms:modified>
</cp:coreProperties>
</file>